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-120" yWindow="-120" windowWidth="20730" windowHeight="11760" tabRatio="897" activeTab="10"/>
  </bookViews>
  <sheets>
    <sheet name="Maj Production Summ" sheetId="35" r:id="rId1"/>
    <sheet name="Maj Despatch Summ" sheetId="21" r:id="rId2"/>
    <sheet name="Maj Techno Summ" sheetId="36" r:id="rId3"/>
    <sheet name="Major techno all dept" sheetId="59" r:id="rId4"/>
    <sheet name="Coal to Hot Metal" sheetId="49" state="hidden" r:id="rId5"/>
    <sheet name="DETAIL DESP  " sheetId="28" r:id="rId6"/>
    <sheet name="Direct sales IPT details" sheetId="64" r:id="rId7"/>
    <sheet name="COKE OVENS" sheetId="6" r:id="rId8"/>
    <sheet name="Raw Material Receipt" sheetId="70" r:id="rId9"/>
    <sheet name="RMHP" sheetId="39" r:id="rId10"/>
    <sheet name="SINTER" sheetId="7" r:id="rId11"/>
    <sheet name="Sheet1" sheetId="40" state="hidden" r:id="rId12"/>
    <sheet name="B-FCE" sheetId="8" r:id="rId13"/>
    <sheet name="SMS" sheetId="9" r:id="rId14"/>
    <sheet name="WRM" sheetId="10" r:id="rId15"/>
    <sheet name="BM" sheetId="11" r:id="rId16"/>
    <sheet name="USM" sheetId="45" r:id="rId17"/>
    <sheet name="Raw material consumptio" sheetId="48" state="hidden" r:id="rId18"/>
    <sheet name="GRD SUMM RCL 150X150 " sheetId="71" r:id="rId19"/>
    <sheet name="GRD SUMM RCL CASTER 3" sheetId="72" r:id="rId20"/>
    <sheet name="PBS" sheetId="17" r:id="rId21"/>
    <sheet name="POWER DISTRIBUTION" sheetId="38" r:id="rId22"/>
    <sheet name="EMD" sheetId="26" r:id="rId23"/>
    <sheet name="scrap" sheetId="44" state="hidden" r:id="rId24"/>
    <sheet name="ECD" sheetId="15" r:id="rId25"/>
    <sheet name="OXY PL" sheetId="27" r:id="rId26"/>
    <sheet name="LDCP" sheetId="22" r:id="rId27"/>
    <sheet name="Special Steel Production " sheetId="50" r:id="rId28"/>
    <sheet name="SEQR  Prod &amp; Dispatch" sheetId="52" r:id="rId29"/>
    <sheet name="High carbon grades" sheetId="61" r:id="rId30"/>
    <sheet name="SHOPS" sheetId="24" r:id="rId31"/>
    <sheet name="Sheet3" sheetId="67" state="hidden" r:id="rId32"/>
  </sheets>
  <externalReferences>
    <externalReference r:id="rId33"/>
  </externalReferences>
  <definedNames>
    <definedName name="_1" localSheetId="6">#REF!</definedName>
    <definedName name="_1" localSheetId="18">#REF!</definedName>
    <definedName name="_1" localSheetId="19">#REF!</definedName>
    <definedName name="_1" localSheetId="8">#REF!</definedName>
    <definedName name="_1">#REF!</definedName>
    <definedName name="_2" localSheetId="18">#REF!</definedName>
    <definedName name="_2" localSheetId="19">#REF!</definedName>
    <definedName name="_2" localSheetId="8">#REF!</definedName>
    <definedName name="_2">#REF!</definedName>
    <definedName name="_3" localSheetId="18">#REF!</definedName>
    <definedName name="_3" localSheetId="19">#REF!</definedName>
    <definedName name="_3" localSheetId="8">#REF!</definedName>
    <definedName name="_3">#REF!</definedName>
    <definedName name="_4">#REF!</definedName>
    <definedName name="_xlnm._FilterDatabase" localSheetId="15" hidden="1">BM!$C$5:$C$71</definedName>
    <definedName name="_xlnm._FilterDatabase" localSheetId="5" hidden="1">'DETAIL DESP  '!$C$68:$C$215</definedName>
    <definedName name="_xlnm._FilterDatabase" localSheetId="6" hidden="1">'Direct sales IPT details'!$B$82:$AA$160</definedName>
    <definedName name="_xlnm._FilterDatabase" localSheetId="16" hidden="1">USM!$C$5:$C$61</definedName>
    <definedName name="_xlnm._FilterDatabase" localSheetId="14" hidden="1">WRM!$C$3:$C$134</definedName>
    <definedName name="a" localSheetId="8">#REF!</definedName>
    <definedName name="a">#REF!</definedName>
    <definedName name="AA" localSheetId="8">#REF!</definedName>
    <definedName name="AA">#REF!</definedName>
    <definedName name="AB" localSheetId="8">#REF!</definedName>
    <definedName name="AB">#REF!</definedName>
    <definedName name="AC">#REF!</definedName>
    <definedName name="AD">#REF!</definedName>
    <definedName name="AE">#REF!</definedName>
    <definedName name="AF">#REF!</definedName>
    <definedName name="AG">#REF!</definedName>
    <definedName name="AH">#REF!</definedName>
    <definedName name="AI">#REF!</definedName>
    <definedName name="AK">#REF!</definedName>
    <definedName name="AL">#REF!</definedName>
    <definedName name="AM">#REF!</definedName>
    <definedName name="AN">#REF!</definedName>
    <definedName name="AS">#REF!</definedName>
    <definedName name="CL">#REF!</definedName>
    <definedName name="D">#REF!</definedName>
    <definedName name="E">#REF!</definedName>
    <definedName name="F">#REF!</definedName>
    <definedName name="G">#REF!</definedName>
    <definedName name="H">#REF!</definedName>
    <definedName name="I">#REF!</definedName>
    <definedName name="J">#REF!</definedName>
    <definedName name="K">#REF!</definedName>
    <definedName name="L">#REF!</definedName>
    <definedName name="M">#REF!</definedName>
    <definedName name="N">#REF!</definedName>
    <definedName name="O">#REF!</definedName>
    <definedName name="P">#REF!</definedName>
    <definedName name="_xlnm.Print_Area" localSheetId="12">'B-FCE'!$B$1:$V$80</definedName>
    <definedName name="_xlnm.Print_Area" localSheetId="15">BM!$B$1:$V$88</definedName>
    <definedName name="_xlnm.Print_Area" localSheetId="4">'Coal to Hot Metal'!$B$1:$AF$19</definedName>
    <definedName name="_xlnm.Print_Area" localSheetId="7">'COKE OVENS'!$B$1:$V$179</definedName>
    <definedName name="_xlnm.Print_Area" localSheetId="5">'DETAIL DESP  '!$B$217:$R$261</definedName>
    <definedName name="_xlnm.Print_Area" localSheetId="6">'Direct sales IPT details'!$B$2:$U$103</definedName>
    <definedName name="_xlnm.Print_Area" localSheetId="24">ECD!$B$1:$BE$30</definedName>
    <definedName name="_xlnm.Print_Area" localSheetId="22">EMD!$B$1:$M$88</definedName>
    <definedName name="_xlnm.Print_Area" localSheetId="18">'GRD SUMM RCL 150X150 '!$E$2:$BF$61</definedName>
    <definedName name="_xlnm.Print_Area" localSheetId="19">'GRD SUMM RCL CASTER 3'!$A$2:$AB$60</definedName>
    <definedName name="_xlnm.Print_Area" localSheetId="26">LDCP!$C$2:$N$33</definedName>
    <definedName name="_xlnm.Print_Area" localSheetId="1">'Maj Despatch Summ'!$B$1:$BH$39</definedName>
    <definedName name="_xlnm.Print_Area" localSheetId="0">'Maj Production Summ'!$B$1:$AJ$48</definedName>
    <definedName name="_xlnm.Print_Area" localSheetId="2">'Maj Techno Summ'!$B$3:$BK$31</definedName>
    <definedName name="_xlnm.Print_Area" localSheetId="3">'Major techno all dept'!$C$3:$AI$59</definedName>
    <definedName name="_xlnm.Print_Area" localSheetId="25">'OXY PL'!$B$1:$M$40</definedName>
    <definedName name="_xlnm.Print_Area" localSheetId="20">PBS!$B$1:$M$115</definedName>
    <definedName name="_xlnm.Print_Area" localSheetId="21">'POWER DISTRIBUTION'!$B$45:$C$81</definedName>
    <definedName name="_xlnm.Print_Area" localSheetId="17">'Raw material consumptio'!$B$1:$M$4</definedName>
    <definedName name="_xlnm.Print_Area" localSheetId="8">'Raw Material Receipt'!$B$2:$V$213</definedName>
    <definedName name="_xlnm.Print_Area" localSheetId="9">RMHP!$D$1:$W$34</definedName>
    <definedName name="_xlnm.Print_Area" localSheetId="28">'SEQR  Prod &amp; Dispatch'!$C$1:$Z$28</definedName>
    <definedName name="_xlnm.Print_Area" localSheetId="30">SHOPS!$C$2:$N$8</definedName>
    <definedName name="_xlnm.Print_Area" localSheetId="10">SINTER!$B$1:$V$96</definedName>
    <definedName name="_xlnm.Print_Area" localSheetId="13">SMS!$B$1:$V$128</definedName>
    <definedName name="_xlnm.Print_Area" localSheetId="27">'Special Steel Production '!$C$1:$AG$74</definedName>
    <definedName name="_xlnm.Print_Area" localSheetId="16">USM!$B$1:$O$61</definedName>
    <definedName name="_xlnm.Print_Area" localSheetId="14">WRM!$B$1:$N$151</definedName>
    <definedName name="Q" localSheetId="8">#REF!</definedName>
    <definedName name="Q">#REF!</definedName>
    <definedName name="RL" localSheetId="8">#REF!</definedName>
    <definedName name="RL">#REF!</definedName>
    <definedName name="RM">#REF!</definedName>
    <definedName name="rmisp">#REF!</definedName>
    <definedName name="S" localSheetId="8">#REF!</definedName>
    <definedName name="S">#REF!</definedName>
    <definedName name="T">#REF!</definedName>
    <definedName name="U">#REF!</definedName>
    <definedName name="V">#REF!</definedName>
    <definedName name="W">#REF!</definedName>
    <definedName name="X">#REF!</definedName>
    <definedName name="Y">#REF!</definedName>
    <definedName name="Z">#REF!</definedName>
  </definedNames>
  <calcPr calcId="144525"/>
</workbook>
</file>

<file path=xl/calcChain.xml><?xml version="1.0" encoding="utf-8"?>
<calcChain xmlns="http://schemas.openxmlformats.org/spreadsheetml/2006/main">
  <c r="BI10" i="28" l="1"/>
  <c r="BI9" i="28"/>
  <c r="BH9" i="28"/>
  <c r="BH10" i="28"/>
  <c r="BK208" i="28"/>
  <c r="BK207" i="28"/>
  <c r="BI207" i="28"/>
  <c r="BI206" i="28"/>
  <c r="BJ381" i="28"/>
  <c r="BJ380" i="28"/>
  <c r="BJ379" i="28"/>
  <c r="BL16" i="21"/>
  <c r="BL11" i="21"/>
  <c r="BL10" i="21"/>
  <c r="BL8" i="21"/>
  <c r="BL41" i="35"/>
  <c r="BL40" i="35"/>
  <c r="BJ7" i="39" l="1"/>
  <c r="BJ8" i="39"/>
  <c r="BJ9" i="39"/>
  <c r="BJ10" i="39"/>
  <c r="BJ11" i="39"/>
  <c r="BJ12" i="39"/>
  <c r="BJ13" i="39"/>
  <c r="BI14" i="39"/>
  <c r="S34" i="72" l="1"/>
  <c r="S36" i="72"/>
  <c r="S37" i="72"/>
  <c r="S38" i="72"/>
  <c r="S39" i="72"/>
  <c r="S41" i="72"/>
  <c r="S42" i="72"/>
  <c r="S43" i="72"/>
  <c r="S44" i="72"/>
  <c r="S45" i="72"/>
  <c r="L34" i="72"/>
  <c r="L36" i="72"/>
  <c r="L37" i="72"/>
  <c r="M37" i="72" s="1"/>
  <c r="O37" i="72" s="1"/>
  <c r="Q37" i="72" s="1"/>
  <c r="T37" i="72" s="1"/>
  <c r="V37" i="72" s="1"/>
  <c r="X37" i="72" s="1"/>
  <c r="L38" i="72"/>
  <c r="L39" i="72"/>
  <c r="L41" i="72"/>
  <c r="L42" i="72"/>
  <c r="M42" i="72"/>
  <c r="O42" i="72" s="1"/>
  <c r="Q42" i="72" s="1"/>
  <c r="T42" i="72" s="1"/>
  <c r="V42" i="72" s="1"/>
  <c r="X42" i="72" s="1"/>
  <c r="L43" i="72"/>
  <c r="L44" i="72"/>
  <c r="J34" i="72"/>
  <c r="J37" i="72"/>
  <c r="J41" i="72"/>
  <c r="J42" i="72"/>
  <c r="L27" i="72"/>
  <c r="L28" i="72"/>
  <c r="L29" i="72"/>
  <c r="S8" i="72"/>
  <c r="S9" i="72"/>
  <c r="S10" i="72"/>
  <c r="S12" i="72"/>
  <c r="S13" i="72"/>
  <c r="S15" i="72"/>
  <c r="S16" i="72"/>
  <c r="S18" i="72"/>
  <c r="S19" i="72"/>
  <c r="S20" i="72"/>
  <c r="L9" i="72"/>
  <c r="M9" i="72" s="1"/>
  <c r="O9" i="72" s="1"/>
  <c r="Q9" i="72" s="1"/>
  <c r="T9" i="72" s="1"/>
  <c r="V9" i="72" s="1"/>
  <c r="L10" i="72"/>
  <c r="L12" i="72"/>
  <c r="M12" i="72"/>
  <c r="O12" i="72" s="1"/>
  <c r="Q12" i="72" s="1"/>
  <c r="T12" i="72" s="1"/>
  <c r="V12" i="72" s="1"/>
  <c r="L15" i="72"/>
  <c r="L16" i="72"/>
  <c r="L19" i="72"/>
  <c r="H50" i="72"/>
  <c r="H52" i="72"/>
  <c r="H53" i="72"/>
  <c r="H54" i="72"/>
  <c r="H55" i="72"/>
  <c r="H56" i="72"/>
  <c r="H57" i="72"/>
  <c r="H34" i="72"/>
  <c r="H36" i="72"/>
  <c r="J36" i="72" s="1"/>
  <c r="H37" i="72"/>
  <c r="H39" i="72"/>
  <c r="J39" i="72" s="1"/>
  <c r="H40" i="72"/>
  <c r="H41" i="72"/>
  <c r="H42" i="72"/>
  <c r="H43" i="72"/>
  <c r="J43" i="72" s="1"/>
  <c r="H44" i="72"/>
  <c r="J44" i="72" s="1"/>
  <c r="H45" i="72"/>
  <c r="H27" i="72"/>
  <c r="J27" i="72" s="1"/>
  <c r="H28" i="72"/>
  <c r="J28" i="72" s="1"/>
  <c r="H29" i="72"/>
  <c r="J29" i="72" s="1"/>
  <c r="H9" i="72"/>
  <c r="J9" i="72" s="1"/>
  <c r="H10" i="72"/>
  <c r="J10" i="72" s="1"/>
  <c r="H12" i="72"/>
  <c r="J12" i="72" s="1"/>
  <c r="H15" i="72"/>
  <c r="J15" i="72" s="1"/>
  <c r="H16" i="72"/>
  <c r="J16" i="72" s="1"/>
  <c r="H18" i="72"/>
  <c r="H19" i="72"/>
  <c r="J19" i="72" s="1"/>
  <c r="H20" i="72"/>
  <c r="J20" i="72" s="1"/>
  <c r="F50" i="72"/>
  <c r="F51" i="72"/>
  <c r="F52" i="72"/>
  <c r="F53" i="72"/>
  <c r="F54" i="72"/>
  <c r="F55" i="72"/>
  <c r="F56" i="72"/>
  <c r="F57" i="72"/>
  <c r="F34" i="72"/>
  <c r="M34" i="72" s="1"/>
  <c r="O34" i="72" s="1"/>
  <c r="Q34" i="72" s="1"/>
  <c r="T34" i="72" s="1"/>
  <c r="V34" i="72" s="1"/>
  <c r="X34" i="72" s="1"/>
  <c r="F36" i="72"/>
  <c r="M36" i="72" s="1"/>
  <c r="O36" i="72" s="1"/>
  <c r="Q36" i="72" s="1"/>
  <c r="T36" i="72" s="1"/>
  <c r="V36" i="72" s="1"/>
  <c r="X36" i="72" s="1"/>
  <c r="F37" i="72"/>
  <c r="F39" i="72"/>
  <c r="F40" i="72"/>
  <c r="F41" i="72"/>
  <c r="F42" i="72"/>
  <c r="F43" i="72"/>
  <c r="F44" i="72"/>
  <c r="M44" i="72" s="1"/>
  <c r="O44" i="72" s="1"/>
  <c r="Q44" i="72" s="1"/>
  <c r="T44" i="72" s="1"/>
  <c r="V44" i="72" s="1"/>
  <c r="X44" i="72" s="1"/>
  <c r="F45" i="72"/>
  <c r="F27" i="72"/>
  <c r="M27" i="72" s="1"/>
  <c r="F28" i="72"/>
  <c r="F29" i="72"/>
  <c r="M29" i="72" s="1"/>
  <c r="F8" i="72"/>
  <c r="F9" i="72"/>
  <c r="F10" i="72"/>
  <c r="M10" i="72" s="1"/>
  <c r="O10" i="72" s="1"/>
  <c r="Q10" i="72" s="1"/>
  <c r="T10" i="72" s="1"/>
  <c r="V10" i="72" s="1"/>
  <c r="F12" i="72"/>
  <c r="F14" i="72"/>
  <c r="F15" i="72"/>
  <c r="F16" i="72"/>
  <c r="M16" i="72" s="1"/>
  <c r="O16" i="72" s="1"/>
  <c r="Q16" i="72" s="1"/>
  <c r="T16" i="72" s="1"/>
  <c r="V16" i="72" s="1"/>
  <c r="F18" i="72"/>
  <c r="F19" i="72"/>
  <c r="F20" i="72"/>
  <c r="D50" i="72"/>
  <c r="D51" i="72"/>
  <c r="D52" i="72"/>
  <c r="D53" i="72"/>
  <c r="D54" i="72"/>
  <c r="D55" i="72"/>
  <c r="D56" i="72"/>
  <c r="D57" i="72"/>
  <c r="D34" i="72"/>
  <c r="D36" i="72"/>
  <c r="D37" i="72"/>
  <c r="D39" i="72"/>
  <c r="D40" i="72"/>
  <c r="D41" i="72"/>
  <c r="D42" i="72"/>
  <c r="D43" i="72"/>
  <c r="D44" i="72"/>
  <c r="D45" i="72"/>
  <c r="D27" i="72"/>
  <c r="D28" i="72"/>
  <c r="D29" i="72"/>
  <c r="D8" i="72"/>
  <c r="D9" i="72"/>
  <c r="D10" i="72"/>
  <c r="D12" i="72"/>
  <c r="D14" i="72"/>
  <c r="D15" i="72"/>
  <c r="D16" i="72"/>
  <c r="D18" i="72"/>
  <c r="D19" i="72"/>
  <c r="D20" i="72"/>
  <c r="M41" i="72" l="1"/>
  <c r="O41" i="72" s="1"/>
  <c r="Q41" i="72" s="1"/>
  <c r="T41" i="72" s="1"/>
  <c r="V41" i="72" s="1"/>
  <c r="X41" i="72" s="1"/>
  <c r="M15" i="72"/>
  <c r="O15" i="72" s="1"/>
  <c r="Q15" i="72" s="1"/>
  <c r="T15" i="72" s="1"/>
  <c r="M43" i="72"/>
  <c r="O43" i="72" s="1"/>
  <c r="Q43" i="72" s="1"/>
  <c r="T43" i="72" s="1"/>
  <c r="V43" i="72" s="1"/>
  <c r="X43" i="72" s="1"/>
  <c r="M19" i="72"/>
  <c r="O19" i="72" s="1"/>
  <c r="Q19" i="72" s="1"/>
  <c r="T19" i="72" s="1"/>
  <c r="V19" i="72" s="1"/>
  <c r="M28" i="72"/>
  <c r="M39" i="72"/>
  <c r="O39" i="72" s="1"/>
  <c r="Q39" i="72" s="1"/>
  <c r="T39" i="72" s="1"/>
  <c r="V39" i="72" s="1"/>
  <c r="X39" i="72" s="1"/>
  <c r="AP22" i="71"/>
  <c r="AO22" i="71"/>
  <c r="AK22" i="71"/>
  <c r="AF22" i="71"/>
  <c r="AG22" i="71" s="1"/>
  <c r="AQ22" i="71" s="1"/>
  <c r="AR22" i="71" s="1"/>
  <c r="AB21" i="71"/>
  <c r="AB22" i="71"/>
  <c r="W22" i="71"/>
  <c r="X22" i="71" s="1"/>
  <c r="V22" i="71"/>
  <c r="R22" i="71"/>
  <c r="M22" i="71"/>
  <c r="N22" i="71" s="1"/>
  <c r="I22" i="71"/>
  <c r="AT22" i="71" l="1"/>
  <c r="AU22" i="71"/>
  <c r="AV22" i="71"/>
  <c r="AW22" i="71"/>
  <c r="AX22" i="71"/>
  <c r="AY22" i="71"/>
  <c r="AZ22" i="71"/>
  <c r="BA22" i="71"/>
  <c r="BB22" i="71"/>
  <c r="BC22" i="71"/>
  <c r="BD22" i="71"/>
  <c r="BE22" i="71"/>
  <c r="AW6" i="71"/>
  <c r="AW7" i="71"/>
  <c r="AW8" i="71"/>
  <c r="AW9" i="71"/>
  <c r="AW10" i="71"/>
  <c r="AW11" i="71"/>
  <c r="AW12" i="71"/>
  <c r="AW13" i="71"/>
  <c r="AW14" i="71"/>
  <c r="AW15" i="71"/>
  <c r="AW16" i="71"/>
  <c r="AW17" i="71"/>
  <c r="AW18" i="71"/>
  <c r="AW19" i="71"/>
  <c r="AW20" i="71"/>
  <c r="AW21" i="71"/>
  <c r="AW23" i="71"/>
  <c r="AW24" i="71"/>
  <c r="AW25" i="71"/>
  <c r="AW27" i="71"/>
  <c r="AW28" i="71"/>
  <c r="AW29" i="71"/>
  <c r="AW30" i="71"/>
  <c r="AW31" i="71"/>
  <c r="AW32" i="71"/>
  <c r="AW33" i="71"/>
  <c r="AW34" i="71"/>
  <c r="AW35" i="71"/>
  <c r="AW36" i="71"/>
  <c r="AW37" i="71"/>
  <c r="AW38" i="71"/>
  <c r="AW39" i="71"/>
  <c r="AW40" i="71"/>
  <c r="AW41" i="71"/>
  <c r="AW42" i="71"/>
  <c r="AW43" i="71"/>
  <c r="AW44" i="71"/>
  <c r="AW45" i="71"/>
  <c r="AW46" i="71"/>
  <c r="AW47" i="71"/>
  <c r="AW48" i="71"/>
  <c r="AW49" i="71"/>
  <c r="AW50" i="71"/>
  <c r="AW51" i="71"/>
  <c r="AW52" i="71"/>
  <c r="AW53" i="71"/>
  <c r="AW54" i="71"/>
  <c r="AW55" i="71"/>
  <c r="AW56" i="71"/>
  <c r="AW57" i="71"/>
  <c r="AW58" i="71"/>
  <c r="AW59" i="71"/>
  <c r="AW60" i="71"/>
  <c r="AV7" i="71"/>
  <c r="AV8" i="71"/>
  <c r="AV9" i="71"/>
  <c r="AV10" i="71"/>
  <c r="AV11" i="71"/>
  <c r="AV12" i="71"/>
  <c r="AV13" i="71"/>
  <c r="AV14" i="71"/>
  <c r="AV15" i="71"/>
  <c r="AV16" i="71"/>
  <c r="AV17" i="71"/>
  <c r="AV18" i="71"/>
  <c r="AV19" i="71"/>
  <c r="AV20" i="71"/>
  <c r="AV21" i="71"/>
  <c r="AV23" i="71"/>
  <c r="AV24" i="71"/>
  <c r="AV25" i="71"/>
  <c r="AV27" i="71"/>
  <c r="AV28" i="71"/>
  <c r="AV29" i="71"/>
  <c r="AV30" i="71"/>
  <c r="AV31" i="71"/>
  <c r="AV32" i="71"/>
  <c r="AV33" i="71"/>
  <c r="AV34" i="71"/>
  <c r="AV35" i="71"/>
  <c r="AV36" i="71"/>
  <c r="AV37" i="71"/>
  <c r="AV38" i="71"/>
  <c r="AV39" i="71"/>
  <c r="AV40" i="71"/>
  <c r="AV41" i="71"/>
  <c r="AV42" i="71"/>
  <c r="AV43" i="71"/>
  <c r="AV44" i="71"/>
  <c r="AV45" i="71"/>
  <c r="AV46" i="71"/>
  <c r="AV47" i="71"/>
  <c r="AV48" i="71"/>
  <c r="AV49" i="71"/>
  <c r="AV50" i="71"/>
  <c r="AV51" i="71"/>
  <c r="AV52" i="71"/>
  <c r="AV53" i="71"/>
  <c r="AV54" i="71"/>
  <c r="AV55" i="71"/>
  <c r="AV56" i="71"/>
  <c r="AV57" i="71"/>
  <c r="AV58" i="71"/>
  <c r="AV59" i="71"/>
  <c r="AV60" i="71"/>
  <c r="AU7" i="71"/>
  <c r="AU8" i="71"/>
  <c r="AU9" i="71"/>
  <c r="AU10" i="71"/>
  <c r="AU11" i="71"/>
  <c r="AU12" i="71"/>
  <c r="AU13" i="71"/>
  <c r="AU14" i="71"/>
  <c r="AU15" i="71"/>
  <c r="AU16" i="71"/>
  <c r="AU17" i="71"/>
  <c r="AU18" i="71"/>
  <c r="AU19" i="71"/>
  <c r="AU20" i="71"/>
  <c r="AU21" i="71"/>
  <c r="AU23" i="71"/>
  <c r="AU24" i="71"/>
  <c r="AU25" i="71"/>
  <c r="AU26" i="71"/>
  <c r="AU27" i="71"/>
  <c r="AU28" i="71"/>
  <c r="AU29" i="71"/>
  <c r="AU30" i="71"/>
  <c r="AU31" i="71"/>
  <c r="AU32" i="71"/>
  <c r="AU33" i="71"/>
  <c r="AU34" i="71"/>
  <c r="AU35" i="71"/>
  <c r="AU36" i="71"/>
  <c r="AU37" i="71"/>
  <c r="AU38" i="71"/>
  <c r="AU39" i="71"/>
  <c r="AU40" i="71"/>
  <c r="AU41" i="71"/>
  <c r="AU42" i="71"/>
  <c r="AU43" i="71"/>
  <c r="AU44" i="71"/>
  <c r="AU45" i="71"/>
  <c r="AU46" i="71"/>
  <c r="AU47" i="71"/>
  <c r="AU48" i="71"/>
  <c r="AU49" i="71"/>
  <c r="AU50" i="71"/>
  <c r="AU51" i="71"/>
  <c r="AU52" i="71"/>
  <c r="AU53" i="71"/>
  <c r="AU54" i="71"/>
  <c r="AU55" i="71"/>
  <c r="AU56" i="71"/>
  <c r="AU57" i="71"/>
  <c r="AU58" i="71"/>
  <c r="AU59" i="71"/>
  <c r="AU60" i="71"/>
  <c r="AU6" i="71"/>
  <c r="AT7" i="71"/>
  <c r="AT8" i="71"/>
  <c r="AT10" i="71"/>
  <c r="AT11" i="71"/>
  <c r="AT12" i="71"/>
  <c r="AT13" i="71"/>
  <c r="AT14" i="71"/>
  <c r="AT15" i="71"/>
  <c r="AT16" i="71"/>
  <c r="AT17" i="71"/>
  <c r="AT18" i="71"/>
  <c r="AT19" i="71"/>
  <c r="AT20" i="71"/>
  <c r="AT21" i="71"/>
  <c r="AT23" i="71"/>
  <c r="AT24" i="71"/>
  <c r="AT25" i="71"/>
  <c r="AT26" i="71"/>
  <c r="AT27" i="71"/>
  <c r="AT28" i="71"/>
  <c r="AT29" i="71"/>
  <c r="AT30" i="71"/>
  <c r="AT31" i="71"/>
  <c r="AT32" i="71"/>
  <c r="AT33" i="71"/>
  <c r="AT34" i="71"/>
  <c r="AT35" i="71"/>
  <c r="AT36" i="71"/>
  <c r="AT37" i="71"/>
  <c r="AT38" i="71"/>
  <c r="AT39" i="71"/>
  <c r="AT40" i="71"/>
  <c r="AT41" i="71"/>
  <c r="AT42" i="71"/>
  <c r="AT43" i="71"/>
  <c r="AT44" i="71"/>
  <c r="AT45" i="71"/>
  <c r="AT46" i="71"/>
  <c r="AT47" i="71"/>
  <c r="AT48" i="71"/>
  <c r="AT49" i="71"/>
  <c r="AT50" i="71"/>
  <c r="AT51" i="71"/>
  <c r="AT52" i="71"/>
  <c r="AT53" i="71"/>
  <c r="AT54" i="71"/>
  <c r="AT55" i="71"/>
  <c r="AT56" i="71"/>
  <c r="AT57" i="71"/>
  <c r="AT58" i="71"/>
  <c r="AT59" i="71"/>
  <c r="AT60" i="71"/>
  <c r="AT6" i="71"/>
  <c r="AF6" i="71"/>
  <c r="AK6" i="71"/>
  <c r="AP6" i="71" s="1"/>
  <c r="AO6" i="71"/>
  <c r="AZ33" i="35" l="1"/>
  <c r="AO66" i="50"/>
  <c r="AG66" i="50"/>
  <c r="AK66" i="50" s="1"/>
  <c r="AQ66" i="50" s="1"/>
  <c r="AU66" i="50" s="1"/>
  <c r="AY66" i="50" s="1"/>
  <c r="S66" i="50"/>
  <c r="W66" i="50" s="1"/>
  <c r="F77" i="72"/>
  <c r="K69" i="50"/>
  <c r="K68" i="50"/>
  <c r="K67" i="50"/>
  <c r="K66" i="50"/>
  <c r="K65" i="50"/>
  <c r="K64" i="50"/>
  <c r="K63" i="50"/>
  <c r="K62" i="50"/>
  <c r="K61" i="50"/>
  <c r="AU51" i="50"/>
  <c r="AO51" i="50"/>
  <c r="AY51" i="50"/>
  <c r="AU54" i="50"/>
  <c r="AY54" i="50" s="1"/>
  <c r="AG54" i="50"/>
  <c r="AK54" i="50" s="1"/>
  <c r="AG51" i="50"/>
  <c r="AK51" i="50" s="1"/>
  <c r="S54" i="50"/>
  <c r="W54" i="50" s="1"/>
  <c r="S51" i="50"/>
  <c r="W51" i="50" s="1"/>
  <c r="K59" i="50"/>
  <c r="K58" i="50"/>
  <c r="K57" i="50"/>
  <c r="K56" i="50"/>
  <c r="K55" i="50"/>
  <c r="K54" i="50"/>
  <c r="K53" i="50"/>
  <c r="K52" i="50"/>
  <c r="K51" i="50"/>
  <c r="K50" i="50"/>
  <c r="K49" i="50"/>
  <c r="K48" i="50"/>
  <c r="K47" i="50"/>
  <c r="C68" i="72"/>
  <c r="E68" i="72"/>
  <c r="P68" i="72"/>
  <c r="G69" i="72"/>
  <c r="I69" i="72"/>
  <c r="N69" i="72"/>
  <c r="R69" i="72"/>
  <c r="U69" i="72"/>
  <c r="W69" i="72"/>
  <c r="Y69" i="72"/>
  <c r="E70" i="72"/>
  <c r="I70" i="72"/>
  <c r="K70" i="72"/>
  <c r="N70" i="72"/>
  <c r="P70" i="72"/>
  <c r="R70" i="72"/>
  <c r="U70" i="72"/>
  <c r="C71" i="72"/>
  <c r="D71" i="72"/>
  <c r="E71" i="72"/>
  <c r="G71" i="72"/>
  <c r="H71" i="72"/>
  <c r="I71" i="72"/>
  <c r="J71" i="72"/>
  <c r="K71" i="72"/>
  <c r="N71" i="72"/>
  <c r="O71" i="72"/>
  <c r="P71" i="72"/>
  <c r="R71" i="72"/>
  <c r="U71" i="72"/>
  <c r="W71" i="72"/>
  <c r="Y71" i="72"/>
  <c r="C72" i="72"/>
  <c r="E72" i="72"/>
  <c r="K72" i="72"/>
  <c r="N72" i="72"/>
  <c r="P72" i="72"/>
  <c r="W72" i="72"/>
  <c r="Y72" i="72"/>
  <c r="C73" i="72"/>
  <c r="D73" i="72"/>
  <c r="E73" i="72"/>
  <c r="G73" i="72"/>
  <c r="H73" i="72"/>
  <c r="I73" i="72"/>
  <c r="J73" i="72"/>
  <c r="K73" i="72"/>
  <c r="N73" i="72"/>
  <c r="O73" i="72"/>
  <c r="P73" i="72"/>
  <c r="Q73" i="72"/>
  <c r="R73" i="72"/>
  <c r="U73" i="72"/>
  <c r="V73" i="72"/>
  <c r="W73" i="72"/>
  <c r="E74" i="72"/>
  <c r="P74" i="72"/>
  <c r="C75" i="72"/>
  <c r="D75" i="72"/>
  <c r="E75" i="72"/>
  <c r="G75" i="72"/>
  <c r="H75" i="72"/>
  <c r="K75" i="72"/>
  <c r="N75" i="72"/>
  <c r="P75" i="72"/>
  <c r="R75" i="72"/>
  <c r="U75" i="72"/>
  <c r="W75" i="72"/>
  <c r="Y75" i="72"/>
  <c r="C76" i="72"/>
  <c r="D76" i="72"/>
  <c r="E76" i="72"/>
  <c r="G76" i="72"/>
  <c r="I76" i="72"/>
  <c r="K76" i="72"/>
  <c r="N76" i="72"/>
  <c r="P76" i="72"/>
  <c r="R76" i="72"/>
  <c r="U76" i="72"/>
  <c r="W76" i="72"/>
  <c r="Y76" i="72"/>
  <c r="B72" i="72"/>
  <c r="B71" i="72"/>
  <c r="B70" i="72"/>
  <c r="B76" i="72"/>
  <c r="B75" i="72"/>
  <c r="B73" i="72"/>
  <c r="B69" i="72"/>
  <c r="BE102" i="71"/>
  <c r="AU95" i="71"/>
  <c r="AV95" i="71"/>
  <c r="AW95" i="71"/>
  <c r="AU96" i="71"/>
  <c r="AV96" i="71"/>
  <c r="AW96" i="71"/>
  <c r="AU97" i="71"/>
  <c r="AV97" i="71"/>
  <c r="AW97" i="71"/>
  <c r="AU98" i="71"/>
  <c r="AV98" i="71"/>
  <c r="AW98" i="71"/>
  <c r="AU99" i="71"/>
  <c r="AV99" i="71"/>
  <c r="AW99" i="71"/>
  <c r="AU100" i="71"/>
  <c r="AV100" i="71"/>
  <c r="AW100" i="71"/>
  <c r="AU101" i="71"/>
  <c r="AV101" i="71"/>
  <c r="AW101" i="71"/>
  <c r="AU102" i="71"/>
  <c r="AV102" i="71"/>
  <c r="AW102" i="71"/>
  <c r="AX102" i="71"/>
  <c r="AY102" i="71"/>
  <c r="AZ102" i="71"/>
  <c r="BA102" i="71"/>
  <c r="BB102" i="71"/>
  <c r="BC102" i="71"/>
  <c r="BD102" i="71"/>
  <c r="AU103" i="71"/>
  <c r="AV103" i="71"/>
  <c r="AW103" i="71"/>
  <c r="AU104" i="71"/>
  <c r="AV104" i="71"/>
  <c r="AW104" i="71"/>
  <c r="AU105" i="71"/>
  <c r="AV105" i="71"/>
  <c r="AW105" i="71"/>
  <c r="AU106" i="71"/>
  <c r="AV106" i="71"/>
  <c r="AW106" i="71"/>
  <c r="AT106" i="71"/>
  <c r="AT105" i="71"/>
  <c r="AT104" i="71"/>
  <c r="AT103" i="71"/>
  <c r="AT102" i="71"/>
  <c r="AT101" i="71"/>
  <c r="AT100" i="71"/>
  <c r="AT99" i="71"/>
  <c r="AT98" i="71"/>
  <c r="AT97" i="71"/>
  <c r="AT96" i="71"/>
  <c r="AT95" i="71"/>
  <c r="AU87" i="71"/>
  <c r="AU89" i="71" s="1"/>
  <c r="AU92" i="71" s="1"/>
  <c r="AV87" i="71"/>
  <c r="AV89" i="71" s="1"/>
  <c r="AV92" i="71" s="1"/>
  <c r="AV94" i="71" s="1"/>
  <c r="AV108" i="71" s="1"/>
  <c r="AW87" i="71"/>
  <c r="AW89" i="71" s="1"/>
  <c r="AW92" i="71" s="1"/>
  <c r="AT87" i="71"/>
  <c r="AT89" i="71" s="1"/>
  <c r="AT92" i="71" s="1"/>
  <c r="Z88" i="71"/>
  <c r="AA88" i="71"/>
  <c r="AB88" i="71"/>
  <c r="AC88" i="71"/>
  <c r="AD88" i="71"/>
  <c r="AE88" i="71"/>
  <c r="AF88" i="71"/>
  <c r="AG88" i="71"/>
  <c r="AH88" i="71"/>
  <c r="AI88" i="71"/>
  <c r="AJ88" i="71"/>
  <c r="AK88" i="71"/>
  <c r="AL88" i="71"/>
  <c r="AM88" i="71"/>
  <c r="AN88" i="71"/>
  <c r="Y88" i="71"/>
  <c r="G90" i="71"/>
  <c r="H90" i="71"/>
  <c r="I90" i="71"/>
  <c r="J90" i="71"/>
  <c r="K90" i="71"/>
  <c r="L90" i="71"/>
  <c r="M90" i="71"/>
  <c r="N90" i="71"/>
  <c r="O90" i="71"/>
  <c r="P90" i="71"/>
  <c r="Q90" i="71"/>
  <c r="R90" i="71"/>
  <c r="S90" i="71"/>
  <c r="T90" i="71"/>
  <c r="U90" i="71"/>
  <c r="F90" i="71"/>
  <c r="U27" i="71"/>
  <c r="T27" i="71"/>
  <c r="S27" i="71"/>
  <c r="Q27" i="71"/>
  <c r="P27" i="71"/>
  <c r="O27" i="71"/>
  <c r="L27" i="71"/>
  <c r="K27" i="71"/>
  <c r="J26" i="71"/>
  <c r="AW26" i="71" s="1"/>
  <c r="H26" i="71"/>
  <c r="AV26" i="71" s="1"/>
  <c r="F9" i="71"/>
  <c r="AT9" i="71" s="1"/>
  <c r="Y40" i="72"/>
  <c r="W35" i="72"/>
  <c r="W51" i="72"/>
  <c r="W40" i="72"/>
  <c r="U40" i="72"/>
  <c r="U35" i="72"/>
  <c r="R40" i="72"/>
  <c r="P26" i="72"/>
  <c r="P51" i="72"/>
  <c r="N40" i="72"/>
  <c r="N35" i="72"/>
  <c r="S35" i="72" s="1"/>
  <c r="K51" i="72"/>
  <c r="I45" i="72"/>
  <c r="I40" i="72"/>
  <c r="I35" i="72"/>
  <c r="G51" i="72"/>
  <c r="H51" i="72" s="1"/>
  <c r="G35" i="72"/>
  <c r="E35" i="72"/>
  <c r="E49" i="72"/>
  <c r="B35" i="72"/>
  <c r="B38" i="72"/>
  <c r="Y16" i="72"/>
  <c r="Y70" i="72" s="1"/>
  <c r="Y9" i="72"/>
  <c r="Y73" i="72" s="1"/>
  <c r="Y17" i="72"/>
  <c r="Y74" i="72" s="1"/>
  <c r="Y10" i="72"/>
  <c r="Y7" i="72"/>
  <c r="Y68" i="72" s="1"/>
  <c r="W17" i="72"/>
  <c r="W74" i="72" s="1"/>
  <c r="W10" i="72"/>
  <c r="W16" i="72"/>
  <c r="W70" i="72" s="1"/>
  <c r="W7" i="72"/>
  <c r="W68" i="72" s="1"/>
  <c r="U17" i="72"/>
  <c r="U74" i="72" s="1"/>
  <c r="U15" i="72"/>
  <c r="V15" i="72" s="1"/>
  <c r="U14" i="72"/>
  <c r="U72" i="72" s="1"/>
  <c r="U7" i="72"/>
  <c r="U68" i="72" s="1"/>
  <c r="R17" i="72"/>
  <c r="R74" i="72" s="1"/>
  <c r="R7" i="72"/>
  <c r="R68" i="72" s="1"/>
  <c r="R14" i="72"/>
  <c r="P11" i="72"/>
  <c r="N17" i="72"/>
  <c r="N7" i="72"/>
  <c r="N68" i="72" s="1"/>
  <c r="K20" i="72"/>
  <c r="L20" i="72" s="1"/>
  <c r="M20" i="72" s="1"/>
  <c r="O20" i="72" s="1"/>
  <c r="Q20" i="72" s="1"/>
  <c r="T20" i="72" s="1"/>
  <c r="V20" i="72" s="1"/>
  <c r="K7" i="72"/>
  <c r="K68" i="72" s="1"/>
  <c r="K17" i="72"/>
  <c r="K74" i="72" s="1"/>
  <c r="K11" i="72"/>
  <c r="I8" i="72"/>
  <c r="I7" i="72"/>
  <c r="I68" i="72" s="1"/>
  <c r="I14" i="72"/>
  <c r="I72" i="72" s="1"/>
  <c r="I17" i="72"/>
  <c r="I74" i="72" s="1"/>
  <c r="I18" i="72"/>
  <c r="G14" i="72"/>
  <c r="G13" i="72"/>
  <c r="G17" i="72"/>
  <c r="G8" i="72"/>
  <c r="G7" i="72"/>
  <c r="G68" i="72" s="1"/>
  <c r="E11" i="72"/>
  <c r="E69" i="72" s="1"/>
  <c r="C11" i="72"/>
  <c r="C17" i="72"/>
  <c r="C74" i="72" s="1"/>
  <c r="C13" i="72"/>
  <c r="B17" i="72"/>
  <c r="B7" i="72"/>
  <c r="B68" i="72" s="1"/>
  <c r="AB24" i="72"/>
  <c r="C70" i="72" l="1"/>
  <c r="H13" i="72"/>
  <c r="J13" i="72" s="1"/>
  <c r="F13" i="72"/>
  <c r="D13" i="72"/>
  <c r="G72" i="72"/>
  <c r="L14" i="72"/>
  <c r="M14" i="72" s="1"/>
  <c r="O14" i="72" s="1"/>
  <c r="Q14" i="72" s="1"/>
  <c r="T14" i="72" s="1"/>
  <c r="V14" i="72" s="1"/>
  <c r="H14" i="72"/>
  <c r="J14" i="72" s="1"/>
  <c r="I77" i="72"/>
  <c r="P69" i="72"/>
  <c r="P77" i="72" s="1"/>
  <c r="S11" i="72"/>
  <c r="U77" i="72"/>
  <c r="W77" i="72"/>
  <c r="L40" i="72"/>
  <c r="M40" i="72" s="1"/>
  <c r="O40" i="72" s="1"/>
  <c r="Q40" i="72" s="1"/>
  <c r="T40" i="72" s="1"/>
  <c r="V40" i="72" s="1"/>
  <c r="X40" i="72" s="1"/>
  <c r="J40" i="72"/>
  <c r="S40" i="72"/>
  <c r="B74" i="72"/>
  <c r="H17" i="72"/>
  <c r="J17" i="72" s="1"/>
  <c r="F17" i="72"/>
  <c r="D17" i="72"/>
  <c r="G70" i="72"/>
  <c r="G77" i="72" s="1"/>
  <c r="L13" i="72"/>
  <c r="M13" i="72" s="1"/>
  <c r="O13" i="72" s="1"/>
  <c r="Q13" i="72" s="1"/>
  <c r="T13" i="72" s="1"/>
  <c r="V13" i="72" s="1"/>
  <c r="R72" i="72"/>
  <c r="S14" i="72"/>
  <c r="H38" i="72"/>
  <c r="J38" i="72" s="1"/>
  <c r="F38" i="72"/>
  <c r="M38" i="72" s="1"/>
  <c r="O38" i="72" s="1"/>
  <c r="Q38" i="72" s="1"/>
  <c r="T38" i="72" s="1"/>
  <c r="V38" i="72" s="1"/>
  <c r="X38" i="72" s="1"/>
  <c r="D38" i="72"/>
  <c r="L35" i="72"/>
  <c r="L45" i="72"/>
  <c r="M45" i="72" s="1"/>
  <c r="O45" i="72" s="1"/>
  <c r="Q45" i="72" s="1"/>
  <c r="T45" i="72" s="1"/>
  <c r="V45" i="72" s="1"/>
  <c r="X45" i="72" s="1"/>
  <c r="J45" i="72"/>
  <c r="N74" i="72"/>
  <c r="S17" i="72"/>
  <c r="L8" i="72"/>
  <c r="M8" i="72" s="1"/>
  <c r="O8" i="72" s="1"/>
  <c r="Q8" i="72" s="1"/>
  <c r="T8" i="72" s="1"/>
  <c r="V8" i="72" s="1"/>
  <c r="H8" i="72"/>
  <c r="J8" i="72" s="1"/>
  <c r="I75" i="72"/>
  <c r="L18" i="72"/>
  <c r="M18" i="72" s="1"/>
  <c r="O18" i="72" s="1"/>
  <c r="Q18" i="72" s="1"/>
  <c r="T18" i="72" s="1"/>
  <c r="V18" i="72" s="1"/>
  <c r="J18" i="72"/>
  <c r="C69" i="72"/>
  <c r="H11" i="72"/>
  <c r="J11" i="72" s="1"/>
  <c r="F11" i="72"/>
  <c r="D11" i="72"/>
  <c r="G74" i="72"/>
  <c r="L17" i="72"/>
  <c r="M17" i="72" s="1"/>
  <c r="O17" i="72" s="1"/>
  <c r="Q17" i="72" s="1"/>
  <c r="T17" i="72" s="1"/>
  <c r="V17" i="72" s="1"/>
  <c r="K69" i="72"/>
  <c r="K77" i="72" s="1"/>
  <c r="L11" i="72"/>
  <c r="M11" i="72" s="1"/>
  <c r="O11" i="72" s="1"/>
  <c r="Q11" i="72" s="1"/>
  <c r="T11" i="72" s="1"/>
  <c r="V11" i="72" s="1"/>
  <c r="N77" i="72"/>
  <c r="H35" i="72"/>
  <c r="J35" i="72" s="1"/>
  <c r="F35" i="72"/>
  <c r="D35" i="72"/>
  <c r="C77" i="72"/>
  <c r="Y77" i="72"/>
  <c r="B77" i="72"/>
  <c r="R77" i="72"/>
  <c r="E77" i="72"/>
  <c r="AW94" i="71"/>
  <c r="AW108" i="71" s="1"/>
  <c r="BF102" i="71"/>
  <c r="AU94" i="71"/>
  <c r="AU108" i="71" s="1"/>
  <c r="AT94" i="71"/>
  <c r="BA42" i="45"/>
  <c r="AW42" i="45"/>
  <c r="AS42" i="45"/>
  <c r="AM42" i="45"/>
  <c r="AE42" i="45"/>
  <c r="Y42" i="45"/>
  <c r="U42" i="45"/>
  <c r="Q42" i="45"/>
  <c r="M42" i="45"/>
  <c r="I42" i="45"/>
  <c r="G42" i="45"/>
  <c r="M35" i="72" l="1"/>
  <c r="O35" i="72" s="1"/>
  <c r="Q35" i="72" s="1"/>
  <c r="T35" i="72" s="1"/>
  <c r="V35" i="72" s="1"/>
  <c r="X35" i="72" s="1"/>
  <c r="AT108" i="71"/>
  <c r="AT109" i="71"/>
  <c r="M43" i="45"/>
  <c r="Y43" i="45" l="1"/>
  <c r="Y46" i="45" s="1"/>
  <c r="U43" i="45"/>
  <c r="Q43" i="45"/>
  <c r="M46" i="45"/>
  <c r="I43" i="45"/>
  <c r="I46" i="45" s="1"/>
  <c r="G43" i="45"/>
  <c r="U46" i="45"/>
  <c r="Y58" i="72" l="1"/>
  <c r="W58" i="72"/>
  <c r="U58" i="72"/>
  <c r="R58" i="72"/>
  <c r="P58" i="72"/>
  <c r="N58" i="72"/>
  <c r="K58" i="72"/>
  <c r="I58" i="72"/>
  <c r="G58" i="72"/>
  <c r="E58" i="72"/>
  <c r="C58" i="72"/>
  <c r="B58" i="72"/>
  <c r="Z57" i="72"/>
  <c r="S57" i="72"/>
  <c r="L57" i="72"/>
  <c r="J57" i="72"/>
  <c r="Z56" i="72"/>
  <c r="AA56" i="72" s="1"/>
  <c r="S56" i="72"/>
  <c r="L56" i="72"/>
  <c r="J56" i="72"/>
  <c r="Z55" i="72"/>
  <c r="S55" i="72"/>
  <c r="L55" i="72"/>
  <c r="J55" i="72"/>
  <c r="Z54" i="72"/>
  <c r="S54" i="72"/>
  <c r="L54" i="72"/>
  <c r="J54" i="72"/>
  <c r="Z53" i="72"/>
  <c r="S53" i="72"/>
  <c r="L53" i="72"/>
  <c r="J53" i="72"/>
  <c r="Z52" i="72"/>
  <c r="S52" i="72"/>
  <c r="L52" i="72"/>
  <c r="J52" i="72"/>
  <c r="Z51" i="72"/>
  <c r="S51" i="72"/>
  <c r="L51" i="72"/>
  <c r="J51" i="72"/>
  <c r="Z50" i="72"/>
  <c r="S50" i="72"/>
  <c r="L50" i="72"/>
  <c r="J50" i="72"/>
  <c r="Z49" i="72"/>
  <c r="S49" i="72"/>
  <c r="L49" i="72"/>
  <c r="H49" i="72"/>
  <c r="F49" i="72"/>
  <c r="D49" i="72"/>
  <c r="Y46" i="72"/>
  <c r="W46" i="72"/>
  <c r="U46" i="72"/>
  <c r="R46" i="72"/>
  <c r="P46" i="72"/>
  <c r="N46" i="72"/>
  <c r="K46" i="72"/>
  <c r="I46" i="72"/>
  <c r="G46" i="72"/>
  <c r="E46" i="72"/>
  <c r="C46" i="72"/>
  <c r="B46" i="72"/>
  <c r="Z45" i="72"/>
  <c r="AA45" i="72" s="1"/>
  <c r="Z44" i="72"/>
  <c r="AA44" i="72" s="1"/>
  <c r="AB44" i="72"/>
  <c r="Z43" i="72"/>
  <c r="Z42" i="72"/>
  <c r="AB42" i="72"/>
  <c r="Z41" i="72"/>
  <c r="AA41" i="72" s="1"/>
  <c r="Z40" i="72"/>
  <c r="AB40" i="72"/>
  <c r="Z39" i="72"/>
  <c r="AB39" i="72"/>
  <c r="Z38" i="72"/>
  <c r="AA38" i="72" s="1"/>
  <c r="Z37" i="72"/>
  <c r="AA37" i="72" s="1"/>
  <c r="AB37" i="72"/>
  <c r="Z36" i="72"/>
  <c r="Z35" i="72"/>
  <c r="Z34" i="72"/>
  <c r="AA34" i="72"/>
  <c r="AB34" i="72"/>
  <c r="Z33" i="72"/>
  <c r="S33" i="72"/>
  <c r="L33" i="72"/>
  <c r="H33" i="72"/>
  <c r="J33" i="72" s="1"/>
  <c r="F33" i="72"/>
  <c r="D33" i="72"/>
  <c r="W30" i="72"/>
  <c r="W65" i="72" s="1"/>
  <c r="U30" i="72"/>
  <c r="U65" i="72" s="1"/>
  <c r="R30" i="72"/>
  <c r="R65" i="72" s="1"/>
  <c r="P30" i="72"/>
  <c r="N30" i="72"/>
  <c r="N65" i="72" s="1"/>
  <c r="K30" i="72"/>
  <c r="K65" i="72" s="1"/>
  <c r="I30" i="72"/>
  <c r="G30" i="72"/>
  <c r="E30" i="72"/>
  <c r="C30" i="72"/>
  <c r="B30" i="72"/>
  <c r="Z29" i="72"/>
  <c r="S29" i="72"/>
  <c r="Z28" i="72"/>
  <c r="S28" i="72"/>
  <c r="O28" i="72"/>
  <c r="Q28" i="72" s="1"/>
  <c r="T28" i="72" s="1"/>
  <c r="V28" i="72" s="1"/>
  <c r="X28" i="72" s="1"/>
  <c r="AB28" i="72" s="1"/>
  <c r="Z27" i="72"/>
  <c r="S27" i="72"/>
  <c r="O27" i="72"/>
  <c r="Q27" i="72" s="1"/>
  <c r="T27" i="72" s="1"/>
  <c r="V27" i="72" s="1"/>
  <c r="X27" i="72" s="1"/>
  <c r="AB27" i="72" s="1"/>
  <c r="Z26" i="72"/>
  <c r="S26" i="72"/>
  <c r="L26" i="72"/>
  <c r="H26" i="72"/>
  <c r="J26" i="72" s="1"/>
  <c r="F26" i="72"/>
  <c r="D26" i="72"/>
  <c r="Y21" i="72"/>
  <c r="W21" i="72"/>
  <c r="U21" i="72"/>
  <c r="R21" i="72"/>
  <c r="R22" i="72" s="1"/>
  <c r="P21" i="72"/>
  <c r="N21" i="72"/>
  <c r="K21" i="72"/>
  <c r="I21" i="72"/>
  <c r="G21" i="72"/>
  <c r="E21" i="72"/>
  <c r="C21" i="72"/>
  <c r="B21" i="72"/>
  <c r="B22" i="72" s="1"/>
  <c r="Z20" i="72"/>
  <c r="Z19" i="72"/>
  <c r="Z18" i="72"/>
  <c r="J75" i="72"/>
  <c r="Z17" i="72"/>
  <c r="D74" i="72"/>
  <c r="Z16" i="72"/>
  <c r="X16" i="72"/>
  <c r="AB16" i="72" s="1"/>
  <c r="Z15" i="72"/>
  <c r="X15" i="72"/>
  <c r="AB15" i="72" s="1"/>
  <c r="Z14" i="72"/>
  <c r="D72" i="72"/>
  <c r="Z13" i="72"/>
  <c r="D70" i="72"/>
  <c r="Z12" i="72"/>
  <c r="Z11" i="72"/>
  <c r="D69" i="72"/>
  <c r="Z10" i="72"/>
  <c r="X10" i="72"/>
  <c r="AB10" i="72" s="1"/>
  <c r="Z9" i="72"/>
  <c r="X9" i="72"/>
  <c r="Z8" i="72"/>
  <c r="Z7" i="72"/>
  <c r="S7" i="72"/>
  <c r="L7" i="72"/>
  <c r="H7" i="72"/>
  <c r="H68" i="72" s="1"/>
  <c r="F7" i="72"/>
  <c r="D7" i="72"/>
  <c r="D68" i="72" s="1"/>
  <c r="AX76" i="71"/>
  <c r="AZ72" i="71"/>
  <c r="AY72" i="71"/>
  <c r="AX72" i="71"/>
  <c r="AW72" i="71"/>
  <c r="AV72" i="71"/>
  <c r="AU72" i="71"/>
  <c r="AT72" i="71"/>
  <c r="H70" i="71"/>
  <c r="Z65" i="71"/>
  <c r="Y65" i="71"/>
  <c r="U65" i="71"/>
  <c r="T65" i="71"/>
  <c r="S65" i="71"/>
  <c r="Q65" i="71"/>
  <c r="P65" i="71"/>
  <c r="O65" i="71"/>
  <c r="L65" i="71"/>
  <c r="K65" i="71"/>
  <c r="J65" i="71"/>
  <c r="H65" i="71"/>
  <c r="G65" i="71"/>
  <c r="F65" i="71"/>
  <c r="Z64" i="71"/>
  <c r="Y64" i="71"/>
  <c r="U64" i="71"/>
  <c r="T64" i="71"/>
  <c r="S64" i="71"/>
  <c r="Q64" i="71"/>
  <c r="P64" i="71"/>
  <c r="O64" i="71"/>
  <c r="L64" i="71"/>
  <c r="K64" i="71"/>
  <c r="J64" i="71"/>
  <c r="H64" i="71"/>
  <c r="G64" i="71"/>
  <c r="F64" i="71"/>
  <c r="AN61" i="71"/>
  <c r="AN83" i="71" s="1"/>
  <c r="AM61" i="71"/>
  <c r="AM83" i="71" s="1"/>
  <c r="AL61" i="71"/>
  <c r="AL83" i="71" s="1"/>
  <c r="AJ61" i="71"/>
  <c r="AJ83" i="71" s="1"/>
  <c r="AI61" i="71"/>
  <c r="AI83" i="71" s="1"/>
  <c r="AH61" i="71"/>
  <c r="AH83" i="71" s="1"/>
  <c r="AE61" i="71"/>
  <c r="AE83" i="71" s="1"/>
  <c r="AD61" i="71"/>
  <c r="AD83" i="71" s="1"/>
  <c r="AC61" i="71"/>
  <c r="AC83" i="71" s="1"/>
  <c r="AA61" i="71"/>
  <c r="AA83" i="71" s="1"/>
  <c r="Z61" i="71"/>
  <c r="Z83" i="71" s="1"/>
  <c r="Y61" i="71"/>
  <c r="Y83" i="71" s="1"/>
  <c r="U61" i="71"/>
  <c r="U83" i="71" s="1"/>
  <c r="BE83" i="71" s="1"/>
  <c r="T61" i="71"/>
  <c r="T83" i="71" s="1"/>
  <c r="BD83" i="71" s="1"/>
  <c r="S61" i="71"/>
  <c r="S83" i="71" s="1"/>
  <c r="BC83" i="71" s="1"/>
  <c r="Q61" i="71"/>
  <c r="Q83" i="71" s="1"/>
  <c r="BB83" i="71" s="1"/>
  <c r="P61" i="71"/>
  <c r="P83" i="71" s="1"/>
  <c r="BA83" i="71" s="1"/>
  <c r="O61" i="71"/>
  <c r="O83" i="71" s="1"/>
  <c r="AZ83" i="71" s="1"/>
  <c r="L61" i="71"/>
  <c r="L83" i="71" s="1"/>
  <c r="AY83" i="71" s="1"/>
  <c r="K61" i="71"/>
  <c r="K83" i="71" s="1"/>
  <c r="AX83" i="71" s="1"/>
  <c r="J61" i="71"/>
  <c r="J83" i="71" s="1"/>
  <c r="AW83" i="71" s="1"/>
  <c r="H61" i="71"/>
  <c r="H83" i="71" s="1"/>
  <c r="AV83" i="71" s="1"/>
  <c r="G61" i="71"/>
  <c r="G83" i="71" s="1"/>
  <c r="AU83" i="71" s="1"/>
  <c r="F61" i="71"/>
  <c r="F83" i="71" s="1"/>
  <c r="AT83" i="71" s="1"/>
  <c r="BE60" i="71"/>
  <c r="BD60" i="71"/>
  <c r="BC60" i="71"/>
  <c r="BB60" i="71"/>
  <c r="BA60" i="71"/>
  <c r="AZ60" i="71"/>
  <c r="AY60" i="71"/>
  <c r="AX60" i="71"/>
  <c r="BF60" i="71" s="1"/>
  <c r="AO60" i="71"/>
  <c r="AK60" i="71"/>
  <c r="AF60" i="71"/>
  <c r="AB60" i="71"/>
  <c r="V60" i="71"/>
  <c r="R60" i="71"/>
  <c r="M60" i="71"/>
  <c r="I60" i="71"/>
  <c r="BE59" i="71"/>
  <c r="BD59" i="71"/>
  <c r="BC59" i="71"/>
  <c r="BB59" i="71"/>
  <c r="BA59" i="71"/>
  <c r="AZ59" i="71"/>
  <c r="AY59" i="71"/>
  <c r="AX59" i="71"/>
  <c r="AO59" i="71"/>
  <c r="AP59" i="71" s="1"/>
  <c r="AQ59" i="71" s="1"/>
  <c r="V59" i="71"/>
  <c r="W59" i="71" s="1"/>
  <c r="X59" i="71" s="1"/>
  <c r="BE58" i="71"/>
  <c r="BE100" i="71" s="1"/>
  <c r="BD58" i="71"/>
  <c r="BD100" i="71" s="1"/>
  <c r="BC58" i="71"/>
  <c r="BC100" i="71" s="1"/>
  <c r="BB58" i="71"/>
  <c r="BB100" i="71" s="1"/>
  <c r="BA58" i="71"/>
  <c r="BA100" i="71" s="1"/>
  <c r="AZ58" i="71"/>
  <c r="AZ100" i="71" s="1"/>
  <c r="AY58" i="71"/>
  <c r="AY100" i="71" s="1"/>
  <c r="AX58" i="71"/>
  <c r="AX100" i="71" s="1"/>
  <c r="AO58" i="71"/>
  <c r="AK58" i="71"/>
  <c r="AF58" i="71"/>
  <c r="AB58" i="71"/>
  <c r="AG58" i="71" s="1"/>
  <c r="V58" i="71"/>
  <c r="R58" i="71"/>
  <c r="M58" i="71"/>
  <c r="I58" i="71"/>
  <c r="N58" i="71" s="1"/>
  <c r="BE57" i="71"/>
  <c r="BE99" i="71" s="1"/>
  <c r="BD57" i="71"/>
  <c r="BD99" i="71" s="1"/>
  <c r="BC57" i="71"/>
  <c r="BC99" i="71" s="1"/>
  <c r="BB57" i="71"/>
  <c r="BB99" i="71" s="1"/>
  <c r="BA57" i="71"/>
  <c r="BA99" i="71" s="1"/>
  <c r="AZ57" i="71"/>
  <c r="AZ99" i="71" s="1"/>
  <c r="AY57" i="71"/>
  <c r="AY99" i="71" s="1"/>
  <c r="AX57" i="71"/>
  <c r="AX99" i="71" s="1"/>
  <c r="AO57" i="71"/>
  <c r="AK57" i="71"/>
  <c r="AF57" i="71"/>
  <c r="AB57" i="71"/>
  <c r="V57" i="71"/>
  <c r="R57" i="71"/>
  <c r="M57" i="71"/>
  <c r="I57" i="71"/>
  <c r="N57" i="71" s="1"/>
  <c r="BE56" i="71"/>
  <c r="BE97" i="71" s="1"/>
  <c r="BD56" i="71"/>
  <c r="BD97" i="71" s="1"/>
  <c r="BC56" i="71"/>
  <c r="BC97" i="71" s="1"/>
  <c r="BB56" i="71"/>
  <c r="BB97" i="71" s="1"/>
  <c r="BA56" i="71"/>
  <c r="BA97" i="71" s="1"/>
  <c r="AZ56" i="71"/>
  <c r="AZ97" i="71" s="1"/>
  <c r="AY56" i="71"/>
  <c r="AY97" i="71" s="1"/>
  <c r="AX56" i="71"/>
  <c r="AX97" i="71" s="1"/>
  <c r="BF56" i="71"/>
  <c r="AO56" i="71"/>
  <c r="AK56" i="71"/>
  <c r="AF56" i="71"/>
  <c r="AB56" i="71"/>
  <c r="V56" i="71"/>
  <c r="R56" i="71"/>
  <c r="M56" i="71"/>
  <c r="I56" i="71"/>
  <c r="BE55" i="71"/>
  <c r="BD55" i="71"/>
  <c r="BC55" i="71"/>
  <c r="BB55" i="71"/>
  <c r="BA55" i="71"/>
  <c r="AZ55" i="71"/>
  <c r="AY55" i="71"/>
  <c r="AX55" i="71"/>
  <c r="AO55" i="71"/>
  <c r="AK55" i="71"/>
  <c r="AF55" i="71"/>
  <c r="AB55" i="71"/>
  <c r="V55" i="71"/>
  <c r="R55" i="71"/>
  <c r="M55" i="71"/>
  <c r="I55" i="71"/>
  <c r="BE54" i="71"/>
  <c r="BD54" i="71"/>
  <c r="BC54" i="71"/>
  <c r="BB54" i="71"/>
  <c r="BA54" i="71"/>
  <c r="AZ54" i="71"/>
  <c r="AY54" i="71"/>
  <c r="AX54" i="71"/>
  <c r="BF54" i="71" s="1"/>
  <c r="AO54" i="71"/>
  <c r="AK54" i="71"/>
  <c r="AF54" i="71"/>
  <c r="AB54" i="71"/>
  <c r="V54" i="71"/>
  <c r="R54" i="71"/>
  <c r="M54" i="71"/>
  <c r="I54" i="71"/>
  <c r="BE53" i="71"/>
  <c r="BD53" i="71"/>
  <c r="BC53" i="71"/>
  <c r="BB53" i="71"/>
  <c r="BA53" i="71"/>
  <c r="AZ53" i="71"/>
  <c r="AY53" i="71"/>
  <c r="AX53" i="71"/>
  <c r="AO53" i="71"/>
  <c r="AK53" i="71"/>
  <c r="AF53" i="71"/>
  <c r="AB53" i="71"/>
  <c r="V53" i="71"/>
  <c r="R53" i="71"/>
  <c r="M53" i="71"/>
  <c r="I53" i="71"/>
  <c r="BE52" i="71"/>
  <c r="BE106" i="71" s="1"/>
  <c r="BD52" i="71"/>
  <c r="BD106" i="71" s="1"/>
  <c r="BC52" i="71"/>
  <c r="BC106" i="71" s="1"/>
  <c r="BB52" i="71"/>
  <c r="BA52" i="71"/>
  <c r="BA106" i="71" s="1"/>
  <c r="AZ52" i="71"/>
  <c r="AZ106" i="71" s="1"/>
  <c r="AY52" i="71"/>
  <c r="AY106" i="71" s="1"/>
  <c r="AX52" i="71"/>
  <c r="BF52" i="71" s="1"/>
  <c r="AO52" i="71"/>
  <c r="AK52" i="71"/>
  <c r="AF52" i="71"/>
  <c r="AB52" i="71"/>
  <c r="V52" i="71"/>
  <c r="R52" i="71"/>
  <c r="M52" i="71"/>
  <c r="I52" i="71"/>
  <c r="BE51" i="71"/>
  <c r="BD51" i="71"/>
  <c r="BC51" i="71"/>
  <c r="BB51" i="71"/>
  <c r="BA51" i="71"/>
  <c r="AZ51" i="71"/>
  <c r="AY51" i="71"/>
  <c r="AX51" i="71"/>
  <c r="BF51" i="71" s="1"/>
  <c r="AO51" i="71"/>
  <c r="AK51" i="71"/>
  <c r="AF51" i="71"/>
  <c r="AB51" i="71"/>
  <c r="V51" i="71"/>
  <c r="R51" i="71"/>
  <c r="M51" i="71"/>
  <c r="I51" i="71"/>
  <c r="BE50" i="71"/>
  <c r="BD50" i="71"/>
  <c r="BC50" i="71"/>
  <c r="BB50" i="71"/>
  <c r="BA50" i="71"/>
  <c r="AZ50" i="71"/>
  <c r="AY50" i="71"/>
  <c r="AX50" i="71"/>
  <c r="AO50" i="71"/>
  <c r="AK50" i="71"/>
  <c r="AP50" i="71" s="1"/>
  <c r="AF50" i="71"/>
  <c r="AB50" i="71"/>
  <c r="V50" i="71"/>
  <c r="R50" i="71"/>
  <c r="W50" i="71" s="1"/>
  <c r="M50" i="71"/>
  <c r="I50" i="71"/>
  <c r="BE49" i="71"/>
  <c r="BD49" i="71"/>
  <c r="BC49" i="71"/>
  <c r="BB49" i="71"/>
  <c r="AY49" i="71"/>
  <c r="AX49" i="71"/>
  <c r="AO49" i="71"/>
  <c r="AK49" i="71"/>
  <c r="AF49" i="71"/>
  <c r="AB49" i="71"/>
  <c r="V49" i="71"/>
  <c r="R49" i="71"/>
  <c r="M49" i="71"/>
  <c r="AZ49" i="71" s="1"/>
  <c r="I49" i="71"/>
  <c r="BE48" i="71"/>
  <c r="BD48" i="71"/>
  <c r="BC48" i="71"/>
  <c r="BB48" i="71"/>
  <c r="BA48" i="71"/>
  <c r="AZ48" i="71"/>
  <c r="AY48" i="71"/>
  <c r="AX48" i="71"/>
  <c r="AO48" i="71"/>
  <c r="AK48" i="71"/>
  <c r="AF48" i="71"/>
  <c r="AB48" i="71"/>
  <c r="V48" i="71"/>
  <c r="R48" i="71"/>
  <c r="M48" i="71"/>
  <c r="I48" i="71"/>
  <c r="BE47" i="71"/>
  <c r="BD47" i="71"/>
  <c r="BC47" i="71"/>
  <c r="BB47" i="71"/>
  <c r="BA47" i="71"/>
  <c r="AZ47" i="71"/>
  <c r="AY47" i="71"/>
  <c r="AX47" i="71"/>
  <c r="AO47" i="71"/>
  <c r="AK47" i="71"/>
  <c r="AF47" i="71"/>
  <c r="AB47" i="71"/>
  <c r="V47" i="71"/>
  <c r="R47" i="71"/>
  <c r="M47" i="71"/>
  <c r="I47" i="71"/>
  <c r="N47" i="71" s="1"/>
  <c r="BE46" i="71"/>
  <c r="BD46" i="71"/>
  <c r="BC46" i="71"/>
  <c r="BB46" i="71"/>
  <c r="BA46" i="71"/>
  <c r="AZ46" i="71"/>
  <c r="AY46" i="71"/>
  <c r="AX46" i="71"/>
  <c r="BF46" i="71" s="1"/>
  <c r="AO46" i="71"/>
  <c r="AK46" i="71"/>
  <c r="AF46" i="71"/>
  <c r="AB46" i="71"/>
  <c r="V46" i="71"/>
  <c r="R46" i="71"/>
  <c r="M46" i="71"/>
  <c r="I46" i="71"/>
  <c r="BE45" i="71"/>
  <c r="BD45" i="71"/>
  <c r="BC45" i="71"/>
  <c r="BB45" i="71"/>
  <c r="AY45" i="71"/>
  <c r="AX45" i="71"/>
  <c r="AO45" i="71"/>
  <c r="AK45" i="71"/>
  <c r="AF45" i="71"/>
  <c r="AB45" i="71"/>
  <c r="V45" i="71"/>
  <c r="R45" i="71"/>
  <c r="M45" i="71"/>
  <c r="AZ45" i="71" s="1"/>
  <c r="I45" i="71"/>
  <c r="BE44" i="71"/>
  <c r="BD44" i="71"/>
  <c r="BC44" i="71"/>
  <c r="BB44" i="71"/>
  <c r="BA44" i="71"/>
  <c r="AZ44" i="71"/>
  <c r="AY44" i="71"/>
  <c r="AX44" i="71"/>
  <c r="AO44" i="71"/>
  <c r="AP44" i="71" s="1"/>
  <c r="AK44" i="71"/>
  <c r="AF44" i="71"/>
  <c r="AB44" i="71"/>
  <c r="V44" i="71"/>
  <c r="R44" i="71"/>
  <c r="M44" i="71"/>
  <c r="I44" i="71"/>
  <c r="BE43" i="71"/>
  <c r="BD43" i="71"/>
  <c r="BC43" i="71"/>
  <c r="BB43" i="71"/>
  <c r="AY43" i="71"/>
  <c r="AX43" i="71"/>
  <c r="AO43" i="71"/>
  <c r="AK43" i="71"/>
  <c r="AG43" i="71"/>
  <c r="AF43" i="71"/>
  <c r="AB43" i="71"/>
  <c r="V43" i="71"/>
  <c r="R43" i="71"/>
  <c r="W43" i="71" s="1"/>
  <c r="M43" i="71"/>
  <c r="AZ43" i="71" s="1"/>
  <c r="I43" i="71"/>
  <c r="BE42" i="71"/>
  <c r="BD42" i="71"/>
  <c r="BC42" i="71"/>
  <c r="BB42" i="71"/>
  <c r="BA42" i="71"/>
  <c r="AZ42" i="71"/>
  <c r="AY42" i="71"/>
  <c r="AX42" i="71"/>
  <c r="AO42" i="71"/>
  <c r="AK42" i="71"/>
  <c r="AF42" i="71"/>
  <c r="AB42" i="71"/>
  <c r="V42" i="71"/>
  <c r="R42" i="71"/>
  <c r="M42" i="71"/>
  <c r="I42" i="71"/>
  <c r="BE41" i="71"/>
  <c r="BD41" i="71"/>
  <c r="BC41" i="71"/>
  <c r="BB41" i="71"/>
  <c r="BA41" i="71"/>
  <c r="AZ41" i="71"/>
  <c r="AY41" i="71"/>
  <c r="AX41" i="71"/>
  <c r="AO41" i="71"/>
  <c r="AK41" i="71"/>
  <c r="AF41" i="71"/>
  <c r="AB41" i="71"/>
  <c r="V41" i="71"/>
  <c r="R41" i="71"/>
  <c r="M41" i="71"/>
  <c r="I41" i="71"/>
  <c r="N41" i="71" s="1"/>
  <c r="BE40" i="71"/>
  <c r="BD40" i="71"/>
  <c r="BC40" i="71"/>
  <c r="BB40" i="71"/>
  <c r="AY40" i="71"/>
  <c r="AX40" i="71"/>
  <c r="AO40" i="71"/>
  <c r="AK40" i="71"/>
  <c r="AF40" i="71"/>
  <c r="AB40" i="71"/>
  <c r="V40" i="71"/>
  <c r="R40" i="71"/>
  <c r="W40" i="71" s="1"/>
  <c r="M40" i="71"/>
  <c r="AZ40" i="71" s="1"/>
  <c r="I40" i="71"/>
  <c r="BE39" i="71"/>
  <c r="BD39" i="71"/>
  <c r="BC39" i="71"/>
  <c r="BB39" i="71"/>
  <c r="BA39" i="71"/>
  <c r="AZ39" i="71"/>
  <c r="AY39" i="71"/>
  <c r="AX39" i="71"/>
  <c r="AO39" i="71"/>
  <c r="AK39" i="71"/>
  <c r="AF39" i="71"/>
  <c r="AB39" i="71"/>
  <c r="V39" i="71"/>
  <c r="R39" i="71"/>
  <c r="M39" i="71"/>
  <c r="I39" i="71"/>
  <c r="BE38" i="71"/>
  <c r="BD38" i="71"/>
  <c r="BC38" i="71"/>
  <c r="BB38" i="71"/>
  <c r="AY38" i="71"/>
  <c r="AX38" i="71"/>
  <c r="AO38" i="71"/>
  <c r="AK38" i="71"/>
  <c r="AF38" i="71"/>
  <c r="AB38" i="71"/>
  <c r="V38" i="71"/>
  <c r="R38" i="71"/>
  <c r="M38" i="71"/>
  <c r="I38" i="71"/>
  <c r="N38" i="71" s="1"/>
  <c r="BE37" i="71"/>
  <c r="BD37" i="71"/>
  <c r="BC37" i="71"/>
  <c r="BB37" i="71"/>
  <c r="BA37" i="71"/>
  <c r="AZ37" i="71"/>
  <c r="BF37" i="71" s="1"/>
  <c r="AY37" i="71"/>
  <c r="AX37" i="71"/>
  <c r="AO37" i="71"/>
  <c r="AK37" i="71"/>
  <c r="AF37" i="71"/>
  <c r="AB37" i="71"/>
  <c r="AG37" i="71" s="1"/>
  <c r="V37" i="71"/>
  <c r="R37" i="71"/>
  <c r="M37" i="71"/>
  <c r="I37" i="71"/>
  <c r="BE36" i="71"/>
  <c r="BD36" i="71"/>
  <c r="BC36" i="71"/>
  <c r="BB36" i="71"/>
  <c r="BA36" i="71"/>
  <c r="AZ36" i="71"/>
  <c r="AY36" i="71"/>
  <c r="AX36" i="71"/>
  <c r="AO36" i="71"/>
  <c r="AK36" i="71"/>
  <c r="AF36" i="71"/>
  <c r="AB36" i="71"/>
  <c r="V36" i="71"/>
  <c r="R36" i="71"/>
  <c r="M36" i="71"/>
  <c r="I36" i="71"/>
  <c r="BE35" i="71"/>
  <c r="BD35" i="71"/>
  <c r="BC35" i="71"/>
  <c r="BB35" i="71"/>
  <c r="BA35" i="71"/>
  <c r="AZ35" i="71"/>
  <c r="AY35" i="71"/>
  <c r="AX35" i="71"/>
  <c r="AO35" i="71"/>
  <c r="AK35" i="71"/>
  <c r="AF35" i="71"/>
  <c r="AB35" i="71"/>
  <c r="V35" i="71"/>
  <c r="R35" i="71"/>
  <c r="M35" i="71"/>
  <c r="I35" i="71"/>
  <c r="BE34" i="71"/>
  <c r="BD34" i="71"/>
  <c r="BC34" i="71"/>
  <c r="BB34" i="71"/>
  <c r="BA34" i="71"/>
  <c r="AZ34" i="71"/>
  <c r="AY34" i="71"/>
  <c r="AX34" i="71"/>
  <c r="AO34" i="71"/>
  <c r="AK34" i="71"/>
  <c r="AF34" i="71"/>
  <c r="AB34" i="71"/>
  <c r="V34" i="71"/>
  <c r="R34" i="71"/>
  <c r="M34" i="71"/>
  <c r="I34" i="71"/>
  <c r="BE33" i="71"/>
  <c r="BD33" i="71"/>
  <c r="BC33" i="71"/>
  <c r="BB33" i="71"/>
  <c r="BA33" i="71"/>
  <c r="AZ33" i="71"/>
  <c r="AY33" i="71"/>
  <c r="AX33" i="71"/>
  <c r="AO33" i="71"/>
  <c r="AK33" i="71"/>
  <c r="AF33" i="71"/>
  <c r="AB33" i="71"/>
  <c r="V33" i="71"/>
  <c r="R33" i="71"/>
  <c r="M33" i="71"/>
  <c r="I33" i="71"/>
  <c r="BE32" i="71"/>
  <c r="BD32" i="71"/>
  <c r="BC32" i="71"/>
  <c r="BB32" i="71"/>
  <c r="BA32" i="71"/>
  <c r="AZ32" i="71"/>
  <c r="AY32" i="71"/>
  <c r="AX32" i="71"/>
  <c r="AO32" i="71"/>
  <c r="AK32" i="71"/>
  <c r="AF32" i="71"/>
  <c r="AB32" i="71"/>
  <c r="V32" i="71"/>
  <c r="R32" i="71"/>
  <c r="M32" i="71"/>
  <c r="I32" i="71"/>
  <c r="N32" i="71" s="1"/>
  <c r="BE31" i="71"/>
  <c r="BD31" i="71"/>
  <c r="BC31" i="71"/>
  <c r="BB31" i="71"/>
  <c r="BA31" i="71"/>
  <c r="AZ31" i="71"/>
  <c r="AY31" i="71"/>
  <c r="AX31" i="71"/>
  <c r="AO31" i="71"/>
  <c r="AK31" i="71"/>
  <c r="AF31" i="71"/>
  <c r="AB31" i="71"/>
  <c r="AG31" i="71" s="1"/>
  <c r="V31" i="71"/>
  <c r="R31" i="71"/>
  <c r="M31" i="71"/>
  <c r="I31" i="71"/>
  <c r="N31" i="71" s="1"/>
  <c r="BE30" i="71"/>
  <c r="BD30" i="71"/>
  <c r="BC30" i="71"/>
  <c r="BB30" i="71"/>
  <c r="BA30" i="71"/>
  <c r="AZ30" i="71"/>
  <c r="AY30" i="71"/>
  <c r="AX30" i="71"/>
  <c r="AO30" i="71"/>
  <c r="AK30" i="71"/>
  <c r="AF30" i="71"/>
  <c r="AB30" i="71"/>
  <c r="V30" i="71"/>
  <c r="R30" i="71"/>
  <c r="M30" i="71"/>
  <c r="I30" i="71"/>
  <c r="N30" i="71" s="1"/>
  <c r="BE29" i="71"/>
  <c r="BD29" i="71"/>
  <c r="BC29" i="71"/>
  <c r="BB29" i="71"/>
  <c r="BA29" i="71"/>
  <c r="AZ29" i="71"/>
  <c r="AY29" i="71"/>
  <c r="AX29" i="71"/>
  <c r="BF29" i="71"/>
  <c r="AO29" i="71"/>
  <c r="AK29" i="71"/>
  <c r="AF29" i="71"/>
  <c r="AB29" i="71"/>
  <c r="AG29" i="71" s="1"/>
  <c r="V29" i="71"/>
  <c r="R29" i="71"/>
  <c r="M29" i="71"/>
  <c r="I29" i="71"/>
  <c r="BE28" i="71"/>
  <c r="BD28" i="71"/>
  <c r="BC28" i="71"/>
  <c r="BB28" i="71"/>
  <c r="BA28" i="71"/>
  <c r="AZ28" i="71"/>
  <c r="AY28" i="71"/>
  <c r="AX28" i="71"/>
  <c r="BF28" i="71" s="1"/>
  <c r="AO28" i="71"/>
  <c r="AK28" i="71"/>
  <c r="AP28" i="71" s="1"/>
  <c r="AF28" i="71"/>
  <c r="AB28" i="71"/>
  <c r="V28" i="71"/>
  <c r="R28" i="71"/>
  <c r="M28" i="71"/>
  <c r="I28" i="71"/>
  <c r="BE27" i="71"/>
  <c r="BD27" i="71"/>
  <c r="BC27" i="71"/>
  <c r="BB27" i="71"/>
  <c r="BA27" i="71"/>
  <c r="AZ27" i="71"/>
  <c r="AY27" i="71"/>
  <c r="AX27" i="71"/>
  <c r="AO27" i="71"/>
  <c r="AK27" i="71"/>
  <c r="AF27" i="71"/>
  <c r="AB27" i="71"/>
  <c r="V27" i="71"/>
  <c r="R27" i="71"/>
  <c r="M27" i="71"/>
  <c r="I27" i="71"/>
  <c r="BE26" i="71"/>
  <c r="BD26" i="71"/>
  <c r="BC26" i="71"/>
  <c r="BB26" i="71"/>
  <c r="BA26" i="71"/>
  <c r="AZ26" i="71"/>
  <c r="AY26" i="71"/>
  <c r="AX26" i="71"/>
  <c r="AO26" i="71"/>
  <c r="AK26" i="71"/>
  <c r="AF26" i="71"/>
  <c r="AB26" i="71"/>
  <c r="V26" i="71"/>
  <c r="R26" i="71"/>
  <c r="M26" i="71"/>
  <c r="I26" i="71"/>
  <c r="BE25" i="71"/>
  <c r="BD25" i="71"/>
  <c r="BC25" i="71"/>
  <c r="BB25" i="71"/>
  <c r="BA25" i="71"/>
  <c r="AZ25" i="71"/>
  <c r="AY25" i="71"/>
  <c r="AX25" i="71"/>
  <c r="BF25" i="71" s="1"/>
  <c r="AO25" i="71"/>
  <c r="AK25" i="71"/>
  <c r="AP25" i="71" s="1"/>
  <c r="AF25" i="71"/>
  <c r="AB25" i="71"/>
  <c r="V25" i="71"/>
  <c r="R25" i="71"/>
  <c r="W25" i="71" s="1"/>
  <c r="M25" i="71"/>
  <c r="I25" i="71"/>
  <c r="BE24" i="71"/>
  <c r="BE104" i="71" s="1"/>
  <c r="BD24" i="71"/>
  <c r="BD104" i="71" s="1"/>
  <c r="BC24" i="71"/>
  <c r="BC104" i="71" s="1"/>
  <c r="BB24" i="71"/>
  <c r="BB104" i="71" s="1"/>
  <c r="BA24" i="71"/>
  <c r="BA104" i="71" s="1"/>
  <c r="AZ24" i="71"/>
  <c r="AZ104" i="71" s="1"/>
  <c r="AY24" i="71"/>
  <c r="AY104" i="71" s="1"/>
  <c r="AX24" i="71"/>
  <c r="AX104" i="71" s="1"/>
  <c r="AO24" i="71"/>
  <c r="AK24" i="71"/>
  <c r="AF24" i="71"/>
  <c r="AB24" i="71"/>
  <c r="V24" i="71"/>
  <c r="R24" i="71"/>
  <c r="W24" i="71" s="1"/>
  <c r="M24" i="71"/>
  <c r="I24" i="71"/>
  <c r="BE23" i="71"/>
  <c r="BE103" i="71" s="1"/>
  <c r="BD23" i="71"/>
  <c r="BD103" i="71" s="1"/>
  <c r="BC23" i="71"/>
  <c r="BC103" i="71" s="1"/>
  <c r="BB23" i="71"/>
  <c r="BB103" i="71" s="1"/>
  <c r="BA23" i="71"/>
  <c r="BA103" i="71" s="1"/>
  <c r="AZ23" i="71"/>
  <c r="AZ103" i="71" s="1"/>
  <c r="AY23" i="71"/>
  <c r="AY103" i="71" s="1"/>
  <c r="AX23" i="71"/>
  <c r="AX103" i="71" s="1"/>
  <c r="AO23" i="71"/>
  <c r="AK23" i="71"/>
  <c r="AF23" i="71"/>
  <c r="AB23" i="71"/>
  <c r="V23" i="71"/>
  <c r="R23" i="71"/>
  <c r="M23" i="71"/>
  <c r="I23" i="71"/>
  <c r="BE21" i="71"/>
  <c r="BE105" i="71" s="1"/>
  <c r="BD21" i="71"/>
  <c r="BD105" i="71" s="1"/>
  <c r="BC21" i="71"/>
  <c r="BC105" i="71" s="1"/>
  <c r="BB21" i="71"/>
  <c r="BB105" i="71" s="1"/>
  <c r="BA21" i="71"/>
  <c r="BA105" i="71" s="1"/>
  <c r="AZ21" i="71"/>
  <c r="AZ105" i="71" s="1"/>
  <c r="AY21" i="71"/>
  <c r="AY105" i="71" s="1"/>
  <c r="AX21" i="71"/>
  <c r="AX105" i="71" s="1"/>
  <c r="AO21" i="71"/>
  <c r="AK21" i="71"/>
  <c r="AF21" i="71"/>
  <c r="V21" i="71"/>
  <c r="R21" i="71"/>
  <c r="M21" i="71"/>
  <c r="I21" i="71"/>
  <c r="BE20" i="71"/>
  <c r="BE101" i="71" s="1"/>
  <c r="BD20" i="71"/>
  <c r="BD101" i="71" s="1"/>
  <c r="BC20" i="71"/>
  <c r="BC101" i="71" s="1"/>
  <c r="BB20" i="71"/>
  <c r="BB101" i="71" s="1"/>
  <c r="AY20" i="71"/>
  <c r="AY101" i="71" s="1"/>
  <c r="AX20" i="71"/>
  <c r="AX101" i="71" s="1"/>
  <c r="AO20" i="71"/>
  <c r="AK20" i="71"/>
  <c r="AF20" i="71"/>
  <c r="AG20" i="71" s="1"/>
  <c r="AB20" i="71"/>
  <c r="V20" i="71"/>
  <c r="R20" i="71"/>
  <c r="M20" i="71"/>
  <c r="I20" i="71"/>
  <c r="BE19" i="71"/>
  <c r="BD19" i="71"/>
  <c r="BC19" i="71"/>
  <c r="BB19" i="71"/>
  <c r="BA19" i="71"/>
  <c r="AZ19" i="71"/>
  <c r="AY19" i="71"/>
  <c r="AX19" i="71"/>
  <c r="AO19" i="71"/>
  <c r="AK19" i="71"/>
  <c r="AF19" i="71"/>
  <c r="AB19" i="71"/>
  <c r="V19" i="71"/>
  <c r="R19" i="71"/>
  <c r="M19" i="71"/>
  <c r="I19" i="71"/>
  <c r="BE18" i="71"/>
  <c r="BD18" i="71"/>
  <c r="BC18" i="71"/>
  <c r="BB18" i="71"/>
  <c r="AY18" i="71"/>
  <c r="AX18" i="71"/>
  <c r="AO18" i="71"/>
  <c r="AK18" i="71"/>
  <c r="AG18" i="71"/>
  <c r="AF18" i="71"/>
  <c r="AB18" i="71"/>
  <c r="V18" i="71"/>
  <c r="R18" i="71"/>
  <c r="M18" i="71"/>
  <c r="AZ18" i="71" s="1"/>
  <c r="I18" i="71"/>
  <c r="BE17" i="71"/>
  <c r="BD17" i="71"/>
  <c r="BC17" i="71"/>
  <c r="BB17" i="71"/>
  <c r="BA17" i="71"/>
  <c r="AZ17" i="71"/>
  <c r="AY17" i="71"/>
  <c r="AX17" i="71"/>
  <c r="AO17" i="71"/>
  <c r="AK17" i="71"/>
  <c r="AF17" i="71"/>
  <c r="AB17" i="71"/>
  <c r="AG17" i="71" s="1"/>
  <c r="V17" i="71"/>
  <c r="W17" i="71" s="1"/>
  <c r="R17" i="71"/>
  <c r="M17" i="71"/>
  <c r="I17" i="71"/>
  <c r="BE16" i="71"/>
  <c r="BD16" i="71"/>
  <c r="BC16" i="71"/>
  <c r="BB16" i="71"/>
  <c r="BA16" i="71"/>
  <c r="AZ16" i="71"/>
  <c r="AY16" i="71"/>
  <c r="AX16" i="71"/>
  <c r="BF16" i="71"/>
  <c r="AO16" i="71"/>
  <c r="AK16" i="71"/>
  <c r="AF16" i="71"/>
  <c r="AB16" i="71"/>
  <c r="V16" i="71"/>
  <c r="R16" i="71"/>
  <c r="M16" i="71"/>
  <c r="I16" i="71"/>
  <c r="N16" i="71" s="1"/>
  <c r="BE15" i="71"/>
  <c r="BD15" i="71"/>
  <c r="BC15" i="71"/>
  <c r="BB15" i="71"/>
  <c r="BA15" i="71"/>
  <c r="AZ15" i="71"/>
  <c r="AY15" i="71"/>
  <c r="AX15" i="71"/>
  <c r="AO15" i="71"/>
  <c r="AK15" i="71"/>
  <c r="AF15" i="71"/>
  <c r="AB15" i="71"/>
  <c r="AG15" i="71" s="1"/>
  <c r="V15" i="71"/>
  <c r="R15" i="71"/>
  <c r="M15" i="71"/>
  <c r="I15" i="71"/>
  <c r="BE14" i="71"/>
  <c r="BD14" i="71"/>
  <c r="BC14" i="71"/>
  <c r="BB14" i="71"/>
  <c r="BA14" i="71"/>
  <c r="AZ14" i="71"/>
  <c r="AY14" i="71"/>
  <c r="AX14" i="71"/>
  <c r="BF14" i="71" s="1"/>
  <c r="AO14" i="71"/>
  <c r="AK14" i="71"/>
  <c r="AP14" i="71" s="1"/>
  <c r="AF14" i="71"/>
  <c r="AB14" i="71"/>
  <c r="V14" i="71"/>
  <c r="R14" i="71"/>
  <c r="W14" i="71" s="1"/>
  <c r="M14" i="71"/>
  <c r="I14" i="71"/>
  <c r="BE13" i="71"/>
  <c r="BE95" i="71" s="1"/>
  <c r="BD13" i="71"/>
  <c r="BD95" i="71" s="1"/>
  <c r="BC13" i="71"/>
  <c r="BC95" i="71" s="1"/>
  <c r="BB13" i="71"/>
  <c r="BB95" i="71" s="1"/>
  <c r="BA13" i="71"/>
  <c r="BA95" i="71" s="1"/>
  <c r="AZ13" i="71"/>
  <c r="AZ95" i="71" s="1"/>
  <c r="AY13" i="71"/>
  <c r="AY95" i="71" s="1"/>
  <c r="AX13" i="71"/>
  <c r="AX95" i="71" s="1"/>
  <c r="AO13" i="71"/>
  <c r="AK13" i="71"/>
  <c r="AP13" i="71" s="1"/>
  <c r="AF13" i="71"/>
  <c r="AB13" i="71"/>
  <c r="V13" i="71"/>
  <c r="R13" i="71"/>
  <c r="W13" i="71" s="1"/>
  <c r="M13" i="71"/>
  <c r="I13" i="71"/>
  <c r="BE12" i="71"/>
  <c r="BD12" i="71"/>
  <c r="BC12" i="71"/>
  <c r="BB12" i="71"/>
  <c r="BA12" i="71"/>
  <c r="AZ12" i="71"/>
  <c r="AY12" i="71"/>
  <c r="AX12" i="71"/>
  <c r="AO12" i="71"/>
  <c r="AK12" i="71"/>
  <c r="AF12" i="71"/>
  <c r="AB12" i="71"/>
  <c r="V12" i="71"/>
  <c r="R12" i="71"/>
  <c r="W12" i="71" s="1"/>
  <c r="M12" i="71"/>
  <c r="N12" i="71" s="1"/>
  <c r="I12" i="71"/>
  <c r="BE11" i="71"/>
  <c r="BD11" i="71"/>
  <c r="BC11" i="71"/>
  <c r="BB11" i="71"/>
  <c r="BA11" i="71"/>
  <c r="AZ11" i="71"/>
  <c r="AY11" i="71"/>
  <c r="AX11" i="71"/>
  <c r="AO11" i="71"/>
  <c r="AK11" i="71"/>
  <c r="AF11" i="71"/>
  <c r="AB11" i="71"/>
  <c r="V11" i="71"/>
  <c r="R11" i="71"/>
  <c r="M11" i="71"/>
  <c r="I11" i="71"/>
  <c r="BE10" i="71"/>
  <c r="BD10" i="71"/>
  <c r="BC10" i="71"/>
  <c r="BB10" i="71"/>
  <c r="BA10" i="71"/>
  <c r="AZ10" i="71"/>
  <c r="AY10" i="71"/>
  <c r="AX10" i="71"/>
  <c r="AO10" i="71"/>
  <c r="AK10" i="71"/>
  <c r="AF10" i="71"/>
  <c r="AB10" i="71"/>
  <c r="V10" i="71"/>
  <c r="R10" i="71"/>
  <c r="W10" i="71" s="1"/>
  <c r="M10" i="71"/>
  <c r="I10" i="71"/>
  <c r="BE9" i="71"/>
  <c r="BD9" i="71"/>
  <c r="BC9" i="71"/>
  <c r="BB9" i="71"/>
  <c r="BA9" i="71"/>
  <c r="AZ9" i="71"/>
  <c r="AY9" i="71"/>
  <c r="AX9" i="71"/>
  <c r="AO9" i="71"/>
  <c r="AK9" i="71"/>
  <c r="AP9" i="71" s="1"/>
  <c r="AF9" i="71"/>
  <c r="AB9" i="71"/>
  <c r="V9" i="71"/>
  <c r="R9" i="71"/>
  <c r="W9" i="71" s="1"/>
  <c r="M9" i="71"/>
  <c r="I9" i="71"/>
  <c r="BE8" i="71"/>
  <c r="BD8" i="71"/>
  <c r="BC8" i="71"/>
  <c r="BB8" i="71"/>
  <c r="BA8" i="71"/>
  <c r="AZ8" i="71"/>
  <c r="AY8" i="71"/>
  <c r="AX8" i="71"/>
  <c r="AO8" i="71"/>
  <c r="AK8" i="71"/>
  <c r="AP8" i="71" s="1"/>
  <c r="AF8" i="71"/>
  <c r="AB8" i="71"/>
  <c r="AG8" i="71" s="1"/>
  <c r="V8" i="71"/>
  <c r="W8" i="71" s="1"/>
  <c r="R8" i="71"/>
  <c r="M8" i="71"/>
  <c r="I8" i="71"/>
  <c r="BE7" i="71"/>
  <c r="BD7" i="71"/>
  <c r="BC7" i="71"/>
  <c r="BB7" i="71"/>
  <c r="BA7" i="71"/>
  <c r="AZ7" i="71"/>
  <c r="AY7" i="71"/>
  <c r="AX7" i="71"/>
  <c r="AO7" i="71"/>
  <c r="AK7" i="71"/>
  <c r="AF7" i="71"/>
  <c r="AB7" i="71"/>
  <c r="V7" i="71"/>
  <c r="W7" i="71" s="1"/>
  <c r="R7" i="71"/>
  <c r="M7" i="71"/>
  <c r="I7" i="71"/>
  <c r="BE6" i="71"/>
  <c r="BD6" i="71"/>
  <c r="BC6" i="71"/>
  <c r="BB6" i="71"/>
  <c r="BA6" i="71"/>
  <c r="AZ6" i="71"/>
  <c r="AY6" i="71"/>
  <c r="AX6" i="71"/>
  <c r="AV6" i="71"/>
  <c r="AB6" i="71"/>
  <c r="AG6" i="71" s="1"/>
  <c r="AQ6" i="71" s="1"/>
  <c r="V6" i="71"/>
  <c r="R6" i="71"/>
  <c r="M6" i="71"/>
  <c r="N6" i="71" s="1"/>
  <c r="I6" i="71"/>
  <c r="AX74" i="71" l="1"/>
  <c r="N33" i="71"/>
  <c r="N36" i="71"/>
  <c r="AG42" i="71"/>
  <c r="BF50" i="71"/>
  <c r="N51" i="71"/>
  <c r="AG51" i="71"/>
  <c r="W53" i="71"/>
  <c r="AP53" i="71"/>
  <c r="AP54" i="71"/>
  <c r="W55" i="71"/>
  <c r="AP55" i="71"/>
  <c r="N10" i="71"/>
  <c r="X10" i="71" s="1"/>
  <c r="AG10" i="71"/>
  <c r="N11" i="71"/>
  <c r="AG11" i="71"/>
  <c r="W16" i="71"/>
  <c r="W20" i="71"/>
  <c r="AY74" i="71"/>
  <c r="W33" i="71"/>
  <c r="AP33" i="71"/>
  <c r="W35" i="71"/>
  <c r="AP35" i="71"/>
  <c r="BF44" i="71"/>
  <c r="W45" i="71"/>
  <c r="AP45" i="71"/>
  <c r="N46" i="71"/>
  <c r="AG46" i="71"/>
  <c r="AP49" i="71"/>
  <c r="AG52" i="71"/>
  <c r="W58" i="71"/>
  <c r="AP58" i="71"/>
  <c r="BF59" i="71"/>
  <c r="N60" i="71"/>
  <c r="AG60" i="71"/>
  <c r="W6" i="71"/>
  <c r="N7" i="71"/>
  <c r="X7" i="71" s="1"/>
  <c r="AG7" i="71"/>
  <c r="N8" i="71"/>
  <c r="AG13" i="71"/>
  <c r="AG14" i="71"/>
  <c r="N17" i="71"/>
  <c r="N19" i="71"/>
  <c r="AP21" i="71"/>
  <c r="N23" i="71"/>
  <c r="N24" i="71"/>
  <c r="X24" i="71" s="1"/>
  <c r="AG25" i="71"/>
  <c r="N27" i="71"/>
  <c r="N28" i="71"/>
  <c r="BF33" i="71"/>
  <c r="N39" i="71"/>
  <c r="W42" i="71"/>
  <c r="AP42" i="71"/>
  <c r="BF97" i="71"/>
  <c r="AP10" i="71"/>
  <c r="AG12" i="71"/>
  <c r="N13" i="71"/>
  <c r="BF95" i="71"/>
  <c r="N14" i="71"/>
  <c r="W15" i="71"/>
  <c r="AP16" i="71"/>
  <c r="N18" i="71"/>
  <c r="BA18" i="71" s="1"/>
  <c r="AG19" i="71"/>
  <c r="AX96" i="71"/>
  <c r="AX98" i="71"/>
  <c r="BB96" i="71"/>
  <c r="BB98" i="71"/>
  <c r="N20" i="71"/>
  <c r="AP20" i="71"/>
  <c r="BF103" i="71"/>
  <c r="AG24" i="71"/>
  <c r="BF104" i="71"/>
  <c r="W28" i="71"/>
  <c r="W29" i="71"/>
  <c r="AP29" i="71"/>
  <c r="AG33" i="71"/>
  <c r="W37" i="71"/>
  <c r="AP37" i="71"/>
  <c r="AZ38" i="71"/>
  <c r="W39" i="71"/>
  <c r="X39" i="71" s="1"/>
  <c r="AP43" i="71"/>
  <c r="N45" i="71"/>
  <c r="BA45" i="71" s="1"/>
  <c r="AG45" i="71"/>
  <c r="W46" i="71"/>
  <c r="AP46" i="71"/>
  <c r="W51" i="71"/>
  <c r="AP51" i="71"/>
  <c r="AX106" i="71"/>
  <c r="BB106" i="71"/>
  <c r="N53" i="71"/>
  <c r="AG53" i="71"/>
  <c r="AP56" i="71"/>
  <c r="W57" i="71"/>
  <c r="AP57" i="71"/>
  <c r="BF100" i="71"/>
  <c r="AX87" i="71"/>
  <c r="AX89" i="71" s="1"/>
  <c r="AX92" i="71" s="1"/>
  <c r="BB87" i="71"/>
  <c r="BB89" i="71" s="1"/>
  <c r="BB92" i="71" s="1"/>
  <c r="BB94" i="71" s="1"/>
  <c r="BB108" i="71" s="1"/>
  <c r="Q71" i="72"/>
  <c r="C65" i="72"/>
  <c r="C61" i="72"/>
  <c r="C63" i="72" s="1"/>
  <c r="AA35" i="72"/>
  <c r="AA39" i="72"/>
  <c r="G61" i="72"/>
  <c r="G63" i="72" s="1"/>
  <c r="AP7" i="71"/>
  <c r="AG9" i="71"/>
  <c r="AQ9" i="71" s="1"/>
  <c r="W11" i="71"/>
  <c r="AQ13" i="71"/>
  <c r="N15" i="71"/>
  <c r="W19" i="71"/>
  <c r="AP19" i="71"/>
  <c r="AY96" i="71"/>
  <c r="AY98" i="71"/>
  <c r="BC96" i="71"/>
  <c r="BC98" i="71"/>
  <c r="AQ25" i="71"/>
  <c r="AG28" i="71"/>
  <c r="W31" i="71"/>
  <c r="AP31" i="71"/>
  <c r="N34" i="71"/>
  <c r="N35" i="71"/>
  <c r="AG35" i="71"/>
  <c r="AG39" i="71"/>
  <c r="AG40" i="71"/>
  <c r="AP41" i="71"/>
  <c r="N50" i="71"/>
  <c r="AG50" i="71"/>
  <c r="AP52" i="71"/>
  <c r="N55" i="71"/>
  <c r="AG55" i="71"/>
  <c r="W60" i="71"/>
  <c r="AP60" i="71"/>
  <c r="AY87" i="71"/>
  <c r="AY89" i="71" s="1"/>
  <c r="AY92" i="71" s="1"/>
  <c r="BC87" i="71"/>
  <c r="BC89" i="71" s="1"/>
  <c r="BC92" i="71" s="1"/>
  <c r="BC94" i="71" s="1"/>
  <c r="BC108" i="71" s="1"/>
  <c r="D77" i="72"/>
  <c r="J70" i="72"/>
  <c r="H70" i="72"/>
  <c r="J74" i="72"/>
  <c r="H74" i="72"/>
  <c r="AA27" i="72"/>
  <c r="D30" i="72"/>
  <c r="B61" i="72"/>
  <c r="B63" i="72" s="1"/>
  <c r="I61" i="72"/>
  <c r="I63" i="72" s="1"/>
  <c r="R61" i="72"/>
  <c r="R63" i="72" s="1"/>
  <c r="K61" i="72"/>
  <c r="K63" i="72" s="1"/>
  <c r="AZ96" i="71"/>
  <c r="AZ98" i="71"/>
  <c r="BD96" i="71"/>
  <c r="BD98" i="71"/>
  <c r="AQ37" i="71"/>
  <c r="AG57" i="71"/>
  <c r="BF57" i="71"/>
  <c r="AZ87" i="71"/>
  <c r="AZ89" i="71" s="1"/>
  <c r="AZ92" i="71" s="1"/>
  <c r="BD87" i="71"/>
  <c r="BD89" i="71" s="1"/>
  <c r="BD92" i="71" s="1"/>
  <c r="BD94" i="71" s="1"/>
  <c r="BD108" i="71" s="1"/>
  <c r="AA26" i="72"/>
  <c r="O29" i="72"/>
  <c r="Q29" i="72" s="1"/>
  <c r="T29" i="72" s="1"/>
  <c r="V29" i="72" s="1"/>
  <c r="X29" i="72" s="1"/>
  <c r="AB29" i="72" s="1"/>
  <c r="U61" i="72"/>
  <c r="U63" i="72" s="1"/>
  <c r="AA53" i="72"/>
  <c r="AG16" i="71"/>
  <c r="AQ16" i="71" s="1"/>
  <c r="AR16" i="71" s="1"/>
  <c r="X17" i="71"/>
  <c r="W18" i="71"/>
  <c r="BF19" i="71"/>
  <c r="BA96" i="71"/>
  <c r="BA98" i="71"/>
  <c r="BE98" i="71"/>
  <c r="BE96" i="71"/>
  <c r="BF105" i="71"/>
  <c r="N29" i="71"/>
  <c r="N37" i="71"/>
  <c r="AQ42" i="71"/>
  <c r="BF99" i="71"/>
  <c r="BF58" i="71"/>
  <c r="BA87" i="71"/>
  <c r="BA89" i="71" s="1"/>
  <c r="BA92" i="71" s="1"/>
  <c r="BE87" i="71"/>
  <c r="BE89" i="71" s="1"/>
  <c r="BE92" i="71" s="1"/>
  <c r="AB9" i="72"/>
  <c r="BH66" i="50" s="1"/>
  <c r="X73" i="72"/>
  <c r="AA73" i="72" s="1"/>
  <c r="J69" i="72"/>
  <c r="H69" i="72"/>
  <c r="J72" i="72"/>
  <c r="H72" i="72"/>
  <c r="J76" i="72"/>
  <c r="H76" i="72"/>
  <c r="AB43" i="72"/>
  <c r="AA43" i="72"/>
  <c r="N61" i="72"/>
  <c r="N63" i="72" s="1"/>
  <c r="W61" i="72"/>
  <c r="W63" i="72" s="1"/>
  <c r="M55" i="72"/>
  <c r="O55" i="72" s="1"/>
  <c r="Q55" i="72" s="1"/>
  <c r="T55" i="72" s="1"/>
  <c r="V55" i="72" s="1"/>
  <c r="X55" i="72" s="1"/>
  <c r="AB55" i="72" s="1"/>
  <c r="N26" i="71"/>
  <c r="N9" i="71"/>
  <c r="X9" i="71" s="1"/>
  <c r="Y65" i="72"/>
  <c r="Y61" i="72"/>
  <c r="Y63" i="72" s="1"/>
  <c r="P61" i="72"/>
  <c r="P63" i="72" s="1"/>
  <c r="AA51" i="72"/>
  <c r="I65" i="72"/>
  <c r="M51" i="72"/>
  <c r="O51" i="72" s="1"/>
  <c r="Q51" i="72" s="1"/>
  <c r="T51" i="72" s="1"/>
  <c r="V51" i="72" s="1"/>
  <c r="X51" i="72" s="1"/>
  <c r="AB51" i="72" s="1"/>
  <c r="E65" i="72"/>
  <c r="E61" i="72"/>
  <c r="E63" i="72" s="1"/>
  <c r="Y64" i="72"/>
  <c r="Y22" i="72"/>
  <c r="W64" i="72"/>
  <c r="W22" i="72"/>
  <c r="U64" i="72"/>
  <c r="U22" i="72"/>
  <c r="P64" i="72"/>
  <c r="P22" i="72"/>
  <c r="N64" i="72"/>
  <c r="N22" i="72"/>
  <c r="K64" i="72"/>
  <c r="K22" i="72"/>
  <c r="I64" i="72"/>
  <c r="I22" i="72"/>
  <c r="G64" i="72"/>
  <c r="G22" i="72"/>
  <c r="E64" i="72"/>
  <c r="E22" i="72"/>
  <c r="C64" i="72"/>
  <c r="C22" i="72"/>
  <c r="AA8" i="72"/>
  <c r="AA9" i="72"/>
  <c r="AA14" i="72"/>
  <c r="X8" i="71"/>
  <c r="X13" i="71"/>
  <c r="AR13" i="71" s="1"/>
  <c r="X15" i="71"/>
  <c r="X16" i="71"/>
  <c r="AQ10" i="71"/>
  <c r="AR10" i="71" s="1"/>
  <c r="X12" i="71"/>
  <c r="AQ14" i="71"/>
  <c r="AQ20" i="71"/>
  <c r="BF8" i="71"/>
  <c r="AP11" i="71"/>
  <c r="AQ11" i="71" s="1"/>
  <c r="AP12" i="71"/>
  <c r="AQ12" i="71" s="1"/>
  <c r="W21" i="71"/>
  <c r="BF22" i="71"/>
  <c r="AG23" i="71"/>
  <c r="BF23" i="71"/>
  <c r="AP24" i="71"/>
  <c r="AQ24" i="71" s="1"/>
  <c r="N25" i="71"/>
  <c r="W26" i="71"/>
  <c r="X26" i="71" s="1"/>
  <c r="AP26" i="71"/>
  <c r="W27" i="71"/>
  <c r="W30" i="71"/>
  <c r="AP30" i="71"/>
  <c r="AG32" i="71"/>
  <c r="BF32" i="71"/>
  <c r="W34" i="71"/>
  <c r="X34" i="71" s="1"/>
  <c r="AP34" i="71"/>
  <c r="AG36" i="71"/>
  <c r="BF36" i="71"/>
  <c r="W38" i="71"/>
  <c r="X38" i="71" s="1"/>
  <c r="AP38" i="71"/>
  <c r="BF39" i="71"/>
  <c r="AP40" i="71"/>
  <c r="AQ40" i="71" s="1"/>
  <c r="W41" i="71"/>
  <c r="BF42" i="71"/>
  <c r="N43" i="71"/>
  <c r="BA43" i="71" s="1"/>
  <c r="W44" i="71"/>
  <c r="AG47" i="71"/>
  <c r="BF47" i="71"/>
  <c r="N48" i="71"/>
  <c r="AG48" i="71"/>
  <c r="BF48" i="71"/>
  <c r="N49" i="71"/>
  <c r="AG49" i="71"/>
  <c r="BF53" i="71"/>
  <c r="N54" i="71"/>
  <c r="AG54" i="71"/>
  <c r="AQ54" i="71" s="1"/>
  <c r="W56" i="71"/>
  <c r="AA29" i="72"/>
  <c r="AB38" i="72"/>
  <c r="AA42" i="72"/>
  <c r="R60" i="72"/>
  <c r="X11" i="71"/>
  <c r="AQ19" i="71"/>
  <c r="X31" i="71"/>
  <c r="X35" i="71"/>
  <c r="X45" i="71"/>
  <c r="BF45" i="71"/>
  <c r="X46" i="71"/>
  <c r="X50" i="71"/>
  <c r="X51" i="71"/>
  <c r="X53" i="71"/>
  <c r="AQ55" i="71"/>
  <c r="X57" i="71"/>
  <c r="X58" i="71"/>
  <c r="X60" i="71"/>
  <c r="M7" i="72"/>
  <c r="AA7" i="72"/>
  <c r="AA16" i="72"/>
  <c r="AA17" i="72"/>
  <c r="X20" i="72"/>
  <c r="AB20" i="72" s="1"/>
  <c r="AA20" i="72"/>
  <c r="G65" i="72"/>
  <c r="P65" i="72"/>
  <c r="AA40" i="72"/>
  <c r="AB45" i="72"/>
  <c r="M52" i="72"/>
  <c r="O52" i="72" s="1"/>
  <c r="Q52" i="72" s="1"/>
  <c r="T52" i="72" s="1"/>
  <c r="V52" i="72" s="1"/>
  <c r="X52" i="72" s="1"/>
  <c r="AB52" i="72" s="1"/>
  <c r="Z58" i="72"/>
  <c r="AQ8" i="71"/>
  <c r="AR8" i="71" s="1"/>
  <c r="BF12" i="71"/>
  <c r="AP15" i="71"/>
  <c r="AQ15" i="71" s="1"/>
  <c r="AP17" i="71"/>
  <c r="AQ17" i="71" s="1"/>
  <c r="AR17" i="71" s="1"/>
  <c r="AP18" i="71"/>
  <c r="AQ18" i="71" s="1"/>
  <c r="N21" i="71"/>
  <c r="AG21" i="71"/>
  <c r="AQ21" i="71" s="1"/>
  <c r="W23" i="71"/>
  <c r="X23" i="71" s="1"/>
  <c r="AG26" i="71"/>
  <c r="AQ26" i="71" s="1"/>
  <c r="BF26" i="71"/>
  <c r="AG27" i="71"/>
  <c r="BF27" i="71"/>
  <c r="AG30" i="71"/>
  <c r="AQ30" i="71" s="1"/>
  <c r="BF30" i="71"/>
  <c r="W32" i="71"/>
  <c r="X32" i="71" s="1"/>
  <c r="AP32" i="71"/>
  <c r="AG34" i="71"/>
  <c r="AQ34" i="71" s="1"/>
  <c r="AR34" i="71" s="1"/>
  <c r="BF34" i="71"/>
  <c r="W36" i="71"/>
  <c r="X36" i="71" s="1"/>
  <c r="AP36" i="71"/>
  <c r="AG38" i="71"/>
  <c r="AQ38" i="71" s="1"/>
  <c r="AR38" i="71" s="1"/>
  <c r="AP39" i="71"/>
  <c r="AQ39" i="71" s="1"/>
  <c r="AR39" i="71" s="1"/>
  <c r="AG41" i="71"/>
  <c r="AQ41" i="71" s="1"/>
  <c r="BF41" i="71"/>
  <c r="N42" i="71"/>
  <c r="X42" i="71" s="1"/>
  <c r="AR42" i="71" s="1"/>
  <c r="N44" i="71"/>
  <c r="AG44" i="71"/>
  <c r="AQ44" i="71" s="1"/>
  <c r="W47" i="71"/>
  <c r="X47" i="71" s="1"/>
  <c r="AP47" i="71"/>
  <c r="W48" i="71"/>
  <c r="X48" i="71" s="1"/>
  <c r="AP48" i="71"/>
  <c r="W49" i="71"/>
  <c r="X49" i="71" s="1"/>
  <c r="W54" i="71"/>
  <c r="X54" i="71" s="1"/>
  <c r="BF55" i="71"/>
  <c r="N56" i="71"/>
  <c r="AG56" i="71"/>
  <c r="AQ56" i="71" s="1"/>
  <c r="AA12" i="72"/>
  <c r="AA19" i="72"/>
  <c r="N60" i="72"/>
  <c r="BF10" i="71"/>
  <c r="AZ75" i="71"/>
  <c r="AZ76" i="71" s="1"/>
  <c r="AZ77" i="71" s="1"/>
  <c r="BF21" i="71"/>
  <c r="X29" i="71"/>
  <c r="BF31" i="71"/>
  <c r="X33" i="71"/>
  <c r="BF35" i="71"/>
  <c r="X37" i="71"/>
  <c r="AR37" i="71" s="1"/>
  <c r="AQ43" i="71"/>
  <c r="AQ45" i="71"/>
  <c r="AQ53" i="71"/>
  <c r="G60" i="72"/>
  <c r="AA52" i="72"/>
  <c r="P60" i="72"/>
  <c r="X8" i="72"/>
  <c r="AB8" i="72" s="1"/>
  <c r="AA10" i="72"/>
  <c r="B60" i="72"/>
  <c r="B64" i="72"/>
  <c r="R64" i="72"/>
  <c r="L30" i="72"/>
  <c r="S46" i="72"/>
  <c r="AB41" i="72"/>
  <c r="H58" i="72"/>
  <c r="AA49" i="72"/>
  <c r="M53" i="72"/>
  <c r="O53" i="72" s="1"/>
  <c r="Q53" i="72" s="1"/>
  <c r="T53" i="72" s="1"/>
  <c r="V53" i="72" s="1"/>
  <c r="X53" i="72" s="1"/>
  <c r="AB53" i="72" s="1"/>
  <c r="AA54" i="72"/>
  <c r="M56" i="72"/>
  <c r="O56" i="72" s="1"/>
  <c r="Q56" i="72" s="1"/>
  <c r="T56" i="72" s="1"/>
  <c r="V56" i="72" s="1"/>
  <c r="X56" i="72" s="1"/>
  <c r="AB56" i="72" s="1"/>
  <c r="AA18" i="72"/>
  <c r="W60" i="72"/>
  <c r="AB35" i="72"/>
  <c r="AA55" i="72"/>
  <c r="AA28" i="72"/>
  <c r="B65" i="72"/>
  <c r="D46" i="72"/>
  <c r="L46" i="72"/>
  <c r="C60" i="72"/>
  <c r="K60" i="72"/>
  <c r="M49" i="72"/>
  <c r="O49" i="72" s="1"/>
  <c r="Q49" i="72" s="1"/>
  <c r="AA50" i="72"/>
  <c r="M57" i="72"/>
  <c r="O57" i="72" s="1"/>
  <c r="Q57" i="72" s="1"/>
  <c r="T57" i="72" s="1"/>
  <c r="V57" i="72" s="1"/>
  <c r="X57" i="72" s="1"/>
  <c r="AB57" i="72" s="1"/>
  <c r="AA57" i="72"/>
  <c r="O7" i="72"/>
  <c r="O68" i="72" s="1"/>
  <c r="L21" i="72"/>
  <c r="AA11" i="72"/>
  <c r="AA15" i="72"/>
  <c r="F21" i="72"/>
  <c r="D21" i="72"/>
  <c r="AA13" i="72"/>
  <c r="S30" i="72"/>
  <c r="Z30" i="72"/>
  <c r="F58" i="72"/>
  <c r="M50" i="72"/>
  <c r="O50" i="72" s="1"/>
  <c r="Q50" i="72" s="1"/>
  <c r="T50" i="72" s="1"/>
  <c r="V50" i="72" s="1"/>
  <c r="X50" i="72" s="1"/>
  <c r="AB50" i="72" s="1"/>
  <c r="J7" i="72"/>
  <c r="H21" i="72"/>
  <c r="Z21" i="72"/>
  <c r="J30" i="72"/>
  <c r="H30" i="72"/>
  <c r="F46" i="72"/>
  <c r="S21" i="72"/>
  <c r="J46" i="72"/>
  <c r="AA33" i="72"/>
  <c r="D58" i="72"/>
  <c r="L58" i="72"/>
  <c r="I60" i="72"/>
  <c r="AB36" i="72"/>
  <c r="H46" i="72"/>
  <c r="Z46" i="72"/>
  <c r="E60" i="72"/>
  <c r="M33" i="72"/>
  <c r="U60" i="72"/>
  <c r="Y60" i="72"/>
  <c r="F30" i="72"/>
  <c r="M26" i="72"/>
  <c r="AA36" i="72"/>
  <c r="J49" i="72"/>
  <c r="J58" i="72" s="1"/>
  <c r="S58" i="72"/>
  <c r="AA58" i="72" s="1"/>
  <c r="M54" i="72"/>
  <c r="O54" i="72" s="1"/>
  <c r="Q54" i="72" s="1"/>
  <c r="T54" i="72" s="1"/>
  <c r="V54" i="72" s="1"/>
  <c r="X54" i="72" s="1"/>
  <c r="AB54" i="72" s="1"/>
  <c r="X6" i="71"/>
  <c r="AR6" i="71" s="1"/>
  <c r="AR12" i="71"/>
  <c r="X14" i="71"/>
  <c r="AR14" i="71" s="1"/>
  <c r="X19" i="71"/>
  <c r="AR19" i="71" s="1"/>
  <c r="AV61" i="71"/>
  <c r="BD61" i="71"/>
  <c r="BF9" i="71"/>
  <c r="BF11" i="71"/>
  <c r="BF15" i="71"/>
  <c r="X21" i="71"/>
  <c r="AR21" i="71" s="1"/>
  <c r="M61" i="71"/>
  <c r="AW61" i="71"/>
  <c r="BE61" i="71"/>
  <c r="M64" i="71"/>
  <c r="BF24" i="71"/>
  <c r="X25" i="71"/>
  <c r="AR25" i="71" s="1"/>
  <c r="X27" i="71"/>
  <c r="AK61" i="71"/>
  <c r="BA20" i="71"/>
  <c r="BA101" i="71" s="1"/>
  <c r="X20" i="71"/>
  <c r="AR20" i="71" s="1"/>
  <c r="AR26" i="71"/>
  <c r="R65" i="71"/>
  <c r="R61" i="71"/>
  <c r="AB61" i="71"/>
  <c r="AO61" i="71"/>
  <c r="AZ20" i="71"/>
  <c r="X28" i="71"/>
  <c r="X18" i="71"/>
  <c r="AR18" i="71" s="1"/>
  <c r="BF18" i="71"/>
  <c r="AZ61" i="71"/>
  <c r="BF7" i="71"/>
  <c r="BF13" i="71"/>
  <c r="BF17" i="71"/>
  <c r="AT61" i="71"/>
  <c r="BB61" i="71"/>
  <c r="AZ74" i="71"/>
  <c r="I61" i="71"/>
  <c r="V61" i="71"/>
  <c r="AF61" i="71"/>
  <c r="AU61" i="71"/>
  <c r="AY61" i="71"/>
  <c r="BC61" i="71"/>
  <c r="I64" i="71"/>
  <c r="V64" i="71"/>
  <c r="AY75" i="71"/>
  <c r="AY76" i="71" s="1"/>
  <c r="AY77" i="71" s="1"/>
  <c r="AP23" i="71"/>
  <c r="AQ23" i="71" s="1"/>
  <c r="AR23" i="71" s="1"/>
  <c r="AP27" i="71"/>
  <c r="AQ27" i="71" s="1"/>
  <c r="AQ28" i="71"/>
  <c r="AQ29" i="71"/>
  <c r="AR29" i="71" s="1"/>
  <c r="X30" i="71"/>
  <c r="AR30" i="71" s="1"/>
  <c r="AQ32" i="71"/>
  <c r="AR32" i="71" s="1"/>
  <c r="AQ36" i="71"/>
  <c r="AR36" i="71" s="1"/>
  <c r="X41" i="71"/>
  <c r="X43" i="71"/>
  <c r="AR43" i="71" s="1"/>
  <c r="BF43" i="71"/>
  <c r="X44" i="71"/>
  <c r="AQ47" i="71"/>
  <c r="AR47" i="71" s="1"/>
  <c r="AQ48" i="71"/>
  <c r="AR48" i="71" s="1"/>
  <c r="AQ49" i="71"/>
  <c r="AR49" i="71" s="1"/>
  <c r="M65" i="71"/>
  <c r="AR54" i="71"/>
  <c r="AW74" i="71"/>
  <c r="AW75" i="71" s="1"/>
  <c r="AW76" i="71" s="1"/>
  <c r="AW77" i="71" s="1"/>
  <c r="X56" i="71"/>
  <c r="AR56" i="71" s="1"/>
  <c r="AR59" i="71"/>
  <c r="AR41" i="71"/>
  <c r="AR44" i="71"/>
  <c r="V65" i="71"/>
  <c r="AU74" i="71"/>
  <c r="AU75" i="71" s="1"/>
  <c r="AU76" i="71" s="1"/>
  <c r="AU77" i="71" s="1"/>
  <c r="AX61" i="71"/>
  <c r="BF6" i="71"/>
  <c r="R64" i="71"/>
  <c r="AX75" i="71"/>
  <c r="AX77" i="71" s="1"/>
  <c r="AQ31" i="71"/>
  <c r="AR31" i="71" s="1"/>
  <c r="AQ35" i="71"/>
  <c r="AR35" i="71" s="1"/>
  <c r="BA38" i="71"/>
  <c r="BF38" i="71" s="1"/>
  <c r="AR45" i="71"/>
  <c r="AQ46" i="71"/>
  <c r="AR46" i="71" s="1"/>
  <c r="AQ50" i="71"/>
  <c r="AR50" i="71" s="1"/>
  <c r="AQ51" i="71"/>
  <c r="AR51" i="71" s="1"/>
  <c r="I65" i="71"/>
  <c r="AQ52" i="71"/>
  <c r="AR53" i="71"/>
  <c r="AV74" i="71"/>
  <c r="AV75" i="71" s="1"/>
  <c r="AV76" i="71" s="1"/>
  <c r="AV77" i="71" s="1"/>
  <c r="X55" i="71"/>
  <c r="AR55" i="71" s="1"/>
  <c r="AQ57" i="71"/>
  <c r="AR57" i="71" s="1"/>
  <c r="AQ58" i="71"/>
  <c r="AR58" i="71" s="1"/>
  <c r="AQ60" i="71"/>
  <c r="AR60" i="71" s="1"/>
  <c r="AT74" i="71"/>
  <c r="AT75" i="71" s="1"/>
  <c r="AT76" i="71" s="1"/>
  <c r="AT77" i="71" s="1"/>
  <c r="W52" i="71"/>
  <c r="N40" i="71"/>
  <c r="BA40" i="71" s="1"/>
  <c r="BF40" i="71" s="1"/>
  <c r="N52" i="71"/>
  <c r="N65" i="71" s="1"/>
  <c r="AV33" i="35"/>
  <c r="AR33" i="35"/>
  <c r="AL33" i="35"/>
  <c r="AH33" i="35"/>
  <c r="AD33" i="35"/>
  <c r="X33" i="35"/>
  <c r="H33" i="35"/>
  <c r="F33" i="35"/>
  <c r="AR28" i="71" l="1"/>
  <c r="AG61" i="71"/>
  <c r="AR15" i="71"/>
  <c r="AR24" i="71"/>
  <c r="AR9" i="71"/>
  <c r="AQ7" i="71"/>
  <c r="AR7" i="71" s="1"/>
  <c r="AX94" i="71"/>
  <c r="BF106" i="71"/>
  <c r="AQ33" i="71"/>
  <c r="AR33" i="71" s="1"/>
  <c r="H77" i="72"/>
  <c r="BF20" i="71"/>
  <c r="AZ101" i="71"/>
  <c r="BF101" i="71" s="1"/>
  <c r="O76" i="72"/>
  <c r="D61" i="72"/>
  <c r="D63" i="72" s="1"/>
  <c r="AR11" i="71"/>
  <c r="O70" i="72"/>
  <c r="AX108" i="71"/>
  <c r="BF96" i="71"/>
  <c r="O69" i="72"/>
  <c r="BH22" i="71"/>
  <c r="BE94" i="71"/>
  <c r="BE108" i="71" s="1"/>
  <c r="BA94" i="71"/>
  <c r="BA108" i="71" s="1"/>
  <c r="AY94" i="71"/>
  <c r="AY108" i="71" s="1"/>
  <c r="X12" i="72"/>
  <c r="V71" i="72"/>
  <c r="AR27" i="71"/>
  <c r="J21" i="72"/>
  <c r="J68" i="72"/>
  <c r="O74" i="72"/>
  <c r="O72" i="72"/>
  <c r="O75" i="72"/>
  <c r="AZ94" i="71"/>
  <c r="AZ108" i="71" s="1"/>
  <c r="BF98" i="71"/>
  <c r="W61" i="71"/>
  <c r="H61" i="72"/>
  <c r="H63" i="72" s="1"/>
  <c r="J61" i="72"/>
  <c r="J63" i="72" s="1"/>
  <c r="Z60" i="72"/>
  <c r="L60" i="72"/>
  <c r="H60" i="72"/>
  <c r="D60" i="72"/>
  <c r="J65" i="72"/>
  <c r="AA30" i="72"/>
  <c r="N64" i="71"/>
  <c r="H65" i="72"/>
  <c r="BA49" i="71"/>
  <c r="BF49" i="71" s="1"/>
  <c r="BF61" i="71" s="1"/>
  <c r="BH83" i="71" s="1"/>
  <c r="F60" i="72"/>
  <c r="AA21" i="72"/>
  <c r="J60" i="72"/>
  <c r="AA46" i="72"/>
  <c r="M58" i="72"/>
  <c r="O58" i="72"/>
  <c r="O26" i="72"/>
  <c r="M30" i="72"/>
  <c r="O33" i="72"/>
  <c r="M46" i="72"/>
  <c r="M21" i="72"/>
  <c r="S60" i="72"/>
  <c r="AA60" i="72" s="1"/>
  <c r="T49" i="72"/>
  <c r="Q58" i="72"/>
  <c r="O21" i="72"/>
  <c r="Q7" i="72"/>
  <c r="Q68" i="72" s="1"/>
  <c r="BA61" i="71"/>
  <c r="N61" i="71"/>
  <c r="X40" i="71"/>
  <c r="AR40" i="71" s="1"/>
  <c r="AP61" i="71"/>
  <c r="X52" i="71"/>
  <c r="X65" i="71" s="1"/>
  <c r="W65" i="71"/>
  <c r="W64" i="71"/>
  <c r="A79" i="9"/>
  <c r="BF108" i="71" l="1"/>
  <c r="O77" i="72"/>
  <c r="Q75" i="72"/>
  <c r="J77" i="72"/>
  <c r="AB12" i="72"/>
  <c r="BH64" i="50" s="1"/>
  <c r="X71" i="72"/>
  <c r="AA71" i="72" s="1"/>
  <c r="Q69" i="72"/>
  <c r="Q72" i="72"/>
  <c r="BF94" i="71"/>
  <c r="Q70" i="72"/>
  <c r="Q74" i="72"/>
  <c r="Q76" i="72"/>
  <c r="M60" i="72"/>
  <c r="Q33" i="72"/>
  <c r="O46" i="72"/>
  <c r="T58" i="72"/>
  <c r="V49" i="72"/>
  <c r="Q21" i="72"/>
  <c r="T7" i="72"/>
  <c r="O30" i="72"/>
  <c r="Q26" i="72"/>
  <c r="X61" i="71"/>
  <c r="X64" i="71"/>
  <c r="AR52" i="71"/>
  <c r="AQ61" i="71"/>
  <c r="G260" i="28"/>
  <c r="H260" i="28"/>
  <c r="K260" i="28"/>
  <c r="L260" i="28"/>
  <c r="O260" i="28"/>
  <c r="P260" i="28"/>
  <c r="S260" i="28"/>
  <c r="T260" i="28"/>
  <c r="W260" i="28"/>
  <c r="X260" i="28"/>
  <c r="AC260" i="28"/>
  <c r="AD260" i="28"/>
  <c r="AG260" i="28"/>
  <c r="AH260" i="28"/>
  <c r="AK260" i="28"/>
  <c r="AL260" i="28"/>
  <c r="AQ260" i="28"/>
  <c r="AR260" i="28"/>
  <c r="AU260" i="28"/>
  <c r="AV260" i="28"/>
  <c r="AY260" i="28"/>
  <c r="AZ260" i="28"/>
  <c r="F260" i="28"/>
  <c r="G259" i="28"/>
  <c r="H259" i="28"/>
  <c r="K259" i="28"/>
  <c r="L259" i="28"/>
  <c r="O259" i="28"/>
  <c r="P259" i="28"/>
  <c r="S259" i="28"/>
  <c r="T259" i="28"/>
  <c r="W259" i="28"/>
  <c r="X259" i="28"/>
  <c r="AC259" i="28"/>
  <c r="AD259" i="28"/>
  <c r="AG259" i="28"/>
  <c r="AH259" i="28"/>
  <c r="AK259" i="28"/>
  <c r="AL259" i="28"/>
  <c r="AQ259" i="28"/>
  <c r="AR259" i="28"/>
  <c r="AU259" i="28"/>
  <c r="AV259" i="28"/>
  <c r="AY259" i="28"/>
  <c r="AZ259" i="28"/>
  <c r="F259" i="28"/>
  <c r="AZ37" i="28"/>
  <c r="AV37" i="28"/>
  <c r="AR37" i="28"/>
  <c r="AL37" i="28"/>
  <c r="AH37" i="28"/>
  <c r="AD37" i="28"/>
  <c r="X37" i="28"/>
  <c r="T37" i="28"/>
  <c r="P37" i="28"/>
  <c r="L37" i="28"/>
  <c r="F37" i="28"/>
  <c r="AH33" i="28"/>
  <c r="BB14" i="28"/>
  <c r="BB259" i="28" s="1"/>
  <c r="BA14" i="28"/>
  <c r="AN14" i="28"/>
  <c r="AN259" i="28" s="1"/>
  <c r="AM14" i="28"/>
  <c r="AM259" i="28" s="1"/>
  <c r="Z14" i="28"/>
  <c r="Z259" i="28" s="1"/>
  <c r="Y14" i="28"/>
  <c r="Y259" i="28" s="1"/>
  <c r="J14" i="28"/>
  <c r="N14" i="28" s="1"/>
  <c r="R14" i="28" s="1"/>
  <c r="V14" i="28" s="1"/>
  <c r="AB14" i="28" s="1"/>
  <c r="AF14" i="28" s="1"/>
  <c r="AJ14" i="28" s="1"/>
  <c r="AP14" i="28" s="1"/>
  <c r="AT14" i="28" s="1"/>
  <c r="AX14" i="28" s="1"/>
  <c r="BF14" i="28" s="1"/>
  <c r="BF259" i="28" s="1"/>
  <c r="I14" i="28"/>
  <c r="M14" i="28" s="1"/>
  <c r="Q14" i="28" s="1"/>
  <c r="U14" i="28" s="1"/>
  <c r="AA14" i="28" s="1"/>
  <c r="AE14" i="28" s="1"/>
  <c r="AI14" i="28" s="1"/>
  <c r="AO14" i="28" s="1"/>
  <c r="AS14" i="28" s="1"/>
  <c r="AW14" i="28" s="1"/>
  <c r="BE14" i="28" s="1"/>
  <c r="BE259" i="28" s="1"/>
  <c r="O61" i="72" l="1"/>
  <c r="O63" i="72" s="1"/>
  <c r="Q77" i="72"/>
  <c r="X17" i="72"/>
  <c r="V74" i="72"/>
  <c r="X14" i="72"/>
  <c r="V72" i="72"/>
  <c r="X18" i="72"/>
  <c r="V75" i="72"/>
  <c r="X19" i="72"/>
  <c r="V76" i="72"/>
  <c r="X13" i="72"/>
  <c r="V70" i="72"/>
  <c r="X11" i="72"/>
  <c r="V69" i="72"/>
  <c r="J259" i="28"/>
  <c r="O60" i="72"/>
  <c r="T21" i="72"/>
  <c r="V7" i="72"/>
  <c r="V68" i="72" s="1"/>
  <c r="Q30" i="72"/>
  <c r="T26" i="72"/>
  <c r="V58" i="72"/>
  <c r="X49" i="72"/>
  <c r="Q46" i="72"/>
  <c r="T33" i="72"/>
  <c r="AR61" i="71"/>
  <c r="AT259" i="28"/>
  <c r="V259" i="28"/>
  <c r="R259" i="28"/>
  <c r="BC14" i="28"/>
  <c r="BC259" i="28" s="1"/>
  <c r="BA259" i="28"/>
  <c r="AW259" i="28"/>
  <c r="AS259" i="28"/>
  <c r="AO259" i="28"/>
  <c r="U259" i="28"/>
  <c r="Q259" i="28"/>
  <c r="M259" i="28"/>
  <c r="I259" i="28"/>
  <c r="BD14" i="28"/>
  <c r="BD259" i="28" s="1"/>
  <c r="AJ259" i="28"/>
  <c r="AF259" i="28"/>
  <c r="AB259" i="28"/>
  <c r="AX259" i="28"/>
  <c r="AP259" i="28"/>
  <c r="N259" i="28"/>
  <c r="AI259" i="28"/>
  <c r="AE259" i="28"/>
  <c r="AA259" i="28"/>
  <c r="AB11" i="72" l="1"/>
  <c r="BH62" i="50" s="1"/>
  <c r="X69" i="72"/>
  <c r="AA69" i="72" s="1"/>
  <c r="AB19" i="72"/>
  <c r="BH69" i="50" s="1"/>
  <c r="X76" i="72"/>
  <c r="AA76" i="72" s="1"/>
  <c r="AB14" i="72"/>
  <c r="BH65" i="50" s="1"/>
  <c r="X72" i="72"/>
  <c r="AA72" i="72" s="1"/>
  <c r="V77" i="72"/>
  <c r="AB13" i="72"/>
  <c r="BH63" i="50" s="1"/>
  <c r="X70" i="72"/>
  <c r="AA70" i="72" s="1"/>
  <c r="AB18" i="72"/>
  <c r="BH68" i="50" s="1"/>
  <c r="X75" i="72"/>
  <c r="AA75" i="72" s="1"/>
  <c r="AB17" i="72"/>
  <c r="BH67" i="50" s="1"/>
  <c r="X74" i="72"/>
  <c r="AA74" i="72" s="1"/>
  <c r="Q60" i="72"/>
  <c r="Q61" i="72"/>
  <c r="Q63" i="72" s="1"/>
  <c r="Q65" i="72"/>
  <c r="V33" i="72"/>
  <c r="T46" i="72"/>
  <c r="V26" i="72"/>
  <c r="T30" i="72"/>
  <c r="X58" i="72"/>
  <c r="AB49" i="72"/>
  <c r="X7" i="72"/>
  <c r="X68" i="72" s="1"/>
  <c r="V21" i="72"/>
  <c r="AY216" i="70"/>
  <c r="AY217" i="70" s="1"/>
  <c r="AU216" i="70"/>
  <c r="AU217" i="70" s="1"/>
  <c r="AQ216" i="70"/>
  <c r="AQ217" i="70" s="1"/>
  <c r="AK216" i="70"/>
  <c r="AK217" i="70" s="1"/>
  <c r="AG216" i="70"/>
  <c r="AG217" i="70" s="1"/>
  <c r="AC216" i="70"/>
  <c r="AC217" i="70" s="1"/>
  <c r="W216" i="70"/>
  <c r="W217" i="70" s="1"/>
  <c r="S216" i="70"/>
  <c r="S217" i="70" s="1"/>
  <c r="O216" i="70"/>
  <c r="O217" i="70" s="1"/>
  <c r="K216" i="70"/>
  <c r="K217" i="70" s="1"/>
  <c r="I216" i="70"/>
  <c r="I217" i="70" s="1"/>
  <c r="G216" i="70"/>
  <c r="G217" i="70" s="1"/>
  <c r="BB214" i="70"/>
  <c r="AS214" i="70"/>
  <c r="AW214" i="70" s="1"/>
  <c r="BE214" i="70" s="1"/>
  <c r="AN214" i="70"/>
  <c r="Z214" i="70"/>
  <c r="J214" i="70"/>
  <c r="N214" i="70" s="1"/>
  <c r="AS213" i="70"/>
  <c r="AW213" i="70" s="1"/>
  <c r="BE213" i="70" s="1"/>
  <c r="AZ212" i="70"/>
  <c r="AV212" i="70"/>
  <c r="AS212" i="70"/>
  <c r="AW212" i="70" s="1"/>
  <c r="BE212" i="70" s="1"/>
  <c r="AR212" i="70"/>
  <c r="AL212" i="70"/>
  <c r="AH212" i="70"/>
  <c r="AD212" i="70"/>
  <c r="AN212" i="70" s="1"/>
  <c r="X212" i="70"/>
  <c r="T212" i="70"/>
  <c r="P212" i="70"/>
  <c r="L212" i="70"/>
  <c r="H212" i="70"/>
  <c r="F212" i="70"/>
  <c r="AZ211" i="70"/>
  <c r="AV211" i="70"/>
  <c r="AS211" i="70"/>
  <c r="AW211" i="70" s="1"/>
  <c r="BE211" i="70" s="1"/>
  <c r="AR211" i="70"/>
  <c r="AL211" i="70"/>
  <c r="AH211" i="70"/>
  <c r="X211" i="70"/>
  <c r="P211" i="70"/>
  <c r="L211" i="70"/>
  <c r="H211" i="70"/>
  <c r="F211" i="70"/>
  <c r="AZ210" i="70"/>
  <c r="AV210" i="70"/>
  <c r="AS210" i="70"/>
  <c r="AW210" i="70" s="1"/>
  <c r="BE210" i="70" s="1"/>
  <c r="AR210" i="70"/>
  <c r="AL210" i="70"/>
  <c r="AL213" i="70" s="1"/>
  <c r="AH210" i="70"/>
  <c r="X210" i="70"/>
  <c r="P210" i="70"/>
  <c r="L210" i="70"/>
  <c r="H210" i="70"/>
  <c r="F210" i="70"/>
  <c r="F213" i="70" s="1"/>
  <c r="AZ209" i="70"/>
  <c r="AV209" i="70"/>
  <c r="AR209" i="70"/>
  <c r="AL209" i="70"/>
  <c r="AH209" i="70"/>
  <c r="AD209" i="70"/>
  <c r="AC209" i="70"/>
  <c r="X209" i="70"/>
  <c r="W209" i="70"/>
  <c r="T209" i="70"/>
  <c r="S209" i="70"/>
  <c r="P209" i="70"/>
  <c r="O209" i="70"/>
  <c r="L209" i="70"/>
  <c r="K209" i="70"/>
  <c r="H209" i="70"/>
  <c r="G209" i="70"/>
  <c r="F209" i="70"/>
  <c r="E209" i="70"/>
  <c r="AZ208" i="70"/>
  <c r="AV208" i="70"/>
  <c r="AS208" i="70"/>
  <c r="AW208" i="70" s="1"/>
  <c r="BE208" i="70" s="1"/>
  <c r="AR208" i="70"/>
  <c r="AL208" i="70"/>
  <c r="AH208" i="70"/>
  <c r="AD208" i="70"/>
  <c r="X208" i="70"/>
  <c r="T208" i="70"/>
  <c r="P208" i="70"/>
  <c r="L208" i="70"/>
  <c r="H208" i="70"/>
  <c r="F208" i="70"/>
  <c r="AS207" i="70"/>
  <c r="AW207" i="70" s="1"/>
  <c r="BE207" i="70" s="1"/>
  <c r="AS206" i="70"/>
  <c r="AW206" i="70" s="1"/>
  <c r="BE206" i="70" s="1"/>
  <c r="BA204" i="70"/>
  <c r="AM204" i="70"/>
  <c r="BC204" i="70" s="1"/>
  <c r="Y204" i="70"/>
  <c r="M204" i="70"/>
  <c r="BA203" i="70"/>
  <c r="AS203" i="70"/>
  <c r="AW203" i="70" s="1"/>
  <c r="BE203" i="70" s="1"/>
  <c r="AM203" i="70"/>
  <c r="BC203" i="70" s="1"/>
  <c r="Y203" i="70"/>
  <c r="AA203" i="70" s="1"/>
  <c r="BA201" i="70"/>
  <c r="AZ201" i="70"/>
  <c r="AV201" i="70"/>
  <c r="AR201" i="70"/>
  <c r="AM201" i="70"/>
  <c r="AL201" i="70"/>
  <c r="AH201" i="70"/>
  <c r="AD201" i="70"/>
  <c r="Y201" i="70"/>
  <c r="X201" i="70"/>
  <c r="T201" i="70"/>
  <c r="P201" i="70"/>
  <c r="M201" i="70"/>
  <c r="Q201" i="70" s="1"/>
  <c r="U201" i="70" s="1"/>
  <c r="L201" i="70"/>
  <c r="H201" i="70"/>
  <c r="F201" i="70"/>
  <c r="BA200" i="70"/>
  <c r="AZ200" i="70"/>
  <c r="AV200" i="70"/>
  <c r="AR200" i="70"/>
  <c r="AM200" i="70"/>
  <c r="BC200" i="70" s="1"/>
  <c r="AL200" i="70"/>
  <c r="AH200" i="70"/>
  <c r="AD200" i="70"/>
  <c r="Y200" i="70"/>
  <c r="X200" i="70"/>
  <c r="T200" i="70"/>
  <c r="P200" i="70"/>
  <c r="M200" i="70"/>
  <c r="L200" i="70"/>
  <c r="H200" i="70"/>
  <c r="F200" i="70"/>
  <c r="BA198" i="70"/>
  <c r="AZ198" i="70"/>
  <c r="AV198" i="70"/>
  <c r="AR198" i="70"/>
  <c r="AM198" i="70"/>
  <c r="BC198" i="70" s="1"/>
  <c r="AL198" i="70"/>
  <c r="AH198" i="70"/>
  <c r="AD198" i="70"/>
  <c r="Y198" i="70"/>
  <c r="X198" i="70"/>
  <c r="T198" i="70"/>
  <c r="P198" i="70"/>
  <c r="M198" i="70"/>
  <c r="AA198" i="70" s="1"/>
  <c r="AE198" i="70" s="1"/>
  <c r="AI198" i="70" s="1"/>
  <c r="AO198" i="70" s="1"/>
  <c r="AS198" i="70" s="1"/>
  <c r="AW198" i="70" s="1"/>
  <c r="BE198" i="70" s="1"/>
  <c r="L198" i="70"/>
  <c r="H198" i="70"/>
  <c r="F198" i="70"/>
  <c r="BA197" i="70"/>
  <c r="AZ197" i="70"/>
  <c r="AV197" i="70"/>
  <c r="AR197" i="70"/>
  <c r="AM197" i="70"/>
  <c r="BC197" i="70" s="1"/>
  <c r="AL197" i="70"/>
  <c r="AH197" i="70"/>
  <c r="AD197" i="70"/>
  <c r="Y197" i="70"/>
  <c r="X197" i="70"/>
  <c r="T197" i="70"/>
  <c r="P197" i="70"/>
  <c r="M197" i="70"/>
  <c r="AA197" i="70" s="1"/>
  <c r="AE197" i="70" s="1"/>
  <c r="AI197" i="70" s="1"/>
  <c r="AO197" i="70" s="1"/>
  <c r="AS197" i="70" s="1"/>
  <c r="AW197" i="70" s="1"/>
  <c r="BE197" i="70" s="1"/>
  <c r="L197" i="70"/>
  <c r="H197" i="70"/>
  <c r="F197" i="70"/>
  <c r="J197" i="70" s="1"/>
  <c r="BA195" i="70"/>
  <c r="AZ195" i="70"/>
  <c r="AV195" i="70"/>
  <c r="AR195" i="70"/>
  <c r="AM195" i="70"/>
  <c r="BC195" i="70" s="1"/>
  <c r="AL195" i="70"/>
  <c r="AH195" i="70"/>
  <c r="AD195" i="70"/>
  <c r="Y195" i="70"/>
  <c r="T195" i="70"/>
  <c r="P195" i="70"/>
  <c r="M195" i="70"/>
  <c r="L195" i="70"/>
  <c r="H195" i="70"/>
  <c r="F195" i="70"/>
  <c r="BA194" i="70"/>
  <c r="AZ194" i="70"/>
  <c r="AV194" i="70"/>
  <c r="AR194" i="70"/>
  <c r="AM194" i="70"/>
  <c r="BC194" i="70" s="1"/>
  <c r="AL194" i="70"/>
  <c r="AH194" i="70"/>
  <c r="AD194" i="70"/>
  <c r="Y194" i="70"/>
  <c r="T194" i="70"/>
  <c r="P194" i="70"/>
  <c r="M194" i="70"/>
  <c r="L194" i="70"/>
  <c r="H194" i="70"/>
  <c r="F194" i="70"/>
  <c r="BA192" i="70"/>
  <c r="AZ192" i="70"/>
  <c r="AV192" i="70"/>
  <c r="AR192" i="70"/>
  <c r="AM192" i="70"/>
  <c r="AL192" i="70"/>
  <c r="AH192" i="70"/>
  <c r="AD192" i="70"/>
  <c r="Y192" i="70"/>
  <c r="X192" i="70"/>
  <c r="T192" i="70"/>
  <c r="P192" i="70"/>
  <c r="M192" i="70"/>
  <c r="Q192" i="70" s="1"/>
  <c r="U192" i="70" s="1"/>
  <c r="L192" i="70"/>
  <c r="H192" i="70"/>
  <c r="F192" i="70"/>
  <c r="BA191" i="70"/>
  <c r="AZ191" i="70"/>
  <c r="AV191" i="70"/>
  <c r="AR191" i="70"/>
  <c r="AM191" i="70"/>
  <c r="BC191" i="70" s="1"/>
  <c r="AL191" i="70"/>
  <c r="AH191" i="70"/>
  <c r="AD191" i="70"/>
  <c r="Y191" i="70"/>
  <c r="X191" i="70"/>
  <c r="T191" i="70"/>
  <c r="P191" i="70"/>
  <c r="M191" i="70"/>
  <c r="AA191" i="70" s="1"/>
  <c r="AE191" i="70" s="1"/>
  <c r="AI191" i="70" s="1"/>
  <c r="AO191" i="70" s="1"/>
  <c r="AS191" i="70" s="1"/>
  <c r="AW191" i="70" s="1"/>
  <c r="BE191" i="70" s="1"/>
  <c r="L191" i="70"/>
  <c r="H191" i="70"/>
  <c r="F191" i="70"/>
  <c r="BA189" i="70"/>
  <c r="AZ189" i="70"/>
  <c r="AV189" i="70"/>
  <c r="AR189" i="70"/>
  <c r="AM189" i="70"/>
  <c r="AL189" i="70"/>
  <c r="AH189" i="70"/>
  <c r="AD189" i="70"/>
  <c r="Y189" i="70"/>
  <c r="X189" i="70"/>
  <c r="T189" i="70"/>
  <c r="P189" i="70"/>
  <c r="M189" i="70"/>
  <c r="AA189" i="70" s="1"/>
  <c r="AE189" i="70" s="1"/>
  <c r="AI189" i="70" s="1"/>
  <c r="AO189" i="70" s="1"/>
  <c r="AS189" i="70" s="1"/>
  <c r="AW189" i="70" s="1"/>
  <c r="BE189" i="70" s="1"/>
  <c r="L189" i="70"/>
  <c r="H189" i="70"/>
  <c r="F189" i="70"/>
  <c r="BA188" i="70"/>
  <c r="AZ188" i="70"/>
  <c r="AV188" i="70"/>
  <c r="AR188" i="70"/>
  <c r="AM188" i="70"/>
  <c r="BC188" i="70" s="1"/>
  <c r="AL188" i="70"/>
  <c r="AH188" i="70"/>
  <c r="AD188" i="70"/>
  <c r="Y188" i="70"/>
  <c r="X188" i="70"/>
  <c r="T188" i="70"/>
  <c r="P188" i="70"/>
  <c r="M188" i="70"/>
  <c r="L188" i="70"/>
  <c r="H188" i="70"/>
  <c r="F188" i="70"/>
  <c r="J188" i="70" s="1"/>
  <c r="N188" i="70" s="1"/>
  <c r="BA186" i="70"/>
  <c r="AZ186" i="70"/>
  <c r="AZ204" i="70" s="1"/>
  <c r="AV186" i="70"/>
  <c r="AR186" i="70"/>
  <c r="AM186" i="70"/>
  <c r="AL186" i="70"/>
  <c r="AL204" i="70" s="1"/>
  <c r="AH186" i="70"/>
  <c r="AD186" i="70"/>
  <c r="AD204" i="70" s="1"/>
  <c r="Y186" i="70"/>
  <c r="X186" i="70"/>
  <c r="T186" i="70"/>
  <c r="P186" i="70"/>
  <c r="M186" i="70"/>
  <c r="Q186" i="70" s="1"/>
  <c r="U186" i="70" s="1"/>
  <c r="L186" i="70"/>
  <c r="L204" i="70" s="1"/>
  <c r="H186" i="70"/>
  <c r="H204" i="70" s="1"/>
  <c r="F186" i="70"/>
  <c r="BA185" i="70"/>
  <c r="AZ185" i="70"/>
  <c r="AV185" i="70"/>
  <c r="AV203" i="70" s="1"/>
  <c r="AR185" i="70"/>
  <c r="AM185" i="70"/>
  <c r="AL185" i="70"/>
  <c r="AH185" i="70"/>
  <c r="AH203" i="70" s="1"/>
  <c r="AD185" i="70"/>
  <c r="Y185" i="70"/>
  <c r="X185" i="70"/>
  <c r="T185" i="70"/>
  <c r="P185" i="70"/>
  <c r="M185" i="70"/>
  <c r="AA185" i="70" s="1"/>
  <c r="AE185" i="70" s="1"/>
  <c r="AI185" i="70" s="1"/>
  <c r="AO185" i="70" s="1"/>
  <c r="AS185" i="70" s="1"/>
  <c r="AW185" i="70" s="1"/>
  <c r="BE185" i="70" s="1"/>
  <c r="L185" i="70"/>
  <c r="L203" i="70" s="1"/>
  <c r="H185" i="70"/>
  <c r="F185" i="70"/>
  <c r="J185" i="70" s="1"/>
  <c r="BA183" i="70"/>
  <c r="AM183" i="70"/>
  <c r="Y183" i="70"/>
  <c r="M183" i="70"/>
  <c r="Q183" i="70" s="1"/>
  <c r="U183" i="70" s="1"/>
  <c r="BA182" i="70"/>
  <c r="AS182" i="70"/>
  <c r="AW182" i="70" s="1"/>
  <c r="BE182" i="70" s="1"/>
  <c r="AM182" i="70"/>
  <c r="Y182" i="70"/>
  <c r="AA182" i="70" s="1"/>
  <c r="BA180" i="70"/>
  <c r="AZ180" i="70"/>
  <c r="AV180" i="70"/>
  <c r="AR180" i="70"/>
  <c r="BB180" i="70" s="1"/>
  <c r="AM180" i="70"/>
  <c r="BC180" i="70" s="1"/>
  <c r="AL180" i="70"/>
  <c r="AH180" i="70"/>
  <c r="AD180" i="70"/>
  <c r="AN180" i="70" s="1"/>
  <c r="Y180" i="70"/>
  <c r="X180" i="70"/>
  <c r="T180" i="70"/>
  <c r="Q180" i="70"/>
  <c r="U180" i="70" s="1"/>
  <c r="P180" i="70"/>
  <c r="M180" i="70"/>
  <c r="L180" i="70"/>
  <c r="H180" i="70"/>
  <c r="F180" i="70"/>
  <c r="BA179" i="70"/>
  <c r="AZ179" i="70"/>
  <c r="AV179" i="70"/>
  <c r="AR179" i="70"/>
  <c r="AM179" i="70"/>
  <c r="BC179" i="70" s="1"/>
  <c r="AL179" i="70"/>
  <c r="AH179" i="70"/>
  <c r="AD179" i="70"/>
  <c r="Y179" i="70"/>
  <c r="X179" i="70"/>
  <c r="T179" i="70"/>
  <c r="P179" i="70"/>
  <c r="M179" i="70"/>
  <c r="AA179" i="70" s="1"/>
  <c r="AE179" i="70" s="1"/>
  <c r="AI179" i="70" s="1"/>
  <c r="AO179" i="70" s="1"/>
  <c r="AS179" i="70" s="1"/>
  <c r="AW179" i="70" s="1"/>
  <c r="BE179" i="70" s="1"/>
  <c r="L179" i="70"/>
  <c r="H179" i="70"/>
  <c r="F179" i="70"/>
  <c r="BA177" i="70"/>
  <c r="AZ177" i="70"/>
  <c r="AV177" i="70"/>
  <c r="AR177" i="70"/>
  <c r="AM177" i="70"/>
  <c r="BC177" i="70" s="1"/>
  <c r="AL177" i="70"/>
  <c r="AI177" i="70"/>
  <c r="AO177" i="70" s="1"/>
  <c r="AS177" i="70" s="1"/>
  <c r="AW177" i="70" s="1"/>
  <c r="BE177" i="70" s="1"/>
  <c r="AH177" i="70"/>
  <c r="AD177" i="70"/>
  <c r="AA177" i="70"/>
  <c r="X177" i="70"/>
  <c r="T177" i="70"/>
  <c r="P177" i="70"/>
  <c r="L177" i="70"/>
  <c r="H177" i="70"/>
  <c r="F177" i="70"/>
  <c r="BA176" i="70"/>
  <c r="AZ176" i="70"/>
  <c r="AV176" i="70"/>
  <c r="AR176" i="70"/>
  <c r="AM176" i="70"/>
  <c r="AL176" i="70"/>
  <c r="AI176" i="70"/>
  <c r="AO176" i="70" s="1"/>
  <c r="AS176" i="70" s="1"/>
  <c r="AW176" i="70" s="1"/>
  <c r="BE176" i="70" s="1"/>
  <c r="AH176" i="70"/>
  <c r="AD176" i="70"/>
  <c r="AA176" i="70"/>
  <c r="X176" i="70"/>
  <c r="T176" i="70"/>
  <c r="P176" i="70"/>
  <c r="L176" i="70"/>
  <c r="H176" i="70"/>
  <c r="F176" i="70"/>
  <c r="BA174" i="70"/>
  <c r="AZ174" i="70"/>
  <c r="AV174" i="70"/>
  <c r="AV183" i="70" s="1"/>
  <c r="AR174" i="70"/>
  <c r="AR183" i="70" s="1"/>
  <c r="AM174" i="70"/>
  <c r="BC174" i="70" s="1"/>
  <c r="AL174" i="70"/>
  <c r="AH174" i="70"/>
  <c r="AH183" i="70" s="1"/>
  <c r="AD174" i="70"/>
  <c r="Y174" i="70"/>
  <c r="X174" i="70"/>
  <c r="T174" i="70"/>
  <c r="P174" i="70"/>
  <c r="M174" i="70"/>
  <c r="L174" i="70"/>
  <c r="H174" i="70"/>
  <c r="H183" i="70" s="1"/>
  <c r="F174" i="70"/>
  <c r="F183" i="70" s="1"/>
  <c r="BA173" i="70"/>
  <c r="AZ173" i="70"/>
  <c r="AV173" i="70"/>
  <c r="AV182" i="70" s="1"/>
  <c r="AR173" i="70"/>
  <c r="AM173" i="70"/>
  <c r="AL173" i="70"/>
  <c r="AL182" i="70" s="1"/>
  <c r="AH173" i="70"/>
  <c r="AD173" i="70"/>
  <c r="AD182" i="70" s="1"/>
  <c r="Y173" i="70"/>
  <c r="X173" i="70"/>
  <c r="T173" i="70"/>
  <c r="P173" i="70"/>
  <c r="M173" i="70"/>
  <c r="Q173" i="70" s="1"/>
  <c r="U173" i="70" s="1"/>
  <c r="L173" i="70"/>
  <c r="L182" i="70" s="1"/>
  <c r="H173" i="70"/>
  <c r="F173" i="70"/>
  <c r="BC169" i="70"/>
  <c r="AZ169" i="70"/>
  <c r="AV169" i="70"/>
  <c r="BB169" i="70" s="1"/>
  <c r="AS169" i="70"/>
  <c r="AW169" i="70" s="1"/>
  <c r="BE169" i="70" s="1"/>
  <c r="AR169" i="70"/>
  <c r="AL169" i="70"/>
  <c r="AH169" i="70"/>
  <c r="AA169" i="70"/>
  <c r="X169" i="70"/>
  <c r="P169" i="70"/>
  <c r="L169" i="70"/>
  <c r="H169" i="70"/>
  <c r="F169" i="70"/>
  <c r="BC168" i="70"/>
  <c r="BB168" i="70"/>
  <c r="AS168" i="70"/>
  <c r="AW168" i="70" s="1"/>
  <c r="BE168" i="70" s="1"/>
  <c r="AN168" i="70"/>
  <c r="AA168" i="70"/>
  <c r="Z168" i="70"/>
  <c r="J168" i="70"/>
  <c r="N168" i="70" s="1"/>
  <c r="BC167" i="70"/>
  <c r="BB167" i="70"/>
  <c r="AS167" i="70"/>
  <c r="AW167" i="70" s="1"/>
  <c r="BE167" i="70" s="1"/>
  <c r="AD167" i="70"/>
  <c r="AD211" i="70" s="1"/>
  <c r="AN211" i="70" s="1"/>
  <c r="AA167" i="70"/>
  <c r="T167" i="70"/>
  <c r="T211" i="70" s="1"/>
  <c r="J167" i="70"/>
  <c r="N167" i="70" s="1"/>
  <c r="BC166" i="70"/>
  <c r="BB166" i="70"/>
  <c r="AS166" i="70"/>
  <c r="AW166" i="70" s="1"/>
  <c r="BE166" i="70" s="1"/>
  <c r="AD166" i="70"/>
  <c r="AD210" i="70" s="1"/>
  <c r="AA166" i="70"/>
  <c r="T166" i="70"/>
  <c r="Z166" i="70" s="1"/>
  <c r="J166" i="70"/>
  <c r="N166" i="70" s="1"/>
  <c r="R166" i="70" s="1"/>
  <c r="BB165" i="70"/>
  <c r="BA165" i="70"/>
  <c r="BA209" i="70" s="1"/>
  <c r="AN165" i="70"/>
  <c r="AM165" i="70"/>
  <c r="Z165" i="70"/>
  <c r="Y165" i="70"/>
  <c r="Y209" i="70" s="1"/>
  <c r="M165" i="70"/>
  <c r="J165" i="70"/>
  <c r="N165" i="70" s="1"/>
  <c r="BB164" i="70"/>
  <c r="BA164" i="70"/>
  <c r="AN164" i="70"/>
  <c r="AM164" i="70"/>
  <c r="Z164" i="70"/>
  <c r="Y164" i="70"/>
  <c r="M164" i="70"/>
  <c r="J164" i="70"/>
  <c r="N164" i="70" s="1"/>
  <c r="R164" i="70" s="1"/>
  <c r="V164" i="70" s="1"/>
  <c r="BA163" i="70"/>
  <c r="AM163" i="70"/>
  <c r="Y163" i="70"/>
  <c r="M163" i="70"/>
  <c r="BA162" i="70"/>
  <c r="AM162" i="70"/>
  <c r="Y162" i="70"/>
  <c r="M162" i="70"/>
  <c r="Q162" i="70" s="1"/>
  <c r="U162" i="70" s="1"/>
  <c r="BA160" i="70"/>
  <c r="BA216" i="70" s="1"/>
  <c r="BA217" i="70" s="1"/>
  <c r="AZ160" i="70"/>
  <c r="AV160" i="70"/>
  <c r="AR160" i="70"/>
  <c r="AM160" i="70"/>
  <c r="AL160" i="70"/>
  <c r="AH160" i="70"/>
  <c r="AD160" i="70"/>
  <c r="Y160" i="70"/>
  <c r="T160" i="70"/>
  <c r="P160" i="70"/>
  <c r="M160" i="70"/>
  <c r="L160" i="70"/>
  <c r="H160" i="70"/>
  <c r="F160" i="70"/>
  <c r="BA159" i="70"/>
  <c r="AZ159" i="70"/>
  <c r="AV159" i="70"/>
  <c r="AR159" i="70"/>
  <c r="AM159" i="70"/>
  <c r="BC159" i="70" s="1"/>
  <c r="AL159" i="70"/>
  <c r="AH159" i="70"/>
  <c r="AD159" i="70"/>
  <c r="Y159" i="70"/>
  <c r="T159" i="70"/>
  <c r="P159" i="70"/>
  <c r="M159" i="70"/>
  <c r="Q159" i="70" s="1"/>
  <c r="U159" i="70" s="1"/>
  <c r="L159" i="70"/>
  <c r="H159" i="70"/>
  <c r="F159" i="70"/>
  <c r="BB157" i="70"/>
  <c r="BA157" i="70"/>
  <c r="AN157" i="70"/>
  <c r="AM157" i="70"/>
  <c r="BC157" i="70" s="1"/>
  <c r="Z157" i="70"/>
  <c r="Y157" i="70"/>
  <c r="M157" i="70"/>
  <c r="Q157" i="70" s="1"/>
  <c r="U157" i="70" s="1"/>
  <c r="J157" i="70"/>
  <c r="N157" i="70" s="1"/>
  <c r="AB157" i="70" s="1"/>
  <c r="AF157" i="70" s="1"/>
  <c r="AJ157" i="70" s="1"/>
  <c r="AP157" i="70" s="1"/>
  <c r="AT157" i="70" s="1"/>
  <c r="AX157" i="70" s="1"/>
  <c r="BF157" i="70" s="1"/>
  <c r="BB156" i="70"/>
  <c r="BA156" i="70"/>
  <c r="AN156" i="70"/>
  <c r="BD156" i="70" s="1"/>
  <c r="AM156" i="70"/>
  <c r="BC156" i="70" s="1"/>
  <c r="Z156" i="70"/>
  <c r="Y156" i="70"/>
  <c r="M156" i="70"/>
  <c r="Q156" i="70" s="1"/>
  <c r="U156" i="70" s="1"/>
  <c r="J156" i="70"/>
  <c r="N156" i="70" s="1"/>
  <c r="BB154" i="70"/>
  <c r="BA154" i="70"/>
  <c r="AN154" i="70"/>
  <c r="AM154" i="70"/>
  <c r="BC154" i="70" s="1"/>
  <c r="Z154" i="70"/>
  <c r="Y154" i="70"/>
  <c r="M154" i="70"/>
  <c r="AA154" i="70" s="1"/>
  <c r="AE154" i="70" s="1"/>
  <c r="AI154" i="70" s="1"/>
  <c r="AO154" i="70" s="1"/>
  <c r="AS154" i="70" s="1"/>
  <c r="AW154" i="70" s="1"/>
  <c r="BE154" i="70" s="1"/>
  <c r="J154" i="70"/>
  <c r="N154" i="70" s="1"/>
  <c r="AB154" i="70" s="1"/>
  <c r="AF154" i="70" s="1"/>
  <c r="AJ154" i="70" s="1"/>
  <c r="AP154" i="70" s="1"/>
  <c r="AT154" i="70" s="1"/>
  <c r="AX154" i="70" s="1"/>
  <c r="BF154" i="70" s="1"/>
  <c r="BB153" i="70"/>
  <c r="BA153" i="70"/>
  <c r="AN153" i="70"/>
  <c r="AM153" i="70"/>
  <c r="BC153" i="70" s="1"/>
  <c r="Z153" i="70"/>
  <c r="Y153" i="70"/>
  <c r="R153" i="70"/>
  <c r="V153" i="70" s="1"/>
  <c r="M153" i="70"/>
  <c r="Q153" i="70" s="1"/>
  <c r="U153" i="70" s="1"/>
  <c r="J153" i="70"/>
  <c r="N153" i="70" s="1"/>
  <c r="BB151" i="70"/>
  <c r="BA151" i="70"/>
  <c r="AN151" i="70"/>
  <c r="AM151" i="70"/>
  <c r="Y151" i="70"/>
  <c r="X151" i="70"/>
  <c r="X195" i="70" s="1"/>
  <c r="Q151" i="70"/>
  <c r="U151" i="70" s="1"/>
  <c r="M151" i="70"/>
  <c r="J151" i="70"/>
  <c r="N151" i="70" s="1"/>
  <c r="R151" i="70" s="1"/>
  <c r="V151" i="70" s="1"/>
  <c r="BB150" i="70"/>
  <c r="BD150" i="70" s="1"/>
  <c r="BA150" i="70"/>
  <c r="AN150" i="70"/>
  <c r="AM150" i="70"/>
  <c r="Z150" i="70"/>
  <c r="Y150" i="70"/>
  <c r="X150" i="70"/>
  <c r="X194" i="70" s="1"/>
  <c r="M150" i="70"/>
  <c r="Q150" i="70" s="1"/>
  <c r="U150" i="70" s="1"/>
  <c r="J150" i="70"/>
  <c r="N150" i="70" s="1"/>
  <c r="R150" i="70" s="1"/>
  <c r="V150" i="70" s="1"/>
  <c r="BB148" i="70"/>
  <c r="BA148" i="70"/>
  <c r="AN148" i="70"/>
  <c r="AM148" i="70"/>
  <c r="Z148" i="70"/>
  <c r="Y148" i="70"/>
  <c r="M148" i="70"/>
  <c r="Q148" i="70" s="1"/>
  <c r="U148" i="70" s="1"/>
  <c r="J148" i="70"/>
  <c r="N148" i="70" s="1"/>
  <c r="BB147" i="70"/>
  <c r="BA147" i="70"/>
  <c r="AN147" i="70"/>
  <c r="AM147" i="70"/>
  <c r="Z147" i="70"/>
  <c r="Y147" i="70"/>
  <c r="M147" i="70"/>
  <c r="Q147" i="70" s="1"/>
  <c r="U147" i="70" s="1"/>
  <c r="J147" i="70"/>
  <c r="N147" i="70" s="1"/>
  <c r="R147" i="70" s="1"/>
  <c r="V147" i="70" s="1"/>
  <c r="BB145" i="70"/>
  <c r="BA145" i="70"/>
  <c r="AN145" i="70"/>
  <c r="AM145" i="70"/>
  <c r="Z145" i="70"/>
  <c r="Y145" i="70"/>
  <c r="M145" i="70"/>
  <c r="Q145" i="70" s="1"/>
  <c r="U145" i="70" s="1"/>
  <c r="J145" i="70"/>
  <c r="N145" i="70" s="1"/>
  <c r="R145" i="70" s="1"/>
  <c r="V145" i="70" s="1"/>
  <c r="BB144" i="70"/>
  <c r="BA144" i="70"/>
  <c r="AN144" i="70"/>
  <c r="AM144" i="70"/>
  <c r="Z144" i="70"/>
  <c r="Y144" i="70"/>
  <c r="M144" i="70"/>
  <c r="Q144" i="70" s="1"/>
  <c r="U144" i="70" s="1"/>
  <c r="J144" i="70"/>
  <c r="N144" i="70" s="1"/>
  <c r="R144" i="70" s="1"/>
  <c r="V144" i="70" s="1"/>
  <c r="BB142" i="70"/>
  <c r="BA142" i="70"/>
  <c r="AN142" i="70"/>
  <c r="AM142" i="70"/>
  <c r="BC142" i="70" s="1"/>
  <c r="Z142" i="70"/>
  <c r="Y142" i="70"/>
  <c r="M142" i="70"/>
  <c r="Q142" i="70" s="1"/>
  <c r="U142" i="70" s="1"/>
  <c r="J142" i="70"/>
  <c r="N142" i="70" s="1"/>
  <c r="AB142" i="70" s="1"/>
  <c r="AF142" i="70" s="1"/>
  <c r="AJ142" i="70" s="1"/>
  <c r="AP142" i="70" s="1"/>
  <c r="AT142" i="70" s="1"/>
  <c r="AX142" i="70" s="1"/>
  <c r="BF142" i="70" s="1"/>
  <c r="BB141" i="70"/>
  <c r="BA141" i="70"/>
  <c r="AN141" i="70"/>
  <c r="AM141" i="70"/>
  <c r="Z141" i="70"/>
  <c r="Y141" i="70"/>
  <c r="M141" i="70"/>
  <c r="Q141" i="70" s="1"/>
  <c r="U141" i="70" s="1"/>
  <c r="J141" i="70"/>
  <c r="N141" i="70" s="1"/>
  <c r="R141" i="70" s="1"/>
  <c r="V141" i="70" s="1"/>
  <c r="BC139" i="70"/>
  <c r="AZ139" i="70"/>
  <c r="AV139" i="70"/>
  <c r="AS139" i="70"/>
  <c r="AW139" i="70" s="1"/>
  <c r="BE139" i="70" s="1"/>
  <c r="AR139" i="70"/>
  <c r="AL139" i="70"/>
  <c r="AH139" i="70"/>
  <c r="AH163" i="70" s="1"/>
  <c r="AD139" i="70"/>
  <c r="AA139" i="70"/>
  <c r="X139" i="70"/>
  <c r="T139" i="70"/>
  <c r="T163" i="70" s="1"/>
  <c r="P139" i="70"/>
  <c r="L139" i="70"/>
  <c r="H139" i="70"/>
  <c r="F139" i="70"/>
  <c r="F163" i="70" s="1"/>
  <c r="A139" i="70"/>
  <c r="A140" i="70" s="1"/>
  <c r="BC138" i="70"/>
  <c r="AZ138" i="70"/>
  <c r="AZ162" i="70" s="1"/>
  <c r="AV138" i="70"/>
  <c r="AS138" i="70"/>
  <c r="AW138" i="70" s="1"/>
  <c r="BE138" i="70" s="1"/>
  <c r="AR138" i="70"/>
  <c r="AL138" i="70"/>
  <c r="AH138" i="70"/>
  <c r="AD138" i="70"/>
  <c r="AA138" i="70"/>
  <c r="X138" i="70"/>
  <c r="T138" i="70"/>
  <c r="T162" i="70" s="1"/>
  <c r="P138" i="70"/>
  <c r="L138" i="70"/>
  <c r="H138" i="70"/>
  <c r="H162" i="70" s="1"/>
  <c r="F138" i="70"/>
  <c r="A137" i="70"/>
  <c r="BB136" i="70"/>
  <c r="BA136" i="70"/>
  <c r="AN136" i="70"/>
  <c r="AM136" i="70"/>
  <c r="Z136" i="70"/>
  <c r="Y136" i="70"/>
  <c r="M136" i="70"/>
  <c r="Q136" i="70" s="1"/>
  <c r="U136" i="70" s="1"/>
  <c r="J136" i="70"/>
  <c r="N136" i="70" s="1"/>
  <c r="BB135" i="70"/>
  <c r="BA135" i="70"/>
  <c r="AN135" i="70"/>
  <c r="AM135" i="70"/>
  <c r="BC135" i="70" s="1"/>
  <c r="Z135" i="70"/>
  <c r="Y135" i="70"/>
  <c r="N135" i="70"/>
  <c r="R135" i="70" s="1"/>
  <c r="V135" i="70" s="1"/>
  <c r="M135" i="70"/>
  <c r="AA135" i="70" s="1"/>
  <c r="AE135" i="70" s="1"/>
  <c r="AI135" i="70" s="1"/>
  <c r="AO135" i="70" s="1"/>
  <c r="AS135" i="70" s="1"/>
  <c r="AW135" i="70" s="1"/>
  <c r="BE135" i="70" s="1"/>
  <c r="J135" i="70"/>
  <c r="BB133" i="70"/>
  <c r="BA133" i="70"/>
  <c r="AN133" i="70"/>
  <c r="AM133" i="70"/>
  <c r="AI133" i="70"/>
  <c r="AO133" i="70" s="1"/>
  <c r="AS133" i="70" s="1"/>
  <c r="AW133" i="70" s="1"/>
  <c r="BE133" i="70" s="1"/>
  <c r="AA133" i="70"/>
  <c r="Z133" i="70"/>
  <c r="J133" i="70"/>
  <c r="N133" i="70" s="1"/>
  <c r="BB132" i="70"/>
  <c r="BA132" i="70"/>
  <c r="AN132" i="70"/>
  <c r="AM132" i="70"/>
  <c r="AI132" i="70"/>
  <c r="AO132" i="70" s="1"/>
  <c r="AS132" i="70" s="1"/>
  <c r="AW132" i="70" s="1"/>
  <c r="BE132" i="70" s="1"/>
  <c r="AA132" i="70"/>
  <c r="Z132" i="70"/>
  <c r="J132" i="70"/>
  <c r="N132" i="70" s="1"/>
  <c r="R132" i="70" s="1"/>
  <c r="V132" i="70" s="1"/>
  <c r="BB130" i="70"/>
  <c r="BA130" i="70"/>
  <c r="AN130" i="70"/>
  <c r="AM130" i="70"/>
  <c r="Z130" i="70"/>
  <c r="Y130" i="70"/>
  <c r="M130" i="70"/>
  <c r="J130" i="70"/>
  <c r="N130" i="70" s="1"/>
  <c r="R130" i="70" s="1"/>
  <c r="V130" i="70" s="1"/>
  <c r="BB129" i="70"/>
  <c r="BA129" i="70"/>
  <c r="AN129" i="70"/>
  <c r="AM129" i="70"/>
  <c r="Z129" i="70"/>
  <c r="Y129" i="70"/>
  <c r="U129" i="70"/>
  <c r="M129" i="70"/>
  <c r="Q129" i="70" s="1"/>
  <c r="J129" i="70"/>
  <c r="N129" i="70" s="1"/>
  <c r="AB129" i="70" s="1"/>
  <c r="AF129" i="70" s="1"/>
  <c r="AJ129" i="70" s="1"/>
  <c r="AP129" i="70" s="1"/>
  <c r="AT129" i="70" s="1"/>
  <c r="AX129" i="70" s="1"/>
  <c r="BF129" i="70" s="1"/>
  <c r="BC125" i="70"/>
  <c r="AZ125" i="70"/>
  <c r="AV125" i="70"/>
  <c r="AS125" i="70"/>
  <c r="AW125" i="70" s="1"/>
  <c r="BE125" i="70" s="1"/>
  <c r="AR125" i="70"/>
  <c r="AL125" i="70"/>
  <c r="AH125" i="70"/>
  <c r="AD125" i="70"/>
  <c r="AA125" i="70"/>
  <c r="X125" i="70"/>
  <c r="P125" i="70"/>
  <c r="L125" i="70"/>
  <c r="H125" i="70"/>
  <c r="F125" i="70"/>
  <c r="BC124" i="70"/>
  <c r="BB124" i="70"/>
  <c r="AS124" i="70"/>
  <c r="AW124" i="70" s="1"/>
  <c r="BE124" i="70" s="1"/>
  <c r="AN124" i="70"/>
  <c r="AA124" i="70"/>
  <c r="Z124" i="70"/>
  <c r="J124" i="70"/>
  <c r="N124" i="70" s="1"/>
  <c r="BC123" i="70"/>
  <c r="BB123" i="70"/>
  <c r="AS123" i="70"/>
  <c r="AW123" i="70" s="1"/>
  <c r="BE123" i="70" s="1"/>
  <c r="AN123" i="70"/>
  <c r="AA123" i="70"/>
  <c r="Z123" i="70"/>
  <c r="J123" i="70"/>
  <c r="N123" i="70" s="1"/>
  <c r="R123" i="70" s="1"/>
  <c r="V123" i="70" s="1"/>
  <c r="BC122" i="70"/>
  <c r="BB122" i="70"/>
  <c r="AS122" i="70"/>
  <c r="AW122" i="70" s="1"/>
  <c r="BE122" i="70" s="1"/>
  <c r="AN122" i="70"/>
  <c r="AA122" i="70"/>
  <c r="T122" i="70"/>
  <c r="J122" i="70"/>
  <c r="N122" i="70" s="1"/>
  <c r="R122" i="70" s="1"/>
  <c r="BC121" i="70"/>
  <c r="AS121" i="70"/>
  <c r="AW121" i="70" s="1"/>
  <c r="BE121" i="70" s="1"/>
  <c r="AA121" i="70"/>
  <c r="BC120" i="70"/>
  <c r="AS120" i="70"/>
  <c r="AW120" i="70" s="1"/>
  <c r="BE120" i="70" s="1"/>
  <c r="AA120" i="70"/>
  <c r="BC118" i="70"/>
  <c r="AZ118" i="70"/>
  <c r="AZ216" i="70" s="1"/>
  <c r="AV118" i="70"/>
  <c r="AV216" i="70" s="1"/>
  <c r="AS118" i="70"/>
  <c r="AW118" i="70" s="1"/>
  <c r="BE118" i="70" s="1"/>
  <c r="AR118" i="70"/>
  <c r="AL118" i="70"/>
  <c r="AL216" i="70" s="1"/>
  <c r="AH118" i="70"/>
  <c r="AH216" i="70" s="1"/>
  <c r="AD118" i="70"/>
  <c r="AD216" i="70" s="1"/>
  <c r="AA118" i="70"/>
  <c r="X118" i="70"/>
  <c r="T118" i="70"/>
  <c r="T216" i="70" s="1"/>
  <c r="P118" i="70"/>
  <c r="P216" i="70" s="1"/>
  <c r="L118" i="70"/>
  <c r="L216" i="70" s="1"/>
  <c r="H118" i="70"/>
  <c r="H216" i="70" s="1"/>
  <c r="F118" i="70"/>
  <c r="F216" i="70" s="1"/>
  <c r="BC117" i="70"/>
  <c r="AZ117" i="70"/>
  <c r="AV117" i="70"/>
  <c r="AS117" i="70"/>
  <c r="AW117" i="70" s="1"/>
  <c r="BE117" i="70" s="1"/>
  <c r="AR117" i="70"/>
  <c r="AL117" i="70"/>
  <c r="AH117" i="70"/>
  <c r="AD117" i="70"/>
  <c r="AA117" i="70"/>
  <c r="X117" i="70"/>
  <c r="T117" i="70"/>
  <c r="P117" i="70"/>
  <c r="L117" i="70"/>
  <c r="H117" i="70"/>
  <c r="F117" i="70"/>
  <c r="BB115" i="70"/>
  <c r="BA115" i="70"/>
  <c r="AN115" i="70"/>
  <c r="AM115" i="70"/>
  <c r="Z115" i="70"/>
  <c r="Y115" i="70"/>
  <c r="M115" i="70"/>
  <c r="Q115" i="70" s="1"/>
  <c r="U115" i="70" s="1"/>
  <c r="J115" i="70"/>
  <c r="N115" i="70" s="1"/>
  <c r="BB114" i="70"/>
  <c r="BA114" i="70"/>
  <c r="AN114" i="70"/>
  <c r="AM114" i="70"/>
  <c r="Z114" i="70"/>
  <c r="Y114" i="70"/>
  <c r="M114" i="70"/>
  <c r="Q114" i="70" s="1"/>
  <c r="U114" i="70" s="1"/>
  <c r="J114" i="70"/>
  <c r="N114" i="70" s="1"/>
  <c r="A113" i="70"/>
  <c r="A115" i="70" s="1"/>
  <c r="BB112" i="70"/>
  <c r="BA112" i="70"/>
  <c r="AN112" i="70"/>
  <c r="AM112" i="70"/>
  <c r="Z112" i="70"/>
  <c r="Y112" i="70"/>
  <c r="M112" i="70"/>
  <c r="Q112" i="70" s="1"/>
  <c r="U112" i="70" s="1"/>
  <c r="J112" i="70"/>
  <c r="N112" i="70" s="1"/>
  <c r="BB111" i="70"/>
  <c r="BA111" i="70"/>
  <c r="AN111" i="70"/>
  <c r="AM111" i="70"/>
  <c r="BC111" i="70" s="1"/>
  <c r="Z111" i="70"/>
  <c r="Y111" i="70"/>
  <c r="M111" i="70"/>
  <c r="Q111" i="70" s="1"/>
  <c r="U111" i="70" s="1"/>
  <c r="J111" i="70"/>
  <c r="N111" i="70" s="1"/>
  <c r="R111" i="70" s="1"/>
  <c r="V111" i="70" s="1"/>
  <c r="BB109" i="70"/>
  <c r="BA109" i="70"/>
  <c r="AN109" i="70"/>
  <c r="AM109" i="70"/>
  <c r="BC109" i="70" s="1"/>
  <c r="Z109" i="70"/>
  <c r="Y109" i="70"/>
  <c r="M109" i="70"/>
  <c r="Q109" i="70" s="1"/>
  <c r="U109" i="70" s="1"/>
  <c r="J109" i="70"/>
  <c r="N109" i="70" s="1"/>
  <c r="AB109" i="70" s="1"/>
  <c r="AF109" i="70" s="1"/>
  <c r="AJ109" i="70" s="1"/>
  <c r="AP109" i="70" s="1"/>
  <c r="AT109" i="70" s="1"/>
  <c r="AX109" i="70" s="1"/>
  <c r="BF109" i="70" s="1"/>
  <c r="BB108" i="70"/>
  <c r="BA108" i="70"/>
  <c r="AN108" i="70"/>
  <c r="AM108" i="70"/>
  <c r="Z108" i="70"/>
  <c r="Y108" i="70"/>
  <c r="M108" i="70"/>
  <c r="Q108" i="70" s="1"/>
  <c r="U108" i="70" s="1"/>
  <c r="J108" i="70"/>
  <c r="N108" i="70" s="1"/>
  <c r="BB106" i="70"/>
  <c r="BA106" i="70"/>
  <c r="AN106" i="70"/>
  <c r="AM106" i="70"/>
  <c r="Z106" i="70"/>
  <c r="Y106" i="70"/>
  <c r="M106" i="70"/>
  <c r="Q106" i="70" s="1"/>
  <c r="U106" i="70" s="1"/>
  <c r="J106" i="70"/>
  <c r="N106" i="70" s="1"/>
  <c r="BB105" i="70"/>
  <c r="BA105" i="70"/>
  <c r="AN105" i="70"/>
  <c r="AM105" i="70"/>
  <c r="BC105" i="70" s="1"/>
  <c r="Z105" i="70"/>
  <c r="Y105" i="70"/>
  <c r="M105" i="70"/>
  <c r="J105" i="70"/>
  <c r="N105" i="70" s="1"/>
  <c r="BB103" i="70"/>
  <c r="BA103" i="70"/>
  <c r="AN103" i="70"/>
  <c r="AM103" i="70"/>
  <c r="BC103" i="70" s="1"/>
  <c r="Z103" i="70"/>
  <c r="Y103" i="70"/>
  <c r="M103" i="70"/>
  <c r="J103" i="70"/>
  <c r="N103" i="70" s="1"/>
  <c r="R103" i="70" s="1"/>
  <c r="V103" i="70" s="1"/>
  <c r="BB102" i="70"/>
  <c r="BA102" i="70"/>
  <c r="AN102" i="70"/>
  <c r="AM102" i="70"/>
  <c r="Z102" i="70"/>
  <c r="Y102" i="70"/>
  <c r="Q102" i="70"/>
  <c r="U102" i="70" s="1"/>
  <c r="M102" i="70"/>
  <c r="J102" i="70"/>
  <c r="N102" i="70" s="1"/>
  <c r="BB100" i="70"/>
  <c r="BA100" i="70"/>
  <c r="AN100" i="70"/>
  <c r="AM100" i="70"/>
  <c r="Z100" i="70"/>
  <c r="Y100" i="70"/>
  <c r="M100" i="70"/>
  <c r="J100" i="70"/>
  <c r="N100" i="70" s="1"/>
  <c r="BB99" i="70"/>
  <c r="BA99" i="70"/>
  <c r="AN99" i="70"/>
  <c r="AM99" i="70"/>
  <c r="Z99" i="70"/>
  <c r="Y99" i="70"/>
  <c r="M99" i="70"/>
  <c r="Q99" i="70" s="1"/>
  <c r="U99" i="70" s="1"/>
  <c r="J99" i="70"/>
  <c r="N99" i="70" s="1"/>
  <c r="BC97" i="70"/>
  <c r="AZ97" i="70"/>
  <c r="AZ121" i="70" s="1"/>
  <c r="AV97" i="70"/>
  <c r="AS97" i="70"/>
  <c r="AW97" i="70" s="1"/>
  <c r="BE97" i="70" s="1"/>
  <c r="AR97" i="70"/>
  <c r="AL97" i="70"/>
  <c r="AL121" i="70" s="1"/>
  <c r="AH97" i="70"/>
  <c r="AD97" i="70"/>
  <c r="AA97" i="70"/>
  <c r="X97" i="70"/>
  <c r="T97" i="70"/>
  <c r="T121" i="70" s="1"/>
  <c r="P97" i="70"/>
  <c r="L97" i="70"/>
  <c r="H97" i="70"/>
  <c r="H121" i="70" s="1"/>
  <c r="F97" i="70"/>
  <c r="BC96" i="70"/>
  <c r="AZ96" i="70"/>
  <c r="AV96" i="70"/>
  <c r="AS96" i="70"/>
  <c r="AW96" i="70" s="1"/>
  <c r="BE96" i="70" s="1"/>
  <c r="AR96" i="70"/>
  <c r="AL96" i="70"/>
  <c r="AL120" i="70" s="1"/>
  <c r="AH96" i="70"/>
  <c r="AD96" i="70"/>
  <c r="AA96" i="70"/>
  <c r="X96" i="70"/>
  <c r="T96" i="70"/>
  <c r="P96" i="70"/>
  <c r="L96" i="70"/>
  <c r="H96" i="70"/>
  <c r="H120" i="70" s="1"/>
  <c r="F96" i="70"/>
  <c r="BB94" i="70"/>
  <c r="BA94" i="70"/>
  <c r="AN94" i="70"/>
  <c r="AM94" i="70"/>
  <c r="AI94" i="70"/>
  <c r="AO94" i="70" s="1"/>
  <c r="AS94" i="70" s="1"/>
  <c r="AW94" i="70" s="1"/>
  <c r="BE94" i="70" s="1"/>
  <c r="Z94" i="70"/>
  <c r="Y94" i="70"/>
  <c r="AA94" i="70" s="1"/>
  <c r="J94" i="70"/>
  <c r="N94" i="70" s="1"/>
  <c r="BB93" i="70"/>
  <c r="BA93" i="70"/>
  <c r="AN93" i="70"/>
  <c r="AM93" i="70"/>
  <c r="AI93" i="70"/>
  <c r="AO93" i="70" s="1"/>
  <c r="AS93" i="70" s="1"/>
  <c r="AW93" i="70" s="1"/>
  <c r="BE93" i="70" s="1"/>
  <c r="Z93" i="70"/>
  <c r="Y93" i="70"/>
  <c r="AA93" i="70" s="1"/>
  <c r="J93" i="70"/>
  <c r="N93" i="70" s="1"/>
  <c r="BB91" i="70"/>
  <c r="BA91" i="70"/>
  <c r="AN91" i="70"/>
  <c r="BD91" i="70" s="1"/>
  <c r="AM91" i="70"/>
  <c r="Z91" i="70"/>
  <c r="Y91" i="70"/>
  <c r="Q91" i="70"/>
  <c r="U91" i="70" s="1"/>
  <c r="M91" i="70"/>
  <c r="J91" i="70"/>
  <c r="N91" i="70" s="1"/>
  <c r="AB91" i="70" s="1"/>
  <c r="AF91" i="70" s="1"/>
  <c r="AJ91" i="70" s="1"/>
  <c r="AP91" i="70" s="1"/>
  <c r="AT91" i="70" s="1"/>
  <c r="AX91" i="70" s="1"/>
  <c r="BF91" i="70" s="1"/>
  <c r="BB90" i="70"/>
  <c r="BA90" i="70"/>
  <c r="AN90" i="70"/>
  <c r="AM90" i="70"/>
  <c r="Z90" i="70"/>
  <c r="Y90" i="70"/>
  <c r="M90" i="70"/>
  <c r="J90" i="70"/>
  <c r="N90" i="70" s="1"/>
  <c r="R90" i="70" s="1"/>
  <c r="V90" i="70" s="1"/>
  <c r="BB88" i="70"/>
  <c r="BA88" i="70"/>
  <c r="AN88" i="70"/>
  <c r="AM88" i="70"/>
  <c r="Z88" i="70"/>
  <c r="Y88" i="70"/>
  <c r="M88" i="70"/>
  <c r="Q88" i="70" s="1"/>
  <c r="U88" i="70" s="1"/>
  <c r="J88" i="70"/>
  <c r="N88" i="70" s="1"/>
  <c r="AB88" i="70" s="1"/>
  <c r="AF88" i="70" s="1"/>
  <c r="AJ88" i="70" s="1"/>
  <c r="AP88" i="70" s="1"/>
  <c r="AT88" i="70" s="1"/>
  <c r="AX88" i="70" s="1"/>
  <c r="BF88" i="70" s="1"/>
  <c r="BB87" i="70"/>
  <c r="BA87" i="70"/>
  <c r="AN87" i="70"/>
  <c r="AM87" i="70"/>
  <c r="Z87" i="70"/>
  <c r="Y87" i="70"/>
  <c r="M87" i="70"/>
  <c r="Q87" i="70" s="1"/>
  <c r="U87" i="70" s="1"/>
  <c r="J87" i="70"/>
  <c r="N87" i="70" s="1"/>
  <c r="R87" i="70" s="1"/>
  <c r="V87" i="70" s="1"/>
  <c r="BA83" i="70"/>
  <c r="AZ83" i="70"/>
  <c r="AV83" i="70"/>
  <c r="AR83" i="70"/>
  <c r="AM83" i="70"/>
  <c r="AL83" i="70"/>
  <c r="AH83" i="70"/>
  <c r="AD83" i="70"/>
  <c r="Y83" i="70"/>
  <c r="X83" i="70"/>
  <c r="T83" i="70"/>
  <c r="Q83" i="70"/>
  <c r="U83" i="70" s="1"/>
  <c r="P83" i="70"/>
  <c r="M83" i="70"/>
  <c r="L83" i="70"/>
  <c r="H83" i="70"/>
  <c r="F83" i="70"/>
  <c r="BB82" i="70"/>
  <c r="BA82" i="70"/>
  <c r="AN82" i="70"/>
  <c r="AM82" i="70"/>
  <c r="Z82" i="70"/>
  <c r="Y82" i="70"/>
  <c r="M82" i="70"/>
  <c r="Q82" i="70" s="1"/>
  <c r="U82" i="70" s="1"/>
  <c r="J82" i="70"/>
  <c r="N82" i="70" s="1"/>
  <c r="BB81" i="70"/>
  <c r="BA81" i="70"/>
  <c r="AN81" i="70"/>
  <c r="AM81" i="70"/>
  <c r="Z81" i="70"/>
  <c r="Y81" i="70"/>
  <c r="M81" i="70"/>
  <c r="J81" i="70"/>
  <c r="N81" i="70" s="1"/>
  <c r="BB80" i="70"/>
  <c r="BA80" i="70"/>
  <c r="AN80" i="70"/>
  <c r="AM80" i="70"/>
  <c r="Z80" i="70"/>
  <c r="Y80" i="70"/>
  <c r="M80" i="70"/>
  <c r="J80" i="70"/>
  <c r="N80" i="70" s="1"/>
  <c r="R80" i="70" s="1"/>
  <c r="V80" i="70" s="1"/>
  <c r="BA77" i="70"/>
  <c r="AZ77" i="70"/>
  <c r="AV77" i="70"/>
  <c r="AR77" i="70"/>
  <c r="AM77" i="70"/>
  <c r="AL77" i="70"/>
  <c r="AH77" i="70"/>
  <c r="AD77" i="70"/>
  <c r="Y77" i="70"/>
  <c r="X77" i="70"/>
  <c r="T77" i="70"/>
  <c r="P77" i="70"/>
  <c r="M77" i="70"/>
  <c r="L77" i="70"/>
  <c r="H77" i="70"/>
  <c r="F77" i="70"/>
  <c r="BA76" i="70"/>
  <c r="AZ76" i="70"/>
  <c r="AV76" i="70"/>
  <c r="AR76" i="70"/>
  <c r="AM76" i="70"/>
  <c r="BC76" i="70" s="1"/>
  <c r="AL76" i="70"/>
  <c r="AH76" i="70"/>
  <c r="AD76" i="70"/>
  <c r="Y76" i="70"/>
  <c r="X76" i="70"/>
  <c r="T76" i="70"/>
  <c r="P76" i="70"/>
  <c r="M76" i="70"/>
  <c r="AA76" i="70" s="1"/>
  <c r="AE76" i="70" s="1"/>
  <c r="AI76" i="70" s="1"/>
  <c r="AO76" i="70" s="1"/>
  <c r="AS76" i="70" s="1"/>
  <c r="AW76" i="70" s="1"/>
  <c r="BE76" i="70" s="1"/>
  <c r="L76" i="70"/>
  <c r="H76" i="70"/>
  <c r="F76" i="70"/>
  <c r="BB75" i="70"/>
  <c r="BA75" i="70"/>
  <c r="AN75" i="70"/>
  <c r="AM75" i="70"/>
  <c r="Z75" i="70"/>
  <c r="Y75" i="70"/>
  <c r="M75" i="70"/>
  <c r="Q75" i="70" s="1"/>
  <c r="U75" i="70" s="1"/>
  <c r="J75" i="70"/>
  <c r="N75" i="70" s="1"/>
  <c r="BB74" i="70"/>
  <c r="BA74" i="70"/>
  <c r="AN74" i="70"/>
  <c r="AM74" i="70"/>
  <c r="Z74" i="70"/>
  <c r="Y74" i="70"/>
  <c r="M74" i="70"/>
  <c r="J74" i="70"/>
  <c r="N74" i="70" s="1"/>
  <c r="R74" i="70" s="1"/>
  <c r="V74" i="70" s="1"/>
  <c r="BB73" i="70"/>
  <c r="BA73" i="70"/>
  <c r="AN73" i="70"/>
  <c r="BD73" i="70" s="1"/>
  <c r="AM73" i="70"/>
  <c r="Z73" i="70"/>
  <c r="Y73" i="70"/>
  <c r="M73" i="70"/>
  <c r="Q73" i="70" s="1"/>
  <c r="U73" i="70" s="1"/>
  <c r="J73" i="70"/>
  <c r="N73" i="70" s="1"/>
  <c r="BB72" i="70"/>
  <c r="BA72" i="70"/>
  <c r="AN72" i="70"/>
  <c r="BD72" i="70" s="1"/>
  <c r="AM72" i="70"/>
  <c r="Z72" i="70"/>
  <c r="Y72" i="70"/>
  <c r="M72" i="70"/>
  <c r="Q72" i="70" s="1"/>
  <c r="U72" i="70" s="1"/>
  <c r="J72" i="70"/>
  <c r="N72" i="70" s="1"/>
  <c r="R72" i="70" s="1"/>
  <c r="V72" i="70" s="1"/>
  <c r="BB71" i="70"/>
  <c r="BA71" i="70"/>
  <c r="AN71" i="70"/>
  <c r="AM71" i="70"/>
  <c r="Z71" i="70"/>
  <c r="Y71" i="70"/>
  <c r="M71" i="70"/>
  <c r="Q71" i="70" s="1"/>
  <c r="U71" i="70" s="1"/>
  <c r="J71" i="70"/>
  <c r="N71" i="70" s="1"/>
  <c r="BB70" i="70"/>
  <c r="BA70" i="70"/>
  <c r="AN70" i="70"/>
  <c r="AM70" i="70"/>
  <c r="Z70" i="70"/>
  <c r="Y70" i="70"/>
  <c r="M70" i="70"/>
  <c r="J70" i="70"/>
  <c r="N70" i="70" s="1"/>
  <c r="R70" i="70" s="1"/>
  <c r="V70" i="70" s="1"/>
  <c r="BA67" i="70"/>
  <c r="AC67" i="70"/>
  <c r="AM67" i="70" s="1"/>
  <c r="BC67" i="70" s="1"/>
  <c r="W67" i="70"/>
  <c r="S67" i="70"/>
  <c r="O67" i="70"/>
  <c r="K67" i="70"/>
  <c r="M67" i="70" s="1"/>
  <c r="G67" i="70"/>
  <c r="E67" i="70"/>
  <c r="BA66" i="70"/>
  <c r="AS66" i="70"/>
  <c r="AW66" i="70" s="1"/>
  <c r="BE66" i="70" s="1"/>
  <c r="AM66" i="70"/>
  <c r="AA66" i="70"/>
  <c r="BA63" i="70"/>
  <c r="AZ63" i="70"/>
  <c r="AV63" i="70"/>
  <c r="AR63" i="70"/>
  <c r="AM63" i="70"/>
  <c r="BC63" i="70" s="1"/>
  <c r="AL63" i="70"/>
  <c r="AH63" i="70"/>
  <c r="AD63" i="70"/>
  <c r="Y63" i="70"/>
  <c r="X63" i="70"/>
  <c r="T63" i="70"/>
  <c r="P63" i="70"/>
  <c r="M63" i="70"/>
  <c r="L63" i="70"/>
  <c r="H63" i="70"/>
  <c r="F63" i="70"/>
  <c r="BA62" i="70"/>
  <c r="AZ62" i="70"/>
  <c r="AV62" i="70"/>
  <c r="AR62" i="70"/>
  <c r="AM62" i="70"/>
  <c r="BC62" i="70" s="1"/>
  <c r="AL62" i="70"/>
  <c r="AH62" i="70"/>
  <c r="AD62" i="70"/>
  <c r="Y62" i="70"/>
  <c r="X62" i="70"/>
  <c r="T62" i="70"/>
  <c r="P62" i="70"/>
  <c r="M62" i="70"/>
  <c r="Q62" i="70" s="1"/>
  <c r="U62" i="70" s="1"/>
  <c r="L62" i="70"/>
  <c r="H62" i="70"/>
  <c r="F62" i="70"/>
  <c r="BB61" i="70"/>
  <c r="BA61" i="70"/>
  <c r="AN61" i="70"/>
  <c r="AM61" i="70"/>
  <c r="BC61" i="70" s="1"/>
  <c r="AI61" i="70"/>
  <c r="AO61" i="70" s="1"/>
  <c r="AS61" i="70" s="1"/>
  <c r="AW61" i="70" s="1"/>
  <c r="BE61" i="70" s="1"/>
  <c r="AA61" i="70"/>
  <c r="Z61" i="70"/>
  <c r="J61" i="70"/>
  <c r="N61" i="70" s="1"/>
  <c r="BB60" i="70"/>
  <c r="BA60" i="70"/>
  <c r="AN60" i="70"/>
  <c r="AM60" i="70"/>
  <c r="BC60" i="70" s="1"/>
  <c r="AI60" i="70"/>
  <c r="AO60" i="70" s="1"/>
  <c r="AS60" i="70" s="1"/>
  <c r="AW60" i="70" s="1"/>
  <c r="BE60" i="70" s="1"/>
  <c r="AA60" i="70"/>
  <c r="Z60" i="70"/>
  <c r="J60" i="70"/>
  <c r="N60" i="70" s="1"/>
  <c r="BB59" i="70"/>
  <c r="BA59" i="70"/>
  <c r="AN59" i="70"/>
  <c r="AM59" i="70"/>
  <c r="Z59" i="70"/>
  <c r="Y59" i="70"/>
  <c r="N59" i="70"/>
  <c r="AB59" i="70" s="1"/>
  <c r="AF59" i="70" s="1"/>
  <c r="AJ59" i="70" s="1"/>
  <c r="AP59" i="70" s="1"/>
  <c r="AT59" i="70" s="1"/>
  <c r="AX59" i="70" s="1"/>
  <c r="BF59" i="70" s="1"/>
  <c r="M59" i="70"/>
  <c r="Q59" i="70" s="1"/>
  <c r="U59" i="70" s="1"/>
  <c r="J59" i="70"/>
  <c r="BB58" i="70"/>
  <c r="BA58" i="70"/>
  <c r="AN58" i="70"/>
  <c r="AM58" i="70"/>
  <c r="Z58" i="70"/>
  <c r="Y58" i="70"/>
  <c r="AA58" i="70" s="1"/>
  <c r="AE58" i="70" s="1"/>
  <c r="AI58" i="70" s="1"/>
  <c r="AO58" i="70" s="1"/>
  <c r="AS58" i="70" s="1"/>
  <c r="AW58" i="70" s="1"/>
  <c r="BE58" i="70" s="1"/>
  <c r="M58" i="70"/>
  <c r="Q58" i="70" s="1"/>
  <c r="U58" i="70" s="1"/>
  <c r="J58" i="70"/>
  <c r="N58" i="70" s="1"/>
  <c r="BB57" i="70"/>
  <c r="BA57" i="70"/>
  <c r="AN57" i="70"/>
  <c r="AM57" i="70"/>
  <c r="Z57" i="70"/>
  <c r="Y57" i="70"/>
  <c r="M57" i="70"/>
  <c r="Q57" i="70" s="1"/>
  <c r="U57" i="70" s="1"/>
  <c r="J57" i="70"/>
  <c r="N57" i="70" s="1"/>
  <c r="BB56" i="70"/>
  <c r="BA56" i="70"/>
  <c r="AN56" i="70"/>
  <c r="AM56" i="70"/>
  <c r="Z56" i="70"/>
  <c r="Y56" i="70"/>
  <c r="M56" i="70"/>
  <c r="J56" i="70"/>
  <c r="N56" i="70" s="1"/>
  <c r="BB55" i="70"/>
  <c r="BA55" i="70"/>
  <c r="AN55" i="70"/>
  <c r="AM55" i="70"/>
  <c r="Z55" i="70"/>
  <c r="Y55" i="70"/>
  <c r="M55" i="70"/>
  <c r="J55" i="70"/>
  <c r="N55" i="70" s="1"/>
  <c r="R55" i="70" s="1"/>
  <c r="V55" i="70" s="1"/>
  <c r="BB54" i="70"/>
  <c r="BA54" i="70"/>
  <c r="AN54" i="70"/>
  <c r="AM54" i="70"/>
  <c r="Z54" i="70"/>
  <c r="Y54" i="70"/>
  <c r="M54" i="70"/>
  <c r="Q54" i="70" s="1"/>
  <c r="U54" i="70" s="1"/>
  <c r="J54" i="70"/>
  <c r="N54" i="70" s="1"/>
  <c r="BA51" i="70"/>
  <c r="AZ51" i="70"/>
  <c r="AV51" i="70"/>
  <c r="AV67" i="70" s="1"/>
  <c r="AR51" i="70"/>
  <c r="AR67" i="70" s="1"/>
  <c r="AM51" i="70"/>
  <c r="BC51" i="70" s="1"/>
  <c r="AL51" i="70"/>
  <c r="AL67" i="70" s="1"/>
  <c r="AH51" i="70"/>
  <c r="AH67" i="70" s="1"/>
  <c r="AD51" i="70"/>
  <c r="AD67" i="70" s="1"/>
  <c r="Y51" i="70"/>
  <c r="X51" i="70"/>
  <c r="X67" i="70" s="1"/>
  <c r="T51" i="70"/>
  <c r="P51" i="70"/>
  <c r="P67" i="70" s="1"/>
  <c r="M51" i="70"/>
  <c r="AA51" i="70" s="1"/>
  <c r="AE51" i="70" s="1"/>
  <c r="AI51" i="70" s="1"/>
  <c r="AO51" i="70" s="1"/>
  <c r="AS51" i="70" s="1"/>
  <c r="AW51" i="70" s="1"/>
  <c r="BE51" i="70" s="1"/>
  <c r="L51" i="70"/>
  <c r="L67" i="70" s="1"/>
  <c r="H51" i="70"/>
  <c r="H67" i="70" s="1"/>
  <c r="F51" i="70"/>
  <c r="BA50" i="70"/>
  <c r="AZ50" i="70"/>
  <c r="AZ66" i="70" s="1"/>
  <c r="AV50" i="70"/>
  <c r="AV66" i="70" s="1"/>
  <c r="AR50" i="70"/>
  <c r="AM50" i="70"/>
  <c r="BC50" i="70" s="1"/>
  <c r="AL50" i="70"/>
  <c r="AL66" i="70" s="1"/>
  <c r="AH50" i="70"/>
  <c r="AH66" i="70" s="1"/>
  <c r="AD50" i="70"/>
  <c r="AD66" i="70" s="1"/>
  <c r="Y50" i="70"/>
  <c r="X50" i="70"/>
  <c r="X66" i="70" s="1"/>
  <c r="T50" i="70"/>
  <c r="T66" i="70" s="1"/>
  <c r="P50" i="70"/>
  <c r="P66" i="70" s="1"/>
  <c r="M50" i="70"/>
  <c r="Q50" i="70" s="1"/>
  <c r="U50" i="70" s="1"/>
  <c r="L50" i="70"/>
  <c r="L66" i="70" s="1"/>
  <c r="H50" i="70"/>
  <c r="F50" i="70"/>
  <c r="BB49" i="70"/>
  <c r="BA49" i="70"/>
  <c r="AN49" i="70"/>
  <c r="AM49" i="70"/>
  <c r="AI49" i="70"/>
  <c r="AO49" i="70" s="1"/>
  <c r="AS49" i="70" s="1"/>
  <c r="AW49" i="70" s="1"/>
  <c r="BE49" i="70" s="1"/>
  <c r="AA49" i="70"/>
  <c r="Z49" i="70"/>
  <c r="J49" i="70"/>
  <c r="N49" i="70" s="1"/>
  <c r="BB48" i="70"/>
  <c r="BA48" i="70"/>
  <c r="AN48" i="70"/>
  <c r="AM48" i="70"/>
  <c r="AI48" i="70"/>
  <c r="AO48" i="70" s="1"/>
  <c r="AS48" i="70" s="1"/>
  <c r="AW48" i="70" s="1"/>
  <c r="BE48" i="70" s="1"/>
  <c r="AA48" i="70"/>
  <c r="Z48" i="70"/>
  <c r="J48" i="70"/>
  <c r="N48" i="70" s="1"/>
  <c r="BB47" i="70"/>
  <c r="BA47" i="70"/>
  <c r="AN47" i="70"/>
  <c r="AM47" i="70"/>
  <c r="Z47" i="70"/>
  <c r="Y47" i="70"/>
  <c r="M47" i="70"/>
  <c r="Q47" i="70" s="1"/>
  <c r="U47" i="70" s="1"/>
  <c r="J47" i="70"/>
  <c r="N47" i="70" s="1"/>
  <c r="BB46" i="70"/>
  <c r="BA46" i="70"/>
  <c r="AN46" i="70"/>
  <c r="AM46" i="70"/>
  <c r="Z46" i="70"/>
  <c r="Y46" i="70"/>
  <c r="M46" i="70"/>
  <c r="Q46" i="70" s="1"/>
  <c r="U46" i="70" s="1"/>
  <c r="J46" i="70"/>
  <c r="N46" i="70" s="1"/>
  <c r="BB45" i="70"/>
  <c r="BA45" i="70"/>
  <c r="AN45" i="70"/>
  <c r="AM45" i="70"/>
  <c r="Z45" i="70"/>
  <c r="Y45" i="70"/>
  <c r="M45" i="70"/>
  <c r="AA45" i="70" s="1"/>
  <c r="AE45" i="70" s="1"/>
  <c r="AI45" i="70" s="1"/>
  <c r="AO45" i="70" s="1"/>
  <c r="AS45" i="70" s="1"/>
  <c r="AW45" i="70" s="1"/>
  <c r="BE45" i="70" s="1"/>
  <c r="J45" i="70"/>
  <c r="N45" i="70" s="1"/>
  <c r="BB44" i="70"/>
  <c r="BA44" i="70"/>
  <c r="AN44" i="70"/>
  <c r="AM44" i="70"/>
  <c r="BC44" i="70" s="1"/>
  <c r="Z44" i="70"/>
  <c r="Y44" i="70"/>
  <c r="M44" i="70"/>
  <c r="Q44" i="70" s="1"/>
  <c r="U44" i="70" s="1"/>
  <c r="J44" i="70"/>
  <c r="N44" i="70" s="1"/>
  <c r="R44" i="70" s="1"/>
  <c r="V44" i="70" s="1"/>
  <c r="BB43" i="70"/>
  <c r="BA43" i="70"/>
  <c r="AN43" i="70"/>
  <c r="AM43" i="70"/>
  <c r="Z43" i="70"/>
  <c r="Y43" i="70"/>
  <c r="M43" i="70"/>
  <c r="Q43" i="70" s="1"/>
  <c r="U43" i="70" s="1"/>
  <c r="J43" i="70"/>
  <c r="N43" i="70" s="1"/>
  <c r="BB42" i="70"/>
  <c r="BA42" i="70"/>
  <c r="AN42" i="70"/>
  <c r="AM42" i="70"/>
  <c r="Z42" i="70"/>
  <c r="Y42" i="70"/>
  <c r="M42" i="70"/>
  <c r="J42" i="70"/>
  <c r="N42" i="70" s="1"/>
  <c r="BB41" i="70"/>
  <c r="BA41" i="70"/>
  <c r="AN41" i="70"/>
  <c r="AM41" i="70"/>
  <c r="Z41" i="70"/>
  <c r="Y41" i="70"/>
  <c r="M41" i="70"/>
  <c r="Q41" i="70" s="1"/>
  <c r="U41" i="70" s="1"/>
  <c r="J41" i="70"/>
  <c r="N41" i="70" s="1"/>
  <c r="R41" i="70" s="1"/>
  <c r="V41" i="70" s="1"/>
  <c r="BB40" i="70"/>
  <c r="BA40" i="70"/>
  <c r="AN40" i="70"/>
  <c r="AM40" i="70"/>
  <c r="Z40" i="70"/>
  <c r="Y40" i="70"/>
  <c r="M40" i="70"/>
  <c r="J40" i="70"/>
  <c r="N40" i="70" s="1"/>
  <c r="R40" i="70" s="1"/>
  <c r="V40" i="70" s="1"/>
  <c r="BA37" i="70"/>
  <c r="AZ37" i="70"/>
  <c r="AV37" i="70"/>
  <c r="AR37" i="70"/>
  <c r="AM37" i="70"/>
  <c r="AL37" i="70"/>
  <c r="AH37" i="70"/>
  <c r="AD37" i="70"/>
  <c r="Y37" i="70"/>
  <c r="X37" i="70"/>
  <c r="T37" i="70"/>
  <c r="P37" i="70"/>
  <c r="M37" i="70"/>
  <c r="Q37" i="70" s="1"/>
  <c r="U37" i="70" s="1"/>
  <c r="L37" i="70"/>
  <c r="H37" i="70"/>
  <c r="F37" i="70"/>
  <c r="BA36" i="70"/>
  <c r="AM36" i="70"/>
  <c r="Y36" i="70"/>
  <c r="M36" i="70"/>
  <c r="BA35" i="70"/>
  <c r="AZ35" i="70"/>
  <c r="AV35" i="70"/>
  <c r="AR35" i="70"/>
  <c r="AM35" i="70"/>
  <c r="AL35" i="70"/>
  <c r="AH35" i="70"/>
  <c r="AD35" i="70"/>
  <c r="Y35" i="70"/>
  <c r="X35" i="70"/>
  <c r="T35" i="70"/>
  <c r="P35" i="70"/>
  <c r="M35" i="70"/>
  <c r="AA35" i="70" s="1"/>
  <c r="AE35" i="70" s="1"/>
  <c r="AI35" i="70" s="1"/>
  <c r="AO35" i="70" s="1"/>
  <c r="AS35" i="70" s="1"/>
  <c r="AW35" i="70" s="1"/>
  <c r="BE35" i="70" s="1"/>
  <c r="L35" i="70"/>
  <c r="H35" i="70"/>
  <c r="F35" i="70"/>
  <c r="BA34" i="70"/>
  <c r="AZ34" i="70"/>
  <c r="AV34" i="70"/>
  <c r="AR34" i="70"/>
  <c r="AM34" i="70"/>
  <c r="BC34" i="70" s="1"/>
  <c r="AL34" i="70"/>
  <c r="AH34" i="70"/>
  <c r="AD34" i="70"/>
  <c r="Y34" i="70"/>
  <c r="X34" i="70"/>
  <c r="T34" i="70"/>
  <c r="P34" i="70"/>
  <c r="M34" i="70"/>
  <c r="AA34" i="70" s="1"/>
  <c r="AE34" i="70" s="1"/>
  <c r="AI34" i="70" s="1"/>
  <c r="AO34" i="70" s="1"/>
  <c r="AS34" i="70" s="1"/>
  <c r="AW34" i="70" s="1"/>
  <c r="BE34" i="70" s="1"/>
  <c r="L34" i="70"/>
  <c r="H34" i="70"/>
  <c r="F34" i="70"/>
  <c r="BB33" i="70"/>
  <c r="BA33" i="70"/>
  <c r="AN33" i="70"/>
  <c r="AM33" i="70"/>
  <c r="Z33" i="70"/>
  <c r="Y33" i="70"/>
  <c r="M33" i="70"/>
  <c r="Q33" i="70" s="1"/>
  <c r="U33" i="70" s="1"/>
  <c r="J33" i="70"/>
  <c r="N33" i="70" s="1"/>
  <c r="BA32" i="70"/>
  <c r="AZ32" i="70"/>
  <c r="AV32" i="70"/>
  <c r="AR32" i="70"/>
  <c r="AM32" i="70"/>
  <c r="BC32" i="70" s="1"/>
  <c r="AL32" i="70"/>
  <c r="AH32" i="70"/>
  <c r="Y32" i="70"/>
  <c r="X32" i="70"/>
  <c r="T32" i="70"/>
  <c r="P32" i="70"/>
  <c r="M32" i="70"/>
  <c r="AA32" i="70" s="1"/>
  <c r="AE32" i="70" s="1"/>
  <c r="AI32" i="70" s="1"/>
  <c r="AO32" i="70" s="1"/>
  <c r="AS32" i="70" s="1"/>
  <c r="AW32" i="70" s="1"/>
  <c r="BE32" i="70" s="1"/>
  <c r="L32" i="70"/>
  <c r="H32" i="70"/>
  <c r="F32" i="70"/>
  <c r="BB31" i="70"/>
  <c r="BA31" i="70"/>
  <c r="AN31" i="70"/>
  <c r="AM31" i="70"/>
  <c r="Z31" i="70"/>
  <c r="Y31" i="70"/>
  <c r="M31" i="70"/>
  <c r="Q31" i="70" s="1"/>
  <c r="U31" i="70" s="1"/>
  <c r="J31" i="70"/>
  <c r="N31" i="70" s="1"/>
  <c r="BB30" i="70"/>
  <c r="BA30" i="70"/>
  <c r="AN30" i="70"/>
  <c r="AM30" i="70"/>
  <c r="Z30" i="70"/>
  <c r="Y30" i="70"/>
  <c r="M30" i="70"/>
  <c r="Q30" i="70" s="1"/>
  <c r="U30" i="70" s="1"/>
  <c r="J30" i="70"/>
  <c r="N30" i="70" s="1"/>
  <c r="BB29" i="70"/>
  <c r="BA29" i="70"/>
  <c r="AN29" i="70"/>
  <c r="AM29" i="70"/>
  <c r="Z29" i="70"/>
  <c r="Y29" i="70"/>
  <c r="M29" i="70"/>
  <c r="Q29" i="70" s="1"/>
  <c r="U29" i="70" s="1"/>
  <c r="J29" i="70"/>
  <c r="N29" i="70" s="1"/>
  <c r="BA28" i="70"/>
  <c r="AZ28" i="70"/>
  <c r="AV28" i="70"/>
  <c r="AR28" i="70"/>
  <c r="AM28" i="70"/>
  <c r="BC28" i="70" s="1"/>
  <c r="AL28" i="70"/>
  <c r="AH28" i="70"/>
  <c r="AD28" i="70"/>
  <c r="Y28" i="70"/>
  <c r="X28" i="70"/>
  <c r="T28" i="70"/>
  <c r="P28" i="70"/>
  <c r="M28" i="70"/>
  <c r="Q28" i="70" s="1"/>
  <c r="U28" i="70" s="1"/>
  <c r="L28" i="70"/>
  <c r="H28" i="70"/>
  <c r="F28" i="70"/>
  <c r="BB27" i="70"/>
  <c r="BA27" i="70"/>
  <c r="AN27" i="70"/>
  <c r="AM27" i="70"/>
  <c r="Z27" i="70"/>
  <c r="Y27" i="70"/>
  <c r="M27" i="70"/>
  <c r="J27" i="70"/>
  <c r="N27" i="70" s="1"/>
  <c r="R27" i="70" s="1"/>
  <c r="V27" i="70" s="1"/>
  <c r="BB26" i="70"/>
  <c r="BA26" i="70"/>
  <c r="AN26" i="70"/>
  <c r="AM26" i="70"/>
  <c r="Z26" i="70"/>
  <c r="Y26" i="70"/>
  <c r="M26" i="70"/>
  <c r="J26" i="70"/>
  <c r="N26" i="70" s="1"/>
  <c r="BB25" i="70"/>
  <c r="BA25" i="70"/>
  <c r="AN25" i="70"/>
  <c r="AM25" i="70"/>
  <c r="Z25" i="70"/>
  <c r="Y25" i="70"/>
  <c r="M25" i="70"/>
  <c r="J25" i="70"/>
  <c r="N25" i="70" s="1"/>
  <c r="R25" i="70" s="1"/>
  <c r="V25" i="70" s="1"/>
  <c r="BA24" i="70"/>
  <c r="AZ24" i="70"/>
  <c r="AZ36" i="70" s="1"/>
  <c r="AV24" i="70"/>
  <c r="AR24" i="70"/>
  <c r="AM24" i="70"/>
  <c r="BC24" i="70" s="1"/>
  <c r="AL24" i="70"/>
  <c r="AL36" i="70" s="1"/>
  <c r="AH24" i="70"/>
  <c r="AD24" i="70"/>
  <c r="Y24" i="70"/>
  <c r="X24" i="70"/>
  <c r="X36" i="70" s="1"/>
  <c r="T24" i="70"/>
  <c r="P24" i="70"/>
  <c r="M24" i="70"/>
  <c r="L24" i="70"/>
  <c r="H24" i="70"/>
  <c r="F24" i="70"/>
  <c r="BB23" i="70"/>
  <c r="BA23" i="70"/>
  <c r="AN23" i="70"/>
  <c r="AM23" i="70"/>
  <c r="Z23" i="70"/>
  <c r="Y23" i="70"/>
  <c r="M23" i="70"/>
  <c r="Q23" i="70" s="1"/>
  <c r="U23" i="70" s="1"/>
  <c r="J23" i="70"/>
  <c r="N23" i="70" s="1"/>
  <c r="BB22" i="70"/>
  <c r="BA22" i="70"/>
  <c r="AN22" i="70"/>
  <c r="AM22" i="70"/>
  <c r="Z22" i="70"/>
  <c r="Y22" i="70"/>
  <c r="M22" i="70"/>
  <c r="J22" i="70"/>
  <c r="N22" i="70" s="1"/>
  <c r="BA19" i="70"/>
  <c r="AZ19" i="70"/>
  <c r="AV19" i="70"/>
  <c r="AR19" i="70"/>
  <c r="AM19" i="70"/>
  <c r="BC19" i="70" s="1"/>
  <c r="AL19" i="70"/>
  <c r="AH19" i="70"/>
  <c r="AD19" i="70"/>
  <c r="Y19" i="70"/>
  <c r="X19" i="70"/>
  <c r="T19" i="70"/>
  <c r="P19" i="70"/>
  <c r="M19" i="70"/>
  <c r="Q19" i="70" s="1"/>
  <c r="U19" i="70" s="1"/>
  <c r="L19" i="70"/>
  <c r="H19" i="70"/>
  <c r="F19" i="70"/>
  <c r="BA18" i="70"/>
  <c r="AM18" i="70"/>
  <c r="Y18" i="70"/>
  <c r="M18" i="70"/>
  <c r="Q18" i="70" s="1"/>
  <c r="U18" i="70" s="1"/>
  <c r="BA17" i="70"/>
  <c r="AZ17" i="70"/>
  <c r="AV17" i="70"/>
  <c r="AR17" i="70"/>
  <c r="AM17" i="70"/>
  <c r="BC17" i="70" s="1"/>
  <c r="AL17" i="70"/>
  <c r="AH17" i="70"/>
  <c r="AD17" i="70"/>
  <c r="Y17" i="70"/>
  <c r="X17" i="70"/>
  <c r="T17" i="70"/>
  <c r="P17" i="70"/>
  <c r="M17" i="70"/>
  <c r="L17" i="70"/>
  <c r="H17" i="70"/>
  <c r="F17" i="70"/>
  <c r="J17" i="70" s="1"/>
  <c r="N17" i="70" s="1"/>
  <c r="BA16" i="70"/>
  <c r="AZ16" i="70"/>
  <c r="AV16" i="70"/>
  <c r="AV18" i="70" s="1"/>
  <c r="AR16" i="70"/>
  <c r="AM16" i="70"/>
  <c r="BC16" i="70" s="1"/>
  <c r="AL16" i="70"/>
  <c r="AL18" i="70" s="1"/>
  <c r="AH16" i="70"/>
  <c r="AD16" i="70"/>
  <c r="Y16" i="70"/>
  <c r="X16" i="70"/>
  <c r="X18" i="70" s="1"/>
  <c r="T16" i="70"/>
  <c r="P16" i="70"/>
  <c r="M16" i="70"/>
  <c r="Q16" i="70" s="1"/>
  <c r="U16" i="70" s="1"/>
  <c r="L16" i="70"/>
  <c r="L18" i="70" s="1"/>
  <c r="H16" i="70"/>
  <c r="H18" i="70" s="1"/>
  <c r="F16" i="70"/>
  <c r="BB15" i="70"/>
  <c r="BA15" i="70"/>
  <c r="AN15" i="70"/>
  <c r="BD15" i="70" s="1"/>
  <c r="AM15" i="70"/>
  <c r="Z15" i="70"/>
  <c r="Y15" i="70"/>
  <c r="Q15" i="70"/>
  <c r="U15" i="70" s="1"/>
  <c r="M15" i="70"/>
  <c r="J15" i="70"/>
  <c r="N15" i="70" s="1"/>
  <c r="R15" i="70" s="1"/>
  <c r="V15" i="70" s="1"/>
  <c r="BA14" i="70"/>
  <c r="AZ14" i="70"/>
  <c r="AV14" i="70"/>
  <c r="AR14" i="70"/>
  <c r="AM14" i="70"/>
  <c r="BC14" i="70" s="1"/>
  <c r="AL14" i="70"/>
  <c r="AH14" i="70"/>
  <c r="AD14" i="70"/>
  <c r="Y14" i="70"/>
  <c r="X14" i="70"/>
  <c r="T14" i="70"/>
  <c r="P14" i="70"/>
  <c r="M14" i="70"/>
  <c r="Q14" i="70" s="1"/>
  <c r="U14" i="70" s="1"/>
  <c r="L14" i="70"/>
  <c r="H14" i="70"/>
  <c r="F14" i="70"/>
  <c r="BB13" i="70"/>
  <c r="BA13" i="70"/>
  <c r="AN13" i="70"/>
  <c r="AM13" i="70"/>
  <c r="Z13" i="70"/>
  <c r="Y13" i="70"/>
  <c r="M13" i="70"/>
  <c r="Q13" i="70" s="1"/>
  <c r="U13" i="70" s="1"/>
  <c r="J13" i="70"/>
  <c r="N13" i="70" s="1"/>
  <c r="R13" i="70" s="1"/>
  <c r="V13" i="70" s="1"/>
  <c r="BB12" i="70"/>
  <c r="BA12" i="70"/>
  <c r="AN12" i="70"/>
  <c r="AM12" i="70"/>
  <c r="Z12" i="70"/>
  <c r="Y12" i="70"/>
  <c r="M12" i="70"/>
  <c r="Q12" i="70" s="1"/>
  <c r="U12" i="70" s="1"/>
  <c r="J12" i="70"/>
  <c r="N12" i="70" s="1"/>
  <c r="R12" i="70" s="1"/>
  <c r="V12" i="70" s="1"/>
  <c r="BB11" i="70"/>
  <c r="BA11" i="70"/>
  <c r="AN11" i="70"/>
  <c r="AM11" i="70"/>
  <c r="AE11" i="70"/>
  <c r="AI11" i="70" s="1"/>
  <c r="AO11" i="70" s="1"/>
  <c r="AS11" i="70" s="1"/>
  <c r="AW11" i="70" s="1"/>
  <c r="BE11" i="70" s="1"/>
  <c r="Z11" i="70"/>
  <c r="Y11" i="70"/>
  <c r="AA11" i="70" s="1"/>
  <c r="J11" i="70"/>
  <c r="N11" i="70" s="1"/>
  <c r="R11" i="70" s="1"/>
  <c r="V11" i="70" s="1"/>
  <c r="BB10" i="70"/>
  <c r="BA10" i="70"/>
  <c r="AN10" i="70"/>
  <c r="AM10" i="70"/>
  <c r="BC10" i="70" s="1"/>
  <c r="Z10" i="70"/>
  <c r="Y10" i="70"/>
  <c r="M10" i="70"/>
  <c r="Q10" i="70" s="1"/>
  <c r="U10" i="70" s="1"/>
  <c r="J10" i="70"/>
  <c r="N10" i="70" s="1"/>
  <c r="BA9" i="70"/>
  <c r="AZ9" i="70"/>
  <c r="AV9" i="70"/>
  <c r="AR9" i="70"/>
  <c r="AM9" i="70"/>
  <c r="BC9" i="70" s="1"/>
  <c r="AL9" i="70"/>
  <c r="AH9" i="70"/>
  <c r="AD9" i="70"/>
  <c r="AA9" i="70"/>
  <c r="AE9" i="70" s="1"/>
  <c r="AI9" i="70" s="1"/>
  <c r="AO9" i="70" s="1"/>
  <c r="AS9" i="70" s="1"/>
  <c r="AW9" i="70" s="1"/>
  <c r="BE9" i="70" s="1"/>
  <c r="Y9" i="70"/>
  <c r="X9" i="70"/>
  <c r="T9" i="70"/>
  <c r="P9" i="70"/>
  <c r="M9" i="70"/>
  <c r="Q9" i="70" s="1"/>
  <c r="U9" i="70" s="1"/>
  <c r="L9" i="70"/>
  <c r="H9" i="70"/>
  <c r="F9" i="70"/>
  <c r="BB8" i="70"/>
  <c r="BA8" i="70"/>
  <c r="AN8" i="70"/>
  <c r="AM8" i="70"/>
  <c r="Z8" i="70"/>
  <c r="Y8" i="70"/>
  <c r="M8" i="70"/>
  <c r="Q8" i="70" s="1"/>
  <c r="U8" i="70" s="1"/>
  <c r="J8" i="70"/>
  <c r="N8" i="70" s="1"/>
  <c r="BB7" i="70"/>
  <c r="BA7" i="70"/>
  <c r="AN7" i="70"/>
  <c r="AM7" i="70"/>
  <c r="Z7" i="70"/>
  <c r="Y7" i="70"/>
  <c r="M7" i="70"/>
  <c r="J7" i="70"/>
  <c r="N7" i="70" s="1"/>
  <c r="R7" i="70" s="1"/>
  <c r="V7" i="70" s="1"/>
  <c r="AA28" i="70" l="1"/>
  <c r="AE28" i="70" s="1"/>
  <c r="AI28" i="70" s="1"/>
  <c r="AO28" i="70" s="1"/>
  <c r="AS28" i="70" s="1"/>
  <c r="AW28" i="70" s="1"/>
  <c r="BE28" i="70" s="1"/>
  <c r="BD30" i="70"/>
  <c r="J34" i="70"/>
  <c r="N34" i="70" s="1"/>
  <c r="AA83" i="70"/>
  <c r="AE83" i="70" s="1"/>
  <c r="AI83" i="70" s="1"/>
  <c r="AO83" i="70" s="1"/>
  <c r="AS83" i="70" s="1"/>
  <c r="AW83" i="70" s="1"/>
  <c r="BE83" i="70" s="1"/>
  <c r="AA99" i="70"/>
  <c r="AE99" i="70" s="1"/>
  <c r="AI99" i="70" s="1"/>
  <c r="AO99" i="70" s="1"/>
  <c r="AS99" i="70" s="1"/>
  <c r="AW99" i="70" s="1"/>
  <c r="BE99" i="70" s="1"/>
  <c r="AA102" i="70"/>
  <c r="AE102" i="70" s="1"/>
  <c r="AI102" i="70" s="1"/>
  <c r="AO102" i="70" s="1"/>
  <c r="AS102" i="70" s="1"/>
  <c r="AW102" i="70" s="1"/>
  <c r="BE102" i="70" s="1"/>
  <c r="AB114" i="70"/>
  <c r="AF114" i="70" s="1"/>
  <c r="AJ114" i="70" s="1"/>
  <c r="AP114" i="70" s="1"/>
  <c r="AT114" i="70" s="1"/>
  <c r="AX114" i="70" s="1"/>
  <c r="BF114" i="70" s="1"/>
  <c r="AB115" i="70"/>
  <c r="AF115" i="70" s="1"/>
  <c r="AJ115" i="70" s="1"/>
  <c r="AP115" i="70" s="1"/>
  <c r="AT115" i="70" s="1"/>
  <c r="AX115" i="70" s="1"/>
  <c r="BF115" i="70" s="1"/>
  <c r="BD142" i="70"/>
  <c r="BC182" i="70"/>
  <c r="H213" i="70"/>
  <c r="BD26" i="70"/>
  <c r="BC90" i="70"/>
  <c r="J160" i="70"/>
  <c r="AA164" i="70"/>
  <c r="AE164" i="70" s="1"/>
  <c r="AI164" i="70" s="1"/>
  <c r="AO164" i="70" s="1"/>
  <c r="AS164" i="70" s="1"/>
  <c r="AW164" i="70" s="1"/>
  <c r="BE164" i="70" s="1"/>
  <c r="AA165" i="70"/>
  <c r="AA209" i="70" s="1"/>
  <c r="AN208" i="70"/>
  <c r="AB45" i="70"/>
  <c r="AF45" i="70" s="1"/>
  <c r="AJ45" i="70" s="1"/>
  <c r="AP45" i="70" s="1"/>
  <c r="AT45" i="70" s="1"/>
  <c r="AX45" i="70" s="1"/>
  <c r="BF45" i="70" s="1"/>
  <c r="AB47" i="70"/>
  <c r="AF47" i="70" s="1"/>
  <c r="AJ47" i="70" s="1"/>
  <c r="AP47" i="70" s="1"/>
  <c r="AT47" i="70" s="1"/>
  <c r="AX47" i="70" s="1"/>
  <c r="BF47" i="70" s="1"/>
  <c r="AA186" i="70"/>
  <c r="AE186" i="70" s="1"/>
  <c r="AI186" i="70" s="1"/>
  <c r="AO186" i="70" s="1"/>
  <c r="AS186" i="70" s="1"/>
  <c r="AW186" i="70" s="1"/>
  <c r="BE186" i="70" s="1"/>
  <c r="P213" i="70"/>
  <c r="BD60" i="70"/>
  <c r="AN62" i="70"/>
  <c r="BB62" i="70"/>
  <c r="AB112" i="70"/>
  <c r="AF112" i="70" s="1"/>
  <c r="AJ112" i="70" s="1"/>
  <c r="AP112" i="70" s="1"/>
  <c r="AT112" i="70" s="1"/>
  <c r="AX112" i="70" s="1"/>
  <c r="BF112" i="70" s="1"/>
  <c r="BC162" i="70"/>
  <c r="BB185" i="70"/>
  <c r="X77" i="72"/>
  <c r="AA77" i="72" s="1"/>
  <c r="AB10" i="70"/>
  <c r="AF10" i="70" s="1"/>
  <c r="AJ10" i="70" s="1"/>
  <c r="AP10" i="70" s="1"/>
  <c r="AT10" i="70" s="1"/>
  <c r="AX10" i="70" s="1"/>
  <c r="BF10" i="70" s="1"/>
  <c r="BC13" i="70"/>
  <c r="J19" i="70"/>
  <c r="AB25" i="70"/>
  <c r="AF25" i="70" s="1"/>
  <c r="AJ25" i="70" s="1"/>
  <c r="AP25" i="70" s="1"/>
  <c r="AT25" i="70" s="1"/>
  <c r="AX25" i="70" s="1"/>
  <c r="BF25" i="70" s="1"/>
  <c r="BC31" i="70"/>
  <c r="AN32" i="70"/>
  <c r="AA40" i="70"/>
  <c r="AE40" i="70" s="1"/>
  <c r="AI40" i="70" s="1"/>
  <c r="AO40" i="70" s="1"/>
  <c r="AS40" i="70" s="1"/>
  <c r="AW40" i="70" s="1"/>
  <c r="BE40" i="70" s="1"/>
  <c r="AA42" i="70"/>
  <c r="AE42" i="70" s="1"/>
  <c r="AI42" i="70" s="1"/>
  <c r="AO42" i="70" s="1"/>
  <c r="AS42" i="70" s="1"/>
  <c r="AW42" i="70" s="1"/>
  <c r="BE42" i="70" s="1"/>
  <c r="BD93" i="70"/>
  <c r="J117" i="70"/>
  <c r="AA136" i="70"/>
  <c r="AE136" i="70" s="1"/>
  <c r="AI136" i="70" s="1"/>
  <c r="AO136" i="70" s="1"/>
  <c r="AS136" i="70" s="1"/>
  <c r="AW136" i="70" s="1"/>
  <c r="BE136" i="70" s="1"/>
  <c r="AA141" i="70"/>
  <c r="AE141" i="70" s="1"/>
  <c r="AI141" i="70" s="1"/>
  <c r="AO141" i="70" s="1"/>
  <c r="AS141" i="70" s="1"/>
  <c r="AW141" i="70" s="1"/>
  <c r="BE141" i="70" s="1"/>
  <c r="BD141" i="70"/>
  <c r="AB168" i="70"/>
  <c r="AF168" i="70" s="1"/>
  <c r="AJ168" i="70" s="1"/>
  <c r="AP168" i="70" s="1"/>
  <c r="AT168" i="70" s="1"/>
  <c r="AX168" i="70" s="1"/>
  <c r="BF168" i="70" s="1"/>
  <c r="J209" i="70"/>
  <c r="N209" i="70" s="1"/>
  <c r="R209" i="70" s="1"/>
  <c r="V209" i="70" s="1"/>
  <c r="AA68" i="72"/>
  <c r="AR18" i="70"/>
  <c r="BC18" i="70"/>
  <c r="BC23" i="70"/>
  <c r="BD31" i="70"/>
  <c r="BC45" i="70"/>
  <c r="BC46" i="70"/>
  <c r="BC47" i="70"/>
  <c r="BC48" i="70"/>
  <c r="BC49" i="70"/>
  <c r="BC73" i="70"/>
  <c r="AN77" i="70"/>
  <c r="BB77" i="70"/>
  <c r="BC81" i="70"/>
  <c r="Z83" i="70"/>
  <c r="AA87" i="70"/>
  <c r="AE87" i="70" s="1"/>
  <c r="AI87" i="70" s="1"/>
  <c r="AO87" i="70" s="1"/>
  <c r="AS87" i="70" s="1"/>
  <c r="AW87" i="70" s="1"/>
  <c r="BE87" i="70" s="1"/>
  <c r="BC93" i="70"/>
  <c r="AB94" i="70"/>
  <c r="AF94" i="70" s="1"/>
  <c r="AJ94" i="70" s="1"/>
  <c r="AP94" i="70" s="1"/>
  <c r="AT94" i="70" s="1"/>
  <c r="AX94" i="70" s="1"/>
  <c r="BF94" i="70" s="1"/>
  <c r="BC129" i="70"/>
  <c r="BC130" i="70"/>
  <c r="BC141" i="70"/>
  <c r="Y67" i="70"/>
  <c r="AA74" i="70"/>
  <c r="AE74" i="70" s="1"/>
  <c r="AI74" i="70" s="1"/>
  <c r="AO74" i="70" s="1"/>
  <c r="AS74" i="70" s="1"/>
  <c r="AW74" i="70" s="1"/>
  <c r="BE74" i="70" s="1"/>
  <c r="AA80" i="70"/>
  <c r="AE80" i="70" s="1"/>
  <c r="AI80" i="70" s="1"/>
  <c r="AO80" i="70" s="1"/>
  <c r="AS80" i="70" s="1"/>
  <c r="AW80" i="70" s="1"/>
  <c r="BE80" i="70" s="1"/>
  <c r="AA81" i="70"/>
  <c r="AE81" i="70" s="1"/>
  <c r="AI81" i="70" s="1"/>
  <c r="AO81" i="70" s="1"/>
  <c r="AS81" i="70" s="1"/>
  <c r="AW81" i="70" s="1"/>
  <c r="BE81" i="70" s="1"/>
  <c r="R91" i="70"/>
  <c r="V91" i="70" s="1"/>
  <c r="AA130" i="70"/>
  <c r="AE130" i="70" s="1"/>
  <c r="AI130" i="70" s="1"/>
  <c r="AO130" i="70" s="1"/>
  <c r="AS130" i="70" s="1"/>
  <c r="AW130" i="70" s="1"/>
  <c r="BE130" i="70" s="1"/>
  <c r="AA160" i="70"/>
  <c r="AE160" i="70" s="1"/>
  <c r="BB160" i="70"/>
  <c r="V166" i="70"/>
  <c r="AN189" i="70"/>
  <c r="J191" i="70"/>
  <c r="N191" i="70" s="1"/>
  <c r="AA19" i="70"/>
  <c r="AE19" i="70" s="1"/>
  <c r="AI19" i="70" s="1"/>
  <c r="AO19" i="70" s="1"/>
  <c r="AS19" i="70" s="1"/>
  <c r="AW19" i="70" s="1"/>
  <c r="BE19" i="70" s="1"/>
  <c r="T36" i="70"/>
  <c r="BC40" i="70"/>
  <c r="AH213" i="70"/>
  <c r="AV213" i="70"/>
  <c r="T60" i="72"/>
  <c r="R22" i="70"/>
  <c r="V22" i="70" s="1"/>
  <c r="AB22" i="70"/>
  <c r="AF22" i="70" s="1"/>
  <c r="AJ22" i="70" s="1"/>
  <c r="AP22" i="70" s="1"/>
  <c r="AT22" i="70" s="1"/>
  <c r="AX22" i="70" s="1"/>
  <c r="BF22" i="70" s="1"/>
  <c r="R214" i="70"/>
  <c r="V214" i="70" s="1"/>
  <c r="AB214" i="70"/>
  <c r="AF214" i="70" s="1"/>
  <c r="AJ214" i="70" s="1"/>
  <c r="AP214" i="70" s="1"/>
  <c r="AT214" i="70" s="1"/>
  <c r="AX214" i="70" s="1"/>
  <c r="BF214" i="70" s="1"/>
  <c r="AA7" i="70"/>
  <c r="AE7" i="70" s="1"/>
  <c r="AI7" i="70" s="1"/>
  <c r="AO7" i="70" s="1"/>
  <c r="AS7" i="70" s="1"/>
  <c r="AW7" i="70" s="1"/>
  <c r="BE7" i="70" s="1"/>
  <c r="BC7" i="70"/>
  <c r="BD10" i="70"/>
  <c r="AN14" i="70"/>
  <c r="BD22" i="70"/>
  <c r="Q34" i="70"/>
  <c r="U34" i="70" s="1"/>
  <c r="Q42" i="70"/>
  <c r="U42" i="70" s="1"/>
  <c r="BC42" i="70"/>
  <c r="BD47" i="70"/>
  <c r="BD49" i="70"/>
  <c r="J51" i="70"/>
  <c r="N51" i="70" s="1"/>
  <c r="BC66" i="70"/>
  <c r="BC72" i="70"/>
  <c r="Q74" i="70"/>
  <c r="U74" i="70" s="1"/>
  <c r="AA90" i="70"/>
  <c r="AE90" i="70" s="1"/>
  <c r="AI90" i="70" s="1"/>
  <c r="AO90" i="70" s="1"/>
  <c r="AS90" i="70" s="1"/>
  <c r="AW90" i="70" s="1"/>
  <c r="BE90" i="70" s="1"/>
  <c r="AA100" i="70"/>
  <c r="AE100" i="70" s="1"/>
  <c r="AI100" i="70" s="1"/>
  <c r="AO100" i="70" s="1"/>
  <c r="AS100" i="70" s="1"/>
  <c r="AW100" i="70" s="1"/>
  <c r="BE100" i="70" s="1"/>
  <c r="AA108" i="70"/>
  <c r="AE108" i="70" s="1"/>
  <c r="AI108" i="70" s="1"/>
  <c r="AO108" i="70" s="1"/>
  <c r="AS108" i="70" s="1"/>
  <c r="AW108" i="70" s="1"/>
  <c r="BE108" i="70" s="1"/>
  <c r="BD108" i="70"/>
  <c r="BD114" i="70"/>
  <c r="BD130" i="70"/>
  <c r="AB133" i="70"/>
  <c r="AF133" i="70" s="1"/>
  <c r="AJ133" i="70" s="1"/>
  <c r="AP133" i="70" s="1"/>
  <c r="AT133" i="70" s="1"/>
  <c r="AX133" i="70" s="1"/>
  <c r="BF133" i="70" s="1"/>
  <c r="Q135" i="70"/>
  <c r="U135" i="70" s="1"/>
  <c r="BC136" i="70"/>
  <c r="Z139" i="70"/>
  <c r="AB148" i="70"/>
  <c r="AF148" i="70" s="1"/>
  <c r="AJ148" i="70" s="1"/>
  <c r="AP148" i="70" s="1"/>
  <c r="AT148" i="70" s="1"/>
  <c r="AX148" i="70" s="1"/>
  <c r="BF148" i="70" s="1"/>
  <c r="BC148" i="70"/>
  <c r="Z151" i="70"/>
  <c r="BD157" i="70"/>
  <c r="N160" i="70"/>
  <c r="BD165" i="70"/>
  <c r="Z173" i="70"/>
  <c r="Q179" i="70"/>
  <c r="U179" i="70" s="1"/>
  <c r="BC183" i="70"/>
  <c r="J194" i="70"/>
  <c r="AN194" i="70"/>
  <c r="J212" i="70"/>
  <c r="N212" i="70" s="1"/>
  <c r="R212" i="70" s="1"/>
  <c r="V212" i="70" s="1"/>
  <c r="AZ213" i="70"/>
  <c r="BD214" i="70"/>
  <c r="AA8" i="70"/>
  <c r="AE8" i="70" s="1"/>
  <c r="AI8" i="70" s="1"/>
  <c r="AO8" i="70" s="1"/>
  <c r="AS8" i="70" s="1"/>
  <c r="AW8" i="70" s="1"/>
  <c r="BE8" i="70" s="1"/>
  <c r="BC8" i="70"/>
  <c r="J9" i="70"/>
  <c r="N9" i="70" s="1"/>
  <c r="AB12" i="70"/>
  <c r="AF12" i="70" s="1"/>
  <c r="AJ12" i="70" s="1"/>
  <c r="AP12" i="70" s="1"/>
  <c r="AT12" i="70" s="1"/>
  <c r="AX12" i="70" s="1"/>
  <c r="BF12" i="70" s="1"/>
  <c r="BD12" i="70"/>
  <c r="P18" i="70"/>
  <c r="AD18" i="70"/>
  <c r="BC26" i="70"/>
  <c r="BC27" i="70"/>
  <c r="BD29" i="70"/>
  <c r="AA31" i="70"/>
  <c r="AE31" i="70" s="1"/>
  <c r="AI31" i="70" s="1"/>
  <c r="AO31" i="70" s="1"/>
  <c r="AS31" i="70" s="1"/>
  <c r="AW31" i="70" s="1"/>
  <c r="BE31" i="70" s="1"/>
  <c r="BB34" i="70"/>
  <c r="J35" i="70"/>
  <c r="AN35" i="70"/>
  <c r="J37" i="70"/>
  <c r="N37" i="70" s="1"/>
  <c r="Z37" i="70"/>
  <c r="BD41" i="70"/>
  <c r="BC43" i="70"/>
  <c r="BD45" i="70"/>
  <c r="BD46" i="70"/>
  <c r="BC54" i="70"/>
  <c r="BC55" i="70"/>
  <c r="BC59" i="70"/>
  <c r="BC74" i="70"/>
  <c r="BD75" i="70"/>
  <c r="BB83" i="70"/>
  <c r="BD87" i="70"/>
  <c r="AA88" i="70"/>
  <c r="AE88" i="70" s="1"/>
  <c r="AI88" i="70" s="1"/>
  <c r="AO88" i="70" s="1"/>
  <c r="AS88" i="70" s="1"/>
  <c r="AW88" i="70" s="1"/>
  <c r="BE88" i="70" s="1"/>
  <c r="BC88" i="70"/>
  <c r="BC91" i="70"/>
  <c r="BB96" i="70"/>
  <c r="BB97" i="70"/>
  <c r="BC102" i="70"/>
  <c r="BD106" i="70"/>
  <c r="BC108" i="70"/>
  <c r="R112" i="70"/>
  <c r="V112" i="70" s="1"/>
  <c r="BC114" i="70"/>
  <c r="R129" i="70"/>
  <c r="V129" i="70" s="1"/>
  <c r="AA129" i="70"/>
  <c r="AE129" i="70" s="1"/>
  <c r="AI129" i="70" s="1"/>
  <c r="AO129" i="70" s="1"/>
  <c r="AS129" i="70" s="1"/>
  <c r="AW129" i="70" s="1"/>
  <c r="BE129" i="70" s="1"/>
  <c r="R133" i="70"/>
  <c r="V133" i="70" s="1"/>
  <c r="BD136" i="70"/>
  <c r="AA142" i="70"/>
  <c r="AE142" i="70" s="1"/>
  <c r="AI142" i="70" s="1"/>
  <c r="AO142" i="70" s="1"/>
  <c r="AS142" i="70" s="1"/>
  <c r="AW142" i="70" s="1"/>
  <c r="BE142" i="70" s="1"/>
  <c r="BD147" i="70"/>
  <c r="BD148" i="70"/>
  <c r="BC151" i="70"/>
  <c r="BD154" i="70"/>
  <c r="H163" i="70"/>
  <c r="BD168" i="70"/>
  <c r="J169" i="70"/>
  <c r="L183" i="70"/>
  <c r="AN179" i="70"/>
  <c r="AA23" i="70"/>
  <c r="AE23" i="70" s="1"/>
  <c r="AI23" i="70" s="1"/>
  <c r="AO23" i="70" s="1"/>
  <c r="AS23" i="70" s="1"/>
  <c r="AW23" i="70" s="1"/>
  <c r="BE23" i="70" s="1"/>
  <c r="AA195" i="70"/>
  <c r="AE195" i="70" s="1"/>
  <c r="AI195" i="70" s="1"/>
  <c r="AO195" i="70" s="1"/>
  <c r="AS195" i="70" s="1"/>
  <c r="AW195" i="70" s="1"/>
  <c r="BE195" i="70" s="1"/>
  <c r="BB19" i="70"/>
  <c r="Q40" i="70"/>
  <c r="U40" i="70" s="1"/>
  <c r="J76" i="70"/>
  <c r="Z76" i="70"/>
  <c r="J77" i="70"/>
  <c r="N77" i="70" s="1"/>
  <c r="J83" i="70"/>
  <c r="N83" i="70" s="1"/>
  <c r="R83" i="70" s="1"/>
  <c r="V83" i="70" s="1"/>
  <c r="BB138" i="70"/>
  <c r="AD163" i="70"/>
  <c r="J173" i="70"/>
  <c r="N173" i="70" s="1"/>
  <c r="AN176" i="70"/>
  <c r="J177" i="70"/>
  <c r="N177" i="70" s="1"/>
  <c r="R177" i="70" s="1"/>
  <c r="V177" i="70" s="1"/>
  <c r="AR204" i="70"/>
  <c r="Z191" i="70"/>
  <c r="AA192" i="70"/>
  <c r="AE192" i="70" s="1"/>
  <c r="AI192" i="70" s="1"/>
  <c r="AO192" i="70" s="1"/>
  <c r="AS192" i="70" s="1"/>
  <c r="AW192" i="70" s="1"/>
  <c r="BE192" i="70" s="1"/>
  <c r="Z198" i="70"/>
  <c r="X21" i="72"/>
  <c r="AB21" i="72" s="1"/>
  <c r="AB22" i="72" s="1"/>
  <c r="AB7" i="72"/>
  <c r="BH61" i="50" s="1"/>
  <c r="BH70" i="50" s="1"/>
  <c r="V30" i="72"/>
  <c r="X26" i="72"/>
  <c r="AB58" i="72"/>
  <c r="V46" i="72"/>
  <c r="X33" i="72"/>
  <c r="AA22" i="70"/>
  <c r="AE22" i="70" s="1"/>
  <c r="AI22" i="70" s="1"/>
  <c r="AO22" i="70" s="1"/>
  <c r="AS22" i="70" s="1"/>
  <c r="AW22" i="70" s="1"/>
  <c r="BE22" i="70" s="1"/>
  <c r="Q22" i="70"/>
  <c r="U22" i="70" s="1"/>
  <c r="Z9" i="70"/>
  <c r="Q7" i="70"/>
  <c r="U7" i="70" s="1"/>
  <c r="BC12" i="70"/>
  <c r="F18" i="70"/>
  <c r="J16" i="70"/>
  <c r="N16" i="70" s="1"/>
  <c r="R58" i="70"/>
  <c r="V58" i="70" s="1"/>
  <c r="AB58" i="70"/>
  <c r="AF58" i="70" s="1"/>
  <c r="AJ58" i="70" s="1"/>
  <c r="AP58" i="70" s="1"/>
  <c r="AT58" i="70" s="1"/>
  <c r="AX58" i="70" s="1"/>
  <c r="BF58" i="70" s="1"/>
  <c r="AB43" i="70"/>
  <c r="AF43" i="70" s="1"/>
  <c r="AJ43" i="70" s="1"/>
  <c r="AP43" i="70" s="1"/>
  <c r="AT43" i="70" s="1"/>
  <c r="AX43" i="70" s="1"/>
  <c r="BF43" i="70" s="1"/>
  <c r="R43" i="70"/>
  <c r="V43" i="70" s="1"/>
  <c r="AA13" i="70"/>
  <c r="AE13" i="70" s="1"/>
  <c r="AI13" i="70" s="1"/>
  <c r="AO13" i="70" s="1"/>
  <c r="AS13" i="70" s="1"/>
  <c r="AW13" i="70" s="1"/>
  <c r="BE13" i="70" s="1"/>
  <c r="AB23" i="70"/>
  <c r="AF23" i="70" s="1"/>
  <c r="AJ23" i="70" s="1"/>
  <c r="AP23" i="70" s="1"/>
  <c r="AT23" i="70" s="1"/>
  <c r="AX23" i="70" s="1"/>
  <c r="BF23" i="70" s="1"/>
  <c r="R23" i="70"/>
  <c r="V23" i="70" s="1"/>
  <c r="AA24" i="70"/>
  <c r="AE24" i="70" s="1"/>
  <c r="AI24" i="70" s="1"/>
  <c r="AO24" i="70" s="1"/>
  <c r="AS24" i="70" s="1"/>
  <c r="AW24" i="70" s="1"/>
  <c r="BE24" i="70" s="1"/>
  <c r="Q24" i="70"/>
  <c r="U24" i="70" s="1"/>
  <c r="AN9" i="70"/>
  <c r="BB9" i="70"/>
  <c r="J14" i="70"/>
  <c r="N14" i="70" s="1"/>
  <c r="R14" i="70" s="1"/>
  <c r="V14" i="70" s="1"/>
  <c r="AA30" i="70"/>
  <c r="AE30" i="70" s="1"/>
  <c r="AI30" i="70" s="1"/>
  <c r="AO30" i="70" s="1"/>
  <c r="AS30" i="70" s="1"/>
  <c r="AW30" i="70" s="1"/>
  <c r="BE30" i="70" s="1"/>
  <c r="AB31" i="70"/>
  <c r="AF31" i="70" s="1"/>
  <c r="AJ31" i="70" s="1"/>
  <c r="AP31" i="70" s="1"/>
  <c r="AT31" i="70" s="1"/>
  <c r="AX31" i="70" s="1"/>
  <c r="BF31" i="70" s="1"/>
  <c r="R31" i="70"/>
  <c r="V31" i="70" s="1"/>
  <c r="AA33" i="70"/>
  <c r="AE33" i="70" s="1"/>
  <c r="AI33" i="70" s="1"/>
  <c r="AO33" i="70" s="1"/>
  <c r="AS33" i="70" s="1"/>
  <c r="AW33" i="70" s="1"/>
  <c r="BE33" i="70" s="1"/>
  <c r="N35" i="70"/>
  <c r="AA25" i="70"/>
  <c r="AE25" i="70" s="1"/>
  <c r="AI25" i="70" s="1"/>
  <c r="AO25" i="70" s="1"/>
  <c r="AS25" i="70" s="1"/>
  <c r="AW25" i="70" s="1"/>
  <c r="BE25" i="70" s="1"/>
  <c r="Q25" i="70"/>
  <c r="U25" i="70" s="1"/>
  <c r="R30" i="70"/>
  <c r="V30" i="70" s="1"/>
  <c r="AB30" i="70"/>
  <c r="AF30" i="70" s="1"/>
  <c r="AJ30" i="70" s="1"/>
  <c r="AP30" i="70" s="1"/>
  <c r="AT30" i="70" s="1"/>
  <c r="AX30" i="70" s="1"/>
  <c r="BF30" i="70" s="1"/>
  <c r="R42" i="70"/>
  <c r="V42" i="70" s="1"/>
  <c r="AB42" i="70"/>
  <c r="AF42" i="70" s="1"/>
  <c r="AJ42" i="70" s="1"/>
  <c r="AP42" i="70" s="1"/>
  <c r="AT42" i="70" s="1"/>
  <c r="AX42" i="70" s="1"/>
  <c r="BF42" i="70" s="1"/>
  <c r="R46" i="70"/>
  <c r="V46" i="70" s="1"/>
  <c r="AB46" i="70"/>
  <c r="AF46" i="70" s="1"/>
  <c r="AJ46" i="70" s="1"/>
  <c r="AP46" i="70" s="1"/>
  <c r="AT46" i="70" s="1"/>
  <c r="AX46" i="70" s="1"/>
  <c r="BF46" i="70" s="1"/>
  <c r="R82" i="70"/>
  <c r="V82" i="70" s="1"/>
  <c r="AB82" i="70"/>
  <c r="AF82" i="70" s="1"/>
  <c r="AJ82" i="70" s="1"/>
  <c r="AP82" i="70" s="1"/>
  <c r="AT82" i="70" s="1"/>
  <c r="AX82" i="70" s="1"/>
  <c r="BF82" i="70" s="1"/>
  <c r="BC11" i="70"/>
  <c r="BD11" i="70"/>
  <c r="AA15" i="70"/>
  <c r="AE15" i="70" s="1"/>
  <c r="AI15" i="70" s="1"/>
  <c r="AO15" i="70" s="1"/>
  <c r="AS15" i="70" s="1"/>
  <c r="AW15" i="70" s="1"/>
  <c r="BE15" i="70" s="1"/>
  <c r="AA16" i="70"/>
  <c r="AE16" i="70" s="1"/>
  <c r="AI16" i="70" s="1"/>
  <c r="AO16" i="70" s="1"/>
  <c r="AS16" i="70" s="1"/>
  <c r="AW16" i="70" s="1"/>
  <c r="BE16" i="70" s="1"/>
  <c r="AA18" i="70"/>
  <c r="AE18" i="70" s="1"/>
  <c r="AI18" i="70" s="1"/>
  <c r="AO18" i="70" s="1"/>
  <c r="AS18" i="70" s="1"/>
  <c r="AW18" i="70" s="1"/>
  <c r="BE18" i="70" s="1"/>
  <c r="BC22" i="70"/>
  <c r="H36" i="70"/>
  <c r="BD25" i="70"/>
  <c r="BC33" i="70"/>
  <c r="Z35" i="70"/>
  <c r="Q45" i="70"/>
  <c r="U45" i="70" s="1"/>
  <c r="BD48" i="70"/>
  <c r="Q51" i="70"/>
  <c r="U51" i="70" s="1"/>
  <c r="BD54" i="70"/>
  <c r="BD55" i="70"/>
  <c r="BC56" i="70"/>
  <c r="BD58" i="70"/>
  <c r="R59" i="70"/>
  <c r="V59" i="70" s="1"/>
  <c r="AA59" i="70"/>
  <c r="AE59" i="70" s="1"/>
  <c r="AI59" i="70" s="1"/>
  <c r="AO59" i="70" s="1"/>
  <c r="AS59" i="70" s="1"/>
  <c r="AW59" i="70" s="1"/>
  <c r="BE59" i="70" s="1"/>
  <c r="AA62" i="70"/>
  <c r="AE62" i="70" s="1"/>
  <c r="AI62" i="70" s="1"/>
  <c r="AO62" i="70" s="1"/>
  <c r="AS62" i="70" s="1"/>
  <c r="AW62" i="70" s="1"/>
  <c r="BE62" i="70" s="1"/>
  <c r="BD71" i="70"/>
  <c r="AB72" i="70"/>
  <c r="AF72" i="70" s="1"/>
  <c r="AJ72" i="70" s="1"/>
  <c r="AP72" i="70" s="1"/>
  <c r="AT72" i="70" s="1"/>
  <c r="AX72" i="70" s="1"/>
  <c r="BF72" i="70" s="1"/>
  <c r="AA73" i="70"/>
  <c r="AE73" i="70" s="1"/>
  <c r="AI73" i="70" s="1"/>
  <c r="AO73" i="70" s="1"/>
  <c r="AS73" i="70" s="1"/>
  <c r="AW73" i="70" s="1"/>
  <c r="BE73" i="70" s="1"/>
  <c r="AA75" i="70"/>
  <c r="AE75" i="70" s="1"/>
  <c r="AI75" i="70" s="1"/>
  <c r="AO75" i="70" s="1"/>
  <c r="AS75" i="70" s="1"/>
  <c r="AW75" i="70" s="1"/>
  <c r="BE75" i="70" s="1"/>
  <c r="BC75" i="70"/>
  <c r="AN76" i="70"/>
  <c r="BC77" i="70"/>
  <c r="Q80" i="70"/>
  <c r="U80" i="70" s="1"/>
  <c r="AB87" i="70"/>
  <c r="AF87" i="70" s="1"/>
  <c r="AJ87" i="70" s="1"/>
  <c r="AP87" i="70" s="1"/>
  <c r="AT87" i="70" s="1"/>
  <c r="AX87" i="70" s="1"/>
  <c r="BF87" i="70" s="1"/>
  <c r="BD88" i="70"/>
  <c r="BC94" i="70"/>
  <c r="J97" i="70"/>
  <c r="N97" i="70" s="1"/>
  <c r="R97" i="70" s="1"/>
  <c r="V97" i="70" s="1"/>
  <c r="BC99" i="70"/>
  <c r="BD109" i="70"/>
  <c r="AB13" i="70"/>
  <c r="AF13" i="70" s="1"/>
  <c r="AJ13" i="70" s="1"/>
  <c r="AP13" i="70" s="1"/>
  <c r="AT13" i="70" s="1"/>
  <c r="AX13" i="70" s="1"/>
  <c r="BF13" i="70" s="1"/>
  <c r="AA14" i="70"/>
  <c r="AE14" i="70" s="1"/>
  <c r="AI14" i="70" s="1"/>
  <c r="AO14" i="70" s="1"/>
  <c r="AS14" i="70" s="1"/>
  <c r="AW14" i="70" s="1"/>
  <c r="BE14" i="70" s="1"/>
  <c r="BC15" i="70"/>
  <c r="BC25" i="70"/>
  <c r="Q32" i="70"/>
  <c r="U32" i="70" s="1"/>
  <c r="Z34" i="70"/>
  <c r="AB34" i="70" s="1"/>
  <c r="AF34" i="70" s="1"/>
  <c r="AJ34" i="70" s="1"/>
  <c r="AP34" i="70" s="1"/>
  <c r="AT34" i="70" s="1"/>
  <c r="AX34" i="70" s="1"/>
  <c r="BF34" i="70" s="1"/>
  <c r="Q35" i="70"/>
  <c r="U35" i="70" s="1"/>
  <c r="BC35" i="70"/>
  <c r="BC36" i="70"/>
  <c r="BD40" i="70"/>
  <c r="BD42" i="70"/>
  <c r="AA43" i="70"/>
  <c r="AE43" i="70" s="1"/>
  <c r="AI43" i="70" s="1"/>
  <c r="AO43" i="70" s="1"/>
  <c r="AS43" i="70" s="1"/>
  <c r="AW43" i="70" s="1"/>
  <c r="BE43" i="70" s="1"/>
  <c r="AA47" i="70"/>
  <c r="AE47" i="70" s="1"/>
  <c r="AI47" i="70" s="1"/>
  <c r="AO47" i="70" s="1"/>
  <c r="AS47" i="70" s="1"/>
  <c r="AW47" i="70" s="1"/>
  <c r="BE47" i="70" s="1"/>
  <c r="H66" i="70"/>
  <c r="T67" i="70"/>
  <c r="Z67" i="70" s="1"/>
  <c r="AA54" i="70"/>
  <c r="AE54" i="70" s="1"/>
  <c r="AI54" i="70" s="1"/>
  <c r="AO54" i="70" s="1"/>
  <c r="AS54" i="70" s="1"/>
  <c r="AW54" i="70" s="1"/>
  <c r="BE54" i="70" s="1"/>
  <c r="BD57" i="70"/>
  <c r="Z62" i="70"/>
  <c r="Z63" i="70"/>
  <c r="AN63" i="70"/>
  <c r="AA71" i="70"/>
  <c r="AE71" i="70" s="1"/>
  <c r="AI71" i="70" s="1"/>
  <c r="AO71" i="70" s="1"/>
  <c r="AS71" i="70" s="1"/>
  <c r="AW71" i="70" s="1"/>
  <c r="BE71" i="70" s="1"/>
  <c r="BC71" i="70"/>
  <c r="N76" i="70"/>
  <c r="Q76" i="70"/>
  <c r="U76" i="70" s="1"/>
  <c r="Z77" i="70"/>
  <c r="BC80" i="70"/>
  <c r="BD81" i="70"/>
  <c r="BD94" i="70"/>
  <c r="AB83" i="70"/>
  <c r="AF83" i="70" s="1"/>
  <c r="AJ83" i="70" s="1"/>
  <c r="AP83" i="70" s="1"/>
  <c r="AT83" i="70" s="1"/>
  <c r="AX83" i="70" s="1"/>
  <c r="BF83" i="70" s="1"/>
  <c r="Z17" i="70"/>
  <c r="AH18" i="70"/>
  <c r="Z24" i="70"/>
  <c r="AH36" i="70"/>
  <c r="BC30" i="70"/>
  <c r="P36" i="70"/>
  <c r="AA72" i="70"/>
  <c r="AE72" i="70" s="1"/>
  <c r="AI72" i="70" s="1"/>
  <c r="AO72" i="70" s="1"/>
  <c r="AS72" i="70" s="1"/>
  <c r="AW72" i="70" s="1"/>
  <c r="BE72" i="70" s="1"/>
  <c r="Q81" i="70"/>
  <c r="U81" i="70" s="1"/>
  <c r="AB99" i="70"/>
  <c r="AF99" i="70" s="1"/>
  <c r="AJ99" i="70" s="1"/>
  <c r="AP99" i="70" s="1"/>
  <c r="AT99" i="70" s="1"/>
  <c r="AX99" i="70" s="1"/>
  <c r="BF99" i="70" s="1"/>
  <c r="R99" i="70"/>
  <c r="V99" i="70" s="1"/>
  <c r="R108" i="70"/>
  <c r="V108" i="70" s="1"/>
  <c r="AB108" i="70"/>
  <c r="AF108" i="70" s="1"/>
  <c r="AJ108" i="70" s="1"/>
  <c r="AP108" i="70" s="1"/>
  <c r="AT108" i="70" s="1"/>
  <c r="AX108" i="70" s="1"/>
  <c r="BF108" i="70" s="1"/>
  <c r="R156" i="70"/>
  <c r="V156" i="70" s="1"/>
  <c r="AB156" i="70"/>
  <c r="AF156" i="70" s="1"/>
  <c r="AJ156" i="70" s="1"/>
  <c r="AP156" i="70" s="1"/>
  <c r="AT156" i="70" s="1"/>
  <c r="AX156" i="70" s="1"/>
  <c r="BF156" i="70" s="1"/>
  <c r="AA91" i="70"/>
  <c r="AE91" i="70" s="1"/>
  <c r="AI91" i="70" s="1"/>
  <c r="AO91" i="70" s="1"/>
  <c r="AS91" i="70" s="1"/>
  <c r="AW91" i="70" s="1"/>
  <c r="BE91" i="70" s="1"/>
  <c r="BD99" i="70"/>
  <c r="Q100" i="70"/>
  <c r="U100" i="70" s="1"/>
  <c r="BD100" i="70"/>
  <c r="BD102" i="70"/>
  <c r="AA109" i="70"/>
  <c r="AE109" i="70" s="1"/>
  <c r="AI109" i="70" s="1"/>
  <c r="AO109" i="70" s="1"/>
  <c r="AS109" i="70" s="1"/>
  <c r="AW109" i="70" s="1"/>
  <c r="BE109" i="70" s="1"/>
  <c r="BC112" i="70"/>
  <c r="AH120" i="70"/>
  <c r="AV120" i="70"/>
  <c r="J125" i="70"/>
  <c r="N125" i="70" s="1"/>
  <c r="BD132" i="70"/>
  <c r="J138" i="70"/>
  <c r="N138" i="70" s="1"/>
  <c r="R138" i="70" s="1"/>
  <c r="V138" i="70" s="1"/>
  <c r="AA145" i="70"/>
  <c r="AE145" i="70" s="1"/>
  <c r="AI145" i="70" s="1"/>
  <c r="AO145" i="70" s="1"/>
  <c r="AS145" i="70" s="1"/>
  <c r="AW145" i="70" s="1"/>
  <c r="BE145" i="70" s="1"/>
  <c r="BC145" i="70"/>
  <c r="BC147" i="70"/>
  <c r="BD151" i="70"/>
  <c r="AA157" i="70"/>
  <c r="AE157" i="70" s="1"/>
  <c r="AI157" i="70" s="1"/>
  <c r="AO157" i="70" s="1"/>
  <c r="AS157" i="70" s="1"/>
  <c r="AW157" i="70" s="1"/>
  <c r="BE157" i="70" s="1"/>
  <c r="Q160" i="70"/>
  <c r="BC164" i="70"/>
  <c r="AB166" i="70"/>
  <c r="AF166" i="70" s="1"/>
  <c r="AJ166" i="70" s="1"/>
  <c r="AP166" i="70" s="1"/>
  <c r="AT166" i="70" s="1"/>
  <c r="AX166" i="70" s="1"/>
  <c r="BF166" i="70" s="1"/>
  <c r="AA173" i="70"/>
  <c r="AE173" i="70" s="1"/>
  <c r="AI173" i="70" s="1"/>
  <c r="AO173" i="70" s="1"/>
  <c r="AS173" i="70" s="1"/>
  <c r="AW173" i="70" s="1"/>
  <c r="BE173" i="70" s="1"/>
  <c r="BC173" i="70"/>
  <c r="BC176" i="70"/>
  <c r="Z179" i="70"/>
  <c r="BB188" i="70"/>
  <c r="BD188" i="70" s="1"/>
  <c r="BC189" i="70"/>
  <c r="Z194" i="70"/>
  <c r="BB195" i="70"/>
  <c r="J198" i="70"/>
  <c r="N198" i="70" s="1"/>
  <c r="Q198" i="70"/>
  <c r="U198" i="70" s="1"/>
  <c r="J200" i="70"/>
  <c r="N200" i="70" s="1"/>
  <c r="AN200" i="70"/>
  <c r="J201" i="70"/>
  <c r="N201" i="70" s="1"/>
  <c r="Z201" i="70"/>
  <c r="J208" i="70"/>
  <c r="N208" i="70" s="1"/>
  <c r="R208" i="70" s="1"/>
  <c r="V208" i="70" s="1"/>
  <c r="X213" i="70"/>
  <c r="J211" i="70"/>
  <c r="N211" i="70" s="1"/>
  <c r="X120" i="70"/>
  <c r="AA216" i="70"/>
  <c r="AA217" i="70" s="1"/>
  <c r="AB132" i="70"/>
  <c r="AF132" i="70" s="1"/>
  <c r="AJ132" i="70" s="1"/>
  <c r="AP132" i="70" s="1"/>
  <c r="AT132" i="70" s="1"/>
  <c r="AX132" i="70" s="1"/>
  <c r="BF132" i="70" s="1"/>
  <c r="J163" i="70"/>
  <c r="BD180" i="70"/>
  <c r="BC186" i="70"/>
  <c r="X204" i="70"/>
  <c r="P204" i="70"/>
  <c r="AA114" i="70"/>
  <c r="AE114" i="70" s="1"/>
  <c r="AI114" i="70" s="1"/>
  <c r="AO114" i="70" s="1"/>
  <c r="AS114" i="70" s="1"/>
  <c r="AW114" i="70" s="1"/>
  <c r="BE114" i="70" s="1"/>
  <c r="AA115" i="70"/>
  <c r="AE115" i="70" s="1"/>
  <c r="AI115" i="70" s="1"/>
  <c r="AO115" i="70" s="1"/>
  <c r="AS115" i="70" s="1"/>
  <c r="AW115" i="70" s="1"/>
  <c r="BE115" i="70" s="1"/>
  <c r="L120" i="70"/>
  <c r="Q130" i="70"/>
  <c r="U130" i="70" s="1"/>
  <c r="BC133" i="70"/>
  <c r="AB147" i="70"/>
  <c r="AF147" i="70" s="1"/>
  <c r="AJ147" i="70" s="1"/>
  <c r="AP147" i="70" s="1"/>
  <c r="AT147" i="70" s="1"/>
  <c r="AX147" i="70" s="1"/>
  <c r="BF147" i="70" s="1"/>
  <c r="L162" i="70"/>
  <c r="AH162" i="70"/>
  <c r="AV162" i="70"/>
  <c r="M216" i="70"/>
  <c r="M217" i="70" s="1"/>
  <c r="X160" i="70"/>
  <c r="X163" i="70" s="1"/>
  <c r="Q165" i="70"/>
  <c r="Z167" i="70"/>
  <c r="T169" i="70"/>
  <c r="Z169" i="70" s="1"/>
  <c r="Z174" i="70"/>
  <c r="J192" i="70"/>
  <c r="N192" i="70" s="1"/>
  <c r="BC192" i="70"/>
  <c r="AD203" i="70"/>
  <c r="AN195" i="70"/>
  <c r="BD195" i="70" s="1"/>
  <c r="BB200" i="70"/>
  <c r="M209" i="70"/>
  <c r="L213" i="70"/>
  <c r="AN96" i="70"/>
  <c r="BD96" i="70" s="1"/>
  <c r="AA112" i="70"/>
  <c r="AE112" i="70" s="1"/>
  <c r="AI112" i="70" s="1"/>
  <c r="AO112" i="70" s="1"/>
  <c r="AS112" i="70" s="1"/>
  <c r="AW112" i="70" s="1"/>
  <c r="BE112" i="70" s="1"/>
  <c r="BD112" i="70"/>
  <c r="F120" i="70"/>
  <c r="J120" i="70" s="1"/>
  <c r="N120" i="70" s="1"/>
  <c r="Z117" i="70"/>
  <c r="BC132" i="70"/>
  <c r="BD133" i="70"/>
  <c r="BD135" i="70"/>
  <c r="J139" i="70"/>
  <c r="BB139" i="70"/>
  <c r="AB141" i="70"/>
  <c r="AF141" i="70" s="1"/>
  <c r="AJ141" i="70" s="1"/>
  <c r="AP141" i="70" s="1"/>
  <c r="AT141" i="70" s="1"/>
  <c r="AX141" i="70" s="1"/>
  <c r="BF141" i="70" s="1"/>
  <c r="BC144" i="70"/>
  <c r="BD145" i="70"/>
  <c r="R148" i="70"/>
  <c r="V148" i="70" s="1"/>
  <c r="AA148" i="70"/>
  <c r="AE148" i="70" s="1"/>
  <c r="AI148" i="70" s="1"/>
  <c r="AO148" i="70" s="1"/>
  <c r="AS148" i="70" s="1"/>
  <c r="AW148" i="70" s="1"/>
  <c r="BE148" i="70" s="1"/>
  <c r="AB150" i="70"/>
  <c r="AF150" i="70" s="1"/>
  <c r="AJ150" i="70" s="1"/>
  <c r="AP150" i="70" s="1"/>
  <c r="AT150" i="70" s="1"/>
  <c r="AX150" i="70" s="1"/>
  <c r="BF150" i="70" s="1"/>
  <c r="AA151" i="70"/>
  <c r="AE151" i="70" s="1"/>
  <c r="AI151" i="70" s="1"/>
  <c r="AO151" i="70" s="1"/>
  <c r="AS151" i="70" s="1"/>
  <c r="AW151" i="70" s="1"/>
  <c r="BE151" i="70" s="1"/>
  <c r="Q154" i="70"/>
  <c r="U154" i="70" s="1"/>
  <c r="X159" i="70"/>
  <c r="X162" i="70" s="1"/>
  <c r="P163" i="70"/>
  <c r="Z163" i="70" s="1"/>
  <c r="AL163" i="70"/>
  <c r="AN163" i="70" s="1"/>
  <c r="AZ163" i="70"/>
  <c r="AA162" i="70"/>
  <c r="AE162" i="70" s="1"/>
  <c r="AI162" i="70" s="1"/>
  <c r="AO162" i="70" s="1"/>
  <c r="AS162" i="70" s="1"/>
  <c r="AW162" i="70" s="1"/>
  <c r="BE162" i="70" s="1"/>
  <c r="BC163" i="70"/>
  <c r="Q164" i="70"/>
  <c r="U164" i="70" s="1"/>
  <c r="AN166" i="70"/>
  <c r="BD166" i="70" s="1"/>
  <c r="AR182" i="70"/>
  <c r="AN177" i="70"/>
  <c r="AH182" i="70"/>
  <c r="AN182" i="70" s="1"/>
  <c r="X183" i="70"/>
  <c r="AL183" i="70"/>
  <c r="Q185" i="70"/>
  <c r="U185" i="70" s="1"/>
  <c r="Z188" i="70"/>
  <c r="AB188" i="70" s="1"/>
  <c r="AF188" i="70" s="1"/>
  <c r="AJ188" i="70" s="1"/>
  <c r="AP188" i="70" s="1"/>
  <c r="AT188" i="70" s="1"/>
  <c r="AX188" i="70" s="1"/>
  <c r="BF188" i="70" s="1"/>
  <c r="AN188" i="70"/>
  <c r="Q189" i="70"/>
  <c r="U189" i="70" s="1"/>
  <c r="AL203" i="70"/>
  <c r="Z192" i="70"/>
  <c r="AN192" i="70"/>
  <c r="N194" i="70"/>
  <c r="Q195" i="70"/>
  <c r="U195" i="70" s="1"/>
  <c r="N197" i="70"/>
  <c r="Z197" i="70"/>
  <c r="AN197" i="70"/>
  <c r="AN198" i="70"/>
  <c r="BB209" i="70"/>
  <c r="BB14" i="70"/>
  <c r="BD14" i="70" s="1"/>
  <c r="BD8" i="70"/>
  <c r="BB24" i="70"/>
  <c r="BD33" i="70"/>
  <c r="BB37" i="70"/>
  <c r="BB28" i="70"/>
  <c r="BD23" i="70"/>
  <c r="BD27" i="70"/>
  <c r="BD43" i="70"/>
  <c r="AZ67" i="70"/>
  <c r="BB67" i="70" s="1"/>
  <c r="BD61" i="70"/>
  <c r="BD56" i="70"/>
  <c r="BD59" i="70"/>
  <c r="AZ120" i="70"/>
  <c r="AZ182" i="70"/>
  <c r="AZ183" i="70"/>
  <c r="BB179" i="70"/>
  <c r="BD179" i="70" s="1"/>
  <c r="BD105" i="70"/>
  <c r="BD115" i="70"/>
  <c r="BB189" i="70"/>
  <c r="BD189" i="70" s="1"/>
  <c r="BB191" i="70"/>
  <c r="BB194" i="70"/>
  <c r="BD194" i="70" s="1"/>
  <c r="BD103" i="70"/>
  <c r="BD124" i="70"/>
  <c r="BD122" i="70"/>
  <c r="BD123" i="70"/>
  <c r="AB9" i="70"/>
  <c r="AF9" i="70" s="1"/>
  <c r="AJ9" i="70" s="1"/>
  <c r="AP9" i="70" s="1"/>
  <c r="AT9" i="70" s="1"/>
  <c r="AX9" i="70" s="1"/>
  <c r="BF9" i="70" s="1"/>
  <c r="R9" i="70"/>
  <c r="V9" i="70" s="1"/>
  <c r="R16" i="70"/>
  <c r="V16" i="70" s="1"/>
  <c r="AB8" i="70"/>
  <c r="AF8" i="70" s="1"/>
  <c r="AJ8" i="70" s="1"/>
  <c r="AP8" i="70" s="1"/>
  <c r="AT8" i="70" s="1"/>
  <c r="AX8" i="70" s="1"/>
  <c r="BF8" i="70" s="1"/>
  <c r="R8" i="70"/>
  <c r="V8" i="70" s="1"/>
  <c r="R17" i="70"/>
  <c r="V17" i="70" s="1"/>
  <c r="AB17" i="70"/>
  <c r="AF17" i="70" s="1"/>
  <c r="AJ17" i="70" s="1"/>
  <c r="AP17" i="70" s="1"/>
  <c r="AT17" i="70" s="1"/>
  <c r="AX17" i="70" s="1"/>
  <c r="BF17" i="70" s="1"/>
  <c r="BD7" i="70"/>
  <c r="R10" i="70"/>
  <c r="V10" i="70" s="1"/>
  <c r="AA10" i="70"/>
  <c r="AE10" i="70" s="1"/>
  <c r="AI10" i="70" s="1"/>
  <c r="AO10" i="70" s="1"/>
  <c r="AS10" i="70" s="1"/>
  <c r="AW10" i="70" s="1"/>
  <c r="BE10" i="70" s="1"/>
  <c r="AA12" i="70"/>
  <c r="AE12" i="70" s="1"/>
  <c r="AI12" i="70" s="1"/>
  <c r="AO12" i="70" s="1"/>
  <c r="AS12" i="70" s="1"/>
  <c r="AW12" i="70" s="1"/>
  <c r="BE12" i="70" s="1"/>
  <c r="AN16" i="70"/>
  <c r="AN17" i="70"/>
  <c r="Z19" i="70"/>
  <c r="L36" i="70"/>
  <c r="Z36" i="70"/>
  <c r="AN28" i="70"/>
  <c r="AB29" i="70"/>
  <c r="AF29" i="70" s="1"/>
  <c r="AJ29" i="70" s="1"/>
  <c r="AP29" i="70" s="1"/>
  <c r="AT29" i="70" s="1"/>
  <c r="AX29" i="70" s="1"/>
  <c r="BF29" i="70" s="1"/>
  <c r="AB33" i="70"/>
  <c r="AF33" i="70" s="1"/>
  <c r="AJ33" i="70" s="1"/>
  <c r="AP33" i="70" s="1"/>
  <c r="AT33" i="70" s="1"/>
  <c r="AX33" i="70" s="1"/>
  <c r="BF33" i="70" s="1"/>
  <c r="R33" i="70"/>
  <c r="V33" i="70" s="1"/>
  <c r="AB35" i="70"/>
  <c r="AF35" i="70" s="1"/>
  <c r="AJ35" i="70" s="1"/>
  <c r="AP35" i="70" s="1"/>
  <c r="AT35" i="70" s="1"/>
  <c r="AX35" i="70" s="1"/>
  <c r="BF35" i="70" s="1"/>
  <c r="R35" i="70"/>
  <c r="V35" i="70" s="1"/>
  <c r="BD13" i="70"/>
  <c r="Z14" i="70"/>
  <c r="AB14" i="70" s="1"/>
  <c r="AF14" i="70" s="1"/>
  <c r="AJ14" i="70" s="1"/>
  <c r="AP14" i="70" s="1"/>
  <c r="AT14" i="70" s="1"/>
  <c r="AX14" i="70" s="1"/>
  <c r="BF14" i="70" s="1"/>
  <c r="BB17" i="70"/>
  <c r="AN18" i="70"/>
  <c r="N19" i="70"/>
  <c r="AD36" i="70"/>
  <c r="AN36" i="70" s="1"/>
  <c r="AN24" i="70"/>
  <c r="Q26" i="70"/>
  <c r="U26" i="70" s="1"/>
  <c r="AA26" i="70"/>
  <c r="AE26" i="70" s="1"/>
  <c r="AI26" i="70" s="1"/>
  <c r="AO26" i="70" s="1"/>
  <c r="AS26" i="70" s="1"/>
  <c r="AW26" i="70" s="1"/>
  <c r="BE26" i="70" s="1"/>
  <c r="AB11" i="70"/>
  <c r="AF11" i="70" s="1"/>
  <c r="AJ11" i="70" s="1"/>
  <c r="AP11" i="70" s="1"/>
  <c r="AT11" i="70" s="1"/>
  <c r="AX11" i="70" s="1"/>
  <c r="BF11" i="70" s="1"/>
  <c r="AA17" i="70"/>
  <c r="AE17" i="70" s="1"/>
  <c r="AI17" i="70" s="1"/>
  <c r="AO17" i="70" s="1"/>
  <c r="AS17" i="70" s="1"/>
  <c r="AW17" i="70" s="1"/>
  <c r="BE17" i="70" s="1"/>
  <c r="Q17" i="70"/>
  <c r="U17" i="70" s="1"/>
  <c r="R26" i="70"/>
  <c r="V26" i="70" s="1"/>
  <c r="AB26" i="70"/>
  <c r="AF26" i="70" s="1"/>
  <c r="AJ26" i="70" s="1"/>
  <c r="AP26" i="70" s="1"/>
  <c r="AT26" i="70" s="1"/>
  <c r="AX26" i="70" s="1"/>
  <c r="BF26" i="70" s="1"/>
  <c r="J28" i="70"/>
  <c r="N28" i="70" s="1"/>
  <c r="F36" i="70"/>
  <c r="J36" i="70" s="1"/>
  <c r="AB7" i="70"/>
  <c r="AF7" i="70" s="1"/>
  <c r="AJ7" i="70" s="1"/>
  <c r="AP7" i="70" s="1"/>
  <c r="AT7" i="70" s="1"/>
  <c r="AX7" i="70" s="1"/>
  <c r="BF7" i="70" s="1"/>
  <c r="AB15" i="70"/>
  <c r="AF15" i="70" s="1"/>
  <c r="AJ15" i="70" s="1"/>
  <c r="AP15" i="70" s="1"/>
  <c r="AT15" i="70" s="1"/>
  <c r="AX15" i="70" s="1"/>
  <c r="BF15" i="70" s="1"/>
  <c r="J18" i="70"/>
  <c r="N18" i="70" s="1"/>
  <c r="T18" i="70"/>
  <c r="Z18" i="70" s="1"/>
  <c r="Z16" i="70"/>
  <c r="AB16" i="70" s="1"/>
  <c r="AF16" i="70" s="1"/>
  <c r="AJ16" i="70" s="1"/>
  <c r="AP16" i="70" s="1"/>
  <c r="AT16" i="70" s="1"/>
  <c r="AX16" i="70" s="1"/>
  <c r="BF16" i="70" s="1"/>
  <c r="AR36" i="70"/>
  <c r="Q27" i="70"/>
  <c r="U27" i="70" s="1"/>
  <c r="AA27" i="70"/>
  <c r="AE27" i="70" s="1"/>
  <c r="AI27" i="70" s="1"/>
  <c r="AO27" i="70" s="1"/>
  <c r="AS27" i="70" s="1"/>
  <c r="AW27" i="70" s="1"/>
  <c r="BE27" i="70" s="1"/>
  <c r="AB27" i="70"/>
  <c r="AF27" i="70" s="1"/>
  <c r="AJ27" i="70" s="1"/>
  <c r="AP27" i="70" s="1"/>
  <c r="AT27" i="70" s="1"/>
  <c r="AX27" i="70" s="1"/>
  <c r="BF27" i="70" s="1"/>
  <c r="BB32" i="70"/>
  <c r="BD32" i="70" s="1"/>
  <c r="AZ18" i="70"/>
  <c r="BB18" i="70" s="1"/>
  <c r="J24" i="70"/>
  <c r="N24" i="70" s="1"/>
  <c r="AV36" i="70"/>
  <c r="AA29" i="70"/>
  <c r="AE29" i="70" s="1"/>
  <c r="AI29" i="70" s="1"/>
  <c r="AO29" i="70" s="1"/>
  <c r="AS29" i="70" s="1"/>
  <c r="AW29" i="70" s="1"/>
  <c r="BE29" i="70" s="1"/>
  <c r="J32" i="70"/>
  <c r="N32" i="70" s="1"/>
  <c r="AN34" i="70"/>
  <c r="BD34" i="70" s="1"/>
  <c r="R37" i="70"/>
  <c r="V37" i="70" s="1"/>
  <c r="AB40" i="70"/>
  <c r="AF40" i="70" s="1"/>
  <c r="AJ40" i="70" s="1"/>
  <c r="AP40" i="70" s="1"/>
  <c r="AT40" i="70" s="1"/>
  <c r="AX40" i="70" s="1"/>
  <c r="BF40" i="70" s="1"/>
  <c r="AB41" i="70"/>
  <c r="AF41" i="70" s="1"/>
  <c r="AJ41" i="70" s="1"/>
  <c r="AP41" i="70" s="1"/>
  <c r="AT41" i="70" s="1"/>
  <c r="AX41" i="70" s="1"/>
  <c r="BF41" i="70" s="1"/>
  <c r="R45" i="70"/>
  <c r="V45" i="70" s="1"/>
  <c r="R47" i="70"/>
  <c r="V47" i="70" s="1"/>
  <c r="AA50" i="70"/>
  <c r="AE50" i="70" s="1"/>
  <c r="AI50" i="70" s="1"/>
  <c r="AO50" i="70" s="1"/>
  <c r="AS50" i="70" s="1"/>
  <c r="AW50" i="70" s="1"/>
  <c r="BE50" i="70" s="1"/>
  <c r="AR66" i="70"/>
  <c r="BB50" i="70"/>
  <c r="Z51" i="70"/>
  <c r="AB51" i="70" s="1"/>
  <c r="AF51" i="70" s="1"/>
  <c r="AJ51" i="70" s="1"/>
  <c r="AP51" i="70" s="1"/>
  <c r="AT51" i="70" s="1"/>
  <c r="AX51" i="70" s="1"/>
  <c r="BF51" i="70" s="1"/>
  <c r="BB51" i="70"/>
  <c r="Q56" i="70"/>
  <c r="U56" i="70" s="1"/>
  <c r="AA56" i="70"/>
  <c r="AE56" i="70" s="1"/>
  <c r="AI56" i="70" s="1"/>
  <c r="AO56" i="70" s="1"/>
  <c r="AS56" i="70" s="1"/>
  <c r="AW56" i="70" s="1"/>
  <c r="BE56" i="70" s="1"/>
  <c r="AB57" i="70"/>
  <c r="AF57" i="70" s="1"/>
  <c r="AJ57" i="70" s="1"/>
  <c r="AP57" i="70" s="1"/>
  <c r="AT57" i="70" s="1"/>
  <c r="AX57" i="70" s="1"/>
  <c r="BF57" i="70" s="1"/>
  <c r="R57" i="70"/>
  <c r="V57" i="70" s="1"/>
  <c r="BD62" i="70"/>
  <c r="AA63" i="70"/>
  <c r="AE63" i="70" s="1"/>
  <c r="AI63" i="70" s="1"/>
  <c r="AO63" i="70" s="1"/>
  <c r="AS63" i="70" s="1"/>
  <c r="AW63" i="70" s="1"/>
  <c r="BE63" i="70" s="1"/>
  <c r="Q63" i="70"/>
  <c r="U63" i="70" s="1"/>
  <c r="AA67" i="70"/>
  <c r="AE67" i="70" s="1"/>
  <c r="AI67" i="70" s="1"/>
  <c r="AO67" i="70" s="1"/>
  <c r="AS67" i="70" s="1"/>
  <c r="AW67" i="70" s="1"/>
  <c r="BE67" i="70" s="1"/>
  <c r="Q67" i="70"/>
  <c r="U67" i="70" s="1"/>
  <c r="BC70" i="70"/>
  <c r="AB76" i="70"/>
  <c r="AF76" i="70" s="1"/>
  <c r="AJ76" i="70" s="1"/>
  <c r="AP76" i="70" s="1"/>
  <c r="AT76" i="70" s="1"/>
  <c r="AX76" i="70" s="1"/>
  <c r="BF76" i="70" s="1"/>
  <c r="R76" i="70"/>
  <c r="V76" i="70" s="1"/>
  <c r="BD77" i="70"/>
  <c r="AB81" i="70"/>
  <c r="AF81" i="70" s="1"/>
  <c r="AJ81" i="70" s="1"/>
  <c r="AP81" i="70" s="1"/>
  <c r="AT81" i="70" s="1"/>
  <c r="AX81" i="70" s="1"/>
  <c r="BF81" i="70" s="1"/>
  <c r="R81" i="70"/>
  <c r="V81" i="70" s="1"/>
  <c r="Z32" i="70"/>
  <c r="BB35" i="70"/>
  <c r="BD35" i="70" s="1"/>
  <c r="AA37" i="70"/>
  <c r="AE37" i="70" s="1"/>
  <c r="AI37" i="70" s="1"/>
  <c r="AO37" i="70" s="1"/>
  <c r="AS37" i="70" s="1"/>
  <c r="AW37" i="70" s="1"/>
  <c r="BE37" i="70" s="1"/>
  <c r="AB48" i="70"/>
  <c r="AF48" i="70" s="1"/>
  <c r="AJ48" i="70" s="1"/>
  <c r="AP48" i="70" s="1"/>
  <c r="AT48" i="70" s="1"/>
  <c r="AX48" i="70" s="1"/>
  <c r="BF48" i="70" s="1"/>
  <c r="R48" i="70"/>
  <c r="V48" i="70" s="1"/>
  <c r="AB49" i="70"/>
  <c r="AF49" i="70" s="1"/>
  <c r="AJ49" i="70" s="1"/>
  <c r="AP49" i="70" s="1"/>
  <c r="AT49" i="70" s="1"/>
  <c r="AX49" i="70" s="1"/>
  <c r="BF49" i="70" s="1"/>
  <c r="R49" i="70"/>
  <c r="V49" i="70" s="1"/>
  <c r="R54" i="70"/>
  <c r="V54" i="70" s="1"/>
  <c r="AB54" i="70"/>
  <c r="AF54" i="70" s="1"/>
  <c r="AJ54" i="70" s="1"/>
  <c r="AP54" i="70" s="1"/>
  <c r="AT54" i="70" s="1"/>
  <c r="AX54" i="70" s="1"/>
  <c r="BF54" i="70" s="1"/>
  <c r="Q55" i="70"/>
  <c r="U55" i="70" s="1"/>
  <c r="AA55" i="70"/>
  <c r="AE55" i="70" s="1"/>
  <c r="AI55" i="70" s="1"/>
  <c r="AO55" i="70" s="1"/>
  <c r="AS55" i="70" s="1"/>
  <c r="AW55" i="70" s="1"/>
  <c r="BE55" i="70" s="1"/>
  <c r="BC58" i="70"/>
  <c r="F67" i="70"/>
  <c r="J67" i="70" s="1"/>
  <c r="N67" i="70" s="1"/>
  <c r="J63" i="70"/>
  <c r="N63" i="70" s="1"/>
  <c r="AN66" i="70"/>
  <c r="AB73" i="70"/>
  <c r="AF73" i="70" s="1"/>
  <c r="AJ73" i="70" s="1"/>
  <c r="AP73" i="70" s="1"/>
  <c r="AT73" i="70" s="1"/>
  <c r="AX73" i="70" s="1"/>
  <c r="BF73" i="70" s="1"/>
  <c r="R73" i="70"/>
  <c r="V73" i="70" s="1"/>
  <c r="AB75" i="70"/>
  <c r="AF75" i="70" s="1"/>
  <c r="AJ75" i="70" s="1"/>
  <c r="AP75" i="70" s="1"/>
  <c r="AT75" i="70" s="1"/>
  <c r="AX75" i="70" s="1"/>
  <c r="BF75" i="70" s="1"/>
  <c r="R75" i="70"/>
  <c r="V75" i="70" s="1"/>
  <c r="R77" i="70"/>
  <c r="V77" i="70" s="1"/>
  <c r="AB77" i="70"/>
  <c r="AF77" i="70" s="1"/>
  <c r="AJ77" i="70" s="1"/>
  <c r="AP77" i="70" s="1"/>
  <c r="AT77" i="70" s="1"/>
  <c r="AX77" i="70" s="1"/>
  <c r="BF77" i="70" s="1"/>
  <c r="AA36" i="70"/>
  <c r="AE36" i="70" s="1"/>
  <c r="AI36" i="70" s="1"/>
  <c r="AO36" i="70" s="1"/>
  <c r="AS36" i="70" s="1"/>
  <c r="AW36" i="70" s="1"/>
  <c r="BE36" i="70" s="1"/>
  <c r="Q36" i="70"/>
  <c r="U36" i="70" s="1"/>
  <c r="R51" i="70"/>
  <c r="V51" i="70" s="1"/>
  <c r="AB55" i="70"/>
  <c r="AF55" i="70" s="1"/>
  <c r="AJ55" i="70" s="1"/>
  <c r="AP55" i="70" s="1"/>
  <c r="AT55" i="70" s="1"/>
  <c r="AX55" i="70" s="1"/>
  <c r="BF55" i="70" s="1"/>
  <c r="AB60" i="70"/>
  <c r="AF60" i="70" s="1"/>
  <c r="AJ60" i="70" s="1"/>
  <c r="AP60" i="70" s="1"/>
  <c r="AT60" i="70" s="1"/>
  <c r="AX60" i="70" s="1"/>
  <c r="BF60" i="70" s="1"/>
  <c r="R60" i="70"/>
  <c r="V60" i="70" s="1"/>
  <c r="AB61" i="70"/>
  <c r="AF61" i="70" s="1"/>
  <c r="AJ61" i="70" s="1"/>
  <c r="AP61" i="70" s="1"/>
  <c r="AT61" i="70" s="1"/>
  <c r="AX61" i="70" s="1"/>
  <c r="BF61" i="70" s="1"/>
  <c r="R61" i="70"/>
  <c r="V61" i="70" s="1"/>
  <c r="Z66" i="70"/>
  <c r="AB71" i="70"/>
  <c r="AF71" i="70" s="1"/>
  <c r="AJ71" i="70" s="1"/>
  <c r="AP71" i="70" s="1"/>
  <c r="AT71" i="70" s="1"/>
  <c r="AX71" i="70" s="1"/>
  <c r="BF71" i="70" s="1"/>
  <c r="R71" i="70"/>
  <c r="V71" i="70" s="1"/>
  <c r="BB16" i="70"/>
  <c r="AN19" i="70"/>
  <c r="BD19" i="70" s="1"/>
  <c r="Z28" i="70"/>
  <c r="R29" i="70"/>
  <c r="V29" i="70" s="1"/>
  <c r="BC29" i="70"/>
  <c r="R34" i="70"/>
  <c r="V34" i="70" s="1"/>
  <c r="AN37" i="70"/>
  <c r="BC37" i="70"/>
  <c r="AA41" i="70"/>
  <c r="AE41" i="70" s="1"/>
  <c r="AI41" i="70" s="1"/>
  <c r="AO41" i="70" s="1"/>
  <c r="AS41" i="70" s="1"/>
  <c r="AW41" i="70" s="1"/>
  <c r="BE41" i="70" s="1"/>
  <c r="AA44" i="70"/>
  <c r="AE44" i="70" s="1"/>
  <c r="AI44" i="70" s="1"/>
  <c r="AO44" i="70" s="1"/>
  <c r="AS44" i="70" s="1"/>
  <c r="AW44" i="70" s="1"/>
  <c r="BE44" i="70" s="1"/>
  <c r="AA46" i="70"/>
  <c r="AE46" i="70" s="1"/>
  <c r="AI46" i="70" s="1"/>
  <c r="AO46" i="70" s="1"/>
  <c r="AS46" i="70" s="1"/>
  <c r="AW46" i="70" s="1"/>
  <c r="BE46" i="70" s="1"/>
  <c r="AN50" i="70"/>
  <c r="AB56" i="70"/>
  <c r="AF56" i="70" s="1"/>
  <c r="AJ56" i="70" s="1"/>
  <c r="AP56" i="70" s="1"/>
  <c r="AT56" i="70" s="1"/>
  <c r="AX56" i="70" s="1"/>
  <c r="BF56" i="70" s="1"/>
  <c r="R56" i="70"/>
  <c r="V56" i="70" s="1"/>
  <c r="AN67" i="70"/>
  <c r="AA70" i="70"/>
  <c r="AE70" i="70" s="1"/>
  <c r="AI70" i="70" s="1"/>
  <c r="AO70" i="70" s="1"/>
  <c r="AS70" i="70" s="1"/>
  <c r="AW70" i="70" s="1"/>
  <c r="BE70" i="70" s="1"/>
  <c r="Q70" i="70"/>
  <c r="U70" i="70" s="1"/>
  <c r="AB44" i="70"/>
  <c r="AF44" i="70" s="1"/>
  <c r="AJ44" i="70" s="1"/>
  <c r="AP44" i="70" s="1"/>
  <c r="AT44" i="70" s="1"/>
  <c r="AX44" i="70" s="1"/>
  <c r="BF44" i="70" s="1"/>
  <c r="BD44" i="70"/>
  <c r="Z50" i="70"/>
  <c r="AN51" i="70"/>
  <c r="AA57" i="70"/>
  <c r="AE57" i="70" s="1"/>
  <c r="AI57" i="70" s="1"/>
  <c r="AO57" i="70" s="1"/>
  <c r="AS57" i="70" s="1"/>
  <c r="AW57" i="70" s="1"/>
  <c r="BE57" i="70" s="1"/>
  <c r="J62" i="70"/>
  <c r="N62" i="70" s="1"/>
  <c r="BB63" i="70"/>
  <c r="BD63" i="70" s="1"/>
  <c r="AB70" i="70"/>
  <c r="AF70" i="70" s="1"/>
  <c r="AJ70" i="70" s="1"/>
  <c r="AP70" i="70" s="1"/>
  <c r="AT70" i="70" s="1"/>
  <c r="AX70" i="70" s="1"/>
  <c r="BF70" i="70" s="1"/>
  <c r="BD70" i="70"/>
  <c r="AA77" i="70"/>
  <c r="AE77" i="70" s="1"/>
  <c r="AI77" i="70" s="1"/>
  <c r="AO77" i="70" s="1"/>
  <c r="AS77" i="70" s="1"/>
  <c r="AW77" i="70" s="1"/>
  <c r="BE77" i="70" s="1"/>
  <c r="Q77" i="70"/>
  <c r="U77" i="70" s="1"/>
  <c r="AA82" i="70"/>
  <c r="AE82" i="70" s="1"/>
  <c r="AI82" i="70" s="1"/>
  <c r="AO82" i="70" s="1"/>
  <c r="AS82" i="70" s="1"/>
  <c r="AW82" i="70" s="1"/>
  <c r="BE82" i="70" s="1"/>
  <c r="BC82" i="70"/>
  <c r="BC87" i="70"/>
  <c r="R88" i="70"/>
  <c r="V88" i="70" s="1"/>
  <c r="Z97" i="70"/>
  <c r="AB97" i="70" s="1"/>
  <c r="AF97" i="70" s="1"/>
  <c r="AJ97" i="70" s="1"/>
  <c r="AP97" i="70" s="1"/>
  <c r="AT97" i="70" s="1"/>
  <c r="AX97" i="70" s="1"/>
  <c r="BF97" i="70" s="1"/>
  <c r="AB103" i="70"/>
  <c r="AF103" i="70" s="1"/>
  <c r="AJ103" i="70" s="1"/>
  <c r="AP103" i="70" s="1"/>
  <c r="AT103" i="70" s="1"/>
  <c r="AX103" i="70" s="1"/>
  <c r="BF103" i="70" s="1"/>
  <c r="AA111" i="70"/>
  <c r="AE111" i="70" s="1"/>
  <c r="AI111" i="70" s="1"/>
  <c r="AO111" i="70" s="1"/>
  <c r="AS111" i="70" s="1"/>
  <c r="AW111" i="70" s="1"/>
  <c r="BE111" i="70" s="1"/>
  <c r="R114" i="70"/>
  <c r="V114" i="70" s="1"/>
  <c r="AB124" i="70"/>
  <c r="AF124" i="70" s="1"/>
  <c r="AJ124" i="70" s="1"/>
  <c r="AP124" i="70" s="1"/>
  <c r="AT124" i="70" s="1"/>
  <c r="AX124" i="70" s="1"/>
  <c r="BF124" i="70" s="1"/>
  <c r="R124" i="70"/>
  <c r="V124" i="70" s="1"/>
  <c r="R125" i="70"/>
  <c r="AI160" i="70"/>
  <c r="AB105" i="70"/>
  <c r="AF105" i="70" s="1"/>
  <c r="AJ105" i="70" s="1"/>
  <c r="AP105" i="70" s="1"/>
  <c r="AT105" i="70" s="1"/>
  <c r="AX105" i="70" s="1"/>
  <c r="BF105" i="70" s="1"/>
  <c r="R105" i="70"/>
  <c r="V105" i="70" s="1"/>
  <c r="BB76" i="70"/>
  <c r="BD76" i="70" s="1"/>
  <c r="Q90" i="70"/>
  <c r="U90" i="70" s="1"/>
  <c r="AB100" i="70"/>
  <c r="AF100" i="70" s="1"/>
  <c r="AJ100" i="70" s="1"/>
  <c r="AP100" i="70" s="1"/>
  <c r="AT100" i="70" s="1"/>
  <c r="AX100" i="70" s="1"/>
  <c r="BF100" i="70" s="1"/>
  <c r="R100" i="70"/>
  <c r="V100" i="70" s="1"/>
  <c r="Q105" i="70"/>
  <c r="U105" i="70" s="1"/>
  <c r="AA105" i="70"/>
  <c r="AE105" i="70" s="1"/>
  <c r="AI105" i="70" s="1"/>
  <c r="AO105" i="70" s="1"/>
  <c r="AS105" i="70" s="1"/>
  <c r="AW105" i="70" s="1"/>
  <c r="BE105" i="70" s="1"/>
  <c r="AB106" i="70"/>
  <c r="AF106" i="70" s="1"/>
  <c r="AJ106" i="70" s="1"/>
  <c r="AP106" i="70" s="1"/>
  <c r="AT106" i="70" s="1"/>
  <c r="AX106" i="70" s="1"/>
  <c r="BF106" i="70" s="1"/>
  <c r="R106" i="70"/>
  <c r="V106" i="70" s="1"/>
  <c r="AD120" i="70"/>
  <c r="AN120" i="70" s="1"/>
  <c r="BC41" i="70"/>
  <c r="F66" i="70"/>
  <c r="J66" i="70" s="1"/>
  <c r="N66" i="70" s="1"/>
  <c r="J50" i="70"/>
  <c r="N50" i="70" s="1"/>
  <c r="BC57" i="70"/>
  <c r="AB74" i="70"/>
  <c r="AF74" i="70" s="1"/>
  <c r="AJ74" i="70" s="1"/>
  <c r="AP74" i="70" s="1"/>
  <c r="AT74" i="70" s="1"/>
  <c r="AX74" i="70" s="1"/>
  <c r="BF74" i="70" s="1"/>
  <c r="BD74" i="70"/>
  <c r="AB80" i="70"/>
  <c r="AF80" i="70" s="1"/>
  <c r="AJ80" i="70" s="1"/>
  <c r="AP80" i="70" s="1"/>
  <c r="AT80" i="70" s="1"/>
  <c r="AX80" i="70" s="1"/>
  <c r="BF80" i="70" s="1"/>
  <c r="BD80" i="70"/>
  <c r="BC83" i="70"/>
  <c r="R93" i="70"/>
  <c r="V93" i="70" s="1"/>
  <c r="AB93" i="70"/>
  <c r="AF93" i="70" s="1"/>
  <c r="AJ93" i="70" s="1"/>
  <c r="AP93" i="70" s="1"/>
  <c r="AT93" i="70" s="1"/>
  <c r="AX93" i="70" s="1"/>
  <c r="BF93" i="70" s="1"/>
  <c r="R94" i="70"/>
  <c r="V94" i="70" s="1"/>
  <c r="R102" i="70"/>
  <c r="V102" i="70" s="1"/>
  <c r="AB102" i="70"/>
  <c r="AF102" i="70" s="1"/>
  <c r="AJ102" i="70" s="1"/>
  <c r="AP102" i="70" s="1"/>
  <c r="AT102" i="70" s="1"/>
  <c r="AX102" i="70" s="1"/>
  <c r="BF102" i="70" s="1"/>
  <c r="Q103" i="70"/>
  <c r="U103" i="70" s="1"/>
  <c r="AA103" i="70"/>
  <c r="AE103" i="70" s="1"/>
  <c r="AI103" i="70" s="1"/>
  <c r="AO103" i="70" s="1"/>
  <c r="AS103" i="70" s="1"/>
  <c r="AW103" i="70" s="1"/>
  <c r="BE103" i="70" s="1"/>
  <c r="R109" i="70"/>
  <c r="V109" i="70" s="1"/>
  <c r="T120" i="70"/>
  <c r="BD82" i="70"/>
  <c r="AB90" i="70"/>
  <c r="AF90" i="70" s="1"/>
  <c r="AJ90" i="70" s="1"/>
  <c r="AP90" i="70" s="1"/>
  <c r="AT90" i="70" s="1"/>
  <c r="AX90" i="70" s="1"/>
  <c r="BF90" i="70" s="1"/>
  <c r="BD90" i="70"/>
  <c r="J96" i="70"/>
  <c r="N96" i="70" s="1"/>
  <c r="Z96" i="70"/>
  <c r="BC100" i="70"/>
  <c r="AA106" i="70"/>
  <c r="AE106" i="70" s="1"/>
  <c r="AI106" i="70" s="1"/>
  <c r="AO106" i="70" s="1"/>
  <c r="AS106" i="70" s="1"/>
  <c r="AW106" i="70" s="1"/>
  <c r="BE106" i="70" s="1"/>
  <c r="AB111" i="70"/>
  <c r="AF111" i="70" s="1"/>
  <c r="AJ111" i="70" s="1"/>
  <c r="AP111" i="70" s="1"/>
  <c r="AT111" i="70" s="1"/>
  <c r="AX111" i="70" s="1"/>
  <c r="BF111" i="70" s="1"/>
  <c r="BD111" i="70"/>
  <c r="R115" i="70"/>
  <c r="V115" i="70" s="1"/>
  <c r="BC115" i="70"/>
  <c r="J118" i="70"/>
  <c r="AN118" i="70"/>
  <c r="BB118" i="70"/>
  <c r="BB216" i="70" s="1"/>
  <c r="P120" i="70"/>
  <c r="L121" i="70"/>
  <c r="X121" i="70"/>
  <c r="AB135" i="70"/>
  <c r="AF135" i="70" s="1"/>
  <c r="AJ135" i="70" s="1"/>
  <c r="AP135" i="70" s="1"/>
  <c r="AT135" i="70" s="1"/>
  <c r="AX135" i="70" s="1"/>
  <c r="BF135" i="70" s="1"/>
  <c r="N139" i="70"/>
  <c r="AN139" i="70"/>
  <c r="BD139" i="70" s="1"/>
  <c r="AA144" i="70"/>
  <c r="AE144" i="70" s="1"/>
  <c r="AI144" i="70" s="1"/>
  <c r="AO144" i="70" s="1"/>
  <c r="AS144" i="70" s="1"/>
  <c r="AW144" i="70" s="1"/>
  <c r="BE144" i="70" s="1"/>
  <c r="AB145" i="70"/>
  <c r="AF145" i="70" s="1"/>
  <c r="AJ145" i="70" s="1"/>
  <c r="AP145" i="70" s="1"/>
  <c r="AT145" i="70" s="1"/>
  <c r="AX145" i="70" s="1"/>
  <c r="BF145" i="70" s="1"/>
  <c r="AA147" i="70"/>
  <c r="AE147" i="70" s="1"/>
  <c r="AI147" i="70" s="1"/>
  <c r="AO147" i="70" s="1"/>
  <c r="AS147" i="70" s="1"/>
  <c r="AW147" i="70" s="1"/>
  <c r="BE147" i="70" s="1"/>
  <c r="R154" i="70"/>
  <c r="V154" i="70" s="1"/>
  <c r="R157" i="70"/>
  <c r="V157" i="70" s="1"/>
  <c r="AA159" i="70"/>
  <c r="AE159" i="70" s="1"/>
  <c r="AI159" i="70" s="1"/>
  <c r="AO159" i="70" s="1"/>
  <c r="AS159" i="70" s="1"/>
  <c r="AW159" i="70" s="1"/>
  <c r="BE159" i="70" s="1"/>
  <c r="AR162" i="70"/>
  <c r="BB159" i="70"/>
  <c r="U160" i="70"/>
  <c r="Z160" i="70"/>
  <c r="AB160" i="70" s="1"/>
  <c r="AF160" i="70" s="1"/>
  <c r="AJ160" i="70" s="1"/>
  <c r="AP160" i="70" s="1"/>
  <c r="AT160" i="70" s="1"/>
  <c r="AX160" i="70" s="1"/>
  <c r="BF160" i="70" s="1"/>
  <c r="AB165" i="70"/>
  <c r="AF165" i="70" s="1"/>
  <c r="AJ165" i="70" s="1"/>
  <c r="AP165" i="70" s="1"/>
  <c r="AT165" i="70" s="1"/>
  <c r="AX165" i="70" s="1"/>
  <c r="BF165" i="70" s="1"/>
  <c r="R165" i="70"/>
  <c r="V165" i="70" s="1"/>
  <c r="R167" i="70"/>
  <c r="V167" i="70" s="1"/>
  <c r="AB167" i="70"/>
  <c r="AF167" i="70" s="1"/>
  <c r="AJ167" i="70" s="1"/>
  <c r="AP167" i="70" s="1"/>
  <c r="AT167" i="70" s="1"/>
  <c r="AX167" i="70" s="1"/>
  <c r="BF167" i="70" s="1"/>
  <c r="N117" i="70"/>
  <c r="AN117" i="70"/>
  <c r="BB117" i="70"/>
  <c r="P121" i="70"/>
  <c r="AH121" i="70"/>
  <c r="V122" i="70"/>
  <c r="BD129" i="70"/>
  <c r="AB130" i="70"/>
  <c r="AF130" i="70" s="1"/>
  <c r="AJ130" i="70" s="1"/>
  <c r="AP130" i="70" s="1"/>
  <c r="AT130" i="70" s="1"/>
  <c r="AX130" i="70" s="1"/>
  <c r="BF130" i="70" s="1"/>
  <c r="Z138" i="70"/>
  <c r="AB138" i="70" s="1"/>
  <c r="AF138" i="70" s="1"/>
  <c r="AJ138" i="70" s="1"/>
  <c r="AP138" i="70" s="1"/>
  <c r="AT138" i="70" s="1"/>
  <c r="AX138" i="70" s="1"/>
  <c r="BF138" i="70" s="1"/>
  <c r="P162" i="70"/>
  <c r="Z162" i="70" s="1"/>
  <c r="AB173" i="70"/>
  <c r="AF173" i="70" s="1"/>
  <c r="AJ173" i="70" s="1"/>
  <c r="AP173" i="70" s="1"/>
  <c r="AT173" i="70" s="1"/>
  <c r="AX173" i="70" s="1"/>
  <c r="BF173" i="70" s="1"/>
  <c r="R173" i="70"/>
  <c r="V173" i="70" s="1"/>
  <c r="BB183" i="70"/>
  <c r="Z118" i="70"/>
  <c r="T210" i="70"/>
  <c r="T125" i="70"/>
  <c r="Z125" i="70" s="1"/>
  <c r="AB125" i="70" s="1"/>
  <c r="AF125" i="70" s="1"/>
  <c r="AJ125" i="70" s="1"/>
  <c r="AP125" i="70" s="1"/>
  <c r="AT125" i="70" s="1"/>
  <c r="AX125" i="70" s="1"/>
  <c r="BF125" i="70" s="1"/>
  <c r="AB123" i="70"/>
  <c r="AF123" i="70" s="1"/>
  <c r="AJ123" i="70" s="1"/>
  <c r="AP123" i="70" s="1"/>
  <c r="AT123" i="70" s="1"/>
  <c r="AX123" i="70" s="1"/>
  <c r="BF123" i="70" s="1"/>
  <c r="R136" i="70"/>
  <c r="V136" i="70" s="1"/>
  <c r="AB136" i="70"/>
  <c r="AF136" i="70" s="1"/>
  <c r="AJ136" i="70" s="1"/>
  <c r="AP136" i="70" s="1"/>
  <c r="AT136" i="70" s="1"/>
  <c r="AX136" i="70" s="1"/>
  <c r="BF136" i="70" s="1"/>
  <c r="AL162" i="70"/>
  <c r="R160" i="70"/>
  <c r="V160" i="70" s="1"/>
  <c r="AN83" i="70"/>
  <c r="BD83" i="70" s="1"/>
  <c r="AN97" i="70"/>
  <c r="BD97" i="70" s="1"/>
  <c r="BC106" i="70"/>
  <c r="AR120" i="70"/>
  <c r="AD121" i="70"/>
  <c r="AV121" i="70"/>
  <c r="Z122" i="70"/>
  <c r="AB122" i="70" s="1"/>
  <c r="AF122" i="70" s="1"/>
  <c r="AJ122" i="70" s="1"/>
  <c r="AP122" i="70" s="1"/>
  <c r="AT122" i="70" s="1"/>
  <c r="AX122" i="70" s="1"/>
  <c r="BF122" i="70" s="1"/>
  <c r="AN125" i="70"/>
  <c r="BB125" i="70"/>
  <c r="R142" i="70"/>
  <c r="V142" i="70" s="1"/>
  <c r="AA153" i="70"/>
  <c r="AE153" i="70" s="1"/>
  <c r="AI153" i="70" s="1"/>
  <c r="AO153" i="70" s="1"/>
  <c r="AS153" i="70" s="1"/>
  <c r="AW153" i="70" s="1"/>
  <c r="BE153" i="70" s="1"/>
  <c r="AA156" i="70"/>
  <c r="AE156" i="70" s="1"/>
  <c r="AI156" i="70" s="1"/>
  <c r="AO156" i="70" s="1"/>
  <c r="AS156" i="70" s="1"/>
  <c r="AW156" i="70" s="1"/>
  <c r="BE156" i="70" s="1"/>
  <c r="AN159" i="70"/>
  <c r="AD162" i="70"/>
  <c r="AM216" i="70"/>
  <c r="AM217" i="70" s="1"/>
  <c r="BC160" i="70"/>
  <c r="AR216" i="70"/>
  <c r="F121" i="70"/>
  <c r="J121" i="70" s="1"/>
  <c r="AR121" i="70"/>
  <c r="AB144" i="70"/>
  <c r="AF144" i="70" s="1"/>
  <c r="AJ144" i="70" s="1"/>
  <c r="AP144" i="70" s="1"/>
  <c r="AT144" i="70" s="1"/>
  <c r="AX144" i="70" s="1"/>
  <c r="BF144" i="70" s="1"/>
  <c r="BD144" i="70"/>
  <c r="AA150" i="70"/>
  <c r="AE150" i="70" s="1"/>
  <c r="AI150" i="70" s="1"/>
  <c r="AO150" i="70" s="1"/>
  <c r="AS150" i="70" s="1"/>
  <c r="AW150" i="70" s="1"/>
  <c r="BE150" i="70" s="1"/>
  <c r="AB151" i="70"/>
  <c r="AF151" i="70" s="1"/>
  <c r="AJ151" i="70" s="1"/>
  <c r="AP151" i="70" s="1"/>
  <c r="AT151" i="70" s="1"/>
  <c r="AX151" i="70" s="1"/>
  <c r="BF151" i="70" s="1"/>
  <c r="AB153" i="70"/>
  <c r="AF153" i="70" s="1"/>
  <c r="AJ153" i="70" s="1"/>
  <c r="AP153" i="70" s="1"/>
  <c r="AT153" i="70" s="1"/>
  <c r="AX153" i="70" s="1"/>
  <c r="BF153" i="70" s="1"/>
  <c r="BD153" i="70"/>
  <c r="Z159" i="70"/>
  <c r="AN160" i="70"/>
  <c r="BD160" i="70" s="1"/>
  <c r="AR163" i="70"/>
  <c r="Q209" i="70"/>
  <c r="U165" i="70"/>
  <c r="U209" i="70" s="1"/>
  <c r="P182" i="70"/>
  <c r="BB173" i="70"/>
  <c r="J174" i="70"/>
  <c r="N174" i="70" s="1"/>
  <c r="P183" i="70"/>
  <c r="P207" i="70" s="1"/>
  <c r="AA180" i="70"/>
  <c r="AE180" i="70" s="1"/>
  <c r="AI180" i="70" s="1"/>
  <c r="AO180" i="70" s="1"/>
  <c r="AS180" i="70" s="1"/>
  <c r="AW180" i="70" s="1"/>
  <c r="BE180" i="70" s="1"/>
  <c r="AA183" i="70"/>
  <c r="AE183" i="70" s="1"/>
  <c r="AI183" i="70" s="1"/>
  <c r="AO183" i="70" s="1"/>
  <c r="AS183" i="70" s="1"/>
  <c r="AW183" i="70" s="1"/>
  <c r="BE183" i="70" s="1"/>
  <c r="N185" i="70"/>
  <c r="X203" i="70"/>
  <c r="BC185" i="70"/>
  <c r="AV206" i="70"/>
  <c r="AR203" i="70"/>
  <c r="AL206" i="70"/>
  <c r="AB194" i="70"/>
  <c r="AF194" i="70" s="1"/>
  <c r="AJ194" i="70" s="1"/>
  <c r="AP194" i="70" s="1"/>
  <c r="AT194" i="70" s="1"/>
  <c r="AX194" i="70" s="1"/>
  <c r="BF194" i="70" s="1"/>
  <c r="R194" i="70"/>
  <c r="V194" i="70" s="1"/>
  <c r="AM209" i="70"/>
  <c r="BC165" i="70"/>
  <c r="BC209" i="70" s="1"/>
  <c r="N169" i="70"/>
  <c r="AD169" i="70"/>
  <c r="AN169" i="70" s="1"/>
  <c r="BD169" i="70" s="1"/>
  <c r="AN173" i="70"/>
  <c r="BB174" i="70"/>
  <c r="J176" i="70"/>
  <c r="N176" i="70" s="1"/>
  <c r="Z176" i="70"/>
  <c r="BB177" i="70"/>
  <c r="BD177" i="70" s="1"/>
  <c r="J179" i="70"/>
  <c r="N179" i="70" s="1"/>
  <c r="Z180" i="70"/>
  <c r="T183" i="70"/>
  <c r="AD183" i="70"/>
  <c r="AN183" i="70" s="1"/>
  <c r="L206" i="70"/>
  <c r="AN186" i="70"/>
  <c r="AB197" i="70"/>
  <c r="AF197" i="70" s="1"/>
  <c r="AJ197" i="70" s="1"/>
  <c r="AP197" i="70" s="1"/>
  <c r="AT197" i="70" s="1"/>
  <c r="AX197" i="70" s="1"/>
  <c r="BF197" i="70" s="1"/>
  <c r="R197" i="70"/>
  <c r="V197" i="70" s="1"/>
  <c r="AZ217" i="70"/>
  <c r="AA163" i="70"/>
  <c r="AE163" i="70" s="1"/>
  <c r="AI163" i="70" s="1"/>
  <c r="AO163" i="70" s="1"/>
  <c r="AS163" i="70" s="1"/>
  <c r="AW163" i="70" s="1"/>
  <c r="BE163" i="70" s="1"/>
  <c r="Q163" i="70"/>
  <c r="U163" i="70" s="1"/>
  <c r="AE165" i="70"/>
  <c r="AE216" i="70" s="1"/>
  <c r="AE217" i="70" s="1"/>
  <c r="J183" i="70"/>
  <c r="N183" i="70" s="1"/>
  <c r="AA174" i="70"/>
  <c r="AE174" i="70" s="1"/>
  <c r="AI174" i="70" s="1"/>
  <c r="AO174" i="70" s="1"/>
  <c r="AS174" i="70" s="1"/>
  <c r="AW174" i="70" s="1"/>
  <c r="BE174" i="70" s="1"/>
  <c r="Q174" i="70"/>
  <c r="U174" i="70" s="1"/>
  <c r="F182" i="70"/>
  <c r="T182" i="70"/>
  <c r="AH206" i="70"/>
  <c r="H207" i="70"/>
  <c r="J189" i="70"/>
  <c r="N189" i="70" s="1"/>
  <c r="F204" i="70"/>
  <c r="X207" i="70"/>
  <c r="AR207" i="70"/>
  <c r="AB191" i="70"/>
  <c r="AF191" i="70" s="1"/>
  <c r="AJ191" i="70" s="1"/>
  <c r="AP191" i="70" s="1"/>
  <c r="AT191" i="70" s="1"/>
  <c r="AX191" i="70" s="1"/>
  <c r="BF191" i="70" s="1"/>
  <c r="R191" i="70"/>
  <c r="V191" i="70" s="1"/>
  <c r="AB198" i="70"/>
  <c r="AF198" i="70" s="1"/>
  <c r="AJ198" i="70" s="1"/>
  <c r="AP198" i="70" s="1"/>
  <c r="AT198" i="70" s="1"/>
  <c r="AX198" i="70" s="1"/>
  <c r="BF198" i="70" s="1"/>
  <c r="R198" i="70"/>
  <c r="V198" i="70" s="1"/>
  <c r="R200" i="70"/>
  <c r="V200" i="70" s="1"/>
  <c r="AN138" i="70"/>
  <c r="BD138" i="70" s="1"/>
  <c r="BC150" i="70"/>
  <c r="F162" i="70"/>
  <c r="J162" i="70" s="1"/>
  <c r="N162" i="70" s="1"/>
  <c r="J159" i="70"/>
  <c r="N159" i="70" s="1"/>
  <c r="L163" i="70"/>
  <c r="N163" i="70" s="1"/>
  <c r="AV163" i="70"/>
  <c r="AB164" i="70"/>
  <c r="AF164" i="70" s="1"/>
  <c r="AJ164" i="70" s="1"/>
  <c r="AP164" i="70" s="1"/>
  <c r="AT164" i="70" s="1"/>
  <c r="AX164" i="70" s="1"/>
  <c r="BF164" i="70" s="1"/>
  <c r="BD164" i="70"/>
  <c r="AN167" i="70"/>
  <c r="BD167" i="70" s="1"/>
  <c r="R168" i="70"/>
  <c r="V168" i="70" s="1"/>
  <c r="H182" i="70"/>
  <c r="AN174" i="70"/>
  <c r="BB176" i="70"/>
  <c r="BD176" i="70" s="1"/>
  <c r="Z177" i="70"/>
  <c r="AB177" i="70" s="1"/>
  <c r="AF177" i="70" s="1"/>
  <c r="AJ177" i="70" s="1"/>
  <c r="AP177" i="70" s="1"/>
  <c r="AT177" i="70" s="1"/>
  <c r="AX177" i="70" s="1"/>
  <c r="BF177" i="70" s="1"/>
  <c r="L207" i="70"/>
  <c r="T204" i="70"/>
  <c r="Z186" i="70"/>
  <c r="AZ207" i="70"/>
  <c r="R188" i="70"/>
  <c r="V188" i="70" s="1"/>
  <c r="AB192" i="70"/>
  <c r="AF192" i="70" s="1"/>
  <c r="AJ192" i="70" s="1"/>
  <c r="AP192" i="70" s="1"/>
  <c r="AT192" i="70" s="1"/>
  <c r="AX192" i="70" s="1"/>
  <c r="BF192" i="70" s="1"/>
  <c r="R192" i="70"/>
  <c r="V192" i="70" s="1"/>
  <c r="AN203" i="70"/>
  <c r="AD206" i="70"/>
  <c r="Y216" i="70"/>
  <c r="Y217" i="70" s="1"/>
  <c r="AD213" i="70"/>
  <c r="AN210" i="70"/>
  <c r="X182" i="70"/>
  <c r="J180" i="70"/>
  <c r="N180" i="70" s="1"/>
  <c r="H203" i="70"/>
  <c r="P203" i="70"/>
  <c r="Z185" i="70"/>
  <c r="AZ203" i="70"/>
  <c r="J186" i="70"/>
  <c r="N186" i="70" s="1"/>
  <c r="AH204" i="70"/>
  <c r="AH207" i="70" s="1"/>
  <c r="BB186" i="70"/>
  <c r="Q191" i="70"/>
  <c r="U191" i="70" s="1"/>
  <c r="J195" i="70"/>
  <c r="N195" i="70" s="1"/>
  <c r="BB197" i="70"/>
  <c r="BD197" i="70" s="1"/>
  <c r="Z200" i="70"/>
  <c r="AB200" i="70" s="1"/>
  <c r="AF200" i="70" s="1"/>
  <c r="AJ200" i="70" s="1"/>
  <c r="AP200" i="70" s="1"/>
  <c r="AT200" i="70" s="1"/>
  <c r="AX200" i="70" s="1"/>
  <c r="BF200" i="70" s="1"/>
  <c r="R201" i="70"/>
  <c r="V201" i="70" s="1"/>
  <c r="T203" i="70"/>
  <c r="Z212" i="70"/>
  <c r="AB212" i="70" s="1"/>
  <c r="AF212" i="70" s="1"/>
  <c r="AJ212" i="70" s="1"/>
  <c r="AP212" i="70" s="1"/>
  <c r="AT212" i="70" s="1"/>
  <c r="AX212" i="70" s="1"/>
  <c r="BF212" i="70" s="1"/>
  <c r="J213" i="70"/>
  <c r="F217" i="70"/>
  <c r="AA194" i="70"/>
  <c r="AE194" i="70" s="1"/>
  <c r="AI194" i="70" s="1"/>
  <c r="AO194" i="70" s="1"/>
  <c r="AS194" i="70" s="1"/>
  <c r="AW194" i="70" s="1"/>
  <c r="BE194" i="70" s="1"/>
  <c r="Q194" i="70"/>
  <c r="U194" i="70" s="1"/>
  <c r="Z195" i="70"/>
  <c r="AA201" i="70"/>
  <c r="AE201" i="70" s="1"/>
  <c r="AI201" i="70" s="1"/>
  <c r="AO201" i="70" s="1"/>
  <c r="AS201" i="70" s="1"/>
  <c r="AW201" i="70" s="1"/>
  <c r="BE201" i="70" s="1"/>
  <c r="BB208" i="70"/>
  <c r="BD208" i="70" s="1"/>
  <c r="AV217" i="70"/>
  <c r="R211" i="70"/>
  <c r="V211" i="70" s="1"/>
  <c r="BB211" i="70"/>
  <c r="BD211" i="70" s="1"/>
  <c r="AA188" i="70"/>
  <c r="AE188" i="70" s="1"/>
  <c r="AI188" i="70" s="1"/>
  <c r="AO188" i="70" s="1"/>
  <c r="AS188" i="70" s="1"/>
  <c r="AW188" i="70" s="1"/>
  <c r="BE188" i="70" s="1"/>
  <c r="Q188" i="70"/>
  <c r="U188" i="70" s="1"/>
  <c r="Z189" i="70"/>
  <c r="AN191" i="70"/>
  <c r="BD191" i="70" s="1"/>
  <c r="BB198" i="70"/>
  <c r="BD198" i="70" s="1"/>
  <c r="AA200" i="70"/>
  <c r="AE200" i="70" s="1"/>
  <c r="AI200" i="70" s="1"/>
  <c r="AO200" i="70" s="1"/>
  <c r="AS200" i="70" s="1"/>
  <c r="AW200" i="70" s="1"/>
  <c r="BE200" i="70" s="1"/>
  <c r="Q200" i="70"/>
  <c r="U200" i="70" s="1"/>
  <c r="BB201" i="70"/>
  <c r="H217" i="70"/>
  <c r="BB212" i="70"/>
  <c r="BD212" i="70" s="1"/>
  <c r="P217" i="70"/>
  <c r="AL217" i="70"/>
  <c r="F203" i="70"/>
  <c r="AN185" i="70"/>
  <c r="BD185" i="70" s="1"/>
  <c r="AL207" i="70"/>
  <c r="AV204" i="70"/>
  <c r="AV207" i="70" s="1"/>
  <c r="BB192" i="70"/>
  <c r="BD192" i="70" s="1"/>
  <c r="Q197" i="70"/>
  <c r="U197" i="70" s="1"/>
  <c r="AN201" i="70"/>
  <c r="BC201" i="70"/>
  <c r="L217" i="70"/>
  <c r="AH217" i="70"/>
  <c r="AR213" i="70"/>
  <c r="BB210" i="70"/>
  <c r="AA204" i="70"/>
  <c r="AE204" i="70" s="1"/>
  <c r="AI204" i="70" s="1"/>
  <c r="AO204" i="70" s="1"/>
  <c r="AS204" i="70" s="1"/>
  <c r="AW204" i="70" s="1"/>
  <c r="BE204" i="70" s="1"/>
  <c r="Q204" i="70"/>
  <c r="U204" i="70" s="1"/>
  <c r="Z209" i="70"/>
  <c r="AB209" i="70" s="1"/>
  <c r="AF209" i="70" s="1"/>
  <c r="AJ209" i="70" s="1"/>
  <c r="AP209" i="70" s="1"/>
  <c r="AT209" i="70" s="1"/>
  <c r="AX209" i="70" s="1"/>
  <c r="BF209" i="70" s="1"/>
  <c r="J210" i="70"/>
  <c r="N210" i="70" s="1"/>
  <c r="Z208" i="70"/>
  <c r="AN209" i="70"/>
  <c r="BD209" i="70" s="1"/>
  <c r="Z211" i="70"/>
  <c r="AB211" i="70" s="1"/>
  <c r="AF211" i="70" s="1"/>
  <c r="AJ211" i="70" s="1"/>
  <c r="AP211" i="70" s="1"/>
  <c r="AT211" i="70" s="1"/>
  <c r="AX211" i="70" s="1"/>
  <c r="BF211" i="70" s="1"/>
  <c r="AB208" i="70" l="1"/>
  <c r="AF208" i="70" s="1"/>
  <c r="AJ208" i="70" s="1"/>
  <c r="AP208" i="70" s="1"/>
  <c r="AT208" i="70" s="1"/>
  <c r="AX208" i="70" s="1"/>
  <c r="BF208" i="70" s="1"/>
  <c r="T206" i="70"/>
  <c r="N36" i="70"/>
  <c r="Z120" i="70"/>
  <c r="BD200" i="70"/>
  <c r="AB37" i="70"/>
  <c r="AF37" i="70" s="1"/>
  <c r="AJ37" i="70" s="1"/>
  <c r="AP37" i="70" s="1"/>
  <c r="AT37" i="70" s="1"/>
  <c r="AX37" i="70" s="1"/>
  <c r="BF37" i="70" s="1"/>
  <c r="V61" i="72"/>
  <c r="V63" i="72" s="1"/>
  <c r="V65" i="72"/>
  <c r="BD67" i="70"/>
  <c r="Z216" i="70"/>
  <c r="Q216" i="70"/>
  <c r="Q217" i="70" s="1"/>
  <c r="BD173" i="70"/>
  <c r="BD28" i="70"/>
  <c r="R120" i="70"/>
  <c r="V120" i="70" s="1"/>
  <c r="V60" i="72"/>
  <c r="AB33" i="72"/>
  <c r="X46" i="72"/>
  <c r="AB26" i="72"/>
  <c r="X30" i="72"/>
  <c r="BD159" i="70"/>
  <c r="AN121" i="70"/>
  <c r="Z121" i="70"/>
  <c r="BD16" i="70"/>
  <c r="BB182" i="70"/>
  <c r="BD182" i="70" s="1"/>
  <c r="AB201" i="70"/>
  <c r="AF201" i="70" s="1"/>
  <c r="AJ201" i="70" s="1"/>
  <c r="AP201" i="70" s="1"/>
  <c r="AT201" i="70" s="1"/>
  <c r="AX201" i="70" s="1"/>
  <c r="BF201" i="70" s="1"/>
  <c r="X216" i="70"/>
  <c r="X217" i="70" s="1"/>
  <c r="T207" i="70"/>
  <c r="Z207" i="70" s="1"/>
  <c r="BB204" i="70"/>
  <c r="X206" i="70"/>
  <c r="Z183" i="70"/>
  <c r="BD24" i="70"/>
  <c r="BD9" i="70"/>
  <c r="AB120" i="70"/>
  <c r="AF120" i="70" s="1"/>
  <c r="AJ120" i="70" s="1"/>
  <c r="AP120" i="70" s="1"/>
  <c r="BD37" i="70"/>
  <c r="BD51" i="70"/>
  <c r="BD50" i="70"/>
  <c r="BD183" i="70"/>
  <c r="AZ206" i="70"/>
  <c r="BD174" i="70"/>
  <c r="BD186" i="70"/>
  <c r="BD117" i="70"/>
  <c r="BD210" i="70"/>
  <c r="AB163" i="70"/>
  <c r="AF163" i="70" s="1"/>
  <c r="AJ163" i="70" s="1"/>
  <c r="AP163" i="70" s="1"/>
  <c r="R163" i="70"/>
  <c r="V163" i="70" s="1"/>
  <c r="R180" i="70"/>
  <c r="V180" i="70" s="1"/>
  <c r="AB180" i="70"/>
  <c r="AF180" i="70" s="1"/>
  <c r="AJ180" i="70" s="1"/>
  <c r="AP180" i="70" s="1"/>
  <c r="AT180" i="70" s="1"/>
  <c r="AX180" i="70" s="1"/>
  <c r="BF180" i="70" s="1"/>
  <c r="BD125" i="70"/>
  <c r="BB120" i="70"/>
  <c r="BD120" i="70" s="1"/>
  <c r="AT120" i="70"/>
  <c r="AX120" i="70" s="1"/>
  <c r="BF120" i="70" s="1"/>
  <c r="BB213" i="70"/>
  <c r="BB217" i="70" s="1"/>
  <c r="AR217" i="70"/>
  <c r="BD201" i="70"/>
  <c r="AN206" i="70"/>
  <c r="AB159" i="70"/>
  <c r="AF159" i="70" s="1"/>
  <c r="AJ159" i="70" s="1"/>
  <c r="AP159" i="70" s="1"/>
  <c r="AT159" i="70" s="1"/>
  <c r="AX159" i="70" s="1"/>
  <c r="BF159" i="70" s="1"/>
  <c r="R159" i="70"/>
  <c r="V159" i="70" s="1"/>
  <c r="Z204" i="70"/>
  <c r="AD207" i="70"/>
  <c r="AN207" i="70" s="1"/>
  <c r="J182" i="70"/>
  <c r="N182" i="70" s="1"/>
  <c r="AE209" i="70"/>
  <c r="AI165" i="70"/>
  <c r="AB179" i="70"/>
  <c r="AF179" i="70" s="1"/>
  <c r="AJ179" i="70" s="1"/>
  <c r="AP179" i="70" s="1"/>
  <c r="AT179" i="70" s="1"/>
  <c r="AX179" i="70" s="1"/>
  <c r="BF179" i="70" s="1"/>
  <c r="R179" i="70"/>
  <c r="V179" i="70" s="1"/>
  <c r="AB174" i="70"/>
  <c r="AF174" i="70" s="1"/>
  <c r="AJ174" i="70" s="1"/>
  <c r="AP174" i="70" s="1"/>
  <c r="AT174" i="70" s="1"/>
  <c r="AX174" i="70" s="1"/>
  <c r="BF174" i="70" s="1"/>
  <c r="R174" i="70"/>
  <c r="V174" i="70" s="1"/>
  <c r="N121" i="70"/>
  <c r="AN162" i="70"/>
  <c r="AB117" i="70"/>
  <c r="AF117" i="70" s="1"/>
  <c r="AJ117" i="70" s="1"/>
  <c r="AP117" i="70" s="1"/>
  <c r="AT117" i="70" s="1"/>
  <c r="AX117" i="70" s="1"/>
  <c r="BF117" i="70" s="1"/>
  <c r="R117" i="70"/>
  <c r="V117" i="70" s="1"/>
  <c r="AN216" i="70"/>
  <c r="BD118" i="70"/>
  <c r="BD216" i="70" s="1"/>
  <c r="AB63" i="70"/>
  <c r="AF63" i="70" s="1"/>
  <c r="AJ63" i="70" s="1"/>
  <c r="AP63" i="70" s="1"/>
  <c r="AT63" i="70" s="1"/>
  <c r="AX63" i="70" s="1"/>
  <c r="BF63" i="70" s="1"/>
  <c r="R63" i="70"/>
  <c r="V63" i="70" s="1"/>
  <c r="BD17" i="70"/>
  <c r="BC216" i="70"/>
  <c r="BC217" i="70" s="1"/>
  <c r="J216" i="70"/>
  <c r="J217" i="70" s="1"/>
  <c r="N118" i="70"/>
  <c r="AB50" i="70"/>
  <c r="AF50" i="70" s="1"/>
  <c r="AJ50" i="70" s="1"/>
  <c r="AP50" i="70" s="1"/>
  <c r="AT50" i="70" s="1"/>
  <c r="AX50" i="70" s="1"/>
  <c r="BF50" i="70" s="1"/>
  <c r="R50" i="70"/>
  <c r="V50" i="70" s="1"/>
  <c r="V125" i="70"/>
  <c r="AB67" i="70"/>
  <c r="AF67" i="70" s="1"/>
  <c r="AJ67" i="70" s="1"/>
  <c r="AP67" i="70" s="1"/>
  <c r="AT67" i="70" s="1"/>
  <c r="AX67" i="70" s="1"/>
  <c r="BF67" i="70" s="1"/>
  <c r="R67" i="70"/>
  <c r="V67" i="70" s="1"/>
  <c r="BB66" i="70"/>
  <c r="BD66" i="70" s="1"/>
  <c r="BB36" i="70"/>
  <c r="BD36" i="70" s="1"/>
  <c r="AB18" i="70"/>
  <c r="AF18" i="70" s="1"/>
  <c r="AJ18" i="70" s="1"/>
  <c r="AP18" i="70" s="1"/>
  <c r="AT18" i="70" s="1"/>
  <c r="AX18" i="70" s="1"/>
  <c r="BF18" i="70" s="1"/>
  <c r="R18" i="70"/>
  <c r="V18" i="70" s="1"/>
  <c r="BD18" i="70"/>
  <c r="Z203" i="70"/>
  <c r="P206" i="70"/>
  <c r="AB162" i="70"/>
  <c r="AF162" i="70" s="1"/>
  <c r="AJ162" i="70" s="1"/>
  <c r="AP162" i="70" s="1"/>
  <c r="R162" i="70"/>
  <c r="V162" i="70" s="1"/>
  <c r="F207" i="70"/>
  <c r="J207" i="70" s="1"/>
  <c r="N207" i="70" s="1"/>
  <c r="J204" i="70"/>
  <c r="N204" i="70" s="1"/>
  <c r="BB163" i="70"/>
  <c r="BD163" i="70" s="1"/>
  <c r="AT163" i="70"/>
  <c r="AX163" i="70" s="1"/>
  <c r="BF163" i="70" s="1"/>
  <c r="R210" i="70"/>
  <c r="V210" i="70" s="1"/>
  <c r="N213" i="70"/>
  <c r="R195" i="70"/>
  <c r="V195" i="70" s="1"/>
  <c r="AB195" i="70"/>
  <c r="AF195" i="70" s="1"/>
  <c r="AJ195" i="70" s="1"/>
  <c r="AP195" i="70" s="1"/>
  <c r="AT195" i="70" s="1"/>
  <c r="AX195" i="70" s="1"/>
  <c r="BF195" i="70" s="1"/>
  <c r="AB186" i="70"/>
  <c r="AF186" i="70" s="1"/>
  <c r="AJ186" i="70" s="1"/>
  <c r="AP186" i="70" s="1"/>
  <c r="AT186" i="70" s="1"/>
  <c r="AX186" i="70" s="1"/>
  <c r="BF186" i="70" s="1"/>
  <c r="R186" i="70"/>
  <c r="V186" i="70" s="1"/>
  <c r="H206" i="70"/>
  <c r="AN213" i="70"/>
  <c r="AD217" i="70"/>
  <c r="BB207" i="70"/>
  <c r="AB189" i="70"/>
  <c r="AF189" i="70" s="1"/>
  <c r="AJ189" i="70" s="1"/>
  <c r="AP189" i="70" s="1"/>
  <c r="AT189" i="70" s="1"/>
  <c r="AX189" i="70" s="1"/>
  <c r="BF189" i="70" s="1"/>
  <c r="R189" i="70"/>
  <c r="V189" i="70" s="1"/>
  <c r="AR206" i="70"/>
  <c r="BB203" i="70"/>
  <c r="BD203" i="70" s="1"/>
  <c r="AB185" i="70"/>
  <c r="AF185" i="70" s="1"/>
  <c r="AJ185" i="70" s="1"/>
  <c r="AP185" i="70" s="1"/>
  <c r="AT185" i="70" s="1"/>
  <c r="AX185" i="70" s="1"/>
  <c r="BF185" i="70" s="1"/>
  <c r="R185" i="70"/>
  <c r="V185" i="70" s="1"/>
  <c r="Z182" i="70"/>
  <c r="T213" i="70"/>
  <c r="Z210" i="70"/>
  <c r="AB210" i="70" s="1"/>
  <c r="AF210" i="70" s="1"/>
  <c r="AJ210" i="70" s="1"/>
  <c r="AP210" i="70" s="1"/>
  <c r="AT210" i="70" s="1"/>
  <c r="AX210" i="70" s="1"/>
  <c r="BF210" i="70" s="1"/>
  <c r="BB162" i="70"/>
  <c r="AT162" i="70"/>
  <c r="AX162" i="70" s="1"/>
  <c r="BF162" i="70" s="1"/>
  <c r="AB139" i="70"/>
  <c r="AF139" i="70" s="1"/>
  <c r="AJ139" i="70" s="1"/>
  <c r="AP139" i="70" s="1"/>
  <c r="AT139" i="70" s="1"/>
  <c r="AX139" i="70" s="1"/>
  <c r="BF139" i="70" s="1"/>
  <c r="R139" i="70"/>
  <c r="V139" i="70" s="1"/>
  <c r="R96" i="70"/>
  <c r="V96" i="70" s="1"/>
  <c r="AB96" i="70"/>
  <c r="AF96" i="70" s="1"/>
  <c r="AJ96" i="70" s="1"/>
  <c r="AP96" i="70" s="1"/>
  <c r="AT96" i="70" s="1"/>
  <c r="AX96" i="70" s="1"/>
  <c r="BF96" i="70" s="1"/>
  <c r="AB66" i="70"/>
  <c r="AF66" i="70" s="1"/>
  <c r="AJ66" i="70" s="1"/>
  <c r="AP66" i="70" s="1"/>
  <c r="AT66" i="70" s="1"/>
  <c r="AX66" i="70" s="1"/>
  <c r="BF66" i="70" s="1"/>
  <c r="R66" i="70"/>
  <c r="V66" i="70" s="1"/>
  <c r="AI216" i="70"/>
  <c r="AI217" i="70" s="1"/>
  <c r="AO160" i="70"/>
  <c r="R62" i="70"/>
  <c r="V62" i="70" s="1"/>
  <c r="AB62" i="70"/>
  <c r="AF62" i="70" s="1"/>
  <c r="AJ62" i="70" s="1"/>
  <c r="AP62" i="70" s="1"/>
  <c r="AT62" i="70" s="1"/>
  <c r="AX62" i="70" s="1"/>
  <c r="BF62" i="70" s="1"/>
  <c r="R32" i="70"/>
  <c r="V32" i="70" s="1"/>
  <c r="AB32" i="70"/>
  <c r="AF32" i="70" s="1"/>
  <c r="AJ32" i="70" s="1"/>
  <c r="AP32" i="70" s="1"/>
  <c r="AT32" i="70" s="1"/>
  <c r="AX32" i="70" s="1"/>
  <c r="BF32" i="70" s="1"/>
  <c r="R24" i="70"/>
  <c r="V24" i="70" s="1"/>
  <c r="AB24" i="70"/>
  <c r="AF24" i="70" s="1"/>
  <c r="AJ24" i="70" s="1"/>
  <c r="AP24" i="70" s="1"/>
  <c r="AT24" i="70" s="1"/>
  <c r="AX24" i="70" s="1"/>
  <c r="BF24" i="70" s="1"/>
  <c r="AB36" i="70"/>
  <c r="AF36" i="70" s="1"/>
  <c r="AJ36" i="70" s="1"/>
  <c r="AP36" i="70" s="1"/>
  <c r="AT36" i="70" s="1"/>
  <c r="AX36" i="70" s="1"/>
  <c r="BF36" i="70" s="1"/>
  <c r="R36" i="70"/>
  <c r="V36" i="70" s="1"/>
  <c r="R19" i="70"/>
  <c r="V19" i="70" s="1"/>
  <c r="AB19" i="70"/>
  <c r="AF19" i="70" s="1"/>
  <c r="AJ19" i="70" s="1"/>
  <c r="AP19" i="70" s="1"/>
  <c r="AT19" i="70" s="1"/>
  <c r="AX19" i="70" s="1"/>
  <c r="BF19" i="70" s="1"/>
  <c r="F206" i="70"/>
  <c r="J203" i="70"/>
  <c r="N203" i="70" s="1"/>
  <c r="AN204" i="70"/>
  <c r="BD204" i="70" s="1"/>
  <c r="AB183" i="70"/>
  <c r="AF183" i="70" s="1"/>
  <c r="AJ183" i="70" s="1"/>
  <c r="AP183" i="70" s="1"/>
  <c r="AT183" i="70" s="1"/>
  <c r="AX183" i="70" s="1"/>
  <c r="BF183" i="70" s="1"/>
  <c r="R183" i="70"/>
  <c r="V183" i="70" s="1"/>
  <c r="R176" i="70"/>
  <c r="V176" i="70" s="1"/>
  <c r="AB176" i="70"/>
  <c r="AF176" i="70" s="1"/>
  <c r="AJ176" i="70" s="1"/>
  <c r="AP176" i="70" s="1"/>
  <c r="AT176" i="70" s="1"/>
  <c r="AX176" i="70" s="1"/>
  <c r="BF176" i="70" s="1"/>
  <c r="AB169" i="70"/>
  <c r="AF169" i="70" s="1"/>
  <c r="AJ169" i="70" s="1"/>
  <c r="AP169" i="70" s="1"/>
  <c r="AT169" i="70" s="1"/>
  <c r="AX169" i="70" s="1"/>
  <c r="BF169" i="70" s="1"/>
  <c r="R169" i="70"/>
  <c r="V169" i="70" s="1"/>
  <c r="BB121" i="70"/>
  <c r="BD121" i="70" s="1"/>
  <c r="U216" i="70"/>
  <c r="U217" i="70" s="1"/>
  <c r="AB28" i="70"/>
  <c r="AF28" i="70" s="1"/>
  <c r="AJ28" i="70" s="1"/>
  <c r="AP28" i="70" s="1"/>
  <c r="AT28" i="70" s="1"/>
  <c r="AX28" i="70" s="1"/>
  <c r="BF28" i="70" s="1"/>
  <c r="R28" i="70"/>
  <c r="V28" i="70" s="1"/>
  <c r="Z206" i="70" l="1"/>
  <c r="X61" i="72"/>
  <c r="X63" i="72" s="1"/>
  <c r="AB30" i="72"/>
  <c r="X65" i="72"/>
  <c r="AB46" i="72"/>
  <c r="X60" i="72"/>
  <c r="AB60" i="72" s="1"/>
  <c r="J206" i="70"/>
  <c r="N206" i="70" s="1"/>
  <c r="R206" i="70" s="1"/>
  <c r="V206" i="70" s="1"/>
  <c r="BB206" i="70"/>
  <c r="BD206" i="70" s="1"/>
  <c r="AB203" i="70"/>
  <c r="AF203" i="70" s="1"/>
  <c r="AJ203" i="70" s="1"/>
  <c r="AP203" i="70" s="1"/>
  <c r="AT203" i="70" s="1"/>
  <c r="AX203" i="70" s="1"/>
  <c r="BF203" i="70" s="1"/>
  <c r="R203" i="70"/>
  <c r="V203" i="70" s="1"/>
  <c r="AS160" i="70"/>
  <c r="AW160" i="70" s="1"/>
  <c r="BE160" i="70" s="1"/>
  <c r="AN217" i="70"/>
  <c r="BD213" i="70"/>
  <c r="BD217" i="70" s="1"/>
  <c r="R204" i="70"/>
  <c r="V204" i="70" s="1"/>
  <c r="AB204" i="70"/>
  <c r="AF204" i="70" s="1"/>
  <c r="AJ204" i="70" s="1"/>
  <c r="AP204" i="70" s="1"/>
  <c r="AT204" i="70" s="1"/>
  <c r="AX204" i="70" s="1"/>
  <c r="BF204" i="70" s="1"/>
  <c r="N216" i="70"/>
  <c r="N217" i="70" s="1"/>
  <c r="AB118" i="70"/>
  <c r="R118" i="70"/>
  <c r="AB121" i="70"/>
  <c r="AF121" i="70" s="1"/>
  <c r="AJ121" i="70" s="1"/>
  <c r="AP121" i="70" s="1"/>
  <c r="AT121" i="70" s="1"/>
  <c r="AX121" i="70" s="1"/>
  <c r="BF121" i="70" s="1"/>
  <c r="R121" i="70"/>
  <c r="V121" i="70" s="1"/>
  <c r="BD207" i="70"/>
  <c r="AB206" i="70"/>
  <c r="AF206" i="70" s="1"/>
  <c r="AJ206" i="70" s="1"/>
  <c r="AP206" i="70" s="1"/>
  <c r="AT206" i="70" s="1"/>
  <c r="AX206" i="70" s="1"/>
  <c r="BF206" i="70" s="1"/>
  <c r="AB207" i="70"/>
  <c r="AF207" i="70" s="1"/>
  <c r="AJ207" i="70" s="1"/>
  <c r="AP207" i="70" s="1"/>
  <c r="AT207" i="70" s="1"/>
  <c r="AX207" i="70" s="1"/>
  <c r="BF207" i="70" s="1"/>
  <c r="R207" i="70"/>
  <c r="V207" i="70" s="1"/>
  <c r="AI209" i="70"/>
  <c r="AO165" i="70"/>
  <c r="R213" i="70"/>
  <c r="T217" i="70"/>
  <c r="Z213" i="70"/>
  <c r="Z217" i="70" s="1"/>
  <c r="BD162" i="70"/>
  <c r="AB182" i="70"/>
  <c r="AF182" i="70" s="1"/>
  <c r="AJ182" i="70" s="1"/>
  <c r="AP182" i="70" s="1"/>
  <c r="AT182" i="70" s="1"/>
  <c r="AX182" i="70" s="1"/>
  <c r="BF182" i="70" s="1"/>
  <c r="R182" i="70"/>
  <c r="V182" i="70" s="1"/>
  <c r="AB213" i="70" l="1"/>
  <c r="V213" i="70"/>
  <c r="AB216" i="70"/>
  <c r="AF118" i="70"/>
  <c r="AO209" i="70"/>
  <c r="AS209" i="70" s="1"/>
  <c r="AW209" i="70" s="1"/>
  <c r="BE209" i="70" s="1"/>
  <c r="AS165" i="70"/>
  <c r="AW165" i="70" s="1"/>
  <c r="BE165" i="70" s="1"/>
  <c r="R216" i="70"/>
  <c r="R217" i="70" s="1"/>
  <c r="V118" i="70"/>
  <c r="V216" i="70" s="1"/>
  <c r="AO216" i="70"/>
  <c r="AO217" i="70" s="1"/>
  <c r="AB217" i="70" l="1"/>
  <c r="AF213" i="70"/>
  <c r="AJ213" i="70" s="1"/>
  <c r="AF216" i="70"/>
  <c r="AJ118" i="70"/>
  <c r="V217" i="70"/>
  <c r="AF217" i="70" l="1"/>
  <c r="AJ216" i="70"/>
  <c r="AJ217" i="70" s="1"/>
  <c r="AP118" i="70"/>
  <c r="AP213" i="70"/>
  <c r="AT213" i="70" l="1"/>
  <c r="AX213" i="70" s="1"/>
  <c r="BF213" i="70" s="1"/>
  <c r="AP216" i="70"/>
  <c r="AP217" i="70" s="1"/>
  <c r="AT118" i="70"/>
  <c r="AX118" i="70" s="1"/>
  <c r="BF118" i="70" s="1"/>
  <c r="BA170" i="64" l="1"/>
  <c r="BC170" i="64" s="1"/>
  <c r="BE170" i="64" s="1"/>
  <c r="BM29" i="35"/>
  <c r="BM30" i="35"/>
  <c r="BM28" i="35"/>
  <c r="BM34" i="35" l="1"/>
  <c r="T40" i="35" l="1"/>
  <c r="P41" i="35"/>
  <c r="P40" i="35"/>
  <c r="L41" i="35"/>
  <c r="L40" i="35"/>
  <c r="H41" i="35"/>
  <c r="H40" i="35"/>
  <c r="F41" i="35"/>
  <c r="F40" i="35"/>
  <c r="BD63" i="22" l="1"/>
  <c r="BD58" i="22"/>
  <c r="BB27" i="22"/>
  <c r="BB25" i="22"/>
  <c r="BB22" i="22"/>
  <c r="BB52" i="22" s="1"/>
  <c r="BB21" i="22"/>
  <c r="BB13" i="22"/>
  <c r="BB11" i="22"/>
  <c r="BB19" i="22" s="1"/>
  <c r="BB8" i="22"/>
  <c r="BB44" i="22" s="1"/>
  <c r="BB7" i="22"/>
  <c r="BB3" i="22"/>
  <c r="BA3" i="22"/>
  <c r="AZ63" i="22"/>
  <c r="AZ58" i="22"/>
  <c r="AZ52" i="22"/>
  <c r="AZ44" i="22"/>
  <c r="AZ28" i="22"/>
  <c r="AZ64" i="22" s="1"/>
  <c r="AZ65" i="22" s="1"/>
  <c r="AZ66" i="22" s="1"/>
  <c r="AZ24" i="22"/>
  <c r="AZ26" i="22" s="1"/>
  <c r="AZ23" i="22"/>
  <c r="AZ51" i="22" s="1"/>
  <c r="AZ53" i="22" s="1"/>
  <c r="AZ14" i="22"/>
  <c r="AZ59" i="22" s="1"/>
  <c r="AZ10" i="22"/>
  <c r="AZ9" i="22"/>
  <c r="AZ43" i="22" s="1"/>
  <c r="AY38" i="27"/>
  <c r="AY36" i="27"/>
  <c r="AY30" i="27"/>
  <c r="AY29" i="27"/>
  <c r="AY28" i="27"/>
  <c r="AY23" i="27"/>
  <c r="AY20" i="27"/>
  <c r="AY19" i="27"/>
  <c r="AY18" i="27"/>
  <c r="AZ45" i="22" l="1"/>
  <c r="AZ47" i="22" s="1"/>
  <c r="AZ48" i="22" s="1"/>
  <c r="BB28" i="22"/>
  <c r="BB64" i="22" s="1"/>
  <c r="BB14" i="22"/>
  <c r="BB59" i="22" s="1"/>
  <c r="AZ12" i="22"/>
  <c r="BB9" i="22"/>
  <c r="BB43" i="22" s="1"/>
  <c r="BB45" i="22" s="1"/>
  <c r="BB16" i="22"/>
  <c r="BB17" i="22"/>
  <c r="BB23" i="22"/>
  <c r="BB51" i="22" s="1"/>
  <c r="BB53" i="22" s="1"/>
  <c r="BB30" i="22"/>
  <c r="BB18" i="22"/>
  <c r="BB31" i="22"/>
  <c r="AZ60" i="22"/>
  <c r="AZ61" i="22" s="1"/>
  <c r="AZ55" i="22"/>
  <c r="AZ56" i="22" s="1"/>
  <c r="AX34" i="27"/>
  <c r="BA8" i="27"/>
  <c r="AZ6" i="27"/>
  <c r="AY9" i="17"/>
  <c r="BB55" i="22" l="1"/>
  <c r="BB56" i="22" s="1"/>
  <c r="BB47" i="22"/>
  <c r="BB48" i="22" s="1"/>
  <c r="BE88" i="17" l="1"/>
  <c r="BD88" i="17"/>
  <c r="BB88" i="17"/>
  <c r="Q57" i="11" l="1"/>
  <c r="I57" i="11"/>
  <c r="BJ115" i="10"/>
  <c r="BA39" i="27"/>
  <c r="AZ39" i="27"/>
  <c r="BA33" i="27"/>
  <c r="AZ33" i="27"/>
  <c r="BA24" i="27"/>
  <c r="AZ24" i="27"/>
  <c r="BA15" i="27"/>
  <c r="AZ15" i="27"/>
  <c r="BA14" i="27"/>
  <c r="AZ14" i="27"/>
  <c r="BA13" i="27"/>
  <c r="AZ13" i="27"/>
  <c r="BA12" i="27"/>
  <c r="AZ12" i="27"/>
  <c r="BA11" i="27"/>
  <c r="AZ11" i="27"/>
  <c r="BA10" i="27"/>
  <c r="AZ10" i="27"/>
  <c r="BA9" i="27"/>
  <c r="AZ9" i="27"/>
  <c r="AZ8" i="27"/>
  <c r="BA7" i="27"/>
  <c r="AZ7" i="27"/>
  <c r="BA6" i="27"/>
  <c r="BA2" i="27"/>
  <c r="BA32" i="27" s="1"/>
  <c r="AZ2" i="27"/>
  <c r="AX40" i="27"/>
  <c r="AY37" i="27"/>
  <c r="AY27" i="27"/>
  <c r="AY34" i="27" s="1"/>
  <c r="AY22" i="27"/>
  <c r="AY21" i="27"/>
  <c r="AY25" i="27" l="1"/>
  <c r="AZ29" i="27"/>
  <c r="AZ22" i="27"/>
  <c r="AZ19" i="27"/>
  <c r="AZ23" i="27"/>
  <c r="AZ28" i="27"/>
  <c r="AZ36" i="27"/>
  <c r="AZ18" i="27"/>
  <c r="AZ27" i="27"/>
  <c r="AZ31" i="27"/>
  <c r="AZ32" i="27"/>
  <c r="AZ37" i="27"/>
  <c r="AZ21" i="27"/>
  <c r="AZ30" i="27"/>
  <c r="AZ38" i="27"/>
  <c r="AX25" i="27"/>
  <c r="AY40" i="27"/>
  <c r="BB130" i="28"/>
  <c r="AN70" i="28"/>
  <c r="AN71" i="28"/>
  <c r="AN72" i="28"/>
  <c r="AN73" i="28"/>
  <c r="AN74" i="28"/>
  <c r="AN75" i="28"/>
  <c r="AN76" i="28"/>
  <c r="AN77" i="28"/>
  <c r="AN78" i="28"/>
  <c r="AN79" i="28"/>
  <c r="AN80" i="28"/>
  <c r="AN81" i="28"/>
  <c r="AN82" i="28"/>
  <c r="AN83" i="28"/>
  <c r="AN84" i="28"/>
  <c r="AN85" i="28"/>
  <c r="AN86" i="28"/>
  <c r="AN87" i="28"/>
  <c r="AN88" i="28"/>
  <c r="AN89" i="28"/>
  <c r="AN90" i="28"/>
  <c r="AN91" i="28"/>
  <c r="AN92" i="28"/>
  <c r="AN93" i="28"/>
  <c r="AN94" i="28"/>
  <c r="AN95" i="28"/>
  <c r="AN96" i="28"/>
  <c r="AN97" i="28"/>
  <c r="AN98" i="28"/>
  <c r="AN99" i="28"/>
  <c r="AN100" i="28"/>
  <c r="AN101" i="28"/>
  <c r="AN102" i="28"/>
  <c r="AN103" i="28"/>
  <c r="AN104" i="28"/>
  <c r="AN105" i="28"/>
  <c r="AN106" i="28"/>
  <c r="AN107" i="28"/>
  <c r="AN108" i="28"/>
  <c r="AN109" i="28"/>
  <c r="AN110" i="28"/>
  <c r="AN111" i="28"/>
  <c r="AN112" i="28"/>
  <c r="AN113" i="28"/>
  <c r="AN114" i="28"/>
  <c r="AN115" i="28"/>
  <c r="AN116" i="28"/>
  <c r="AN117" i="28"/>
  <c r="AN118" i="28"/>
  <c r="AN119" i="28"/>
  <c r="AN120" i="28"/>
  <c r="AN121" i="28"/>
  <c r="AN122" i="28"/>
  <c r="AN123" i="28"/>
  <c r="AN124" i="28"/>
  <c r="AN125" i="28"/>
  <c r="AN126" i="28"/>
  <c r="AN127" i="28"/>
  <c r="AN128" i="28"/>
  <c r="AN129" i="28"/>
  <c r="AN130" i="28"/>
  <c r="AN131" i="28"/>
  <c r="AN132" i="28"/>
  <c r="AN133" i="28"/>
  <c r="AN134" i="28"/>
  <c r="AN135" i="28"/>
  <c r="AN136" i="28"/>
  <c r="AN137" i="28"/>
  <c r="AN138" i="28"/>
  <c r="AN139" i="28"/>
  <c r="AN140" i="28"/>
  <c r="AN141" i="28"/>
  <c r="AN142" i="28"/>
  <c r="AN143" i="28"/>
  <c r="AN144" i="28"/>
  <c r="AN147" i="28"/>
  <c r="AN148" i="28"/>
  <c r="AN149" i="28"/>
  <c r="AN150" i="28"/>
  <c r="AN151" i="28"/>
  <c r="AN152" i="28"/>
  <c r="AN153" i="28"/>
  <c r="AN154" i="28"/>
  <c r="AN155" i="28"/>
  <c r="AN156" i="28"/>
  <c r="AN157" i="28"/>
  <c r="AN158" i="28"/>
  <c r="AN160" i="28"/>
  <c r="AN161" i="28"/>
  <c r="AN162" i="28"/>
  <c r="AN163" i="28"/>
  <c r="AN164" i="28"/>
  <c r="AN165" i="28"/>
  <c r="AN166" i="28"/>
  <c r="AN167" i="28"/>
  <c r="AN168" i="28"/>
  <c r="AN169" i="28"/>
  <c r="AN170" i="28"/>
  <c r="AN171" i="28"/>
  <c r="AN172" i="28"/>
  <c r="AN173" i="28"/>
  <c r="AN174" i="28"/>
  <c r="AN10" i="28"/>
  <c r="AN9" i="28"/>
  <c r="AN8" i="28"/>
  <c r="P22" i="21"/>
  <c r="L22" i="21"/>
  <c r="P16" i="21"/>
  <c r="L16" i="21"/>
  <c r="P8" i="21"/>
  <c r="L8" i="21"/>
  <c r="P8" i="28"/>
  <c r="L8" i="28"/>
  <c r="P48" i="28"/>
  <c r="L48" i="28"/>
  <c r="AK88" i="64"/>
  <c r="AK85" i="64"/>
  <c r="AK78" i="64"/>
  <c r="AK54" i="64"/>
  <c r="AK44" i="64"/>
  <c r="AK41" i="64"/>
  <c r="AK36" i="64"/>
  <c r="AK23" i="64"/>
  <c r="AK13" i="64"/>
  <c r="BI50" i="8"/>
  <c r="BI49" i="8"/>
  <c r="BD130" i="28" l="1"/>
  <c r="BF130" i="28" s="1"/>
  <c r="AZ40" i="27"/>
  <c r="AZ34" i="27"/>
  <c r="AL159" i="28" l="1"/>
  <c r="AN159" i="28" s="1"/>
  <c r="AL146" i="28"/>
  <c r="AN146" i="28" s="1"/>
  <c r="AL145" i="28"/>
  <c r="AN145" i="28" s="1"/>
  <c r="X145" i="28"/>
  <c r="X126" i="28"/>
  <c r="T159" i="28"/>
  <c r="P159" i="28"/>
  <c r="L159" i="28"/>
  <c r="AY27" i="15" l="1"/>
  <c r="AU27" i="15"/>
  <c r="AQ27" i="15"/>
  <c r="AK27" i="15"/>
  <c r="AG27" i="15"/>
  <c r="AC27" i="15"/>
  <c r="W27" i="15"/>
  <c r="S27" i="15"/>
  <c r="BH24" i="11" l="1"/>
  <c r="BH32" i="11"/>
  <c r="BH39" i="11"/>
  <c r="BH15" i="11"/>
  <c r="AB35" i="26" l="1"/>
  <c r="AL127" i="26"/>
  <c r="X127" i="26"/>
  <c r="L127" i="26"/>
  <c r="M35" i="26"/>
  <c r="L35" i="26"/>
  <c r="AT35" i="26"/>
  <c r="Z127" i="26" l="1"/>
  <c r="AX15" i="26"/>
  <c r="AZ9" i="10" l="1"/>
  <c r="AZ81" i="10" l="1"/>
  <c r="AZ64" i="10"/>
  <c r="AZ36" i="10"/>
  <c r="AZ93" i="10"/>
  <c r="BB93" i="10" s="1"/>
  <c r="BD93" i="10" s="1"/>
  <c r="AZ32" i="10"/>
  <c r="AZ37" i="10"/>
  <c r="AZ23" i="10"/>
  <c r="AZ90" i="10"/>
  <c r="AZ21" i="10"/>
  <c r="AZ26" i="10"/>
  <c r="BF93" i="10" l="1"/>
  <c r="BB51" i="11"/>
  <c r="BB50" i="11"/>
  <c r="BB49" i="11"/>
  <c r="BB48" i="11"/>
  <c r="BB47" i="11"/>
  <c r="BB46" i="11"/>
  <c r="BB45" i="11"/>
  <c r="BB43" i="11"/>
  <c r="BB42" i="11"/>
  <c r="BB41" i="11"/>
  <c r="BB40" i="11"/>
  <c r="BF39" i="11"/>
  <c r="BB39" i="11"/>
  <c r="BD39" i="11" s="1"/>
  <c r="BB38" i="11"/>
  <c r="BB37" i="11"/>
  <c r="BB36" i="11"/>
  <c r="BB35" i="11"/>
  <c r="BB34" i="11"/>
  <c r="BF33" i="11"/>
  <c r="BB33" i="11"/>
  <c r="BD33" i="11" s="1"/>
  <c r="BB32" i="11"/>
  <c r="BB31" i="11"/>
  <c r="BB30" i="11"/>
  <c r="BB29" i="11"/>
  <c r="BD29" i="11" s="1"/>
  <c r="BB28" i="11"/>
  <c r="BB27" i="11"/>
  <c r="BB26" i="11"/>
  <c r="BB25" i="11"/>
  <c r="BF24" i="11"/>
  <c r="BB24" i="11"/>
  <c r="BD24" i="11" s="1"/>
  <c r="BB23" i="11"/>
  <c r="BB22" i="11"/>
  <c r="BD22" i="11" s="1"/>
  <c r="BB21" i="11"/>
  <c r="BD21" i="11" s="1"/>
  <c r="BB20" i="11"/>
  <c r="BB19" i="11"/>
  <c r="BB18" i="11"/>
  <c r="BB17" i="11"/>
  <c r="BB16" i="11"/>
  <c r="BB15" i="11"/>
  <c r="BB14" i="11"/>
  <c r="BB13" i="11"/>
  <c r="BB12" i="11"/>
  <c r="BB11" i="11"/>
  <c r="BB10" i="11"/>
  <c r="BB9" i="11"/>
  <c r="BB8" i="11"/>
  <c r="BD8" i="11" s="1"/>
  <c r="BB114" i="10"/>
  <c r="BB113" i="10"/>
  <c r="BB112" i="10"/>
  <c r="BB111" i="10"/>
  <c r="BB110" i="10"/>
  <c r="BD110" i="10" s="1"/>
  <c r="BB109" i="10"/>
  <c r="BB108" i="10"/>
  <c r="BD108" i="10" s="1"/>
  <c r="BB107" i="10"/>
  <c r="BB106" i="10"/>
  <c r="BB105" i="10"/>
  <c r="BB104" i="10"/>
  <c r="BB103" i="10"/>
  <c r="BB102" i="10"/>
  <c r="BB100" i="10"/>
  <c r="BB99" i="10"/>
  <c r="BB98" i="10"/>
  <c r="BB97" i="10"/>
  <c r="BB96" i="10"/>
  <c r="BB95" i="10"/>
  <c r="BD95" i="10" s="1"/>
  <c r="BB94" i="10"/>
  <c r="BB92" i="10"/>
  <c r="BB91" i="10"/>
  <c r="BB90" i="10"/>
  <c r="BB89" i="10"/>
  <c r="BB8" i="10"/>
  <c r="BB10" i="10"/>
  <c r="BB12" i="10"/>
  <c r="BB13" i="10"/>
  <c r="BB14" i="10"/>
  <c r="BD14" i="10" s="1"/>
  <c r="BB15" i="10"/>
  <c r="BB16" i="10"/>
  <c r="BB17" i="10"/>
  <c r="BD17" i="10" s="1"/>
  <c r="BB18" i="10"/>
  <c r="BB19" i="10"/>
  <c r="BB20" i="10"/>
  <c r="BB21" i="10"/>
  <c r="BB23" i="10"/>
  <c r="BB27" i="10"/>
  <c r="BB28" i="10"/>
  <c r="BB29" i="10"/>
  <c r="BB30" i="10"/>
  <c r="BB31" i="10"/>
  <c r="BB33" i="10"/>
  <c r="BB36" i="10"/>
  <c r="BB37" i="10"/>
  <c r="BB38" i="10"/>
  <c r="BB39" i="10"/>
  <c r="BB40" i="10"/>
  <c r="BB41" i="10"/>
  <c r="BD41" i="10" s="1"/>
  <c r="BB42" i="10"/>
  <c r="BD42" i="10" s="1"/>
  <c r="BB44" i="10"/>
  <c r="BB45" i="10"/>
  <c r="BB46" i="10"/>
  <c r="BB47" i="10"/>
  <c r="BB48" i="10"/>
  <c r="BB49" i="10"/>
  <c r="BB50" i="10"/>
  <c r="BB51" i="10"/>
  <c r="BB53" i="10"/>
  <c r="BB54" i="10"/>
  <c r="BB55" i="10"/>
  <c r="BB56" i="10"/>
  <c r="BD56" i="10" s="1"/>
  <c r="BB57" i="10"/>
  <c r="BB58" i="10"/>
  <c r="BB59" i="10"/>
  <c r="BD59" i="10" s="1"/>
  <c r="BB60" i="10"/>
  <c r="BD60" i="10" s="1"/>
  <c r="BB61" i="10"/>
  <c r="BB62" i="10"/>
  <c r="BD62" i="10" s="1"/>
  <c r="BB65" i="10"/>
  <c r="BB66" i="10"/>
  <c r="BB67" i="10"/>
  <c r="BD67" i="10" s="1"/>
  <c r="BB68" i="10"/>
  <c r="BD68" i="10" s="1"/>
  <c r="BB69" i="10"/>
  <c r="BB70" i="10"/>
  <c r="BB71" i="10"/>
  <c r="BB72" i="10"/>
  <c r="BB73" i="10"/>
  <c r="BB74" i="10"/>
  <c r="BD74" i="10" s="1"/>
  <c r="BF74" i="10"/>
  <c r="BB75" i="10"/>
  <c r="BB76" i="10"/>
  <c r="BB77" i="10"/>
  <c r="BB78" i="10"/>
  <c r="BB79" i="10"/>
  <c r="BB80" i="10"/>
  <c r="BB81" i="10"/>
  <c r="BD81" i="10" s="1"/>
  <c r="BB83" i="10"/>
  <c r="BB84" i="10"/>
  <c r="BB85" i="10"/>
  <c r="BB86" i="10"/>
  <c r="BD86" i="10" s="1"/>
  <c r="BB87" i="10"/>
  <c r="BG26" i="45"/>
  <c r="BC7" i="45"/>
  <c r="BC8" i="45"/>
  <c r="BC9" i="45"/>
  <c r="BC10" i="45"/>
  <c r="BC11" i="45"/>
  <c r="BC12" i="45"/>
  <c r="BC13" i="45"/>
  <c r="BC14" i="45"/>
  <c r="BC15" i="45"/>
  <c r="BC16" i="45"/>
  <c r="BC17" i="45"/>
  <c r="BC18" i="45"/>
  <c r="BE18" i="45" s="1"/>
  <c r="BC19" i="45"/>
  <c r="BC20" i="45"/>
  <c r="BC21" i="45"/>
  <c r="BC22" i="45"/>
  <c r="BE22" i="45" s="1"/>
  <c r="BC23" i="45"/>
  <c r="BC24" i="45"/>
  <c r="BC25" i="45"/>
  <c r="BC26" i="45"/>
  <c r="BE26" i="45" s="1"/>
  <c r="BC27" i="45"/>
  <c r="BC28" i="45"/>
  <c r="BC29" i="45"/>
  <c r="BC30" i="45"/>
  <c r="BC31" i="45"/>
  <c r="BC32" i="45"/>
  <c r="BE32" i="45" s="1"/>
  <c r="BC33" i="45"/>
  <c r="BC34" i="45"/>
  <c r="BC35" i="45"/>
  <c r="BC36" i="45"/>
  <c r="BC37" i="45"/>
  <c r="BC38" i="45"/>
  <c r="BC39" i="45"/>
  <c r="BC40" i="45"/>
  <c r="BC41" i="45"/>
  <c r="AZ98" i="9"/>
  <c r="Z174" i="28" l="1"/>
  <c r="Z173" i="28"/>
  <c r="Z172" i="28"/>
  <c r="Z171" i="28"/>
  <c r="Z170" i="28"/>
  <c r="Z169" i="28"/>
  <c r="Z168" i="28"/>
  <c r="Z167" i="28"/>
  <c r="Z166" i="28"/>
  <c r="Z165" i="28"/>
  <c r="Z164" i="28"/>
  <c r="Z163" i="28"/>
  <c r="Z162" i="28"/>
  <c r="Z161" i="28"/>
  <c r="Z160" i="28"/>
  <c r="Z159" i="28"/>
  <c r="Z158" i="28"/>
  <c r="Z157" i="28"/>
  <c r="Z156" i="28"/>
  <c r="Z155" i="28"/>
  <c r="Z154" i="28"/>
  <c r="Z153" i="28"/>
  <c r="Z152" i="28"/>
  <c r="Z151" i="28"/>
  <c r="Z150" i="28"/>
  <c r="Z149" i="28"/>
  <c r="Z148" i="28"/>
  <c r="Z147" i="28"/>
  <c r="Z146" i="28"/>
  <c r="Z145" i="28"/>
  <c r="Z144" i="28"/>
  <c r="Z143" i="28"/>
  <c r="Z142" i="28"/>
  <c r="Z141" i="28"/>
  <c r="Z140" i="28"/>
  <c r="Z139" i="28"/>
  <c r="Z138" i="28"/>
  <c r="Z137" i="28"/>
  <c r="Z136" i="28"/>
  <c r="Z135" i="28"/>
  <c r="Z134" i="28"/>
  <c r="Z133" i="28"/>
  <c r="Z132" i="28"/>
  <c r="Z131" i="28"/>
  <c r="Z129" i="28"/>
  <c r="Z128" i="28"/>
  <c r="Z127" i="28"/>
  <c r="Z126" i="28"/>
  <c r="Z125" i="28"/>
  <c r="Z124" i="28"/>
  <c r="Z123" i="28"/>
  <c r="Z122" i="28"/>
  <c r="Z121" i="28"/>
  <c r="Z120" i="28"/>
  <c r="Z119" i="28"/>
  <c r="Z118" i="28"/>
  <c r="Z117" i="28"/>
  <c r="Z116" i="28"/>
  <c r="Z115" i="28"/>
  <c r="Z114" i="28"/>
  <c r="Z113" i="28"/>
  <c r="Z112" i="28"/>
  <c r="Z111" i="28"/>
  <c r="Z110" i="28"/>
  <c r="Z109" i="28"/>
  <c r="Z108" i="28"/>
  <c r="Z107" i="28"/>
  <c r="Z106" i="28"/>
  <c r="Z105" i="28"/>
  <c r="Z104" i="28"/>
  <c r="Z103" i="28"/>
  <c r="Z102" i="28"/>
  <c r="Z101" i="28"/>
  <c r="Z100" i="28"/>
  <c r="Z99" i="28"/>
  <c r="Z98" i="28"/>
  <c r="Z97" i="28"/>
  <c r="Z96" i="28"/>
  <c r="Z95" i="28"/>
  <c r="Z94" i="28"/>
  <c r="Z93" i="28"/>
  <c r="Z92" i="28"/>
  <c r="Z91" i="28"/>
  <c r="Z90" i="28"/>
  <c r="Z89" i="28"/>
  <c r="Z88" i="28"/>
  <c r="Z87" i="28"/>
  <c r="Z86" i="28"/>
  <c r="Z85" i="28"/>
  <c r="Z84" i="28"/>
  <c r="Z83" i="28"/>
  <c r="Z82" i="28"/>
  <c r="Z81" i="28"/>
  <c r="Z80" i="28"/>
  <c r="Z79" i="28"/>
  <c r="Z78" i="28"/>
  <c r="Z77" i="28"/>
  <c r="Z76" i="28"/>
  <c r="Z75" i="28"/>
  <c r="Z74" i="28"/>
  <c r="Z73" i="28"/>
  <c r="Z72" i="28"/>
  <c r="Z71" i="28"/>
  <c r="Z70" i="28"/>
  <c r="N174" i="28"/>
  <c r="AB174" i="28" s="1"/>
  <c r="N173" i="28"/>
  <c r="AB173" i="28" s="1"/>
  <c r="N172" i="28"/>
  <c r="AB172" i="28" s="1"/>
  <c r="N171" i="28"/>
  <c r="AB171" i="28" s="1"/>
  <c r="N170" i="28"/>
  <c r="AB170" i="28" s="1"/>
  <c r="N169" i="28"/>
  <c r="AB169" i="28" s="1"/>
  <c r="N168" i="28"/>
  <c r="AB168" i="28" s="1"/>
  <c r="N167" i="28"/>
  <c r="AB167" i="28" s="1"/>
  <c r="N166" i="28"/>
  <c r="AB166" i="28" s="1"/>
  <c r="N165" i="28"/>
  <c r="AB165" i="28" s="1"/>
  <c r="N164" i="28"/>
  <c r="AB164" i="28" s="1"/>
  <c r="N163" i="28"/>
  <c r="AB163" i="28" s="1"/>
  <c r="N162" i="28"/>
  <c r="AB162" i="28" s="1"/>
  <c r="N161" i="28"/>
  <c r="AB161" i="28" s="1"/>
  <c r="N160" i="28"/>
  <c r="AB160" i="28" s="1"/>
  <c r="N159" i="28"/>
  <c r="AB159" i="28" s="1"/>
  <c r="N158" i="28"/>
  <c r="AB158" i="28" s="1"/>
  <c r="N157" i="28"/>
  <c r="AB157" i="28" s="1"/>
  <c r="N156" i="28"/>
  <c r="AB156" i="28" s="1"/>
  <c r="N155" i="28"/>
  <c r="AB155" i="28" s="1"/>
  <c r="N154" i="28"/>
  <c r="AB154" i="28" s="1"/>
  <c r="N153" i="28"/>
  <c r="AB153" i="28" s="1"/>
  <c r="N152" i="28"/>
  <c r="AB152" i="28" s="1"/>
  <c r="N151" i="28"/>
  <c r="AB151" i="28" s="1"/>
  <c r="N150" i="28"/>
  <c r="AB150" i="28" s="1"/>
  <c r="N149" i="28"/>
  <c r="AB149" i="28" s="1"/>
  <c r="N148" i="28"/>
  <c r="AB148" i="28" s="1"/>
  <c r="N147" i="28"/>
  <c r="AB147" i="28" s="1"/>
  <c r="N146" i="28"/>
  <c r="AB146" i="28" s="1"/>
  <c r="N145" i="28"/>
  <c r="AB145" i="28" s="1"/>
  <c r="N144" i="28"/>
  <c r="AB144" i="28" s="1"/>
  <c r="N143" i="28"/>
  <c r="AB143" i="28" s="1"/>
  <c r="N142" i="28"/>
  <c r="AB142" i="28" s="1"/>
  <c r="N141" i="28"/>
  <c r="AB141" i="28" s="1"/>
  <c r="N140" i="28"/>
  <c r="AB140" i="28" s="1"/>
  <c r="N139" i="28"/>
  <c r="AB139" i="28" s="1"/>
  <c r="N138" i="28"/>
  <c r="AB138" i="28" s="1"/>
  <c r="N137" i="28"/>
  <c r="AB137" i="28" s="1"/>
  <c r="N136" i="28"/>
  <c r="AB136" i="28" s="1"/>
  <c r="N135" i="28"/>
  <c r="AB135" i="28" s="1"/>
  <c r="N134" i="28"/>
  <c r="AB134" i="28" s="1"/>
  <c r="N133" i="28"/>
  <c r="AB133" i="28" s="1"/>
  <c r="N132" i="28"/>
  <c r="AB132" i="28" s="1"/>
  <c r="N131" i="28"/>
  <c r="AB131" i="28" s="1"/>
  <c r="N129" i="28"/>
  <c r="AB129" i="28" s="1"/>
  <c r="N128" i="28"/>
  <c r="AB128" i="28" s="1"/>
  <c r="N127" i="28"/>
  <c r="AB127" i="28" s="1"/>
  <c r="N126" i="28"/>
  <c r="AB126" i="28" s="1"/>
  <c r="N125" i="28"/>
  <c r="AB125" i="28" s="1"/>
  <c r="N124" i="28"/>
  <c r="AB124" i="28" s="1"/>
  <c r="N123" i="28"/>
  <c r="AB123" i="28" s="1"/>
  <c r="N122" i="28"/>
  <c r="AB122" i="28" s="1"/>
  <c r="N121" i="28"/>
  <c r="AB121" i="28" s="1"/>
  <c r="N120" i="28"/>
  <c r="AB120" i="28" s="1"/>
  <c r="N119" i="28"/>
  <c r="AB119" i="28" s="1"/>
  <c r="N118" i="28"/>
  <c r="AB118" i="28" s="1"/>
  <c r="N117" i="28"/>
  <c r="AB117" i="28" s="1"/>
  <c r="N116" i="28"/>
  <c r="AB116" i="28" s="1"/>
  <c r="N115" i="28"/>
  <c r="AB115" i="28" s="1"/>
  <c r="N114" i="28"/>
  <c r="AB114" i="28" s="1"/>
  <c r="N113" i="28"/>
  <c r="AB113" i="28" s="1"/>
  <c r="N112" i="28"/>
  <c r="AB112" i="28" s="1"/>
  <c r="N111" i="28"/>
  <c r="AB111" i="28" s="1"/>
  <c r="N110" i="28"/>
  <c r="AB110" i="28" s="1"/>
  <c r="N109" i="28"/>
  <c r="AB109" i="28" s="1"/>
  <c r="N108" i="28"/>
  <c r="AB108" i="28" s="1"/>
  <c r="N107" i="28"/>
  <c r="AB107" i="28" s="1"/>
  <c r="N106" i="28"/>
  <c r="AB106" i="28" s="1"/>
  <c r="N105" i="28"/>
  <c r="AB105" i="28" s="1"/>
  <c r="N104" i="28"/>
  <c r="AB104" i="28" s="1"/>
  <c r="N103" i="28"/>
  <c r="AB103" i="28" s="1"/>
  <c r="N102" i="28"/>
  <c r="AB102" i="28" s="1"/>
  <c r="N101" i="28"/>
  <c r="AB101" i="28" s="1"/>
  <c r="N100" i="28"/>
  <c r="AB100" i="28" s="1"/>
  <c r="N99" i="28"/>
  <c r="AB99" i="28" s="1"/>
  <c r="N98" i="28"/>
  <c r="AB98" i="28" s="1"/>
  <c r="N97" i="28"/>
  <c r="AB97" i="28" s="1"/>
  <c r="N96" i="28"/>
  <c r="AB96" i="28" s="1"/>
  <c r="N95" i="28"/>
  <c r="AB95" i="28" s="1"/>
  <c r="N94" i="28"/>
  <c r="AB94" i="28" s="1"/>
  <c r="N93" i="28"/>
  <c r="AB93" i="28" s="1"/>
  <c r="N92" i="28"/>
  <c r="AB92" i="28" s="1"/>
  <c r="N91" i="28"/>
  <c r="AB91" i="28" s="1"/>
  <c r="N90" i="28"/>
  <c r="AB90" i="28" s="1"/>
  <c r="N89" i="28"/>
  <c r="AB89" i="28" s="1"/>
  <c r="N88" i="28"/>
  <c r="AB88" i="28" s="1"/>
  <c r="N87" i="28"/>
  <c r="AB87" i="28" s="1"/>
  <c r="N86" i="28"/>
  <c r="AB86" i="28" s="1"/>
  <c r="N85" i="28"/>
  <c r="AB85" i="28" s="1"/>
  <c r="N84" i="28"/>
  <c r="AB84" i="28" s="1"/>
  <c r="N83" i="28"/>
  <c r="AB83" i="28" s="1"/>
  <c r="N82" i="28"/>
  <c r="AB82" i="28" s="1"/>
  <c r="N81" i="28"/>
  <c r="AB81" i="28" s="1"/>
  <c r="N80" i="28"/>
  <c r="AB80" i="28" s="1"/>
  <c r="N79" i="28"/>
  <c r="AB79" i="28" s="1"/>
  <c r="N78" i="28"/>
  <c r="AB78" i="28" s="1"/>
  <c r="N77" i="28"/>
  <c r="AB77" i="28" s="1"/>
  <c r="N76" i="28"/>
  <c r="AB76" i="28" s="1"/>
  <c r="N75" i="28"/>
  <c r="AB75" i="28" s="1"/>
  <c r="N74" i="28"/>
  <c r="AB74" i="28" s="1"/>
  <c r="N73" i="28"/>
  <c r="AB73" i="28" s="1"/>
  <c r="N72" i="28"/>
  <c r="AB72" i="28" s="1"/>
  <c r="N71" i="28"/>
  <c r="AB71" i="28" s="1"/>
  <c r="N70" i="28"/>
  <c r="AB70" i="28" s="1"/>
  <c r="L175" i="28"/>
  <c r="H175" i="28"/>
  <c r="F175" i="28"/>
  <c r="AY7" i="15"/>
  <c r="AX7" i="15"/>
  <c r="AY6" i="15"/>
  <c r="AX6" i="15"/>
  <c r="AY5" i="15"/>
  <c r="AX5" i="15"/>
  <c r="N69" i="28" l="1"/>
  <c r="AR146" i="28"/>
  <c r="AR126" i="28"/>
  <c r="BB126" i="28" s="1"/>
  <c r="BD126" i="28" s="1"/>
  <c r="BB70" i="28"/>
  <c r="BD70" i="28" s="1"/>
  <c r="BB71" i="28"/>
  <c r="BD71" i="28" s="1"/>
  <c r="BB72" i="28"/>
  <c r="BB73" i="28"/>
  <c r="BB74" i="28"/>
  <c r="BD74" i="28" s="1"/>
  <c r="BB75" i="28"/>
  <c r="BD75" i="28" s="1"/>
  <c r="BB76" i="28"/>
  <c r="BB77" i="28"/>
  <c r="BB78" i="28"/>
  <c r="BD78" i="28" s="1"/>
  <c r="BB79" i="28"/>
  <c r="BB80" i="28"/>
  <c r="BB81" i="28"/>
  <c r="BB82" i="28"/>
  <c r="BD82" i="28" s="1"/>
  <c r="BB83" i="28"/>
  <c r="BD83" i="28" s="1"/>
  <c r="BB84" i="28"/>
  <c r="BB85" i="28"/>
  <c r="BB86" i="28"/>
  <c r="BD86" i="28" s="1"/>
  <c r="BB87" i="28"/>
  <c r="BD87" i="28" s="1"/>
  <c r="BB88" i="28"/>
  <c r="BB89" i="28"/>
  <c r="BB90" i="28"/>
  <c r="BD90" i="28" s="1"/>
  <c r="BB91" i="28"/>
  <c r="BD91" i="28" s="1"/>
  <c r="BB92" i="28"/>
  <c r="BB93" i="28"/>
  <c r="BB94" i="28"/>
  <c r="BD94" i="28" s="1"/>
  <c r="BB95" i="28"/>
  <c r="BB96" i="28"/>
  <c r="BB97" i="28"/>
  <c r="BB98" i="28"/>
  <c r="BD98" i="28" s="1"/>
  <c r="BB99" i="28"/>
  <c r="BD99" i="28" s="1"/>
  <c r="BB100" i="28"/>
  <c r="BB101" i="28"/>
  <c r="BB102" i="28"/>
  <c r="BD102" i="28" s="1"/>
  <c r="BB103" i="28"/>
  <c r="BD103" i="28" s="1"/>
  <c r="BB104" i="28"/>
  <c r="BB105" i="28"/>
  <c r="BD105" i="28" s="1"/>
  <c r="BB106" i="28"/>
  <c r="BD106" i="28" s="1"/>
  <c r="BB107" i="28"/>
  <c r="BD107" i="28" s="1"/>
  <c r="BB108" i="28"/>
  <c r="BB109" i="28"/>
  <c r="BB110" i="28"/>
  <c r="BD110" i="28" s="1"/>
  <c r="BB111" i="28"/>
  <c r="BB112" i="28"/>
  <c r="BB113" i="28"/>
  <c r="BB114" i="28"/>
  <c r="BD114" i="28" s="1"/>
  <c r="BB115" i="28"/>
  <c r="BD115" i="28" s="1"/>
  <c r="BB116" i="28"/>
  <c r="BB117" i="28"/>
  <c r="BB118" i="28"/>
  <c r="BD118" i="28" s="1"/>
  <c r="BB119" i="28"/>
  <c r="BD119" i="28" s="1"/>
  <c r="BB120" i="28"/>
  <c r="BB121" i="28"/>
  <c r="BB122" i="28"/>
  <c r="BD122" i="28" s="1"/>
  <c r="BB123" i="28"/>
  <c r="BD123" i="28" s="1"/>
  <c r="BB124" i="28"/>
  <c r="BB125" i="28"/>
  <c r="BB127" i="28"/>
  <c r="BB128" i="28"/>
  <c r="BB129" i="28"/>
  <c r="BB131" i="28"/>
  <c r="BD131" i="28" s="1"/>
  <c r="BB132" i="28"/>
  <c r="BD132" i="28" s="1"/>
  <c r="BB133" i="28"/>
  <c r="BB134" i="28"/>
  <c r="BB135" i="28"/>
  <c r="BD135" i="28" s="1"/>
  <c r="BB137" i="28"/>
  <c r="BD137" i="28" s="1"/>
  <c r="BB138" i="28"/>
  <c r="BB139" i="28"/>
  <c r="BD139" i="28" s="1"/>
  <c r="BB140" i="28"/>
  <c r="BB141" i="28"/>
  <c r="BB142" i="28"/>
  <c r="BB143" i="28"/>
  <c r="BD143" i="28" s="1"/>
  <c r="BB144" i="28"/>
  <c r="BB146" i="28"/>
  <c r="BB147" i="28"/>
  <c r="BD147" i="28" s="1"/>
  <c r="BB148" i="28"/>
  <c r="BB149" i="28"/>
  <c r="BB150" i="28"/>
  <c r="BB151" i="28"/>
  <c r="BD151" i="28" s="1"/>
  <c r="BB152" i="28"/>
  <c r="BD152" i="28" s="1"/>
  <c r="BB153" i="28"/>
  <c r="BB154" i="28"/>
  <c r="BB155" i="28"/>
  <c r="BD155" i="28" s="1"/>
  <c r="BB156" i="28"/>
  <c r="BD156" i="28" s="1"/>
  <c r="BB157" i="28"/>
  <c r="BB158" i="28"/>
  <c r="BB160" i="28"/>
  <c r="BD160" i="28" s="1"/>
  <c r="BB161" i="28"/>
  <c r="BB162" i="28"/>
  <c r="BB163" i="28"/>
  <c r="BD163" i="28" s="1"/>
  <c r="BB164" i="28"/>
  <c r="BB165" i="28"/>
  <c r="BB166" i="28"/>
  <c r="BB167" i="28"/>
  <c r="BD167" i="28" s="1"/>
  <c r="BB168" i="28"/>
  <c r="BD168" i="28" s="1"/>
  <c r="BB169" i="28"/>
  <c r="BB170" i="28"/>
  <c r="BB171" i="28"/>
  <c r="BD171" i="28" s="1"/>
  <c r="BB172" i="28"/>
  <c r="BB173" i="28"/>
  <c r="BB174" i="28"/>
  <c r="AV136" i="28"/>
  <c r="BB136" i="28" s="1"/>
  <c r="BD136" i="28" s="1"/>
  <c r="AV145" i="28"/>
  <c r="AZ159" i="28"/>
  <c r="BB159" i="28" s="1"/>
  <c r="BD159" i="28" s="1"/>
  <c r="AZ145" i="28"/>
  <c r="J112" i="28"/>
  <c r="J70" i="28"/>
  <c r="R70" i="28" s="1"/>
  <c r="V70" i="28" s="1"/>
  <c r="J71" i="28"/>
  <c r="J72" i="28"/>
  <c r="J73" i="28"/>
  <c r="J74" i="28"/>
  <c r="R74" i="28" s="1"/>
  <c r="V74" i="28" s="1"/>
  <c r="J75" i="28"/>
  <c r="J76" i="28"/>
  <c r="J77" i="28"/>
  <c r="J78" i="28"/>
  <c r="R78" i="28" s="1"/>
  <c r="V78" i="28" s="1"/>
  <c r="J79" i="28"/>
  <c r="J80" i="28"/>
  <c r="J81" i="28"/>
  <c r="J82" i="28"/>
  <c r="R82" i="28" s="1"/>
  <c r="V82" i="28" s="1"/>
  <c r="J83" i="28"/>
  <c r="J84" i="28"/>
  <c r="J85" i="28"/>
  <c r="J86" i="28"/>
  <c r="R86" i="28" s="1"/>
  <c r="V86" i="28" s="1"/>
  <c r="J87" i="28"/>
  <c r="J88" i="28"/>
  <c r="J89" i="28"/>
  <c r="J90" i="28"/>
  <c r="R90" i="28" s="1"/>
  <c r="V90" i="28" s="1"/>
  <c r="J91" i="28"/>
  <c r="J92" i="28"/>
  <c r="J93" i="28"/>
  <c r="J94" i="28"/>
  <c r="R94" i="28" s="1"/>
  <c r="V94" i="28" s="1"/>
  <c r="J95" i="28"/>
  <c r="J97" i="28"/>
  <c r="J98" i="28"/>
  <c r="R98" i="28" s="1"/>
  <c r="V98" i="28" s="1"/>
  <c r="J99" i="28"/>
  <c r="J100" i="28"/>
  <c r="J101" i="28"/>
  <c r="J102" i="28"/>
  <c r="R102" i="28" s="1"/>
  <c r="V102" i="28" s="1"/>
  <c r="J103" i="28"/>
  <c r="J104" i="28"/>
  <c r="J105" i="28"/>
  <c r="J106" i="28"/>
  <c r="R106" i="28" s="1"/>
  <c r="V106" i="28" s="1"/>
  <c r="J107" i="28"/>
  <c r="J108" i="28"/>
  <c r="J109" i="28"/>
  <c r="J110" i="28"/>
  <c r="R110" i="28" s="1"/>
  <c r="V110" i="28" s="1"/>
  <c r="J111" i="28"/>
  <c r="J113" i="28"/>
  <c r="J114" i="28"/>
  <c r="R114" i="28" s="1"/>
  <c r="V114" i="28" s="1"/>
  <c r="J115" i="28"/>
  <c r="J116" i="28"/>
  <c r="J117" i="28"/>
  <c r="J118" i="28"/>
  <c r="R118" i="28" s="1"/>
  <c r="V118" i="28" s="1"/>
  <c r="J119" i="28"/>
  <c r="J120" i="28"/>
  <c r="J121" i="28"/>
  <c r="J122" i="28"/>
  <c r="R122" i="28" s="1"/>
  <c r="V122" i="28" s="1"/>
  <c r="J123" i="28"/>
  <c r="J124" i="28"/>
  <c r="J125" i="28"/>
  <c r="J126" i="28"/>
  <c r="R126" i="28" s="1"/>
  <c r="V126" i="28" s="1"/>
  <c r="J127" i="28"/>
  <c r="J128" i="28"/>
  <c r="J129" i="28"/>
  <c r="J131" i="28"/>
  <c r="R131" i="28" s="1"/>
  <c r="V131" i="28" s="1"/>
  <c r="J132" i="28"/>
  <c r="J133" i="28"/>
  <c r="J134" i="28"/>
  <c r="J135" i="28"/>
  <c r="R135" i="28" s="1"/>
  <c r="V135" i="28" s="1"/>
  <c r="J136" i="28"/>
  <c r="J137" i="28"/>
  <c r="J138" i="28"/>
  <c r="J139" i="28"/>
  <c r="R139" i="28" s="1"/>
  <c r="V139" i="28" s="1"/>
  <c r="J140" i="28"/>
  <c r="J141" i="28"/>
  <c r="J142" i="28"/>
  <c r="J143" i="28"/>
  <c r="R143" i="28" s="1"/>
  <c r="V143" i="28" s="1"/>
  <c r="J145" i="28"/>
  <c r="J146" i="28"/>
  <c r="J147" i="28"/>
  <c r="R147" i="28" s="1"/>
  <c r="V147" i="28" s="1"/>
  <c r="J148" i="28"/>
  <c r="J149" i="28"/>
  <c r="J150" i="28"/>
  <c r="J151" i="28"/>
  <c r="R151" i="28" s="1"/>
  <c r="V151" i="28" s="1"/>
  <c r="J152" i="28"/>
  <c r="J153" i="28"/>
  <c r="J154" i="28"/>
  <c r="J155" i="28"/>
  <c r="R155" i="28" s="1"/>
  <c r="V155" i="28" s="1"/>
  <c r="J156" i="28"/>
  <c r="J157" i="28"/>
  <c r="J158" i="28"/>
  <c r="J159" i="28"/>
  <c r="R159" i="28" s="1"/>
  <c r="V159" i="28" s="1"/>
  <c r="J160" i="28"/>
  <c r="J161" i="28"/>
  <c r="J162" i="28"/>
  <c r="J163" i="28"/>
  <c r="R163" i="28" s="1"/>
  <c r="V163" i="28" s="1"/>
  <c r="J164" i="28"/>
  <c r="J165" i="28"/>
  <c r="J166" i="28"/>
  <c r="J167" i="28"/>
  <c r="R167" i="28" s="1"/>
  <c r="V167" i="28" s="1"/>
  <c r="J168" i="28"/>
  <c r="J169" i="28"/>
  <c r="J170" i="28"/>
  <c r="J171" i="28"/>
  <c r="R171" i="28" s="1"/>
  <c r="V171" i="28" s="1"/>
  <c r="J172" i="28"/>
  <c r="J173" i="28"/>
  <c r="J174" i="28"/>
  <c r="R174" i="28" s="1"/>
  <c r="V174" i="28" s="1"/>
  <c r="BH18" i="64"/>
  <c r="BA8" i="64"/>
  <c r="BA9" i="64"/>
  <c r="BA10" i="64"/>
  <c r="BA12" i="64"/>
  <c r="BC12" i="64" s="1"/>
  <c r="BE12" i="64" s="1"/>
  <c r="BA14" i="64"/>
  <c r="BA15" i="64"/>
  <c r="BA16" i="64"/>
  <c r="BA17" i="64"/>
  <c r="BA18" i="64"/>
  <c r="BA19" i="64"/>
  <c r="BA20" i="64"/>
  <c r="BA21" i="64"/>
  <c r="BA22" i="64"/>
  <c r="BA24" i="64"/>
  <c r="BA25" i="64"/>
  <c r="BA26" i="64"/>
  <c r="BA27" i="64"/>
  <c r="BA28" i="64"/>
  <c r="BA29" i="64"/>
  <c r="BA30" i="64"/>
  <c r="BA31" i="64"/>
  <c r="BA32" i="64"/>
  <c r="BA33" i="64"/>
  <c r="BA34" i="64"/>
  <c r="BA35" i="64"/>
  <c r="BA37" i="64"/>
  <c r="BA38" i="64"/>
  <c r="BA39" i="64"/>
  <c r="BA40" i="64"/>
  <c r="BA42" i="64"/>
  <c r="BA43" i="64"/>
  <c r="BA45" i="64"/>
  <c r="BA46" i="64"/>
  <c r="BA47" i="64"/>
  <c r="BA48" i="64"/>
  <c r="BA49" i="64"/>
  <c r="BA50" i="64"/>
  <c r="BA51" i="64"/>
  <c r="BA53" i="64"/>
  <c r="BA55" i="64"/>
  <c r="BA56" i="64"/>
  <c r="BA57" i="64"/>
  <c r="BA58" i="64"/>
  <c r="BA59" i="64"/>
  <c r="BA60" i="64"/>
  <c r="BA61" i="64"/>
  <c r="BA62" i="64"/>
  <c r="BA63" i="64"/>
  <c r="BA64" i="64"/>
  <c r="BA65" i="64"/>
  <c r="BA66" i="64"/>
  <c r="BA67" i="64"/>
  <c r="BA68" i="64"/>
  <c r="BA69" i="64"/>
  <c r="BA70" i="64"/>
  <c r="BA71" i="64"/>
  <c r="BA72" i="64"/>
  <c r="BA73" i="64"/>
  <c r="BA74" i="64"/>
  <c r="BA75" i="64"/>
  <c r="BA76" i="64"/>
  <c r="BA77" i="64"/>
  <c r="BA79" i="64"/>
  <c r="BA80" i="64"/>
  <c r="BA82" i="64"/>
  <c r="BA86" i="64"/>
  <c r="BA87" i="64"/>
  <c r="BA89" i="64"/>
  <c r="BA90" i="64"/>
  <c r="BA91" i="64"/>
  <c r="BA95" i="64"/>
  <c r="BA96" i="64"/>
  <c r="BA97" i="64"/>
  <c r="BA99" i="64"/>
  <c r="BA101" i="64"/>
  <c r="BA102" i="64"/>
  <c r="BA107" i="64"/>
  <c r="BA108" i="64"/>
  <c r="BA109" i="64"/>
  <c r="BA110" i="64"/>
  <c r="BA111" i="64"/>
  <c r="BC111" i="64" s="1"/>
  <c r="BE111" i="64" s="1"/>
  <c r="BA113" i="64"/>
  <c r="BA114" i="64"/>
  <c r="BA115" i="64"/>
  <c r="BA116" i="64"/>
  <c r="BA117" i="64"/>
  <c r="BA118" i="64"/>
  <c r="BC118" i="64" s="1"/>
  <c r="BE118" i="64" s="1"/>
  <c r="BA119" i="64"/>
  <c r="BA120" i="64"/>
  <c r="BA121" i="64"/>
  <c r="BA122" i="64"/>
  <c r="BA124" i="64"/>
  <c r="BC124" i="64" s="1"/>
  <c r="BE124" i="64" s="1"/>
  <c r="BA125" i="64"/>
  <c r="BC125" i="64" s="1"/>
  <c r="BE125" i="64" s="1"/>
  <c r="BA126" i="64"/>
  <c r="BC126" i="64" s="1"/>
  <c r="BE126" i="64" s="1"/>
  <c r="BA127" i="64"/>
  <c r="BC127" i="64" s="1"/>
  <c r="BE127" i="64" s="1"/>
  <c r="BA129" i="64"/>
  <c r="BA131" i="64"/>
  <c r="BA132" i="64"/>
  <c r="BA133" i="64"/>
  <c r="BA134" i="64"/>
  <c r="BA135" i="64"/>
  <c r="BA136" i="64"/>
  <c r="BA137" i="64"/>
  <c r="BA138" i="64"/>
  <c r="BA139" i="64"/>
  <c r="BC139" i="64" s="1"/>
  <c r="BE139" i="64" s="1"/>
  <c r="BA140" i="64"/>
  <c r="BA141" i="64"/>
  <c r="BA142" i="64"/>
  <c r="BA145" i="64"/>
  <c r="BA146" i="64"/>
  <c r="BA147" i="64"/>
  <c r="BA148" i="64"/>
  <c r="BA149" i="64"/>
  <c r="BA150" i="64"/>
  <c r="BA152" i="64"/>
  <c r="BA153" i="64"/>
  <c r="BA154" i="64"/>
  <c r="BA155" i="64"/>
  <c r="BA156" i="64"/>
  <c r="BA158" i="64"/>
  <c r="BC158" i="64" s="1"/>
  <c r="BE158" i="64" s="1"/>
  <c r="BA159" i="64"/>
  <c r="BC159" i="64" s="1"/>
  <c r="BE159" i="64" s="1"/>
  <c r="BA165" i="64"/>
  <c r="BA167" i="64"/>
  <c r="BA169" i="64"/>
  <c r="BA172" i="64"/>
  <c r="BA174" i="64"/>
  <c r="BA176" i="64"/>
  <c r="BA178" i="64"/>
  <c r="BA180" i="64"/>
  <c r="BA182" i="64"/>
  <c r="BA7" i="64"/>
  <c r="AY84" i="64"/>
  <c r="BA84" i="64" s="1"/>
  <c r="BB145" i="28" l="1"/>
  <c r="BD108" i="28"/>
  <c r="BF108" i="28" s="1"/>
  <c r="BD164" i="28"/>
  <c r="BF164" i="28" s="1"/>
  <c r="BD161" i="28"/>
  <c r="BF161" i="28" s="1"/>
  <c r="BD157" i="28"/>
  <c r="BD153" i="28"/>
  <c r="BF153" i="28" s="1"/>
  <c r="BD79" i="28"/>
  <c r="BD112" i="28"/>
  <c r="BD80" i="28"/>
  <c r="BF80" i="28" s="1"/>
  <c r="BD120" i="28"/>
  <c r="BD100" i="28"/>
  <c r="BF102" i="28"/>
  <c r="BF114" i="28"/>
  <c r="BF118" i="28"/>
  <c r="BF155" i="28"/>
  <c r="BD165" i="28"/>
  <c r="BD127" i="28"/>
  <c r="BD109" i="28"/>
  <c r="BF109" i="28" s="1"/>
  <c r="BD72" i="28"/>
  <c r="BF72" i="28" s="1"/>
  <c r="BF159" i="28"/>
  <c r="BD149" i="28"/>
  <c r="BF149" i="28" s="1"/>
  <c r="BF70" i="28"/>
  <c r="BF74" i="28"/>
  <c r="BF82" i="28"/>
  <c r="BF126" i="28"/>
  <c r="BD172" i="28"/>
  <c r="BD169" i="28"/>
  <c r="BD148" i="28"/>
  <c r="BF148" i="28" s="1"/>
  <c r="BD144" i="28"/>
  <c r="BD140" i="28"/>
  <c r="BF140" i="28" s="1"/>
  <c r="BD133" i="28"/>
  <c r="BD111" i="28"/>
  <c r="BD95" i="28"/>
  <c r="BD92" i="28"/>
  <c r="BD81" i="28"/>
  <c r="BF163" i="28"/>
  <c r="BF137" i="28"/>
  <c r="BF167" i="28"/>
  <c r="BF78" i="28"/>
  <c r="BF86" i="28"/>
  <c r="BF90" i="28"/>
  <c r="BF94" i="28"/>
  <c r="BF98" i="28"/>
  <c r="BF106" i="28"/>
  <c r="BF110" i="28"/>
  <c r="BF122" i="28"/>
  <c r="BF131" i="28"/>
  <c r="BF135" i="28"/>
  <c r="BF139" i="28"/>
  <c r="BF143" i="28"/>
  <c r="BF147" i="28"/>
  <c r="BF151" i="28"/>
  <c r="BF171" i="28"/>
  <c r="R173" i="28"/>
  <c r="V173" i="28" s="1"/>
  <c r="R169" i="28"/>
  <c r="V169" i="28" s="1"/>
  <c r="R165" i="28"/>
  <c r="V165" i="28" s="1"/>
  <c r="AF163" i="28"/>
  <c r="AJ163" i="28" s="1"/>
  <c r="AP163" i="28" s="1"/>
  <c r="AT163" i="28" s="1"/>
  <c r="AX163" i="28" s="1"/>
  <c r="AF102" i="28"/>
  <c r="AJ102" i="28" s="1"/>
  <c r="AP102" i="28" s="1"/>
  <c r="AT102" i="28" s="1"/>
  <c r="AX102" i="28" s="1"/>
  <c r="AF135" i="28"/>
  <c r="AJ135" i="28" s="1"/>
  <c r="AP135" i="28" s="1"/>
  <c r="AT135" i="28" s="1"/>
  <c r="AX135" i="28" s="1"/>
  <c r="BF157" i="28"/>
  <c r="AF167" i="28"/>
  <c r="AJ167" i="28" s="1"/>
  <c r="AP167" i="28" s="1"/>
  <c r="AT167" i="28" s="1"/>
  <c r="AX167" i="28" s="1"/>
  <c r="R142" i="28"/>
  <c r="V142" i="28" s="1"/>
  <c r="R138" i="28"/>
  <c r="V138" i="28" s="1"/>
  <c r="R134" i="28"/>
  <c r="V134" i="28" s="1"/>
  <c r="R129" i="28"/>
  <c r="V129" i="28" s="1"/>
  <c r="R125" i="28"/>
  <c r="V125" i="28" s="1"/>
  <c r="R121" i="28"/>
  <c r="V121" i="28" s="1"/>
  <c r="R117" i="28"/>
  <c r="V117" i="28" s="1"/>
  <c r="R113" i="28"/>
  <c r="V113" i="28" s="1"/>
  <c r="R170" i="28"/>
  <c r="V170" i="28" s="1"/>
  <c r="R166" i="28"/>
  <c r="V166" i="28" s="1"/>
  <c r="R162" i="28"/>
  <c r="V162" i="28" s="1"/>
  <c r="R93" i="28"/>
  <c r="V93" i="28" s="1"/>
  <c r="R89" i="28"/>
  <c r="V89" i="28" s="1"/>
  <c r="R85" i="28"/>
  <c r="V85" i="28" s="1"/>
  <c r="R81" i="28"/>
  <c r="V81" i="28" s="1"/>
  <c r="R77" i="28"/>
  <c r="V77" i="28" s="1"/>
  <c r="R73" i="28"/>
  <c r="V73" i="28" s="1"/>
  <c r="BF105" i="28"/>
  <c r="R161" i="28"/>
  <c r="V161" i="28" s="1"/>
  <c r="R149" i="28"/>
  <c r="V149" i="28" s="1"/>
  <c r="R140" i="28"/>
  <c r="V140" i="28" s="1"/>
  <c r="R132" i="28"/>
  <c r="V132" i="28" s="1"/>
  <c r="R127" i="28"/>
  <c r="V127" i="28" s="1"/>
  <c r="R119" i="28"/>
  <c r="V119" i="28" s="1"/>
  <c r="R112" i="28"/>
  <c r="V112" i="28" s="1"/>
  <c r="R172" i="28"/>
  <c r="V172" i="28" s="1"/>
  <c r="R168" i="28"/>
  <c r="V168" i="28" s="1"/>
  <c r="R164" i="28"/>
  <c r="V164" i="28" s="1"/>
  <c r="R160" i="28"/>
  <c r="V160" i="28" s="1"/>
  <c r="R156" i="28"/>
  <c r="V156" i="28" s="1"/>
  <c r="R152" i="28"/>
  <c r="V152" i="28" s="1"/>
  <c r="R148" i="28"/>
  <c r="V148" i="28" s="1"/>
  <c r="AF143" i="28"/>
  <c r="AJ143" i="28" s="1"/>
  <c r="AP143" i="28" s="1"/>
  <c r="AT143" i="28" s="1"/>
  <c r="AX143" i="28" s="1"/>
  <c r="AF126" i="28"/>
  <c r="AJ126" i="28" s="1"/>
  <c r="AP126" i="28" s="1"/>
  <c r="AT126" i="28" s="1"/>
  <c r="AX126" i="28" s="1"/>
  <c r="AF114" i="28"/>
  <c r="AJ114" i="28" s="1"/>
  <c r="AP114" i="28" s="1"/>
  <c r="AT114" i="28" s="1"/>
  <c r="AX114" i="28" s="1"/>
  <c r="R109" i="28"/>
  <c r="V109" i="28" s="1"/>
  <c r="R105" i="28"/>
  <c r="V105" i="28" s="1"/>
  <c r="R101" i="28"/>
  <c r="V101" i="28" s="1"/>
  <c r="R97" i="28"/>
  <c r="V97" i="28" s="1"/>
  <c r="R92" i="28"/>
  <c r="V92" i="28" s="1"/>
  <c r="R88" i="28"/>
  <c r="V88" i="28" s="1"/>
  <c r="R84" i="28"/>
  <c r="V84" i="28" s="1"/>
  <c r="R80" i="28"/>
  <c r="V80" i="28" s="1"/>
  <c r="R76" i="28"/>
  <c r="V76" i="28" s="1"/>
  <c r="R72" i="28"/>
  <c r="V72" i="28" s="1"/>
  <c r="R157" i="28"/>
  <c r="V157" i="28" s="1"/>
  <c r="R153" i="28"/>
  <c r="V153" i="28" s="1"/>
  <c r="R145" i="28"/>
  <c r="V145" i="28" s="1"/>
  <c r="R136" i="28"/>
  <c r="V136" i="28" s="1"/>
  <c r="R123" i="28"/>
  <c r="V123" i="28" s="1"/>
  <c r="R115" i="28"/>
  <c r="V115" i="28" s="1"/>
  <c r="R158" i="28"/>
  <c r="V158" i="28" s="1"/>
  <c r="R154" i="28"/>
  <c r="V154" i="28" s="1"/>
  <c r="R150" i="28"/>
  <c r="V150" i="28" s="1"/>
  <c r="R146" i="28"/>
  <c r="V146" i="28" s="1"/>
  <c r="R141" i="28"/>
  <c r="V141" i="28" s="1"/>
  <c r="R137" i="28"/>
  <c r="V137" i="28" s="1"/>
  <c r="AF137" i="28" s="1"/>
  <c r="AJ137" i="28" s="1"/>
  <c r="AP137" i="28" s="1"/>
  <c r="AT137" i="28" s="1"/>
  <c r="AX137" i="28" s="1"/>
  <c r="R133" i="28"/>
  <c r="V133" i="28" s="1"/>
  <c r="R128" i="28"/>
  <c r="V128" i="28" s="1"/>
  <c r="R124" i="28"/>
  <c r="V124" i="28" s="1"/>
  <c r="R120" i="28"/>
  <c r="V120" i="28" s="1"/>
  <c r="R116" i="28"/>
  <c r="V116" i="28" s="1"/>
  <c r="R111" i="28"/>
  <c r="V111" i="28" s="1"/>
  <c r="R107" i="28"/>
  <c r="V107" i="28" s="1"/>
  <c r="R103" i="28"/>
  <c r="V103" i="28" s="1"/>
  <c r="R99" i="28"/>
  <c r="V99" i="28" s="1"/>
  <c r="AF94" i="28"/>
  <c r="AJ94" i="28" s="1"/>
  <c r="AP94" i="28" s="1"/>
  <c r="AT94" i="28" s="1"/>
  <c r="AX94" i="28" s="1"/>
  <c r="AF82" i="28"/>
  <c r="AJ82" i="28" s="1"/>
  <c r="AP82" i="28" s="1"/>
  <c r="AT82" i="28" s="1"/>
  <c r="AX82" i="28" s="1"/>
  <c r="AF70" i="28"/>
  <c r="AJ70" i="28" s="1"/>
  <c r="AP70" i="28" s="1"/>
  <c r="AT70" i="28" s="1"/>
  <c r="AX70" i="28" s="1"/>
  <c r="AF159" i="28"/>
  <c r="AJ159" i="28" s="1"/>
  <c r="AP159" i="28" s="1"/>
  <c r="AT159" i="28" s="1"/>
  <c r="AX159" i="28" s="1"/>
  <c r="AF147" i="28"/>
  <c r="AJ147" i="28" s="1"/>
  <c r="AP147" i="28" s="1"/>
  <c r="AT147" i="28" s="1"/>
  <c r="AX147" i="28" s="1"/>
  <c r="AF86" i="28"/>
  <c r="AJ86" i="28" s="1"/>
  <c r="AP86" i="28" s="1"/>
  <c r="AT86" i="28" s="1"/>
  <c r="AX86" i="28" s="1"/>
  <c r="AF78" i="28"/>
  <c r="AJ78" i="28" s="1"/>
  <c r="AP78" i="28" s="1"/>
  <c r="AT78" i="28" s="1"/>
  <c r="AX78" i="28" s="1"/>
  <c r="BF71" i="28"/>
  <c r="BF79" i="28"/>
  <c r="BF83" i="28"/>
  <c r="BF87" i="28"/>
  <c r="BF99" i="28"/>
  <c r="BF103" i="28"/>
  <c r="BF107" i="28"/>
  <c r="BF115" i="28"/>
  <c r="BF119" i="28"/>
  <c r="BF132" i="28"/>
  <c r="BF136" i="28"/>
  <c r="BF152" i="28"/>
  <c r="BF156" i="28"/>
  <c r="BF168" i="28"/>
  <c r="AF169" i="28"/>
  <c r="AJ169" i="28" s="1"/>
  <c r="AP169" i="28" s="1"/>
  <c r="AT169" i="28" s="1"/>
  <c r="AX169" i="28" s="1"/>
  <c r="AF110" i="28"/>
  <c r="AJ110" i="28" s="1"/>
  <c r="AP110" i="28" s="1"/>
  <c r="AT110" i="28" s="1"/>
  <c r="AX110" i="28" s="1"/>
  <c r="AF98" i="28"/>
  <c r="AJ98" i="28" s="1"/>
  <c r="AP98" i="28" s="1"/>
  <c r="AT98" i="28" s="1"/>
  <c r="AX98" i="28" s="1"/>
  <c r="BD113" i="28"/>
  <c r="AF131" i="28"/>
  <c r="AJ131" i="28" s="1"/>
  <c r="AP131" i="28" s="1"/>
  <c r="AT131" i="28" s="1"/>
  <c r="AX131" i="28" s="1"/>
  <c r="AF118" i="28"/>
  <c r="AJ118" i="28" s="1"/>
  <c r="AP118" i="28" s="1"/>
  <c r="AT118" i="28" s="1"/>
  <c r="AX118" i="28" s="1"/>
  <c r="AF171" i="28"/>
  <c r="AJ171" i="28" s="1"/>
  <c r="AP171" i="28" s="1"/>
  <c r="AT171" i="28" s="1"/>
  <c r="AX171" i="28" s="1"/>
  <c r="AF155" i="28"/>
  <c r="AJ155" i="28" s="1"/>
  <c r="AP155" i="28" s="1"/>
  <c r="AT155" i="28" s="1"/>
  <c r="AX155" i="28" s="1"/>
  <c r="AF151" i="28"/>
  <c r="AJ151" i="28" s="1"/>
  <c r="AP151" i="28" s="1"/>
  <c r="AT151" i="28" s="1"/>
  <c r="AX151" i="28" s="1"/>
  <c r="BD173" i="28"/>
  <c r="BD170" i="28"/>
  <c r="BF170" i="28" s="1"/>
  <c r="BD145" i="28"/>
  <c r="BD141" i="28"/>
  <c r="BD128" i="28"/>
  <c r="BD124" i="28"/>
  <c r="BD121" i="28"/>
  <c r="BD104" i="28"/>
  <c r="BD96" i="28"/>
  <c r="BD84" i="28"/>
  <c r="BD76" i="28"/>
  <c r="AF90" i="28"/>
  <c r="AJ90" i="28" s="1"/>
  <c r="AP90" i="28" s="1"/>
  <c r="AT90" i="28" s="1"/>
  <c r="AX90" i="28" s="1"/>
  <c r="AF74" i="28"/>
  <c r="AJ74" i="28" s="1"/>
  <c r="AP74" i="28" s="1"/>
  <c r="AT74" i="28" s="1"/>
  <c r="AX74" i="28" s="1"/>
  <c r="BD117" i="28"/>
  <c r="AF145" i="28"/>
  <c r="AJ145" i="28" s="1"/>
  <c r="AP145" i="28" s="1"/>
  <c r="AT145" i="28" s="1"/>
  <c r="AX145" i="28" s="1"/>
  <c r="AF106" i="28"/>
  <c r="AJ106" i="28" s="1"/>
  <c r="AP106" i="28" s="1"/>
  <c r="AT106" i="28" s="1"/>
  <c r="AX106" i="28" s="1"/>
  <c r="AF139" i="28"/>
  <c r="AJ139" i="28" s="1"/>
  <c r="AP139" i="28" s="1"/>
  <c r="AT139" i="28" s="1"/>
  <c r="AX139" i="28" s="1"/>
  <c r="AF122" i="28"/>
  <c r="AJ122" i="28" s="1"/>
  <c r="AP122" i="28" s="1"/>
  <c r="AT122" i="28" s="1"/>
  <c r="AX122" i="28" s="1"/>
  <c r="BD146" i="28"/>
  <c r="BD142" i="28"/>
  <c r="BD116" i="28"/>
  <c r="BD88" i="28"/>
  <c r="AF125" i="28"/>
  <c r="AJ125" i="28" s="1"/>
  <c r="AP125" i="28" s="1"/>
  <c r="AT125" i="28" s="1"/>
  <c r="AX125" i="28" s="1"/>
  <c r="R108" i="28"/>
  <c r="V108" i="28" s="1"/>
  <c r="R104" i="28"/>
  <c r="V104" i="28" s="1"/>
  <c r="R100" i="28"/>
  <c r="V100" i="28" s="1"/>
  <c r="R95" i="28"/>
  <c r="V95" i="28" s="1"/>
  <c r="R91" i="28"/>
  <c r="V91" i="28" s="1"/>
  <c r="R87" i="28"/>
  <c r="V87" i="28" s="1"/>
  <c r="R83" i="28"/>
  <c r="V83" i="28" s="1"/>
  <c r="R79" i="28"/>
  <c r="V79" i="28" s="1"/>
  <c r="R75" i="28"/>
  <c r="V75" i="28" s="1"/>
  <c r="R71" i="28"/>
  <c r="V71" i="28" s="1"/>
  <c r="AF80" i="28"/>
  <c r="AJ80" i="28" s="1"/>
  <c r="AP80" i="28" s="1"/>
  <c r="AT80" i="28" s="1"/>
  <c r="AX80" i="28" s="1"/>
  <c r="BD174" i="28"/>
  <c r="BD125" i="28"/>
  <c r="BF125" i="28" s="1"/>
  <c r="BD97" i="28"/>
  <c r="BD166" i="28"/>
  <c r="BD162" i="28"/>
  <c r="BD158" i="28"/>
  <c r="BD150" i="28"/>
  <c r="BD134" i="28"/>
  <c r="BF134" i="28" s="1"/>
  <c r="BD89" i="28"/>
  <c r="BD85" i="28"/>
  <c r="BD73" i="28"/>
  <c r="BD154" i="28"/>
  <c r="BD138" i="28"/>
  <c r="BD129" i="28"/>
  <c r="BD101" i="28"/>
  <c r="BD93" i="28"/>
  <c r="BD77" i="28"/>
  <c r="AZ23" i="21"/>
  <c r="AZ22" i="21"/>
  <c r="BF112" i="28" l="1"/>
  <c r="BF166" i="28"/>
  <c r="BF154" i="28"/>
  <c r="BF93" i="28"/>
  <c r="BF169" i="28"/>
  <c r="BF84" i="28"/>
  <c r="BF88" i="28"/>
  <c r="BF146" i="28"/>
  <c r="BF89" i="28"/>
  <c r="BF174" i="28"/>
  <c r="BF165" i="28"/>
  <c r="BF124" i="28"/>
  <c r="BF100" i="28"/>
  <c r="BF138" i="28"/>
  <c r="BF73" i="28"/>
  <c r="BF162" i="28"/>
  <c r="BF77" i="28"/>
  <c r="BF141" i="28"/>
  <c r="BF116" i="28"/>
  <c r="BF96" i="28"/>
  <c r="BF76" i="28"/>
  <c r="BF117" i="28"/>
  <c r="BF144" i="28"/>
  <c r="BF95" i="28"/>
  <c r="BF158" i="28"/>
  <c r="BF121" i="28"/>
  <c r="BF142" i="28"/>
  <c r="BF97" i="28"/>
  <c r="BF173" i="28"/>
  <c r="BF133" i="28"/>
  <c r="BF92" i="28"/>
  <c r="BF129" i="28"/>
  <c r="BF128" i="28"/>
  <c r="BF101" i="28"/>
  <c r="BF150" i="28"/>
  <c r="BF113" i="28"/>
  <c r="BF81" i="28"/>
  <c r="BF145" i="28"/>
  <c r="BF85" i="28"/>
  <c r="AF85" i="28"/>
  <c r="AJ85" i="28" s="1"/>
  <c r="AP85" i="28" s="1"/>
  <c r="AT85" i="28" s="1"/>
  <c r="AX85" i="28" s="1"/>
  <c r="AF71" i="28"/>
  <c r="AJ71" i="28" s="1"/>
  <c r="AP71" i="28" s="1"/>
  <c r="AT71" i="28" s="1"/>
  <c r="AX71" i="28" s="1"/>
  <c r="AF76" i="28"/>
  <c r="AJ76" i="28" s="1"/>
  <c r="AP76" i="28" s="1"/>
  <c r="AT76" i="28" s="1"/>
  <c r="AX76" i="28" s="1"/>
  <c r="AF113" i="28"/>
  <c r="AJ113" i="28" s="1"/>
  <c r="AP113" i="28" s="1"/>
  <c r="AT113" i="28" s="1"/>
  <c r="AX113" i="28" s="1"/>
  <c r="AF73" i="28"/>
  <c r="AJ73" i="28" s="1"/>
  <c r="AP73" i="28" s="1"/>
  <c r="AT73" i="28" s="1"/>
  <c r="AX73" i="28" s="1"/>
  <c r="AF142" i="28"/>
  <c r="AJ142" i="28" s="1"/>
  <c r="AP142" i="28" s="1"/>
  <c r="AT142" i="28" s="1"/>
  <c r="AX142" i="28" s="1"/>
  <c r="AF161" i="28"/>
  <c r="AJ161" i="28" s="1"/>
  <c r="AP161" i="28" s="1"/>
  <c r="AT161" i="28" s="1"/>
  <c r="AX161" i="28" s="1"/>
  <c r="AF109" i="28"/>
  <c r="AJ109" i="28" s="1"/>
  <c r="AP109" i="28" s="1"/>
  <c r="AT109" i="28" s="1"/>
  <c r="AX109" i="28" s="1"/>
  <c r="AF77" i="28"/>
  <c r="AJ77" i="28" s="1"/>
  <c r="AP77" i="28" s="1"/>
  <c r="AT77" i="28" s="1"/>
  <c r="AX77" i="28" s="1"/>
  <c r="AF105" i="28"/>
  <c r="AJ105" i="28" s="1"/>
  <c r="AP105" i="28" s="1"/>
  <c r="AT105" i="28" s="1"/>
  <c r="AX105" i="28" s="1"/>
  <c r="AF128" i="28"/>
  <c r="AJ128" i="28" s="1"/>
  <c r="AP128" i="28" s="1"/>
  <c r="AT128" i="28" s="1"/>
  <c r="AX128" i="28" s="1"/>
  <c r="AF112" i="28"/>
  <c r="AJ112" i="28" s="1"/>
  <c r="AP112" i="28" s="1"/>
  <c r="AT112" i="28" s="1"/>
  <c r="AX112" i="28" s="1"/>
  <c r="AF84" i="28"/>
  <c r="AJ84" i="28" s="1"/>
  <c r="AP84" i="28" s="1"/>
  <c r="AT84" i="28" s="1"/>
  <c r="AX84" i="28" s="1"/>
  <c r="AF108" i="28"/>
  <c r="AJ108" i="28" s="1"/>
  <c r="AP108" i="28" s="1"/>
  <c r="AT108" i="28" s="1"/>
  <c r="AX108" i="28" s="1"/>
  <c r="AF92" i="28"/>
  <c r="AJ92" i="28" s="1"/>
  <c r="AP92" i="28" s="1"/>
  <c r="AT92" i="28" s="1"/>
  <c r="AX92" i="28" s="1"/>
  <c r="AF129" i="28"/>
  <c r="AJ129" i="28" s="1"/>
  <c r="AP129" i="28" s="1"/>
  <c r="AT129" i="28" s="1"/>
  <c r="AX129" i="28" s="1"/>
  <c r="AF149" i="28"/>
  <c r="AJ149" i="28" s="1"/>
  <c r="AP149" i="28" s="1"/>
  <c r="AT149" i="28" s="1"/>
  <c r="AX149" i="28" s="1"/>
  <c r="AF146" i="28"/>
  <c r="AJ146" i="28" s="1"/>
  <c r="AP146" i="28" s="1"/>
  <c r="AT146" i="28" s="1"/>
  <c r="AX146" i="28" s="1"/>
  <c r="AF93" i="28"/>
  <c r="AJ93" i="28" s="1"/>
  <c r="AP93" i="28" s="1"/>
  <c r="AT93" i="28" s="1"/>
  <c r="AX93" i="28" s="1"/>
  <c r="AF173" i="28"/>
  <c r="AJ173" i="28" s="1"/>
  <c r="AP173" i="28" s="1"/>
  <c r="AT173" i="28" s="1"/>
  <c r="AX173" i="28" s="1"/>
  <c r="AF150" i="28"/>
  <c r="AJ150" i="28" s="1"/>
  <c r="AP150" i="28" s="1"/>
  <c r="AT150" i="28" s="1"/>
  <c r="AX150" i="28" s="1"/>
  <c r="AF100" i="28"/>
  <c r="AJ100" i="28" s="1"/>
  <c r="AP100" i="28" s="1"/>
  <c r="AT100" i="28" s="1"/>
  <c r="AX100" i="28" s="1"/>
  <c r="AF99" i="28"/>
  <c r="AJ99" i="28" s="1"/>
  <c r="AP99" i="28" s="1"/>
  <c r="AT99" i="28" s="1"/>
  <c r="AX99" i="28" s="1"/>
  <c r="AF121" i="28"/>
  <c r="AJ121" i="28" s="1"/>
  <c r="AP121" i="28" s="1"/>
  <c r="AT121" i="28" s="1"/>
  <c r="AX121" i="28" s="1"/>
  <c r="AF132" i="28"/>
  <c r="AJ132" i="28" s="1"/>
  <c r="AP132" i="28" s="1"/>
  <c r="AT132" i="28" s="1"/>
  <c r="AX132" i="28" s="1"/>
  <c r="AF124" i="28"/>
  <c r="AJ124" i="28" s="1"/>
  <c r="AP124" i="28" s="1"/>
  <c r="AT124" i="28" s="1"/>
  <c r="AX124" i="28" s="1"/>
  <c r="AF157" i="28"/>
  <c r="AJ157" i="28" s="1"/>
  <c r="AP157" i="28" s="1"/>
  <c r="AT157" i="28" s="1"/>
  <c r="AX157" i="28" s="1"/>
  <c r="AF148" i="28"/>
  <c r="AJ148" i="28" s="1"/>
  <c r="AP148" i="28" s="1"/>
  <c r="AT148" i="28" s="1"/>
  <c r="AX148" i="28" s="1"/>
  <c r="AF165" i="28"/>
  <c r="AJ165" i="28" s="1"/>
  <c r="AP165" i="28" s="1"/>
  <c r="AT165" i="28" s="1"/>
  <c r="AX165" i="28" s="1"/>
  <c r="AF89" i="28"/>
  <c r="AJ89" i="28" s="1"/>
  <c r="AP89" i="28" s="1"/>
  <c r="AT89" i="28" s="1"/>
  <c r="AX89" i="28" s="1"/>
  <c r="AF133" i="28"/>
  <c r="AJ133" i="28" s="1"/>
  <c r="AP133" i="28" s="1"/>
  <c r="AT133" i="28" s="1"/>
  <c r="AX133" i="28" s="1"/>
  <c r="AF97" i="28"/>
  <c r="AJ97" i="28" s="1"/>
  <c r="AP97" i="28" s="1"/>
  <c r="AT97" i="28" s="1"/>
  <c r="AX97" i="28" s="1"/>
  <c r="AF158" i="28"/>
  <c r="AJ158" i="28" s="1"/>
  <c r="AP158" i="28" s="1"/>
  <c r="AT158" i="28" s="1"/>
  <c r="AX158" i="28" s="1"/>
  <c r="AF81" i="28"/>
  <c r="AJ81" i="28" s="1"/>
  <c r="AP81" i="28" s="1"/>
  <c r="AT81" i="28" s="1"/>
  <c r="AX81" i="28" s="1"/>
  <c r="AF174" i="28"/>
  <c r="AJ174" i="28" s="1"/>
  <c r="AP174" i="28" s="1"/>
  <c r="AT174" i="28" s="1"/>
  <c r="AX174" i="28" s="1"/>
  <c r="AF83" i="28"/>
  <c r="AJ83" i="28" s="1"/>
  <c r="AP83" i="28" s="1"/>
  <c r="AT83" i="28" s="1"/>
  <c r="AX83" i="28" s="1"/>
  <c r="AF115" i="28"/>
  <c r="AJ115" i="28" s="1"/>
  <c r="AP115" i="28" s="1"/>
  <c r="AT115" i="28" s="1"/>
  <c r="AX115" i="28" s="1"/>
  <c r="AF95" i="28"/>
  <c r="AJ95" i="28" s="1"/>
  <c r="AP95" i="28" s="1"/>
  <c r="AT95" i="28" s="1"/>
  <c r="AX95" i="28" s="1"/>
  <c r="AF138" i="28"/>
  <c r="AJ138" i="28" s="1"/>
  <c r="AP138" i="28" s="1"/>
  <c r="AT138" i="28" s="1"/>
  <c r="AX138" i="28" s="1"/>
  <c r="AF116" i="28"/>
  <c r="AJ116" i="28" s="1"/>
  <c r="AP116" i="28" s="1"/>
  <c r="AT116" i="28" s="1"/>
  <c r="AX116" i="28" s="1"/>
  <c r="AF141" i="28"/>
  <c r="AJ141" i="28" s="1"/>
  <c r="AP141" i="28" s="1"/>
  <c r="AT141" i="28" s="1"/>
  <c r="AX141" i="28" s="1"/>
  <c r="AF162" i="28"/>
  <c r="AJ162" i="28" s="1"/>
  <c r="AP162" i="28" s="1"/>
  <c r="AT162" i="28" s="1"/>
  <c r="AX162" i="28" s="1"/>
  <c r="AF101" i="28"/>
  <c r="AJ101" i="28" s="1"/>
  <c r="AP101" i="28" s="1"/>
  <c r="AT101" i="28" s="1"/>
  <c r="AX101" i="28" s="1"/>
  <c r="AF154" i="28"/>
  <c r="AJ154" i="28" s="1"/>
  <c r="AP154" i="28" s="1"/>
  <c r="AT154" i="28" s="1"/>
  <c r="AX154" i="28" s="1"/>
  <c r="AF170" i="28"/>
  <c r="AJ170" i="28" s="1"/>
  <c r="AP170" i="28" s="1"/>
  <c r="AT170" i="28" s="1"/>
  <c r="AX170" i="28" s="1"/>
  <c r="AF79" i="28"/>
  <c r="AJ79" i="28" s="1"/>
  <c r="AP79" i="28" s="1"/>
  <c r="AT79" i="28" s="1"/>
  <c r="AX79" i="28" s="1"/>
  <c r="AF156" i="28"/>
  <c r="AJ156" i="28" s="1"/>
  <c r="AP156" i="28" s="1"/>
  <c r="AT156" i="28" s="1"/>
  <c r="AX156" i="28" s="1"/>
  <c r="AF87" i="28"/>
  <c r="AJ87" i="28" s="1"/>
  <c r="AP87" i="28" s="1"/>
  <c r="AT87" i="28" s="1"/>
  <c r="AX87" i="28" s="1"/>
  <c r="AF72" i="28"/>
  <c r="AJ72" i="28" s="1"/>
  <c r="AP72" i="28" s="1"/>
  <c r="AT72" i="28" s="1"/>
  <c r="AX72" i="28" s="1"/>
  <c r="AF88" i="28"/>
  <c r="AJ88" i="28" s="1"/>
  <c r="AP88" i="28" s="1"/>
  <c r="AT88" i="28" s="1"/>
  <c r="AX88" i="28" s="1"/>
  <c r="AF164" i="28"/>
  <c r="AJ164" i="28" s="1"/>
  <c r="AP164" i="28" s="1"/>
  <c r="AT164" i="28" s="1"/>
  <c r="AX164" i="28" s="1"/>
  <c r="AF168" i="28"/>
  <c r="AJ168" i="28" s="1"/>
  <c r="AP168" i="28" s="1"/>
  <c r="AT168" i="28" s="1"/>
  <c r="AX168" i="28" s="1"/>
  <c r="AF153" i="28"/>
  <c r="AJ153" i="28" s="1"/>
  <c r="AP153" i="28" s="1"/>
  <c r="AT153" i="28" s="1"/>
  <c r="AX153" i="28" s="1"/>
  <c r="AF140" i="28"/>
  <c r="AJ140" i="28" s="1"/>
  <c r="AP140" i="28" s="1"/>
  <c r="AT140" i="28" s="1"/>
  <c r="AX140" i="28" s="1"/>
  <c r="AF152" i="28"/>
  <c r="AJ152" i="28" s="1"/>
  <c r="AP152" i="28" s="1"/>
  <c r="AT152" i="28" s="1"/>
  <c r="AX152" i="28" s="1"/>
  <c r="AF119" i="28"/>
  <c r="AJ119" i="28" s="1"/>
  <c r="AP119" i="28" s="1"/>
  <c r="AT119" i="28" s="1"/>
  <c r="AX119" i="28" s="1"/>
  <c r="AF103" i="28"/>
  <c r="AJ103" i="28" s="1"/>
  <c r="AP103" i="28" s="1"/>
  <c r="AT103" i="28" s="1"/>
  <c r="AX103" i="28" s="1"/>
  <c r="AF117" i="28"/>
  <c r="AJ117" i="28" s="1"/>
  <c r="AP117" i="28" s="1"/>
  <c r="AT117" i="28" s="1"/>
  <c r="AX117" i="28" s="1"/>
  <c r="AF134" i="28"/>
  <c r="AJ134" i="28" s="1"/>
  <c r="AP134" i="28" s="1"/>
  <c r="AT134" i="28" s="1"/>
  <c r="AX134" i="28" s="1"/>
  <c r="AF166" i="28"/>
  <c r="AJ166" i="28" s="1"/>
  <c r="AP166" i="28" s="1"/>
  <c r="AT166" i="28" s="1"/>
  <c r="AX166" i="28" s="1"/>
  <c r="AF136" i="28"/>
  <c r="AJ136" i="28" s="1"/>
  <c r="AP136" i="28" s="1"/>
  <c r="AT136" i="28" s="1"/>
  <c r="AX136" i="28" s="1"/>
  <c r="AF107" i="28"/>
  <c r="AJ107" i="28" s="1"/>
  <c r="AP107" i="28" s="1"/>
  <c r="AT107" i="28" s="1"/>
  <c r="AX107" i="28" s="1"/>
  <c r="AF160" i="28"/>
  <c r="AJ160" i="28" s="1"/>
  <c r="AP160" i="28" s="1"/>
  <c r="AT160" i="28" s="1"/>
  <c r="AX160" i="28" s="1"/>
  <c r="BF160" i="28"/>
  <c r="AF127" i="28"/>
  <c r="AJ127" i="28" s="1"/>
  <c r="AP127" i="28" s="1"/>
  <c r="AT127" i="28" s="1"/>
  <c r="AX127" i="28" s="1"/>
  <c r="BF127" i="28"/>
  <c r="AF111" i="28"/>
  <c r="AJ111" i="28" s="1"/>
  <c r="AP111" i="28" s="1"/>
  <c r="AT111" i="28" s="1"/>
  <c r="AX111" i="28" s="1"/>
  <c r="BF111" i="28"/>
  <c r="AF120" i="28"/>
  <c r="AJ120" i="28" s="1"/>
  <c r="AP120" i="28" s="1"/>
  <c r="AT120" i="28" s="1"/>
  <c r="AX120" i="28" s="1"/>
  <c r="BF120" i="28"/>
  <c r="AF172" i="28"/>
  <c r="AJ172" i="28" s="1"/>
  <c r="AP172" i="28" s="1"/>
  <c r="AT172" i="28" s="1"/>
  <c r="AX172" i="28" s="1"/>
  <c r="BF172" i="28"/>
  <c r="AF123" i="28"/>
  <c r="AJ123" i="28" s="1"/>
  <c r="AP123" i="28" s="1"/>
  <c r="AT123" i="28" s="1"/>
  <c r="AX123" i="28" s="1"/>
  <c r="BF123" i="28"/>
  <c r="AF91" i="28"/>
  <c r="AJ91" i="28" s="1"/>
  <c r="AP91" i="28" s="1"/>
  <c r="AT91" i="28" s="1"/>
  <c r="AX91" i="28" s="1"/>
  <c r="BF91" i="28"/>
  <c r="AF75" i="28"/>
  <c r="AJ75" i="28" s="1"/>
  <c r="AP75" i="28" s="1"/>
  <c r="AT75" i="28" s="1"/>
  <c r="AX75" i="28" s="1"/>
  <c r="BF75" i="28"/>
  <c r="AF104" i="28"/>
  <c r="AJ104" i="28" s="1"/>
  <c r="AP104" i="28" s="1"/>
  <c r="AT104" i="28" s="1"/>
  <c r="AX104" i="28" s="1"/>
  <c r="BF104" i="28"/>
  <c r="AY157" i="64"/>
  <c r="BA157" i="64" s="1"/>
  <c r="AY123" i="64"/>
  <c r="BA123" i="64" s="1"/>
  <c r="BC123" i="64" s="1"/>
  <c r="BE123" i="64" s="1"/>
  <c r="BF402" i="28"/>
  <c r="BB388" i="28"/>
  <c r="BB389" i="28"/>
  <c r="BB390" i="28"/>
  <c r="BB391" i="28"/>
  <c r="BB392" i="28"/>
  <c r="BB393" i="28"/>
  <c r="BB394" i="28"/>
  <c r="BB395" i="28"/>
  <c r="BB396" i="28"/>
  <c r="BB397" i="28"/>
  <c r="BB398" i="28"/>
  <c r="BB399" i="28"/>
  <c r="BD399" i="28" s="1"/>
  <c r="BB400" i="28"/>
  <c r="BB401" i="28"/>
  <c r="BB402" i="28"/>
  <c r="BB403" i="28"/>
  <c r="BB404" i="28"/>
  <c r="BB405" i="28"/>
  <c r="BB406" i="28"/>
  <c r="BB407" i="28"/>
  <c r="BB408" i="28"/>
  <c r="BB409" i="28"/>
  <c r="BB410" i="28"/>
  <c r="BB411" i="28"/>
  <c r="BD411" i="28" s="1"/>
  <c r="BB412" i="28"/>
  <c r="BB338" i="28"/>
  <c r="BB339" i="28"/>
  <c r="BB340" i="28"/>
  <c r="BB341" i="28"/>
  <c r="BB342" i="28"/>
  <c r="BB343" i="28"/>
  <c r="BB344" i="28"/>
  <c r="BB345" i="28"/>
  <c r="BB346" i="28"/>
  <c r="BB347" i="28"/>
  <c r="BB348" i="28"/>
  <c r="BB349" i="28"/>
  <c r="BB350" i="28"/>
  <c r="BB351" i="28"/>
  <c r="BB352" i="28"/>
  <c r="BB353" i="28"/>
  <c r="BB354" i="28"/>
  <c r="BB355" i="28"/>
  <c r="BB356" i="28"/>
  <c r="BB357" i="28"/>
  <c r="BB358" i="28"/>
  <c r="BB359" i="28"/>
  <c r="BB360" i="28"/>
  <c r="BB361" i="28"/>
  <c r="BB362" i="28"/>
  <c r="BB363" i="28"/>
  <c r="BB364" i="28"/>
  <c r="BB365" i="28"/>
  <c r="BB366" i="28"/>
  <c r="BB367" i="28"/>
  <c r="BD367" i="28" s="1"/>
  <c r="BB368" i="28"/>
  <c r="BB369" i="28"/>
  <c r="BB370" i="28"/>
  <c r="BB371" i="28"/>
  <c r="BB372" i="28"/>
  <c r="BB373" i="28"/>
  <c r="BB374" i="28"/>
  <c r="BB375" i="28"/>
  <c r="BB376" i="28"/>
  <c r="BB377" i="28"/>
  <c r="BB378" i="28"/>
  <c r="BB379" i="28"/>
  <c r="BB380" i="28"/>
  <c r="BD380" i="28" s="1"/>
  <c r="BB381" i="28"/>
  <c r="BB382" i="28"/>
  <c r="BB383" i="28"/>
  <c r="BB322" i="28"/>
  <c r="BD322" i="28" s="1"/>
  <c r="BB323" i="28"/>
  <c r="BD323" i="28" s="1"/>
  <c r="BB324" i="28"/>
  <c r="BB325" i="28"/>
  <c r="BD325" i="28" s="1"/>
  <c r="BB326" i="28"/>
  <c r="BB327" i="28"/>
  <c r="BB328" i="28"/>
  <c r="BB329" i="28"/>
  <c r="BB330" i="28"/>
  <c r="BD330" i="28" s="1"/>
  <c r="BB331" i="28"/>
  <c r="BF273" i="28"/>
  <c r="BF299" i="28"/>
  <c r="BF309" i="28"/>
  <c r="BB270" i="28"/>
  <c r="BB271" i="28"/>
  <c r="BB272" i="28"/>
  <c r="BB273" i="28"/>
  <c r="BD273" i="28" s="1"/>
  <c r="BB274" i="28"/>
  <c r="BD274" i="28" s="1"/>
  <c r="BB275" i="28"/>
  <c r="BB276" i="28"/>
  <c r="BB278" i="28"/>
  <c r="BB279" i="28"/>
  <c r="BB280" i="28"/>
  <c r="BB281" i="28"/>
  <c r="BB282" i="28"/>
  <c r="BB283" i="28"/>
  <c r="BB285" i="28"/>
  <c r="BB286" i="28"/>
  <c r="BB287" i="28"/>
  <c r="BB288" i="28"/>
  <c r="BB289" i="28"/>
  <c r="BB290" i="28"/>
  <c r="BB291" i="28"/>
  <c r="BD291" i="28" s="1"/>
  <c r="BB292" i="28"/>
  <c r="BB293" i="28"/>
  <c r="BB294" i="28"/>
  <c r="BB296" i="28"/>
  <c r="BB297" i="28"/>
  <c r="BB298" i="28"/>
  <c r="BB299" i="28"/>
  <c r="BD299" i="28" s="1"/>
  <c r="BB300" i="28"/>
  <c r="BB302" i="28"/>
  <c r="BB303" i="28"/>
  <c r="BB304" i="28"/>
  <c r="BB306" i="28"/>
  <c r="BB307" i="28"/>
  <c r="BD307" i="28" s="1"/>
  <c r="BB308" i="28"/>
  <c r="BB309" i="28"/>
  <c r="BD309" i="28" s="1"/>
  <c r="BB310" i="28"/>
  <c r="BB311" i="28"/>
  <c r="BD311" i="28" s="1"/>
  <c r="BB312" i="28"/>
  <c r="BB313" i="28"/>
  <c r="BB314" i="28"/>
  <c r="BB315" i="28"/>
  <c r="BB316" i="28"/>
  <c r="BB317" i="28"/>
  <c r="BF240" i="28"/>
  <c r="BF248" i="28"/>
  <c r="BF254" i="28"/>
  <c r="BB219" i="28"/>
  <c r="BB220" i="28"/>
  <c r="BD220" i="28" s="1"/>
  <c r="BB221" i="28"/>
  <c r="BB222" i="28"/>
  <c r="BB223" i="28"/>
  <c r="BB224" i="28"/>
  <c r="BB225" i="28"/>
  <c r="BB226" i="28"/>
  <c r="BB227" i="28"/>
  <c r="BB228" i="28"/>
  <c r="BB229" i="28"/>
  <c r="BB230" i="28"/>
  <c r="BB231" i="28"/>
  <c r="BB232" i="28"/>
  <c r="BB233" i="28"/>
  <c r="BB234" i="28"/>
  <c r="BD234" i="28" s="1"/>
  <c r="BB235" i="28"/>
  <c r="BB236" i="28"/>
  <c r="BD236" i="28" s="1"/>
  <c r="BB237" i="28"/>
  <c r="BD237" i="28" s="1"/>
  <c r="BB238" i="28"/>
  <c r="BB239" i="28"/>
  <c r="BB240" i="28"/>
  <c r="BD240" i="28" s="1"/>
  <c r="BB241" i="28"/>
  <c r="BB242" i="28"/>
  <c r="BB243" i="28"/>
  <c r="BB244" i="28"/>
  <c r="BD244" i="28" s="1"/>
  <c r="BB245" i="28"/>
  <c r="BB246" i="28"/>
  <c r="BB247" i="28"/>
  <c r="BB248" i="28"/>
  <c r="BD248" i="28" s="1"/>
  <c r="BB249" i="28"/>
  <c r="BB250" i="28"/>
  <c r="BB251" i="28"/>
  <c r="BB252" i="28"/>
  <c r="BB253" i="28"/>
  <c r="BB254" i="28"/>
  <c r="BD254" i="28" s="1"/>
  <c r="BB255" i="28"/>
  <c r="BB256" i="28"/>
  <c r="BB257" i="28"/>
  <c r="BB258" i="28"/>
  <c r="BF203" i="28"/>
  <c r="BB179" i="28"/>
  <c r="BB180" i="28"/>
  <c r="BB181" i="28"/>
  <c r="BB182" i="28"/>
  <c r="BB183" i="28"/>
  <c r="BB184" i="28"/>
  <c r="BB185" i="28"/>
  <c r="BB186" i="28"/>
  <c r="BB187" i="28"/>
  <c r="BB188" i="28"/>
  <c r="BB189" i="28"/>
  <c r="BB190" i="28"/>
  <c r="BB191" i="28"/>
  <c r="BB192" i="28"/>
  <c r="BB193" i="28"/>
  <c r="BB194" i="28"/>
  <c r="BB195" i="28"/>
  <c r="BB196" i="28"/>
  <c r="BB197" i="28"/>
  <c r="BB198" i="28"/>
  <c r="BB199" i="28"/>
  <c r="BB200" i="28"/>
  <c r="BB201" i="28"/>
  <c r="BB202" i="28"/>
  <c r="BB203" i="28"/>
  <c r="BD203" i="28" s="1"/>
  <c r="BB204" i="28"/>
  <c r="BD204" i="28" s="1"/>
  <c r="BB205" i="28"/>
  <c r="BD205" i="28" s="1"/>
  <c r="BB206" i="28"/>
  <c r="BD206" i="28" s="1"/>
  <c r="BB207" i="28"/>
  <c r="BB208" i="28"/>
  <c r="BB209" i="28"/>
  <c r="BB210" i="28"/>
  <c r="BB211" i="28"/>
  <c r="BB212" i="28"/>
  <c r="BB213" i="28"/>
  <c r="BB214" i="28"/>
  <c r="AY144" i="64" l="1"/>
  <c r="AZ33" i="28" l="1"/>
  <c r="BA60" i="45" l="1"/>
  <c r="AZ60" i="45"/>
  <c r="BA59" i="45"/>
  <c r="AZ59" i="45"/>
  <c r="BA58" i="45"/>
  <c r="AZ58" i="45"/>
  <c r="BA56" i="45"/>
  <c r="BA57" i="45" s="1"/>
  <c r="AE37" i="50"/>
  <c r="AG37" i="50" s="1"/>
  <c r="AI37" i="50"/>
  <c r="AM37" i="50"/>
  <c r="AS37" i="50"/>
  <c r="AU37" i="50" s="1"/>
  <c r="AW37" i="50"/>
  <c r="BA37" i="50"/>
  <c r="BG37" i="50" s="1"/>
  <c r="AZ70" i="11"/>
  <c r="AY70" i="11"/>
  <c r="AZ69" i="11"/>
  <c r="AY69" i="11"/>
  <c r="AZ68" i="11"/>
  <c r="AY68" i="11"/>
  <c r="AZ66" i="11"/>
  <c r="AZ67" i="11" s="1"/>
  <c r="AO37" i="50" l="1"/>
  <c r="AK37" i="50"/>
  <c r="BC37" i="50"/>
  <c r="AZ133" i="10"/>
  <c r="AY133" i="10"/>
  <c r="AZ132" i="10"/>
  <c r="AY132" i="10"/>
  <c r="AZ131" i="10"/>
  <c r="AY131" i="10"/>
  <c r="AZ129" i="10"/>
  <c r="AZ130" i="10" s="1"/>
  <c r="BH10" i="59"/>
  <c r="BH9" i="59"/>
  <c r="BH8" i="59"/>
  <c r="BF10" i="59"/>
  <c r="BF9" i="59"/>
  <c r="BF8" i="59"/>
  <c r="BD10" i="59"/>
  <c r="BD9" i="59"/>
  <c r="BD8" i="59"/>
  <c r="BC58" i="59"/>
  <c r="BB58" i="59"/>
  <c r="BC57" i="59"/>
  <c r="BB57" i="59"/>
  <c r="BC56" i="59"/>
  <c r="BB56" i="59"/>
  <c r="BB55" i="59"/>
  <c r="BC54" i="59"/>
  <c r="BB54" i="59"/>
  <c r="BB41" i="59"/>
  <c r="BB40" i="59"/>
  <c r="BB39" i="59"/>
  <c r="BB36" i="59"/>
  <c r="BB35" i="59"/>
  <c r="BB34" i="59"/>
  <c r="BB33" i="59"/>
  <c r="BC32" i="59"/>
  <c r="BB32" i="59"/>
  <c r="BC31" i="59"/>
  <c r="BB31" i="59"/>
  <c r="BB29" i="59"/>
  <c r="BB28" i="59"/>
  <c r="BB27" i="59"/>
  <c r="BC20" i="59"/>
  <c r="BB20" i="59"/>
  <c r="BC19" i="59"/>
  <c r="BB19" i="59"/>
  <c r="BC18" i="59"/>
  <c r="BB18" i="59"/>
  <c r="BC17" i="59"/>
  <c r="BB17" i="59"/>
  <c r="BC15" i="59"/>
  <c r="BB15" i="59"/>
  <c r="BC14" i="59"/>
  <c r="BB14" i="59"/>
  <c r="BC13" i="59"/>
  <c r="BB13" i="59"/>
  <c r="BC12" i="59"/>
  <c r="BB12" i="59"/>
  <c r="AZ90" i="9"/>
  <c r="AZ94" i="9"/>
  <c r="AZ93" i="9"/>
  <c r="AY93" i="9"/>
  <c r="AZ92" i="9"/>
  <c r="AY92" i="9"/>
  <c r="BF116" i="9"/>
  <c r="BB116" i="9"/>
  <c r="BD116" i="9" s="1"/>
  <c r="AZ20" i="8"/>
  <c r="BE37" i="50" l="1"/>
  <c r="AY82" i="7"/>
  <c r="AZ71" i="7"/>
  <c r="AY71" i="7"/>
  <c r="AZ69" i="7"/>
  <c r="AZ62" i="7"/>
  <c r="AY62" i="7"/>
  <c r="AZ58" i="7"/>
  <c r="AZ60" i="7" s="1"/>
  <c r="AY58" i="7"/>
  <c r="AY60" i="7" s="1"/>
  <c r="AZ54" i="7"/>
  <c r="AZ46" i="7" s="1"/>
  <c r="AY54" i="7"/>
  <c r="AY68" i="7" s="1"/>
  <c r="BB21" i="59" s="1"/>
  <c r="AZ27" i="7"/>
  <c r="AZ77" i="7" s="1"/>
  <c r="AZ26" i="7"/>
  <c r="AZ83" i="7" s="1"/>
  <c r="AZ25" i="7"/>
  <c r="AZ80" i="7" s="1"/>
  <c r="AZ24" i="7"/>
  <c r="AZ79" i="7" s="1"/>
  <c r="AZ23" i="7"/>
  <c r="AZ78" i="7" s="1"/>
  <c r="AZ22" i="7"/>
  <c r="AZ81" i="7" s="1"/>
  <c r="AZ21" i="7"/>
  <c r="AZ20" i="7"/>
  <c r="AZ19" i="7"/>
  <c r="AZ18" i="7"/>
  <c r="AZ74" i="7" s="1"/>
  <c r="BC22" i="59" s="1"/>
  <c r="AZ16" i="7"/>
  <c r="AZ30" i="7" s="1"/>
  <c r="AY16" i="7"/>
  <c r="AY30" i="7" s="1"/>
  <c r="AY39" i="7" s="1"/>
  <c r="AZ47" i="7" l="1"/>
  <c r="AY23" i="7"/>
  <c r="AY78" i="7" s="1"/>
  <c r="AZ45" i="7"/>
  <c r="AZ84" i="7" s="1"/>
  <c r="BC25" i="59" s="1"/>
  <c r="AZ63" i="7"/>
  <c r="AZ68" i="7"/>
  <c r="BC21" i="59" s="1"/>
  <c r="AZ43" i="7"/>
  <c r="AZ76" i="7" s="1"/>
  <c r="BC24" i="59" s="1"/>
  <c r="AZ48" i="7"/>
  <c r="AZ56" i="7"/>
  <c r="AZ44" i="7"/>
  <c r="AZ82" i="7" s="1"/>
  <c r="AZ49" i="7"/>
  <c r="AY21" i="7"/>
  <c r="AY84" i="7" s="1"/>
  <c r="BB25" i="59" s="1"/>
  <c r="AY27" i="7"/>
  <c r="AY77" i="7" s="1"/>
  <c r="AY19" i="7"/>
  <c r="AY75" i="7" s="1"/>
  <c r="BB23" i="59" s="1"/>
  <c r="AY25" i="7"/>
  <c r="AY80" i="7" s="1"/>
  <c r="AZ65" i="7"/>
  <c r="AZ70" i="7"/>
  <c r="BC26" i="59" s="1"/>
  <c r="AZ39" i="7"/>
  <c r="AZ41" i="7"/>
  <c r="AZ28" i="7"/>
  <c r="AY18" i="7"/>
  <c r="AY20" i="7"/>
  <c r="AY76" i="7" s="1"/>
  <c r="BB24" i="59" s="1"/>
  <c r="AY22" i="7"/>
  <c r="AY81" i="7" s="1"/>
  <c r="AY24" i="7"/>
  <c r="AY79" i="7" s="1"/>
  <c r="AY26" i="7"/>
  <c r="AY83" i="7" s="1"/>
  <c r="AZ42" i="7"/>
  <c r="AZ75" i="7" s="1"/>
  <c r="AY55" i="7"/>
  <c r="AY63" i="7"/>
  <c r="AY65" i="7"/>
  <c r="AZ85" i="7" l="1"/>
  <c r="BC23" i="59"/>
  <c r="AZ64" i="7"/>
  <c r="AZ50" i="7"/>
  <c r="AY74" i="7"/>
  <c r="AY28" i="7"/>
  <c r="AY41" i="7" s="1"/>
  <c r="AY85" i="7" l="1"/>
  <c r="BB22" i="59"/>
  <c r="AY50" i="7"/>
  <c r="AY64" i="7"/>
  <c r="AZ156" i="6" l="1"/>
  <c r="AZ155" i="6"/>
  <c r="AY155" i="6"/>
  <c r="AZ154" i="6"/>
  <c r="AY154" i="6"/>
  <c r="AZ130" i="6"/>
  <c r="AZ129" i="6"/>
  <c r="AY129" i="6"/>
  <c r="AY85" i="9" l="1"/>
  <c r="AY84" i="9"/>
  <c r="AZ48" i="35" l="1"/>
  <c r="AZ46" i="35"/>
  <c r="AZ45" i="35"/>
  <c r="BM11" i="35" l="1"/>
  <c r="BM12" i="35" s="1"/>
  <c r="BM3" i="35" l="1"/>
  <c r="BM4" i="35" s="1"/>
  <c r="BM5" i="35" s="1"/>
  <c r="BG30" i="6" l="1"/>
  <c r="BF31" i="36" l="1"/>
  <c r="BE31" i="36"/>
  <c r="BB31" i="36"/>
  <c r="AZ77" i="8"/>
  <c r="AZ75" i="8"/>
  <c r="AY75" i="8"/>
  <c r="AZ74" i="8"/>
  <c r="AY74" i="8"/>
  <c r="AY65" i="8"/>
  <c r="AZ45" i="8"/>
  <c r="AY45" i="8"/>
  <c r="AY38" i="8"/>
  <c r="AY37" i="8"/>
  <c r="AY36" i="8"/>
  <c r="AZ16" i="49"/>
  <c r="AZ17" i="49" s="1"/>
  <c r="AZ10" i="49"/>
  <c r="AY10" i="49"/>
  <c r="AZ8" i="49"/>
  <c r="AZ7" i="49"/>
  <c r="BB49" i="36"/>
  <c r="BB48" i="36"/>
  <c r="BB46" i="36"/>
  <c r="BA46" i="36"/>
  <c r="BB45" i="36"/>
  <c r="BB44" i="36"/>
  <c r="BB43" i="36"/>
  <c r="BA43" i="36"/>
  <c r="BA31" i="36"/>
  <c r="BB2" i="36"/>
  <c r="BA2" i="36"/>
  <c r="AZ55" i="36"/>
  <c r="AZ54" i="36"/>
  <c r="AY53" i="36"/>
  <c r="AY19" i="36" s="1"/>
  <c r="BB38" i="59" s="1"/>
  <c r="AZ52" i="36"/>
  <c r="AZ51" i="36"/>
  <c r="AY49" i="36"/>
  <c r="AY48" i="36"/>
  <c r="AZ47" i="36"/>
  <c r="AY45" i="36"/>
  <c r="AY47" i="36" s="1"/>
  <c r="AZ33" i="36"/>
  <c r="AY33" i="36"/>
  <c r="AY44" i="36" s="1"/>
  <c r="AY18" i="36"/>
  <c r="BB37" i="59" s="1"/>
  <c r="AZ17" i="36"/>
  <c r="BC36" i="59" s="1"/>
  <c r="AZ16" i="36"/>
  <c r="BC35" i="59" s="1"/>
  <c r="AY13" i="36"/>
  <c r="BB30" i="59" s="1"/>
  <c r="AZ12" i="36"/>
  <c r="BC29" i="59" s="1"/>
  <c r="AZ11" i="36"/>
  <c r="BC28" i="59" s="1"/>
  <c r="AZ10" i="36"/>
  <c r="BC27" i="59" s="1"/>
  <c r="AZ5" i="36"/>
  <c r="BC6" i="59" s="1"/>
  <c r="AZ12" i="49" l="1"/>
  <c r="BB47" i="36"/>
  <c r="AZ53" i="36"/>
  <c r="AZ19" i="36" s="1"/>
  <c r="BC38" i="59" s="1"/>
  <c r="AZ18" i="36"/>
  <c r="BC37" i="59" s="1"/>
  <c r="AZ13" i="36"/>
  <c r="BC30" i="59" s="1"/>
  <c r="BA108" i="17" l="1"/>
  <c r="BA107" i="17"/>
  <c r="BA106" i="17"/>
  <c r="BA105" i="17"/>
  <c r="BA104" i="17"/>
  <c r="BA103" i="17"/>
  <c r="BA102" i="17"/>
  <c r="BA101" i="17"/>
  <c r="BA100" i="17"/>
  <c r="BA99" i="17"/>
  <c r="BA98" i="17"/>
  <c r="BA97" i="17"/>
  <c r="BA96" i="17"/>
  <c r="BA95" i="17"/>
  <c r="BA94" i="17"/>
  <c r="BA93" i="17"/>
  <c r="BA92" i="17"/>
  <c r="BA91" i="17"/>
  <c r="BA88" i="17"/>
  <c r="BA87" i="17"/>
  <c r="BA60" i="17"/>
  <c r="BA57" i="17"/>
  <c r="BA56" i="17"/>
  <c r="BA47" i="17"/>
  <c r="BA45" i="17"/>
  <c r="BA41" i="17"/>
  <c r="BA39" i="17"/>
  <c r="BA37" i="17"/>
  <c r="BA26" i="17"/>
  <c r="AZ26" i="17"/>
  <c r="BA24" i="17"/>
  <c r="AZ24" i="17"/>
  <c r="BA23" i="17"/>
  <c r="AZ23" i="17"/>
  <c r="BA20" i="17"/>
  <c r="AZ20" i="17"/>
  <c r="BA19" i="17"/>
  <c r="BA18" i="17"/>
  <c r="BA17" i="17"/>
  <c r="AZ9" i="17"/>
  <c r="BA7" i="17"/>
  <c r="AZ7" i="17"/>
  <c r="BA2" i="17"/>
  <c r="BA80" i="17" s="1"/>
  <c r="AZ2" i="17"/>
  <c r="AZ64" i="17" s="1"/>
  <c r="AX113" i="17"/>
  <c r="AX111" i="17"/>
  <c r="AX87" i="17"/>
  <c r="AY85" i="17"/>
  <c r="AX85" i="17"/>
  <c r="AY84" i="17"/>
  <c r="AY83" i="17"/>
  <c r="AX83" i="17"/>
  <c r="AY82" i="17"/>
  <c r="AX82" i="17"/>
  <c r="AY81" i="17"/>
  <c r="AX81" i="17"/>
  <c r="AY77" i="17"/>
  <c r="AX77" i="17"/>
  <c r="AY66" i="17"/>
  <c r="AY68" i="17" s="1"/>
  <c r="AX66" i="17"/>
  <c r="AX68" i="17" s="1"/>
  <c r="AX60" i="17"/>
  <c r="AY58" i="17"/>
  <c r="AX57" i="17"/>
  <c r="AX56" i="17"/>
  <c r="AX54" i="17"/>
  <c r="AY51" i="17"/>
  <c r="AY52" i="17" s="1"/>
  <c r="AX51" i="17"/>
  <c r="AY48" i="17"/>
  <c r="AX47" i="17"/>
  <c r="AY46" i="17"/>
  <c r="AX45" i="17"/>
  <c r="AY43" i="17"/>
  <c r="AY49" i="17" s="1"/>
  <c r="AX43" i="17"/>
  <c r="AY42" i="17"/>
  <c r="AY40" i="17"/>
  <c r="AY38" i="17"/>
  <c r="AY25" i="17"/>
  <c r="AX25" i="17"/>
  <c r="AY21" i="17"/>
  <c r="AY15" i="17" s="1"/>
  <c r="AX18" i="17"/>
  <c r="AX17" i="17"/>
  <c r="AX15" i="17"/>
  <c r="AX29" i="17" s="1"/>
  <c r="AX14" i="17"/>
  <c r="AY11" i="17"/>
  <c r="AY13" i="17"/>
  <c r="AY8" i="17"/>
  <c r="AX8" i="17"/>
  <c r="AX10" i="17" s="1"/>
  <c r="BG52" i="38"/>
  <c r="BE52" i="38"/>
  <c r="BF46" i="38"/>
  <c r="BF45" i="38"/>
  <c r="BF44" i="38"/>
  <c r="BH44" i="38" s="1"/>
  <c r="BF43" i="38"/>
  <c r="BF41" i="38"/>
  <c r="BF38" i="38"/>
  <c r="BH38" i="38" s="1"/>
  <c r="BF37" i="38"/>
  <c r="BF36" i="38"/>
  <c r="BH36" i="38" s="1"/>
  <c r="BF35" i="38"/>
  <c r="BF32" i="38"/>
  <c r="BF31" i="38"/>
  <c r="BH31" i="38" s="1"/>
  <c r="BF30" i="38"/>
  <c r="BF29" i="38"/>
  <c r="BF28" i="38"/>
  <c r="BF27" i="38"/>
  <c r="BH27" i="38" s="1"/>
  <c r="BF26" i="38"/>
  <c r="BF25" i="38"/>
  <c r="BF24" i="38"/>
  <c r="BF23" i="38"/>
  <c r="BH23" i="38" s="1"/>
  <c r="BF22" i="38"/>
  <c r="BF21" i="38"/>
  <c r="BF20" i="38"/>
  <c r="BF19" i="38"/>
  <c r="BH19" i="38" s="1"/>
  <c r="BF14" i="38"/>
  <c r="BF13" i="38"/>
  <c r="BH13" i="38" s="1"/>
  <c r="BF11" i="38"/>
  <c r="BF10" i="38"/>
  <c r="BF9" i="38"/>
  <c r="BH9" i="38" s="1"/>
  <c r="BF8" i="38"/>
  <c r="BF7" i="38"/>
  <c r="BF3" i="38"/>
  <c r="BF51" i="38" s="1"/>
  <c r="BE3" i="38"/>
  <c r="BE51" i="38" s="1"/>
  <c r="BD94" i="38"/>
  <c r="BD93" i="38"/>
  <c r="BD92" i="38"/>
  <c r="BD91" i="38"/>
  <c r="BC90" i="38"/>
  <c r="BD89" i="38"/>
  <c r="BC88" i="38"/>
  <c r="BD86" i="38"/>
  <c r="BD85" i="38"/>
  <c r="BD84" i="38"/>
  <c r="BD83" i="38"/>
  <c r="BC82" i="38"/>
  <c r="BD80" i="38"/>
  <c r="BD79" i="38"/>
  <c r="BD78" i="38"/>
  <c r="BD77" i="38"/>
  <c r="BD76" i="38"/>
  <c r="BD75" i="38"/>
  <c r="BD74" i="38"/>
  <c r="BD73" i="38"/>
  <c r="BD72" i="38"/>
  <c r="BD71" i="38"/>
  <c r="BD70" i="38"/>
  <c r="BD69" i="38"/>
  <c r="BD68" i="38"/>
  <c r="BD67" i="38"/>
  <c r="BC66" i="38"/>
  <c r="BD62" i="38"/>
  <c r="BD61" i="38"/>
  <c r="BC60" i="38"/>
  <c r="BD59" i="38"/>
  <c r="BD58" i="38"/>
  <c r="BD57" i="38"/>
  <c r="BD56" i="38"/>
  <c r="BD55" i="38"/>
  <c r="BC54" i="38"/>
  <c r="BI52" i="38"/>
  <c r="BC52" i="38"/>
  <c r="BD51" i="38"/>
  <c r="BC51" i="38"/>
  <c r="BC46" i="38"/>
  <c r="BC45" i="38"/>
  <c r="BC44" i="38"/>
  <c r="BC43" i="38"/>
  <c r="BD42" i="38"/>
  <c r="BC41" i="38"/>
  <c r="BD40" i="38"/>
  <c r="BD88" i="38" s="1"/>
  <c r="BC38" i="38"/>
  <c r="BC37" i="38"/>
  <c r="BC36" i="38"/>
  <c r="BC35" i="38"/>
  <c r="BD34" i="38"/>
  <c r="BD82" i="38" s="1"/>
  <c r="BC32" i="38"/>
  <c r="BC31" i="38"/>
  <c r="BC30" i="38"/>
  <c r="BC29" i="38"/>
  <c r="BC28" i="38"/>
  <c r="BC27" i="38"/>
  <c r="BC26" i="38"/>
  <c r="AY66" i="11" s="1"/>
  <c r="AY67" i="11" s="1"/>
  <c r="BC25" i="38"/>
  <c r="BC24" i="38"/>
  <c r="BC23" i="38"/>
  <c r="BC22" i="38"/>
  <c r="AY77" i="8" s="1"/>
  <c r="BC21" i="38"/>
  <c r="AY69" i="7" s="1"/>
  <c r="AY70" i="7" s="1"/>
  <c r="BB26" i="59" s="1"/>
  <c r="BC20" i="38"/>
  <c r="BC19" i="38"/>
  <c r="BD18" i="38"/>
  <c r="BC14" i="38"/>
  <c r="BC13" i="38"/>
  <c r="BD12" i="38"/>
  <c r="BD60" i="38" s="1"/>
  <c r="BC11" i="38"/>
  <c r="BC10" i="38"/>
  <c r="BC9" i="38"/>
  <c r="BC8" i="38"/>
  <c r="BC7" i="38"/>
  <c r="BD6" i="38"/>
  <c r="BD54" i="38" s="1"/>
  <c r="BA73" i="26"/>
  <c r="AZ73" i="26"/>
  <c r="BA72" i="26"/>
  <c r="AZ72" i="26"/>
  <c r="BA71" i="26"/>
  <c r="AZ71" i="26"/>
  <c r="BA70" i="26"/>
  <c r="AZ70" i="26"/>
  <c r="BA69" i="26"/>
  <c r="AZ69" i="26"/>
  <c r="BA68" i="26"/>
  <c r="AZ68" i="26"/>
  <c r="BA67" i="26"/>
  <c r="AZ67" i="26"/>
  <c r="BA66" i="26"/>
  <c r="AZ66" i="26"/>
  <c r="BA65" i="26"/>
  <c r="AZ65" i="26"/>
  <c r="BA60" i="26"/>
  <c r="AZ60" i="26"/>
  <c r="BA59" i="26"/>
  <c r="BA55" i="26"/>
  <c r="AZ55" i="26"/>
  <c r="BA54" i="26"/>
  <c r="AZ54" i="26"/>
  <c r="BA50" i="26"/>
  <c r="AZ50" i="26"/>
  <c r="BA49" i="26"/>
  <c r="AZ49" i="26"/>
  <c r="BA48" i="26"/>
  <c r="AZ48" i="26"/>
  <c r="BA47" i="26"/>
  <c r="AZ47" i="26"/>
  <c r="BA46" i="26"/>
  <c r="AZ46" i="26"/>
  <c r="BA45" i="26"/>
  <c r="AZ45" i="26"/>
  <c r="BA44" i="26"/>
  <c r="AZ44" i="26"/>
  <c r="BA43" i="26"/>
  <c r="AZ43" i="26"/>
  <c r="BA39" i="26"/>
  <c r="BA38" i="26"/>
  <c r="AZ38" i="26"/>
  <c r="BA35" i="26"/>
  <c r="BA36" i="26" s="1"/>
  <c r="AZ35" i="26"/>
  <c r="AZ36" i="26" s="1"/>
  <c r="BA31" i="26"/>
  <c r="AZ31" i="26"/>
  <c r="BA30" i="26"/>
  <c r="AZ30" i="26"/>
  <c r="BA29" i="26"/>
  <c r="AZ29" i="26"/>
  <c r="BA28" i="26"/>
  <c r="AZ28" i="26"/>
  <c r="BA27" i="26"/>
  <c r="AZ27" i="26"/>
  <c r="BA26" i="26"/>
  <c r="AZ26" i="26"/>
  <c r="BA25" i="26"/>
  <c r="AZ25" i="26"/>
  <c r="BA24" i="26"/>
  <c r="AZ24" i="26"/>
  <c r="BA23" i="26"/>
  <c r="AZ23" i="26"/>
  <c r="BA22" i="26"/>
  <c r="AZ22" i="26"/>
  <c r="BA21" i="26"/>
  <c r="AZ21" i="26"/>
  <c r="BA20" i="26"/>
  <c r="AZ20" i="26"/>
  <c r="BA16" i="26"/>
  <c r="BA14" i="26"/>
  <c r="BA10" i="26"/>
  <c r="BA8" i="26"/>
  <c r="BA2" i="26"/>
  <c r="AZ2" i="26"/>
  <c r="AY88" i="26"/>
  <c r="AX88" i="26"/>
  <c r="AY74" i="26"/>
  <c r="AX74" i="26"/>
  <c r="AY61" i="26"/>
  <c r="AX59" i="26"/>
  <c r="AX84" i="17" s="1"/>
  <c r="AY57" i="26"/>
  <c r="AX57" i="26"/>
  <c r="AY56" i="26"/>
  <c r="AX56" i="26"/>
  <c r="AY51" i="26"/>
  <c r="AX51" i="26"/>
  <c r="AX133" i="26" s="1"/>
  <c r="AY36" i="26"/>
  <c r="AY37" i="26" s="1"/>
  <c r="AX36" i="26"/>
  <c r="AY32" i="26"/>
  <c r="AX32" i="26"/>
  <c r="AX16" i="26"/>
  <c r="AX14" i="26"/>
  <c r="AY11" i="26"/>
  <c r="AY12" i="26" s="1"/>
  <c r="AX10" i="26"/>
  <c r="AX8" i="26"/>
  <c r="AX11" i="26" s="1"/>
  <c r="BA27" i="15"/>
  <c r="BA29" i="15"/>
  <c r="BA24" i="15"/>
  <c r="AZ10" i="15"/>
  <c r="AY28" i="15"/>
  <c r="AY26" i="15"/>
  <c r="AY25" i="15"/>
  <c r="AY20" i="15"/>
  <c r="AX18" i="15"/>
  <c r="AY17" i="15"/>
  <c r="AX17" i="15"/>
  <c r="AY14" i="15"/>
  <c r="AX11" i="15"/>
  <c r="AX12" i="15" s="1"/>
  <c r="AY10" i="15"/>
  <c r="AY9" i="15"/>
  <c r="AX9" i="15"/>
  <c r="AY8" i="15"/>
  <c r="AX8" i="15"/>
  <c r="BA6" i="24"/>
  <c r="BA43" i="50"/>
  <c r="BA44" i="50"/>
  <c r="BA45" i="50"/>
  <c r="BA42" i="50"/>
  <c r="BA35" i="50"/>
  <c r="BA36" i="50"/>
  <c r="BA38" i="50"/>
  <c r="BA39" i="50"/>
  <c r="BA40" i="50"/>
  <c r="BA34" i="50"/>
  <c r="BA5" i="50"/>
  <c r="BA6" i="50"/>
  <c r="BA7" i="50"/>
  <c r="BA8" i="50"/>
  <c r="BA9" i="50"/>
  <c r="BA10" i="50"/>
  <c r="BA11" i="50"/>
  <c r="BA12" i="50"/>
  <c r="BA13" i="50"/>
  <c r="BA9" i="61" s="1"/>
  <c r="BA14" i="50"/>
  <c r="BA10" i="61" s="1"/>
  <c r="BA15" i="50"/>
  <c r="BA11" i="61" s="1"/>
  <c r="BA16" i="50"/>
  <c r="BA17" i="50"/>
  <c r="BA18" i="50"/>
  <c r="BA14" i="61" s="1"/>
  <c r="BA19" i="50"/>
  <c r="BA15" i="61" s="1"/>
  <c r="BA20" i="50"/>
  <c r="BA16" i="61" s="1"/>
  <c r="BA21" i="50"/>
  <c r="BA22" i="50"/>
  <c r="BA18" i="61" s="1"/>
  <c r="BA23" i="50"/>
  <c r="BA24" i="50"/>
  <c r="BA25" i="50"/>
  <c r="BA26" i="50"/>
  <c r="BA27" i="50"/>
  <c r="BA28" i="50"/>
  <c r="BA29" i="50"/>
  <c r="BA30" i="50"/>
  <c r="BA31" i="50"/>
  <c r="BA32" i="50"/>
  <c r="BA4" i="50"/>
  <c r="BC69" i="50"/>
  <c r="BC68" i="50"/>
  <c r="BC67" i="50"/>
  <c r="BC66" i="50"/>
  <c r="BE66" i="50" s="1"/>
  <c r="BC65" i="50"/>
  <c r="BC64" i="50"/>
  <c r="BC63" i="50"/>
  <c r="BC62" i="50"/>
  <c r="BC61" i="50"/>
  <c r="BC58" i="50"/>
  <c r="BC57" i="50"/>
  <c r="BC56" i="50"/>
  <c r="BC55" i="50"/>
  <c r="BC54" i="50"/>
  <c r="BE54" i="50" s="1"/>
  <c r="BG54" i="50" s="1"/>
  <c r="BC53" i="50"/>
  <c r="BC52" i="50"/>
  <c r="BC51" i="50"/>
  <c r="BE51" i="50" s="1"/>
  <c r="BG51" i="50" s="1"/>
  <c r="BC50" i="50"/>
  <c r="BC49" i="50"/>
  <c r="BC48" i="50"/>
  <c r="BC47" i="50"/>
  <c r="AU5" i="52"/>
  <c r="AV12" i="52"/>
  <c r="AU12" i="52"/>
  <c r="AV11" i="52"/>
  <c r="AU11" i="52"/>
  <c r="AV10" i="52"/>
  <c r="AU10" i="52"/>
  <c r="AV9" i="52"/>
  <c r="AU9" i="52"/>
  <c r="AV7" i="52"/>
  <c r="AU7" i="52"/>
  <c r="AV6" i="52"/>
  <c r="AU6" i="52"/>
  <c r="AV5" i="52"/>
  <c r="AT13" i="52"/>
  <c r="AS13" i="52"/>
  <c r="AT8" i="52"/>
  <c r="AS8" i="52"/>
  <c r="BA17" i="61"/>
  <c r="BA13" i="61"/>
  <c r="BC5" i="45"/>
  <c r="BB5" i="45"/>
  <c r="BC69" i="45"/>
  <c r="BC68" i="45"/>
  <c r="BC73" i="45" s="1"/>
  <c r="BC64" i="45"/>
  <c r="BC63" i="45"/>
  <c r="BC53" i="45"/>
  <c r="BB53" i="45"/>
  <c r="BC51" i="45"/>
  <c r="BB51" i="45"/>
  <c r="BC6" i="45"/>
  <c r="BC2" i="45"/>
  <c r="BB2" i="45"/>
  <c r="BA74" i="45"/>
  <c r="BA73" i="45"/>
  <c r="BA71" i="45"/>
  <c r="BA65" i="45"/>
  <c r="BA72" i="45" s="1"/>
  <c r="BA54" i="45"/>
  <c r="AZ54" i="45"/>
  <c r="BA52" i="45"/>
  <c r="BC52" i="59" s="1"/>
  <c r="AZ52" i="45"/>
  <c r="BB52" i="59" s="1"/>
  <c r="BA49" i="45"/>
  <c r="AZ49" i="45"/>
  <c r="AZ50" i="45" s="1"/>
  <c r="BA44" i="45"/>
  <c r="BA76" i="45" s="1"/>
  <c r="BA61" i="45"/>
  <c r="BC53" i="59" s="1"/>
  <c r="AZ42" i="45"/>
  <c r="AZ61" i="45" s="1"/>
  <c r="BB53" i="59" s="1"/>
  <c r="BB5" i="11"/>
  <c r="BB81" i="11" s="1"/>
  <c r="BB78" i="11"/>
  <c r="BB83" i="11" s="1"/>
  <c r="BB74" i="11"/>
  <c r="BB73" i="11"/>
  <c r="BB63" i="11"/>
  <c r="BA63" i="11"/>
  <c r="BB61" i="11"/>
  <c r="BA61" i="11"/>
  <c r="BB7" i="11"/>
  <c r="BA5" i="11"/>
  <c r="BA65" i="11" s="1"/>
  <c r="BB2" i="11"/>
  <c r="BA2" i="11"/>
  <c r="AZ83" i="11"/>
  <c r="AZ81" i="11"/>
  <c r="AZ75" i="11"/>
  <c r="AZ82" i="11" s="1"/>
  <c r="AZ64" i="11"/>
  <c r="AY64" i="11"/>
  <c r="AZ62" i="11"/>
  <c r="BC48" i="59" s="1"/>
  <c r="AY62" i="11"/>
  <c r="BB48" i="59" s="1"/>
  <c r="AZ59" i="11"/>
  <c r="AZ60" i="11" s="1"/>
  <c r="AY59" i="11"/>
  <c r="AY60" i="11" s="1"/>
  <c r="AZ56" i="11"/>
  <c r="AZ54" i="11"/>
  <c r="AZ85" i="11" s="1"/>
  <c r="AZ52" i="11"/>
  <c r="AZ84" i="11" s="1"/>
  <c r="AY52" i="11"/>
  <c r="AY53" i="11" s="1"/>
  <c r="AY55" i="11" s="1"/>
  <c r="BB47" i="59" s="1"/>
  <c r="BB5" i="10"/>
  <c r="BA5" i="10"/>
  <c r="BC65" i="45" l="1"/>
  <c r="BB75" i="11"/>
  <c r="BB82" i="11" s="1"/>
  <c r="AV13" i="52"/>
  <c r="AY129" i="10"/>
  <c r="AY130" i="10" s="1"/>
  <c r="BF62" i="38"/>
  <c r="BF70" i="38"/>
  <c r="BF74" i="38"/>
  <c r="BF78" i="38"/>
  <c r="BF91" i="38"/>
  <c r="BF58" i="38"/>
  <c r="BF85" i="38"/>
  <c r="AX37" i="26"/>
  <c r="AX128" i="26"/>
  <c r="AZ85" i="17"/>
  <c r="AZ56" i="45"/>
  <c r="AZ57" i="45" s="1"/>
  <c r="BF55" i="38"/>
  <c r="BF59" i="38"/>
  <c r="BF68" i="38"/>
  <c r="BF72" i="38"/>
  <c r="BF76" i="38"/>
  <c r="BF80" i="38"/>
  <c r="BF93" i="38"/>
  <c r="BA82" i="17"/>
  <c r="BA84" i="17"/>
  <c r="BF56" i="38"/>
  <c r="BF69" i="38"/>
  <c r="BF73" i="38"/>
  <c r="BF77" i="38"/>
  <c r="BF83" i="38"/>
  <c r="BF89" i="38"/>
  <c r="BF94" i="38"/>
  <c r="AZ70" i="17"/>
  <c r="AZ79" i="17"/>
  <c r="AZ13" i="17"/>
  <c r="AZ72" i="17"/>
  <c r="AZ74" i="17"/>
  <c r="AZ12" i="17"/>
  <c r="AZ14" i="17" s="1"/>
  <c r="BA64" i="17"/>
  <c r="AZ76" i="17"/>
  <c r="BA46" i="17"/>
  <c r="BA48" i="17"/>
  <c r="BA42" i="17"/>
  <c r="BA38" i="17"/>
  <c r="BA11" i="17"/>
  <c r="AX112" i="17"/>
  <c r="AX115" i="17"/>
  <c r="BA11" i="26"/>
  <c r="AV8" i="52"/>
  <c r="AU13" i="52"/>
  <c r="AU8" i="52"/>
  <c r="BA37" i="26"/>
  <c r="BA83" i="17"/>
  <c r="BA85" i="17"/>
  <c r="BA56" i="26"/>
  <c r="AX61" i="26"/>
  <c r="AZ82" i="17"/>
  <c r="AZ83" i="17"/>
  <c r="BC71" i="45"/>
  <c r="BB55" i="45"/>
  <c r="BB54" i="11"/>
  <c r="BB64" i="11"/>
  <c r="AY22" i="36"/>
  <c r="BA12" i="61"/>
  <c r="AY130" i="6"/>
  <c r="AY156" i="6"/>
  <c r="AY94" i="9"/>
  <c r="BH46" i="38"/>
  <c r="BF92" i="38"/>
  <c r="BF86" i="38"/>
  <c r="BH35" i="38"/>
  <c r="BF79" i="38"/>
  <c r="BH26" i="38"/>
  <c r="BF71" i="38"/>
  <c r="BF61" i="38"/>
  <c r="BF57" i="38"/>
  <c r="BH7" i="38"/>
  <c r="AX14" i="15"/>
  <c r="AX13" i="15"/>
  <c r="BA58" i="17"/>
  <c r="BA59" i="17" s="1"/>
  <c r="BA40" i="17"/>
  <c r="BA21" i="17"/>
  <c r="AZ65" i="17"/>
  <c r="BA67" i="17"/>
  <c r="BA70" i="17"/>
  <c r="BA72" i="17"/>
  <c r="BA74" i="17"/>
  <c r="BA76" i="17"/>
  <c r="BA79" i="17"/>
  <c r="BA65" i="17"/>
  <c r="AZ71" i="17"/>
  <c r="AZ73" i="17"/>
  <c r="AZ75" i="17"/>
  <c r="AZ80" i="17"/>
  <c r="BA71" i="17"/>
  <c r="BA73" i="17"/>
  <c r="BA75" i="17"/>
  <c r="AX21" i="17"/>
  <c r="AX32" i="17" s="1"/>
  <c r="AY33" i="17"/>
  <c r="AY31" i="17"/>
  <c r="AY30" i="17"/>
  <c r="AY29" i="17"/>
  <c r="AY32" i="17"/>
  <c r="AY53" i="17"/>
  <c r="AY54" i="17" s="1"/>
  <c r="AY110" i="17"/>
  <c r="AY50" i="17"/>
  <c r="AY111" i="17" s="1"/>
  <c r="AY10" i="17"/>
  <c r="AX49" i="17"/>
  <c r="AX58" i="17"/>
  <c r="AY61" i="17"/>
  <c r="AY12" i="17"/>
  <c r="AY113" i="17" s="1"/>
  <c r="AY44" i="17"/>
  <c r="AY59" i="17"/>
  <c r="AY112" i="17"/>
  <c r="BH45" i="38"/>
  <c r="BH43" i="38"/>
  <c r="BH41" i="38"/>
  <c r="BD17" i="38"/>
  <c r="BH37" i="38"/>
  <c r="BF84" i="38"/>
  <c r="BF67" i="38"/>
  <c r="BF75" i="38"/>
  <c r="BH21" i="38"/>
  <c r="BH25" i="38"/>
  <c r="BH29" i="38"/>
  <c r="BH22" i="38"/>
  <c r="BH30" i="38"/>
  <c r="BH20" i="38"/>
  <c r="BH24" i="38"/>
  <c r="BH28" i="38"/>
  <c r="BH32" i="38"/>
  <c r="BH14" i="38"/>
  <c r="BH10" i="38"/>
  <c r="BH11" i="38"/>
  <c r="BH8" i="38"/>
  <c r="BC87" i="38"/>
  <c r="BC64" i="38" s="1"/>
  <c r="BC63" i="38"/>
  <c r="BD15" i="38"/>
  <c r="BD63" i="38" s="1"/>
  <c r="BD39" i="38"/>
  <c r="BC42" i="38"/>
  <c r="BC34" i="38"/>
  <c r="BC40" i="38"/>
  <c r="BD87" i="38"/>
  <c r="BC18" i="38"/>
  <c r="BD66" i="38"/>
  <c r="BD90" i="38"/>
  <c r="BC12" i="38"/>
  <c r="BC6" i="38"/>
  <c r="BA74" i="26"/>
  <c r="BA61" i="26"/>
  <c r="BA51" i="26"/>
  <c r="BA40" i="26"/>
  <c r="BA32" i="26"/>
  <c r="BA17" i="26"/>
  <c r="AZ74" i="26"/>
  <c r="AZ57" i="26"/>
  <c r="AZ51" i="26"/>
  <c r="AZ32" i="26"/>
  <c r="AZ40" i="26"/>
  <c r="AZ37" i="26"/>
  <c r="BA18" i="26"/>
  <c r="BA12" i="26"/>
  <c r="BA53" i="26"/>
  <c r="BA57" i="26"/>
  <c r="AZ56" i="26"/>
  <c r="AY18" i="26"/>
  <c r="AX40" i="26"/>
  <c r="AY17" i="26"/>
  <c r="AX41" i="26"/>
  <c r="AX12" i="26"/>
  <c r="AX18" i="26"/>
  <c r="AX17" i="26"/>
  <c r="AY40" i="26"/>
  <c r="AY41" i="26"/>
  <c r="AX15" i="15"/>
  <c r="AY30" i="15"/>
  <c r="AZ76" i="11"/>
  <c r="AZ86" i="11"/>
  <c r="BB52" i="11"/>
  <c r="BB53" i="11" s="1"/>
  <c r="BB55" i="11" s="1"/>
  <c r="BE47" i="59" s="1"/>
  <c r="AV14" i="52"/>
  <c r="AS14" i="52"/>
  <c r="AT14" i="52"/>
  <c r="BA66" i="45"/>
  <c r="BC54" i="45"/>
  <c r="BC52" i="45"/>
  <c r="BE52" i="59" s="1"/>
  <c r="BB52" i="45"/>
  <c r="BD52" i="59" s="1"/>
  <c r="BB54" i="45"/>
  <c r="BC44" i="45"/>
  <c r="BC67" i="45" s="1"/>
  <c r="BC72" i="45"/>
  <c r="BC66" i="45"/>
  <c r="BC55" i="45"/>
  <c r="BA43" i="45"/>
  <c r="BA46" i="45" s="1"/>
  <c r="BA67" i="45"/>
  <c r="BA75" i="45"/>
  <c r="BA77" i="45" s="1"/>
  <c r="BA50" i="45"/>
  <c r="AZ43" i="45"/>
  <c r="BB56" i="11"/>
  <c r="BB77" i="11"/>
  <c r="BB85" i="11"/>
  <c r="BB65" i="11"/>
  <c r="BB76" i="11"/>
  <c r="BA62" i="11"/>
  <c r="BD48" i="59" s="1"/>
  <c r="BA64" i="11"/>
  <c r="BB62" i="11"/>
  <c r="BE48" i="59" s="1"/>
  <c r="AZ88" i="11"/>
  <c r="AZ53" i="11"/>
  <c r="AZ55" i="11" s="1"/>
  <c r="BC47" i="59" s="1"/>
  <c r="AZ71" i="11"/>
  <c r="BC49" i="59" s="1"/>
  <c r="AZ77" i="11"/>
  <c r="AY71" i="11"/>
  <c r="BB49" i="59" s="1"/>
  <c r="BD70" i="50"/>
  <c r="BD60" i="50"/>
  <c r="BD46" i="50"/>
  <c r="BD41" i="50"/>
  <c r="BD33" i="50"/>
  <c r="BB60" i="50"/>
  <c r="BA70" i="50"/>
  <c r="BA60" i="50"/>
  <c r="BB141" i="10"/>
  <c r="BB137" i="10"/>
  <c r="BB136" i="10"/>
  <c r="BB126" i="10"/>
  <c r="BA126" i="10"/>
  <c r="BB124" i="10"/>
  <c r="BA124" i="10"/>
  <c r="BB7" i="10"/>
  <c r="BB2" i="10"/>
  <c r="BA2" i="10"/>
  <c r="AZ146" i="10"/>
  <c r="AZ144" i="10"/>
  <c r="AZ138" i="10"/>
  <c r="AZ145" i="10" s="1"/>
  <c r="AZ127" i="10"/>
  <c r="AY127" i="10"/>
  <c r="AZ125" i="10"/>
  <c r="BC44" i="59" s="1"/>
  <c r="AY125" i="10"/>
  <c r="BB44" i="59" s="1"/>
  <c r="AZ122" i="10"/>
  <c r="AZ123" i="10" s="1"/>
  <c r="AY122" i="10"/>
  <c r="AY123" i="10" s="1"/>
  <c r="AZ117" i="10"/>
  <c r="AZ140" i="10" s="1"/>
  <c r="AY115" i="10"/>
  <c r="AY134" i="10" s="1"/>
  <c r="BB45" i="59" s="1"/>
  <c r="BB121" i="9"/>
  <c r="BB120" i="9"/>
  <c r="BB119" i="9"/>
  <c r="BB118" i="9"/>
  <c r="BB117" i="9"/>
  <c r="BB115" i="9"/>
  <c r="BB114" i="9"/>
  <c r="BB113" i="9"/>
  <c r="BB112" i="9"/>
  <c r="BB111" i="9"/>
  <c r="BB110" i="9"/>
  <c r="BB109" i="9"/>
  <c r="BB108" i="9"/>
  <c r="BB107" i="9"/>
  <c r="BB106" i="9"/>
  <c r="BB105" i="9"/>
  <c r="BB104" i="9"/>
  <c r="BB103" i="9"/>
  <c r="BB102" i="9"/>
  <c r="BB100" i="9"/>
  <c r="BA100" i="9"/>
  <c r="BB87" i="9"/>
  <c r="BA14" i="15" s="1"/>
  <c r="BB83" i="9"/>
  <c r="BB67" i="9"/>
  <c r="BB66" i="9"/>
  <c r="BB133" i="9" s="1"/>
  <c r="BB65" i="9"/>
  <c r="BB64" i="9"/>
  <c r="BB63" i="9"/>
  <c r="BB62" i="9"/>
  <c r="BB60" i="9"/>
  <c r="BB59" i="9"/>
  <c r="BA59" i="9"/>
  <c r="BB58" i="9"/>
  <c r="BB57" i="9"/>
  <c r="BB55" i="9"/>
  <c r="BA55" i="9"/>
  <c r="BB54" i="9"/>
  <c r="BB43" i="9"/>
  <c r="BB41" i="9"/>
  <c r="BA41" i="9"/>
  <c r="BB36" i="9"/>
  <c r="BB35" i="9"/>
  <c r="BB33" i="9"/>
  <c r="BB32" i="9"/>
  <c r="BA32" i="9"/>
  <c r="BB30" i="9"/>
  <c r="BB27" i="9"/>
  <c r="BB128" i="9" s="1"/>
  <c r="BB26" i="9"/>
  <c r="BB127" i="9" s="1"/>
  <c r="BB25" i="9"/>
  <c r="BB126" i="9" s="1"/>
  <c r="BB23" i="9"/>
  <c r="BB96" i="9" s="1"/>
  <c r="BA23" i="9"/>
  <c r="BA96" i="9" s="1"/>
  <c r="BB21" i="9"/>
  <c r="BB20" i="9"/>
  <c r="BB19" i="9"/>
  <c r="BB18" i="9"/>
  <c r="BA18" i="9"/>
  <c r="BB13" i="9"/>
  <c r="BB12" i="9"/>
  <c r="BB11" i="9"/>
  <c r="BB9" i="9"/>
  <c r="BB125" i="9" s="1"/>
  <c r="BB8" i="9"/>
  <c r="BB124" i="9" s="1"/>
  <c r="BB7" i="9"/>
  <c r="BB123" i="9" s="1"/>
  <c r="BB2" i="9"/>
  <c r="BA2" i="9"/>
  <c r="BA98" i="9" s="1"/>
  <c r="AZ133" i="9"/>
  <c r="AZ88" i="9"/>
  <c r="AY71" i="9"/>
  <c r="AZ56" i="9"/>
  <c r="AY46" i="9"/>
  <c r="AZ45" i="9"/>
  <c r="AZ39" i="9"/>
  <c r="AZ38" i="9"/>
  <c r="AZ46" i="9" s="1"/>
  <c r="AZ37" i="9"/>
  <c r="AZ34" i="9"/>
  <c r="AZ28" i="9"/>
  <c r="AZ29" i="9" s="1"/>
  <c r="AY27" i="9"/>
  <c r="AY25" i="9"/>
  <c r="AZ22" i="9"/>
  <c r="AZ10" i="9"/>
  <c r="AZ5" i="9"/>
  <c r="AY5" i="9"/>
  <c r="AY33" i="22" s="1"/>
  <c r="AZ117" i="8"/>
  <c r="AZ118" i="8" s="1"/>
  <c r="AZ105" i="8"/>
  <c r="AZ106" i="8" s="1"/>
  <c r="AZ85" i="8"/>
  <c r="AZ89" i="8" s="1"/>
  <c r="AZ137" i="9" s="1"/>
  <c r="AZ80" i="8"/>
  <c r="AZ59" i="8"/>
  <c r="AZ60" i="8" s="1"/>
  <c r="AZ57" i="8"/>
  <c r="AZ58" i="8" s="1"/>
  <c r="AZ9" i="49" s="1"/>
  <c r="AZ11" i="49" s="1"/>
  <c r="AZ13" i="49" s="1"/>
  <c r="AZ54" i="8"/>
  <c r="AZ51" i="8"/>
  <c r="AZ55" i="8" s="1"/>
  <c r="AZ25" i="8"/>
  <c r="AY20" i="8"/>
  <c r="AY18" i="8"/>
  <c r="AZ16" i="8"/>
  <c r="AY16" i="8"/>
  <c r="AZ14" i="8"/>
  <c r="AZ13" i="8"/>
  <c r="AY13" i="8"/>
  <c r="AZ12" i="8"/>
  <c r="AY12" i="8"/>
  <c r="AZ5" i="8"/>
  <c r="AY5" i="8"/>
  <c r="AY78" i="8" s="1"/>
  <c r="BB115" i="8"/>
  <c r="BB112" i="8"/>
  <c r="BB109" i="8"/>
  <c r="BB103" i="8"/>
  <c r="BB16" i="49" s="1"/>
  <c r="BB17" i="49" s="1"/>
  <c r="BB100" i="8"/>
  <c r="BB97" i="8"/>
  <c r="BB84" i="8"/>
  <c r="BB71" i="8"/>
  <c r="BB73" i="8" s="1"/>
  <c r="BA67" i="8"/>
  <c r="BD32" i="59" s="1"/>
  <c r="BA54" i="8"/>
  <c r="BB53" i="8"/>
  <c r="BB31" i="8"/>
  <c r="BB10" i="49" s="1"/>
  <c r="BA31" i="8"/>
  <c r="BA10" i="49" s="1"/>
  <c r="BB29" i="8"/>
  <c r="BB28" i="8"/>
  <c r="BB27" i="8"/>
  <c r="BB26" i="8"/>
  <c r="BB24" i="8"/>
  <c r="BB23" i="8"/>
  <c r="BB22" i="8"/>
  <c r="BB19" i="8"/>
  <c r="BA19" i="8"/>
  <c r="BB18" i="8"/>
  <c r="BB17" i="8"/>
  <c r="BA8" i="15" s="1"/>
  <c r="BA17" i="8"/>
  <c r="AZ8" i="15" s="1"/>
  <c r="BA14" i="8"/>
  <c r="BB10" i="8"/>
  <c r="BA10" i="8"/>
  <c r="BB9" i="8"/>
  <c r="BA9" i="8"/>
  <c r="BB8" i="8"/>
  <c r="BA8" i="8"/>
  <c r="BB7" i="8"/>
  <c r="BA7" i="8"/>
  <c r="BB2" i="8"/>
  <c r="BA2" i="8"/>
  <c r="BB37" i="7"/>
  <c r="BB12" i="7"/>
  <c r="BA6" i="7"/>
  <c r="BB61" i="7"/>
  <c r="BA61" i="7"/>
  <c r="BB59" i="7"/>
  <c r="BA59" i="7"/>
  <c r="BB55" i="7"/>
  <c r="BB53" i="7"/>
  <c r="BA53" i="7"/>
  <c r="BB52" i="7"/>
  <c r="BB54" i="7" s="1"/>
  <c r="BA52" i="7"/>
  <c r="BB38" i="7"/>
  <c r="BA38" i="7"/>
  <c r="BA37" i="7"/>
  <c r="BB36" i="7"/>
  <c r="BA36" i="7"/>
  <c r="BB35" i="7"/>
  <c r="BA35" i="7"/>
  <c r="BB34" i="7"/>
  <c r="BA34" i="7"/>
  <c r="BB33" i="7"/>
  <c r="BB44" i="7" s="1"/>
  <c r="BB82" i="7" s="1"/>
  <c r="BA33" i="7"/>
  <c r="BB32" i="7"/>
  <c r="BA32" i="7"/>
  <c r="BB31" i="7"/>
  <c r="BB42" i="7" s="1"/>
  <c r="BA31" i="7"/>
  <c r="BB15" i="7"/>
  <c r="BB27" i="7" s="1"/>
  <c r="BB77" i="7" s="1"/>
  <c r="BA15" i="7"/>
  <c r="BB14" i="7"/>
  <c r="BA14" i="7"/>
  <c r="BB13" i="7"/>
  <c r="BB25" i="7" s="1"/>
  <c r="BB80" i="7" s="1"/>
  <c r="BA13" i="7"/>
  <c r="BA12" i="7"/>
  <c r="BB11" i="7"/>
  <c r="BA11" i="7"/>
  <c r="BB10" i="7"/>
  <c r="BA10" i="7"/>
  <c r="BB9" i="7"/>
  <c r="BA9" i="7"/>
  <c r="BB8" i="7"/>
  <c r="BA8" i="7"/>
  <c r="BB7" i="7"/>
  <c r="BA7" i="7"/>
  <c r="BB6" i="7"/>
  <c r="BB2" i="7"/>
  <c r="BA2" i="7"/>
  <c r="AZ125" i="7"/>
  <c r="AZ127" i="7" s="1"/>
  <c r="AZ128" i="7" s="1"/>
  <c r="AZ119" i="7"/>
  <c r="AZ121" i="7" s="1"/>
  <c r="AZ122" i="7" s="1"/>
  <c r="BE27" i="39"/>
  <c r="BE21" i="39"/>
  <c r="BE16" i="39"/>
  <c r="BC4" i="39"/>
  <c r="BC34" i="39"/>
  <c r="BC33" i="39"/>
  <c r="BC32" i="39"/>
  <c r="BC31" i="39"/>
  <c r="BC30" i="39"/>
  <c r="BC29" i="39"/>
  <c r="BC28" i="39"/>
  <c r="BC25" i="39"/>
  <c r="BC24" i="39"/>
  <c r="BC23" i="39"/>
  <c r="BC22" i="39"/>
  <c r="BC19" i="39"/>
  <c r="BC18" i="39"/>
  <c r="BC17" i="39"/>
  <c r="BC13" i="39"/>
  <c r="BC12" i="39"/>
  <c r="BC11" i="39"/>
  <c r="BC10" i="39"/>
  <c r="BC9" i="39"/>
  <c r="BC8" i="39"/>
  <c r="BC7" i="39"/>
  <c r="BC6" i="39"/>
  <c r="BC5" i="39"/>
  <c r="BA14" i="39"/>
  <c r="AM89" i="6"/>
  <c r="Y89" i="6"/>
  <c r="BA61" i="17" l="1"/>
  <c r="AZ45" i="45"/>
  <c r="BB51" i="59" s="1"/>
  <c r="AZ46" i="45"/>
  <c r="AY95" i="9"/>
  <c r="AY28" i="8"/>
  <c r="AY5" i="49"/>
  <c r="AY46" i="8"/>
  <c r="AY22" i="8"/>
  <c r="AY7" i="49" s="1"/>
  <c r="AY24" i="8"/>
  <c r="AY16" i="49" s="1"/>
  <c r="AY17" i="49" s="1"/>
  <c r="AY23" i="8"/>
  <c r="AY8" i="49" s="1"/>
  <c r="AY21" i="22"/>
  <c r="AY7" i="22"/>
  <c r="BB63" i="22"/>
  <c r="BB65" i="22" s="1"/>
  <c r="BB66" i="22" s="1"/>
  <c r="BF63" i="22"/>
  <c r="BB138" i="10"/>
  <c r="BB145" i="10" s="1"/>
  <c r="BB57" i="11"/>
  <c r="AU14" i="52"/>
  <c r="AZ57" i="11"/>
  <c r="AZ40" i="8"/>
  <c r="AZ5" i="49"/>
  <c r="AZ46" i="8"/>
  <c r="AZ78" i="8"/>
  <c r="AZ33" i="22"/>
  <c r="AZ95" i="9"/>
  <c r="BB58" i="22"/>
  <c r="BB60" i="22" s="1"/>
  <c r="BB61" i="22" s="1"/>
  <c r="BF58" i="22"/>
  <c r="BA45" i="45"/>
  <c r="BC51" i="59" s="1"/>
  <c r="BA47" i="45"/>
  <c r="AY15" i="15"/>
  <c r="AY16" i="15" s="1"/>
  <c r="BA81" i="17"/>
  <c r="AZ81" i="17"/>
  <c r="AZ66" i="17"/>
  <c r="AZ68" i="17" s="1"/>
  <c r="AX132" i="26"/>
  <c r="AX125" i="26"/>
  <c r="AY23" i="36"/>
  <c r="BB84" i="11"/>
  <c r="BB88" i="11" s="1"/>
  <c r="BB71" i="11"/>
  <c r="BE49" i="59" s="1"/>
  <c r="BA19" i="61"/>
  <c r="BD16" i="38"/>
  <c r="BD64" i="38" s="1"/>
  <c r="BD65" i="38"/>
  <c r="AZ26" i="36"/>
  <c r="AY66" i="9"/>
  <c r="AY22" i="9"/>
  <c r="AX90" i="26"/>
  <c r="BB62" i="7"/>
  <c r="BB46" i="7"/>
  <c r="BB48" i="7"/>
  <c r="BA16" i="7"/>
  <c r="BA62" i="7"/>
  <c r="AZ52" i="8"/>
  <c r="BC14" i="39"/>
  <c r="BB8" i="49"/>
  <c r="BB7" i="49"/>
  <c r="BA77" i="17"/>
  <c r="BA66" i="17"/>
  <c r="BA68" i="17" s="1"/>
  <c r="AZ15" i="8"/>
  <c r="AZ91" i="9"/>
  <c r="AY90" i="26"/>
  <c r="AZ37" i="8"/>
  <c r="AZ77" i="17"/>
  <c r="AY115" i="17"/>
  <c r="AX31" i="17"/>
  <c r="AX33" i="17"/>
  <c r="AX30" i="17"/>
  <c r="AY114" i="17"/>
  <c r="AX61" i="17"/>
  <c r="AX59" i="17"/>
  <c r="AY14" i="17"/>
  <c r="AX53" i="17"/>
  <c r="AX110" i="17"/>
  <c r="AX114" i="17" s="1"/>
  <c r="BC39" i="38"/>
  <c r="BC15" i="38"/>
  <c r="BC17" i="38"/>
  <c r="BC76" i="45"/>
  <c r="BA79" i="45"/>
  <c r="BB86" i="11"/>
  <c r="BB119" i="7"/>
  <c r="BB121" i="7" s="1"/>
  <c r="BB122" i="7" s="1"/>
  <c r="BB21" i="7"/>
  <c r="BB23" i="7"/>
  <c r="BB78" i="7" s="1"/>
  <c r="BB125" i="7"/>
  <c r="BB127" i="7" s="1"/>
  <c r="BB128" i="7" s="1"/>
  <c r="BA54" i="7"/>
  <c r="BA21" i="7" s="1"/>
  <c r="AY15" i="8"/>
  <c r="AY39" i="8"/>
  <c r="AZ43" i="8"/>
  <c r="AY57" i="9"/>
  <c r="AY5" i="26"/>
  <c r="BB39" i="9"/>
  <c r="BC70" i="50"/>
  <c r="BB146" i="10"/>
  <c r="AZ139" i="10"/>
  <c r="BB127" i="10"/>
  <c r="BA46" i="50"/>
  <c r="BA41" i="50"/>
  <c r="BA127" i="10"/>
  <c r="BB117" i="10"/>
  <c r="BB140" i="10" s="1"/>
  <c r="BB144" i="10"/>
  <c r="BA128" i="10"/>
  <c r="BB128" i="10"/>
  <c r="BB125" i="10"/>
  <c r="BE44" i="59" s="1"/>
  <c r="BB139" i="10"/>
  <c r="BA125" i="10"/>
  <c r="BD44" i="59" s="1"/>
  <c r="AY116" i="10"/>
  <c r="AY118" i="10" s="1"/>
  <c r="BB43" i="59" s="1"/>
  <c r="AZ115" i="10"/>
  <c r="AZ134" i="10" s="1"/>
  <c r="BC45" i="59" s="1"/>
  <c r="AZ148" i="10"/>
  <c r="AZ135" i="9"/>
  <c r="AZ136" i="9" s="1"/>
  <c r="BB37" i="9"/>
  <c r="BB38" i="9"/>
  <c r="AZ40" i="9"/>
  <c r="AY28" i="9"/>
  <c r="AY83" i="9" s="1"/>
  <c r="BB135" i="9"/>
  <c r="BB136" i="9" s="1"/>
  <c r="BB10" i="9"/>
  <c r="BB28" i="9"/>
  <c r="BB29" i="9" s="1"/>
  <c r="BB34" i="9"/>
  <c r="BB56" i="9"/>
  <c r="BA50" i="9"/>
  <c r="BB50" i="9"/>
  <c r="BB88" i="9"/>
  <c r="AZ14" i="9"/>
  <c r="AY30" i="9"/>
  <c r="AY86" i="9"/>
  <c r="AZ85" i="9"/>
  <c r="AY54" i="9"/>
  <c r="AY87" i="9"/>
  <c r="AY90" i="9"/>
  <c r="AY61" i="9"/>
  <c r="AY58" i="9"/>
  <c r="AY60" i="9"/>
  <c r="AY62" i="9"/>
  <c r="AY65" i="9"/>
  <c r="AY64" i="9"/>
  <c r="AZ89" i="9"/>
  <c r="AY18" i="15" s="1"/>
  <c r="AY7" i="9"/>
  <c r="AY63" i="9"/>
  <c r="AY67" i="9"/>
  <c r="AZ47" i="9"/>
  <c r="AZ84" i="9"/>
  <c r="AZ63" i="8"/>
  <c r="AZ32" i="8"/>
  <c r="AZ34" i="8"/>
  <c r="AZ64" i="8"/>
  <c r="BB105" i="8"/>
  <c r="BB106" i="8" s="1"/>
  <c r="AY29" i="8"/>
  <c r="AZ36" i="8"/>
  <c r="AZ38" i="8"/>
  <c r="AZ41" i="8"/>
  <c r="AZ47" i="8" s="1"/>
  <c r="AZ68" i="8"/>
  <c r="BC33" i="59" s="1"/>
  <c r="BB117" i="8"/>
  <c r="BB118" i="8" s="1"/>
  <c r="AY26" i="8"/>
  <c r="AZ42" i="8"/>
  <c r="AY71" i="8"/>
  <c r="AZ87" i="8"/>
  <c r="AZ92" i="8" s="1"/>
  <c r="AY27" i="8"/>
  <c r="AZ56" i="8"/>
  <c r="AZ62" i="8" s="1"/>
  <c r="AZ72" i="8"/>
  <c r="BB67" i="8"/>
  <c r="BE32" i="59" s="1"/>
  <c r="BB25" i="8"/>
  <c r="AZ102" i="7"/>
  <c r="BB104" i="7"/>
  <c r="BB105" i="7" s="1"/>
  <c r="BB43" i="7"/>
  <c r="BB45" i="7"/>
  <c r="BB65" i="7"/>
  <c r="BB49" i="7"/>
  <c r="BA68" i="7"/>
  <c r="BD21" i="59" s="1"/>
  <c r="BA26" i="7"/>
  <c r="BA83" i="7" s="1"/>
  <c r="BA24" i="7"/>
  <c r="BA79" i="7" s="1"/>
  <c r="BA20" i="7"/>
  <c r="BA76" i="7" s="1"/>
  <c r="BD24" i="59" s="1"/>
  <c r="BA18" i="7"/>
  <c r="BB26" i="7"/>
  <c r="BB83" i="7" s="1"/>
  <c r="BB24" i="7"/>
  <c r="BB79" i="7" s="1"/>
  <c r="BB22" i="7"/>
  <c r="BB81" i="7" s="1"/>
  <c r="BB20" i="7"/>
  <c r="BB18" i="7"/>
  <c r="BB68" i="7"/>
  <c r="BE21" i="59" s="1"/>
  <c r="BB63" i="7"/>
  <c r="BB56" i="7"/>
  <c r="BA43" i="7"/>
  <c r="BA45" i="7"/>
  <c r="BA65" i="7"/>
  <c r="BA49" i="7"/>
  <c r="BB16" i="7"/>
  <c r="BB19" i="7"/>
  <c r="BB75" i="7" s="1"/>
  <c r="BE23" i="59" s="1"/>
  <c r="BB47" i="7"/>
  <c r="BA47" i="7"/>
  <c r="AZ104" i="7"/>
  <c r="AZ105" i="7" s="1"/>
  <c r="AY8" i="22" l="1"/>
  <c r="AY10" i="22" s="1"/>
  <c r="AY11" i="22" s="1"/>
  <c r="AY13" i="22" s="1"/>
  <c r="AY22" i="22"/>
  <c r="AY24" i="22" s="1"/>
  <c r="AY25" i="22" s="1"/>
  <c r="AY27" i="22" s="1"/>
  <c r="AZ23" i="36"/>
  <c r="AZ22" i="36"/>
  <c r="AY21" i="36"/>
  <c r="AZ61" i="8"/>
  <c r="BA44" i="7"/>
  <c r="BA82" i="7" s="1"/>
  <c r="BB84" i="7"/>
  <c r="BE25" i="59" s="1"/>
  <c r="BC16" i="38"/>
  <c r="BA84" i="7"/>
  <c r="BD25" i="59" s="1"/>
  <c r="BA22" i="7"/>
  <c r="BA81" i="7" s="1"/>
  <c r="BA63" i="7"/>
  <c r="BA46" i="7"/>
  <c r="BA25" i="7"/>
  <c r="BA80" i="7" s="1"/>
  <c r="BA19" i="7"/>
  <c r="BA42" i="7"/>
  <c r="BA23" i="7"/>
  <c r="BA78" i="7" s="1"/>
  <c r="AY29" i="9"/>
  <c r="BB40" i="9"/>
  <c r="BA48" i="7"/>
  <c r="BA27" i="7"/>
  <c r="BA77" i="7" s="1"/>
  <c r="BB148" i="10"/>
  <c r="AZ116" i="10"/>
  <c r="AZ147" i="10"/>
  <c r="AZ138" i="9"/>
  <c r="AZ140" i="9"/>
  <c r="AZ141" i="9" s="1"/>
  <c r="AZ48" i="9"/>
  <c r="AZ71" i="9" s="1"/>
  <c r="AY56" i="9"/>
  <c r="BB140" i="9"/>
  <c r="AZ86" i="9"/>
  <c r="AZ33" i="8"/>
  <c r="AY25" i="8"/>
  <c r="AY58" i="8"/>
  <c r="AY9" i="49" s="1"/>
  <c r="AY11" i="49" s="1"/>
  <c r="AY60" i="8"/>
  <c r="AY66" i="8"/>
  <c r="AZ39" i="8"/>
  <c r="AZ93" i="8"/>
  <c r="AZ88" i="8"/>
  <c r="AY52" i="8"/>
  <c r="BB74" i="7"/>
  <c r="BE22" i="59" s="1"/>
  <c r="BB28" i="7"/>
  <c r="BB76" i="7"/>
  <c r="BE24" i="59" s="1"/>
  <c r="BA74" i="7"/>
  <c r="BD22" i="59" s="1"/>
  <c r="BB107" i="7"/>
  <c r="BB108" i="7" s="1"/>
  <c r="BB106" i="7"/>
  <c r="AZ107" i="7"/>
  <c r="AZ108" i="7" s="1"/>
  <c r="AZ106" i="7"/>
  <c r="AZ118" i="10" l="1"/>
  <c r="BC43" i="59" s="1"/>
  <c r="AZ153" i="10"/>
  <c r="AZ78" i="9"/>
  <c r="BB109" i="7"/>
  <c r="BA75" i="7"/>
  <c r="BA28" i="7"/>
  <c r="BA41" i="7" s="1"/>
  <c r="BA64" i="7" s="1"/>
  <c r="AZ72" i="9"/>
  <c r="AZ149" i="10"/>
  <c r="AZ151" i="10"/>
  <c r="AZ142" i="9"/>
  <c r="AZ80" i="9"/>
  <c r="AZ51" i="9"/>
  <c r="BC39" i="59" s="1"/>
  <c r="AZ79" i="9"/>
  <c r="AZ82" i="9"/>
  <c r="BC40" i="59" s="1"/>
  <c r="AZ52" i="9"/>
  <c r="AZ77" i="9"/>
  <c r="BC41" i="59" s="1"/>
  <c r="AZ75" i="9"/>
  <c r="AZ74" i="9"/>
  <c r="AZ81" i="9"/>
  <c r="AZ70" i="9"/>
  <c r="AZ69" i="9"/>
  <c r="AZ73" i="9"/>
  <c r="AZ76" i="9"/>
  <c r="AZ90" i="8"/>
  <c r="AY56" i="8"/>
  <c r="AY34" i="8"/>
  <c r="AY32" i="8"/>
  <c r="BB85" i="7"/>
  <c r="AZ109" i="7"/>
  <c r="BA85" i="7" l="1"/>
  <c r="BD23" i="59"/>
  <c r="AZ21" i="36"/>
  <c r="BA50" i="7"/>
  <c r="AY33" i="8"/>
  <c r="AZ94" i="8"/>
  <c r="BA75" i="6" l="1"/>
  <c r="AM75" i="6"/>
  <c r="Y75" i="6"/>
  <c r="BD196" i="6"/>
  <c r="BC196" i="6"/>
  <c r="BD195" i="6"/>
  <c r="BC195" i="6"/>
  <c r="BD194" i="6"/>
  <c r="BC194" i="6"/>
  <c r="BD190" i="6"/>
  <c r="BC190" i="6"/>
  <c r="BD188" i="6"/>
  <c r="BC188" i="6"/>
  <c r="BD187" i="6"/>
  <c r="BC187" i="6"/>
  <c r="BD186" i="6"/>
  <c r="BC186" i="6"/>
  <c r="BD185" i="6"/>
  <c r="BC185" i="6"/>
  <c r="BD184" i="6"/>
  <c r="BC184" i="6"/>
  <c r="BD183" i="6"/>
  <c r="BC183" i="6"/>
  <c r="BD182" i="6"/>
  <c r="BC182" i="6"/>
  <c r="BB223" i="6"/>
  <c r="BB222" i="6"/>
  <c r="BB196" i="6"/>
  <c r="BA196" i="6"/>
  <c r="BB195" i="6"/>
  <c r="BA195" i="6"/>
  <c r="BB194" i="6"/>
  <c r="BA194" i="6"/>
  <c r="BB190" i="6"/>
  <c r="BA190" i="6"/>
  <c r="BB188" i="6"/>
  <c r="BA188" i="6"/>
  <c r="BB187" i="6"/>
  <c r="BA187" i="6"/>
  <c r="BB186" i="6"/>
  <c r="BA186" i="6"/>
  <c r="BB185" i="6"/>
  <c r="BA185" i="6"/>
  <c r="BB184" i="6"/>
  <c r="BA184" i="6"/>
  <c r="BB183" i="6"/>
  <c r="BA183" i="6"/>
  <c r="BB182" i="6"/>
  <c r="BA182" i="6"/>
  <c r="BB151" i="6"/>
  <c r="BB153" i="6" s="1"/>
  <c r="BB126" i="6"/>
  <c r="BB91" i="6"/>
  <c r="BB90" i="6"/>
  <c r="BB89" i="6"/>
  <c r="BA89" i="6"/>
  <c r="BC89" i="6" s="1"/>
  <c r="BB86" i="6"/>
  <c r="BA86" i="6"/>
  <c r="BB85" i="6"/>
  <c r="BA85" i="6"/>
  <c r="BB83" i="6"/>
  <c r="BA83" i="6"/>
  <c r="BB82" i="6"/>
  <c r="BA82" i="6"/>
  <c r="BB81" i="6"/>
  <c r="BA81" i="6"/>
  <c r="BB80" i="6"/>
  <c r="BA80" i="6"/>
  <c r="BB77" i="6"/>
  <c r="BB76" i="6"/>
  <c r="BB75" i="6"/>
  <c r="BB72" i="6"/>
  <c r="BA72" i="6"/>
  <c r="BB71" i="6"/>
  <c r="BA71" i="6"/>
  <c r="BB69" i="6"/>
  <c r="BA69" i="6"/>
  <c r="BB68" i="6"/>
  <c r="BA68" i="6"/>
  <c r="BB67" i="6"/>
  <c r="BA67" i="6"/>
  <c r="BB66" i="6"/>
  <c r="BA66" i="6"/>
  <c r="BB63" i="6"/>
  <c r="BA63" i="6"/>
  <c r="BB62" i="6"/>
  <c r="BA62" i="6"/>
  <c r="BB61" i="6"/>
  <c r="BA61" i="6"/>
  <c r="BB51" i="6"/>
  <c r="BA51" i="6"/>
  <c r="BB50" i="6"/>
  <c r="BA50" i="6"/>
  <c r="BB49" i="6"/>
  <c r="BA49" i="6"/>
  <c r="BB48" i="6"/>
  <c r="BA48" i="6"/>
  <c r="BB47" i="6"/>
  <c r="BA47" i="6"/>
  <c r="BB45" i="6"/>
  <c r="BA45" i="6"/>
  <c r="BB43" i="6"/>
  <c r="BA43" i="6"/>
  <c r="BB42" i="6"/>
  <c r="BA42" i="6"/>
  <c r="BB40" i="6"/>
  <c r="BA40" i="6"/>
  <c r="BB39" i="6"/>
  <c r="BA39" i="6"/>
  <c r="BB27" i="6"/>
  <c r="BB26" i="6"/>
  <c r="BB24" i="6"/>
  <c r="BB23" i="6"/>
  <c r="BB21" i="6"/>
  <c r="BB20" i="6"/>
  <c r="BB2" i="6"/>
  <c r="BB8" i="6" s="1"/>
  <c r="BA2" i="6"/>
  <c r="BA8" i="6" s="1"/>
  <c r="BF196" i="6"/>
  <c r="BE196" i="6"/>
  <c r="AZ196" i="6"/>
  <c r="AY196" i="6"/>
  <c r="BF195" i="6"/>
  <c r="BE195" i="6"/>
  <c r="AZ195" i="6"/>
  <c r="AY195" i="6"/>
  <c r="BF194" i="6"/>
  <c r="BE194" i="6"/>
  <c r="AZ194" i="6"/>
  <c r="AY194" i="6"/>
  <c r="BF190" i="6"/>
  <c r="BE190" i="6"/>
  <c r="AZ190" i="6"/>
  <c r="AY190" i="6"/>
  <c r="BF188" i="6"/>
  <c r="BE188" i="6"/>
  <c r="AZ188" i="6"/>
  <c r="AY188" i="6"/>
  <c r="BF187" i="6"/>
  <c r="BE187" i="6"/>
  <c r="AZ187" i="6"/>
  <c r="AY187" i="6"/>
  <c r="BF186" i="6"/>
  <c r="BE186" i="6"/>
  <c r="AZ186" i="6"/>
  <c r="AY186" i="6"/>
  <c r="BF185" i="6"/>
  <c r="BE185" i="6"/>
  <c r="AZ185" i="6"/>
  <c r="AY185" i="6"/>
  <c r="BF184" i="6"/>
  <c r="BE184" i="6"/>
  <c r="AZ184" i="6"/>
  <c r="AY184" i="6"/>
  <c r="BF183" i="6"/>
  <c r="BE183" i="6"/>
  <c r="AZ183" i="6"/>
  <c r="AY183" i="6"/>
  <c r="BF182" i="6"/>
  <c r="BE182" i="6"/>
  <c r="AZ182" i="6"/>
  <c r="AY182" i="6"/>
  <c r="AZ105" i="6"/>
  <c r="AZ104" i="6"/>
  <c r="AZ103" i="6"/>
  <c r="AY103" i="6"/>
  <c r="AZ100" i="6"/>
  <c r="AY100" i="6"/>
  <c r="AZ99" i="6"/>
  <c r="AY99" i="6"/>
  <c r="AZ97" i="6"/>
  <c r="AY97" i="6"/>
  <c r="AZ96" i="6"/>
  <c r="AY96" i="6"/>
  <c r="AZ95" i="6"/>
  <c r="AY95" i="6"/>
  <c r="AZ94" i="6"/>
  <c r="AY94" i="6"/>
  <c r="AZ87" i="6"/>
  <c r="AY87" i="6"/>
  <c r="AZ84" i="6"/>
  <c r="AY84" i="6"/>
  <c r="AZ73" i="6"/>
  <c r="AY73" i="6"/>
  <c r="AZ70" i="6"/>
  <c r="AY70" i="6"/>
  <c r="AZ52" i="6"/>
  <c r="AY52" i="6"/>
  <c r="AZ44" i="6"/>
  <c r="AY44" i="6"/>
  <c r="AZ41" i="6"/>
  <c r="AY41" i="6"/>
  <c r="AY37" i="6"/>
  <c r="AZ28" i="6"/>
  <c r="AZ25" i="6"/>
  <c r="AZ22" i="6"/>
  <c r="AZ18" i="6"/>
  <c r="AZ30" i="6" s="1"/>
  <c r="AZ17" i="6"/>
  <c r="AZ29" i="6" s="1"/>
  <c r="AY6" i="6"/>
  <c r="AY14" i="6" s="1"/>
  <c r="AY5" i="6"/>
  <c r="AY13" i="6" s="1"/>
  <c r="I153" i="64"/>
  <c r="M153" i="64"/>
  <c r="Q153" i="64" s="1"/>
  <c r="U153" i="64" s="1"/>
  <c r="AA153" i="64" s="1"/>
  <c r="AE153" i="64" s="1"/>
  <c r="AI153" i="64" s="1"/>
  <c r="AO153" i="64" s="1"/>
  <c r="AS153" i="64" s="1"/>
  <c r="AW153" i="64" s="1"/>
  <c r="Y153" i="64"/>
  <c r="AM153" i="64"/>
  <c r="BC153" i="64" s="1"/>
  <c r="BE153" i="64" s="1"/>
  <c r="E151" i="64"/>
  <c r="G151" i="64"/>
  <c r="K151" i="64"/>
  <c r="O151" i="64"/>
  <c r="S151" i="64"/>
  <c r="W151" i="64"/>
  <c r="AC151" i="64"/>
  <c r="AG151" i="64"/>
  <c r="AK151" i="64"/>
  <c r="AQ151" i="64"/>
  <c r="AU151" i="64"/>
  <c r="E144" i="64"/>
  <c r="G144" i="64"/>
  <c r="G160" i="64" s="1"/>
  <c r="K144" i="64"/>
  <c r="K160" i="64" s="1"/>
  <c r="O144" i="64"/>
  <c r="O160" i="64" s="1"/>
  <c r="S144" i="64"/>
  <c r="S160" i="64" s="1"/>
  <c r="W144" i="64"/>
  <c r="W160" i="64" s="1"/>
  <c r="AC144" i="64"/>
  <c r="AC160" i="64" s="1"/>
  <c r="AG144" i="64"/>
  <c r="AG160" i="64" s="1"/>
  <c r="AK144" i="64"/>
  <c r="AK160" i="64" s="1"/>
  <c r="AQ144" i="64"/>
  <c r="AU144" i="64"/>
  <c r="AU160" i="64" s="1"/>
  <c r="E112" i="64"/>
  <c r="G112" i="64"/>
  <c r="K112" i="64"/>
  <c r="O112" i="64"/>
  <c r="S112" i="64"/>
  <c r="W112" i="64"/>
  <c r="AC112" i="64"/>
  <c r="AG112" i="64"/>
  <c r="AK112" i="64"/>
  <c r="AQ112" i="64"/>
  <c r="AU112" i="64"/>
  <c r="E100" i="64"/>
  <c r="G100" i="64"/>
  <c r="K100" i="64"/>
  <c r="O100" i="64"/>
  <c r="S100" i="64"/>
  <c r="W100" i="64"/>
  <c r="AC100" i="64"/>
  <c r="AG100" i="64"/>
  <c r="AK100" i="64"/>
  <c r="AQ100" i="64"/>
  <c r="AU100" i="64"/>
  <c r="E98" i="64"/>
  <c r="G98" i="64"/>
  <c r="K98" i="64"/>
  <c r="O98" i="64"/>
  <c r="S98" i="64"/>
  <c r="W98" i="64"/>
  <c r="AC98" i="64"/>
  <c r="AG98" i="64"/>
  <c r="AK98" i="64"/>
  <c r="AQ98" i="64"/>
  <c r="AU98" i="64"/>
  <c r="E94" i="64"/>
  <c r="G94" i="64"/>
  <c r="K94" i="64"/>
  <c r="O94" i="64"/>
  <c r="S94" i="64"/>
  <c r="W94" i="64"/>
  <c r="AC94" i="64"/>
  <c r="AG94" i="64"/>
  <c r="AK94" i="64"/>
  <c r="AQ94" i="64"/>
  <c r="AU94" i="64"/>
  <c r="E88" i="64"/>
  <c r="G88" i="64"/>
  <c r="K88" i="64"/>
  <c r="O88" i="64"/>
  <c r="S88" i="64"/>
  <c r="W88" i="64"/>
  <c r="AC88" i="64"/>
  <c r="AG88" i="64"/>
  <c r="AQ88" i="64"/>
  <c r="AU88" i="64"/>
  <c r="E85" i="64"/>
  <c r="G85" i="64"/>
  <c r="K85" i="64"/>
  <c r="O85" i="64"/>
  <c r="S85" i="64"/>
  <c r="W85" i="64"/>
  <c r="AC85" i="64"/>
  <c r="AG85" i="64"/>
  <c r="AQ85" i="64"/>
  <c r="AU85" i="64"/>
  <c r="E78" i="64"/>
  <c r="G78" i="64"/>
  <c r="K78" i="64"/>
  <c r="O78" i="64"/>
  <c r="S78" i="64"/>
  <c r="W78" i="64"/>
  <c r="AC78" i="64"/>
  <c r="AG78" i="64"/>
  <c r="AQ78" i="64"/>
  <c r="AU78" i="64"/>
  <c r="E54" i="64"/>
  <c r="G54" i="64"/>
  <c r="K54" i="64"/>
  <c r="O54" i="64"/>
  <c r="S54" i="64"/>
  <c r="W54" i="64"/>
  <c r="AC54" i="64"/>
  <c r="AG54" i="64"/>
  <c r="AQ54" i="64"/>
  <c r="AU54" i="64"/>
  <c r="E44" i="64"/>
  <c r="G44" i="64"/>
  <c r="K44" i="64"/>
  <c r="O44" i="64"/>
  <c r="S44" i="64"/>
  <c r="W44" i="64"/>
  <c r="AC44" i="64"/>
  <c r="AG44" i="64"/>
  <c r="AQ44" i="64"/>
  <c r="AU44" i="64"/>
  <c r="E41" i="64"/>
  <c r="G41" i="64"/>
  <c r="K41" i="64"/>
  <c r="O41" i="64"/>
  <c r="S41" i="64"/>
  <c r="W41" i="64"/>
  <c r="AC41" i="64"/>
  <c r="AG41" i="64"/>
  <c r="AQ41" i="64"/>
  <c r="AU41" i="64"/>
  <c r="E36" i="64"/>
  <c r="G36" i="64"/>
  <c r="K36" i="64"/>
  <c r="O36" i="64"/>
  <c r="S36" i="64"/>
  <c r="W36" i="64"/>
  <c r="AC36" i="64"/>
  <c r="AG36" i="64"/>
  <c r="AQ36" i="64"/>
  <c r="AU36" i="64"/>
  <c r="E23" i="64"/>
  <c r="G23" i="64"/>
  <c r="K23" i="64"/>
  <c r="O23" i="64"/>
  <c r="S23" i="64"/>
  <c r="W23" i="64"/>
  <c r="AC23" i="64"/>
  <c r="AG23" i="64"/>
  <c r="AQ23" i="64"/>
  <c r="AU23" i="64"/>
  <c r="E13" i="64"/>
  <c r="G13" i="64"/>
  <c r="G92" i="64" s="1"/>
  <c r="K13" i="64"/>
  <c r="K92" i="64" s="1"/>
  <c r="O13" i="64"/>
  <c r="O92" i="64" s="1"/>
  <c r="S13" i="64"/>
  <c r="W13" i="64"/>
  <c r="W92" i="64" s="1"/>
  <c r="AC13" i="64"/>
  <c r="AC92" i="64" s="1"/>
  <c r="AG13" i="64"/>
  <c r="AG92" i="64" s="1"/>
  <c r="AK92" i="64"/>
  <c r="AQ13" i="64"/>
  <c r="AU13" i="64"/>
  <c r="AU92" i="64" s="1"/>
  <c r="BA10" i="15"/>
  <c r="BA20" i="15"/>
  <c r="AM8" i="64"/>
  <c r="BC8" i="64" s="1"/>
  <c r="AM9" i="64"/>
  <c r="BC9" i="64" s="1"/>
  <c r="AM10" i="64"/>
  <c r="BC10" i="64" s="1"/>
  <c r="AM14" i="64"/>
  <c r="BC14" i="64" s="1"/>
  <c r="AM15" i="64"/>
  <c r="BC15" i="64" s="1"/>
  <c r="AM16" i="64"/>
  <c r="BC16" i="64" s="1"/>
  <c r="AM17" i="64"/>
  <c r="BC17" i="64" s="1"/>
  <c r="AM18" i="64"/>
  <c r="BC18" i="64" s="1"/>
  <c r="AM19" i="64"/>
  <c r="BC19" i="64" s="1"/>
  <c r="AM20" i="64"/>
  <c r="BC20" i="64" s="1"/>
  <c r="AM21" i="64"/>
  <c r="BC21" i="64" s="1"/>
  <c r="AM22" i="64"/>
  <c r="BC22" i="64" s="1"/>
  <c r="AM24" i="64"/>
  <c r="BC24" i="64" s="1"/>
  <c r="AM25" i="64"/>
  <c r="BC25" i="64" s="1"/>
  <c r="AM26" i="64"/>
  <c r="BC26" i="64" s="1"/>
  <c r="AM27" i="64"/>
  <c r="BC27" i="64" s="1"/>
  <c r="AM28" i="64"/>
  <c r="BC28" i="64" s="1"/>
  <c r="AM29" i="64"/>
  <c r="BC29" i="64" s="1"/>
  <c r="AM30" i="64"/>
  <c r="BC30" i="64" s="1"/>
  <c r="AM31" i="64"/>
  <c r="BC31" i="64" s="1"/>
  <c r="AM32" i="64"/>
  <c r="BC32" i="64" s="1"/>
  <c r="AM33" i="64"/>
  <c r="BC33" i="64" s="1"/>
  <c r="AM34" i="64"/>
  <c r="BC34" i="64" s="1"/>
  <c r="AM35" i="64"/>
  <c r="BC35" i="64" s="1"/>
  <c r="AM37" i="64"/>
  <c r="BC37" i="64" s="1"/>
  <c r="AM38" i="64"/>
  <c r="BC38" i="64" s="1"/>
  <c r="AM39" i="64"/>
  <c r="BC39" i="64" s="1"/>
  <c r="AM40" i="64"/>
  <c r="BC40" i="64" s="1"/>
  <c r="AM42" i="64"/>
  <c r="BC42" i="64" s="1"/>
  <c r="AM43" i="64"/>
  <c r="BC43" i="64" s="1"/>
  <c r="AM45" i="64"/>
  <c r="BC45" i="64" s="1"/>
  <c r="AM46" i="64"/>
  <c r="BC46" i="64" s="1"/>
  <c r="AM47" i="64"/>
  <c r="BC47" i="64" s="1"/>
  <c r="AM48" i="64"/>
  <c r="BC48" i="64" s="1"/>
  <c r="AM49" i="64"/>
  <c r="BC49" i="64" s="1"/>
  <c r="AM50" i="64"/>
  <c r="BC50" i="64" s="1"/>
  <c r="AM51" i="64"/>
  <c r="BC51" i="64" s="1"/>
  <c r="AM53" i="64"/>
  <c r="BC53" i="64" s="1"/>
  <c r="AM55" i="64"/>
  <c r="BC55" i="64" s="1"/>
  <c r="AM56" i="64"/>
  <c r="BC56" i="64" s="1"/>
  <c r="AM57" i="64"/>
  <c r="BC57" i="64" s="1"/>
  <c r="AM58" i="64"/>
  <c r="BC58" i="64" s="1"/>
  <c r="AM59" i="64"/>
  <c r="BC59" i="64" s="1"/>
  <c r="AM60" i="64"/>
  <c r="BC60" i="64" s="1"/>
  <c r="AM61" i="64"/>
  <c r="BC61" i="64" s="1"/>
  <c r="AM62" i="64"/>
  <c r="BC62" i="64" s="1"/>
  <c r="AM63" i="64"/>
  <c r="BC63" i="64" s="1"/>
  <c r="AM64" i="64"/>
  <c r="BC64" i="64" s="1"/>
  <c r="AM65" i="64"/>
  <c r="BC65" i="64" s="1"/>
  <c r="AM66" i="64"/>
  <c r="BC66" i="64" s="1"/>
  <c r="AM67" i="64"/>
  <c r="BC67" i="64" s="1"/>
  <c r="AM68" i="64"/>
  <c r="BC68" i="64" s="1"/>
  <c r="AM69" i="64"/>
  <c r="BC69" i="64" s="1"/>
  <c r="AM70" i="64"/>
  <c r="BC70" i="64" s="1"/>
  <c r="AM71" i="64"/>
  <c r="BC71" i="64" s="1"/>
  <c r="AM72" i="64"/>
  <c r="BC72" i="64" s="1"/>
  <c r="AM73" i="64"/>
  <c r="BC73" i="64" s="1"/>
  <c r="AM74" i="64"/>
  <c r="BC74" i="64" s="1"/>
  <c r="AM75" i="64"/>
  <c r="BC75" i="64" s="1"/>
  <c r="AM76" i="64"/>
  <c r="BC76" i="64" s="1"/>
  <c r="AM77" i="64"/>
  <c r="BC77" i="64" s="1"/>
  <c r="AM79" i="64"/>
  <c r="BC79" i="64" s="1"/>
  <c r="AM80" i="64"/>
  <c r="BC80" i="64" s="1"/>
  <c r="AM82" i="64"/>
  <c r="BC82" i="64" s="1"/>
  <c r="AM84" i="64"/>
  <c r="BC84" i="64" s="1"/>
  <c r="AM86" i="64"/>
  <c r="BC86" i="64" s="1"/>
  <c r="AM87" i="64"/>
  <c r="BC87" i="64" s="1"/>
  <c r="AM89" i="64"/>
  <c r="BC89" i="64" s="1"/>
  <c r="AM90" i="64"/>
  <c r="BC90" i="64" s="1"/>
  <c r="AM91" i="64"/>
  <c r="BC91" i="64" s="1"/>
  <c r="AM95" i="64"/>
  <c r="BC95" i="64" s="1"/>
  <c r="AM96" i="64"/>
  <c r="BC96" i="64" s="1"/>
  <c r="AM97" i="64"/>
  <c r="BC97" i="64" s="1"/>
  <c r="AM99" i="64"/>
  <c r="BC99" i="64" s="1"/>
  <c r="AM101" i="64"/>
  <c r="BC101" i="64" s="1"/>
  <c r="AM102" i="64"/>
  <c r="BC102" i="64" s="1"/>
  <c r="AM107" i="64"/>
  <c r="BC107" i="64" s="1"/>
  <c r="AM108" i="64"/>
  <c r="BC108" i="64" s="1"/>
  <c r="AM109" i="64"/>
  <c r="BC109" i="64" s="1"/>
  <c r="AM110" i="64"/>
  <c r="BC110" i="64" s="1"/>
  <c r="AM113" i="64"/>
  <c r="BC113" i="64" s="1"/>
  <c r="AM114" i="64"/>
  <c r="BC114" i="64" s="1"/>
  <c r="AM115" i="64"/>
  <c r="BC115" i="64" s="1"/>
  <c r="AM116" i="64"/>
  <c r="BC116" i="64" s="1"/>
  <c r="AM117" i="64"/>
  <c r="BC117" i="64" s="1"/>
  <c r="AM119" i="64"/>
  <c r="BC119" i="64" s="1"/>
  <c r="AM120" i="64"/>
  <c r="BC120" i="64" s="1"/>
  <c r="AM121" i="64"/>
  <c r="BC121" i="64" s="1"/>
  <c r="AM122" i="64"/>
  <c r="BC122" i="64" s="1"/>
  <c r="AM129" i="64"/>
  <c r="BC129" i="64" s="1"/>
  <c r="AM131" i="64"/>
  <c r="BC131" i="64" s="1"/>
  <c r="AM132" i="64"/>
  <c r="BC132" i="64" s="1"/>
  <c r="AM133" i="64"/>
  <c r="BC133" i="64" s="1"/>
  <c r="AM134" i="64"/>
  <c r="BC134" i="64" s="1"/>
  <c r="AM135" i="64"/>
  <c r="BC135" i="64" s="1"/>
  <c r="AM136" i="64"/>
  <c r="BC136" i="64" s="1"/>
  <c r="AM137" i="64"/>
  <c r="BC137" i="64" s="1"/>
  <c r="AM138" i="64"/>
  <c r="BC138" i="64" s="1"/>
  <c r="AM140" i="64"/>
  <c r="BC140" i="64" s="1"/>
  <c r="AM141" i="64"/>
  <c r="BC141" i="64" s="1"/>
  <c r="AM142" i="64"/>
  <c r="BC142" i="64" s="1"/>
  <c r="AM145" i="64"/>
  <c r="BC145" i="64" s="1"/>
  <c r="AM146" i="64"/>
  <c r="BC146" i="64" s="1"/>
  <c r="AM147" i="64"/>
  <c r="BC147" i="64" s="1"/>
  <c r="AM148" i="64"/>
  <c r="BC148" i="64" s="1"/>
  <c r="AM149" i="64"/>
  <c r="BC149" i="64" s="1"/>
  <c r="AM150" i="64"/>
  <c r="BC150" i="64" s="1"/>
  <c r="AM152" i="64"/>
  <c r="BC152" i="64" s="1"/>
  <c r="AM154" i="64"/>
  <c r="BC154" i="64" s="1"/>
  <c r="AM155" i="64"/>
  <c r="BC155" i="64" s="1"/>
  <c r="AM156" i="64"/>
  <c r="BC156" i="64" s="1"/>
  <c r="AM157" i="64"/>
  <c r="BC157" i="64" s="1"/>
  <c r="AM165" i="64"/>
  <c r="BC165" i="64" s="1"/>
  <c r="AM167" i="64"/>
  <c r="BC167" i="64" s="1"/>
  <c r="AM169" i="64"/>
  <c r="BC169" i="64" s="1"/>
  <c r="AM172" i="64"/>
  <c r="BC172" i="64" s="1"/>
  <c r="AM174" i="64"/>
  <c r="BC174" i="64" s="1"/>
  <c r="AM176" i="64"/>
  <c r="BC176" i="64" s="1"/>
  <c r="AM178" i="64"/>
  <c r="BC178" i="64" s="1"/>
  <c r="AM180" i="64"/>
  <c r="BC180" i="64" s="1"/>
  <c r="AM182" i="64"/>
  <c r="BC182" i="64" s="1"/>
  <c r="AM7" i="64"/>
  <c r="BC7" i="64" s="1"/>
  <c r="Y8" i="64"/>
  <c r="Y9" i="64"/>
  <c r="Y10" i="64"/>
  <c r="Y14" i="64"/>
  <c r="Y15" i="64"/>
  <c r="Y16" i="64"/>
  <c r="Y17" i="64"/>
  <c r="Y18" i="64"/>
  <c r="Y19" i="64"/>
  <c r="Y20" i="64"/>
  <c r="Y21" i="64"/>
  <c r="Y22" i="64"/>
  <c r="Y24" i="64"/>
  <c r="Y25" i="64"/>
  <c r="Y26" i="64"/>
  <c r="Y27" i="64"/>
  <c r="Y28" i="64"/>
  <c r="Y29" i="64"/>
  <c r="Y30" i="64"/>
  <c r="Y31" i="64"/>
  <c r="Y32" i="64"/>
  <c r="Y33" i="64"/>
  <c r="Y34" i="64"/>
  <c r="Y35" i="64"/>
  <c r="Y37" i="64"/>
  <c r="Y38" i="64"/>
  <c r="Y39" i="64"/>
  <c r="Y40" i="64"/>
  <c r="Y42" i="64"/>
  <c r="Y43" i="64"/>
  <c r="Y45" i="64"/>
  <c r="Y46" i="64"/>
  <c r="Y47" i="64"/>
  <c r="Y48" i="64"/>
  <c r="Y49" i="64"/>
  <c r="Y50" i="64"/>
  <c r="Y51" i="64"/>
  <c r="Y53" i="64"/>
  <c r="Y55" i="64"/>
  <c r="Y56" i="64"/>
  <c r="Y57" i="64"/>
  <c r="Y58" i="64"/>
  <c r="Y59" i="64"/>
  <c r="Y60" i="64"/>
  <c r="Y61" i="64"/>
  <c r="Y62" i="64"/>
  <c r="Y63" i="64"/>
  <c r="Y64" i="64"/>
  <c r="Y65" i="64"/>
  <c r="Y66" i="64"/>
  <c r="Y67" i="64"/>
  <c r="Y68" i="64"/>
  <c r="Y69" i="64"/>
  <c r="Y70" i="64"/>
  <c r="Y71" i="64"/>
  <c r="Y72" i="64"/>
  <c r="Y73" i="64"/>
  <c r="Y74" i="64"/>
  <c r="Y75" i="64"/>
  <c r="Y76" i="64"/>
  <c r="Y77" i="64"/>
  <c r="Y79" i="64"/>
  <c r="Y80" i="64"/>
  <c r="Y82" i="64"/>
  <c r="Y84" i="64"/>
  <c r="Y86" i="64"/>
  <c r="Y87" i="64"/>
  <c r="Y89" i="64"/>
  <c r="Y90" i="64"/>
  <c r="Y91" i="64"/>
  <c r="Y95" i="64"/>
  <c r="Y96" i="64"/>
  <c r="Y97" i="64"/>
  <c r="Y99" i="64"/>
  <c r="Y101" i="64"/>
  <c r="Y102" i="64"/>
  <c r="Y107" i="64"/>
  <c r="Y108" i="64"/>
  <c r="Y109" i="64"/>
  <c r="Y110" i="64"/>
  <c r="Y113" i="64"/>
  <c r="Y114" i="64"/>
  <c r="Y115" i="64"/>
  <c r="Y116" i="64"/>
  <c r="Y117" i="64"/>
  <c r="Y119" i="64"/>
  <c r="Y120" i="64"/>
  <c r="Y121" i="64"/>
  <c r="Y122" i="64"/>
  <c r="Y129" i="64"/>
  <c r="Y131" i="64"/>
  <c r="Y132" i="64"/>
  <c r="Y133" i="64"/>
  <c r="Y134" i="64"/>
  <c r="Y135" i="64"/>
  <c r="Y136" i="64"/>
  <c r="Y137" i="64"/>
  <c r="Y138" i="64"/>
  <c r="Y140" i="64"/>
  <c r="Y141" i="64"/>
  <c r="Y142" i="64"/>
  <c r="Y145" i="64"/>
  <c r="Y146" i="64"/>
  <c r="Y147" i="64"/>
  <c r="Y148" i="64"/>
  <c r="Y149" i="64"/>
  <c r="Y150" i="64"/>
  <c r="Y152" i="64"/>
  <c r="Y154" i="64"/>
  <c r="Y155" i="64"/>
  <c r="Y156" i="64"/>
  <c r="Y157" i="64"/>
  <c r="Y165" i="64"/>
  <c r="Y167" i="64"/>
  <c r="Y169" i="64"/>
  <c r="Y172" i="64"/>
  <c r="Y174" i="64"/>
  <c r="Y176" i="64"/>
  <c r="Y178" i="64"/>
  <c r="Y180" i="64"/>
  <c r="Y182" i="64"/>
  <c r="Y7" i="64"/>
  <c r="M8" i="64"/>
  <c r="Q8" i="64" s="1"/>
  <c r="U8" i="64" s="1"/>
  <c r="AA8" i="64" s="1"/>
  <c r="AE8" i="64" s="1"/>
  <c r="AI8" i="64" s="1"/>
  <c r="AO8" i="64" s="1"/>
  <c r="AS8" i="64" s="1"/>
  <c r="AW8" i="64" s="1"/>
  <c r="M9" i="64"/>
  <c r="Q9" i="64" s="1"/>
  <c r="U9" i="64" s="1"/>
  <c r="AA9" i="64" s="1"/>
  <c r="AE9" i="64" s="1"/>
  <c r="AI9" i="64" s="1"/>
  <c r="AO9" i="64" s="1"/>
  <c r="AS9" i="64" s="1"/>
  <c r="AW9" i="64" s="1"/>
  <c r="M10" i="64"/>
  <c r="Q10" i="64" s="1"/>
  <c r="U10" i="64" s="1"/>
  <c r="AA10" i="64" s="1"/>
  <c r="AE10" i="64" s="1"/>
  <c r="AI10" i="64" s="1"/>
  <c r="AO10" i="64" s="1"/>
  <c r="AS10" i="64" s="1"/>
  <c r="AW10" i="64" s="1"/>
  <c r="M14" i="64"/>
  <c r="Q14" i="64" s="1"/>
  <c r="U14" i="64" s="1"/>
  <c r="AA14" i="64" s="1"/>
  <c r="AE14" i="64" s="1"/>
  <c r="AI14" i="64" s="1"/>
  <c r="AO14" i="64" s="1"/>
  <c r="AS14" i="64" s="1"/>
  <c r="AW14" i="64" s="1"/>
  <c r="M15" i="64"/>
  <c r="Q15" i="64" s="1"/>
  <c r="U15" i="64" s="1"/>
  <c r="AA15" i="64" s="1"/>
  <c r="AE15" i="64" s="1"/>
  <c r="AI15" i="64" s="1"/>
  <c r="AO15" i="64" s="1"/>
  <c r="AS15" i="64" s="1"/>
  <c r="AW15" i="64" s="1"/>
  <c r="M16" i="64"/>
  <c r="Q16" i="64" s="1"/>
  <c r="U16" i="64" s="1"/>
  <c r="AA16" i="64" s="1"/>
  <c r="AE16" i="64" s="1"/>
  <c r="AI16" i="64" s="1"/>
  <c r="AO16" i="64" s="1"/>
  <c r="AS16" i="64" s="1"/>
  <c r="AW16" i="64" s="1"/>
  <c r="M17" i="64"/>
  <c r="Q17" i="64" s="1"/>
  <c r="U17" i="64" s="1"/>
  <c r="AA17" i="64" s="1"/>
  <c r="AE17" i="64" s="1"/>
  <c r="AI17" i="64" s="1"/>
  <c r="AO17" i="64" s="1"/>
  <c r="AS17" i="64" s="1"/>
  <c r="AW17" i="64" s="1"/>
  <c r="M18" i="64"/>
  <c r="Q18" i="64" s="1"/>
  <c r="U18" i="64" s="1"/>
  <c r="AA18" i="64" s="1"/>
  <c r="AE18" i="64" s="1"/>
  <c r="AI18" i="64" s="1"/>
  <c r="AO18" i="64" s="1"/>
  <c r="AS18" i="64" s="1"/>
  <c r="AW18" i="64" s="1"/>
  <c r="M19" i="64"/>
  <c r="Q19" i="64" s="1"/>
  <c r="U19" i="64" s="1"/>
  <c r="AA19" i="64" s="1"/>
  <c r="AE19" i="64" s="1"/>
  <c r="AI19" i="64" s="1"/>
  <c r="AO19" i="64" s="1"/>
  <c r="AS19" i="64" s="1"/>
  <c r="AW19" i="64" s="1"/>
  <c r="M20" i="64"/>
  <c r="Q20" i="64" s="1"/>
  <c r="U20" i="64" s="1"/>
  <c r="AA20" i="64" s="1"/>
  <c r="AE20" i="64" s="1"/>
  <c r="AI20" i="64" s="1"/>
  <c r="AO20" i="64" s="1"/>
  <c r="AS20" i="64" s="1"/>
  <c r="AW20" i="64" s="1"/>
  <c r="M21" i="64"/>
  <c r="Q21" i="64" s="1"/>
  <c r="U21" i="64" s="1"/>
  <c r="AA21" i="64" s="1"/>
  <c r="AE21" i="64" s="1"/>
  <c r="AI21" i="64" s="1"/>
  <c r="AO21" i="64" s="1"/>
  <c r="AS21" i="64" s="1"/>
  <c r="AW21" i="64" s="1"/>
  <c r="M22" i="64"/>
  <c r="Q22" i="64" s="1"/>
  <c r="U22" i="64" s="1"/>
  <c r="AA22" i="64" s="1"/>
  <c r="AE22" i="64" s="1"/>
  <c r="AI22" i="64" s="1"/>
  <c r="AO22" i="64" s="1"/>
  <c r="AS22" i="64" s="1"/>
  <c r="AW22" i="64" s="1"/>
  <c r="M24" i="64"/>
  <c r="Q24" i="64" s="1"/>
  <c r="U24" i="64" s="1"/>
  <c r="AA24" i="64" s="1"/>
  <c r="AE24" i="64" s="1"/>
  <c r="AI24" i="64" s="1"/>
  <c r="AO24" i="64" s="1"/>
  <c r="AS24" i="64" s="1"/>
  <c r="AW24" i="64" s="1"/>
  <c r="M25" i="64"/>
  <c r="Q25" i="64" s="1"/>
  <c r="U25" i="64" s="1"/>
  <c r="AA25" i="64" s="1"/>
  <c r="AE25" i="64" s="1"/>
  <c r="AI25" i="64" s="1"/>
  <c r="AO25" i="64" s="1"/>
  <c r="AS25" i="64" s="1"/>
  <c r="AW25" i="64" s="1"/>
  <c r="M26" i="64"/>
  <c r="Q26" i="64" s="1"/>
  <c r="U26" i="64" s="1"/>
  <c r="AA26" i="64" s="1"/>
  <c r="AE26" i="64" s="1"/>
  <c r="AI26" i="64" s="1"/>
  <c r="AO26" i="64" s="1"/>
  <c r="AS26" i="64" s="1"/>
  <c r="AW26" i="64" s="1"/>
  <c r="M27" i="64"/>
  <c r="Q27" i="64" s="1"/>
  <c r="U27" i="64" s="1"/>
  <c r="AA27" i="64" s="1"/>
  <c r="AE27" i="64" s="1"/>
  <c r="AI27" i="64" s="1"/>
  <c r="AO27" i="64" s="1"/>
  <c r="AS27" i="64" s="1"/>
  <c r="AW27" i="64" s="1"/>
  <c r="M28" i="64"/>
  <c r="Q28" i="64" s="1"/>
  <c r="U28" i="64" s="1"/>
  <c r="AA28" i="64" s="1"/>
  <c r="AE28" i="64" s="1"/>
  <c r="AI28" i="64" s="1"/>
  <c r="AO28" i="64" s="1"/>
  <c r="AS28" i="64" s="1"/>
  <c r="AW28" i="64" s="1"/>
  <c r="M29" i="64"/>
  <c r="Q29" i="64" s="1"/>
  <c r="U29" i="64" s="1"/>
  <c r="AA29" i="64" s="1"/>
  <c r="AE29" i="64" s="1"/>
  <c r="AI29" i="64" s="1"/>
  <c r="AO29" i="64" s="1"/>
  <c r="AS29" i="64" s="1"/>
  <c r="AW29" i="64" s="1"/>
  <c r="M30" i="64"/>
  <c r="Q30" i="64" s="1"/>
  <c r="U30" i="64" s="1"/>
  <c r="AA30" i="64" s="1"/>
  <c r="AE30" i="64" s="1"/>
  <c r="AI30" i="64" s="1"/>
  <c r="AO30" i="64" s="1"/>
  <c r="AS30" i="64" s="1"/>
  <c r="AW30" i="64" s="1"/>
  <c r="M31" i="64"/>
  <c r="Q31" i="64" s="1"/>
  <c r="U31" i="64" s="1"/>
  <c r="AA31" i="64" s="1"/>
  <c r="AE31" i="64" s="1"/>
  <c r="AI31" i="64" s="1"/>
  <c r="AO31" i="64" s="1"/>
  <c r="AS31" i="64" s="1"/>
  <c r="AW31" i="64" s="1"/>
  <c r="M32" i="64"/>
  <c r="Q32" i="64" s="1"/>
  <c r="U32" i="64" s="1"/>
  <c r="AA32" i="64" s="1"/>
  <c r="AE32" i="64" s="1"/>
  <c r="AI32" i="64" s="1"/>
  <c r="AO32" i="64" s="1"/>
  <c r="AS32" i="64" s="1"/>
  <c r="AW32" i="64" s="1"/>
  <c r="M33" i="64"/>
  <c r="Q33" i="64" s="1"/>
  <c r="U33" i="64" s="1"/>
  <c r="AA33" i="64" s="1"/>
  <c r="AE33" i="64" s="1"/>
  <c r="AI33" i="64" s="1"/>
  <c r="AO33" i="64" s="1"/>
  <c r="AS33" i="64" s="1"/>
  <c r="AW33" i="64" s="1"/>
  <c r="M34" i="64"/>
  <c r="Q34" i="64" s="1"/>
  <c r="U34" i="64" s="1"/>
  <c r="AA34" i="64" s="1"/>
  <c r="AE34" i="64" s="1"/>
  <c r="AI34" i="64" s="1"/>
  <c r="AO34" i="64" s="1"/>
  <c r="AS34" i="64" s="1"/>
  <c r="AW34" i="64" s="1"/>
  <c r="M35" i="64"/>
  <c r="Q35" i="64" s="1"/>
  <c r="U35" i="64" s="1"/>
  <c r="AA35" i="64" s="1"/>
  <c r="AE35" i="64" s="1"/>
  <c r="AI35" i="64" s="1"/>
  <c r="AO35" i="64" s="1"/>
  <c r="AS35" i="64" s="1"/>
  <c r="AW35" i="64" s="1"/>
  <c r="M37" i="64"/>
  <c r="Q37" i="64" s="1"/>
  <c r="U37" i="64" s="1"/>
  <c r="AA37" i="64" s="1"/>
  <c r="AE37" i="64" s="1"/>
  <c r="AI37" i="64" s="1"/>
  <c r="AO37" i="64" s="1"/>
  <c r="AS37" i="64" s="1"/>
  <c r="AW37" i="64" s="1"/>
  <c r="M38" i="64"/>
  <c r="Q38" i="64" s="1"/>
  <c r="U38" i="64" s="1"/>
  <c r="AA38" i="64" s="1"/>
  <c r="AE38" i="64" s="1"/>
  <c r="AI38" i="64" s="1"/>
  <c r="AO38" i="64" s="1"/>
  <c r="AS38" i="64" s="1"/>
  <c r="AW38" i="64" s="1"/>
  <c r="M39" i="64"/>
  <c r="Q39" i="64" s="1"/>
  <c r="U39" i="64" s="1"/>
  <c r="AA39" i="64" s="1"/>
  <c r="AE39" i="64" s="1"/>
  <c r="AI39" i="64" s="1"/>
  <c r="AO39" i="64" s="1"/>
  <c r="AS39" i="64" s="1"/>
  <c r="AW39" i="64" s="1"/>
  <c r="M40" i="64"/>
  <c r="Q40" i="64" s="1"/>
  <c r="U40" i="64" s="1"/>
  <c r="AA40" i="64" s="1"/>
  <c r="AE40" i="64" s="1"/>
  <c r="AI40" i="64" s="1"/>
  <c r="AO40" i="64" s="1"/>
  <c r="AS40" i="64" s="1"/>
  <c r="AW40" i="64" s="1"/>
  <c r="M42" i="64"/>
  <c r="Q42" i="64" s="1"/>
  <c r="U42" i="64" s="1"/>
  <c r="AA42" i="64" s="1"/>
  <c r="AE42" i="64" s="1"/>
  <c r="AI42" i="64" s="1"/>
  <c r="AO42" i="64" s="1"/>
  <c r="AS42" i="64" s="1"/>
  <c r="AW42" i="64" s="1"/>
  <c r="M43" i="64"/>
  <c r="Q43" i="64" s="1"/>
  <c r="U43" i="64" s="1"/>
  <c r="AA43" i="64" s="1"/>
  <c r="AE43" i="64" s="1"/>
  <c r="AI43" i="64" s="1"/>
  <c r="AO43" i="64" s="1"/>
  <c r="AS43" i="64" s="1"/>
  <c r="AW43" i="64" s="1"/>
  <c r="M45" i="64"/>
  <c r="Q45" i="64" s="1"/>
  <c r="U45" i="64" s="1"/>
  <c r="AA45" i="64" s="1"/>
  <c r="AE45" i="64" s="1"/>
  <c r="AI45" i="64" s="1"/>
  <c r="AO45" i="64" s="1"/>
  <c r="AS45" i="64" s="1"/>
  <c r="AW45" i="64" s="1"/>
  <c r="M46" i="64"/>
  <c r="Q46" i="64" s="1"/>
  <c r="U46" i="64" s="1"/>
  <c r="AA46" i="64" s="1"/>
  <c r="AE46" i="64" s="1"/>
  <c r="AI46" i="64" s="1"/>
  <c r="AO46" i="64" s="1"/>
  <c r="AS46" i="64" s="1"/>
  <c r="AW46" i="64" s="1"/>
  <c r="M47" i="64"/>
  <c r="Q47" i="64" s="1"/>
  <c r="U47" i="64" s="1"/>
  <c r="AA47" i="64" s="1"/>
  <c r="AE47" i="64" s="1"/>
  <c r="AI47" i="64" s="1"/>
  <c r="AO47" i="64" s="1"/>
  <c r="AS47" i="64" s="1"/>
  <c r="AW47" i="64" s="1"/>
  <c r="M48" i="64"/>
  <c r="Q48" i="64" s="1"/>
  <c r="U48" i="64" s="1"/>
  <c r="AA48" i="64" s="1"/>
  <c r="AE48" i="64" s="1"/>
  <c r="AI48" i="64" s="1"/>
  <c r="AO48" i="64" s="1"/>
  <c r="AS48" i="64" s="1"/>
  <c r="AW48" i="64" s="1"/>
  <c r="M49" i="64"/>
  <c r="Q49" i="64" s="1"/>
  <c r="U49" i="64" s="1"/>
  <c r="AA49" i="64" s="1"/>
  <c r="AE49" i="64" s="1"/>
  <c r="AI49" i="64" s="1"/>
  <c r="AO49" i="64" s="1"/>
  <c r="AS49" i="64" s="1"/>
  <c r="AW49" i="64" s="1"/>
  <c r="M50" i="64"/>
  <c r="Q50" i="64" s="1"/>
  <c r="U50" i="64" s="1"/>
  <c r="AA50" i="64" s="1"/>
  <c r="AE50" i="64" s="1"/>
  <c r="AI50" i="64" s="1"/>
  <c r="AO50" i="64" s="1"/>
  <c r="AS50" i="64" s="1"/>
  <c r="AW50" i="64" s="1"/>
  <c r="M51" i="64"/>
  <c r="Q51" i="64" s="1"/>
  <c r="U51" i="64" s="1"/>
  <c r="AA51" i="64" s="1"/>
  <c r="AE51" i="64" s="1"/>
  <c r="AI51" i="64" s="1"/>
  <c r="AO51" i="64" s="1"/>
  <c r="AS51" i="64" s="1"/>
  <c r="AW51" i="64" s="1"/>
  <c r="M53" i="64"/>
  <c r="Q53" i="64" s="1"/>
  <c r="U53" i="64" s="1"/>
  <c r="AA53" i="64" s="1"/>
  <c r="AE53" i="64" s="1"/>
  <c r="AI53" i="64" s="1"/>
  <c r="AO53" i="64" s="1"/>
  <c r="AS53" i="64" s="1"/>
  <c r="AW53" i="64" s="1"/>
  <c r="M55" i="64"/>
  <c r="Q55" i="64" s="1"/>
  <c r="U55" i="64" s="1"/>
  <c r="AA55" i="64" s="1"/>
  <c r="AE55" i="64" s="1"/>
  <c r="AI55" i="64" s="1"/>
  <c r="AO55" i="64" s="1"/>
  <c r="AS55" i="64" s="1"/>
  <c r="AW55" i="64" s="1"/>
  <c r="M56" i="64"/>
  <c r="Q56" i="64" s="1"/>
  <c r="U56" i="64" s="1"/>
  <c r="AA56" i="64" s="1"/>
  <c r="AE56" i="64" s="1"/>
  <c r="AI56" i="64" s="1"/>
  <c r="AO56" i="64" s="1"/>
  <c r="AS56" i="64" s="1"/>
  <c r="AW56" i="64" s="1"/>
  <c r="M57" i="64"/>
  <c r="Q57" i="64" s="1"/>
  <c r="U57" i="64" s="1"/>
  <c r="AA57" i="64" s="1"/>
  <c r="AE57" i="64" s="1"/>
  <c r="AI57" i="64" s="1"/>
  <c r="AO57" i="64" s="1"/>
  <c r="AS57" i="64" s="1"/>
  <c r="AW57" i="64" s="1"/>
  <c r="M58" i="64"/>
  <c r="Q58" i="64" s="1"/>
  <c r="U58" i="64" s="1"/>
  <c r="AA58" i="64" s="1"/>
  <c r="AE58" i="64" s="1"/>
  <c r="AI58" i="64" s="1"/>
  <c r="AO58" i="64" s="1"/>
  <c r="AS58" i="64" s="1"/>
  <c r="AW58" i="64" s="1"/>
  <c r="M59" i="64"/>
  <c r="Q59" i="64" s="1"/>
  <c r="U59" i="64" s="1"/>
  <c r="AA59" i="64" s="1"/>
  <c r="AE59" i="64" s="1"/>
  <c r="AI59" i="64" s="1"/>
  <c r="AO59" i="64" s="1"/>
  <c r="AS59" i="64" s="1"/>
  <c r="AW59" i="64" s="1"/>
  <c r="M60" i="64"/>
  <c r="Q60" i="64" s="1"/>
  <c r="U60" i="64" s="1"/>
  <c r="AA60" i="64" s="1"/>
  <c r="AE60" i="64" s="1"/>
  <c r="AI60" i="64" s="1"/>
  <c r="AO60" i="64" s="1"/>
  <c r="AS60" i="64" s="1"/>
  <c r="AW60" i="64" s="1"/>
  <c r="M61" i="64"/>
  <c r="Q61" i="64" s="1"/>
  <c r="U61" i="64" s="1"/>
  <c r="AA61" i="64" s="1"/>
  <c r="AE61" i="64" s="1"/>
  <c r="AI61" i="64" s="1"/>
  <c r="AO61" i="64" s="1"/>
  <c r="AS61" i="64" s="1"/>
  <c r="AW61" i="64" s="1"/>
  <c r="M62" i="64"/>
  <c r="Q62" i="64" s="1"/>
  <c r="U62" i="64" s="1"/>
  <c r="AA62" i="64" s="1"/>
  <c r="AE62" i="64" s="1"/>
  <c r="AI62" i="64" s="1"/>
  <c r="AO62" i="64" s="1"/>
  <c r="AS62" i="64" s="1"/>
  <c r="AW62" i="64" s="1"/>
  <c r="M63" i="64"/>
  <c r="Q63" i="64" s="1"/>
  <c r="U63" i="64" s="1"/>
  <c r="AA63" i="64" s="1"/>
  <c r="AE63" i="64" s="1"/>
  <c r="AI63" i="64" s="1"/>
  <c r="AO63" i="64" s="1"/>
  <c r="AS63" i="64" s="1"/>
  <c r="AW63" i="64" s="1"/>
  <c r="M64" i="64"/>
  <c r="Q64" i="64" s="1"/>
  <c r="U64" i="64" s="1"/>
  <c r="AA64" i="64" s="1"/>
  <c r="AE64" i="64" s="1"/>
  <c r="AI64" i="64" s="1"/>
  <c r="AO64" i="64" s="1"/>
  <c r="AS64" i="64" s="1"/>
  <c r="AW64" i="64" s="1"/>
  <c r="M65" i="64"/>
  <c r="Q65" i="64" s="1"/>
  <c r="U65" i="64" s="1"/>
  <c r="AA65" i="64" s="1"/>
  <c r="AE65" i="64" s="1"/>
  <c r="AI65" i="64" s="1"/>
  <c r="AO65" i="64" s="1"/>
  <c r="AS65" i="64" s="1"/>
  <c r="AW65" i="64" s="1"/>
  <c r="M66" i="64"/>
  <c r="Q66" i="64" s="1"/>
  <c r="U66" i="64" s="1"/>
  <c r="AA66" i="64" s="1"/>
  <c r="AE66" i="64" s="1"/>
  <c r="AI66" i="64" s="1"/>
  <c r="AO66" i="64" s="1"/>
  <c r="AS66" i="64" s="1"/>
  <c r="AW66" i="64" s="1"/>
  <c r="M67" i="64"/>
  <c r="Q67" i="64" s="1"/>
  <c r="U67" i="64" s="1"/>
  <c r="AA67" i="64" s="1"/>
  <c r="AE67" i="64" s="1"/>
  <c r="AI67" i="64" s="1"/>
  <c r="AO67" i="64" s="1"/>
  <c r="AS67" i="64" s="1"/>
  <c r="AW67" i="64" s="1"/>
  <c r="M68" i="64"/>
  <c r="Q68" i="64" s="1"/>
  <c r="U68" i="64" s="1"/>
  <c r="AA68" i="64" s="1"/>
  <c r="AE68" i="64" s="1"/>
  <c r="AI68" i="64" s="1"/>
  <c r="AO68" i="64" s="1"/>
  <c r="AS68" i="64" s="1"/>
  <c r="AW68" i="64" s="1"/>
  <c r="M69" i="64"/>
  <c r="Q69" i="64" s="1"/>
  <c r="U69" i="64" s="1"/>
  <c r="AA69" i="64" s="1"/>
  <c r="AE69" i="64" s="1"/>
  <c r="AI69" i="64" s="1"/>
  <c r="AO69" i="64" s="1"/>
  <c r="AS69" i="64" s="1"/>
  <c r="AW69" i="64" s="1"/>
  <c r="M70" i="64"/>
  <c r="Q70" i="64" s="1"/>
  <c r="U70" i="64" s="1"/>
  <c r="AA70" i="64" s="1"/>
  <c r="AE70" i="64" s="1"/>
  <c r="AI70" i="64" s="1"/>
  <c r="AO70" i="64" s="1"/>
  <c r="AS70" i="64" s="1"/>
  <c r="AW70" i="64" s="1"/>
  <c r="M71" i="64"/>
  <c r="Q71" i="64" s="1"/>
  <c r="U71" i="64" s="1"/>
  <c r="AA71" i="64" s="1"/>
  <c r="AE71" i="64" s="1"/>
  <c r="AI71" i="64" s="1"/>
  <c r="AO71" i="64" s="1"/>
  <c r="AS71" i="64" s="1"/>
  <c r="AW71" i="64" s="1"/>
  <c r="M72" i="64"/>
  <c r="Q72" i="64" s="1"/>
  <c r="U72" i="64" s="1"/>
  <c r="AA72" i="64" s="1"/>
  <c r="AE72" i="64" s="1"/>
  <c r="AI72" i="64" s="1"/>
  <c r="AO72" i="64" s="1"/>
  <c r="AS72" i="64" s="1"/>
  <c r="AW72" i="64" s="1"/>
  <c r="M73" i="64"/>
  <c r="Q73" i="64" s="1"/>
  <c r="U73" i="64" s="1"/>
  <c r="AA73" i="64" s="1"/>
  <c r="AE73" i="64" s="1"/>
  <c r="AI73" i="64" s="1"/>
  <c r="AO73" i="64" s="1"/>
  <c r="AS73" i="64" s="1"/>
  <c r="AW73" i="64" s="1"/>
  <c r="M74" i="64"/>
  <c r="Q74" i="64" s="1"/>
  <c r="U74" i="64" s="1"/>
  <c r="AA74" i="64" s="1"/>
  <c r="AE74" i="64" s="1"/>
  <c r="AI74" i="64" s="1"/>
  <c r="AO74" i="64" s="1"/>
  <c r="AS74" i="64" s="1"/>
  <c r="AW74" i="64" s="1"/>
  <c r="M75" i="64"/>
  <c r="Q75" i="64" s="1"/>
  <c r="U75" i="64" s="1"/>
  <c r="AA75" i="64" s="1"/>
  <c r="AE75" i="64" s="1"/>
  <c r="AI75" i="64" s="1"/>
  <c r="AO75" i="64" s="1"/>
  <c r="AS75" i="64" s="1"/>
  <c r="AW75" i="64" s="1"/>
  <c r="M76" i="64"/>
  <c r="Q76" i="64" s="1"/>
  <c r="U76" i="64" s="1"/>
  <c r="AA76" i="64" s="1"/>
  <c r="AE76" i="64" s="1"/>
  <c r="AI76" i="64" s="1"/>
  <c r="AO76" i="64" s="1"/>
  <c r="AS76" i="64" s="1"/>
  <c r="AW76" i="64" s="1"/>
  <c r="M77" i="64"/>
  <c r="Q77" i="64" s="1"/>
  <c r="U77" i="64" s="1"/>
  <c r="AA77" i="64" s="1"/>
  <c r="AE77" i="64" s="1"/>
  <c r="AI77" i="64" s="1"/>
  <c r="AO77" i="64" s="1"/>
  <c r="AS77" i="64" s="1"/>
  <c r="AW77" i="64" s="1"/>
  <c r="M79" i="64"/>
  <c r="Q79" i="64" s="1"/>
  <c r="U79" i="64" s="1"/>
  <c r="AA79" i="64" s="1"/>
  <c r="AE79" i="64" s="1"/>
  <c r="AI79" i="64" s="1"/>
  <c r="AO79" i="64" s="1"/>
  <c r="AS79" i="64" s="1"/>
  <c r="AW79" i="64" s="1"/>
  <c r="M80" i="64"/>
  <c r="Q80" i="64" s="1"/>
  <c r="U80" i="64" s="1"/>
  <c r="AA80" i="64" s="1"/>
  <c r="AE80" i="64" s="1"/>
  <c r="AI80" i="64" s="1"/>
  <c r="AO80" i="64" s="1"/>
  <c r="AS80" i="64" s="1"/>
  <c r="AW80" i="64" s="1"/>
  <c r="M82" i="64"/>
  <c r="Q82" i="64" s="1"/>
  <c r="U82" i="64" s="1"/>
  <c r="AA82" i="64" s="1"/>
  <c r="AE82" i="64" s="1"/>
  <c r="AI82" i="64" s="1"/>
  <c r="AO82" i="64" s="1"/>
  <c r="AS82" i="64" s="1"/>
  <c r="AW82" i="64" s="1"/>
  <c r="M84" i="64"/>
  <c r="Q84" i="64" s="1"/>
  <c r="U84" i="64" s="1"/>
  <c r="AA84" i="64" s="1"/>
  <c r="AE84" i="64" s="1"/>
  <c r="AI84" i="64" s="1"/>
  <c r="AO84" i="64" s="1"/>
  <c r="AS84" i="64" s="1"/>
  <c r="AW84" i="64" s="1"/>
  <c r="M86" i="64"/>
  <c r="Q86" i="64" s="1"/>
  <c r="U86" i="64" s="1"/>
  <c r="AA86" i="64" s="1"/>
  <c r="AE86" i="64" s="1"/>
  <c r="AI86" i="64" s="1"/>
  <c r="AO86" i="64" s="1"/>
  <c r="AS86" i="64" s="1"/>
  <c r="AW86" i="64" s="1"/>
  <c r="M87" i="64"/>
  <c r="Q87" i="64" s="1"/>
  <c r="U87" i="64" s="1"/>
  <c r="AA87" i="64" s="1"/>
  <c r="AE87" i="64" s="1"/>
  <c r="AI87" i="64" s="1"/>
  <c r="AO87" i="64" s="1"/>
  <c r="AS87" i="64" s="1"/>
  <c r="AW87" i="64" s="1"/>
  <c r="M89" i="64"/>
  <c r="Q89" i="64" s="1"/>
  <c r="U89" i="64" s="1"/>
  <c r="AA89" i="64" s="1"/>
  <c r="AE89" i="64" s="1"/>
  <c r="AI89" i="64" s="1"/>
  <c r="AO89" i="64" s="1"/>
  <c r="AS89" i="64" s="1"/>
  <c r="AW89" i="64" s="1"/>
  <c r="M90" i="64"/>
  <c r="Q90" i="64" s="1"/>
  <c r="U90" i="64" s="1"/>
  <c r="AA90" i="64" s="1"/>
  <c r="AE90" i="64" s="1"/>
  <c r="AI90" i="64" s="1"/>
  <c r="AO90" i="64" s="1"/>
  <c r="AS90" i="64" s="1"/>
  <c r="AW90" i="64" s="1"/>
  <c r="M91" i="64"/>
  <c r="Q91" i="64" s="1"/>
  <c r="U91" i="64" s="1"/>
  <c r="AA91" i="64" s="1"/>
  <c r="AE91" i="64" s="1"/>
  <c r="AI91" i="64" s="1"/>
  <c r="AO91" i="64" s="1"/>
  <c r="AS91" i="64" s="1"/>
  <c r="AW91" i="64" s="1"/>
  <c r="M95" i="64"/>
  <c r="Q95" i="64" s="1"/>
  <c r="U95" i="64" s="1"/>
  <c r="AA95" i="64" s="1"/>
  <c r="AE95" i="64" s="1"/>
  <c r="AI95" i="64" s="1"/>
  <c r="AO95" i="64" s="1"/>
  <c r="AS95" i="64" s="1"/>
  <c r="AW95" i="64" s="1"/>
  <c r="M96" i="64"/>
  <c r="Q96" i="64" s="1"/>
  <c r="U96" i="64" s="1"/>
  <c r="AA96" i="64" s="1"/>
  <c r="AE96" i="64" s="1"/>
  <c r="AI96" i="64" s="1"/>
  <c r="AO96" i="64" s="1"/>
  <c r="AS96" i="64" s="1"/>
  <c r="AW96" i="64" s="1"/>
  <c r="M97" i="64"/>
  <c r="Q97" i="64" s="1"/>
  <c r="U97" i="64" s="1"/>
  <c r="AA97" i="64" s="1"/>
  <c r="AE97" i="64" s="1"/>
  <c r="AI97" i="64" s="1"/>
  <c r="AO97" i="64" s="1"/>
  <c r="AS97" i="64" s="1"/>
  <c r="AW97" i="64" s="1"/>
  <c r="M99" i="64"/>
  <c r="Q99" i="64" s="1"/>
  <c r="U99" i="64" s="1"/>
  <c r="AA99" i="64" s="1"/>
  <c r="AE99" i="64" s="1"/>
  <c r="AI99" i="64" s="1"/>
  <c r="AO99" i="64" s="1"/>
  <c r="AS99" i="64" s="1"/>
  <c r="AW99" i="64" s="1"/>
  <c r="M101" i="64"/>
  <c r="Q101" i="64" s="1"/>
  <c r="U101" i="64" s="1"/>
  <c r="AA101" i="64" s="1"/>
  <c r="AE101" i="64" s="1"/>
  <c r="AI101" i="64" s="1"/>
  <c r="AO101" i="64" s="1"/>
  <c r="AS101" i="64" s="1"/>
  <c r="AW101" i="64" s="1"/>
  <c r="M102" i="64"/>
  <c r="Q102" i="64" s="1"/>
  <c r="U102" i="64" s="1"/>
  <c r="AA102" i="64" s="1"/>
  <c r="AE102" i="64" s="1"/>
  <c r="AI102" i="64" s="1"/>
  <c r="AO102" i="64" s="1"/>
  <c r="AS102" i="64" s="1"/>
  <c r="AW102" i="64" s="1"/>
  <c r="M107" i="64"/>
  <c r="Q107" i="64" s="1"/>
  <c r="U107" i="64" s="1"/>
  <c r="AA107" i="64" s="1"/>
  <c r="AE107" i="64" s="1"/>
  <c r="AI107" i="64" s="1"/>
  <c r="AO107" i="64" s="1"/>
  <c r="AS107" i="64" s="1"/>
  <c r="AW107" i="64" s="1"/>
  <c r="M108" i="64"/>
  <c r="Q108" i="64" s="1"/>
  <c r="U108" i="64" s="1"/>
  <c r="AA108" i="64" s="1"/>
  <c r="AE108" i="64" s="1"/>
  <c r="AI108" i="64" s="1"/>
  <c r="AO108" i="64" s="1"/>
  <c r="AS108" i="64" s="1"/>
  <c r="AW108" i="64" s="1"/>
  <c r="M109" i="64"/>
  <c r="Q109" i="64" s="1"/>
  <c r="U109" i="64" s="1"/>
  <c r="AA109" i="64" s="1"/>
  <c r="AE109" i="64" s="1"/>
  <c r="AI109" i="64" s="1"/>
  <c r="AO109" i="64" s="1"/>
  <c r="AS109" i="64" s="1"/>
  <c r="AW109" i="64" s="1"/>
  <c r="M110" i="64"/>
  <c r="Q110" i="64" s="1"/>
  <c r="U110" i="64" s="1"/>
  <c r="AA110" i="64" s="1"/>
  <c r="AE110" i="64" s="1"/>
  <c r="AI110" i="64" s="1"/>
  <c r="AO110" i="64" s="1"/>
  <c r="AS110" i="64" s="1"/>
  <c r="AW110" i="64" s="1"/>
  <c r="M113" i="64"/>
  <c r="Q113" i="64" s="1"/>
  <c r="U113" i="64" s="1"/>
  <c r="AA113" i="64" s="1"/>
  <c r="AE113" i="64" s="1"/>
  <c r="AI113" i="64" s="1"/>
  <c r="AO113" i="64" s="1"/>
  <c r="AS113" i="64" s="1"/>
  <c r="AW113" i="64" s="1"/>
  <c r="M114" i="64"/>
  <c r="Q114" i="64" s="1"/>
  <c r="U114" i="64" s="1"/>
  <c r="AA114" i="64" s="1"/>
  <c r="AE114" i="64" s="1"/>
  <c r="AI114" i="64" s="1"/>
  <c r="AO114" i="64" s="1"/>
  <c r="AS114" i="64" s="1"/>
  <c r="AW114" i="64" s="1"/>
  <c r="M115" i="64"/>
  <c r="Q115" i="64" s="1"/>
  <c r="U115" i="64" s="1"/>
  <c r="AA115" i="64" s="1"/>
  <c r="AE115" i="64" s="1"/>
  <c r="AI115" i="64" s="1"/>
  <c r="AO115" i="64" s="1"/>
  <c r="AS115" i="64" s="1"/>
  <c r="AW115" i="64" s="1"/>
  <c r="M116" i="64"/>
  <c r="Q116" i="64" s="1"/>
  <c r="U116" i="64" s="1"/>
  <c r="AA116" i="64" s="1"/>
  <c r="AE116" i="64" s="1"/>
  <c r="AI116" i="64" s="1"/>
  <c r="AO116" i="64" s="1"/>
  <c r="AS116" i="64" s="1"/>
  <c r="AW116" i="64" s="1"/>
  <c r="M117" i="64"/>
  <c r="Q117" i="64" s="1"/>
  <c r="U117" i="64" s="1"/>
  <c r="AA117" i="64" s="1"/>
  <c r="AE117" i="64" s="1"/>
  <c r="AI117" i="64" s="1"/>
  <c r="AO117" i="64" s="1"/>
  <c r="AS117" i="64" s="1"/>
  <c r="AW117" i="64" s="1"/>
  <c r="M119" i="64"/>
  <c r="Q119" i="64" s="1"/>
  <c r="U119" i="64" s="1"/>
  <c r="AA119" i="64" s="1"/>
  <c r="AE119" i="64" s="1"/>
  <c r="AI119" i="64" s="1"/>
  <c r="AO119" i="64" s="1"/>
  <c r="AS119" i="64" s="1"/>
  <c r="AW119" i="64" s="1"/>
  <c r="M120" i="64"/>
  <c r="Q120" i="64" s="1"/>
  <c r="U120" i="64" s="1"/>
  <c r="AA120" i="64" s="1"/>
  <c r="AE120" i="64" s="1"/>
  <c r="AI120" i="64" s="1"/>
  <c r="AO120" i="64" s="1"/>
  <c r="AS120" i="64" s="1"/>
  <c r="AW120" i="64" s="1"/>
  <c r="M121" i="64"/>
  <c r="Q121" i="64" s="1"/>
  <c r="U121" i="64" s="1"/>
  <c r="AA121" i="64" s="1"/>
  <c r="AE121" i="64" s="1"/>
  <c r="AI121" i="64" s="1"/>
  <c r="AO121" i="64" s="1"/>
  <c r="AS121" i="64" s="1"/>
  <c r="AW121" i="64" s="1"/>
  <c r="M122" i="64"/>
  <c r="Q122" i="64" s="1"/>
  <c r="U122" i="64" s="1"/>
  <c r="AA122" i="64" s="1"/>
  <c r="AE122" i="64" s="1"/>
  <c r="AI122" i="64" s="1"/>
  <c r="AO122" i="64" s="1"/>
  <c r="AS122" i="64" s="1"/>
  <c r="AW122" i="64" s="1"/>
  <c r="M129" i="64"/>
  <c r="Q129" i="64" s="1"/>
  <c r="U129" i="64" s="1"/>
  <c r="AA129" i="64" s="1"/>
  <c r="AE129" i="64" s="1"/>
  <c r="AI129" i="64" s="1"/>
  <c r="AO129" i="64" s="1"/>
  <c r="AS129" i="64" s="1"/>
  <c r="AW129" i="64" s="1"/>
  <c r="M131" i="64"/>
  <c r="Q131" i="64" s="1"/>
  <c r="U131" i="64" s="1"/>
  <c r="AA131" i="64" s="1"/>
  <c r="AE131" i="64" s="1"/>
  <c r="AI131" i="64" s="1"/>
  <c r="AO131" i="64" s="1"/>
  <c r="AS131" i="64" s="1"/>
  <c r="AW131" i="64" s="1"/>
  <c r="M132" i="64"/>
  <c r="Q132" i="64" s="1"/>
  <c r="U132" i="64" s="1"/>
  <c r="AA132" i="64" s="1"/>
  <c r="AE132" i="64" s="1"/>
  <c r="AI132" i="64" s="1"/>
  <c r="AO132" i="64" s="1"/>
  <c r="AS132" i="64" s="1"/>
  <c r="AW132" i="64" s="1"/>
  <c r="M133" i="64"/>
  <c r="Q133" i="64" s="1"/>
  <c r="U133" i="64" s="1"/>
  <c r="AA133" i="64" s="1"/>
  <c r="AE133" i="64" s="1"/>
  <c r="AI133" i="64" s="1"/>
  <c r="AO133" i="64" s="1"/>
  <c r="AS133" i="64" s="1"/>
  <c r="AW133" i="64" s="1"/>
  <c r="M134" i="64"/>
  <c r="Q134" i="64" s="1"/>
  <c r="U134" i="64" s="1"/>
  <c r="AA134" i="64" s="1"/>
  <c r="AE134" i="64" s="1"/>
  <c r="AI134" i="64" s="1"/>
  <c r="AO134" i="64" s="1"/>
  <c r="AS134" i="64" s="1"/>
  <c r="AW134" i="64" s="1"/>
  <c r="M135" i="64"/>
  <c r="Q135" i="64" s="1"/>
  <c r="U135" i="64" s="1"/>
  <c r="AA135" i="64" s="1"/>
  <c r="AE135" i="64" s="1"/>
  <c r="AI135" i="64" s="1"/>
  <c r="AO135" i="64" s="1"/>
  <c r="AS135" i="64" s="1"/>
  <c r="AW135" i="64" s="1"/>
  <c r="M136" i="64"/>
  <c r="Q136" i="64" s="1"/>
  <c r="U136" i="64" s="1"/>
  <c r="AA136" i="64" s="1"/>
  <c r="AE136" i="64" s="1"/>
  <c r="AI136" i="64" s="1"/>
  <c r="AO136" i="64" s="1"/>
  <c r="AS136" i="64" s="1"/>
  <c r="AW136" i="64" s="1"/>
  <c r="M137" i="64"/>
  <c r="Q137" i="64" s="1"/>
  <c r="U137" i="64" s="1"/>
  <c r="AA137" i="64" s="1"/>
  <c r="AE137" i="64" s="1"/>
  <c r="AI137" i="64" s="1"/>
  <c r="AO137" i="64" s="1"/>
  <c r="AS137" i="64" s="1"/>
  <c r="AW137" i="64" s="1"/>
  <c r="M138" i="64"/>
  <c r="Q138" i="64" s="1"/>
  <c r="U138" i="64" s="1"/>
  <c r="AA138" i="64" s="1"/>
  <c r="AE138" i="64" s="1"/>
  <c r="AI138" i="64" s="1"/>
  <c r="AO138" i="64" s="1"/>
  <c r="AS138" i="64" s="1"/>
  <c r="AW138" i="64" s="1"/>
  <c r="M140" i="64"/>
  <c r="Q140" i="64" s="1"/>
  <c r="U140" i="64" s="1"/>
  <c r="AA140" i="64" s="1"/>
  <c r="AE140" i="64" s="1"/>
  <c r="AI140" i="64" s="1"/>
  <c r="AO140" i="64" s="1"/>
  <c r="AS140" i="64" s="1"/>
  <c r="AW140" i="64" s="1"/>
  <c r="M141" i="64"/>
  <c r="Q141" i="64" s="1"/>
  <c r="U141" i="64" s="1"/>
  <c r="AA141" i="64" s="1"/>
  <c r="AE141" i="64" s="1"/>
  <c r="AI141" i="64" s="1"/>
  <c r="AO141" i="64" s="1"/>
  <c r="AS141" i="64" s="1"/>
  <c r="AW141" i="64" s="1"/>
  <c r="M142" i="64"/>
  <c r="Q142" i="64" s="1"/>
  <c r="U142" i="64" s="1"/>
  <c r="AA142" i="64" s="1"/>
  <c r="AE142" i="64" s="1"/>
  <c r="AI142" i="64" s="1"/>
  <c r="AO142" i="64" s="1"/>
  <c r="AS142" i="64" s="1"/>
  <c r="AW142" i="64" s="1"/>
  <c r="M145" i="64"/>
  <c r="Q145" i="64" s="1"/>
  <c r="U145" i="64" s="1"/>
  <c r="AA145" i="64" s="1"/>
  <c r="AE145" i="64" s="1"/>
  <c r="AI145" i="64" s="1"/>
  <c r="AO145" i="64" s="1"/>
  <c r="AS145" i="64" s="1"/>
  <c r="AW145" i="64" s="1"/>
  <c r="M146" i="64"/>
  <c r="Q146" i="64" s="1"/>
  <c r="U146" i="64" s="1"/>
  <c r="AA146" i="64" s="1"/>
  <c r="AE146" i="64" s="1"/>
  <c r="AI146" i="64" s="1"/>
  <c r="AO146" i="64" s="1"/>
  <c r="AS146" i="64" s="1"/>
  <c r="AW146" i="64" s="1"/>
  <c r="M147" i="64"/>
  <c r="Q147" i="64" s="1"/>
  <c r="U147" i="64" s="1"/>
  <c r="AA147" i="64" s="1"/>
  <c r="AE147" i="64" s="1"/>
  <c r="AI147" i="64" s="1"/>
  <c r="AO147" i="64" s="1"/>
  <c r="AS147" i="64" s="1"/>
  <c r="AW147" i="64" s="1"/>
  <c r="M148" i="64"/>
  <c r="Q148" i="64" s="1"/>
  <c r="U148" i="64" s="1"/>
  <c r="AA148" i="64" s="1"/>
  <c r="AE148" i="64" s="1"/>
  <c r="AI148" i="64" s="1"/>
  <c r="AO148" i="64" s="1"/>
  <c r="AS148" i="64" s="1"/>
  <c r="AW148" i="64" s="1"/>
  <c r="M149" i="64"/>
  <c r="Q149" i="64" s="1"/>
  <c r="U149" i="64" s="1"/>
  <c r="AA149" i="64" s="1"/>
  <c r="AE149" i="64" s="1"/>
  <c r="AI149" i="64" s="1"/>
  <c r="AO149" i="64" s="1"/>
  <c r="AS149" i="64" s="1"/>
  <c r="AW149" i="64" s="1"/>
  <c r="M150" i="64"/>
  <c r="Q150" i="64" s="1"/>
  <c r="U150" i="64" s="1"/>
  <c r="AA150" i="64" s="1"/>
  <c r="AE150" i="64" s="1"/>
  <c r="AI150" i="64" s="1"/>
  <c r="AO150" i="64" s="1"/>
  <c r="AS150" i="64" s="1"/>
  <c r="AW150" i="64" s="1"/>
  <c r="M152" i="64"/>
  <c r="Q152" i="64" s="1"/>
  <c r="U152" i="64" s="1"/>
  <c r="AA152" i="64" s="1"/>
  <c r="AE152" i="64" s="1"/>
  <c r="AI152" i="64" s="1"/>
  <c r="AO152" i="64" s="1"/>
  <c r="AS152" i="64" s="1"/>
  <c r="AW152" i="64" s="1"/>
  <c r="M154" i="64"/>
  <c r="Q154" i="64" s="1"/>
  <c r="U154" i="64" s="1"/>
  <c r="AA154" i="64" s="1"/>
  <c r="AE154" i="64" s="1"/>
  <c r="AI154" i="64" s="1"/>
  <c r="AO154" i="64" s="1"/>
  <c r="AS154" i="64" s="1"/>
  <c r="AW154" i="64" s="1"/>
  <c r="M155" i="64"/>
  <c r="Q155" i="64" s="1"/>
  <c r="U155" i="64" s="1"/>
  <c r="AA155" i="64" s="1"/>
  <c r="AE155" i="64" s="1"/>
  <c r="AI155" i="64" s="1"/>
  <c r="AO155" i="64" s="1"/>
  <c r="AS155" i="64" s="1"/>
  <c r="AW155" i="64" s="1"/>
  <c r="M156" i="64"/>
  <c r="Q156" i="64" s="1"/>
  <c r="U156" i="64" s="1"/>
  <c r="AA156" i="64" s="1"/>
  <c r="AE156" i="64" s="1"/>
  <c r="AI156" i="64" s="1"/>
  <c r="AO156" i="64" s="1"/>
  <c r="AS156" i="64" s="1"/>
  <c r="AW156" i="64" s="1"/>
  <c r="M157" i="64"/>
  <c r="Q157" i="64" s="1"/>
  <c r="U157" i="64" s="1"/>
  <c r="AA157" i="64" s="1"/>
  <c r="AE157" i="64" s="1"/>
  <c r="AI157" i="64" s="1"/>
  <c r="AO157" i="64" s="1"/>
  <c r="AS157" i="64" s="1"/>
  <c r="AW157" i="64" s="1"/>
  <c r="M165" i="64"/>
  <c r="Q165" i="64" s="1"/>
  <c r="U165" i="64" s="1"/>
  <c r="AA165" i="64" s="1"/>
  <c r="AE165" i="64" s="1"/>
  <c r="AI165" i="64" s="1"/>
  <c r="AO165" i="64" s="1"/>
  <c r="AS165" i="64" s="1"/>
  <c r="AW165" i="64" s="1"/>
  <c r="M167" i="64"/>
  <c r="Q167" i="64" s="1"/>
  <c r="U167" i="64" s="1"/>
  <c r="AA167" i="64" s="1"/>
  <c r="AE167" i="64" s="1"/>
  <c r="AI167" i="64" s="1"/>
  <c r="AO167" i="64" s="1"/>
  <c r="AS167" i="64" s="1"/>
  <c r="AW167" i="64" s="1"/>
  <c r="M169" i="64"/>
  <c r="Q169" i="64" s="1"/>
  <c r="U169" i="64" s="1"/>
  <c r="AA169" i="64" s="1"/>
  <c r="AE169" i="64" s="1"/>
  <c r="AI169" i="64" s="1"/>
  <c r="AO169" i="64" s="1"/>
  <c r="AS169" i="64" s="1"/>
  <c r="AW169" i="64" s="1"/>
  <c r="M172" i="64"/>
  <c r="Q172" i="64" s="1"/>
  <c r="U172" i="64" s="1"/>
  <c r="AA172" i="64" s="1"/>
  <c r="AE172" i="64" s="1"/>
  <c r="AI172" i="64" s="1"/>
  <c r="AO172" i="64" s="1"/>
  <c r="AS172" i="64" s="1"/>
  <c r="AW172" i="64" s="1"/>
  <c r="M174" i="64"/>
  <c r="Q174" i="64" s="1"/>
  <c r="U174" i="64" s="1"/>
  <c r="AA174" i="64" s="1"/>
  <c r="AE174" i="64" s="1"/>
  <c r="AI174" i="64" s="1"/>
  <c r="AO174" i="64" s="1"/>
  <c r="AS174" i="64" s="1"/>
  <c r="AW174" i="64" s="1"/>
  <c r="M176" i="64"/>
  <c r="Q176" i="64" s="1"/>
  <c r="U176" i="64" s="1"/>
  <c r="AA176" i="64" s="1"/>
  <c r="AE176" i="64" s="1"/>
  <c r="AI176" i="64" s="1"/>
  <c r="AO176" i="64" s="1"/>
  <c r="AS176" i="64" s="1"/>
  <c r="AW176" i="64" s="1"/>
  <c r="M178" i="64"/>
  <c r="Q178" i="64" s="1"/>
  <c r="U178" i="64" s="1"/>
  <c r="AA178" i="64" s="1"/>
  <c r="AE178" i="64" s="1"/>
  <c r="AI178" i="64" s="1"/>
  <c r="AO178" i="64" s="1"/>
  <c r="AS178" i="64" s="1"/>
  <c r="AW178" i="64" s="1"/>
  <c r="M180" i="64"/>
  <c r="Q180" i="64" s="1"/>
  <c r="U180" i="64" s="1"/>
  <c r="AA180" i="64" s="1"/>
  <c r="AE180" i="64" s="1"/>
  <c r="AI180" i="64" s="1"/>
  <c r="AO180" i="64" s="1"/>
  <c r="AS180" i="64" s="1"/>
  <c r="AW180" i="64" s="1"/>
  <c r="M182" i="64"/>
  <c r="Q182" i="64" s="1"/>
  <c r="U182" i="64" s="1"/>
  <c r="AA182" i="64" s="1"/>
  <c r="AE182" i="64" s="1"/>
  <c r="AI182" i="64" s="1"/>
  <c r="AO182" i="64" s="1"/>
  <c r="AS182" i="64" s="1"/>
  <c r="AW182" i="64" s="1"/>
  <c r="I8" i="64"/>
  <c r="I9" i="64"/>
  <c r="I10" i="64"/>
  <c r="I14" i="64"/>
  <c r="I15" i="64"/>
  <c r="I16" i="64"/>
  <c r="I17" i="64"/>
  <c r="I18" i="64"/>
  <c r="I19" i="64"/>
  <c r="I20" i="64"/>
  <c r="I21" i="64"/>
  <c r="I22" i="64"/>
  <c r="I24" i="64"/>
  <c r="I25" i="64"/>
  <c r="I26" i="64"/>
  <c r="I27" i="64"/>
  <c r="I28" i="64"/>
  <c r="I29" i="64"/>
  <c r="I30" i="64"/>
  <c r="I31" i="64"/>
  <c r="I32" i="64"/>
  <c r="I33" i="64"/>
  <c r="I34" i="64"/>
  <c r="I35" i="64"/>
  <c r="I37" i="64"/>
  <c r="I38" i="64"/>
  <c r="I39" i="64"/>
  <c r="I40" i="64"/>
  <c r="I42" i="64"/>
  <c r="I43" i="64"/>
  <c r="I45" i="64"/>
  <c r="I46" i="64"/>
  <c r="I47" i="64"/>
  <c r="I48" i="64"/>
  <c r="I49" i="64"/>
  <c r="I50" i="64"/>
  <c r="I51" i="64"/>
  <c r="I53" i="64"/>
  <c r="I55" i="64"/>
  <c r="I56" i="64"/>
  <c r="I57" i="64"/>
  <c r="I58" i="64"/>
  <c r="I59" i="64"/>
  <c r="I60" i="64"/>
  <c r="I61" i="64"/>
  <c r="I62" i="64"/>
  <c r="I63" i="64"/>
  <c r="I64" i="64"/>
  <c r="I65" i="64"/>
  <c r="I66" i="64"/>
  <c r="I67" i="64"/>
  <c r="I68" i="64"/>
  <c r="I69" i="64"/>
  <c r="I70" i="64"/>
  <c r="I71" i="64"/>
  <c r="I72" i="64"/>
  <c r="I73" i="64"/>
  <c r="I74" i="64"/>
  <c r="I75" i="64"/>
  <c r="I76" i="64"/>
  <c r="I77" i="64"/>
  <c r="I79" i="64"/>
  <c r="I80" i="64"/>
  <c r="I82" i="64"/>
  <c r="I84" i="64"/>
  <c r="I86" i="64"/>
  <c r="I87" i="64"/>
  <c r="I89" i="64"/>
  <c r="I90" i="64"/>
  <c r="I91" i="64"/>
  <c r="I95" i="64"/>
  <c r="I96" i="64"/>
  <c r="I97" i="64"/>
  <c r="I99" i="64"/>
  <c r="I101" i="64"/>
  <c r="I102" i="64"/>
  <c r="I107" i="64"/>
  <c r="I108" i="64"/>
  <c r="I109" i="64"/>
  <c r="I110" i="64"/>
  <c r="I113" i="64"/>
  <c r="I114" i="64"/>
  <c r="I115" i="64"/>
  <c r="I116" i="64"/>
  <c r="I117" i="64"/>
  <c r="I119" i="64"/>
  <c r="I120" i="64"/>
  <c r="I121" i="64"/>
  <c r="I122" i="64"/>
  <c r="I129" i="64"/>
  <c r="I131" i="64"/>
  <c r="I132" i="64"/>
  <c r="I133" i="64"/>
  <c r="I134" i="64"/>
  <c r="I135" i="64"/>
  <c r="I136" i="64"/>
  <c r="I137" i="64"/>
  <c r="I138" i="64"/>
  <c r="I140" i="64"/>
  <c r="I141" i="64"/>
  <c r="I142" i="64"/>
  <c r="I145" i="64"/>
  <c r="I146" i="64"/>
  <c r="I147" i="64"/>
  <c r="I148" i="64"/>
  <c r="I149" i="64"/>
  <c r="I150" i="64"/>
  <c r="I152" i="64"/>
  <c r="I154" i="64"/>
  <c r="I155" i="64"/>
  <c r="I156" i="64"/>
  <c r="I157" i="64"/>
  <c r="I165" i="64"/>
  <c r="I167" i="64"/>
  <c r="I169" i="64"/>
  <c r="I172" i="64"/>
  <c r="I174" i="64"/>
  <c r="I176" i="64"/>
  <c r="I178" i="64"/>
  <c r="I180" i="64"/>
  <c r="I182" i="64"/>
  <c r="I7" i="64"/>
  <c r="AZ160" i="64"/>
  <c r="AX160" i="64"/>
  <c r="AY151" i="64"/>
  <c r="AY160" i="64" s="1"/>
  <c r="AY112" i="64"/>
  <c r="AY100" i="64"/>
  <c r="AY98" i="64"/>
  <c r="AY94" i="64"/>
  <c r="AY88" i="64"/>
  <c r="AY85" i="64"/>
  <c r="AY78" i="64"/>
  <c r="AY54" i="64"/>
  <c r="AY44" i="64"/>
  <c r="AY41" i="64"/>
  <c r="AY36" i="64"/>
  <c r="AY23" i="64"/>
  <c r="AY13" i="64"/>
  <c r="BA41" i="6" l="1"/>
  <c r="S92" i="64"/>
  <c r="E92" i="64"/>
  <c r="BB22" i="6"/>
  <c r="AY92" i="64"/>
  <c r="BB25" i="6"/>
  <c r="E160" i="64"/>
  <c r="AY126" i="6"/>
  <c r="AY131" i="6"/>
  <c r="AY151" i="6"/>
  <c r="AY157" i="6"/>
  <c r="BE178" i="64"/>
  <c r="BE169" i="64"/>
  <c r="BE156" i="64"/>
  <c r="BE150" i="64"/>
  <c r="BE146" i="64"/>
  <c r="BE140" i="64"/>
  <c r="BE135" i="64"/>
  <c r="BE131" i="64"/>
  <c r="BE120" i="64"/>
  <c r="BE115" i="64"/>
  <c r="BE109" i="64"/>
  <c r="BE101" i="64"/>
  <c r="BE95" i="64"/>
  <c r="BE87" i="64"/>
  <c r="BE80" i="64"/>
  <c r="BE75" i="64"/>
  <c r="BE71" i="64"/>
  <c r="BE67" i="64"/>
  <c r="BE63" i="64"/>
  <c r="BE59" i="64"/>
  <c r="BE55" i="64"/>
  <c r="BE10" i="15" s="1"/>
  <c r="BE49" i="64"/>
  <c r="BE45" i="64"/>
  <c r="BE39" i="64"/>
  <c r="BE34" i="64"/>
  <c r="BE30" i="64"/>
  <c r="BE26" i="64"/>
  <c r="BE21" i="64"/>
  <c r="BE17" i="64"/>
  <c r="BE10" i="64"/>
  <c r="BA36" i="64"/>
  <c r="BA78" i="64"/>
  <c r="BA98" i="64"/>
  <c r="BA151" i="64"/>
  <c r="BE176" i="64"/>
  <c r="BE167" i="64"/>
  <c r="BE155" i="64"/>
  <c r="BE149" i="64"/>
  <c r="BE145" i="64"/>
  <c r="BE138" i="64"/>
  <c r="BE134" i="64"/>
  <c r="BE129" i="64"/>
  <c r="BE119" i="64"/>
  <c r="BE114" i="64"/>
  <c r="BE108" i="64"/>
  <c r="BE99" i="64"/>
  <c r="BE91" i="64"/>
  <c r="BE86" i="64"/>
  <c r="BE79" i="64"/>
  <c r="BE74" i="64"/>
  <c r="BE70" i="64"/>
  <c r="BE66" i="64"/>
  <c r="BE62" i="64"/>
  <c r="BE58" i="64"/>
  <c r="BE53" i="64"/>
  <c r="BE48" i="64"/>
  <c r="BE43" i="64"/>
  <c r="BE38" i="64"/>
  <c r="BE33" i="64"/>
  <c r="BE29" i="64"/>
  <c r="BE25" i="64"/>
  <c r="BE20" i="64"/>
  <c r="BE16" i="64"/>
  <c r="BE9" i="64"/>
  <c r="BA23" i="64"/>
  <c r="BA54" i="64"/>
  <c r="BA94" i="64"/>
  <c r="BA144" i="64"/>
  <c r="BE182" i="64"/>
  <c r="BE174" i="64"/>
  <c r="BE165" i="64"/>
  <c r="BE154" i="64"/>
  <c r="BE148" i="64"/>
  <c r="BE142" i="64"/>
  <c r="BE137" i="64"/>
  <c r="BE133" i="64"/>
  <c r="BE122" i="64"/>
  <c r="BE117" i="64"/>
  <c r="BE113" i="64"/>
  <c r="BE107" i="64"/>
  <c r="BE97" i="64"/>
  <c r="BE90" i="64"/>
  <c r="BE84" i="64"/>
  <c r="BE20" i="15" s="1"/>
  <c r="BE77" i="64"/>
  <c r="BE73" i="64"/>
  <c r="BE69" i="64"/>
  <c r="BE65" i="64"/>
  <c r="BE61" i="64"/>
  <c r="BE57" i="64"/>
  <c r="BE51" i="64"/>
  <c r="BE47" i="64"/>
  <c r="BE42" i="64"/>
  <c r="BE37" i="64"/>
  <c r="BE32" i="64"/>
  <c r="BE28" i="64"/>
  <c r="BE24" i="64"/>
  <c r="BE19" i="64"/>
  <c r="BE15" i="64"/>
  <c r="BE8" i="64"/>
  <c r="AQ92" i="64"/>
  <c r="BA13" i="64"/>
  <c r="BA44" i="64"/>
  <c r="BA88" i="64"/>
  <c r="BA112" i="64"/>
  <c r="BE180" i="64"/>
  <c r="BE172" i="64"/>
  <c r="BE157" i="64"/>
  <c r="BE152" i="64"/>
  <c r="BE147" i="64"/>
  <c r="BE141" i="64"/>
  <c r="BE136" i="64"/>
  <c r="BE132" i="64"/>
  <c r="BE121" i="64"/>
  <c r="BE116" i="64"/>
  <c r="BE110" i="64"/>
  <c r="BE102" i="64"/>
  <c r="BE96" i="64"/>
  <c r="BE89" i="64"/>
  <c r="BE82" i="64"/>
  <c r="BE76" i="64"/>
  <c r="BE72" i="64"/>
  <c r="BE68" i="64"/>
  <c r="BE64" i="64"/>
  <c r="BE60" i="64"/>
  <c r="BE56" i="64"/>
  <c r="BE50" i="64"/>
  <c r="BE46" i="64"/>
  <c r="BE40" i="64"/>
  <c r="BE35" i="64"/>
  <c r="BE31" i="64"/>
  <c r="BE27" i="64"/>
  <c r="BE22" i="64"/>
  <c r="BE18" i="64"/>
  <c r="BE14" i="64"/>
  <c r="BA41" i="64"/>
  <c r="BA85" i="64"/>
  <c r="BA100" i="64"/>
  <c r="AY11" i="15"/>
  <c r="AY12" i="15" s="1"/>
  <c r="AY13" i="15" s="1"/>
  <c r="AQ160" i="64"/>
  <c r="BA160" i="64" s="1"/>
  <c r="BC10" i="15"/>
  <c r="BC75" i="6"/>
  <c r="BA44" i="6"/>
  <c r="BB52" i="6"/>
  <c r="BB73" i="6"/>
  <c r="BB87" i="6"/>
  <c r="BB84" i="6"/>
  <c r="AZ98" i="6"/>
  <c r="AZ101" i="6"/>
  <c r="BB70" i="6"/>
  <c r="BB44" i="6"/>
  <c r="BB41" i="6"/>
  <c r="BB28" i="6"/>
  <c r="BA87" i="6"/>
  <c r="BA84" i="6"/>
  <c r="BA73" i="6"/>
  <c r="BA70" i="6"/>
  <c r="BA52" i="6"/>
  <c r="AY88" i="6"/>
  <c r="AY92" i="6" s="1"/>
  <c r="AY136" i="6" s="1"/>
  <c r="BB9" i="6"/>
  <c r="BB128" i="6"/>
  <c r="BA9" i="6"/>
  <c r="AZ88" i="6"/>
  <c r="AZ92" i="6" s="1"/>
  <c r="AZ136" i="6" s="1"/>
  <c r="AY74" i="6"/>
  <c r="AY78" i="6" s="1"/>
  <c r="AY113" i="6" s="1"/>
  <c r="AY26" i="6"/>
  <c r="AY20" i="6"/>
  <c r="AY17" i="6"/>
  <c r="AY15" i="6"/>
  <c r="AY56" i="6" s="1"/>
  <c r="AY23" i="6"/>
  <c r="AY27" i="6"/>
  <c r="AY24" i="6"/>
  <c r="AY18" i="6"/>
  <c r="AY21" i="6"/>
  <c r="AZ31" i="6"/>
  <c r="AY7" i="6"/>
  <c r="AY11" i="6"/>
  <c r="AZ161" i="6"/>
  <c r="AZ19" i="6"/>
  <c r="AY101" i="6"/>
  <c r="AY98" i="6"/>
  <c r="AY12" i="6"/>
  <c r="AZ74" i="6"/>
  <c r="AZ78" i="6" s="1"/>
  <c r="AQ103" i="64"/>
  <c r="G103" i="64"/>
  <c r="AG103" i="64"/>
  <c r="O103" i="64"/>
  <c r="AU103" i="64"/>
  <c r="AC103" i="64"/>
  <c r="K103" i="64"/>
  <c r="W103" i="64"/>
  <c r="BC20" i="15"/>
  <c r="AK103" i="64"/>
  <c r="S103" i="64"/>
  <c r="E103" i="64"/>
  <c r="AY103" i="64"/>
  <c r="BB30" i="28"/>
  <c r="BA30" i="28"/>
  <c r="BB29" i="28"/>
  <c r="BB28" i="28"/>
  <c r="BB27" i="28"/>
  <c r="BB26" i="28"/>
  <c r="BA26" i="28"/>
  <c r="BB23" i="28"/>
  <c r="BB22" i="28"/>
  <c r="BB21" i="28"/>
  <c r="BB20" i="28"/>
  <c r="BA20" i="28"/>
  <c r="BB17" i="28"/>
  <c r="BB16" i="28"/>
  <c r="BB15" i="28"/>
  <c r="BB13" i="28"/>
  <c r="BB260" i="28" s="1"/>
  <c r="BA13" i="28"/>
  <c r="BA260" i="28" s="1"/>
  <c r="BB10" i="28"/>
  <c r="BB9" i="28"/>
  <c r="BB8" i="28"/>
  <c r="BB7" i="28"/>
  <c r="BA7" i="28"/>
  <c r="AM30" i="28"/>
  <c r="AM26" i="28"/>
  <c r="AM20" i="28"/>
  <c r="AM13" i="28"/>
  <c r="AM260" i="28" s="1"/>
  <c r="AM7" i="28"/>
  <c r="BA92" i="64" l="1"/>
  <c r="BC30" i="28"/>
  <c r="BB74" i="6"/>
  <c r="BB78" i="6" s="1"/>
  <c r="BB111" i="6" s="1"/>
  <c r="BC13" i="28"/>
  <c r="BC260" i="28" s="1"/>
  <c r="BA103" i="64"/>
  <c r="BH93" i="64"/>
  <c r="BC26" i="28"/>
  <c r="BC7" i="28"/>
  <c r="BC20" i="28"/>
  <c r="BB31" i="28"/>
  <c r="BB88" i="6"/>
  <c r="BB92" i="6" s="1"/>
  <c r="BB136" i="6" s="1"/>
  <c r="AY111" i="6"/>
  <c r="BB11" i="28"/>
  <c r="BB24" i="28"/>
  <c r="BB18" i="28"/>
  <c r="BA88" i="6"/>
  <c r="BA92" i="6" s="1"/>
  <c r="BA136" i="6" s="1"/>
  <c r="AZ102" i="6"/>
  <c r="AZ106" i="6" s="1"/>
  <c r="AZ162" i="6" s="1"/>
  <c r="BB110" i="6"/>
  <c r="BB112" i="6" s="1"/>
  <c r="BB7" i="36" s="1"/>
  <c r="BE8" i="59" s="1"/>
  <c r="AY135" i="6"/>
  <c r="AY137" i="6" s="1"/>
  <c r="AY8" i="36" s="1"/>
  <c r="BB9" i="59" s="1"/>
  <c r="AY138" i="6"/>
  <c r="BA74" i="6"/>
  <c r="BA78" i="6" s="1"/>
  <c r="BA111" i="6" s="1"/>
  <c r="AY110" i="6"/>
  <c r="AY102" i="6"/>
  <c r="AY106" i="6" s="1"/>
  <c r="AY167" i="6" s="1"/>
  <c r="AZ135" i="6"/>
  <c r="AZ137" i="6" s="1"/>
  <c r="AZ8" i="36" s="1"/>
  <c r="BC9" i="59" s="1"/>
  <c r="AZ138" i="6"/>
  <c r="BB138" i="6"/>
  <c r="BB113" i="6"/>
  <c r="AY22" i="6"/>
  <c r="AY59" i="6"/>
  <c r="AY30" i="6"/>
  <c r="AY25" i="6"/>
  <c r="AY28" i="6"/>
  <c r="AZ113" i="6"/>
  <c r="AZ111" i="6"/>
  <c r="AZ110" i="6"/>
  <c r="AY19" i="6"/>
  <c r="AY29" i="6"/>
  <c r="BB135" i="6" l="1"/>
  <c r="BB137" i="6" s="1"/>
  <c r="BB8" i="36" s="1"/>
  <c r="BE9" i="59" s="1"/>
  <c r="AY112" i="6"/>
  <c r="AY7" i="36" s="1"/>
  <c r="BB8" i="59" s="1"/>
  <c r="BA135" i="6"/>
  <c r="BA137" i="6" s="1"/>
  <c r="BA138" i="6"/>
  <c r="BA110" i="6"/>
  <c r="BA112" i="6" s="1"/>
  <c r="BA113" i="6"/>
  <c r="AY169" i="6"/>
  <c r="AY166" i="6"/>
  <c r="AY168" i="6"/>
  <c r="AY171" i="6"/>
  <c r="AY175" i="6"/>
  <c r="AY178" i="6" s="1"/>
  <c r="AY197" i="6" s="1"/>
  <c r="AY172" i="6"/>
  <c r="AZ112" i="6"/>
  <c r="AZ7" i="36" s="1"/>
  <c r="BC8" i="59" s="1"/>
  <c r="AZ175" i="6"/>
  <c r="AZ171" i="6"/>
  <c r="AZ168" i="6"/>
  <c r="AZ176" i="6"/>
  <c r="AZ169" i="6"/>
  <c r="AZ172" i="6"/>
  <c r="AZ167" i="6"/>
  <c r="AZ166" i="6"/>
  <c r="AZ177" i="6"/>
  <c r="AZ160" i="6"/>
  <c r="AZ14" i="49" s="1"/>
  <c r="AZ15" i="49" s="1"/>
  <c r="AZ18" i="49" s="1"/>
  <c r="AZ19" i="49" s="1"/>
  <c r="AY31" i="6"/>
  <c r="AZ413" i="28"/>
  <c r="AV413" i="28"/>
  <c r="AR413" i="28"/>
  <c r="AL413" i="28"/>
  <c r="AH413" i="28"/>
  <c r="AD413" i="28"/>
  <c r="X413" i="28"/>
  <c r="T413" i="28"/>
  <c r="P413" i="28"/>
  <c r="L413" i="28"/>
  <c r="H413" i="28"/>
  <c r="AZ414" i="28"/>
  <c r="AV414" i="28"/>
  <c r="AR414" i="28"/>
  <c r="AL414" i="28"/>
  <c r="AH414" i="28"/>
  <c r="AD414" i="28"/>
  <c r="X414" i="28"/>
  <c r="T414" i="28"/>
  <c r="P414" i="28"/>
  <c r="L414" i="28"/>
  <c r="H414" i="28"/>
  <c r="AZ384" i="28"/>
  <c r="AV384" i="28"/>
  <c r="AR384" i="28"/>
  <c r="AL384" i="28"/>
  <c r="AH384" i="28"/>
  <c r="AD384" i="28"/>
  <c r="X384" i="28"/>
  <c r="T384" i="28"/>
  <c r="P384" i="28"/>
  <c r="L384" i="28"/>
  <c r="H384" i="28"/>
  <c r="AZ332" i="28"/>
  <c r="AZ453" i="28" s="1"/>
  <c r="AV332" i="28"/>
  <c r="AV453" i="28" s="1"/>
  <c r="AR332" i="28"/>
  <c r="AR453" i="28" s="1"/>
  <c r="AL332" i="28"/>
  <c r="AL453" i="28" s="1"/>
  <c r="AH332" i="28"/>
  <c r="AH453" i="28" s="1"/>
  <c r="AD332" i="28"/>
  <c r="AD453" i="28" s="1"/>
  <c r="X332" i="28"/>
  <c r="X453" i="28" s="1"/>
  <c r="T332" i="28"/>
  <c r="T453" i="28" s="1"/>
  <c r="P332" i="28"/>
  <c r="P453" i="28" s="1"/>
  <c r="L332" i="28"/>
  <c r="L453" i="28" s="1"/>
  <c r="H332" i="28"/>
  <c r="H453" i="28" s="1"/>
  <c r="L319" i="28"/>
  <c r="H319" i="28"/>
  <c r="J219" i="28"/>
  <c r="J220" i="28"/>
  <c r="J221" i="28"/>
  <c r="J222" i="28"/>
  <c r="J223" i="28"/>
  <c r="J224" i="28"/>
  <c r="J225" i="28"/>
  <c r="J226" i="28"/>
  <c r="J227" i="28"/>
  <c r="J228" i="28"/>
  <c r="J229" i="28"/>
  <c r="J230" i="28"/>
  <c r="J231" i="28"/>
  <c r="J232" i="28"/>
  <c r="J233" i="28"/>
  <c r="J234" i="28"/>
  <c r="J235" i="28"/>
  <c r="J236" i="28"/>
  <c r="J237" i="28"/>
  <c r="J238" i="28"/>
  <c r="J239" i="28"/>
  <c r="J241" i="28"/>
  <c r="J242" i="28"/>
  <c r="J243" i="28"/>
  <c r="J244" i="28"/>
  <c r="J245" i="28"/>
  <c r="J246" i="28"/>
  <c r="J247" i="28"/>
  <c r="J249" i="28"/>
  <c r="J250" i="28"/>
  <c r="J251" i="28"/>
  <c r="J252" i="28"/>
  <c r="J253" i="28"/>
  <c r="J255" i="28"/>
  <c r="J256" i="28"/>
  <c r="J257" i="28"/>
  <c r="J258" i="28"/>
  <c r="J179" i="28"/>
  <c r="J180" i="28"/>
  <c r="J181" i="28"/>
  <c r="J182" i="28"/>
  <c r="J183" i="28"/>
  <c r="J184" i="28"/>
  <c r="J185" i="28"/>
  <c r="J186" i="28"/>
  <c r="J187" i="28"/>
  <c r="J188" i="28"/>
  <c r="J189" i="28"/>
  <c r="J190" i="28"/>
  <c r="J191" i="28"/>
  <c r="J192" i="28"/>
  <c r="J193" i="28"/>
  <c r="J194" i="28"/>
  <c r="J195" i="28"/>
  <c r="J196" i="28"/>
  <c r="J197" i="28"/>
  <c r="J198" i="28"/>
  <c r="J199" i="28"/>
  <c r="J200" i="28"/>
  <c r="J201" i="28"/>
  <c r="J202" i="28"/>
  <c r="J203" i="28"/>
  <c r="J204" i="28"/>
  <c r="J205" i="28"/>
  <c r="J206" i="28"/>
  <c r="J207" i="28"/>
  <c r="J208" i="28"/>
  <c r="J209" i="28"/>
  <c r="J210" i="28"/>
  <c r="J211" i="28"/>
  <c r="J212" i="28"/>
  <c r="J213" i="28"/>
  <c r="J214" i="28"/>
  <c r="AZ266" i="28"/>
  <c r="AZ449" i="28" s="1"/>
  <c r="AV266" i="28"/>
  <c r="AV449" i="28" s="1"/>
  <c r="AR266" i="28"/>
  <c r="AR449" i="28" s="1"/>
  <c r="AL266" i="28"/>
  <c r="AL449" i="28" s="1"/>
  <c r="AH266" i="28"/>
  <c r="AH449" i="28" s="1"/>
  <c r="AD266" i="28"/>
  <c r="AD449" i="28" s="1"/>
  <c r="X266" i="28"/>
  <c r="X449" i="28" s="1"/>
  <c r="T266" i="28"/>
  <c r="T449" i="28" s="1"/>
  <c r="J264" i="28"/>
  <c r="N264" i="28" s="1"/>
  <c r="J265" i="28"/>
  <c r="N265" i="28" s="1"/>
  <c r="L266" i="28"/>
  <c r="L449" i="28" s="1"/>
  <c r="H266" i="28"/>
  <c r="H449" i="28" s="1"/>
  <c r="F266" i="28"/>
  <c r="F449" i="28" s="1"/>
  <c r="L261" i="28"/>
  <c r="H261" i="28"/>
  <c r="AZ215" i="28"/>
  <c r="AZ445" i="28" s="1"/>
  <c r="AV215" i="28"/>
  <c r="AV445" i="28" s="1"/>
  <c r="AR215" i="28"/>
  <c r="AR445" i="28" s="1"/>
  <c r="AL215" i="28"/>
  <c r="AL445" i="28" s="1"/>
  <c r="AH215" i="28"/>
  <c r="AH445" i="28" s="1"/>
  <c r="AD215" i="28"/>
  <c r="AD445" i="28" s="1"/>
  <c r="X215" i="28"/>
  <c r="X445" i="28" s="1"/>
  <c r="T215" i="28"/>
  <c r="T445" i="28" s="1"/>
  <c r="P215" i="28"/>
  <c r="P445" i="28" s="1"/>
  <c r="L215" i="28"/>
  <c r="L445" i="28" s="1"/>
  <c r="L176" i="28"/>
  <c r="H176" i="28"/>
  <c r="H415" i="28" l="1"/>
  <c r="AZ415" i="28"/>
  <c r="L415" i="28"/>
  <c r="AD415" i="28"/>
  <c r="AH415" i="28"/>
  <c r="AR415" i="28"/>
  <c r="T415" i="28"/>
  <c r="AV415" i="28"/>
  <c r="P415" i="28"/>
  <c r="X415" i="28"/>
  <c r="AL415" i="28"/>
  <c r="AY170" i="6"/>
  <c r="AY189" i="6" s="1"/>
  <c r="AY173" i="6"/>
  <c r="AY192" i="6" s="1"/>
  <c r="AZ173" i="6"/>
  <c r="AZ192" i="6" s="1"/>
  <c r="AZ178" i="6"/>
  <c r="AZ197" i="6" s="1"/>
  <c r="AZ170" i="6"/>
  <c r="AZ12" i="21"/>
  <c r="AZ13" i="21" s="1"/>
  <c r="BB321" i="28"/>
  <c r="BB69" i="28"/>
  <c r="BB429" i="28"/>
  <c r="BB423" i="28"/>
  <c r="BB422" i="28"/>
  <c r="BB419" i="28"/>
  <c r="BA419" i="28"/>
  <c r="BB387" i="28"/>
  <c r="BB337" i="28"/>
  <c r="BA321" i="28"/>
  <c r="BB269" i="28"/>
  <c r="BB265" i="28"/>
  <c r="BB264" i="28"/>
  <c r="BB263" i="28"/>
  <c r="BA263" i="28"/>
  <c r="BB218" i="28"/>
  <c r="BB178" i="28"/>
  <c r="BA178" i="28"/>
  <c r="BB61" i="28"/>
  <c r="BB60" i="28"/>
  <c r="BB57" i="28"/>
  <c r="BB56" i="28"/>
  <c r="BB53" i="28"/>
  <c r="BB52" i="28"/>
  <c r="BB49" i="28"/>
  <c r="BB48" i="28"/>
  <c r="BB318" i="28"/>
  <c r="BB175" i="28"/>
  <c r="AZ424" i="28"/>
  <c r="AZ426" i="28" s="1"/>
  <c r="AZ420" i="28"/>
  <c r="AZ318" i="28"/>
  <c r="AZ319" i="28" s="1"/>
  <c r="AZ261" i="28"/>
  <c r="AZ175" i="28"/>
  <c r="AZ176" i="28" s="1"/>
  <c r="AZ65" i="28"/>
  <c r="AZ64" i="28"/>
  <c r="AZ62" i="28"/>
  <c r="AZ58" i="28"/>
  <c r="AZ54" i="28"/>
  <c r="AZ50" i="28"/>
  <c r="AZ36" i="28"/>
  <c r="AZ35" i="28"/>
  <c r="AZ34" i="28"/>
  <c r="AY33" i="28"/>
  <c r="AZ31" i="28"/>
  <c r="AY27" i="28"/>
  <c r="AY31" i="28" s="1"/>
  <c r="AZ24" i="28"/>
  <c r="AY21" i="28"/>
  <c r="AY24" i="28" s="1"/>
  <c r="AZ18" i="28"/>
  <c r="AY15" i="28"/>
  <c r="AZ11" i="28"/>
  <c r="AY8" i="28"/>
  <c r="AY11" i="28" s="1"/>
  <c r="BB424" i="28" l="1"/>
  <c r="AZ455" i="28"/>
  <c r="AZ451" i="28"/>
  <c r="BB266" i="28"/>
  <c r="BB449" i="28" s="1"/>
  <c r="AY415" i="28"/>
  <c r="AY456" i="28" s="1"/>
  <c r="AZ42" i="28"/>
  <c r="AZ448" i="28"/>
  <c r="AZ446" i="28"/>
  <c r="AY176" i="28"/>
  <c r="AY444" i="28" s="1"/>
  <c r="AY319" i="28"/>
  <c r="AY452" i="28" s="1"/>
  <c r="AZ44" i="28"/>
  <c r="AZ456" i="28"/>
  <c r="AZ454" i="28"/>
  <c r="AZ447" i="28"/>
  <c r="BB54" i="28"/>
  <c r="BB446" i="28" s="1"/>
  <c r="BB414" i="28"/>
  <c r="AZ43" i="28"/>
  <c r="AZ452" i="28"/>
  <c r="AZ450" i="28"/>
  <c r="BB384" i="28"/>
  <c r="AZ41" i="28"/>
  <c r="AZ442" i="28"/>
  <c r="AZ444" i="28"/>
  <c r="AY18" i="28"/>
  <c r="AY42" i="28" s="1"/>
  <c r="AY52" i="28" s="1"/>
  <c r="AZ443" i="28"/>
  <c r="BB413" i="28"/>
  <c r="BB332" i="28"/>
  <c r="BB453" i="28" s="1"/>
  <c r="AY174" i="6"/>
  <c r="AY9" i="36" s="1"/>
  <c r="BB10" i="59" s="1"/>
  <c r="AZ174" i="6"/>
  <c r="AZ9" i="36" s="1"/>
  <c r="BC10" i="59" s="1"/>
  <c r="AZ189" i="6"/>
  <c r="BB261" i="28"/>
  <c r="BB50" i="28"/>
  <c r="BB442" i="28" s="1"/>
  <c r="BB58" i="28"/>
  <c r="BB450" i="28" s="1"/>
  <c r="BB215" i="28"/>
  <c r="BB445" i="28" s="1"/>
  <c r="BB62" i="28"/>
  <c r="AZ434" i="28"/>
  <c r="AZ38" i="28"/>
  <c r="AZ39" i="28" s="1"/>
  <c r="AY43" i="28"/>
  <c r="AY56" i="28" s="1"/>
  <c r="AY451" i="28" s="1"/>
  <c r="AZ440" i="28"/>
  <c r="AZ439" i="28"/>
  <c r="AZ430" i="28"/>
  <c r="AZ427" i="28"/>
  <c r="AY41" i="28"/>
  <c r="AY34" i="28"/>
  <c r="AY38" i="28" s="1"/>
  <c r="AZ66" i="28"/>
  <c r="AZ67" i="28" s="1"/>
  <c r="AY44" i="28"/>
  <c r="AY60" i="28" s="1"/>
  <c r="AY454" i="28" s="1"/>
  <c r="AY433" i="28" l="1"/>
  <c r="AZ45" i="28"/>
  <c r="AZ460" i="28" s="1"/>
  <c r="AZ459" i="28"/>
  <c r="AY450" i="28"/>
  <c r="BB454" i="28"/>
  <c r="AY193" i="6"/>
  <c r="BB415" i="28"/>
  <c r="BB456" i="28" s="1"/>
  <c r="AY261" i="28"/>
  <c r="AY447" i="28" s="1"/>
  <c r="AY446" i="28"/>
  <c r="AY434" i="28"/>
  <c r="AY455" i="28"/>
  <c r="AZ193" i="6"/>
  <c r="AY179" i="6"/>
  <c r="AZ179" i="6"/>
  <c r="BB447" i="28"/>
  <c r="BB448" i="28"/>
  <c r="AZ433" i="28"/>
  <c r="BB440" i="28"/>
  <c r="BB439" i="28"/>
  <c r="AY48" i="28"/>
  <c r="AY45" i="28"/>
  <c r="AY440" i="28" l="1"/>
  <c r="AY439" i="28"/>
  <c r="AY448" i="28"/>
  <c r="BB434" i="28"/>
  <c r="BB433" i="28"/>
  <c r="AY198" i="6"/>
  <c r="AY64" i="28"/>
  <c r="AY443" i="28"/>
  <c r="AY442" i="28"/>
  <c r="BB455" i="28"/>
  <c r="AZ198" i="6"/>
  <c r="BB39" i="21"/>
  <c r="BB38" i="21"/>
  <c r="BB36" i="21"/>
  <c r="BB35" i="21"/>
  <c r="BA33" i="21"/>
  <c r="AZ11" i="15" s="1"/>
  <c r="AZ12" i="15" s="1"/>
  <c r="AZ13" i="15" s="1"/>
  <c r="BB32" i="21"/>
  <c r="BB31" i="21"/>
  <c r="BB28" i="21"/>
  <c r="BA28" i="21"/>
  <c r="BB27" i="21"/>
  <c r="BB26" i="21"/>
  <c r="BB23" i="21"/>
  <c r="BB22" i="21"/>
  <c r="BB19" i="21"/>
  <c r="BB17" i="21"/>
  <c r="BB16" i="21"/>
  <c r="BB11" i="21"/>
  <c r="BA11" i="21"/>
  <c r="BB10" i="21"/>
  <c r="BA10" i="21"/>
  <c r="BB9" i="21"/>
  <c r="BA9" i="21"/>
  <c r="BB8" i="21"/>
  <c r="BA8" i="21"/>
  <c r="BB7" i="21"/>
  <c r="BA7" i="21"/>
  <c r="BB6" i="21"/>
  <c r="BA6" i="21"/>
  <c r="BA12" i="21" s="1"/>
  <c r="BA22" i="21" s="1"/>
  <c r="BB2" i="21"/>
  <c r="BA2" i="21"/>
  <c r="AZ18" i="21"/>
  <c r="AY39" i="21"/>
  <c r="AY38" i="21"/>
  <c r="AZ37" i="21"/>
  <c r="AY35" i="21"/>
  <c r="AZ33" i="21"/>
  <c r="AZ29" i="21"/>
  <c r="AY27" i="21"/>
  <c r="AY26" i="21"/>
  <c r="AZ24" i="21"/>
  <c r="AZ25" i="21" s="1"/>
  <c r="AZ15" i="21"/>
  <c r="AY12" i="21"/>
  <c r="BA1" i="35"/>
  <c r="BA6" i="35" s="1"/>
  <c r="BA48" i="35"/>
  <c r="BA46" i="35"/>
  <c r="BA45" i="35"/>
  <c r="BB42" i="35"/>
  <c r="BA42" i="35"/>
  <c r="BB41" i="35"/>
  <c r="BA41" i="35"/>
  <c r="BB40" i="35"/>
  <c r="BB38" i="35"/>
  <c r="BB33" i="35"/>
  <c r="BA33" i="35"/>
  <c r="BA32" i="35"/>
  <c r="BA34" i="35" s="1"/>
  <c r="BA43" i="35" s="1"/>
  <c r="BB30" i="35"/>
  <c r="BA30" i="35"/>
  <c r="BB29" i="35"/>
  <c r="BA29" i="35"/>
  <c r="BA52" i="11" s="1"/>
  <c r="BB28" i="35"/>
  <c r="BA28" i="35"/>
  <c r="BB26" i="35"/>
  <c r="BA9" i="15" s="1"/>
  <c r="BA26" i="35"/>
  <c r="AZ9" i="15" s="1"/>
  <c r="BB25" i="35"/>
  <c r="BA25" i="35"/>
  <c r="BB23" i="35"/>
  <c r="BA23" i="35"/>
  <c r="BB22" i="35"/>
  <c r="BA22" i="35"/>
  <c r="BB21" i="35"/>
  <c r="BA21" i="35"/>
  <c r="BB18" i="35"/>
  <c r="BA18" i="35"/>
  <c r="BB17" i="35"/>
  <c r="BA17" i="35"/>
  <c r="BB16" i="35"/>
  <c r="BA16" i="35"/>
  <c r="BB14" i="35"/>
  <c r="BA14" i="35"/>
  <c r="BB13" i="35"/>
  <c r="BA13" i="35"/>
  <c r="BB10" i="35"/>
  <c r="BB9" i="35"/>
  <c r="BB2" i="35"/>
  <c r="BA2" i="35"/>
  <c r="BB1" i="35"/>
  <c r="BA19" i="35"/>
  <c r="AY40" i="35"/>
  <c r="AZ39" i="35"/>
  <c r="AY39" i="35"/>
  <c r="AZ37" i="35"/>
  <c r="AY37" i="35"/>
  <c r="AY34" i="35"/>
  <c r="AY43" i="35" s="1"/>
  <c r="AZ31" i="35"/>
  <c r="AZ34" i="35" s="1"/>
  <c r="AZ43" i="35" s="1"/>
  <c r="AY31" i="35"/>
  <c r="AZ24" i="35"/>
  <c r="AZ34" i="36" s="1"/>
  <c r="AZ35" i="36" s="1"/>
  <c r="AZ36" i="36" s="1"/>
  <c r="AZ39" i="36" s="1"/>
  <c r="AZ30" i="36" s="1"/>
  <c r="BC59" i="59" s="1"/>
  <c r="AY24" i="35"/>
  <c r="AY34" i="36" s="1"/>
  <c r="AY35" i="36" s="1"/>
  <c r="AY36" i="36" s="1"/>
  <c r="AY39" i="36" s="1"/>
  <c r="AY30" i="36" s="1"/>
  <c r="BB59" i="59" s="1"/>
  <c r="AZ19" i="35"/>
  <c r="AY19" i="35"/>
  <c r="AZ15" i="35"/>
  <c r="AY15" i="35"/>
  <c r="AZ11" i="35"/>
  <c r="AY10" i="35"/>
  <c r="AY5" i="36" s="1"/>
  <c r="AY9" i="35"/>
  <c r="AY8" i="35"/>
  <c r="AZ7" i="35"/>
  <c r="AZ6" i="6" s="1"/>
  <c r="AZ6" i="35"/>
  <c r="AZ5" i="6" s="1"/>
  <c r="BA15" i="35" l="1"/>
  <c r="BA15" i="36"/>
  <c r="BA53" i="11"/>
  <c r="BA55" i="11" s="1"/>
  <c r="BA71" i="11"/>
  <c r="BD49" i="59" s="1"/>
  <c r="BB5" i="36"/>
  <c r="BB12" i="36"/>
  <c r="BE29" i="59" s="1"/>
  <c r="BB10" i="36"/>
  <c r="BB11" i="36"/>
  <c r="BE28" i="59" s="1"/>
  <c r="BA5" i="9"/>
  <c r="BA33" i="22" s="1"/>
  <c r="BA52" i="36"/>
  <c r="BA16" i="36"/>
  <c r="BD35" i="59" s="1"/>
  <c r="AZ17" i="15"/>
  <c r="BA7" i="35"/>
  <c r="BA6" i="6" s="1"/>
  <c r="BA12" i="6" s="1"/>
  <c r="BB6" i="59"/>
  <c r="AY12" i="49"/>
  <c r="AY13" i="49" s="1"/>
  <c r="AY14" i="49" s="1"/>
  <c r="AY15" i="49" s="1"/>
  <c r="AY18" i="49" s="1"/>
  <c r="AY19" i="49" s="1"/>
  <c r="BB15" i="35"/>
  <c r="BB5" i="9"/>
  <c r="BB33" i="22" s="1"/>
  <c r="BB16" i="36"/>
  <c r="BB52" i="36"/>
  <c r="BB55" i="36"/>
  <c r="BB54" i="36"/>
  <c r="BB51" i="36"/>
  <c r="BB17" i="36"/>
  <c r="BE36" i="59" s="1"/>
  <c r="BB37" i="21"/>
  <c r="BB33" i="21"/>
  <c r="BA17" i="15"/>
  <c r="BA5" i="6"/>
  <c r="AZ13" i="6"/>
  <c r="AZ7" i="6"/>
  <c r="AZ11" i="6"/>
  <c r="BB24" i="35"/>
  <c r="AZ14" i="6"/>
  <c r="AZ12" i="6"/>
  <c r="BA31" i="35"/>
  <c r="BA35" i="35" s="1"/>
  <c r="AY418" i="28"/>
  <c r="AY420" i="28" s="1"/>
  <c r="AZ20" i="21"/>
  <c r="BB12" i="21"/>
  <c r="BB29" i="21"/>
  <c r="AY22" i="21"/>
  <c r="AY459" i="28"/>
  <c r="AY429" i="28"/>
  <c r="BA115" i="10"/>
  <c r="AY460" i="28"/>
  <c r="BB31" i="35"/>
  <c r="AY35" i="35"/>
  <c r="AZ74" i="50" s="1"/>
  <c r="AY29" i="21"/>
  <c r="BA24" i="35"/>
  <c r="BB11" i="35"/>
  <c r="BB24" i="21"/>
  <c r="BB25" i="21" s="1"/>
  <c r="AY15" i="21"/>
  <c r="AZ35" i="35"/>
  <c r="AZ25" i="36" s="1"/>
  <c r="BC55" i="59" s="1"/>
  <c r="AZ8" i="35"/>
  <c r="AY44" i="35"/>
  <c r="AY11" i="35"/>
  <c r="AZ44" i="35"/>
  <c r="BB53" i="36" l="1"/>
  <c r="BB19" i="36" s="1"/>
  <c r="BE38" i="59" s="1"/>
  <c r="BE35" i="59"/>
  <c r="BB18" i="36"/>
  <c r="BE37" i="59" s="1"/>
  <c r="BD47" i="59"/>
  <c r="BA22" i="36"/>
  <c r="AZ242" i="6"/>
  <c r="AZ127" i="6"/>
  <c r="AZ131" i="6"/>
  <c r="AZ248" i="6"/>
  <c r="AZ250" i="6" s="1"/>
  <c r="AZ152" i="6"/>
  <c r="AZ157" i="6"/>
  <c r="BE6" i="59"/>
  <c r="BB12" i="49"/>
  <c r="BD34" i="59"/>
  <c r="BA65" i="8"/>
  <c r="BB13" i="36"/>
  <c r="BE30" i="59" s="1"/>
  <c r="BE27" i="59"/>
  <c r="BA84" i="9"/>
  <c r="AZ90" i="26"/>
  <c r="BA90" i="26"/>
  <c r="BB84" i="9"/>
  <c r="AZ228" i="6"/>
  <c r="AZ230" i="6" s="1"/>
  <c r="AZ234" i="6"/>
  <c r="AZ226" i="6"/>
  <c r="BB89" i="9"/>
  <c r="BA18" i="15" s="1"/>
  <c r="BB74" i="50"/>
  <c r="BF74" i="50"/>
  <c r="BA7" i="6"/>
  <c r="BA11" i="6"/>
  <c r="BA74" i="50"/>
  <c r="AZ225" i="6"/>
  <c r="AZ243" i="6" s="1"/>
  <c r="AZ15" i="6"/>
  <c r="BA116" i="10"/>
  <c r="BA118" i="10" s="1"/>
  <c r="BD43" i="59" s="1"/>
  <c r="BA134" i="10"/>
  <c r="BD45" i="59" s="1"/>
  <c r="AY422" i="28"/>
  <c r="AY426" i="28"/>
  <c r="AY430" i="28" s="1"/>
  <c r="AZ246" i="6"/>
  <c r="AZ244" i="6"/>
  <c r="AZ252" i="6"/>
  <c r="BA8" i="35"/>
  <c r="AZ249" i="6" l="1"/>
  <c r="BA21" i="36"/>
  <c r="AZ232" i="6"/>
  <c r="AZ235" i="6"/>
  <c r="AZ251" i="6"/>
  <c r="AZ245" i="6"/>
  <c r="AZ231" i="6"/>
  <c r="AZ238" i="6"/>
  <c r="AZ229" i="6"/>
  <c r="AZ236" i="6"/>
  <c r="AZ237" i="6" s="1"/>
  <c r="AZ35" i="6"/>
  <c r="AZ33" i="6"/>
  <c r="AZ36" i="6"/>
  <c r="AZ34" i="6"/>
  <c r="AZ56" i="6"/>
  <c r="AZ59" i="6"/>
  <c r="AZ253" i="6"/>
  <c r="AZ239" i="6" l="1"/>
  <c r="AZ255" i="6" s="1"/>
  <c r="AZ37" i="6"/>
  <c r="AV52" i="10" l="1"/>
  <c r="BB52" i="10" s="1"/>
  <c r="BD52" i="10" s="1"/>
  <c r="AV32" i="10"/>
  <c r="AV34" i="10"/>
  <c r="BB34" i="10" s="1"/>
  <c r="AV24" i="10"/>
  <c r="BB24" i="10" s="1"/>
  <c r="BD24" i="10" s="1"/>
  <c r="AV22" i="10"/>
  <c r="AV26" i="10"/>
  <c r="BB26" i="10" s="1"/>
  <c r="AV64" i="10"/>
  <c r="BB64" i="10" s="1"/>
  <c r="AV63" i="10"/>
  <c r="BB63" i="10" s="1"/>
  <c r="AX95" i="10"/>
  <c r="BF95" i="10" s="1"/>
  <c r="BG66" i="50"/>
  <c r="BC59" i="50" l="1"/>
  <c r="BC60" i="50" s="1"/>
  <c r="AS19" i="50"/>
  <c r="AW19" i="50"/>
  <c r="AW15" i="61" s="1"/>
  <c r="AU19" i="50" l="1"/>
  <c r="AY19" i="50" s="1"/>
  <c r="BG19" i="50" s="1"/>
  <c r="BC19" i="50"/>
  <c r="BE19" i="50" s="1"/>
  <c r="AY15" i="61"/>
  <c r="BG15" i="61" s="1"/>
  <c r="BC15" i="61"/>
  <c r="BE15" i="61" s="1"/>
  <c r="BA33" i="50"/>
  <c r="AX108" i="10"/>
  <c r="BF108" i="10" s="1"/>
  <c r="AX41" i="10"/>
  <c r="BF41" i="10" s="1"/>
  <c r="AX52" i="10"/>
  <c r="BF52" i="10" s="1"/>
  <c r="AX56" i="10"/>
  <c r="BF56" i="10" s="1"/>
  <c r="AX8" i="11"/>
  <c r="BF8" i="11" s="1"/>
  <c r="AX21" i="11"/>
  <c r="BF21" i="11" s="1"/>
  <c r="AW65" i="45"/>
  <c r="AY32" i="45"/>
  <c r="BG32" i="45" s="1"/>
  <c r="AY22" i="45"/>
  <c r="BG22" i="45" s="1"/>
  <c r="AZ119" i="10" l="1"/>
  <c r="AZ120" i="10" s="1"/>
  <c r="BA71" i="50"/>
  <c r="BA72" i="50" s="1"/>
  <c r="AW43" i="50"/>
  <c r="AW44" i="50"/>
  <c r="AW45" i="50"/>
  <c r="AW42" i="50"/>
  <c r="AW74" i="45"/>
  <c r="AW73" i="45"/>
  <c r="AW72" i="45"/>
  <c r="AW71" i="45"/>
  <c r="AW66" i="45"/>
  <c r="AW60" i="45"/>
  <c r="AV60" i="45"/>
  <c r="AW59" i="45"/>
  <c r="AV59" i="45"/>
  <c r="AW58" i="45"/>
  <c r="AV58" i="45"/>
  <c r="AW56" i="45"/>
  <c r="AW57" i="45" s="1"/>
  <c r="AW54" i="45"/>
  <c r="AV54" i="45"/>
  <c r="AW52" i="45"/>
  <c r="AV52" i="45"/>
  <c r="AW49" i="45"/>
  <c r="AV49" i="45"/>
  <c r="AV50" i="45" s="1"/>
  <c r="AW44" i="45"/>
  <c r="AW76" i="45" s="1"/>
  <c r="AW61" i="45"/>
  <c r="AV42" i="45"/>
  <c r="AV61" i="45" s="1"/>
  <c r="AW35" i="50"/>
  <c r="AW36" i="50"/>
  <c r="AW38" i="50"/>
  <c r="AW39" i="50"/>
  <c r="AW40" i="50"/>
  <c r="AW34" i="50"/>
  <c r="AV83" i="11"/>
  <c r="AV81" i="11"/>
  <c r="AV75" i="11"/>
  <c r="AV82" i="11" s="1"/>
  <c r="AV70" i="11"/>
  <c r="AU70" i="11"/>
  <c r="AV69" i="11"/>
  <c r="AU69" i="11"/>
  <c r="AV68" i="11"/>
  <c r="AU68" i="11"/>
  <c r="AV66" i="11"/>
  <c r="AV67" i="11" s="1"/>
  <c r="AV64" i="11"/>
  <c r="AU64" i="11"/>
  <c r="AV62" i="11"/>
  <c r="AU62" i="11"/>
  <c r="AV59" i="11"/>
  <c r="AV60" i="11" s="1"/>
  <c r="AU59" i="11"/>
  <c r="AU60" i="11" s="1"/>
  <c r="AV56" i="11"/>
  <c r="AV54" i="11"/>
  <c r="AV77" i="11" s="1"/>
  <c r="AV52" i="11"/>
  <c r="AV84" i="11" s="1"/>
  <c r="AU52" i="11"/>
  <c r="AU71" i="11" s="1"/>
  <c r="AW5" i="50"/>
  <c r="AW6" i="50"/>
  <c r="AW7" i="50"/>
  <c r="AW8" i="50"/>
  <c r="AW9" i="50"/>
  <c r="AW10" i="50"/>
  <c r="AW11" i="50"/>
  <c r="AW12" i="50"/>
  <c r="AW13" i="50"/>
  <c r="AW14" i="50"/>
  <c r="AW15" i="50"/>
  <c r="AW16" i="50"/>
  <c r="AW12" i="61" s="1"/>
  <c r="AW17" i="50"/>
  <c r="AW18" i="50"/>
  <c r="AW20" i="50"/>
  <c r="AW21" i="50"/>
  <c r="AW22" i="50"/>
  <c r="AW23" i="50"/>
  <c r="AW24" i="50"/>
  <c r="AW25" i="50"/>
  <c r="AW26" i="50"/>
  <c r="AW27" i="50"/>
  <c r="AW28" i="50"/>
  <c r="AW29" i="50"/>
  <c r="AW30" i="50"/>
  <c r="AW31" i="50"/>
  <c r="AW32" i="50"/>
  <c r="AW4" i="50"/>
  <c r="AP13" i="52"/>
  <c r="AO13" i="52"/>
  <c r="AP8" i="52"/>
  <c r="AO8" i="52"/>
  <c r="AW70" i="50"/>
  <c r="AW60" i="50"/>
  <c r="AV63" i="22"/>
  <c r="AV58" i="22"/>
  <c r="AV52" i="22"/>
  <c r="AV44" i="22"/>
  <c r="AV28" i="22"/>
  <c r="AV64" i="22" s="1"/>
  <c r="AV24" i="22"/>
  <c r="AV23" i="22"/>
  <c r="AV51" i="22" s="1"/>
  <c r="AV53" i="22" s="1"/>
  <c r="AV14" i="22"/>
  <c r="AV59" i="22" s="1"/>
  <c r="AV10" i="22"/>
  <c r="AV9" i="22"/>
  <c r="AV43" i="22" s="1"/>
  <c r="AU38" i="27"/>
  <c r="AU36" i="27"/>
  <c r="AU28" i="27"/>
  <c r="AU30" i="27"/>
  <c r="AU29" i="27"/>
  <c r="AU23" i="27"/>
  <c r="AU20" i="27"/>
  <c r="AU19" i="27"/>
  <c r="AU18" i="27"/>
  <c r="AV65" i="22" l="1"/>
  <c r="AV66" i="22" s="1"/>
  <c r="AV60" i="22"/>
  <c r="AV61" i="22" s="1"/>
  <c r="AW17" i="61"/>
  <c r="AV45" i="22"/>
  <c r="AP14" i="52"/>
  <c r="AV76" i="11"/>
  <c r="AW11" i="61"/>
  <c r="AW16" i="61"/>
  <c r="AW9" i="61"/>
  <c r="AW13" i="61"/>
  <c r="AW18" i="61"/>
  <c r="AW10" i="61"/>
  <c r="AW14" i="61"/>
  <c r="AV43" i="45"/>
  <c r="AW43" i="45"/>
  <c r="AW46" i="45" s="1"/>
  <c r="AW67" i="45"/>
  <c r="AW75" i="45"/>
  <c r="AW77" i="45" s="1"/>
  <c r="AW50" i="45"/>
  <c r="AV88" i="11"/>
  <c r="AU53" i="11"/>
  <c r="AU55" i="11" s="1"/>
  <c r="AX47" i="59" s="1"/>
  <c r="AV53" i="11"/>
  <c r="AV55" i="11" s="1"/>
  <c r="AY47" i="59" s="1"/>
  <c r="AV71" i="11"/>
  <c r="AV85" i="11"/>
  <c r="AV86" i="11" s="1"/>
  <c r="AO14" i="52"/>
  <c r="AW41" i="50"/>
  <c r="AW33" i="50"/>
  <c r="AW46" i="50"/>
  <c r="AV26" i="22"/>
  <c r="AV12" i="22"/>
  <c r="AV47" i="22"/>
  <c r="AV48" i="22" s="1"/>
  <c r="AV55" i="22"/>
  <c r="AV56" i="22" s="1"/>
  <c r="AV45" i="45" l="1"/>
  <c r="AX51" i="59" s="1"/>
  <c r="AV46" i="45"/>
  <c r="AW45" i="45"/>
  <c r="AW47" i="45"/>
  <c r="AV57" i="11"/>
  <c r="AW19" i="61"/>
  <c r="AW79" i="45"/>
  <c r="AW71" i="50"/>
  <c r="AY51" i="59" l="1"/>
  <c r="AT20" i="27"/>
  <c r="AZ20" i="27" s="1"/>
  <c r="AT40" i="27"/>
  <c r="AU37" i="27"/>
  <c r="AT34" i="27"/>
  <c r="AU27" i="27"/>
  <c r="AU22" i="27"/>
  <c r="AU21" i="27"/>
  <c r="AU28" i="15"/>
  <c r="AU26" i="15"/>
  <c r="AU25" i="15"/>
  <c r="AU20" i="15"/>
  <c r="AT18" i="15"/>
  <c r="AU17" i="15"/>
  <c r="AT17" i="15"/>
  <c r="AU14" i="15"/>
  <c r="AT11" i="15"/>
  <c r="AT12" i="15" s="1"/>
  <c r="AU10" i="15"/>
  <c r="AU9" i="15"/>
  <c r="AT9" i="15"/>
  <c r="AU8" i="15"/>
  <c r="AT8" i="15"/>
  <c r="AU7" i="15"/>
  <c r="AT7" i="15"/>
  <c r="AU6" i="15"/>
  <c r="AT6" i="15"/>
  <c r="AU5" i="15"/>
  <c r="AT5" i="15"/>
  <c r="AT14" i="15" l="1"/>
  <c r="AT15" i="15" s="1"/>
  <c r="AT25" i="27"/>
  <c r="AZ25" i="27"/>
  <c r="AT13" i="15"/>
  <c r="AU30" i="15"/>
  <c r="AU15" i="15" s="1"/>
  <c r="AU16" i="15" s="1"/>
  <c r="AU25" i="27"/>
  <c r="AU40" i="27"/>
  <c r="AU34" i="27"/>
  <c r="AU9" i="17"/>
  <c r="AW88" i="17" l="1"/>
  <c r="AV88" i="17"/>
  <c r="AT25" i="17"/>
  <c r="AT113" i="17"/>
  <c r="AT111" i="17"/>
  <c r="AT87" i="17"/>
  <c r="AU85" i="17"/>
  <c r="AT85" i="17"/>
  <c r="AU84" i="17"/>
  <c r="AU83" i="17"/>
  <c r="AT83" i="17"/>
  <c r="AU82" i="17"/>
  <c r="AT82" i="17"/>
  <c r="AU81" i="17"/>
  <c r="AT81" i="17"/>
  <c r="AU77" i="17"/>
  <c r="AT77" i="17"/>
  <c r="AU66" i="17"/>
  <c r="AU68" i="17" s="1"/>
  <c r="AT66" i="17"/>
  <c r="AT68" i="17" s="1"/>
  <c r="AT60" i="17"/>
  <c r="AU58" i="17"/>
  <c r="AU59" i="17" s="1"/>
  <c r="AT57" i="17"/>
  <c r="AT56" i="17"/>
  <c r="AT54" i="17"/>
  <c r="AU51" i="17"/>
  <c r="AT51" i="17"/>
  <c r="AU48" i="17"/>
  <c r="AT47" i="17"/>
  <c r="AU46" i="17"/>
  <c r="AT45" i="17"/>
  <c r="AU43" i="17"/>
  <c r="AU44" i="17" s="1"/>
  <c r="AT43" i="17"/>
  <c r="AU42" i="17"/>
  <c r="AU40" i="17"/>
  <c r="AU38" i="17"/>
  <c r="AU25" i="17"/>
  <c r="AU21" i="17"/>
  <c r="AU15" i="17" s="1"/>
  <c r="AT18" i="17"/>
  <c r="AT17" i="17"/>
  <c r="AT15" i="17"/>
  <c r="AT14" i="17"/>
  <c r="AU13" i="17"/>
  <c r="AU11" i="17"/>
  <c r="AU8" i="17"/>
  <c r="AT8" i="17"/>
  <c r="AT21" i="17" l="1"/>
  <c r="AT30" i="17" s="1"/>
  <c r="AU52" i="17"/>
  <c r="AU10" i="17"/>
  <c r="AT29" i="17"/>
  <c r="AT112" i="17"/>
  <c r="AU112" i="17"/>
  <c r="AT49" i="17"/>
  <c r="AT53" i="17" s="1"/>
  <c r="AT10" i="17"/>
  <c r="AU49" i="17"/>
  <c r="AU53" i="17" s="1"/>
  <c r="AU54" i="17" s="1"/>
  <c r="AT58" i="17"/>
  <c r="AT59" i="17" s="1"/>
  <c r="AT32" i="17"/>
  <c r="AT115" i="17"/>
  <c r="AU30" i="17"/>
  <c r="AU31" i="17"/>
  <c r="AU33" i="17"/>
  <c r="AU29" i="17"/>
  <c r="AU32" i="17"/>
  <c r="AU12" i="17"/>
  <c r="AU113" i="17" s="1"/>
  <c r="AT31" i="17"/>
  <c r="AU61" i="17"/>
  <c r="AU14" i="17"/>
  <c r="AU88" i="26"/>
  <c r="AT88" i="26"/>
  <c r="AU74" i="26"/>
  <c r="AT74" i="26"/>
  <c r="AU61" i="26"/>
  <c r="AT59" i="26"/>
  <c r="AU57" i="26"/>
  <c r="AT57" i="26"/>
  <c r="AU56" i="26"/>
  <c r="AT56" i="26"/>
  <c r="AU51" i="26"/>
  <c r="AT51" i="26"/>
  <c r="AT133" i="26" s="1"/>
  <c r="AU36" i="26"/>
  <c r="AU40" i="26" s="1"/>
  <c r="AT36" i="26"/>
  <c r="AU32" i="26"/>
  <c r="AT32" i="26"/>
  <c r="AT16" i="26"/>
  <c r="AT14" i="26"/>
  <c r="AU11" i="26"/>
  <c r="AU18" i="26" s="1"/>
  <c r="AT10" i="26"/>
  <c r="AT8" i="26"/>
  <c r="BA52" i="38"/>
  <c r="AW52" i="38"/>
  <c r="AZ94" i="38"/>
  <c r="AZ93" i="38"/>
  <c r="AZ92" i="38"/>
  <c r="AZ91" i="38"/>
  <c r="AY90" i="38"/>
  <c r="AZ89" i="38"/>
  <c r="AY88" i="38"/>
  <c r="AZ86" i="38"/>
  <c r="AZ85" i="38"/>
  <c r="AZ84" i="38"/>
  <c r="AZ83" i="38"/>
  <c r="AY82" i="38"/>
  <c r="AZ80" i="38"/>
  <c r="AZ79" i="38"/>
  <c r="AZ78" i="38"/>
  <c r="AZ77" i="38"/>
  <c r="AZ76" i="38"/>
  <c r="AZ75" i="38"/>
  <c r="AZ74" i="38"/>
  <c r="AZ73" i="38"/>
  <c r="AZ72" i="38"/>
  <c r="AZ71" i="38"/>
  <c r="AZ70" i="38"/>
  <c r="AZ69" i="38"/>
  <c r="AZ68" i="38"/>
  <c r="AZ67" i="38"/>
  <c r="AY66" i="38"/>
  <c r="AZ62" i="38"/>
  <c r="AZ61" i="38"/>
  <c r="AY60" i="38"/>
  <c r="AZ59" i="38"/>
  <c r="AZ58" i="38"/>
  <c r="AZ57" i="38"/>
  <c r="AZ56" i="38"/>
  <c r="AZ55" i="38"/>
  <c r="AY54" i="38"/>
  <c r="AY52" i="38"/>
  <c r="AZ51" i="38"/>
  <c r="AY51" i="38"/>
  <c r="AY46" i="38"/>
  <c r="AY45" i="38"/>
  <c r="AY44" i="38"/>
  <c r="AY43" i="38"/>
  <c r="AZ42" i="38"/>
  <c r="AZ90" i="38" s="1"/>
  <c r="AY41" i="38"/>
  <c r="AY40" i="38" s="1"/>
  <c r="AZ40" i="38"/>
  <c r="AZ88" i="38" s="1"/>
  <c r="AY38" i="38"/>
  <c r="AY37" i="38"/>
  <c r="AY36" i="38"/>
  <c r="AY35" i="38"/>
  <c r="AZ34" i="38"/>
  <c r="AZ82" i="38" s="1"/>
  <c r="AY32" i="38"/>
  <c r="AY31" i="38"/>
  <c r="AY30" i="38"/>
  <c r="AY29" i="38"/>
  <c r="AY28" i="38"/>
  <c r="AY27" i="38"/>
  <c r="AY26" i="38"/>
  <c r="AY25" i="38"/>
  <c r="AY24" i="38"/>
  <c r="AY23" i="38"/>
  <c r="AY22" i="38"/>
  <c r="AY21" i="38"/>
  <c r="AY20" i="38"/>
  <c r="AY19" i="38"/>
  <c r="AZ18" i="38"/>
  <c r="AZ17" i="38" s="1"/>
  <c r="AZ65" i="38" s="1"/>
  <c r="AY14" i="38"/>
  <c r="AY13" i="38"/>
  <c r="AZ12" i="38"/>
  <c r="AZ60" i="38" s="1"/>
  <c r="AY11" i="38"/>
  <c r="AY10" i="38"/>
  <c r="AY9" i="38"/>
  <c r="AY8" i="38"/>
  <c r="AY7" i="38"/>
  <c r="AZ6" i="38"/>
  <c r="AZ54" i="38" s="1"/>
  <c r="AV98" i="9"/>
  <c r="AV90" i="9"/>
  <c r="AV61" i="9"/>
  <c r="BB61" i="9" s="1"/>
  <c r="AT33" i="17" l="1"/>
  <c r="AT110" i="17"/>
  <c r="AT114" i="17" s="1"/>
  <c r="AT41" i="26"/>
  <c r="AT40" i="26"/>
  <c r="AT37" i="26"/>
  <c r="AT128" i="26"/>
  <c r="AT61" i="17"/>
  <c r="AT61" i="26"/>
  <c r="AT84" i="17"/>
  <c r="AU66" i="11"/>
  <c r="AU67" i="11" s="1"/>
  <c r="AV56" i="45"/>
  <c r="AV57" i="45" s="1"/>
  <c r="AU50" i="17"/>
  <c r="AU111" i="17" s="1"/>
  <c r="AU115" i="17" s="1"/>
  <c r="AU110" i="17"/>
  <c r="AU114" i="17" s="1"/>
  <c r="AT11" i="26"/>
  <c r="AT12" i="26" s="1"/>
  <c r="AU12" i="26"/>
  <c r="AU17" i="26"/>
  <c r="AU37" i="26"/>
  <c r="AU41" i="26"/>
  <c r="AZ66" i="38"/>
  <c r="AY87" i="38"/>
  <c r="AY64" i="38" s="1"/>
  <c r="AY34" i="38"/>
  <c r="AY63" i="38"/>
  <c r="AY42" i="38"/>
  <c r="AY6" i="38"/>
  <c r="AZ39" i="38"/>
  <c r="AZ87" i="38" s="1"/>
  <c r="AY18" i="38"/>
  <c r="AY12" i="38"/>
  <c r="AZ15" i="38"/>
  <c r="AZ63" i="38" s="1"/>
  <c r="AT125" i="26" l="1"/>
  <c r="AT132" i="26"/>
  <c r="AT17" i="26"/>
  <c r="AT18" i="26"/>
  <c r="AY39" i="38"/>
  <c r="AY15" i="38"/>
  <c r="AZ16" i="38"/>
  <c r="AZ64" i="38" s="1"/>
  <c r="AY17" i="38"/>
  <c r="AY16" i="38" l="1"/>
  <c r="AV146" i="10" l="1"/>
  <c r="AV144" i="10"/>
  <c r="AV138" i="10"/>
  <c r="AV145" i="10" s="1"/>
  <c r="AV133" i="10"/>
  <c r="AU133" i="10"/>
  <c r="AV132" i="10"/>
  <c r="AU132" i="10"/>
  <c r="AV131" i="10"/>
  <c r="AU131" i="10"/>
  <c r="AV129" i="10"/>
  <c r="AV130" i="10" s="1"/>
  <c r="AU129" i="10"/>
  <c r="AU130" i="10" s="1"/>
  <c r="AV127" i="10"/>
  <c r="AU127" i="10"/>
  <c r="AV125" i="10"/>
  <c r="AU125" i="10"/>
  <c r="AV122" i="10"/>
  <c r="AV123" i="10" s="1"/>
  <c r="AU122" i="10"/>
  <c r="AU123" i="10" s="1"/>
  <c r="AV119" i="10"/>
  <c r="AV117" i="10"/>
  <c r="AV148" i="10" s="1"/>
  <c r="AV115" i="10"/>
  <c r="AV134" i="10" s="1"/>
  <c r="AU115" i="10"/>
  <c r="AU134" i="10" s="1"/>
  <c r="AU116" i="10" l="1"/>
  <c r="AU118" i="10" s="1"/>
  <c r="AX43" i="59" s="1"/>
  <c r="AV139" i="10"/>
  <c r="AV116" i="10"/>
  <c r="AV140" i="10"/>
  <c r="AV147" i="10"/>
  <c r="AV149" i="10" s="1"/>
  <c r="AV153" i="10" l="1"/>
  <c r="AV118" i="10"/>
  <c r="AY43" i="59" s="1"/>
  <c r="AV120" i="10"/>
  <c r="AV151" i="10"/>
  <c r="AV301" i="28" l="1"/>
  <c r="BB301" i="28" s="1"/>
  <c r="AV295" i="28"/>
  <c r="BB295" i="28" s="1"/>
  <c r="AV305" i="28"/>
  <c r="BB305" i="28" s="1"/>
  <c r="AV284" i="28"/>
  <c r="BB284" i="28" s="1"/>
  <c r="AV277" i="28"/>
  <c r="BB277" i="28" s="1"/>
  <c r="BB319" i="28" l="1"/>
  <c r="BB452" i="28" l="1"/>
  <c r="BB451" i="28"/>
  <c r="AX204" i="28" l="1"/>
  <c r="BF204" i="28" s="1"/>
  <c r="AX380" i="28"/>
  <c r="BF380" i="28" s="1"/>
  <c r="AX411" i="28"/>
  <c r="BF411" i="28" s="1"/>
  <c r="AX322" i="28"/>
  <c r="BF322" i="28" s="1"/>
  <c r="AX323" i="28"/>
  <c r="BF323" i="28" s="1"/>
  <c r="AX330" i="28"/>
  <c r="BF330" i="28" s="1"/>
  <c r="AX311" i="28"/>
  <c r="BF311" i="28" s="1"/>
  <c r="AX237" i="28"/>
  <c r="BF237" i="28" s="1"/>
  <c r="AX220" i="28"/>
  <c r="BF220" i="28" s="1"/>
  <c r="BB176" i="28" l="1"/>
  <c r="BB443" i="28" l="1"/>
  <c r="BB444" i="28"/>
  <c r="AX67" i="8"/>
  <c r="AW67" i="8"/>
  <c r="AL57" i="8"/>
  <c r="AV57" i="8"/>
  <c r="BB57" i="8" s="1"/>
  <c r="BB49" i="8" s="1"/>
  <c r="AU82" i="7"/>
  <c r="AV71" i="7"/>
  <c r="AU71" i="7"/>
  <c r="AV69" i="7"/>
  <c r="AU69" i="7"/>
  <c r="AV62" i="7"/>
  <c r="AU62" i="7"/>
  <c r="AV58" i="7"/>
  <c r="AV60" i="7" s="1"/>
  <c r="AU58" i="7"/>
  <c r="AU60" i="7" s="1"/>
  <c r="AV54" i="7"/>
  <c r="AV65" i="7" s="1"/>
  <c r="AU54" i="7"/>
  <c r="AU55" i="7" s="1"/>
  <c r="AV16" i="7"/>
  <c r="AV30" i="7" s="1"/>
  <c r="AU16" i="7"/>
  <c r="AU30" i="7" s="1"/>
  <c r="AU21" i="7" l="1"/>
  <c r="AU84" i="7" s="1"/>
  <c r="AU19" i="7"/>
  <c r="AU75" i="7" s="1"/>
  <c r="AU25" i="7"/>
  <c r="AU80" i="7" s="1"/>
  <c r="AU27" i="7"/>
  <c r="AU77" i="7" s="1"/>
  <c r="AU23" i="7"/>
  <c r="AU78" i="7" s="1"/>
  <c r="AV22" i="7"/>
  <c r="AV81" i="7" s="1"/>
  <c r="AV27" i="7"/>
  <c r="AV77" i="7" s="1"/>
  <c r="AV47" i="7"/>
  <c r="AV19" i="7"/>
  <c r="AV68" i="7"/>
  <c r="AV20" i="7"/>
  <c r="AV25" i="7"/>
  <c r="AV80" i="7" s="1"/>
  <c r="AV43" i="7"/>
  <c r="AV48" i="7"/>
  <c r="AV56" i="7"/>
  <c r="AV18" i="7"/>
  <c r="AV74" i="7" s="1"/>
  <c r="AV23" i="7"/>
  <c r="AV78" i="7" s="1"/>
  <c r="AV26" i="7"/>
  <c r="AV83" i="7" s="1"/>
  <c r="AV44" i="7"/>
  <c r="AV82" i="7" s="1"/>
  <c r="AV49" i="7"/>
  <c r="AV63" i="7"/>
  <c r="AV21" i="7"/>
  <c r="AV24" i="7"/>
  <c r="AV79" i="7" s="1"/>
  <c r="AV45" i="7"/>
  <c r="AU65" i="7"/>
  <c r="AU70" i="7"/>
  <c r="AU18" i="7"/>
  <c r="AU74" i="7" s="1"/>
  <c r="AU20" i="7"/>
  <c r="AU76" i="7" s="1"/>
  <c r="AU22" i="7"/>
  <c r="AU81" i="7" s="1"/>
  <c r="AU24" i="7"/>
  <c r="AU79" i="7" s="1"/>
  <c r="AU26" i="7"/>
  <c r="AU83" i="7" s="1"/>
  <c r="AU63" i="7"/>
  <c r="AU68" i="7"/>
  <c r="AU39" i="7"/>
  <c r="AV41" i="7"/>
  <c r="AV39" i="7"/>
  <c r="AV42" i="7"/>
  <c r="AV46" i="7"/>
  <c r="AV70" i="7"/>
  <c r="AU28" i="7" l="1"/>
  <c r="AU41" i="7" s="1"/>
  <c r="AU64" i="7" s="1"/>
  <c r="AV76" i="7"/>
  <c r="AU85" i="7"/>
  <c r="AV75" i="7"/>
  <c r="AV28" i="7"/>
  <c r="AV84" i="7"/>
  <c r="AV50" i="7"/>
  <c r="AV64" i="7"/>
  <c r="AU50" i="7" l="1"/>
  <c r="AV85" i="7"/>
  <c r="AV160" i="64"/>
  <c r="AV92" i="64"/>
  <c r="AT160" i="64" l="1"/>
  <c r="AU11" i="15"/>
  <c r="AU12" i="15" s="1"/>
  <c r="AU13" i="15" s="1"/>
  <c r="AV424" i="28"/>
  <c r="AV426" i="28" s="1"/>
  <c r="AV430" i="28" s="1"/>
  <c r="AV420" i="28"/>
  <c r="AV318" i="28"/>
  <c r="AV319" i="28" s="1"/>
  <c r="AV261" i="28"/>
  <c r="AV175" i="28"/>
  <c r="AV176" i="28" s="1"/>
  <c r="AV65" i="28"/>
  <c r="AV64" i="28"/>
  <c r="AV62" i="28"/>
  <c r="AV455" i="28" s="1"/>
  <c r="AV58" i="28"/>
  <c r="AV54" i="28"/>
  <c r="AV50" i="28"/>
  <c r="AV36" i="28"/>
  <c r="AV35" i="28"/>
  <c r="AV34" i="28"/>
  <c r="AV33" i="28"/>
  <c r="AU33" i="28"/>
  <c r="AV31" i="28"/>
  <c r="AU27" i="28"/>
  <c r="AU31" i="28" s="1"/>
  <c r="AV24" i="28"/>
  <c r="AU21" i="28"/>
  <c r="AV18" i="28"/>
  <c r="AU15" i="28"/>
  <c r="AU18" i="28" s="1"/>
  <c r="AV11" i="28"/>
  <c r="AU8" i="28"/>
  <c r="AU11" i="28" s="1"/>
  <c r="AV16" i="49"/>
  <c r="AV17" i="49" s="1"/>
  <c r="AV10" i="49"/>
  <c r="AU10" i="49"/>
  <c r="AV8" i="49"/>
  <c r="AV7" i="49"/>
  <c r="BA32" i="59"/>
  <c r="AZ32" i="59"/>
  <c r="AZ10" i="59"/>
  <c r="AZ9" i="59"/>
  <c r="AZ8" i="59"/>
  <c r="AY58" i="59"/>
  <c r="AX58" i="59"/>
  <c r="AY57" i="59"/>
  <c r="AX57" i="59"/>
  <c r="AY56" i="59"/>
  <c r="AX56" i="59"/>
  <c r="AX55" i="59"/>
  <c r="AY54" i="59"/>
  <c r="AX54" i="59"/>
  <c r="AY53" i="59"/>
  <c r="AX53" i="59"/>
  <c r="AY52" i="59"/>
  <c r="AX52" i="59"/>
  <c r="AY49" i="59"/>
  <c r="AX49" i="59"/>
  <c r="AY48" i="59"/>
  <c r="AX48" i="59"/>
  <c r="AY45" i="59"/>
  <c r="AX45" i="59"/>
  <c r="AY44" i="59"/>
  <c r="AX44" i="59"/>
  <c r="AX41" i="59"/>
  <c r="AX40" i="59"/>
  <c r="AX39" i="59"/>
  <c r="AX36" i="59"/>
  <c r="AX35" i="59"/>
  <c r="AX34" i="59"/>
  <c r="AX33" i="59"/>
  <c r="AY32" i="59"/>
  <c r="AX32" i="59"/>
  <c r="AY31" i="59"/>
  <c r="AX31" i="59"/>
  <c r="AX29" i="59"/>
  <c r="AX28" i="59"/>
  <c r="AX27" i="59"/>
  <c r="AY26" i="59"/>
  <c r="AX26" i="59"/>
  <c r="AY25" i="59"/>
  <c r="AX25" i="59"/>
  <c r="AY24" i="59"/>
  <c r="AX24" i="59"/>
  <c r="AY23" i="59"/>
  <c r="AX23" i="59"/>
  <c r="AY22" i="59"/>
  <c r="AX22" i="59"/>
  <c r="AY21" i="59"/>
  <c r="AX21" i="59"/>
  <c r="AY20" i="59"/>
  <c r="AX20" i="59"/>
  <c r="AY19" i="59"/>
  <c r="AX19" i="59"/>
  <c r="AY18" i="59"/>
  <c r="AX18" i="59"/>
  <c r="AY17" i="59"/>
  <c r="AX17" i="59"/>
  <c r="AY15" i="59"/>
  <c r="AX15" i="59"/>
  <c r="AY14" i="59"/>
  <c r="AX14" i="59"/>
  <c r="AY13" i="59"/>
  <c r="AX13" i="59"/>
  <c r="AY12" i="59"/>
  <c r="AX12" i="59"/>
  <c r="AX31" i="36"/>
  <c r="AW31" i="36"/>
  <c r="AU39" i="21"/>
  <c r="AU38" i="21"/>
  <c r="AV37" i="21"/>
  <c r="AU35" i="21"/>
  <c r="AV33" i="21"/>
  <c r="AV29" i="21"/>
  <c r="AU27" i="21"/>
  <c r="AU429" i="28" s="1"/>
  <c r="AU26" i="21"/>
  <c r="AU418" i="28" s="1"/>
  <c r="AU420" i="28" s="1"/>
  <c r="AV24" i="21"/>
  <c r="AV25" i="21" s="1"/>
  <c r="AV18" i="21"/>
  <c r="AV15" i="21"/>
  <c r="AV12" i="21"/>
  <c r="AU12" i="21"/>
  <c r="AU22" i="21" s="1"/>
  <c r="AV48" i="35"/>
  <c r="BB48" i="35" s="1"/>
  <c r="BB19" i="35" s="1"/>
  <c r="AV46" i="35"/>
  <c r="AV45" i="35"/>
  <c r="AV37" i="35"/>
  <c r="BB37" i="35" s="1"/>
  <c r="AV451" i="28" l="1"/>
  <c r="AU176" i="28"/>
  <c r="AU444" i="28" s="1"/>
  <c r="AU422" i="28"/>
  <c r="AU426" i="28"/>
  <c r="AU430" i="28" s="1"/>
  <c r="AV41" i="28"/>
  <c r="AV444" i="28"/>
  <c r="AV442" i="28"/>
  <c r="AV43" i="28"/>
  <c r="AV452" i="28"/>
  <c r="AV450" i="28"/>
  <c r="AU261" i="28"/>
  <c r="AU448" i="28" s="1"/>
  <c r="AU415" i="28"/>
  <c r="AU456" i="28" s="1"/>
  <c r="AV443" i="28"/>
  <c r="AV42" i="28"/>
  <c r="AV446" i="28"/>
  <c r="AV448" i="28"/>
  <c r="AV44" i="28"/>
  <c r="AV456" i="28"/>
  <c r="AV454" i="28"/>
  <c r="AV447" i="28"/>
  <c r="AV433" i="28"/>
  <c r="AU29" i="21"/>
  <c r="AV20" i="21"/>
  <c r="AU34" i="28"/>
  <c r="AV439" i="28"/>
  <c r="AU41" i="28"/>
  <c r="AU42" i="28"/>
  <c r="AU433" i="28"/>
  <c r="AU24" i="28"/>
  <c r="AV66" i="28"/>
  <c r="AV67" i="28" s="1"/>
  <c r="AV38" i="28"/>
  <c r="AV459" i="28" s="1"/>
  <c r="AU44" i="28"/>
  <c r="AV427" i="28"/>
  <c r="AU15" i="21"/>
  <c r="AV45" i="28" l="1"/>
  <c r="AV460" i="28" s="1"/>
  <c r="AU38" i="28"/>
  <c r="AU459" i="28" s="1"/>
  <c r="AU319" i="28"/>
  <c r="AU452" i="28" s="1"/>
  <c r="AV39" i="28"/>
  <c r="AV434" i="28"/>
  <c r="AV440" i="28"/>
  <c r="AU60" i="28"/>
  <c r="AU52" i="28"/>
  <c r="AU48" i="28"/>
  <c r="AU440" i="28"/>
  <c r="AU43" i="28"/>
  <c r="AU443" i="28" l="1"/>
  <c r="AU442" i="28"/>
  <c r="AU447" i="28"/>
  <c r="AU446" i="28"/>
  <c r="AU455" i="28"/>
  <c r="AU454" i="28"/>
  <c r="AU434" i="28"/>
  <c r="AU439" i="28"/>
  <c r="AU56" i="28"/>
  <c r="AU45" i="28"/>
  <c r="AU460" i="28" s="1"/>
  <c r="AU451" i="28" l="1"/>
  <c r="AU450" i="28"/>
  <c r="AU64" i="28"/>
  <c r="AV44" i="9" l="1"/>
  <c r="BB44" i="9" s="1"/>
  <c r="BB42" i="9"/>
  <c r="AV20" i="8"/>
  <c r="BB20" i="8" s="1"/>
  <c r="BB45" i="9" l="1"/>
  <c r="AV45" i="9"/>
  <c r="AV133" i="9"/>
  <c r="AV94" i="9"/>
  <c r="AU94" i="9"/>
  <c r="AV93" i="9"/>
  <c r="AU93" i="9"/>
  <c r="AV92" i="9"/>
  <c r="AU92" i="9"/>
  <c r="AV88" i="9"/>
  <c r="AU85" i="9"/>
  <c r="AU84" i="9"/>
  <c r="AU71" i="9"/>
  <c r="AV56" i="9"/>
  <c r="AU46" i="9"/>
  <c r="AV39" i="9"/>
  <c r="AV47" i="9" s="1"/>
  <c r="AV38" i="9"/>
  <c r="AV46" i="9" s="1"/>
  <c r="AV37" i="9"/>
  <c r="AV34" i="9"/>
  <c r="AV28" i="9"/>
  <c r="AV29" i="9" s="1"/>
  <c r="AU27" i="9"/>
  <c r="AU25" i="9"/>
  <c r="AV22" i="9"/>
  <c r="AV10" i="9"/>
  <c r="AV5" i="9"/>
  <c r="AV84" i="9" s="1"/>
  <c r="AU5" i="9"/>
  <c r="AU12" i="8"/>
  <c r="AV117" i="8"/>
  <c r="AV118" i="8" s="1"/>
  <c r="AV105" i="8"/>
  <c r="AV106" i="8" s="1"/>
  <c r="AV85" i="8"/>
  <c r="AV80" i="8"/>
  <c r="AV77" i="8"/>
  <c r="AU77" i="8"/>
  <c r="AV75" i="8"/>
  <c r="AU75" i="8"/>
  <c r="AV74" i="8"/>
  <c r="AU74" i="8"/>
  <c r="AU65" i="8"/>
  <c r="AV59" i="8"/>
  <c r="AV58" i="8"/>
  <c r="AV54" i="8"/>
  <c r="AV51" i="8"/>
  <c r="AV45" i="8"/>
  <c r="AU45" i="8"/>
  <c r="AU38" i="8"/>
  <c r="AU37" i="8"/>
  <c r="AU36" i="8"/>
  <c r="AV25" i="8"/>
  <c r="AU20" i="8"/>
  <c r="AU18" i="8"/>
  <c r="AV16" i="8"/>
  <c r="AU16" i="8"/>
  <c r="AV14" i="8"/>
  <c r="AV13" i="8"/>
  <c r="AU13" i="8"/>
  <c r="AV12" i="8"/>
  <c r="AV5" i="8"/>
  <c r="AU5" i="8"/>
  <c r="AU27" i="8" s="1"/>
  <c r="AW14" i="39"/>
  <c r="AX196" i="6"/>
  <c r="AW196" i="6"/>
  <c r="AX195" i="6"/>
  <c r="AW195" i="6"/>
  <c r="AX194" i="6"/>
  <c r="AW194" i="6"/>
  <c r="AX190" i="6"/>
  <c r="AW190" i="6"/>
  <c r="AX188" i="6"/>
  <c r="AW188" i="6"/>
  <c r="AX187" i="6"/>
  <c r="AW187" i="6"/>
  <c r="AX186" i="6"/>
  <c r="AW186" i="6"/>
  <c r="AX185" i="6"/>
  <c r="AW185" i="6"/>
  <c r="AX184" i="6"/>
  <c r="AW184" i="6"/>
  <c r="AX183" i="6"/>
  <c r="AW183" i="6"/>
  <c r="AX182" i="6"/>
  <c r="AW182" i="6"/>
  <c r="AV196" i="6"/>
  <c r="AU196" i="6"/>
  <c r="AV195" i="6"/>
  <c r="AU195" i="6"/>
  <c r="AV194" i="6"/>
  <c r="AU194" i="6"/>
  <c r="AV190" i="6"/>
  <c r="AU190" i="6"/>
  <c r="AV188" i="6"/>
  <c r="AU188" i="6"/>
  <c r="AV187" i="6"/>
  <c r="AU187" i="6"/>
  <c r="AV186" i="6"/>
  <c r="AU186" i="6"/>
  <c r="AV185" i="6"/>
  <c r="AU185" i="6"/>
  <c r="AV184" i="6"/>
  <c r="AU184" i="6"/>
  <c r="AV183" i="6"/>
  <c r="AU183" i="6"/>
  <c r="AV182" i="6"/>
  <c r="AU182" i="6"/>
  <c r="AV156" i="6"/>
  <c r="AU156" i="6"/>
  <c r="AV155" i="6"/>
  <c r="AU155" i="6"/>
  <c r="AV154" i="6"/>
  <c r="AU154" i="6"/>
  <c r="AV130" i="6"/>
  <c r="AU130" i="6"/>
  <c r="AV129" i="6"/>
  <c r="AU129" i="6"/>
  <c r="AV105" i="6"/>
  <c r="AV104" i="6"/>
  <c r="AV103" i="6"/>
  <c r="AU103" i="6"/>
  <c r="AV100" i="6"/>
  <c r="AU100" i="6"/>
  <c r="AV99" i="6"/>
  <c r="AU99" i="6"/>
  <c r="AV97" i="6"/>
  <c r="AU97" i="6"/>
  <c r="AV96" i="6"/>
  <c r="AU96" i="6"/>
  <c r="AV95" i="6"/>
  <c r="AU95" i="6"/>
  <c r="AV94" i="6"/>
  <c r="AU94" i="6"/>
  <c r="AV87" i="6"/>
  <c r="AU87" i="6"/>
  <c r="AV84" i="6"/>
  <c r="AU84" i="6"/>
  <c r="AV73" i="6"/>
  <c r="AU73" i="6"/>
  <c r="AV70" i="6"/>
  <c r="AU70" i="6"/>
  <c r="AV52" i="6"/>
  <c r="AU52" i="6"/>
  <c r="AV44" i="6"/>
  <c r="AU44" i="6"/>
  <c r="AV41" i="6"/>
  <c r="AU41" i="6"/>
  <c r="AU37" i="6"/>
  <c r="AV28" i="6"/>
  <c r="AV25" i="6"/>
  <c r="AV22" i="6"/>
  <c r="AV18" i="6"/>
  <c r="AV30" i="6" s="1"/>
  <c r="AV17" i="6"/>
  <c r="AV161" i="6" s="1"/>
  <c r="AU6" i="6"/>
  <c r="AU14" i="6" s="1"/>
  <c r="AU5" i="6"/>
  <c r="AV55" i="36"/>
  <c r="AV54" i="36"/>
  <c r="AU53" i="36"/>
  <c r="AV52" i="36"/>
  <c r="AV51" i="36"/>
  <c r="AU49" i="36"/>
  <c r="AU48" i="36"/>
  <c r="AV47" i="36"/>
  <c r="AU45" i="36"/>
  <c r="AU47" i="36" s="1"/>
  <c r="AV33" i="36"/>
  <c r="AU33" i="36"/>
  <c r="AU44" i="36" s="1"/>
  <c r="AV26" i="36"/>
  <c r="AV23" i="36"/>
  <c r="AU23" i="36"/>
  <c r="AV22" i="36"/>
  <c r="AU22" i="36"/>
  <c r="AV21" i="36"/>
  <c r="AU21" i="36"/>
  <c r="AU19" i="36"/>
  <c r="AX38" i="59" s="1"/>
  <c r="AU18" i="36"/>
  <c r="AX37" i="59" s="1"/>
  <c r="AV17" i="36"/>
  <c r="AY36" i="59" s="1"/>
  <c r="AV16" i="36"/>
  <c r="AY35" i="59" s="1"/>
  <c r="AU13" i="36"/>
  <c r="AX30" i="59" s="1"/>
  <c r="AV12" i="36"/>
  <c r="AY29" i="59" s="1"/>
  <c r="AV11" i="36"/>
  <c r="AY28" i="59" s="1"/>
  <c r="AV10" i="36"/>
  <c r="AY27" i="59" s="1"/>
  <c r="AV5" i="36"/>
  <c r="AU26" i="8" l="1"/>
  <c r="AU22" i="8"/>
  <c r="AU7" i="49" s="1"/>
  <c r="AU60" i="8"/>
  <c r="AU78" i="8"/>
  <c r="AV15" i="8"/>
  <c r="AU39" i="8"/>
  <c r="AU46" i="8"/>
  <c r="AV60" i="8"/>
  <c r="AU23" i="8"/>
  <c r="AV52" i="8"/>
  <c r="AU15" i="8"/>
  <c r="AV12" i="49"/>
  <c r="AY6" i="59"/>
  <c r="AU28" i="8"/>
  <c r="AU5" i="49"/>
  <c r="AU24" i="8"/>
  <c r="AU29" i="8"/>
  <c r="AU71" i="8"/>
  <c r="AV89" i="8"/>
  <c r="AV137" i="9" s="1"/>
  <c r="AU86" i="9"/>
  <c r="AV85" i="9"/>
  <c r="AV86" i="9" s="1"/>
  <c r="AU64" i="9"/>
  <c r="AU33" i="22"/>
  <c r="AT90" i="26"/>
  <c r="AV89" i="9"/>
  <c r="AU18" i="15" s="1"/>
  <c r="AV33" i="22"/>
  <c r="AU90" i="26"/>
  <c r="AV48" i="9"/>
  <c r="AV71" i="9" s="1"/>
  <c r="AV91" i="9"/>
  <c r="AU7" i="6"/>
  <c r="AU11" i="6"/>
  <c r="AU13" i="6"/>
  <c r="AU95" i="9"/>
  <c r="AV95" i="9"/>
  <c r="AV46" i="8"/>
  <c r="AV5" i="49"/>
  <c r="AV63" i="8"/>
  <c r="AV9" i="49"/>
  <c r="AV11" i="49" s="1"/>
  <c r="AV101" i="6"/>
  <c r="AV53" i="36"/>
  <c r="AV19" i="36" s="1"/>
  <c r="AY38" i="59" s="1"/>
  <c r="AV18" i="36"/>
  <c r="AY37" i="59" s="1"/>
  <c r="AV40" i="9"/>
  <c r="AV14" i="9"/>
  <c r="AU28" i="9"/>
  <c r="AU29" i="9" s="1"/>
  <c r="AV135" i="9"/>
  <c r="AV136" i="9" s="1"/>
  <c r="AU61" i="9"/>
  <c r="AU90" i="9"/>
  <c r="AU22" i="9"/>
  <c r="AU30" i="9"/>
  <c r="AU57" i="9"/>
  <c r="AU66" i="9"/>
  <c r="AU7" i="9"/>
  <c r="AU54" i="9"/>
  <c r="AU58" i="9"/>
  <c r="AU63" i="9"/>
  <c r="AU67" i="9"/>
  <c r="AU65" i="9"/>
  <c r="AU62" i="9"/>
  <c r="AU87" i="9"/>
  <c r="AU60" i="9"/>
  <c r="AV87" i="8"/>
  <c r="AV88" i="8" s="1"/>
  <c r="AV13" i="36"/>
  <c r="AY30" i="59" s="1"/>
  <c r="AV34" i="8"/>
  <c r="AV64" i="8"/>
  <c r="AU34" i="8"/>
  <c r="AV56" i="8"/>
  <c r="AV42" i="8"/>
  <c r="AU52" i="8"/>
  <c r="AV40" i="8"/>
  <c r="AV68" i="8"/>
  <c r="AY33" i="59" s="1"/>
  <c r="AV36" i="8"/>
  <c r="AV38" i="8"/>
  <c r="AV41" i="8"/>
  <c r="AV55" i="8"/>
  <c r="AV72" i="8"/>
  <c r="AV78" i="8"/>
  <c r="AV32" i="8"/>
  <c r="AV37" i="8"/>
  <c r="AV43" i="8"/>
  <c r="AV98" i="6"/>
  <c r="AU98" i="6"/>
  <c r="AU27" i="6"/>
  <c r="AU24" i="6"/>
  <c r="AU21" i="6"/>
  <c r="AU18" i="6"/>
  <c r="AU151" i="6"/>
  <c r="AU157" i="6"/>
  <c r="AU15" i="6"/>
  <c r="AU56" i="6" s="1"/>
  <c r="AU26" i="6"/>
  <c r="AU131" i="6"/>
  <c r="AU12" i="6"/>
  <c r="AU17" i="6"/>
  <c r="AU74" i="6"/>
  <c r="AU78" i="6" s="1"/>
  <c r="AU113" i="6" s="1"/>
  <c r="AU88" i="6"/>
  <c r="AU92" i="6" s="1"/>
  <c r="AU138" i="6" s="1"/>
  <c r="AU126" i="6"/>
  <c r="AV19" i="6"/>
  <c r="AV74" i="6"/>
  <c r="AV78" i="6" s="1"/>
  <c r="AV88" i="6"/>
  <c r="AV92" i="6" s="1"/>
  <c r="AV138" i="6" s="1"/>
  <c r="AU20" i="6"/>
  <c r="AU23" i="6"/>
  <c r="AU101" i="6"/>
  <c r="AV29" i="6"/>
  <c r="AU25" i="8" l="1"/>
  <c r="AV13" i="49"/>
  <c r="AU8" i="49"/>
  <c r="AU58" i="8"/>
  <c r="AU16" i="49"/>
  <c r="AU17" i="49" s="1"/>
  <c r="AU5" i="26"/>
  <c r="AU66" i="8"/>
  <c r="AU21" i="22"/>
  <c r="AU7" i="22"/>
  <c r="AV102" i="6"/>
  <c r="AV106" i="6" s="1"/>
  <c r="AV160" i="6" s="1"/>
  <c r="AU59" i="6"/>
  <c r="AU56" i="9"/>
  <c r="AU83" i="9"/>
  <c r="AV138" i="9"/>
  <c r="AV140" i="9"/>
  <c r="AV141" i="9" s="1"/>
  <c r="AV80" i="9"/>
  <c r="AV76" i="9"/>
  <c r="AV72" i="9"/>
  <c r="AV69" i="9"/>
  <c r="AV78" i="9"/>
  <c r="AV73" i="9"/>
  <c r="AV79" i="9"/>
  <c r="AV75" i="9"/>
  <c r="AV82" i="9"/>
  <c r="AY40" i="59" s="1"/>
  <c r="AV74" i="9"/>
  <c r="AV52" i="9"/>
  <c r="AV81" i="9"/>
  <c r="AV77" i="9"/>
  <c r="AY41" i="59" s="1"/>
  <c r="AV70" i="9"/>
  <c r="AV51" i="9"/>
  <c r="AY39" i="59" s="1"/>
  <c r="AV47" i="8"/>
  <c r="AV92" i="8"/>
  <c r="AV61" i="8"/>
  <c r="AV33" i="8"/>
  <c r="AV90" i="8"/>
  <c r="AV39" i="8"/>
  <c r="AV62" i="8"/>
  <c r="AU56" i="8"/>
  <c r="AV31" i="6"/>
  <c r="AU102" i="6"/>
  <c r="AU106" i="6" s="1"/>
  <c r="AU169" i="6" s="1"/>
  <c r="AU136" i="6"/>
  <c r="AU28" i="6"/>
  <c r="AU25" i="6"/>
  <c r="AU110" i="6"/>
  <c r="AV136" i="6"/>
  <c r="AV113" i="6"/>
  <c r="AV111" i="6"/>
  <c r="AV168" i="6"/>
  <c r="AU22" i="6"/>
  <c r="AU29" i="6"/>
  <c r="AU19" i="6"/>
  <c r="AU111" i="6"/>
  <c r="AV135" i="6"/>
  <c r="AU135" i="6"/>
  <c r="AV110" i="6"/>
  <c r="AU30" i="6"/>
  <c r="AV175" i="6" l="1"/>
  <c r="AV172" i="6"/>
  <c r="AV173" i="6" s="1"/>
  <c r="AV192" i="6" s="1"/>
  <c r="AV162" i="6"/>
  <c r="AV167" i="6"/>
  <c r="AV169" i="6"/>
  <c r="AV176" i="6"/>
  <c r="AV177" i="6"/>
  <c r="AV171" i="6"/>
  <c r="AV112" i="6"/>
  <c r="AV7" i="36" s="1"/>
  <c r="AY8" i="59" s="1"/>
  <c r="AV166" i="6"/>
  <c r="AV170" i="6" s="1"/>
  <c r="AU22" i="22"/>
  <c r="AU8" i="22"/>
  <c r="AV14" i="49"/>
  <c r="AV15" i="49" s="1"/>
  <c r="AV18" i="49" s="1"/>
  <c r="AV19" i="49" s="1"/>
  <c r="AV15" i="36" s="1"/>
  <c r="AV65" i="8" s="1"/>
  <c r="AU9" i="49"/>
  <c r="AU11" i="49" s="1"/>
  <c r="AU32" i="8"/>
  <c r="AV142" i="9"/>
  <c r="AU166" i="6"/>
  <c r="AU168" i="6"/>
  <c r="AU172" i="6"/>
  <c r="AV93" i="8"/>
  <c r="AU33" i="8"/>
  <c r="AV94" i="8"/>
  <c r="AV137" i="6"/>
  <c r="AV8" i="36" s="1"/>
  <c r="AU175" i="6"/>
  <c r="AU178" i="6" s="1"/>
  <c r="AU197" i="6" s="1"/>
  <c r="AU167" i="6"/>
  <c r="AU137" i="6"/>
  <c r="AU8" i="36" s="1"/>
  <c r="AX9" i="59" s="1"/>
  <c r="AU171" i="6"/>
  <c r="AU173" i="6" s="1"/>
  <c r="AU192" i="6" s="1"/>
  <c r="AU31" i="6"/>
  <c r="AV178" i="6"/>
  <c r="AV197" i="6" s="1"/>
  <c r="AU112" i="6"/>
  <c r="AU7" i="36" s="1"/>
  <c r="AX8" i="59" s="1"/>
  <c r="AU170" i="6" l="1"/>
  <c r="AU174" i="6" s="1"/>
  <c r="AU10" i="22"/>
  <c r="AU24" i="22"/>
  <c r="AY34" i="59"/>
  <c r="AY9" i="59"/>
  <c r="AV174" i="6"/>
  <c r="AV189" i="6"/>
  <c r="AU189" i="6"/>
  <c r="AU25" i="22" l="1"/>
  <c r="AU11" i="22"/>
  <c r="AV193" i="6"/>
  <c r="AU193" i="6"/>
  <c r="AU9" i="36"/>
  <c r="AX10" i="59" s="1"/>
  <c r="AU179" i="6"/>
  <c r="AV179" i="6"/>
  <c r="AV9" i="36"/>
  <c r="AY10" i="59" s="1"/>
  <c r="AU27" i="22" l="1"/>
  <c r="AU13" i="22"/>
  <c r="AV198" i="6"/>
  <c r="AU198" i="6"/>
  <c r="AW26" i="35" l="1"/>
  <c r="AV9" i="15" s="1"/>
  <c r="AU40" i="35"/>
  <c r="AV39" i="35"/>
  <c r="AU39" i="35"/>
  <c r="AU37" i="35"/>
  <c r="AU34" i="35"/>
  <c r="AU43" i="35" s="1"/>
  <c r="AV31" i="35"/>
  <c r="AV34" i="35" s="1"/>
  <c r="AV43" i="35" s="1"/>
  <c r="AU31" i="35"/>
  <c r="AV24" i="35"/>
  <c r="AU24" i="35"/>
  <c r="AU34" i="36" s="1"/>
  <c r="AU35" i="36" s="1"/>
  <c r="AU36" i="36" s="1"/>
  <c r="AU39" i="36" s="1"/>
  <c r="AU30" i="36" s="1"/>
  <c r="AX59" i="59" s="1"/>
  <c r="AV19" i="35"/>
  <c r="AU19" i="35"/>
  <c r="AV15" i="35"/>
  <c r="AU15" i="35"/>
  <c r="AV11" i="35"/>
  <c r="AU10" i="35"/>
  <c r="AU9" i="35"/>
  <c r="AU8" i="35"/>
  <c r="AV7" i="35"/>
  <c r="AV6" i="35"/>
  <c r="AV5" i="6" l="1"/>
  <c r="AU5" i="36"/>
  <c r="AV6" i="6"/>
  <c r="AV44" i="35"/>
  <c r="AV34" i="36"/>
  <c r="AV8" i="35"/>
  <c r="AU35" i="35"/>
  <c r="AV74" i="50" s="1"/>
  <c r="AV35" i="35"/>
  <c r="AU44" i="35"/>
  <c r="AU11" i="35"/>
  <c r="AV13" i="6" l="1"/>
  <c r="AV7" i="6"/>
  <c r="AV11" i="6"/>
  <c r="AX6" i="59"/>
  <c r="AU12" i="49"/>
  <c r="AU13" i="49" s="1"/>
  <c r="AU14" i="49" s="1"/>
  <c r="AU15" i="49" s="1"/>
  <c r="AU18" i="49" s="1"/>
  <c r="AU19" i="49" s="1"/>
  <c r="AV25" i="36"/>
  <c r="AY55" i="59" s="1"/>
  <c r="AW74" i="50"/>
  <c r="AW72" i="50" s="1"/>
  <c r="AV12" i="6"/>
  <c r="AV14" i="6"/>
  <c r="AV35" i="36"/>
  <c r="AV157" i="6" l="1"/>
  <c r="AV152" i="6"/>
  <c r="AV226" i="6"/>
  <c r="AV248" i="6"/>
  <c r="AV234" i="6"/>
  <c r="AV131" i="6"/>
  <c r="AV225" i="6"/>
  <c r="AV127" i="6"/>
  <c r="AV15" i="6"/>
  <c r="AV56" i="6" s="1"/>
  <c r="AV242" i="6"/>
  <c r="AV228" i="6"/>
  <c r="AV36" i="36"/>
  <c r="AV59" i="6" l="1"/>
  <c r="AV230" i="6"/>
  <c r="AV231" i="6" s="1"/>
  <c r="AV229" i="6"/>
  <c r="AV250" i="6"/>
  <c r="AV251" i="6" s="1"/>
  <c r="AV252" i="6" s="1"/>
  <c r="AV249" i="6"/>
  <c r="AV244" i="6"/>
  <c r="AV245" i="6" s="1"/>
  <c r="AV243" i="6"/>
  <c r="AV36" i="6"/>
  <c r="AV35" i="6"/>
  <c r="AV34" i="6"/>
  <c r="AV33" i="6"/>
  <c r="AV236" i="6"/>
  <c r="AV237" i="6" s="1"/>
  <c r="AV235" i="6"/>
  <c r="AV39" i="36"/>
  <c r="AV30" i="36" s="1"/>
  <c r="AY59" i="59" s="1"/>
  <c r="AV232" i="6" l="1"/>
  <c r="AV238" i="6"/>
  <c r="AV246" i="6"/>
  <c r="AV253" i="6" s="1"/>
  <c r="AV37" i="6"/>
  <c r="BH59" i="8"/>
  <c r="BJ63" i="8"/>
  <c r="AV239" i="6" l="1"/>
  <c r="AV255" i="6" s="1"/>
  <c r="AR63" i="22"/>
  <c r="AR58" i="22"/>
  <c r="AR52" i="22"/>
  <c r="AR44" i="22"/>
  <c r="AR28" i="22"/>
  <c r="AR64" i="22" s="1"/>
  <c r="AR24" i="22"/>
  <c r="AR23" i="22"/>
  <c r="AR51" i="22" s="1"/>
  <c r="AR53" i="22" s="1"/>
  <c r="AR14" i="22"/>
  <c r="AR59" i="22" s="1"/>
  <c r="AR10" i="22"/>
  <c r="AR9" i="22"/>
  <c r="AR43" i="22" s="1"/>
  <c r="AR45" i="22" s="1"/>
  <c r="AQ38" i="27"/>
  <c r="BA38" i="27" s="1"/>
  <c r="AQ36" i="27"/>
  <c r="BA36" i="27" s="1"/>
  <c r="AQ28" i="27"/>
  <c r="BA28" i="27" s="1"/>
  <c r="AQ30" i="27"/>
  <c r="BA30" i="27" s="1"/>
  <c r="AQ23" i="27"/>
  <c r="BA23" i="27" s="1"/>
  <c r="AQ20" i="27"/>
  <c r="BA20" i="27" s="1"/>
  <c r="AQ19" i="27"/>
  <c r="BA19" i="27" s="1"/>
  <c r="AQ18" i="27"/>
  <c r="BA18" i="27" s="1"/>
  <c r="AR26" i="22" l="1"/>
  <c r="BB24" i="22"/>
  <c r="AR12" i="22"/>
  <c r="BB10" i="22"/>
  <c r="AR65" i="22"/>
  <c r="AR66" i="22" s="1"/>
  <c r="AR60" i="22"/>
  <c r="AR61" i="22" s="1"/>
  <c r="AR47" i="22"/>
  <c r="AR48" i="22" s="1"/>
  <c r="AR55" i="22"/>
  <c r="AR56" i="22" s="1"/>
  <c r="BB12" i="22" l="1"/>
  <c r="BB26" i="22"/>
  <c r="AP34" i="27"/>
  <c r="AP40" i="27"/>
  <c r="AQ37" i="27"/>
  <c r="BA37" i="27" s="1"/>
  <c r="BA40" i="27" s="1"/>
  <c r="AQ29" i="27"/>
  <c r="BA29" i="27" s="1"/>
  <c r="AQ27" i="27"/>
  <c r="AP25" i="27"/>
  <c r="AQ22" i="27"/>
  <c r="BA22" i="27" s="1"/>
  <c r="AQ21" i="27"/>
  <c r="AR9" i="15"/>
  <c r="AQ28" i="15"/>
  <c r="BA28" i="15" s="1"/>
  <c r="AQ26" i="15"/>
  <c r="BA26" i="15" s="1"/>
  <c r="AQ25" i="15"/>
  <c r="BA25" i="15" s="1"/>
  <c r="AQ20" i="15"/>
  <c r="AP18" i="15"/>
  <c r="AQ17" i="15"/>
  <c r="AP17" i="15"/>
  <c r="AQ14" i="15"/>
  <c r="AP11" i="15"/>
  <c r="AP12" i="15" s="1"/>
  <c r="AQ10" i="15"/>
  <c r="AQ9" i="15"/>
  <c r="AP9" i="15"/>
  <c r="AQ8" i="15"/>
  <c r="AP8" i="15"/>
  <c r="AQ7" i="15"/>
  <c r="AP7" i="15"/>
  <c r="AQ6" i="15"/>
  <c r="AP6" i="15"/>
  <c r="AQ5" i="15"/>
  <c r="AP5" i="15"/>
  <c r="AQ40" i="27" l="1"/>
  <c r="AQ34" i="27"/>
  <c r="BA27" i="27"/>
  <c r="BA34" i="27" s="1"/>
  <c r="AQ25" i="27"/>
  <c r="BA21" i="27"/>
  <c r="BA25" i="27" s="1"/>
  <c r="BA30" i="15"/>
  <c r="BA15" i="15" s="1"/>
  <c r="BA16" i="15" s="1"/>
  <c r="AP13" i="15"/>
  <c r="AQ30" i="15"/>
  <c r="AQ15" i="15" s="1"/>
  <c r="AQ16" i="15" s="1"/>
  <c r="AP14" i="15"/>
  <c r="AM107" i="17"/>
  <c r="BC107" i="17" s="1"/>
  <c r="AM108" i="17"/>
  <c r="BC108" i="17" s="1"/>
  <c r="AS107" i="17"/>
  <c r="AW107" i="17" s="1"/>
  <c r="BE107" i="17" s="1"/>
  <c r="AS108" i="17"/>
  <c r="AW108" i="17" s="1"/>
  <c r="BE108" i="17" s="1"/>
  <c r="AQ9" i="17"/>
  <c r="BA9" i="17" s="1"/>
  <c r="BA13" i="17" s="1"/>
  <c r="AP15" i="15" l="1"/>
  <c r="AZ15" i="15" s="1"/>
  <c r="AZ14" i="15"/>
  <c r="AQ85" i="17"/>
  <c r="BA86" i="17" s="1"/>
  <c r="AP85" i="17"/>
  <c r="AK85" i="17"/>
  <c r="AJ85" i="17"/>
  <c r="AG85" i="17"/>
  <c r="AF85" i="17"/>
  <c r="AC85" i="17"/>
  <c r="AB85" i="17"/>
  <c r="W85" i="17"/>
  <c r="V85" i="17"/>
  <c r="S85" i="17"/>
  <c r="R85" i="17"/>
  <c r="O85" i="17"/>
  <c r="N85" i="17"/>
  <c r="K85" i="17"/>
  <c r="J85" i="17"/>
  <c r="G85" i="17"/>
  <c r="F85" i="17"/>
  <c r="AQ84" i="17"/>
  <c r="AK84" i="17"/>
  <c r="AG84" i="17"/>
  <c r="AC84" i="17"/>
  <c r="W84" i="17"/>
  <c r="S84" i="17"/>
  <c r="O84" i="17"/>
  <c r="K84" i="17"/>
  <c r="G84" i="17"/>
  <c r="AQ83" i="17"/>
  <c r="AP83" i="17"/>
  <c r="AK83" i="17"/>
  <c r="AJ83" i="17"/>
  <c r="AG83" i="17"/>
  <c r="AF83" i="17"/>
  <c r="AC83" i="17"/>
  <c r="AB83" i="17"/>
  <c r="W83" i="17"/>
  <c r="V83" i="17"/>
  <c r="S83" i="17"/>
  <c r="R83" i="17"/>
  <c r="O83" i="17"/>
  <c r="N83" i="17"/>
  <c r="K83" i="17"/>
  <c r="J83" i="17"/>
  <c r="G83" i="17"/>
  <c r="F83" i="17"/>
  <c r="AQ82" i="17"/>
  <c r="AP82" i="17"/>
  <c r="AK82" i="17"/>
  <c r="AJ82" i="17"/>
  <c r="AG82" i="17"/>
  <c r="AF82" i="17"/>
  <c r="AC82" i="17"/>
  <c r="AB82" i="17"/>
  <c r="W82" i="17"/>
  <c r="V82" i="17"/>
  <c r="S82" i="17"/>
  <c r="R82" i="17"/>
  <c r="O82" i="17"/>
  <c r="N82" i="17"/>
  <c r="K82" i="17"/>
  <c r="J82" i="17"/>
  <c r="G82" i="17"/>
  <c r="F82" i="17"/>
  <c r="E85" i="17"/>
  <c r="AP87" i="17"/>
  <c r="AZ87" i="17" s="1"/>
  <c r="AZ16" i="15" l="1"/>
  <c r="AP113" i="17"/>
  <c r="AP111" i="17"/>
  <c r="AQ81" i="17"/>
  <c r="AP81" i="17"/>
  <c r="AQ77" i="17"/>
  <c r="AP77" i="17"/>
  <c r="AQ66" i="17"/>
  <c r="AQ68" i="17" s="1"/>
  <c r="AP66" i="17"/>
  <c r="AP68" i="17" s="1"/>
  <c r="AP60" i="17"/>
  <c r="AZ60" i="17" s="1"/>
  <c r="AQ58" i="17"/>
  <c r="AP57" i="17"/>
  <c r="AZ57" i="17" s="1"/>
  <c r="AP56" i="17"/>
  <c r="AZ56" i="17" s="1"/>
  <c r="AP54" i="17"/>
  <c r="AQ51" i="17"/>
  <c r="AP51" i="17"/>
  <c r="AZ51" i="17" s="1"/>
  <c r="AQ48" i="17"/>
  <c r="AP47" i="17"/>
  <c r="AZ47" i="17" s="1"/>
  <c r="AZ48" i="17" s="1"/>
  <c r="AQ46" i="17"/>
  <c r="AP45" i="17"/>
  <c r="AZ45" i="17" s="1"/>
  <c r="AZ46" i="17" s="1"/>
  <c r="AQ43" i="17"/>
  <c r="AP43" i="17"/>
  <c r="AZ43" i="17" s="1"/>
  <c r="AQ42" i="17"/>
  <c r="AQ40" i="17"/>
  <c r="AQ38" i="17"/>
  <c r="AQ25" i="17"/>
  <c r="BA25" i="17" s="1"/>
  <c r="AP25" i="17"/>
  <c r="AZ25" i="17" s="1"/>
  <c r="AQ21" i="17"/>
  <c r="AP18" i="17"/>
  <c r="AZ18" i="17" s="1"/>
  <c r="AP17" i="17"/>
  <c r="AZ17" i="17" s="1"/>
  <c r="AZ21" i="17" s="1"/>
  <c r="AP15" i="17"/>
  <c r="AP14" i="17"/>
  <c r="AQ11" i="17"/>
  <c r="AQ13" i="17"/>
  <c r="AQ8" i="17"/>
  <c r="AP8" i="17"/>
  <c r="AN100" i="9"/>
  <c r="BD100" i="9" s="1"/>
  <c r="AM100" i="9"/>
  <c r="Z100" i="9"/>
  <c r="Y100" i="9"/>
  <c r="J100" i="9"/>
  <c r="N100" i="9" s="1"/>
  <c r="R100" i="9" s="1"/>
  <c r="V100" i="9" s="1"/>
  <c r="AB100" i="9" s="1"/>
  <c r="AF100" i="9" s="1"/>
  <c r="AJ100" i="9" s="1"/>
  <c r="AP100" i="9" s="1"/>
  <c r="AT100" i="9" s="1"/>
  <c r="AX100" i="9" s="1"/>
  <c r="BF100" i="9" s="1"/>
  <c r="I100" i="9"/>
  <c r="M100" i="9" s="1"/>
  <c r="Q100" i="9" s="1"/>
  <c r="U100" i="9" s="1"/>
  <c r="AA100" i="9" s="1"/>
  <c r="AE100" i="9" s="1"/>
  <c r="AI100" i="9" s="1"/>
  <c r="AO100" i="9" s="1"/>
  <c r="AP115" i="17" l="1"/>
  <c r="AZ32" i="17"/>
  <c r="AQ10" i="17"/>
  <c r="BA8" i="17"/>
  <c r="AQ61" i="17"/>
  <c r="BA89" i="17"/>
  <c r="AZ33" i="17"/>
  <c r="AZ30" i="17"/>
  <c r="AZ31" i="17"/>
  <c r="AZ49" i="17"/>
  <c r="AZ44" i="17"/>
  <c r="AZ50" i="17" s="1"/>
  <c r="AP29" i="17"/>
  <c r="AZ15" i="17"/>
  <c r="AZ29" i="17" s="1"/>
  <c r="AQ44" i="17"/>
  <c r="BA43" i="17"/>
  <c r="AZ58" i="17"/>
  <c r="AQ52" i="17"/>
  <c r="BA51" i="17"/>
  <c r="BA52" i="17" s="1"/>
  <c r="AP112" i="17"/>
  <c r="AZ8" i="17"/>
  <c r="AQ15" i="17"/>
  <c r="BA34" i="17"/>
  <c r="AZ52" i="17"/>
  <c r="AZ113" i="17" s="1"/>
  <c r="AP21" i="17"/>
  <c r="AQ12" i="17"/>
  <c r="AQ113" i="17" s="1"/>
  <c r="AP10" i="17"/>
  <c r="AP58" i="17"/>
  <c r="AQ49" i="17"/>
  <c r="AQ50" i="17" s="1"/>
  <c r="AQ111" i="17" s="1"/>
  <c r="AQ32" i="17"/>
  <c r="AP49" i="17"/>
  <c r="AP53" i="17" s="1"/>
  <c r="AQ59" i="17"/>
  <c r="AQ112" i="17"/>
  <c r="AQ33" i="17" l="1"/>
  <c r="BA15" i="17"/>
  <c r="AP30" i="17"/>
  <c r="AZ34" i="17"/>
  <c r="AZ112" i="17"/>
  <c r="AZ10" i="17"/>
  <c r="AZ61" i="17"/>
  <c r="AZ59" i="17"/>
  <c r="AZ53" i="17"/>
  <c r="AZ110" i="17"/>
  <c r="AQ31" i="17"/>
  <c r="AQ30" i="17"/>
  <c r="AP59" i="17"/>
  <c r="AZ89" i="17"/>
  <c r="BA12" i="17"/>
  <c r="BA10" i="17"/>
  <c r="BA112" i="17"/>
  <c r="AQ29" i="17"/>
  <c r="BA44" i="17"/>
  <c r="BA49" i="17"/>
  <c r="AZ111" i="17"/>
  <c r="AZ115" i="17" s="1"/>
  <c r="AZ54" i="17"/>
  <c r="AP61" i="17"/>
  <c r="AP33" i="17"/>
  <c r="AP32" i="17"/>
  <c r="AP31" i="17"/>
  <c r="AQ115" i="17"/>
  <c r="AQ14" i="17"/>
  <c r="AP110" i="17"/>
  <c r="AP114" i="17" s="1"/>
  <c r="AQ110" i="17"/>
  <c r="AQ114" i="17" s="1"/>
  <c r="AQ53" i="17"/>
  <c r="AQ54" i="17" s="1"/>
  <c r="AZ114" i="17" l="1"/>
  <c r="BA113" i="17"/>
  <c r="BA14" i="17"/>
  <c r="BA53" i="17"/>
  <c r="BA54" i="17" s="1"/>
  <c r="BA50" i="17"/>
  <c r="BA111" i="17" s="1"/>
  <c r="BA110" i="17"/>
  <c r="BA114" i="17" s="1"/>
  <c r="BA31" i="17"/>
  <c r="BA29" i="17"/>
  <c r="BA33" i="17"/>
  <c r="BA30" i="17"/>
  <c r="BA32" i="17"/>
  <c r="AT325" i="28"/>
  <c r="AX325" i="28" s="1"/>
  <c r="BF325" i="28" s="1"/>
  <c r="BA115" i="17" l="1"/>
  <c r="AO12" i="61"/>
  <c r="AO13" i="61"/>
  <c r="AA12" i="61"/>
  <c r="AA13" i="61"/>
  <c r="O12" i="61"/>
  <c r="O13" i="61"/>
  <c r="AC13" i="61" l="1"/>
  <c r="AC12" i="61"/>
  <c r="AL13" i="52"/>
  <c r="AK13" i="52"/>
  <c r="AL8" i="52"/>
  <c r="AK8" i="52"/>
  <c r="AR35" i="10"/>
  <c r="BB35" i="10" s="1"/>
  <c r="AR32" i="10"/>
  <c r="BB32" i="10" s="1"/>
  <c r="AR43" i="10"/>
  <c r="BB43" i="10" s="1"/>
  <c r="AR22" i="10"/>
  <c r="BB22" i="10" s="1"/>
  <c r="AR25" i="10"/>
  <c r="BB25" i="10" s="1"/>
  <c r="AR9" i="10"/>
  <c r="BB9" i="10" s="1"/>
  <c r="AR11" i="10"/>
  <c r="BB11" i="10" s="1"/>
  <c r="AR82" i="10"/>
  <c r="BB82" i="10" s="1"/>
  <c r="BB115" i="10" l="1"/>
  <c r="AL14" i="52"/>
  <c r="AK14" i="52"/>
  <c r="BB134" i="10" l="1"/>
  <c r="BE45" i="59" s="1"/>
  <c r="BB147" i="10"/>
  <c r="BB116" i="10"/>
  <c r="BB118" i="10" s="1"/>
  <c r="BE43" i="59" s="1"/>
  <c r="BB151" i="10" l="1"/>
  <c r="BB149" i="10"/>
  <c r="AS16" i="50"/>
  <c r="BC16" i="50" s="1"/>
  <c r="BE16" i="50" s="1"/>
  <c r="AS17" i="50"/>
  <c r="BC17" i="50" s="1"/>
  <c r="BE17" i="50" s="1"/>
  <c r="AS12" i="50"/>
  <c r="AS9" i="50"/>
  <c r="AS43" i="50"/>
  <c r="BC43" i="50" s="1"/>
  <c r="AS44" i="50"/>
  <c r="BC44" i="50" s="1"/>
  <c r="AS45" i="50"/>
  <c r="BC45" i="50" s="1"/>
  <c r="AS42" i="50"/>
  <c r="BC42" i="50" s="1"/>
  <c r="AS35" i="50"/>
  <c r="BC35" i="50" s="1"/>
  <c r="AS36" i="50"/>
  <c r="BC36" i="50" s="1"/>
  <c r="AS38" i="50"/>
  <c r="BC38" i="50" s="1"/>
  <c r="AS39" i="50"/>
  <c r="BC39" i="50" s="1"/>
  <c r="AS40" i="50"/>
  <c r="BC40" i="50" s="1"/>
  <c r="AS34" i="50"/>
  <c r="BC34" i="50" s="1"/>
  <c r="AS5" i="50"/>
  <c r="BC5" i="50" s="1"/>
  <c r="AS6" i="50"/>
  <c r="BC6" i="50" s="1"/>
  <c r="AS7" i="50"/>
  <c r="BC7" i="50" s="1"/>
  <c r="AS8" i="50"/>
  <c r="BC8" i="50" s="1"/>
  <c r="AS10" i="50"/>
  <c r="BC10" i="50" s="1"/>
  <c r="AS11" i="50"/>
  <c r="BC11" i="50" s="1"/>
  <c r="AS13" i="50"/>
  <c r="BC13" i="50" s="1"/>
  <c r="AS14" i="50"/>
  <c r="BC14" i="50" s="1"/>
  <c r="AS15" i="50"/>
  <c r="BC15" i="50" s="1"/>
  <c r="AS18" i="50"/>
  <c r="BC18" i="50" s="1"/>
  <c r="AS20" i="50"/>
  <c r="BC20" i="50" s="1"/>
  <c r="AS21" i="50"/>
  <c r="BC21" i="50" s="1"/>
  <c r="AS22" i="50"/>
  <c r="BC22" i="50" s="1"/>
  <c r="AS23" i="50"/>
  <c r="BC23" i="50" s="1"/>
  <c r="AS24" i="50"/>
  <c r="BC24" i="50" s="1"/>
  <c r="AS25" i="50"/>
  <c r="BC25" i="50" s="1"/>
  <c r="AS26" i="50"/>
  <c r="BC26" i="50" s="1"/>
  <c r="AS27" i="50"/>
  <c r="BC27" i="50" s="1"/>
  <c r="AS28" i="50"/>
  <c r="BC28" i="50" s="1"/>
  <c r="AS29" i="50"/>
  <c r="BC29" i="50" s="1"/>
  <c r="AS30" i="50"/>
  <c r="BC30" i="50" s="1"/>
  <c r="AS31" i="50"/>
  <c r="BC31" i="50" s="1"/>
  <c r="AS32" i="50"/>
  <c r="BC32" i="50" s="1"/>
  <c r="AS4" i="50"/>
  <c r="BC4" i="50" s="1"/>
  <c r="AS70" i="50"/>
  <c r="AS60" i="50"/>
  <c r="AU12" i="50" l="1"/>
  <c r="AY12" i="50" s="1"/>
  <c r="BG12" i="50" s="1"/>
  <c r="BC12" i="50"/>
  <c r="BE12" i="50" s="1"/>
  <c r="AU9" i="50"/>
  <c r="AY9" i="50" s="1"/>
  <c r="BG9" i="50" s="1"/>
  <c r="BC9" i="50"/>
  <c r="BE9" i="50" s="1"/>
  <c r="AS17" i="61"/>
  <c r="BC17" i="61" s="1"/>
  <c r="AS10" i="61"/>
  <c r="BC10" i="61" s="1"/>
  <c r="BC41" i="50"/>
  <c r="AS16" i="61"/>
  <c r="BC16" i="61" s="1"/>
  <c r="AS9" i="61"/>
  <c r="BC9" i="61" s="1"/>
  <c r="AS14" i="61"/>
  <c r="BC14" i="61" s="1"/>
  <c r="BC46" i="50"/>
  <c r="AS18" i="61"/>
  <c r="BC18" i="61" s="1"/>
  <c r="AS11" i="61"/>
  <c r="BC11" i="61" s="1"/>
  <c r="AU17" i="50"/>
  <c r="AY17" i="50" s="1"/>
  <c r="BG17" i="50" s="1"/>
  <c r="AS13" i="61"/>
  <c r="AU16" i="50"/>
  <c r="AY16" i="50" s="1"/>
  <c r="BG16" i="50" s="1"/>
  <c r="AS12" i="61"/>
  <c r="AS46" i="50"/>
  <c r="AS41" i="50"/>
  <c r="AS33" i="50"/>
  <c r="BC33" i="50" l="1"/>
  <c r="BB119" i="10" s="1"/>
  <c r="BB120" i="10" s="1"/>
  <c r="AU13" i="61"/>
  <c r="AY13" i="61" s="1"/>
  <c r="BG13" i="61" s="1"/>
  <c r="BC13" i="61"/>
  <c r="BE13" i="61" s="1"/>
  <c r="AU12" i="61"/>
  <c r="AY12" i="61" s="1"/>
  <c r="BG12" i="61" s="1"/>
  <c r="BC12" i="61"/>
  <c r="BE12" i="61" s="1"/>
  <c r="BC71" i="50"/>
  <c r="AS19" i="61"/>
  <c r="BC19" i="61" s="1"/>
  <c r="AS71" i="50"/>
  <c r="AQ88" i="26" l="1"/>
  <c r="AP88" i="26"/>
  <c r="AQ74" i="26"/>
  <c r="BA63" i="26" s="1"/>
  <c r="AP74" i="26"/>
  <c r="AQ61" i="26"/>
  <c r="AP59" i="26"/>
  <c r="AZ59" i="26" s="1"/>
  <c r="AQ57" i="26"/>
  <c r="AP57" i="26"/>
  <c r="AQ56" i="26"/>
  <c r="AP56" i="26"/>
  <c r="AQ51" i="26"/>
  <c r="AP51" i="26"/>
  <c r="AP133" i="26" s="1"/>
  <c r="AQ36" i="26"/>
  <c r="AQ40" i="26" s="1"/>
  <c r="AP36" i="26"/>
  <c r="AQ32" i="26"/>
  <c r="AP32" i="26"/>
  <c r="AP16" i="26"/>
  <c r="AZ16" i="26" s="1"/>
  <c r="AP14" i="26"/>
  <c r="AZ14" i="26" s="1"/>
  <c r="AQ11" i="26"/>
  <c r="AQ18" i="26" s="1"/>
  <c r="AP10" i="26"/>
  <c r="AZ10" i="26" s="1"/>
  <c r="AP8" i="26"/>
  <c r="AP40" i="26" l="1"/>
  <c r="AP128" i="26"/>
  <c r="AZ84" i="17"/>
  <c r="AZ61" i="26"/>
  <c r="AP11" i="26"/>
  <c r="AZ8" i="26"/>
  <c r="AZ11" i="26" s="1"/>
  <c r="AZ17" i="26"/>
  <c r="AP41" i="26"/>
  <c r="AP61" i="26"/>
  <c r="AP84" i="17"/>
  <c r="AP37" i="26"/>
  <c r="AP18" i="26"/>
  <c r="AP12" i="26"/>
  <c r="AP17" i="26"/>
  <c r="AQ12" i="26"/>
  <c r="BA6" i="26" s="1"/>
  <c r="AQ17" i="26"/>
  <c r="AQ37" i="26"/>
  <c r="BA34" i="26" s="1"/>
  <c r="AQ41" i="26"/>
  <c r="BA41" i="26" s="1"/>
  <c r="AZ41" i="26" l="1"/>
  <c r="AZ125" i="26" s="1"/>
  <c r="AP132" i="26"/>
  <c r="AP125" i="26"/>
  <c r="AZ12" i="26"/>
  <c r="AZ18" i="26"/>
  <c r="AR98" i="9"/>
  <c r="BB98" i="9" s="1"/>
  <c r="AR90" i="9"/>
  <c r="BB90" i="9" s="1"/>
  <c r="BB91" i="9" s="1"/>
  <c r="AQ85" i="9"/>
  <c r="AQ84" i="9"/>
  <c r="AQ71" i="9"/>
  <c r="AR133" i="9"/>
  <c r="AR135" i="9" s="1"/>
  <c r="AR136" i="9" s="1"/>
  <c r="AR94" i="9"/>
  <c r="BB94" i="9" s="1"/>
  <c r="BB95" i="9" s="1"/>
  <c r="AR93" i="9"/>
  <c r="BB93" i="9" s="1"/>
  <c r="AQ93" i="9"/>
  <c r="BA93" i="9" s="1"/>
  <c r="AR92" i="9"/>
  <c r="BB92" i="9" s="1"/>
  <c r="AQ92" i="9"/>
  <c r="BA92" i="9" s="1"/>
  <c r="AR88" i="9"/>
  <c r="AR56" i="9"/>
  <c r="AQ46" i="9"/>
  <c r="BA46" i="9" s="1"/>
  <c r="AR45" i="9"/>
  <c r="AR39" i="9"/>
  <c r="AR47" i="9" s="1"/>
  <c r="BB47" i="9" s="1"/>
  <c r="AR38" i="9"/>
  <c r="AR46" i="9" s="1"/>
  <c r="BB46" i="9" s="1"/>
  <c r="AR37" i="9"/>
  <c r="AR34" i="9"/>
  <c r="AR28" i="9"/>
  <c r="AR29" i="9" s="1"/>
  <c r="AQ27" i="9"/>
  <c r="BA27" i="9" s="1"/>
  <c r="AQ25" i="9"/>
  <c r="BA25" i="9" s="1"/>
  <c r="AR22" i="9"/>
  <c r="BB22" i="9" s="1"/>
  <c r="AR10" i="9"/>
  <c r="AR14" i="9" s="1"/>
  <c r="BB14" i="9" s="1"/>
  <c r="AR5" i="9"/>
  <c r="AQ5" i="9"/>
  <c r="BA28" i="9" l="1"/>
  <c r="BA29" i="9" s="1"/>
  <c r="BB85" i="9"/>
  <c r="BB86" i="9" s="1"/>
  <c r="BA97" i="9"/>
  <c r="BA99" i="9"/>
  <c r="BB97" i="9"/>
  <c r="BB99" i="9"/>
  <c r="BA70" i="9"/>
  <c r="BA74" i="9"/>
  <c r="BA52" i="9"/>
  <c r="BB48" i="9"/>
  <c r="AR85" i="9"/>
  <c r="AR89" i="9"/>
  <c r="AQ18" i="15" s="1"/>
  <c r="AR33" i="22"/>
  <c r="AQ90" i="26"/>
  <c r="AQ64" i="9"/>
  <c r="BA64" i="9" s="1"/>
  <c r="BA79" i="9" s="1"/>
  <c r="AQ33" i="22"/>
  <c r="AP90" i="26"/>
  <c r="AQ86" i="9"/>
  <c r="AR48" i="9"/>
  <c r="AR80" i="9" s="1"/>
  <c r="AR40" i="9"/>
  <c r="AQ28" i="9"/>
  <c r="AQ83" i="9" s="1"/>
  <c r="AR140" i="9"/>
  <c r="AQ7" i="9"/>
  <c r="AQ54" i="9"/>
  <c r="BA54" i="9" s="1"/>
  <c r="AQ57" i="9"/>
  <c r="BA57" i="9" s="1"/>
  <c r="BA72" i="9" s="1"/>
  <c r="AQ65" i="9"/>
  <c r="BA65" i="9" s="1"/>
  <c r="BA80" i="9" s="1"/>
  <c r="AR84" i="9"/>
  <c r="AQ90" i="9"/>
  <c r="BA90" i="9" s="1"/>
  <c r="BA91" i="9" s="1"/>
  <c r="AQ58" i="9"/>
  <c r="BA58" i="9" s="1"/>
  <c r="BA73" i="9" s="1"/>
  <c r="AQ62" i="9"/>
  <c r="BA62" i="9" s="1"/>
  <c r="BA77" i="9" s="1"/>
  <c r="BD41" i="59" s="1"/>
  <c r="AQ66" i="9"/>
  <c r="BA66" i="9" s="1"/>
  <c r="BA81" i="9" s="1"/>
  <c r="AQ87" i="9"/>
  <c r="BA87" i="9" s="1"/>
  <c r="AQ60" i="9"/>
  <c r="BA60" i="9" s="1"/>
  <c r="BA75" i="9" s="1"/>
  <c r="AQ63" i="9"/>
  <c r="BA63" i="9" s="1"/>
  <c r="BA78" i="9" s="1"/>
  <c r="AQ67" i="9"/>
  <c r="BA67" i="9" s="1"/>
  <c r="BA82" i="9" s="1"/>
  <c r="BD40" i="59" s="1"/>
  <c r="AR91" i="9"/>
  <c r="AR95" i="9"/>
  <c r="AQ22" i="9"/>
  <c r="BA22" i="9" s="1"/>
  <c r="AQ30" i="9"/>
  <c r="BA30" i="9" s="1"/>
  <c r="AQ61" i="9"/>
  <c r="BA61" i="9" s="1"/>
  <c r="BA76" i="9" s="1"/>
  <c r="D83" i="7"/>
  <c r="E82" i="7"/>
  <c r="K82" i="7"/>
  <c r="O82" i="7"/>
  <c r="S82" i="7"/>
  <c r="W82" i="7"/>
  <c r="AC82" i="7"/>
  <c r="AG82" i="7"/>
  <c r="AK82" i="7"/>
  <c r="AQ82" i="7"/>
  <c r="D82" i="7"/>
  <c r="AR86" i="9" l="1"/>
  <c r="AR69" i="9"/>
  <c r="AR81" i="9"/>
  <c r="AR76" i="9"/>
  <c r="AR52" i="9"/>
  <c r="AR78" i="9"/>
  <c r="AR70" i="9"/>
  <c r="AR82" i="9"/>
  <c r="AR73" i="9"/>
  <c r="AR79" i="9"/>
  <c r="BA51" i="9"/>
  <c r="BA83" i="9"/>
  <c r="AZ87" i="26"/>
  <c r="AZ79" i="26"/>
  <c r="AZ85" i="26"/>
  <c r="AZ77" i="26"/>
  <c r="AZ83" i="26"/>
  <c r="AZ81" i="26"/>
  <c r="AZ76" i="26"/>
  <c r="AZ84" i="26"/>
  <c r="AZ78" i="26"/>
  <c r="AZ80" i="26"/>
  <c r="AZ82" i="26"/>
  <c r="AZ86" i="26"/>
  <c r="BA85" i="9"/>
  <c r="BA86" i="9" s="1"/>
  <c r="BA82" i="26"/>
  <c r="BA86" i="26"/>
  <c r="BA81" i="26"/>
  <c r="BA76" i="26"/>
  <c r="BA77" i="26"/>
  <c r="BA78" i="26"/>
  <c r="BA80" i="26"/>
  <c r="BA84" i="26"/>
  <c r="BA83" i="26"/>
  <c r="BA85" i="26"/>
  <c r="BA79" i="26"/>
  <c r="BA87" i="26"/>
  <c r="BB71" i="9"/>
  <c r="BB75" i="9"/>
  <c r="BB70" i="9"/>
  <c r="BB73" i="9"/>
  <c r="BB81" i="9"/>
  <c r="BB79" i="9"/>
  <c r="BB74" i="9"/>
  <c r="BB51" i="9"/>
  <c r="BE39" i="59" s="1"/>
  <c r="BB69" i="9"/>
  <c r="BB72" i="9"/>
  <c r="BB82" i="9"/>
  <c r="BE40" i="59" s="1"/>
  <c r="BB52" i="9"/>
  <c r="BB78" i="9"/>
  <c r="BB80" i="9"/>
  <c r="BB77" i="9"/>
  <c r="BE41" i="59" s="1"/>
  <c r="BB76" i="9"/>
  <c r="BA89" i="9"/>
  <c r="AZ18" i="15" s="1"/>
  <c r="BA88" i="9"/>
  <c r="BA56" i="9"/>
  <c r="BA71" i="9" s="1"/>
  <c r="BA69" i="9"/>
  <c r="AR77" i="9"/>
  <c r="AR51" i="9"/>
  <c r="AQ29" i="9"/>
  <c r="AR72" i="9"/>
  <c r="AR74" i="9"/>
  <c r="AQ21" i="22"/>
  <c r="AQ7" i="22"/>
  <c r="AR71" i="9"/>
  <c r="AR75" i="9"/>
  <c r="AQ56" i="9"/>
  <c r="BA7" i="9" l="1"/>
  <c r="BD39" i="59"/>
  <c r="AQ8" i="22"/>
  <c r="BA7" i="22"/>
  <c r="AQ22" i="22"/>
  <c r="BA21" i="22"/>
  <c r="AZ88" i="26"/>
  <c r="BA88" i="26"/>
  <c r="AR125" i="7"/>
  <c r="AR127" i="7" s="1"/>
  <c r="AR128" i="7" s="1"/>
  <c r="AR119" i="7"/>
  <c r="AR121" i="7" s="1"/>
  <c r="AR122" i="7" s="1"/>
  <c r="AR71" i="7"/>
  <c r="BB71" i="7" s="1"/>
  <c r="AQ71" i="7"/>
  <c r="BA71" i="7" s="1"/>
  <c r="AR69" i="7"/>
  <c r="BB69" i="7" s="1"/>
  <c r="BB70" i="7" s="1"/>
  <c r="BE26" i="59" s="1"/>
  <c r="AR62" i="7"/>
  <c r="AQ62" i="7"/>
  <c r="AR58" i="7"/>
  <c r="AQ58" i="7"/>
  <c r="AR54" i="7"/>
  <c r="AQ54" i="7"/>
  <c r="AR16" i="7"/>
  <c r="AR30" i="7" s="1"/>
  <c r="BB30" i="7" s="1"/>
  <c r="AQ16" i="7"/>
  <c r="AQ30" i="7" s="1"/>
  <c r="AR1" i="7"/>
  <c r="AQ1" i="7"/>
  <c r="AQ10" i="22" l="1"/>
  <c r="BA8" i="22"/>
  <c r="BA9" i="22" s="1"/>
  <c r="AQ24" i="22"/>
  <c r="BA22" i="22"/>
  <c r="BA23" i="22" s="1"/>
  <c r="BB41" i="7"/>
  <c r="BB39" i="7"/>
  <c r="AQ68" i="7"/>
  <c r="BA72" i="7"/>
  <c r="AR60" i="7"/>
  <c r="BB58" i="7"/>
  <c r="BB60" i="7" s="1"/>
  <c r="AR104" i="7"/>
  <c r="AR105" i="7" s="1"/>
  <c r="AR106" i="7" s="1"/>
  <c r="BB93" i="7"/>
  <c r="BB94" i="7"/>
  <c r="BB89" i="7"/>
  <c r="BB90" i="7"/>
  <c r="BB92" i="7"/>
  <c r="BB91" i="7"/>
  <c r="BB72" i="7"/>
  <c r="BB88" i="7"/>
  <c r="BB87" i="7"/>
  <c r="AQ39" i="7"/>
  <c r="BA30" i="7"/>
  <c r="BA39" i="7" s="1"/>
  <c r="AQ60" i="7"/>
  <c r="BA58" i="7"/>
  <c r="BA60" i="7" s="1"/>
  <c r="AR21" i="7"/>
  <c r="AR25" i="7"/>
  <c r="AR80" i="7" s="1"/>
  <c r="AR44" i="7"/>
  <c r="AR82" i="7" s="1"/>
  <c r="AQ21" i="7"/>
  <c r="AQ84" i="7" s="1"/>
  <c r="AQ25" i="7"/>
  <c r="AQ80" i="7" s="1"/>
  <c r="AR45" i="7"/>
  <c r="AR19" i="7"/>
  <c r="AR23" i="7"/>
  <c r="AR78" i="7" s="1"/>
  <c r="AR27" i="7"/>
  <c r="AR77" i="7" s="1"/>
  <c r="AR49" i="7"/>
  <c r="AR70" i="7"/>
  <c r="AQ19" i="7"/>
  <c r="AQ75" i="7" s="1"/>
  <c r="AQ23" i="7"/>
  <c r="AQ78" i="7" s="1"/>
  <c r="AQ27" i="7"/>
  <c r="AQ77" i="7" s="1"/>
  <c r="AR48" i="7"/>
  <c r="AR39" i="7"/>
  <c r="AR41" i="7"/>
  <c r="AQ67" i="7"/>
  <c r="AR67" i="7"/>
  <c r="AQ18" i="7"/>
  <c r="AQ20" i="7"/>
  <c r="AQ76" i="7" s="1"/>
  <c r="AQ22" i="7"/>
  <c r="AQ81" i="7" s="1"/>
  <c r="AQ24" i="7"/>
  <c r="AQ79" i="7" s="1"/>
  <c r="AQ26" i="7"/>
  <c r="AR42" i="7"/>
  <c r="AR46" i="7"/>
  <c r="AQ55" i="7"/>
  <c r="BA55" i="7" s="1"/>
  <c r="BA56" i="7" s="1"/>
  <c r="AQ63" i="7"/>
  <c r="AQ65" i="7"/>
  <c r="AR18" i="7"/>
  <c r="AR20" i="7"/>
  <c r="AR22" i="7"/>
  <c r="AR81" i="7" s="1"/>
  <c r="AR24" i="7"/>
  <c r="AR79" i="7" s="1"/>
  <c r="AR26" i="7"/>
  <c r="AR83" i="7" s="1"/>
  <c r="AR43" i="7"/>
  <c r="AR47" i="7"/>
  <c r="AR56" i="7"/>
  <c r="AR63" i="7"/>
  <c r="AR65" i="7"/>
  <c r="AR68" i="7"/>
  <c r="AU18" i="45"/>
  <c r="AY18" i="45" s="1"/>
  <c r="BG18" i="45" s="1"/>
  <c r="AT22" i="11"/>
  <c r="AX22" i="11" s="1"/>
  <c r="BF22" i="11" s="1"/>
  <c r="AT29" i="11"/>
  <c r="AX29" i="11" s="1"/>
  <c r="BF29" i="11" s="1"/>
  <c r="J20" i="11"/>
  <c r="N20" i="11" s="1"/>
  <c r="R20" i="11" s="1"/>
  <c r="V20" i="11" s="1"/>
  <c r="Z20" i="11"/>
  <c r="AT14" i="10"/>
  <c r="AX14" i="10" s="1"/>
  <c r="BF14" i="10" s="1"/>
  <c r="AT17" i="10"/>
  <c r="AX17" i="10" s="1"/>
  <c r="BF17" i="10" s="1"/>
  <c r="AT24" i="10"/>
  <c r="AX24" i="10" s="1"/>
  <c r="BF24" i="10" s="1"/>
  <c r="AT42" i="10"/>
  <c r="AX42" i="10" s="1"/>
  <c r="BF42" i="10" s="1"/>
  <c r="AT59" i="10"/>
  <c r="AX59" i="10" s="1"/>
  <c r="BF59" i="10" s="1"/>
  <c r="AT60" i="10"/>
  <c r="AX60" i="10" s="1"/>
  <c r="BF60" i="10" s="1"/>
  <c r="AT62" i="10"/>
  <c r="AX62" i="10" s="1"/>
  <c r="BF62" i="10" s="1"/>
  <c r="AT67" i="10"/>
  <c r="AX67" i="10" s="1"/>
  <c r="BF67" i="10" s="1"/>
  <c r="AT68" i="10"/>
  <c r="AX68" i="10" s="1"/>
  <c r="BF68" i="10" s="1"/>
  <c r="AT81" i="10"/>
  <c r="AX81" i="10" s="1"/>
  <c r="BF81" i="10" s="1"/>
  <c r="AT86" i="10"/>
  <c r="AX86" i="10" s="1"/>
  <c r="BF86" i="10" s="1"/>
  <c r="AT110" i="10"/>
  <c r="AX110" i="10" s="1"/>
  <c r="BF110" i="10" s="1"/>
  <c r="AS74" i="45"/>
  <c r="BC74" i="45" s="1"/>
  <c r="AS73" i="45"/>
  <c r="AS71" i="45"/>
  <c r="AS65" i="45"/>
  <c r="AS66" i="45" s="1"/>
  <c r="AS60" i="45"/>
  <c r="BC60" i="45" s="1"/>
  <c r="AR60" i="45"/>
  <c r="BB60" i="45" s="1"/>
  <c r="AS59" i="45"/>
  <c r="BC59" i="45" s="1"/>
  <c r="AR59" i="45"/>
  <c r="BB59" i="45" s="1"/>
  <c r="AS58" i="45"/>
  <c r="BC58" i="45" s="1"/>
  <c r="AR58" i="45"/>
  <c r="BB58" i="45" s="1"/>
  <c r="AS56" i="45"/>
  <c r="BC56" i="45" s="1"/>
  <c r="BC57" i="45" s="1"/>
  <c r="AS54" i="45"/>
  <c r="AR54" i="45"/>
  <c r="AS52" i="45"/>
  <c r="AR52" i="45"/>
  <c r="AS49" i="45"/>
  <c r="BC49" i="45" s="1"/>
  <c r="BC50" i="45" s="1"/>
  <c r="AR49" i="45"/>
  <c r="BB49" i="45" s="1"/>
  <c r="BB50" i="45" s="1"/>
  <c r="AS44" i="45"/>
  <c r="AS76" i="45" s="1"/>
  <c r="BC42" i="45"/>
  <c r="AR42" i="45"/>
  <c r="AR83" i="11"/>
  <c r="AR81" i="11"/>
  <c r="AR75" i="11"/>
  <c r="AR76" i="11" s="1"/>
  <c r="AR70" i="11"/>
  <c r="BB70" i="11" s="1"/>
  <c r="AQ70" i="11"/>
  <c r="BA70" i="11" s="1"/>
  <c r="AR69" i="11"/>
  <c r="BB69" i="11" s="1"/>
  <c r="AQ69" i="11"/>
  <c r="BA69" i="11" s="1"/>
  <c r="AR68" i="11"/>
  <c r="BB68" i="11" s="1"/>
  <c r="AQ68" i="11"/>
  <c r="BA68" i="11" s="1"/>
  <c r="AR66" i="11"/>
  <c r="BB66" i="11" s="1"/>
  <c r="BB67" i="11" s="1"/>
  <c r="AR64" i="11"/>
  <c r="AQ64" i="11"/>
  <c r="AR62" i="11"/>
  <c r="AQ62" i="11"/>
  <c r="AR59" i="11"/>
  <c r="BB59" i="11" s="1"/>
  <c r="BB60" i="11" s="1"/>
  <c r="AQ59" i="11"/>
  <c r="BA59" i="11" s="1"/>
  <c r="BA60" i="11" s="1"/>
  <c r="AR56" i="11"/>
  <c r="AR54" i="11"/>
  <c r="AR85" i="11" s="1"/>
  <c r="AR52" i="11"/>
  <c r="AR71" i="11" s="1"/>
  <c r="AQ52" i="11"/>
  <c r="AQ71" i="11" s="1"/>
  <c r="AR146" i="10"/>
  <c r="AR144" i="10"/>
  <c r="AR138" i="10"/>
  <c r="AR145" i="10" s="1"/>
  <c r="AR133" i="10"/>
  <c r="BB133" i="10" s="1"/>
  <c r="AQ133" i="10"/>
  <c r="BA133" i="10" s="1"/>
  <c r="AR132" i="10"/>
  <c r="BB132" i="10" s="1"/>
  <c r="AQ132" i="10"/>
  <c r="BA132" i="10" s="1"/>
  <c r="AR131" i="10"/>
  <c r="BB131" i="10" s="1"/>
  <c r="AQ131" i="10"/>
  <c r="BA131" i="10" s="1"/>
  <c r="AR129" i="10"/>
  <c r="AR127" i="10"/>
  <c r="AQ127" i="10"/>
  <c r="AR125" i="10"/>
  <c r="AQ125" i="10"/>
  <c r="AR122" i="10"/>
  <c r="AQ122" i="10"/>
  <c r="AR119" i="10"/>
  <c r="AR117" i="10"/>
  <c r="AR148" i="10" s="1"/>
  <c r="AR115" i="10"/>
  <c r="AR147" i="10" s="1"/>
  <c r="AQ115" i="10"/>
  <c r="AQ134" i="10" s="1"/>
  <c r="AR107" i="7" l="1"/>
  <c r="AR108" i="7" s="1"/>
  <c r="AR61" i="45"/>
  <c r="BB42" i="45"/>
  <c r="BB61" i="45" s="1"/>
  <c r="BD53" i="59" s="1"/>
  <c r="AR149" i="10"/>
  <c r="BC75" i="45"/>
  <c r="BC61" i="45"/>
  <c r="BE53" i="59" s="1"/>
  <c r="AQ11" i="22"/>
  <c r="BA10" i="22"/>
  <c r="AQ25" i="22"/>
  <c r="BA24" i="22"/>
  <c r="AR123" i="10"/>
  <c r="BB122" i="10"/>
  <c r="AS57" i="45"/>
  <c r="AQ60" i="11"/>
  <c r="AR50" i="45"/>
  <c r="AR130" i="10"/>
  <c r="BB129" i="10"/>
  <c r="BB130" i="10" s="1"/>
  <c r="AR60" i="11"/>
  <c r="AS50" i="45"/>
  <c r="AQ123" i="10"/>
  <c r="BA122" i="10"/>
  <c r="BB50" i="7"/>
  <c r="BB64" i="7"/>
  <c r="AR67" i="11"/>
  <c r="AS67" i="45"/>
  <c r="AS43" i="45"/>
  <c r="AS46" i="45" s="1"/>
  <c r="AR43" i="45"/>
  <c r="AR46" i="45" s="1"/>
  <c r="AB20" i="11"/>
  <c r="AR139" i="10"/>
  <c r="AR84" i="7"/>
  <c r="AR75" i="7"/>
  <c r="AQ83" i="7"/>
  <c r="AQ74" i="7"/>
  <c r="AQ28" i="7"/>
  <c r="AQ41" i="7" s="1"/>
  <c r="AR50" i="7"/>
  <c r="AR64" i="7"/>
  <c r="AR76" i="7"/>
  <c r="AR74" i="7"/>
  <c r="AR28" i="7"/>
  <c r="AQ53" i="11"/>
  <c r="AQ55" i="11" s="1"/>
  <c r="AT47" i="59" s="1"/>
  <c r="AQ116" i="10"/>
  <c r="AQ118" i="10" s="1"/>
  <c r="AT43" i="59" s="1"/>
  <c r="AS72" i="45"/>
  <c r="AS61" i="45"/>
  <c r="AS75" i="45"/>
  <c r="AS77" i="45" s="1"/>
  <c r="AR53" i="11"/>
  <c r="AR55" i="11" s="1"/>
  <c r="AU47" i="59" s="1"/>
  <c r="AR77" i="11"/>
  <c r="AR84" i="11"/>
  <c r="AR86" i="11" s="1"/>
  <c r="AR82" i="11"/>
  <c r="AR116" i="10"/>
  <c r="AR134" i="10"/>
  <c r="AR151" i="10"/>
  <c r="AR140" i="10"/>
  <c r="AR58" i="8"/>
  <c r="AR156" i="6"/>
  <c r="BB156" i="6" s="1"/>
  <c r="AR155" i="6"/>
  <c r="BB155" i="6" s="1"/>
  <c r="AQ155" i="6"/>
  <c r="BA155" i="6" s="1"/>
  <c r="AR154" i="6"/>
  <c r="BB154" i="6" s="1"/>
  <c r="AQ154" i="6"/>
  <c r="BA154" i="6" s="1"/>
  <c r="AR130" i="6"/>
  <c r="BB130" i="6" s="1"/>
  <c r="AR129" i="6"/>
  <c r="BB129" i="6" s="1"/>
  <c r="AQ129" i="6"/>
  <c r="BA129" i="6" s="1"/>
  <c r="AR105" i="6"/>
  <c r="BB105" i="6" s="1"/>
  <c r="AR104" i="6"/>
  <c r="BB104" i="6" s="1"/>
  <c r="AR103" i="6"/>
  <c r="BB103" i="6" s="1"/>
  <c r="AQ103" i="6"/>
  <c r="BA103" i="6" s="1"/>
  <c r="AR100" i="6"/>
  <c r="BB100" i="6" s="1"/>
  <c r="AQ100" i="6"/>
  <c r="BA100" i="6" s="1"/>
  <c r="AR99" i="6"/>
  <c r="BB99" i="6" s="1"/>
  <c r="AQ99" i="6"/>
  <c r="BA99" i="6" s="1"/>
  <c r="AR97" i="6"/>
  <c r="BB97" i="6" s="1"/>
  <c r="AQ97" i="6"/>
  <c r="BA97" i="6" s="1"/>
  <c r="AR96" i="6"/>
  <c r="BB96" i="6" s="1"/>
  <c r="AQ96" i="6"/>
  <c r="BA96" i="6" s="1"/>
  <c r="AR95" i="6"/>
  <c r="BB95" i="6" s="1"/>
  <c r="AQ95" i="6"/>
  <c r="BA95" i="6" s="1"/>
  <c r="AR94" i="6"/>
  <c r="BB94" i="6" s="1"/>
  <c r="AQ94" i="6"/>
  <c r="BA94" i="6" s="1"/>
  <c r="AR87" i="6"/>
  <c r="AQ87" i="6"/>
  <c r="AR84" i="6"/>
  <c r="AQ84" i="6"/>
  <c r="AR73" i="6"/>
  <c r="AQ73" i="6"/>
  <c r="AR70" i="6"/>
  <c r="AQ70" i="6"/>
  <c r="AR52" i="6"/>
  <c r="AQ52" i="6"/>
  <c r="AR44" i="6"/>
  <c r="AQ44" i="6"/>
  <c r="AR41" i="6"/>
  <c r="AQ41" i="6"/>
  <c r="AQ37" i="6"/>
  <c r="AR28" i="6"/>
  <c r="AR25" i="6"/>
  <c r="AR22" i="6"/>
  <c r="AR18" i="6"/>
  <c r="AR17" i="6"/>
  <c r="AQ6" i="6"/>
  <c r="AQ14" i="6" s="1"/>
  <c r="AQ5" i="6"/>
  <c r="AR59" i="8"/>
  <c r="BB59" i="8" s="1"/>
  <c r="BB50" i="8" s="1"/>
  <c r="AR51" i="8"/>
  <c r="AR109" i="7" l="1"/>
  <c r="AR153" i="10"/>
  <c r="AR118" i="10"/>
  <c r="AU43" i="59" s="1"/>
  <c r="BC43" i="45"/>
  <c r="BC46" i="45" s="1"/>
  <c r="AS45" i="45"/>
  <c r="AU51" i="59" s="1"/>
  <c r="AS47" i="45"/>
  <c r="BC79" i="45"/>
  <c r="BC77" i="45"/>
  <c r="AR57" i="11"/>
  <c r="BB43" i="45"/>
  <c r="AR45" i="45"/>
  <c r="AT51" i="59" s="1"/>
  <c r="AR120" i="10"/>
  <c r="AQ13" i="22"/>
  <c r="BA13" i="22" s="1"/>
  <c r="BA11" i="22"/>
  <c r="AQ27" i="22"/>
  <c r="BA27" i="22" s="1"/>
  <c r="BA25" i="22"/>
  <c r="BA26" i="22" s="1"/>
  <c r="BB21" i="36"/>
  <c r="BA123" i="10"/>
  <c r="BB123" i="10"/>
  <c r="BB51" i="8"/>
  <c r="BB48" i="8" s="1"/>
  <c r="BA98" i="6"/>
  <c r="BA101" i="6"/>
  <c r="BB98" i="6"/>
  <c r="BB101" i="6"/>
  <c r="AR63" i="8"/>
  <c r="BB58" i="8"/>
  <c r="AR19" i="6"/>
  <c r="BB17" i="6"/>
  <c r="BB120" i="6" s="1"/>
  <c r="AR30" i="6"/>
  <c r="BB30" i="6" s="1"/>
  <c r="BB18" i="6"/>
  <c r="BB148" i="6" s="1"/>
  <c r="BE19" i="59" s="1"/>
  <c r="BA14" i="6"/>
  <c r="BA55" i="6" s="1"/>
  <c r="AQ7" i="6"/>
  <c r="AQ13" i="6"/>
  <c r="BA13" i="6" s="1"/>
  <c r="AQ11" i="6"/>
  <c r="AQ85" i="7"/>
  <c r="AR85" i="7"/>
  <c r="AQ50" i="7"/>
  <c r="AQ64" i="7"/>
  <c r="AR88" i="11"/>
  <c r="AS79" i="45"/>
  <c r="AR74" i="6"/>
  <c r="AR78" i="6" s="1"/>
  <c r="AR111" i="6" s="1"/>
  <c r="AR101" i="6"/>
  <c r="AR88" i="6"/>
  <c r="AR92" i="6" s="1"/>
  <c r="AQ88" i="6"/>
  <c r="AQ92" i="6" s="1"/>
  <c r="AQ74" i="6"/>
  <c r="AQ78" i="6" s="1"/>
  <c r="AQ98" i="6"/>
  <c r="AQ27" i="6"/>
  <c r="BA27" i="6" s="1"/>
  <c r="AQ151" i="6"/>
  <c r="BA151" i="6" s="1"/>
  <c r="AQ24" i="6"/>
  <c r="BA24" i="6" s="1"/>
  <c r="AQ21" i="6"/>
  <c r="BA21" i="6" s="1"/>
  <c r="AQ18" i="6"/>
  <c r="AR98" i="6"/>
  <c r="AR29" i="6"/>
  <c r="BB29" i="6" s="1"/>
  <c r="AQ101" i="6"/>
  <c r="AQ12" i="6"/>
  <c r="AQ17" i="6"/>
  <c r="AR161" i="6"/>
  <c r="AT67" i="8"/>
  <c r="AS67" i="8"/>
  <c r="AR117" i="8"/>
  <c r="AR118" i="8" s="1"/>
  <c r="AR105" i="8"/>
  <c r="AR106" i="8" s="1"/>
  <c r="AR85" i="8"/>
  <c r="AR89" i="8" s="1"/>
  <c r="AR80" i="8"/>
  <c r="AR77" i="8"/>
  <c r="BB77" i="8" s="1"/>
  <c r="AR75" i="8"/>
  <c r="AQ75" i="8"/>
  <c r="AR74" i="8"/>
  <c r="AQ74" i="8"/>
  <c r="AQ65" i="8"/>
  <c r="AR60" i="8"/>
  <c r="AR55" i="8"/>
  <c r="BB55" i="8" s="1"/>
  <c r="AR54" i="8"/>
  <c r="BB54" i="8" s="1"/>
  <c r="AR52" i="8"/>
  <c r="AR45" i="8"/>
  <c r="AQ45" i="8"/>
  <c r="AQ38" i="8"/>
  <c r="AQ37" i="8"/>
  <c r="AQ36" i="8"/>
  <c r="AR32" i="8"/>
  <c r="BB32" i="8" s="1"/>
  <c r="AR25" i="8"/>
  <c r="AQ20" i="8"/>
  <c r="BA20" i="8" s="1"/>
  <c r="AQ18" i="8"/>
  <c r="AR16" i="8"/>
  <c r="BB16" i="8" s="1"/>
  <c r="AQ16" i="8"/>
  <c r="BA16" i="8" s="1"/>
  <c r="AR14" i="8"/>
  <c r="BB14" i="8" s="1"/>
  <c r="AR13" i="8"/>
  <c r="BB13" i="8" s="1"/>
  <c r="AQ13" i="8"/>
  <c r="BA13" i="8" s="1"/>
  <c r="AR12" i="8"/>
  <c r="BB12" i="8" s="1"/>
  <c r="AQ12" i="8"/>
  <c r="AR5" i="8"/>
  <c r="AR37" i="8" s="1"/>
  <c r="AQ5" i="8"/>
  <c r="AS14" i="39"/>
  <c r="AQ20" i="6" l="1"/>
  <c r="BA20" i="6" s="1"/>
  <c r="AQ15" i="6"/>
  <c r="AQ56" i="6" s="1"/>
  <c r="AQ26" i="6"/>
  <c r="BA26" i="6" s="1"/>
  <c r="BA22" i="6"/>
  <c r="BB45" i="45"/>
  <c r="BB46" i="45"/>
  <c r="AR113" i="6"/>
  <c r="BA152" i="6"/>
  <c r="BB145" i="6"/>
  <c r="BB123" i="6"/>
  <c r="BE14" i="59" s="1"/>
  <c r="BC45" i="45"/>
  <c r="BC47" i="45"/>
  <c r="AQ23" i="6"/>
  <c r="BA23" i="6" s="1"/>
  <c r="BA25" i="6" s="1"/>
  <c r="BB146" i="6"/>
  <c r="BE17" i="59" s="1"/>
  <c r="BA28" i="22"/>
  <c r="BA28" i="6"/>
  <c r="BB149" i="6"/>
  <c r="BE20" i="59" s="1"/>
  <c r="BB122" i="6"/>
  <c r="BE13" i="59" s="1"/>
  <c r="BD51" i="59"/>
  <c r="BA23" i="36"/>
  <c r="BA29" i="22"/>
  <c r="BA15" i="22"/>
  <c r="BA12" i="22"/>
  <c r="BA14" i="22"/>
  <c r="BB22" i="36"/>
  <c r="BB63" i="8"/>
  <c r="BB9" i="49"/>
  <c r="BB11" i="49" s="1"/>
  <c r="BB13" i="49" s="1"/>
  <c r="BB102" i="6"/>
  <c r="BA102" i="6"/>
  <c r="BB31" i="6"/>
  <c r="AQ39" i="8"/>
  <c r="BB15" i="8"/>
  <c r="AR137" i="9"/>
  <c r="AR102" i="7"/>
  <c r="AQ15" i="8"/>
  <c r="BA12" i="8"/>
  <c r="BA15" i="8" s="1"/>
  <c r="BA18" i="8"/>
  <c r="AR43" i="8"/>
  <c r="BA74" i="8"/>
  <c r="BB106" i="6"/>
  <c r="AR15" i="8"/>
  <c r="BB74" i="8"/>
  <c r="BA106" i="6"/>
  <c r="BA162" i="6" s="1"/>
  <c r="AQ29" i="8"/>
  <c r="BA5" i="8"/>
  <c r="BA5" i="49" s="1"/>
  <c r="AR46" i="8"/>
  <c r="BB14" i="36" s="1"/>
  <c r="BE31" i="59" s="1"/>
  <c r="AR64" i="8"/>
  <c r="BB60" i="8"/>
  <c r="BB64" i="8" s="1"/>
  <c r="BA75" i="8"/>
  <c r="AR41" i="8"/>
  <c r="BB5" i="8"/>
  <c r="AR56" i="8"/>
  <c r="BB56" i="8" s="1"/>
  <c r="BB52" i="8"/>
  <c r="BB75" i="8"/>
  <c r="BB85" i="8"/>
  <c r="BB89" i="8" s="1"/>
  <c r="BB144" i="6"/>
  <c r="BB121" i="6"/>
  <c r="BE12" i="59" s="1"/>
  <c r="BB80" i="8"/>
  <c r="BB147" i="6"/>
  <c r="BE18" i="59" s="1"/>
  <c r="BA17" i="6"/>
  <c r="BA120" i="6" s="1"/>
  <c r="AQ113" i="6"/>
  <c r="BA117" i="6"/>
  <c r="BA115" i="6"/>
  <c r="BA116" i="6"/>
  <c r="AR110" i="6"/>
  <c r="BB117" i="6"/>
  <c r="BB115" i="6"/>
  <c r="BB116" i="6"/>
  <c r="AQ126" i="6"/>
  <c r="BA126" i="6" s="1"/>
  <c r="BA132" i="6"/>
  <c r="BA18" i="6"/>
  <c r="BA144" i="6" s="1"/>
  <c r="AQ138" i="6"/>
  <c r="BA140" i="6"/>
  <c r="BA141" i="6"/>
  <c r="BA142" i="6"/>
  <c r="BA158" i="6"/>
  <c r="BB124" i="6"/>
  <c r="BE15" i="59" s="1"/>
  <c r="BB19" i="6"/>
  <c r="AR138" i="6"/>
  <c r="BB140" i="6"/>
  <c r="BB141" i="6"/>
  <c r="BB142" i="6"/>
  <c r="BA58" i="6"/>
  <c r="BB119" i="6"/>
  <c r="BB161" i="6" s="1"/>
  <c r="AQ59" i="6"/>
  <c r="AQ111" i="6"/>
  <c r="AR102" i="6"/>
  <c r="AR106" i="6" s="1"/>
  <c r="AR112" i="6"/>
  <c r="AQ110" i="6"/>
  <c r="AQ112" i="6" s="1"/>
  <c r="AR135" i="6"/>
  <c r="AR136" i="6"/>
  <c r="AQ135" i="6"/>
  <c r="AQ136" i="6"/>
  <c r="AQ102" i="6"/>
  <c r="AQ106" i="6" s="1"/>
  <c r="AQ171" i="6" s="1"/>
  <c r="AQ22" i="6"/>
  <c r="AQ28" i="6"/>
  <c r="AQ25" i="6"/>
  <c r="AQ30" i="6"/>
  <c r="BA30" i="6" s="1"/>
  <c r="AR31" i="6"/>
  <c r="AQ19" i="6"/>
  <c r="AQ29" i="6"/>
  <c r="BA29" i="6" s="1"/>
  <c r="AR34" i="8"/>
  <c r="BB34" i="8" s="1"/>
  <c r="AR87" i="8"/>
  <c r="AR88" i="8" s="1"/>
  <c r="AR61" i="8"/>
  <c r="AQ23" i="8"/>
  <c r="BA23" i="8" s="1"/>
  <c r="AQ26" i="8"/>
  <c r="AR42" i="8"/>
  <c r="AQ46" i="8"/>
  <c r="BA14" i="36" s="1"/>
  <c r="BD31" i="59" s="1"/>
  <c r="AR68" i="8"/>
  <c r="AQ71" i="8"/>
  <c r="AQ24" i="8"/>
  <c r="BA24" i="8" s="1"/>
  <c r="AR40" i="8"/>
  <c r="AR47" i="8" s="1"/>
  <c r="AR72" i="8"/>
  <c r="AQ27" i="8"/>
  <c r="AQ28" i="8"/>
  <c r="AR78" i="8"/>
  <c r="AQ22" i="8"/>
  <c r="BA22" i="8" s="1"/>
  <c r="BA7" i="49" s="1"/>
  <c r="AR36" i="8"/>
  <c r="AR38" i="8"/>
  <c r="AR62" i="8" l="1"/>
  <c r="AR33" i="8"/>
  <c r="BB33" i="8" s="1"/>
  <c r="BB69" i="8"/>
  <c r="BB5" i="49"/>
  <c r="BE51" i="59"/>
  <c r="BB23" i="36"/>
  <c r="BA12" i="36"/>
  <c r="BD29" i="59" s="1"/>
  <c r="BA16" i="49"/>
  <c r="BA17" i="49" s="1"/>
  <c r="BA11" i="36"/>
  <c r="BD28" i="59" s="1"/>
  <c r="BA8" i="49"/>
  <c r="BA10" i="36"/>
  <c r="BA38" i="8"/>
  <c r="BA37" i="8"/>
  <c r="BB70" i="8"/>
  <c r="BA25" i="8"/>
  <c r="BA36" i="8"/>
  <c r="BA26" i="8"/>
  <c r="BA40" i="8" s="1"/>
  <c r="BA29" i="8"/>
  <c r="BA43" i="8" s="1"/>
  <c r="BB168" i="6"/>
  <c r="BB166" i="6"/>
  <c r="BB167" i="6"/>
  <c r="BB169" i="6"/>
  <c r="BB171" i="6"/>
  <c r="BB172" i="6"/>
  <c r="BB175" i="6"/>
  <c r="BB176" i="6"/>
  <c r="BB177" i="6"/>
  <c r="BB88" i="8"/>
  <c r="BF137" i="9"/>
  <c r="BB137" i="9"/>
  <c r="AQ5" i="26"/>
  <c r="BB46" i="8"/>
  <c r="BA28" i="8"/>
  <c r="BA42" i="8" s="1"/>
  <c r="AQ66" i="8"/>
  <c r="BA46" i="8"/>
  <c r="BA31" i="6"/>
  <c r="BA147" i="6"/>
  <c r="BD18" i="59" s="1"/>
  <c r="BA68" i="8"/>
  <c r="BD33" i="59" s="1"/>
  <c r="BA45" i="8"/>
  <c r="BA168" i="6"/>
  <c r="BA167" i="6"/>
  <c r="BA169" i="6"/>
  <c r="BA171" i="6"/>
  <c r="BA172" i="6"/>
  <c r="BA166" i="6"/>
  <c r="BA175" i="6"/>
  <c r="BA178" i="6" s="1"/>
  <c r="BA197" i="6" s="1"/>
  <c r="BA71" i="8"/>
  <c r="BA72" i="8" s="1"/>
  <c r="BA27" i="8"/>
  <c r="BA41" i="8" s="1"/>
  <c r="AR92" i="8"/>
  <c r="BB87" i="8"/>
  <c r="AR110" i="7"/>
  <c r="BB76" i="8"/>
  <c r="BB41" i="8"/>
  <c r="BB45" i="8"/>
  <c r="BB68" i="8"/>
  <c r="BE33" i="59" s="1"/>
  <c r="BB43" i="8"/>
  <c r="BB72" i="8"/>
  <c r="BB36" i="8"/>
  <c r="BB37" i="8"/>
  <c r="BB38" i="8"/>
  <c r="BB42" i="8"/>
  <c r="BB40" i="8"/>
  <c r="BA76" i="8"/>
  <c r="BB78" i="8"/>
  <c r="BB162" i="6"/>
  <c r="AR138" i="9"/>
  <c r="AR141" i="9"/>
  <c r="BB62" i="8"/>
  <c r="BB61" i="8"/>
  <c r="BA149" i="6"/>
  <c r="BD20" i="59" s="1"/>
  <c r="BA148" i="6"/>
  <c r="BD19" i="59" s="1"/>
  <c r="BA146" i="6"/>
  <c r="BD17" i="59" s="1"/>
  <c r="BA121" i="6"/>
  <c r="BD12" i="59" s="1"/>
  <c r="BA124" i="6"/>
  <c r="BD15" i="59" s="1"/>
  <c r="BB160" i="6"/>
  <c r="BB14" i="49" s="1"/>
  <c r="BA160" i="6"/>
  <c r="BA15" i="6"/>
  <c r="BA54" i="6"/>
  <c r="BA19" i="6"/>
  <c r="BA127" i="6"/>
  <c r="BA122" i="6"/>
  <c r="BD13" i="59" s="1"/>
  <c r="BA57" i="6"/>
  <c r="BA123" i="6"/>
  <c r="BD14" i="59" s="1"/>
  <c r="BA119" i="6"/>
  <c r="BA161" i="6" s="1"/>
  <c r="AR137" i="6"/>
  <c r="AQ137" i="6"/>
  <c r="AQ168" i="6"/>
  <c r="AQ169" i="6"/>
  <c r="AQ175" i="6"/>
  <c r="AQ178" i="6" s="1"/>
  <c r="AQ167" i="6"/>
  <c r="AQ166" i="6"/>
  <c r="AQ172" i="6"/>
  <c r="AQ173" i="6" s="1"/>
  <c r="AQ31" i="6"/>
  <c r="AR175" i="6"/>
  <c r="AR171" i="6"/>
  <c r="AR169" i="6"/>
  <c r="AR167" i="6"/>
  <c r="AR166" i="6"/>
  <c r="AR176" i="6"/>
  <c r="AR160" i="6"/>
  <c r="AR168" i="6"/>
  <c r="AR172" i="6"/>
  <c r="AR177" i="6"/>
  <c r="AR162" i="6"/>
  <c r="AR90" i="8"/>
  <c r="BB90" i="8" s="1"/>
  <c r="AR39" i="8"/>
  <c r="AQ60" i="8"/>
  <c r="AQ58" i="8"/>
  <c r="BA58" i="8" s="1"/>
  <c r="AQ25" i="8"/>
  <c r="AQ52" i="8"/>
  <c r="BA52" i="8" s="1"/>
  <c r="BA39" i="8" l="1"/>
  <c r="BA13" i="36"/>
  <c r="BD30" i="59" s="1"/>
  <c r="BD27" i="59"/>
  <c r="BB15" i="49"/>
  <c r="BB18" i="49" s="1"/>
  <c r="BB19" i="49" s="1"/>
  <c r="BB15" i="36" s="1"/>
  <c r="BB170" i="6"/>
  <c r="BA170" i="6"/>
  <c r="BA189" i="6" s="1"/>
  <c r="BA173" i="6"/>
  <c r="BA192" i="6" s="1"/>
  <c r="BA63" i="8"/>
  <c r="BA9" i="49"/>
  <c r="BA11" i="49" s="1"/>
  <c r="BA66" i="8"/>
  <c r="BB66" i="8"/>
  <c r="BA5" i="26"/>
  <c r="AR112" i="7"/>
  <c r="AR113" i="7" s="1"/>
  <c r="AR111" i="7"/>
  <c r="BB138" i="9"/>
  <c r="BB141" i="9"/>
  <c r="BB189" i="6"/>
  <c r="BA47" i="8"/>
  <c r="BA56" i="6"/>
  <c r="AR142" i="9"/>
  <c r="BB47" i="8"/>
  <c r="BB39" i="8"/>
  <c r="BB173" i="6"/>
  <c r="BB192" i="6" s="1"/>
  <c r="BA60" i="8"/>
  <c r="BA64" i="8" s="1"/>
  <c r="BA59" i="6"/>
  <c r="BB92" i="8"/>
  <c r="AR93" i="8"/>
  <c r="BB178" i="6"/>
  <c r="BB197" i="6" s="1"/>
  <c r="BA33" i="6"/>
  <c r="BA34" i="6"/>
  <c r="BA35" i="6"/>
  <c r="BA36" i="6"/>
  <c r="AQ170" i="6"/>
  <c r="AQ174" i="6" s="1"/>
  <c r="AQ179" i="6" s="1"/>
  <c r="AR170" i="6"/>
  <c r="AR178" i="6"/>
  <c r="AR173" i="6"/>
  <c r="AQ34" i="8"/>
  <c r="AQ32" i="8"/>
  <c r="AQ56" i="8"/>
  <c r="BA56" i="8" s="1"/>
  <c r="BA62" i="8" s="1"/>
  <c r="AR114" i="7" l="1"/>
  <c r="AR116" i="7" s="1"/>
  <c r="BB65" i="8"/>
  <c r="BE34" i="59"/>
  <c r="BA174" i="6"/>
  <c r="BA179" i="6" s="1"/>
  <c r="BA37" i="6"/>
  <c r="BA34" i="8"/>
  <c r="BB93" i="8"/>
  <c r="AR94" i="8"/>
  <c r="BB174" i="6"/>
  <c r="BB9" i="36" s="1"/>
  <c r="BE10" i="59" s="1"/>
  <c r="BA32" i="8"/>
  <c r="BB142" i="9"/>
  <c r="AR174" i="6"/>
  <c r="AR179" i="6" s="1"/>
  <c r="AQ33" i="8"/>
  <c r="BA193" i="6" l="1"/>
  <c r="BA198" i="6" s="1"/>
  <c r="BB193" i="6"/>
  <c r="BB179" i="6"/>
  <c r="BA33" i="8"/>
  <c r="BB94" i="8"/>
  <c r="AQ53" i="36"/>
  <c r="BB198" i="6" l="1"/>
  <c r="AT31" i="36"/>
  <c r="AS31" i="36"/>
  <c r="AR23" i="36"/>
  <c r="AQ23" i="36"/>
  <c r="AR22" i="36"/>
  <c r="AQ22" i="36"/>
  <c r="AR21" i="36"/>
  <c r="AQ21" i="36"/>
  <c r="AQ27" i="21"/>
  <c r="AQ26" i="21"/>
  <c r="AQ39" i="21"/>
  <c r="BA39" i="21" s="1"/>
  <c r="AQ38" i="21"/>
  <c r="BA38" i="21" s="1"/>
  <c r="AQ29" i="21" l="1"/>
  <c r="AQ418" i="28"/>
  <c r="AQ420" i="28" s="1"/>
  <c r="BA26" i="21"/>
  <c r="AQ429" i="28"/>
  <c r="BA429" i="28" s="1"/>
  <c r="BA27" i="21"/>
  <c r="AR46" i="35"/>
  <c r="BB46" i="35" s="1"/>
  <c r="AR45" i="35"/>
  <c r="BB45" i="35" s="1"/>
  <c r="AR39" i="35"/>
  <c r="BB39" i="35" s="1"/>
  <c r="BA29" i="21" l="1"/>
  <c r="AQ426" i="28"/>
  <c r="AQ430" i="28" s="1"/>
  <c r="AQ422" i="28"/>
  <c r="AP399" i="28" l="1"/>
  <c r="AT399" i="28" s="1"/>
  <c r="AX399" i="28" s="1"/>
  <c r="BF399" i="28" s="1"/>
  <c r="AP367" i="28"/>
  <c r="AT367" i="28" s="1"/>
  <c r="AX367" i="28" s="1"/>
  <c r="BF367" i="28" s="1"/>
  <c r="AP274" i="28" l="1"/>
  <c r="AT274" i="28" s="1"/>
  <c r="AX274" i="28" s="1"/>
  <c r="BF274" i="28" s="1"/>
  <c r="AP291" i="28"/>
  <c r="AT291" i="28" s="1"/>
  <c r="AX291" i="28" s="1"/>
  <c r="BF291" i="28" s="1"/>
  <c r="AP307" i="28"/>
  <c r="AT307" i="28" s="1"/>
  <c r="AX307" i="28" s="1"/>
  <c r="BF307" i="28" s="1"/>
  <c r="AP236" i="28" l="1"/>
  <c r="AT236" i="28" s="1"/>
  <c r="AX236" i="28" s="1"/>
  <c r="BF236" i="28" s="1"/>
  <c r="AP234" i="28"/>
  <c r="AT234" i="28" s="1"/>
  <c r="AX234" i="28" s="1"/>
  <c r="BF234" i="28" s="1"/>
  <c r="AP244" i="28"/>
  <c r="AT244" i="28" s="1"/>
  <c r="AX244" i="28" s="1"/>
  <c r="BF244" i="28" s="1"/>
  <c r="AP205" i="28"/>
  <c r="AT205" i="28" s="1"/>
  <c r="AX205" i="28" s="1"/>
  <c r="BF205" i="28" s="1"/>
  <c r="AP206" i="28"/>
  <c r="AT206" i="28" s="1"/>
  <c r="AX206" i="28" s="1"/>
  <c r="BF206" i="28" s="1"/>
  <c r="AR175" i="28"/>
  <c r="AR176" i="28" s="1"/>
  <c r="BH25" i="21" l="1"/>
  <c r="BH20" i="21"/>
  <c r="AR160" i="64" l="1"/>
  <c r="AR92" i="64"/>
  <c r="AP160" i="64"/>
  <c r="AR16" i="49"/>
  <c r="AR17" i="49" s="1"/>
  <c r="AR10" i="49"/>
  <c r="AQ10" i="49"/>
  <c r="AR9" i="49"/>
  <c r="AR8" i="49"/>
  <c r="AR7" i="49"/>
  <c r="AU58" i="59"/>
  <c r="AT58" i="59"/>
  <c r="AU57" i="59"/>
  <c r="AT57" i="59"/>
  <c r="AU56" i="59"/>
  <c r="AT56" i="59"/>
  <c r="AT55" i="59"/>
  <c r="AU54" i="59"/>
  <c r="AT54" i="59"/>
  <c r="AU53" i="59"/>
  <c r="AT53" i="59"/>
  <c r="AU52" i="59"/>
  <c r="AT52" i="59"/>
  <c r="AU49" i="59"/>
  <c r="AT49" i="59"/>
  <c r="AU48" i="59"/>
  <c r="AT48" i="59"/>
  <c r="AU45" i="59"/>
  <c r="AT45" i="59"/>
  <c r="AU44" i="59"/>
  <c r="AT44" i="59"/>
  <c r="AU41" i="59"/>
  <c r="AT41" i="59"/>
  <c r="AU40" i="59"/>
  <c r="AT40" i="59"/>
  <c r="AU39" i="59"/>
  <c r="AT39" i="59"/>
  <c r="AT34" i="59"/>
  <c r="AT33" i="59"/>
  <c r="AU32" i="59"/>
  <c r="AT32" i="59"/>
  <c r="AU31" i="59"/>
  <c r="AT31" i="59"/>
  <c r="AT29" i="59"/>
  <c r="AT28" i="59"/>
  <c r="AT27" i="59"/>
  <c r="AU25" i="59"/>
  <c r="AT25" i="59"/>
  <c r="AU24" i="59"/>
  <c r="AT24" i="59"/>
  <c r="AU23" i="59"/>
  <c r="AT23" i="59"/>
  <c r="AU22" i="59"/>
  <c r="AT22" i="59"/>
  <c r="AU21" i="59"/>
  <c r="AT21" i="59"/>
  <c r="AU20" i="59"/>
  <c r="AT20" i="59"/>
  <c r="AU19" i="59"/>
  <c r="AT19" i="59"/>
  <c r="AU18" i="59"/>
  <c r="AT18" i="59"/>
  <c r="AU17" i="59"/>
  <c r="AT17" i="59"/>
  <c r="AU15" i="59"/>
  <c r="AT15" i="59"/>
  <c r="AU14" i="59"/>
  <c r="AT14" i="59"/>
  <c r="AU13" i="59"/>
  <c r="AT13" i="59"/>
  <c r="AU12" i="59"/>
  <c r="AT12" i="59"/>
  <c r="AQ11" i="15" l="1"/>
  <c r="AQ12" i="15" s="1"/>
  <c r="AQ13" i="15" s="1"/>
  <c r="BA11" i="15"/>
  <c r="BA12" i="15" s="1"/>
  <c r="BA13" i="15" s="1"/>
  <c r="AR11" i="49"/>
  <c r="O63" i="50" l="1"/>
  <c r="S63" i="50" s="1"/>
  <c r="W63" i="50" s="1"/>
  <c r="O64" i="50"/>
  <c r="S64" i="50" s="1"/>
  <c r="W64" i="50" s="1"/>
  <c r="O48" i="50"/>
  <c r="S48" i="50" s="1"/>
  <c r="W48" i="50" s="1"/>
  <c r="O49" i="50"/>
  <c r="S49" i="50" s="1"/>
  <c r="W49" i="50" s="1"/>
  <c r="O53" i="50"/>
  <c r="S53" i="50" s="1"/>
  <c r="W53" i="50" s="1"/>
  <c r="O55" i="50"/>
  <c r="S55" i="50" s="1"/>
  <c r="W55" i="50" s="1"/>
  <c r="O56" i="50"/>
  <c r="S56" i="50" s="1"/>
  <c r="W56" i="50" s="1"/>
  <c r="O58" i="50"/>
  <c r="S58" i="50" s="1"/>
  <c r="W58" i="50" s="1"/>
  <c r="O59" i="50"/>
  <c r="S59" i="50" s="1"/>
  <c r="W59" i="50" s="1"/>
  <c r="K44" i="50"/>
  <c r="O44" i="50" s="1"/>
  <c r="S44" i="50" s="1"/>
  <c r="W44" i="50" s="1"/>
  <c r="K38" i="50"/>
  <c r="O38" i="50" s="1"/>
  <c r="S38" i="50" s="1"/>
  <c r="W38" i="50" s="1"/>
  <c r="K8" i="50"/>
  <c r="O8" i="50" s="1"/>
  <c r="S8" i="50" s="1"/>
  <c r="W8" i="50" s="1"/>
  <c r="K26" i="50"/>
  <c r="O26" i="50" s="1"/>
  <c r="S26" i="50" s="1"/>
  <c r="W26" i="50" s="1"/>
  <c r="K31" i="50"/>
  <c r="O31" i="50" s="1"/>
  <c r="S31" i="50" s="1"/>
  <c r="W31" i="50" s="1"/>
  <c r="O65" i="50"/>
  <c r="S65" i="50" s="1"/>
  <c r="W65" i="50" s="1"/>
  <c r="O50" i="50"/>
  <c r="S50" i="50" s="1"/>
  <c r="W50" i="50" s="1"/>
  <c r="O52" i="50"/>
  <c r="S52" i="50" s="1"/>
  <c r="W52" i="50" s="1"/>
  <c r="O57" i="50"/>
  <c r="S57" i="50" s="1"/>
  <c r="W57" i="50" s="1"/>
  <c r="AA62" i="50"/>
  <c r="AA63" i="50"/>
  <c r="AA64" i="50"/>
  <c r="AA65" i="50"/>
  <c r="AA67" i="50"/>
  <c r="AA68" i="50"/>
  <c r="AA69" i="50"/>
  <c r="AA48" i="50"/>
  <c r="AA49" i="50"/>
  <c r="AA50" i="50"/>
  <c r="AA52" i="50"/>
  <c r="AC52" i="50" s="1"/>
  <c r="AG52" i="50" s="1"/>
  <c r="AK52" i="50" s="1"/>
  <c r="AA53" i="50"/>
  <c r="AA55" i="50"/>
  <c r="AA56" i="50"/>
  <c r="AA57" i="50"/>
  <c r="AA44" i="50"/>
  <c r="AA38" i="50"/>
  <c r="AA8" i="50"/>
  <c r="AA26" i="50"/>
  <c r="AA31" i="50"/>
  <c r="AO62" i="50"/>
  <c r="BE62" i="50" s="1"/>
  <c r="AO63" i="50"/>
  <c r="BE63" i="50" s="1"/>
  <c r="AO64" i="50"/>
  <c r="BE64" i="50" s="1"/>
  <c r="AO65" i="50"/>
  <c r="BE65" i="50" s="1"/>
  <c r="AO67" i="50"/>
  <c r="BE67" i="50" s="1"/>
  <c r="AO68" i="50"/>
  <c r="BE68" i="50" s="1"/>
  <c r="AO69" i="50"/>
  <c r="BE69" i="50" s="1"/>
  <c r="AO48" i="50"/>
  <c r="BE48" i="50" s="1"/>
  <c r="AO49" i="50"/>
  <c r="BE49" i="50" s="1"/>
  <c r="AO50" i="50"/>
  <c r="BE50" i="50" s="1"/>
  <c r="AO53" i="50"/>
  <c r="BE53" i="50" s="1"/>
  <c r="AO56" i="50"/>
  <c r="BE56" i="50" s="1"/>
  <c r="AO57" i="50"/>
  <c r="BE57" i="50" s="1"/>
  <c r="AO58" i="50"/>
  <c r="BE58" i="50" s="1"/>
  <c r="AC56" i="50" l="1"/>
  <c r="AG56" i="50" s="1"/>
  <c r="AK56" i="50" s="1"/>
  <c r="AC50" i="50"/>
  <c r="AG50" i="50" s="1"/>
  <c r="AK50" i="50" s="1"/>
  <c r="AC53" i="50"/>
  <c r="AG53" i="50" s="1"/>
  <c r="AK53" i="50" s="1"/>
  <c r="AC48" i="50"/>
  <c r="AG48" i="50" s="1"/>
  <c r="AK48" i="50" s="1"/>
  <c r="AC49" i="50"/>
  <c r="AG49" i="50" s="1"/>
  <c r="AK49" i="50" s="1"/>
  <c r="AC57" i="50"/>
  <c r="AG57" i="50" s="1"/>
  <c r="AK57" i="50" s="1"/>
  <c r="AC26" i="50"/>
  <c r="AG26" i="50" s="1"/>
  <c r="AK26" i="50" s="1"/>
  <c r="AC8" i="50"/>
  <c r="AG8" i="50" s="1"/>
  <c r="AK8" i="50" s="1"/>
  <c r="AC65" i="50"/>
  <c r="AC64" i="50"/>
  <c r="AC63" i="50"/>
  <c r="AC55" i="50"/>
  <c r="AG55" i="50" s="1"/>
  <c r="AK55" i="50" s="1"/>
  <c r="AC44" i="50"/>
  <c r="AG44" i="50" s="1"/>
  <c r="AK44" i="50" s="1"/>
  <c r="AC38" i="50"/>
  <c r="AG38" i="50" s="1"/>
  <c r="AK38" i="50" s="1"/>
  <c r="AC31" i="50"/>
  <c r="AG31" i="50" s="1"/>
  <c r="AK31" i="50" s="1"/>
  <c r="BG50" i="50" l="1"/>
  <c r="BG53" i="50"/>
  <c r="BG48" i="50"/>
  <c r="AG63" i="50"/>
  <c r="AK63" i="50" s="1"/>
  <c r="AQ63" i="50" s="1"/>
  <c r="AU63" i="50" s="1"/>
  <c r="AY63" i="50" s="1"/>
  <c r="BG63" i="50" s="1"/>
  <c r="BG56" i="50"/>
  <c r="AG65" i="50"/>
  <c r="AK65" i="50" s="1"/>
  <c r="AQ65" i="50" s="1"/>
  <c r="AU65" i="50" s="1"/>
  <c r="AY65" i="50" s="1"/>
  <c r="BG65" i="50" s="1"/>
  <c r="AQ64" i="50"/>
  <c r="AU64" i="50" s="1"/>
  <c r="AY64" i="50" s="1"/>
  <c r="BG64" i="50" s="1"/>
  <c r="AG64" i="50"/>
  <c r="AK64" i="50" s="1"/>
  <c r="BG57" i="50"/>
  <c r="BG49" i="50"/>
  <c r="I27" i="15"/>
  <c r="I29" i="15"/>
  <c r="AM27" i="15"/>
  <c r="BC27" i="15" s="1"/>
  <c r="Y27" i="15"/>
  <c r="M27" i="15"/>
  <c r="Q27" i="15" s="1"/>
  <c r="U27" i="15" s="1"/>
  <c r="AM29" i="15"/>
  <c r="BC29" i="15" s="1"/>
  <c r="Y29" i="15"/>
  <c r="M29" i="15"/>
  <c r="Q29" i="15" s="1"/>
  <c r="U29" i="15" s="1"/>
  <c r="I24" i="15"/>
  <c r="AA29" i="15" l="1"/>
  <c r="AE29" i="15" s="1"/>
  <c r="AI29" i="15" s="1"/>
  <c r="AO29" i="15" s="1"/>
  <c r="AS29" i="15" s="1"/>
  <c r="AW29" i="15" s="1"/>
  <c r="BE29" i="15" s="1"/>
  <c r="AA27" i="15"/>
  <c r="AE27" i="15" s="1"/>
  <c r="AI27" i="15" s="1"/>
  <c r="AO27" i="15" s="1"/>
  <c r="AS27" i="15" s="1"/>
  <c r="AW27" i="15" s="1"/>
  <c r="BE27" i="15" s="1"/>
  <c r="AK9" i="17" l="1"/>
  <c r="AJ51" i="17" l="1"/>
  <c r="AJ47" i="17"/>
  <c r="AJ45" i="17"/>
  <c r="AJ43" i="17"/>
  <c r="AL7" i="17"/>
  <c r="BB7" i="17" s="1"/>
  <c r="AM106" i="17"/>
  <c r="BC106" i="17" s="1"/>
  <c r="AM105" i="17"/>
  <c r="BC105" i="17" s="1"/>
  <c r="AM104" i="17"/>
  <c r="BC104" i="17" s="1"/>
  <c r="AM103" i="17"/>
  <c r="BC103" i="17" s="1"/>
  <c r="AM102" i="17"/>
  <c r="BC102" i="17" s="1"/>
  <c r="AM101" i="17"/>
  <c r="BC101" i="17" s="1"/>
  <c r="AM100" i="17"/>
  <c r="BC100" i="17" s="1"/>
  <c r="AM99" i="17"/>
  <c r="BC99" i="17" s="1"/>
  <c r="AM98" i="17"/>
  <c r="BC98" i="17" s="1"/>
  <c r="AM97" i="17"/>
  <c r="BC97" i="17" s="1"/>
  <c r="AM96" i="17"/>
  <c r="BC96" i="17" s="1"/>
  <c r="AM95" i="17"/>
  <c r="BC95" i="17" s="1"/>
  <c r="AM94" i="17"/>
  <c r="BC94" i="17" s="1"/>
  <c r="AM93" i="17"/>
  <c r="BC93" i="17" s="1"/>
  <c r="AM92" i="17"/>
  <c r="BC92" i="17" s="1"/>
  <c r="AM91" i="17"/>
  <c r="BC91" i="17" s="1"/>
  <c r="AM88" i="17"/>
  <c r="BC88" i="17" s="1"/>
  <c r="AM87" i="17"/>
  <c r="BC87" i="17" s="1"/>
  <c r="AM60" i="17"/>
  <c r="BC60" i="17" s="1"/>
  <c r="AM57" i="17"/>
  <c r="BC57" i="17" s="1"/>
  <c r="AM56" i="17"/>
  <c r="BC56" i="17" s="1"/>
  <c r="AM47" i="17"/>
  <c r="BC47" i="17" s="1"/>
  <c r="AM45" i="17"/>
  <c r="BC45" i="17" s="1"/>
  <c r="AM41" i="17"/>
  <c r="BC41" i="17" s="1"/>
  <c r="AM39" i="17"/>
  <c r="BC39" i="17" s="1"/>
  <c r="AM37" i="17"/>
  <c r="BC37" i="17" s="1"/>
  <c r="AM26" i="17"/>
  <c r="BC26" i="17" s="1"/>
  <c r="AL26" i="17"/>
  <c r="BB26" i="17" s="1"/>
  <c r="AM24" i="17"/>
  <c r="BC24" i="17" s="1"/>
  <c r="AL24" i="17"/>
  <c r="BB24" i="17" s="1"/>
  <c r="AM23" i="17"/>
  <c r="BC23" i="17" s="1"/>
  <c r="AL23" i="17"/>
  <c r="BB23" i="17" s="1"/>
  <c r="AM20" i="17"/>
  <c r="BC20" i="17" s="1"/>
  <c r="AL20" i="17"/>
  <c r="BB20" i="17" s="1"/>
  <c r="AM19" i="17"/>
  <c r="BC19" i="17" s="1"/>
  <c r="AM18" i="17"/>
  <c r="BC18" i="17" s="1"/>
  <c r="AM17" i="17"/>
  <c r="BC17" i="17" s="1"/>
  <c r="BC21" i="17" s="1"/>
  <c r="AL9" i="17"/>
  <c r="BB9" i="17" s="1"/>
  <c r="AM7" i="17"/>
  <c r="BC7" i="17" s="1"/>
  <c r="AM2" i="17"/>
  <c r="AL2" i="17"/>
  <c r="BB2" i="17" s="1"/>
  <c r="AJ113" i="17"/>
  <c r="AJ111" i="17"/>
  <c r="AK81" i="17"/>
  <c r="AJ81" i="17"/>
  <c r="AK77" i="17"/>
  <c r="AJ77" i="17"/>
  <c r="AK66" i="17"/>
  <c r="AK68" i="17" s="1"/>
  <c r="AJ66" i="17"/>
  <c r="AJ68" i="17" s="1"/>
  <c r="AJ60" i="17"/>
  <c r="AK58" i="17"/>
  <c r="AJ57" i="17"/>
  <c r="AJ56" i="17"/>
  <c r="AJ54" i="17"/>
  <c r="AK51" i="17"/>
  <c r="AK52" i="17" s="1"/>
  <c r="AK48" i="17"/>
  <c r="AK46" i="17"/>
  <c r="AK43" i="17"/>
  <c r="AK42" i="17"/>
  <c r="AK40" i="17"/>
  <c r="AK38" i="17"/>
  <c r="AK25" i="17"/>
  <c r="AJ25" i="17"/>
  <c r="AK21" i="17"/>
  <c r="AK15" i="17" s="1"/>
  <c r="AJ18" i="17"/>
  <c r="AJ17" i="17"/>
  <c r="AJ15" i="17"/>
  <c r="AJ29" i="17" s="1"/>
  <c r="AJ14" i="17"/>
  <c r="AK11" i="17"/>
  <c r="AK13" i="17"/>
  <c r="AK8" i="17"/>
  <c r="AK112" i="17" s="1"/>
  <c r="AJ8" i="17"/>
  <c r="BC58" i="17" l="1"/>
  <c r="BB13" i="17"/>
  <c r="BC61" i="17"/>
  <c r="AM65" i="17"/>
  <c r="BC65" i="17" s="1"/>
  <c r="BC2" i="17"/>
  <c r="BC38" i="17" s="1"/>
  <c r="AM21" i="17"/>
  <c r="AL13" i="17"/>
  <c r="AL64" i="17"/>
  <c r="BB64" i="17" s="1"/>
  <c r="AM70" i="17"/>
  <c r="BC70" i="17" s="1"/>
  <c r="AM73" i="17"/>
  <c r="BC73" i="17" s="1"/>
  <c r="AL76" i="17"/>
  <c r="BB76" i="17" s="1"/>
  <c r="AM80" i="17"/>
  <c r="BC80" i="17" s="1"/>
  <c r="AM38" i="17"/>
  <c r="AM46" i="17"/>
  <c r="AM64" i="17"/>
  <c r="AM71" i="17"/>
  <c r="BC71" i="17" s="1"/>
  <c r="AL74" i="17"/>
  <c r="BB74" i="17" s="1"/>
  <c r="AM76" i="17"/>
  <c r="BC76" i="17" s="1"/>
  <c r="AL12" i="17"/>
  <c r="BB12" i="17" s="1"/>
  <c r="AM40" i="17"/>
  <c r="AM48" i="17"/>
  <c r="AM67" i="17"/>
  <c r="BC67" i="17" s="1"/>
  <c r="AL72" i="17"/>
  <c r="BB72" i="17" s="1"/>
  <c r="AM74" i="17"/>
  <c r="BC74" i="17" s="1"/>
  <c r="AL79" i="17"/>
  <c r="BB79" i="17" s="1"/>
  <c r="AM42" i="17"/>
  <c r="AL70" i="17"/>
  <c r="BB70" i="17" s="1"/>
  <c r="AM72" i="17"/>
  <c r="AM75" i="17"/>
  <c r="BC75" i="17" s="1"/>
  <c r="AM79" i="17"/>
  <c r="AL87" i="17"/>
  <c r="BB87" i="17" s="1"/>
  <c r="AJ49" i="17"/>
  <c r="AJ110" i="17" s="1"/>
  <c r="AJ115" i="17"/>
  <c r="AM58" i="17"/>
  <c r="AM59" i="17" s="1"/>
  <c r="AK49" i="17"/>
  <c r="AK110" i="17" s="1"/>
  <c r="AK114" i="17" s="1"/>
  <c r="AK44" i="17"/>
  <c r="AM11" i="17"/>
  <c r="AJ10" i="17"/>
  <c r="AL65" i="17"/>
  <c r="AL71" i="17"/>
  <c r="BB71" i="17" s="1"/>
  <c r="AL73" i="17"/>
  <c r="BB73" i="17" s="1"/>
  <c r="AL75" i="17"/>
  <c r="BB75" i="17" s="1"/>
  <c r="AL80" i="17"/>
  <c r="AK32" i="17"/>
  <c r="AJ21" i="17"/>
  <c r="AJ32" i="17" s="1"/>
  <c r="AJ58" i="17"/>
  <c r="AJ61" i="17" s="1"/>
  <c r="AJ112" i="17"/>
  <c r="AK33" i="17"/>
  <c r="AK31" i="17"/>
  <c r="AK29" i="17"/>
  <c r="AK30" i="17"/>
  <c r="AK12" i="17"/>
  <c r="AK113" i="17" s="1"/>
  <c r="AK10" i="17"/>
  <c r="AK61" i="17"/>
  <c r="AK59" i="17"/>
  <c r="BC40" i="17" l="1"/>
  <c r="AM77" i="17"/>
  <c r="BC72" i="17"/>
  <c r="BC77" i="17" s="1"/>
  <c r="AL66" i="17"/>
  <c r="AL68" i="17" s="1"/>
  <c r="BB65" i="17"/>
  <c r="BB66" i="17" s="1"/>
  <c r="BB68" i="17" s="1"/>
  <c r="BB77" i="17"/>
  <c r="BB14" i="17"/>
  <c r="AM66" i="17"/>
  <c r="AM68" i="17" s="1"/>
  <c r="BC64" i="17"/>
  <c r="BC66" i="17" s="1"/>
  <c r="BC68" i="17" s="1"/>
  <c r="BC42" i="17"/>
  <c r="BC48" i="17"/>
  <c r="BC46" i="17"/>
  <c r="BC11" i="17"/>
  <c r="AL81" i="17"/>
  <c r="BB80" i="17"/>
  <c r="BB81" i="17" s="1"/>
  <c r="AM81" i="17"/>
  <c r="BC79" i="17"/>
  <c r="BC81" i="17" s="1"/>
  <c r="BC59" i="17"/>
  <c r="AJ33" i="17"/>
  <c r="AJ30" i="17"/>
  <c r="AJ31" i="17"/>
  <c r="AM61" i="17"/>
  <c r="AL14" i="17"/>
  <c r="AK50" i="17"/>
  <c r="AK111" i="17" s="1"/>
  <c r="AK115" i="17" s="1"/>
  <c r="AJ53" i="17"/>
  <c r="AK53" i="17"/>
  <c r="AK54" i="17" s="1"/>
  <c r="AL77" i="17"/>
  <c r="AJ114" i="17"/>
  <c r="AJ59" i="17"/>
  <c r="AK14" i="17"/>
  <c r="AM73" i="26"/>
  <c r="BC73" i="26" s="1"/>
  <c r="AL73" i="26"/>
  <c r="BB73" i="26" s="1"/>
  <c r="AM72" i="26"/>
  <c r="BC72" i="26" s="1"/>
  <c r="AL72" i="26"/>
  <c r="BB72" i="26" s="1"/>
  <c r="AM71" i="26"/>
  <c r="BC71" i="26" s="1"/>
  <c r="AL71" i="26"/>
  <c r="BB71" i="26" s="1"/>
  <c r="AM70" i="26"/>
  <c r="BC70" i="26" s="1"/>
  <c r="AL70" i="26"/>
  <c r="BB70" i="26" s="1"/>
  <c r="AM69" i="26"/>
  <c r="BC69" i="26" s="1"/>
  <c r="AL69" i="26"/>
  <c r="BB69" i="26" s="1"/>
  <c r="AM68" i="26"/>
  <c r="BC68" i="26" s="1"/>
  <c r="AL68" i="26"/>
  <c r="BB68" i="26" s="1"/>
  <c r="AM67" i="26"/>
  <c r="BC67" i="26" s="1"/>
  <c r="AL67" i="26"/>
  <c r="BB67" i="26" s="1"/>
  <c r="AM66" i="26"/>
  <c r="BC66" i="26" s="1"/>
  <c r="AL66" i="26"/>
  <c r="BB66" i="26" s="1"/>
  <c r="AM65" i="26"/>
  <c r="BC65" i="26" s="1"/>
  <c r="AL65" i="26"/>
  <c r="BB65" i="26" s="1"/>
  <c r="AM60" i="26"/>
  <c r="BC60" i="26" s="1"/>
  <c r="AL60" i="26"/>
  <c r="BB60" i="26" s="1"/>
  <c r="AM59" i="26"/>
  <c r="BC59" i="26" s="1"/>
  <c r="AM55" i="26"/>
  <c r="BC55" i="26" s="1"/>
  <c r="AL55" i="26"/>
  <c r="BB55" i="26" s="1"/>
  <c r="AM54" i="26"/>
  <c r="BC54" i="26" s="1"/>
  <c r="AL54" i="26"/>
  <c r="BB54" i="26" s="1"/>
  <c r="AM50" i="26"/>
  <c r="BC50" i="26" s="1"/>
  <c r="AL50" i="26"/>
  <c r="BB50" i="26" s="1"/>
  <c r="AM49" i="26"/>
  <c r="BC49" i="26" s="1"/>
  <c r="AL49" i="26"/>
  <c r="BB49" i="26" s="1"/>
  <c r="AM48" i="26"/>
  <c r="BC48" i="26" s="1"/>
  <c r="AL48" i="26"/>
  <c r="BB48" i="26" s="1"/>
  <c r="AM47" i="26"/>
  <c r="BC47" i="26" s="1"/>
  <c r="AL47" i="26"/>
  <c r="BB47" i="26" s="1"/>
  <c r="AM46" i="26"/>
  <c r="BC46" i="26" s="1"/>
  <c r="AL46" i="26"/>
  <c r="BB46" i="26" s="1"/>
  <c r="AM45" i="26"/>
  <c r="BC45" i="26" s="1"/>
  <c r="AL45" i="26"/>
  <c r="BB45" i="26" s="1"/>
  <c r="AM44" i="26"/>
  <c r="BC44" i="26" s="1"/>
  <c r="AL44" i="26"/>
  <c r="BB44" i="26" s="1"/>
  <c r="AM43" i="26"/>
  <c r="BC43" i="26" s="1"/>
  <c r="AL43" i="26"/>
  <c r="BB43" i="26" s="1"/>
  <c r="AM39" i="26"/>
  <c r="BC39" i="26" s="1"/>
  <c r="AM38" i="26"/>
  <c r="BC38" i="26" s="1"/>
  <c r="AL38" i="26"/>
  <c r="BB38" i="26" s="1"/>
  <c r="AM35" i="26"/>
  <c r="AL35" i="26"/>
  <c r="AM31" i="26"/>
  <c r="BC31" i="26" s="1"/>
  <c r="AL31" i="26"/>
  <c r="BB31" i="26" s="1"/>
  <c r="AM30" i="26"/>
  <c r="BC30" i="26" s="1"/>
  <c r="AL30" i="26"/>
  <c r="BB30" i="26" s="1"/>
  <c r="AM29" i="26"/>
  <c r="BC29" i="26" s="1"/>
  <c r="AL29" i="26"/>
  <c r="BB29" i="26" s="1"/>
  <c r="AM28" i="26"/>
  <c r="BC28" i="26" s="1"/>
  <c r="AL28" i="26"/>
  <c r="BB28" i="26" s="1"/>
  <c r="AM27" i="26"/>
  <c r="BC27" i="26" s="1"/>
  <c r="AL27" i="26"/>
  <c r="BB27" i="26" s="1"/>
  <c r="AM26" i="26"/>
  <c r="BC26" i="26" s="1"/>
  <c r="AL26" i="26"/>
  <c r="BB26" i="26" s="1"/>
  <c r="AM25" i="26"/>
  <c r="BC25" i="26" s="1"/>
  <c r="AL25" i="26"/>
  <c r="BB25" i="26" s="1"/>
  <c r="AM24" i="26"/>
  <c r="BC24" i="26" s="1"/>
  <c r="AL24" i="26"/>
  <c r="BB24" i="26" s="1"/>
  <c r="AM23" i="26"/>
  <c r="BC23" i="26" s="1"/>
  <c r="AL23" i="26"/>
  <c r="BB23" i="26" s="1"/>
  <c r="AM22" i="26"/>
  <c r="BC22" i="26" s="1"/>
  <c r="AL22" i="26"/>
  <c r="BB22" i="26" s="1"/>
  <c r="AM21" i="26"/>
  <c r="BC21" i="26" s="1"/>
  <c r="AL21" i="26"/>
  <c r="BB21" i="26" s="1"/>
  <c r="AM20" i="26"/>
  <c r="BC20" i="26" s="1"/>
  <c r="AL20" i="26"/>
  <c r="BB20" i="26" s="1"/>
  <c r="AM16" i="26"/>
  <c r="BC16" i="26" s="1"/>
  <c r="AM14" i="26"/>
  <c r="BC14" i="26" s="1"/>
  <c r="AM10" i="26"/>
  <c r="BC10" i="26" s="1"/>
  <c r="AM8" i="26"/>
  <c r="BC8" i="26" s="1"/>
  <c r="AM2" i="26"/>
  <c r="BC2" i="26" s="1"/>
  <c r="AL2" i="26"/>
  <c r="BB2" i="26" s="1"/>
  <c r="AK88" i="26"/>
  <c r="AJ88" i="26"/>
  <c r="AK74" i="26"/>
  <c r="AJ74" i="26"/>
  <c r="AK61" i="26"/>
  <c r="AJ59" i="26"/>
  <c r="AK57" i="26"/>
  <c r="AJ57" i="26"/>
  <c r="AK56" i="26"/>
  <c r="AJ56" i="26"/>
  <c r="AK51" i="26"/>
  <c r="AJ51" i="26"/>
  <c r="AJ133" i="26" s="1"/>
  <c r="AK36" i="26"/>
  <c r="AK37" i="26" s="1"/>
  <c r="AJ36" i="26"/>
  <c r="AK32" i="26"/>
  <c r="AJ32" i="26"/>
  <c r="AJ16" i="26"/>
  <c r="AJ14" i="26"/>
  <c r="AK11" i="26"/>
  <c r="AK12" i="26" s="1"/>
  <c r="AJ10" i="26"/>
  <c r="AJ8" i="26"/>
  <c r="AP12" i="38"/>
  <c r="AJ11" i="26" l="1"/>
  <c r="AJ37" i="26"/>
  <c r="AJ128" i="26"/>
  <c r="BC56" i="26"/>
  <c r="BC11" i="26"/>
  <c r="BC17" i="26" s="1"/>
  <c r="BB56" i="26"/>
  <c r="BC51" i="26"/>
  <c r="BC83" i="17"/>
  <c r="BC57" i="26"/>
  <c r="BC12" i="26"/>
  <c r="BC18" i="26"/>
  <c r="BB82" i="17"/>
  <c r="AL36" i="26"/>
  <c r="AL128" i="26" s="1"/>
  <c r="BB35" i="26"/>
  <c r="BB36" i="26" s="1"/>
  <c r="BB37" i="26" s="1"/>
  <c r="BB85" i="17"/>
  <c r="BB74" i="26"/>
  <c r="BC32" i="26"/>
  <c r="BC82" i="17"/>
  <c r="AM36" i="26"/>
  <c r="AM40" i="26" s="1"/>
  <c r="BC35" i="26"/>
  <c r="BC36" i="26" s="1"/>
  <c r="BB51" i="26"/>
  <c r="BB83" i="17"/>
  <c r="BB57" i="26"/>
  <c r="BC84" i="17"/>
  <c r="BC61" i="26"/>
  <c r="BC85" i="17"/>
  <c r="BC74" i="26"/>
  <c r="BB32" i="26"/>
  <c r="AL82" i="17"/>
  <c r="AL85" i="17"/>
  <c r="AJ61" i="26"/>
  <c r="AJ84" i="17"/>
  <c r="AM82" i="17"/>
  <c r="AL83" i="17"/>
  <c r="AM84" i="17"/>
  <c r="AM85" i="17"/>
  <c r="AM86" i="17" s="1"/>
  <c r="AM83" i="17"/>
  <c r="AM56" i="26"/>
  <c r="AM51" i="26"/>
  <c r="AL74" i="26"/>
  <c r="AM74" i="26"/>
  <c r="AM61" i="26"/>
  <c r="AM32" i="26"/>
  <c r="AM11" i="26"/>
  <c r="AM17" i="26" s="1"/>
  <c r="AL57" i="26"/>
  <c r="AL51" i="26"/>
  <c r="AJ40" i="26"/>
  <c r="AL32" i="26"/>
  <c r="AM53" i="26"/>
  <c r="BC53" i="26" s="1"/>
  <c r="AM57" i="26"/>
  <c r="AL56" i="26"/>
  <c r="AK18" i="26"/>
  <c r="AK17" i="26"/>
  <c r="AJ41" i="26"/>
  <c r="AJ12" i="26"/>
  <c r="AJ18" i="26"/>
  <c r="AJ17" i="26"/>
  <c r="AK40" i="26"/>
  <c r="AK41" i="26"/>
  <c r="AN27" i="22"/>
  <c r="BD27" i="22" s="1"/>
  <c r="AN25" i="22"/>
  <c r="BD25" i="22" s="1"/>
  <c r="AN22" i="22"/>
  <c r="AN21" i="22"/>
  <c r="BD21" i="22" s="1"/>
  <c r="AN13" i="22"/>
  <c r="AN11" i="22"/>
  <c r="AN8" i="22"/>
  <c r="AN7" i="22"/>
  <c r="BD7" i="22" s="1"/>
  <c r="AN3" i="22"/>
  <c r="BD3" i="22" s="1"/>
  <c r="AM3" i="22"/>
  <c r="BC3" i="22" s="1"/>
  <c r="AL63" i="22"/>
  <c r="AL58" i="22"/>
  <c r="AL52" i="22"/>
  <c r="AL44" i="22"/>
  <c r="AL28" i="22"/>
  <c r="AL64" i="22" s="1"/>
  <c r="AL24" i="22"/>
  <c r="AL26" i="22" s="1"/>
  <c r="AL23" i="22"/>
  <c r="AL51" i="22" s="1"/>
  <c r="AL53" i="22" s="1"/>
  <c r="AL14" i="22"/>
  <c r="AL59" i="22" s="1"/>
  <c r="AL10" i="22"/>
  <c r="AL9" i="22"/>
  <c r="AL43" i="22" s="1"/>
  <c r="AJ25" i="27"/>
  <c r="AK36" i="27"/>
  <c r="AK38" i="27"/>
  <c r="AK28" i="27"/>
  <c r="AK30" i="27"/>
  <c r="AK29" i="27"/>
  <c r="AK23" i="27"/>
  <c r="AK20" i="27"/>
  <c r="AK19" i="27"/>
  <c r="AK18" i="27"/>
  <c r="BD28" i="22" l="1"/>
  <c r="BD64" i="22" s="1"/>
  <c r="BD65" i="22" s="1"/>
  <c r="BD66" i="22" s="1"/>
  <c r="AM37" i="26"/>
  <c r="BB86" i="17"/>
  <c r="AL45" i="22"/>
  <c r="AN17" i="22"/>
  <c r="BD17" i="22" s="1"/>
  <c r="BD11" i="22"/>
  <c r="AN14" i="22"/>
  <c r="AN59" i="22" s="1"/>
  <c r="BD13" i="22"/>
  <c r="BC86" i="17"/>
  <c r="AN44" i="22"/>
  <c r="BD8" i="22"/>
  <c r="AN52" i="22"/>
  <c r="BD22" i="22"/>
  <c r="AJ132" i="26"/>
  <c r="AJ125" i="26"/>
  <c r="AL37" i="26"/>
  <c r="AL40" i="26"/>
  <c r="BC41" i="26"/>
  <c r="BC37" i="26"/>
  <c r="BC40" i="26"/>
  <c r="BB40" i="26"/>
  <c r="AM18" i="26"/>
  <c r="AL12" i="22"/>
  <c r="AL60" i="22"/>
  <c r="AL61" i="22" s="1"/>
  <c r="AM12" i="26"/>
  <c r="AN28" i="22"/>
  <c r="AN64" i="22" s="1"/>
  <c r="AN9" i="22"/>
  <c r="AN43" i="22" s="1"/>
  <c r="AN45" i="22" s="1"/>
  <c r="AN16" i="22"/>
  <c r="BD16" i="22" s="1"/>
  <c r="AN23" i="22"/>
  <c r="AN51" i="22" s="1"/>
  <c r="AN53" i="22" s="1"/>
  <c r="AN30" i="22"/>
  <c r="BD30" i="22" s="1"/>
  <c r="AN18" i="22"/>
  <c r="BD18" i="22" s="1"/>
  <c r="AN31" i="22"/>
  <c r="BD31" i="22" s="1"/>
  <c r="AN19" i="22"/>
  <c r="BD19" i="22" s="1"/>
  <c r="AL65" i="22"/>
  <c r="AL66" i="22" s="1"/>
  <c r="AL55" i="22"/>
  <c r="AL56" i="22" s="1"/>
  <c r="AL47" i="22"/>
  <c r="AL48" i="22" s="1"/>
  <c r="BD44" i="22" l="1"/>
  <c r="BD9" i="22"/>
  <c r="BD43" i="22" s="1"/>
  <c r="BD14" i="22"/>
  <c r="BD59" i="22" s="1"/>
  <c r="BD60" i="22" s="1"/>
  <c r="BD61" i="22" s="1"/>
  <c r="BD52" i="22"/>
  <c r="BD23" i="22"/>
  <c r="BD51" i="22" s="1"/>
  <c r="AN47" i="22"/>
  <c r="AN48" i="22" s="1"/>
  <c r="AN55" i="22"/>
  <c r="AN56" i="22" s="1"/>
  <c r="BD53" i="22" l="1"/>
  <c r="BD55" i="22" s="1"/>
  <c r="BD56" i="22" s="1"/>
  <c r="BD45" i="22"/>
  <c r="BD47" i="22" s="1"/>
  <c r="BD48" i="22" s="1"/>
  <c r="AL6" i="27"/>
  <c r="BB6" i="27" s="1"/>
  <c r="AL2" i="27"/>
  <c r="AL36" i="27" s="1"/>
  <c r="AM39" i="27"/>
  <c r="BC39" i="27" s="1"/>
  <c r="AL39" i="27"/>
  <c r="BB39" i="27" s="1"/>
  <c r="AM33" i="27"/>
  <c r="BC33" i="27" s="1"/>
  <c r="AL33" i="27"/>
  <c r="BB33" i="27" s="1"/>
  <c r="AL27" i="27"/>
  <c r="AM24" i="27"/>
  <c r="BC24" i="27" s="1"/>
  <c r="AL24" i="27"/>
  <c r="BB24" i="27" s="1"/>
  <c r="AL22" i="27"/>
  <c r="AL20" i="27"/>
  <c r="AL18" i="27"/>
  <c r="AM15" i="27"/>
  <c r="BC15" i="27" s="1"/>
  <c r="AL15" i="27"/>
  <c r="BB15" i="27" s="1"/>
  <c r="AM14" i="27"/>
  <c r="BC14" i="27" s="1"/>
  <c r="AL14" i="27"/>
  <c r="BB14" i="27" s="1"/>
  <c r="AM13" i="27"/>
  <c r="BC13" i="27" s="1"/>
  <c r="AL13" i="27"/>
  <c r="BB13" i="27" s="1"/>
  <c r="AM12" i="27"/>
  <c r="BC12" i="27" s="1"/>
  <c r="AL12" i="27"/>
  <c r="BB12" i="27" s="1"/>
  <c r="AM11" i="27"/>
  <c r="BC11" i="27" s="1"/>
  <c r="AL11" i="27"/>
  <c r="BB11" i="27" s="1"/>
  <c r="AM10" i="27"/>
  <c r="BC10" i="27" s="1"/>
  <c r="AL10" i="27"/>
  <c r="BB10" i="27" s="1"/>
  <c r="AM9" i="27"/>
  <c r="BC9" i="27" s="1"/>
  <c r="AL9" i="27"/>
  <c r="BB9" i="27" s="1"/>
  <c r="AM8" i="27"/>
  <c r="BC8" i="27" s="1"/>
  <c r="AL8" i="27"/>
  <c r="BB8" i="27" s="1"/>
  <c r="AM7" i="27"/>
  <c r="BC7" i="27" s="1"/>
  <c r="AL7" i="27"/>
  <c r="BB7" i="27" s="1"/>
  <c r="AM6" i="27"/>
  <c r="BC6" i="27" s="1"/>
  <c r="AM2" i="27"/>
  <c r="BC2" i="27" s="1"/>
  <c r="AL30" i="27"/>
  <c r="AJ40" i="27"/>
  <c r="AK37" i="27"/>
  <c r="AJ34" i="27"/>
  <c r="AK27" i="27"/>
  <c r="AK22" i="27"/>
  <c r="AK21" i="27"/>
  <c r="AL29" i="27" l="1"/>
  <c r="AL38" i="27"/>
  <c r="BB38" i="27" s="1"/>
  <c r="BB2" i="27"/>
  <c r="BB29" i="27" s="1"/>
  <c r="AL31" i="27"/>
  <c r="AL32" i="27"/>
  <c r="BB32" i="27" s="1"/>
  <c r="AL37" i="27"/>
  <c r="AL19" i="27"/>
  <c r="AL21" i="27"/>
  <c r="BB21" i="27" s="1"/>
  <c r="AL23" i="27"/>
  <c r="BB23" i="27" s="1"/>
  <c r="AL28" i="27"/>
  <c r="AM32" i="27"/>
  <c r="BC32" i="27" s="1"/>
  <c r="AK25" i="27"/>
  <c r="AK40" i="27"/>
  <c r="AK34" i="27"/>
  <c r="AM24" i="15"/>
  <c r="BC24" i="15" s="1"/>
  <c r="M24" i="15"/>
  <c r="Q24" i="15" s="1"/>
  <c r="U24" i="15" s="1"/>
  <c r="U7" i="15"/>
  <c r="U6" i="15"/>
  <c r="Q7" i="15"/>
  <c r="Q6" i="15"/>
  <c r="W24" i="15"/>
  <c r="Y24" i="15" s="1"/>
  <c r="AA24" i="15" s="1"/>
  <c r="AE24" i="15" s="1"/>
  <c r="AI24" i="15" s="1"/>
  <c r="AO24" i="15" s="1"/>
  <c r="AS24" i="15" s="1"/>
  <c r="AW24" i="15" s="1"/>
  <c r="BE24" i="15" s="1"/>
  <c r="AK28" i="15"/>
  <c r="AK26" i="15"/>
  <c r="AK25" i="15"/>
  <c r="AK20" i="15"/>
  <c r="AK17" i="15"/>
  <c r="AK14" i="15"/>
  <c r="AK10" i="15"/>
  <c r="AK9" i="15"/>
  <c r="AK8" i="15"/>
  <c r="AK7" i="15"/>
  <c r="AK6" i="15"/>
  <c r="AK5" i="15"/>
  <c r="AG28" i="15"/>
  <c r="AG26" i="15"/>
  <c r="AG25" i="15"/>
  <c r="AG20" i="15"/>
  <c r="AG17" i="15"/>
  <c r="AG14" i="15"/>
  <c r="AG10" i="15"/>
  <c r="AG9" i="15"/>
  <c r="AG8" i="15"/>
  <c r="AG7" i="15"/>
  <c r="AG6" i="15"/>
  <c r="AG5" i="15"/>
  <c r="AC28" i="15"/>
  <c r="AC26" i="15"/>
  <c r="AC25" i="15"/>
  <c r="AC20" i="15"/>
  <c r="AC17" i="15"/>
  <c r="AC14" i="15"/>
  <c r="AC10" i="15"/>
  <c r="AC9" i="15"/>
  <c r="AC8" i="15"/>
  <c r="AC7" i="15"/>
  <c r="AC6" i="15"/>
  <c r="AC5" i="15"/>
  <c r="AA6" i="15"/>
  <c r="W28" i="15"/>
  <c r="W26" i="15"/>
  <c r="W25" i="15"/>
  <c r="W20" i="15"/>
  <c r="W17" i="15"/>
  <c r="W14" i="15"/>
  <c r="W10" i="15"/>
  <c r="W9" i="15"/>
  <c r="W8" i="15"/>
  <c r="W7" i="15"/>
  <c r="W6" i="15"/>
  <c r="W5" i="15"/>
  <c r="S28" i="15"/>
  <c r="S26" i="15"/>
  <c r="S25" i="15"/>
  <c r="S20" i="15"/>
  <c r="S17" i="15"/>
  <c r="S14" i="15"/>
  <c r="S10" i="15"/>
  <c r="S9" i="15"/>
  <c r="S8" i="15"/>
  <c r="S7" i="15"/>
  <c r="S6" i="15"/>
  <c r="S5" i="15"/>
  <c r="O28" i="15"/>
  <c r="O26" i="15"/>
  <c r="O25" i="15"/>
  <c r="O20" i="15"/>
  <c r="O17" i="15"/>
  <c r="O14" i="15"/>
  <c r="O10" i="15"/>
  <c r="O9" i="15"/>
  <c r="O8" i="15"/>
  <c r="O7" i="15"/>
  <c r="O6" i="15"/>
  <c r="O5" i="15"/>
  <c r="K28" i="15"/>
  <c r="K26" i="15"/>
  <c r="K25" i="15"/>
  <c r="K20" i="15"/>
  <c r="K17" i="15"/>
  <c r="K14" i="15"/>
  <c r="K10" i="15"/>
  <c r="K9" i="15"/>
  <c r="K8" i="15"/>
  <c r="K7" i="15"/>
  <c r="K6" i="15"/>
  <c r="K5" i="15"/>
  <c r="G28" i="15"/>
  <c r="G26" i="15"/>
  <c r="G25" i="15"/>
  <c r="G20" i="15"/>
  <c r="G17" i="15"/>
  <c r="G14" i="15"/>
  <c r="G10" i="15"/>
  <c r="G9" i="15"/>
  <c r="G8" i="15"/>
  <c r="G7" i="15"/>
  <c r="G6" i="15"/>
  <c r="G5" i="15"/>
  <c r="E28" i="15"/>
  <c r="E20" i="15"/>
  <c r="E10" i="15"/>
  <c r="AM44" i="50"/>
  <c r="AO44" i="50" s="1"/>
  <c r="BE44" i="50" s="1"/>
  <c r="BB31" i="27" l="1"/>
  <c r="BB18" i="27"/>
  <c r="BB19" i="27"/>
  <c r="BB36" i="27"/>
  <c r="BB28" i="27"/>
  <c r="BB27" i="27"/>
  <c r="BB20" i="27"/>
  <c r="BB25" i="27" s="1"/>
  <c r="BB30" i="27"/>
  <c r="BB22" i="27"/>
  <c r="AL40" i="27"/>
  <c r="BB37" i="27"/>
  <c r="BB40" i="27"/>
  <c r="AL34" i="27"/>
  <c r="AQ44" i="50"/>
  <c r="I28" i="15"/>
  <c r="AC30" i="15"/>
  <c r="AC15" i="15" s="1"/>
  <c r="AC16" i="15" s="1"/>
  <c r="Y28" i="15"/>
  <c r="G30" i="15"/>
  <c r="G15" i="15" s="1"/>
  <c r="G16" i="15" s="1"/>
  <c r="Y25" i="15"/>
  <c r="W30" i="15"/>
  <c r="W15" i="15" s="1"/>
  <c r="W16" i="15" s="1"/>
  <c r="AM28" i="15"/>
  <c r="BC28" i="15" s="1"/>
  <c r="K30" i="15"/>
  <c r="K15" i="15" s="1"/>
  <c r="K16" i="15" s="1"/>
  <c r="S30" i="15"/>
  <c r="S15" i="15" s="1"/>
  <c r="S16" i="15" s="1"/>
  <c r="Y26" i="15"/>
  <c r="AM25" i="15"/>
  <c r="BC25" i="15" s="1"/>
  <c r="AK30" i="15"/>
  <c r="AK15" i="15" s="1"/>
  <c r="AK16" i="15" s="1"/>
  <c r="M28" i="15"/>
  <c r="Q28" i="15" s="1"/>
  <c r="U28" i="15" s="1"/>
  <c r="O30" i="15"/>
  <c r="O15" i="15" s="1"/>
  <c r="O16" i="15" s="1"/>
  <c r="AG30" i="15"/>
  <c r="AG15" i="15" s="1"/>
  <c r="AG16" i="15" s="1"/>
  <c r="AM26" i="15"/>
  <c r="BC26" i="15" s="1"/>
  <c r="AL25" i="27"/>
  <c r="I54" i="59"/>
  <c r="J54" i="59"/>
  <c r="K54" i="59"/>
  <c r="N54" i="59"/>
  <c r="O54" i="59"/>
  <c r="R54" i="59"/>
  <c r="S54" i="59"/>
  <c r="V54" i="59"/>
  <c r="W54" i="59"/>
  <c r="Z54" i="59"/>
  <c r="AA54" i="59"/>
  <c r="AF54" i="59"/>
  <c r="AG54" i="59"/>
  <c r="AJ54" i="59"/>
  <c r="AK54" i="59"/>
  <c r="AN54" i="59"/>
  <c r="AO54" i="59"/>
  <c r="N55" i="59"/>
  <c r="R55" i="59"/>
  <c r="V55" i="59"/>
  <c r="Z55" i="59"/>
  <c r="AF55" i="59"/>
  <c r="AJ55" i="59"/>
  <c r="AN55" i="59"/>
  <c r="I56" i="59"/>
  <c r="J56" i="59"/>
  <c r="K56" i="59"/>
  <c r="N56" i="59"/>
  <c r="O56" i="59"/>
  <c r="R56" i="59"/>
  <c r="S56" i="59"/>
  <c r="V56" i="59"/>
  <c r="W56" i="59"/>
  <c r="Z56" i="59"/>
  <c r="AA56" i="59"/>
  <c r="AF56" i="59"/>
  <c r="AG56" i="59"/>
  <c r="AJ56" i="59"/>
  <c r="AK56" i="59"/>
  <c r="AN56" i="59"/>
  <c r="AO56" i="59"/>
  <c r="I57" i="59"/>
  <c r="J57" i="59"/>
  <c r="K57" i="59"/>
  <c r="N57" i="59"/>
  <c r="O57" i="59"/>
  <c r="R57" i="59"/>
  <c r="S57" i="59"/>
  <c r="U57" i="59"/>
  <c r="V57" i="59"/>
  <c r="W57" i="59"/>
  <c r="Y57" i="59"/>
  <c r="Z57" i="59"/>
  <c r="AA57" i="59"/>
  <c r="AE57" i="59"/>
  <c r="AF57" i="59"/>
  <c r="AG57" i="59"/>
  <c r="AJ57" i="59"/>
  <c r="AK57" i="59"/>
  <c r="AN57" i="59"/>
  <c r="AO57" i="59"/>
  <c r="I58" i="59"/>
  <c r="J58" i="59"/>
  <c r="K58" i="59"/>
  <c r="N58" i="59"/>
  <c r="O58" i="59"/>
  <c r="R58" i="59"/>
  <c r="S58" i="59"/>
  <c r="U58" i="59"/>
  <c r="V58" i="59"/>
  <c r="W58" i="59"/>
  <c r="Y58" i="59"/>
  <c r="Z58" i="59"/>
  <c r="AA58" i="59"/>
  <c r="AF58" i="59"/>
  <c r="AG58" i="59"/>
  <c r="AJ58" i="59"/>
  <c r="AK58" i="59"/>
  <c r="AN58" i="59"/>
  <c r="AO58" i="59"/>
  <c r="J27" i="59"/>
  <c r="N27" i="59"/>
  <c r="R27" i="59"/>
  <c r="V27" i="59"/>
  <c r="Z27" i="59"/>
  <c r="AF27" i="59"/>
  <c r="AJ27" i="59"/>
  <c r="AN27" i="59"/>
  <c r="J28" i="59"/>
  <c r="N28" i="59"/>
  <c r="R28" i="59"/>
  <c r="V28" i="59"/>
  <c r="Z28" i="59"/>
  <c r="AF28" i="59"/>
  <c r="AJ28" i="59"/>
  <c r="AN28" i="59"/>
  <c r="J29" i="59"/>
  <c r="N29" i="59"/>
  <c r="R29" i="59"/>
  <c r="V29" i="59"/>
  <c r="Z29" i="59"/>
  <c r="AF29" i="59"/>
  <c r="AJ29" i="59"/>
  <c r="AN29" i="59"/>
  <c r="I31" i="59"/>
  <c r="J31" i="59"/>
  <c r="K31" i="59"/>
  <c r="N31" i="59"/>
  <c r="O31" i="59"/>
  <c r="R31" i="59"/>
  <c r="S31" i="59"/>
  <c r="V31" i="59"/>
  <c r="W31" i="59"/>
  <c r="Z31" i="59"/>
  <c r="AA31" i="59"/>
  <c r="AF31" i="59"/>
  <c r="AG31" i="59"/>
  <c r="AJ31" i="59"/>
  <c r="AK31" i="59"/>
  <c r="AN31" i="59"/>
  <c r="AO31" i="59"/>
  <c r="I32" i="59"/>
  <c r="J32" i="59"/>
  <c r="K32" i="59"/>
  <c r="N32" i="59"/>
  <c r="O32" i="59"/>
  <c r="R32" i="59"/>
  <c r="S32" i="59"/>
  <c r="V32" i="59"/>
  <c r="W32" i="59"/>
  <c r="Z32" i="59"/>
  <c r="AA32" i="59"/>
  <c r="AF32" i="59"/>
  <c r="AG32" i="59"/>
  <c r="AJ32" i="59"/>
  <c r="AK32" i="59"/>
  <c r="AN32" i="59"/>
  <c r="AO32" i="59"/>
  <c r="J33" i="59"/>
  <c r="N33" i="59"/>
  <c r="O33" i="59"/>
  <c r="R33" i="59"/>
  <c r="V33" i="59"/>
  <c r="Z33" i="59"/>
  <c r="AF33" i="59"/>
  <c r="AJ33" i="59"/>
  <c r="AN33" i="59"/>
  <c r="N34" i="59"/>
  <c r="R34" i="59"/>
  <c r="V34" i="59"/>
  <c r="Z34" i="59"/>
  <c r="AF34" i="59"/>
  <c r="AJ34" i="59"/>
  <c r="AN34" i="59"/>
  <c r="J35" i="59"/>
  <c r="L35" i="59"/>
  <c r="N35" i="59"/>
  <c r="R35" i="59"/>
  <c r="V35" i="59"/>
  <c r="Z35" i="59"/>
  <c r="AF35" i="59"/>
  <c r="AJ35" i="59"/>
  <c r="AN35" i="59"/>
  <c r="J36" i="59"/>
  <c r="L36" i="59"/>
  <c r="N36" i="59"/>
  <c r="R36" i="59"/>
  <c r="V36" i="59"/>
  <c r="Z36" i="59"/>
  <c r="AF36" i="59"/>
  <c r="AJ36" i="59"/>
  <c r="AN36" i="59"/>
  <c r="J39" i="59"/>
  <c r="N39" i="59"/>
  <c r="R39" i="59"/>
  <c r="V39" i="59"/>
  <c r="Z39" i="59"/>
  <c r="AF39" i="59"/>
  <c r="AJ39" i="59"/>
  <c r="AN39" i="59"/>
  <c r="J40" i="59"/>
  <c r="N40" i="59"/>
  <c r="R40" i="59"/>
  <c r="V40" i="59"/>
  <c r="Z40" i="59"/>
  <c r="AF40" i="59"/>
  <c r="AJ40" i="59"/>
  <c r="AN40" i="59"/>
  <c r="J41" i="59"/>
  <c r="N41" i="59"/>
  <c r="R41" i="59"/>
  <c r="V41" i="59"/>
  <c r="Z41" i="59"/>
  <c r="AF41" i="59"/>
  <c r="AJ41" i="59"/>
  <c r="AN41" i="59"/>
  <c r="J8" i="59"/>
  <c r="L8" i="59"/>
  <c r="N8" i="59"/>
  <c r="P8" i="59"/>
  <c r="R8" i="59"/>
  <c r="T8" i="59"/>
  <c r="V8" i="59"/>
  <c r="X8" i="59"/>
  <c r="Z8" i="59"/>
  <c r="AB8" i="59"/>
  <c r="AD8" i="59"/>
  <c r="AF8" i="59"/>
  <c r="AH8" i="59"/>
  <c r="AJ8" i="59"/>
  <c r="AL8" i="59"/>
  <c r="AN8" i="59"/>
  <c r="AP8" i="59"/>
  <c r="J9" i="59"/>
  <c r="L9" i="59"/>
  <c r="N9" i="59"/>
  <c r="P9" i="59"/>
  <c r="R9" i="59"/>
  <c r="T9" i="59"/>
  <c r="V9" i="59"/>
  <c r="X9" i="59"/>
  <c r="Z9" i="59"/>
  <c r="AB9" i="59"/>
  <c r="AD9" i="59"/>
  <c r="AF9" i="59"/>
  <c r="AH9" i="59"/>
  <c r="AJ9" i="59"/>
  <c r="AL9" i="59"/>
  <c r="AN9" i="59"/>
  <c r="AP9" i="59"/>
  <c r="J10" i="59"/>
  <c r="L10" i="59"/>
  <c r="N10" i="59"/>
  <c r="P10" i="59"/>
  <c r="R10" i="59"/>
  <c r="T10" i="59"/>
  <c r="V10" i="59"/>
  <c r="X10" i="59"/>
  <c r="Z10" i="59"/>
  <c r="AB10" i="59"/>
  <c r="AD10" i="59"/>
  <c r="AF10" i="59"/>
  <c r="AH10" i="59"/>
  <c r="AJ10" i="59"/>
  <c r="AL10" i="59"/>
  <c r="AN10" i="59"/>
  <c r="AP10" i="59"/>
  <c r="I12" i="59"/>
  <c r="J12" i="59"/>
  <c r="K12" i="59"/>
  <c r="N12" i="59"/>
  <c r="O12" i="59"/>
  <c r="R12" i="59"/>
  <c r="S12" i="59"/>
  <c r="V12" i="59"/>
  <c r="W12" i="59"/>
  <c r="Z12" i="59"/>
  <c r="AA12" i="59"/>
  <c r="AF12" i="59"/>
  <c r="AG12" i="59"/>
  <c r="AJ12" i="59"/>
  <c r="AK12" i="59"/>
  <c r="AN12" i="59"/>
  <c r="AO12" i="59"/>
  <c r="I13" i="59"/>
  <c r="J13" i="59"/>
  <c r="K13" i="59"/>
  <c r="N13" i="59"/>
  <c r="O13" i="59"/>
  <c r="R13" i="59"/>
  <c r="S13" i="59"/>
  <c r="V13" i="59"/>
  <c r="W13" i="59"/>
  <c r="Z13" i="59"/>
  <c r="AA13" i="59"/>
  <c r="AF13" i="59"/>
  <c r="AG13" i="59"/>
  <c r="AJ13" i="59"/>
  <c r="AK13" i="59"/>
  <c r="AN13" i="59"/>
  <c r="AO13" i="59"/>
  <c r="I14" i="59"/>
  <c r="J14" i="59"/>
  <c r="K14" i="59"/>
  <c r="N14" i="59"/>
  <c r="O14" i="59"/>
  <c r="R14" i="59"/>
  <c r="S14" i="59"/>
  <c r="V14" i="59"/>
  <c r="W14" i="59"/>
  <c r="Z14" i="59"/>
  <c r="AA14" i="59"/>
  <c r="AF14" i="59"/>
  <c r="AG14" i="59"/>
  <c r="AJ14" i="59"/>
  <c r="AK14" i="59"/>
  <c r="AN14" i="59"/>
  <c r="AO14" i="59"/>
  <c r="I15" i="59"/>
  <c r="J15" i="59"/>
  <c r="K15" i="59"/>
  <c r="N15" i="59"/>
  <c r="O15" i="59"/>
  <c r="R15" i="59"/>
  <c r="S15" i="59"/>
  <c r="V15" i="59"/>
  <c r="W15" i="59"/>
  <c r="Z15" i="59"/>
  <c r="AA15" i="59"/>
  <c r="AF15" i="59"/>
  <c r="AG15" i="59"/>
  <c r="AJ15" i="59"/>
  <c r="AK15" i="59"/>
  <c r="AN15" i="59"/>
  <c r="AO15" i="59"/>
  <c r="I17" i="59"/>
  <c r="J17" i="59"/>
  <c r="K17" i="59"/>
  <c r="N17" i="59"/>
  <c r="O17" i="59"/>
  <c r="R17" i="59"/>
  <c r="S17" i="59"/>
  <c r="V17" i="59"/>
  <c r="W17" i="59"/>
  <c r="Z17" i="59"/>
  <c r="AA17" i="59"/>
  <c r="AF17" i="59"/>
  <c r="AG17" i="59"/>
  <c r="AJ17" i="59"/>
  <c r="AK17" i="59"/>
  <c r="AN17" i="59"/>
  <c r="AO17" i="59"/>
  <c r="I18" i="59"/>
  <c r="J18" i="59"/>
  <c r="K18" i="59"/>
  <c r="N18" i="59"/>
  <c r="O18" i="59"/>
  <c r="R18" i="59"/>
  <c r="S18" i="59"/>
  <c r="V18" i="59"/>
  <c r="W18" i="59"/>
  <c r="Z18" i="59"/>
  <c r="AA18" i="59"/>
  <c r="AF18" i="59"/>
  <c r="AG18" i="59"/>
  <c r="AJ18" i="59"/>
  <c r="AK18" i="59"/>
  <c r="AN18" i="59"/>
  <c r="AO18" i="59"/>
  <c r="I19" i="59"/>
  <c r="J19" i="59"/>
  <c r="K19" i="59"/>
  <c r="N19" i="59"/>
  <c r="O19" i="59"/>
  <c r="R19" i="59"/>
  <c r="S19" i="59"/>
  <c r="V19" i="59"/>
  <c r="W19" i="59"/>
  <c r="Z19" i="59"/>
  <c r="AA19" i="59"/>
  <c r="AF19" i="59"/>
  <c r="AG19" i="59"/>
  <c r="AJ19" i="59"/>
  <c r="AK19" i="59"/>
  <c r="AN19" i="59"/>
  <c r="AO19" i="59"/>
  <c r="I20" i="59"/>
  <c r="J20" i="59"/>
  <c r="K20" i="59"/>
  <c r="N20" i="59"/>
  <c r="O20" i="59"/>
  <c r="R20" i="59"/>
  <c r="S20" i="59"/>
  <c r="V20" i="59"/>
  <c r="W20" i="59"/>
  <c r="Z20" i="59"/>
  <c r="AA20" i="59"/>
  <c r="AF20" i="59"/>
  <c r="AG20" i="59"/>
  <c r="AJ20" i="59"/>
  <c r="AK20" i="59"/>
  <c r="AN20" i="59"/>
  <c r="AO20" i="59"/>
  <c r="BB34" i="27" l="1"/>
  <c r="BC30" i="15"/>
  <c r="BC15" i="15" s="1"/>
  <c r="AU44" i="50"/>
  <c r="AY44" i="50" s="1"/>
  <c r="BG44" i="50" s="1"/>
  <c r="AM30" i="15"/>
  <c r="Y30" i="15"/>
  <c r="AA28" i="15"/>
  <c r="AE28" i="15" s="1"/>
  <c r="AI28" i="15" s="1"/>
  <c r="AO28" i="15" s="1"/>
  <c r="AS28" i="15" s="1"/>
  <c r="AW28" i="15" s="1"/>
  <c r="BE28" i="15" s="1"/>
  <c r="AQ21" i="45"/>
  <c r="AU21" i="45" s="1"/>
  <c r="AY21" i="45" s="1"/>
  <c r="BG21" i="45" s="1"/>
  <c r="AO21" i="45"/>
  <c r="BE21" i="45" s="1"/>
  <c r="AO13" i="45"/>
  <c r="BE13" i="45" s="1"/>
  <c r="AQ13" i="45"/>
  <c r="AU13" i="45" s="1"/>
  <c r="AY13" i="45" s="1"/>
  <c r="BG13" i="45" s="1"/>
  <c r="AO7" i="45"/>
  <c r="BE7" i="45" s="1"/>
  <c r="AO8" i="45"/>
  <c r="BE8" i="45" s="1"/>
  <c r="AO9" i="45"/>
  <c r="BE9" i="45" s="1"/>
  <c r="AO10" i="45"/>
  <c r="BE10" i="45" s="1"/>
  <c r="AO11" i="45"/>
  <c r="BE11" i="45" s="1"/>
  <c r="AO12" i="45"/>
  <c r="BE12" i="45" s="1"/>
  <c r="AO14" i="45"/>
  <c r="BE14" i="45" s="1"/>
  <c r="AO15" i="45"/>
  <c r="BE15" i="45" s="1"/>
  <c r="AO16" i="45"/>
  <c r="BE16" i="45" s="1"/>
  <c r="AO17" i="45"/>
  <c r="BE17" i="45" s="1"/>
  <c r="AO19" i="45"/>
  <c r="BE19" i="45" s="1"/>
  <c r="AO20" i="45"/>
  <c r="BE20" i="45" s="1"/>
  <c r="AO23" i="45"/>
  <c r="BE23" i="45" s="1"/>
  <c r="AO24" i="45"/>
  <c r="BE24" i="45" s="1"/>
  <c r="AO25" i="45"/>
  <c r="BE25" i="45" s="1"/>
  <c r="AO27" i="45"/>
  <c r="BE27" i="45" s="1"/>
  <c r="AO28" i="45"/>
  <c r="BE28" i="45" s="1"/>
  <c r="AO29" i="45"/>
  <c r="BE29" i="45" s="1"/>
  <c r="AO30" i="45"/>
  <c r="BE30" i="45" s="1"/>
  <c r="AO31" i="45"/>
  <c r="BE31" i="45" s="1"/>
  <c r="AO33" i="45"/>
  <c r="BE33" i="45" s="1"/>
  <c r="AO34" i="45"/>
  <c r="BE34" i="45" s="1"/>
  <c r="AO35" i="45"/>
  <c r="BE35" i="45" s="1"/>
  <c r="AO36" i="45"/>
  <c r="BE36" i="45" s="1"/>
  <c r="AO37" i="45"/>
  <c r="BE37" i="45" s="1"/>
  <c r="AO39" i="45"/>
  <c r="BE39" i="45" s="1"/>
  <c r="AO40" i="45"/>
  <c r="BE40" i="45" s="1"/>
  <c r="AO41" i="45"/>
  <c r="BE41" i="45" s="1"/>
  <c r="AO5" i="45"/>
  <c r="AN5" i="45"/>
  <c r="AN2" i="45"/>
  <c r="BD2" i="45" s="1"/>
  <c r="AO2" i="45"/>
  <c r="BE2" i="45" s="1"/>
  <c r="AO69" i="45"/>
  <c r="BE69" i="45" s="1"/>
  <c r="AO68" i="45"/>
  <c r="AO64" i="45"/>
  <c r="BE64" i="45" s="1"/>
  <c r="AO63" i="45"/>
  <c r="BE63" i="45" s="1"/>
  <c r="BE65" i="45" s="1"/>
  <c r="AO53" i="45"/>
  <c r="BE53" i="45" s="1"/>
  <c r="AN53" i="45"/>
  <c r="BD53" i="45" s="1"/>
  <c r="AO51" i="45"/>
  <c r="BE51" i="45" s="1"/>
  <c r="AN51" i="45"/>
  <c r="BD51" i="45" s="1"/>
  <c r="AO6" i="45"/>
  <c r="AM74" i="45"/>
  <c r="AM73" i="45"/>
  <c r="AM71" i="45"/>
  <c r="AM65" i="45"/>
  <c r="AM72" i="45" s="1"/>
  <c r="AM60" i="45"/>
  <c r="AL60" i="45"/>
  <c r="AM59" i="45"/>
  <c r="AL59" i="45"/>
  <c r="AM58" i="45"/>
  <c r="AL58" i="45"/>
  <c r="AM56" i="45"/>
  <c r="AM54" i="45"/>
  <c r="AL54" i="45"/>
  <c r="AM52" i="45"/>
  <c r="AO52" i="59" s="1"/>
  <c r="AL52" i="45"/>
  <c r="AN52" i="59" s="1"/>
  <c r="AM49" i="45"/>
  <c r="AM50" i="45" s="1"/>
  <c r="AL49" i="45"/>
  <c r="AL50" i="45" s="1"/>
  <c r="AM44" i="45"/>
  <c r="AM76" i="45" s="1"/>
  <c r="AM61" i="45"/>
  <c r="AO53" i="59" s="1"/>
  <c r="AL42" i="45"/>
  <c r="AL61" i="45" s="1"/>
  <c r="AN53" i="59" s="1"/>
  <c r="AM38" i="50"/>
  <c r="AN9" i="11"/>
  <c r="BD9" i="11" s="1"/>
  <c r="AN10" i="11"/>
  <c r="BD10" i="11" s="1"/>
  <c r="AN11" i="11"/>
  <c r="BD11" i="11" s="1"/>
  <c r="AP11" i="11"/>
  <c r="AT11" i="11" s="1"/>
  <c r="AX11" i="11" s="1"/>
  <c r="BF11" i="11" s="1"/>
  <c r="AN12" i="11"/>
  <c r="BD12" i="11" s="1"/>
  <c r="AN13" i="11"/>
  <c r="BD13" i="11" s="1"/>
  <c r="AN14" i="11"/>
  <c r="BD14" i="11" s="1"/>
  <c r="AN15" i="11"/>
  <c r="BD15" i="11" s="1"/>
  <c r="AP15" i="11"/>
  <c r="AT15" i="11" s="1"/>
  <c r="AX15" i="11" s="1"/>
  <c r="BF15" i="11" s="1"/>
  <c r="AN16" i="11"/>
  <c r="BD16" i="11" s="1"/>
  <c r="AN17" i="11"/>
  <c r="BD17" i="11" s="1"/>
  <c r="AN18" i="11"/>
  <c r="BD18" i="11" s="1"/>
  <c r="AN19" i="11"/>
  <c r="BD19" i="11" s="1"/>
  <c r="AN20" i="11"/>
  <c r="BD20" i="11" s="1"/>
  <c r="AN23" i="11"/>
  <c r="BD23" i="11" s="1"/>
  <c r="AN25" i="11"/>
  <c r="BD25" i="11" s="1"/>
  <c r="AN26" i="11"/>
  <c r="BD26" i="11" s="1"/>
  <c r="AN27" i="11"/>
  <c r="BD27" i="11" s="1"/>
  <c r="AN28" i="11"/>
  <c r="BD28" i="11" s="1"/>
  <c r="AN30" i="11"/>
  <c r="BD30" i="11" s="1"/>
  <c r="AN31" i="11"/>
  <c r="BD31" i="11" s="1"/>
  <c r="AN32" i="11"/>
  <c r="BD32" i="11" s="1"/>
  <c r="AN34" i="11"/>
  <c r="BD34" i="11" s="1"/>
  <c r="AP34" i="11"/>
  <c r="AT34" i="11" s="1"/>
  <c r="AX34" i="11" s="1"/>
  <c r="BF34" i="11" s="1"/>
  <c r="AN35" i="11"/>
  <c r="BD35" i="11" s="1"/>
  <c r="AN36" i="11"/>
  <c r="BD36" i="11" s="1"/>
  <c r="AN37" i="11"/>
  <c r="BD37" i="11" s="1"/>
  <c r="AN38" i="11"/>
  <c r="BD38" i="11" s="1"/>
  <c r="AN40" i="11"/>
  <c r="BD40" i="11" s="1"/>
  <c r="AN41" i="11"/>
  <c r="BD41" i="11" s="1"/>
  <c r="AN42" i="11"/>
  <c r="BD42" i="11" s="1"/>
  <c r="AN43" i="11"/>
  <c r="BD43" i="11" s="1"/>
  <c r="AM2" i="11"/>
  <c r="BC2" i="11" s="1"/>
  <c r="AN78" i="11"/>
  <c r="AN74" i="11"/>
  <c r="BD74" i="11" s="1"/>
  <c r="AN73" i="11"/>
  <c r="BD73" i="11" s="1"/>
  <c r="AN63" i="11"/>
  <c r="BD63" i="11" s="1"/>
  <c r="AM63" i="11"/>
  <c r="BC63" i="11" s="1"/>
  <c r="AN61" i="11"/>
  <c r="BD61" i="11" s="1"/>
  <c r="AM61" i="11"/>
  <c r="BC61" i="11" s="1"/>
  <c r="AN51" i="11"/>
  <c r="BD51" i="11" s="1"/>
  <c r="AN50" i="11"/>
  <c r="BD50" i="11" s="1"/>
  <c r="AN49" i="11"/>
  <c r="BD49" i="11" s="1"/>
  <c r="AN48" i="11"/>
  <c r="BD48" i="11" s="1"/>
  <c r="AN47" i="11"/>
  <c r="BD47" i="11" s="1"/>
  <c r="AN46" i="11"/>
  <c r="BD46" i="11" s="1"/>
  <c r="AN45" i="11"/>
  <c r="BD45" i="11" s="1"/>
  <c r="AN7" i="11"/>
  <c r="BD7" i="11" s="1"/>
  <c r="AN5" i="11"/>
  <c r="BD5" i="11" s="1"/>
  <c r="BD81" i="11" s="1"/>
  <c r="AM5" i="11"/>
  <c r="BC5" i="11" s="1"/>
  <c r="AN2" i="11"/>
  <c r="BD2" i="11" s="1"/>
  <c r="AL83" i="11"/>
  <c r="AL81" i="11"/>
  <c r="AL75" i="11"/>
  <c r="AL76" i="11" s="1"/>
  <c r="AL70" i="11"/>
  <c r="AK70" i="11"/>
  <c r="AL69" i="11"/>
  <c r="AK69" i="11"/>
  <c r="AL68" i="11"/>
  <c r="AK68" i="11"/>
  <c r="AL66" i="11"/>
  <c r="AL67" i="11" s="1"/>
  <c r="AL64" i="11"/>
  <c r="AK64" i="11"/>
  <c r="AL62" i="11"/>
  <c r="AO48" i="59" s="1"/>
  <c r="AK62" i="11"/>
  <c r="AN48" i="59" s="1"/>
  <c r="AL59" i="11"/>
  <c r="AL60" i="11" s="1"/>
  <c r="AK59" i="11"/>
  <c r="AK60" i="11" s="1"/>
  <c r="AL56" i="11"/>
  <c r="AL54" i="11"/>
  <c r="AL85" i="11" s="1"/>
  <c r="AL52" i="11"/>
  <c r="AL84" i="11" s="1"/>
  <c r="AK52" i="11"/>
  <c r="AK71" i="11" s="1"/>
  <c r="AN49" i="59" s="1"/>
  <c r="AM31" i="50"/>
  <c r="AM26" i="50"/>
  <c r="AM8" i="50"/>
  <c r="BD75" i="11" l="1"/>
  <c r="BD54" i="45"/>
  <c r="BD52" i="45"/>
  <c r="BF52" i="59" s="1"/>
  <c r="AO73" i="45"/>
  <c r="BE68" i="45"/>
  <c r="BE73" i="45" s="1"/>
  <c r="AN55" i="45"/>
  <c r="BD5" i="45"/>
  <c r="BD82" i="11"/>
  <c r="BD76" i="11"/>
  <c r="BE6" i="45"/>
  <c r="BE52" i="45"/>
  <c r="BG52" i="59" s="1"/>
  <c r="BE54" i="45"/>
  <c r="AO71" i="45"/>
  <c r="BE5" i="45"/>
  <c r="BE71" i="45" s="1"/>
  <c r="AN83" i="11"/>
  <c r="BD78" i="11"/>
  <c r="BD83" i="11" s="1"/>
  <c r="BE72" i="45"/>
  <c r="BE66" i="45"/>
  <c r="BD62" i="11"/>
  <c r="BG48" i="59" s="1"/>
  <c r="BD64" i="11"/>
  <c r="BD54" i="11"/>
  <c r="BC62" i="11"/>
  <c r="BF48" i="59" s="1"/>
  <c r="BC64" i="11"/>
  <c r="BD52" i="11"/>
  <c r="BD56" i="11"/>
  <c r="AO38" i="50"/>
  <c r="BE38" i="50" s="1"/>
  <c r="AQ38" i="50"/>
  <c r="AO31" i="50"/>
  <c r="BE31" i="50" s="1"/>
  <c r="AQ31" i="50"/>
  <c r="AO8" i="50"/>
  <c r="BE8" i="50" s="1"/>
  <c r="AQ8" i="50"/>
  <c r="AO26" i="50"/>
  <c r="BE26" i="50" s="1"/>
  <c r="AQ26" i="50"/>
  <c r="AO65" i="45"/>
  <c r="AO66" i="45" s="1"/>
  <c r="AO54" i="45"/>
  <c r="AM66" i="45"/>
  <c r="AN52" i="45"/>
  <c r="AP52" i="59" s="1"/>
  <c r="AN54" i="45"/>
  <c r="AO52" i="45"/>
  <c r="AQ52" i="59" s="1"/>
  <c r="AO55" i="45"/>
  <c r="BE55" i="45" s="1"/>
  <c r="AL43" i="45"/>
  <c r="AM43" i="45"/>
  <c r="AM46" i="45" s="1"/>
  <c r="AM57" i="45"/>
  <c r="AM67" i="45"/>
  <c r="AM75" i="45"/>
  <c r="AM77" i="45" s="1"/>
  <c r="AN64" i="11"/>
  <c r="AN56" i="11"/>
  <c r="AN54" i="11"/>
  <c r="AN77" i="11" s="1"/>
  <c r="AN75" i="11"/>
  <c r="AN82" i="11" s="1"/>
  <c r="AN52" i="11"/>
  <c r="AN71" i="11" s="1"/>
  <c r="AQ49" i="59" s="1"/>
  <c r="AL86" i="11"/>
  <c r="AM65" i="11"/>
  <c r="BC65" i="11" s="1"/>
  <c r="AL71" i="11"/>
  <c r="AO49" i="59" s="1"/>
  <c r="AM62" i="11"/>
  <c r="AP48" i="59" s="1"/>
  <c r="AM64" i="11"/>
  <c r="AN62" i="11"/>
  <c r="AQ48" i="59" s="1"/>
  <c r="AN81" i="11"/>
  <c r="AN65" i="11"/>
  <c r="BD65" i="11" s="1"/>
  <c r="AL82" i="11"/>
  <c r="AL88" i="11" s="1"/>
  <c r="AK53" i="11"/>
  <c r="AK55" i="11" s="1"/>
  <c r="AN47" i="59" s="1"/>
  <c r="AL53" i="11"/>
  <c r="AL55" i="11" s="1"/>
  <c r="AO47" i="59" s="1"/>
  <c r="AL77" i="11"/>
  <c r="BD55" i="45" l="1"/>
  <c r="AL45" i="45"/>
  <c r="AN51" i="59" s="1"/>
  <c r="AL46" i="45"/>
  <c r="AN76" i="11"/>
  <c r="AM45" i="45"/>
  <c r="AO51" i="59" s="1"/>
  <c r="AM47" i="45"/>
  <c r="AL57" i="11"/>
  <c r="BD85" i="11"/>
  <c r="BD77" i="11"/>
  <c r="BD71" i="11"/>
  <c r="BG49" i="59" s="1"/>
  <c r="BD53" i="11"/>
  <c r="BD55" i="11" s="1"/>
  <c r="BG47" i="59" s="1"/>
  <c r="BD84" i="11"/>
  <c r="AU26" i="50"/>
  <c r="AY26" i="50" s="1"/>
  <c r="BG26" i="50" s="1"/>
  <c r="AU31" i="50"/>
  <c r="AY31" i="50" s="1"/>
  <c r="BG31" i="50" s="1"/>
  <c r="AU8" i="50"/>
  <c r="AY8" i="50" s="1"/>
  <c r="BG8" i="50" s="1"/>
  <c r="AU38" i="50"/>
  <c r="AY38" i="50" s="1"/>
  <c r="BG38" i="50" s="1"/>
  <c r="AK22" i="36"/>
  <c r="AK23" i="36"/>
  <c r="AO72" i="45"/>
  <c r="AM79" i="45"/>
  <c r="AN53" i="11"/>
  <c r="AN55" i="11" s="1"/>
  <c r="AQ47" i="59" s="1"/>
  <c r="AN85" i="11"/>
  <c r="AN84" i="11"/>
  <c r="AN88" i="11" s="1"/>
  <c r="AN57" i="11" l="1"/>
  <c r="BD57" i="11"/>
  <c r="BD88" i="11"/>
  <c r="BD86" i="11"/>
  <c r="BD22" i="36"/>
  <c r="AL22" i="36"/>
  <c r="AL23" i="36"/>
  <c r="AN86" i="11"/>
  <c r="AP107" i="10" l="1"/>
  <c r="AT107" i="10" s="1"/>
  <c r="AX107" i="10" s="1"/>
  <c r="BF107" i="10" s="1"/>
  <c r="AN107" i="10"/>
  <c r="BD107" i="10" s="1"/>
  <c r="AP112" i="10"/>
  <c r="AT112" i="10" s="1"/>
  <c r="AX112" i="10" s="1"/>
  <c r="BF112" i="10" s="1"/>
  <c r="AN112" i="10"/>
  <c r="BD112" i="10" s="1"/>
  <c r="AP77" i="10"/>
  <c r="AT77" i="10" s="1"/>
  <c r="AX77" i="10" s="1"/>
  <c r="BF77" i="10" s="1"/>
  <c r="AN77" i="10"/>
  <c r="BD77" i="10" s="1"/>
  <c r="AP69" i="10"/>
  <c r="AT69" i="10" s="1"/>
  <c r="AX69" i="10" s="1"/>
  <c r="BF69" i="10" s="1"/>
  <c r="AP70" i="10"/>
  <c r="AT70" i="10" s="1"/>
  <c r="AX70" i="10" s="1"/>
  <c r="BF70" i="10" s="1"/>
  <c r="AP71" i="10"/>
  <c r="AT71" i="10" s="1"/>
  <c r="AX71" i="10" s="1"/>
  <c r="BF71" i="10" s="1"/>
  <c r="AP72" i="10"/>
  <c r="AT72" i="10" s="1"/>
  <c r="AX72" i="10" s="1"/>
  <c r="BF72" i="10" s="1"/>
  <c r="AN69" i="10"/>
  <c r="BD69" i="10" s="1"/>
  <c r="AN70" i="10"/>
  <c r="BD70" i="10" s="1"/>
  <c r="AN71" i="10"/>
  <c r="BD71" i="10" s="1"/>
  <c r="AN72" i="10"/>
  <c r="BD72" i="10" s="1"/>
  <c r="AP23" i="10" l="1"/>
  <c r="AT23" i="10" s="1"/>
  <c r="AX23" i="10" s="1"/>
  <c r="BF23" i="10" s="1"/>
  <c r="AN114" i="10"/>
  <c r="BD114" i="10" s="1"/>
  <c r="AN113" i="10"/>
  <c r="BD113" i="10" s="1"/>
  <c r="AN111" i="10"/>
  <c r="BD111" i="10" s="1"/>
  <c r="AN109" i="10"/>
  <c r="BD109" i="10" s="1"/>
  <c r="AN106" i="10"/>
  <c r="BD106" i="10" s="1"/>
  <c r="AN105" i="10"/>
  <c r="BD105" i="10" s="1"/>
  <c r="AN104" i="10"/>
  <c r="BD104" i="10" s="1"/>
  <c r="AN103" i="10"/>
  <c r="BD103" i="10" s="1"/>
  <c r="AN102" i="10"/>
  <c r="BD102" i="10" s="1"/>
  <c r="AN99" i="10"/>
  <c r="BD99" i="10" s="1"/>
  <c r="AN98" i="10"/>
  <c r="BD98" i="10" s="1"/>
  <c r="AN97" i="10"/>
  <c r="BD97" i="10" s="1"/>
  <c r="AN96" i="10"/>
  <c r="BD96" i="10" s="1"/>
  <c r="AN94" i="10"/>
  <c r="BD94" i="10" s="1"/>
  <c r="AN92" i="10"/>
  <c r="BD92" i="10" s="1"/>
  <c r="AN91" i="10"/>
  <c r="BD91" i="10" s="1"/>
  <c r="AN90" i="10"/>
  <c r="BD90" i="10" s="1"/>
  <c r="AN89" i="10"/>
  <c r="BD89" i="10" s="1"/>
  <c r="AN8" i="10"/>
  <c r="BD8" i="10" s="1"/>
  <c r="AN9" i="10"/>
  <c r="BD9" i="10" s="1"/>
  <c r="AN11" i="10"/>
  <c r="BD11" i="10" s="1"/>
  <c r="AN12" i="10"/>
  <c r="BD12" i="10" s="1"/>
  <c r="AN15" i="10"/>
  <c r="BD15" i="10" s="1"/>
  <c r="AN18" i="10"/>
  <c r="BD18" i="10" s="1"/>
  <c r="AN19" i="10"/>
  <c r="BD19" i="10" s="1"/>
  <c r="AN20" i="10"/>
  <c r="BD20" i="10" s="1"/>
  <c r="AN22" i="10"/>
  <c r="BD22" i="10" s="1"/>
  <c r="AN23" i="10"/>
  <c r="BD23" i="10" s="1"/>
  <c r="AN26" i="10"/>
  <c r="BD26" i="10" s="1"/>
  <c r="AN27" i="10"/>
  <c r="BD27" i="10" s="1"/>
  <c r="AN28" i="10"/>
  <c r="BD28" i="10" s="1"/>
  <c r="AN30" i="10"/>
  <c r="BD30" i="10" s="1"/>
  <c r="AN31" i="10"/>
  <c r="BD31" i="10" s="1"/>
  <c r="AN33" i="10"/>
  <c r="BD33" i="10" s="1"/>
  <c r="AN34" i="10"/>
  <c r="BD34" i="10" s="1"/>
  <c r="AN35" i="10"/>
  <c r="BD35" i="10" s="1"/>
  <c r="AN37" i="10"/>
  <c r="BD37" i="10" s="1"/>
  <c r="AN39" i="10"/>
  <c r="BD39" i="10" s="1"/>
  <c r="AN40" i="10"/>
  <c r="BD40" i="10" s="1"/>
  <c r="AN44" i="10"/>
  <c r="BD44" i="10" s="1"/>
  <c r="AN45" i="10"/>
  <c r="BD45" i="10" s="1"/>
  <c r="AN46" i="10"/>
  <c r="BD46" i="10" s="1"/>
  <c r="AN47" i="10"/>
  <c r="BD47" i="10" s="1"/>
  <c r="AN48" i="10"/>
  <c r="BD48" i="10" s="1"/>
  <c r="AN49" i="10"/>
  <c r="BD49" i="10" s="1"/>
  <c r="AN50" i="10"/>
  <c r="BD50" i="10" s="1"/>
  <c r="AN51" i="10"/>
  <c r="BD51" i="10" s="1"/>
  <c r="AN53" i="10"/>
  <c r="BD53" i="10" s="1"/>
  <c r="AN54" i="10"/>
  <c r="BD54" i="10" s="1"/>
  <c r="AN55" i="10"/>
  <c r="BD55" i="10" s="1"/>
  <c r="AN57" i="10"/>
  <c r="BD57" i="10" s="1"/>
  <c r="AN58" i="10"/>
  <c r="BD58" i="10" s="1"/>
  <c r="AN61" i="10"/>
  <c r="BD61" i="10" s="1"/>
  <c r="AN64" i="10"/>
  <c r="BD64" i="10" s="1"/>
  <c r="AN65" i="10"/>
  <c r="BD65" i="10" s="1"/>
  <c r="AN66" i="10"/>
  <c r="BD66" i="10" s="1"/>
  <c r="AN73" i="10"/>
  <c r="BD73" i="10" s="1"/>
  <c r="AN75" i="10"/>
  <c r="BD75" i="10" s="1"/>
  <c r="AN76" i="10"/>
  <c r="BD76" i="10" s="1"/>
  <c r="AN78" i="10"/>
  <c r="BD78" i="10" s="1"/>
  <c r="AN79" i="10"/>
  <c r="BD79" i="10" s="1"/>
  <c r="AN82" i="10"/>
  <c r="BD82" i="10" s="1"/>
  <c r="AN83" i="10"/>
  <c r="BD83" i="10" s="1"/>
  <c r="AN87" i="10"/>
  <c r="BD87" i="10" s="1"/>
  <c r="AL117" i="10" l="1"/>
  <c r="AL115" i="10"/>
  <c r="AL116" i="10" s="1"/>
  <c r="AK115" i="10"/>
  <c r="AK116" i="10" s="1"/>
  <c r="AK118" i="10" s="1"/>
  <c r="AN43" i="59" s="1"/>
  <c r="AN141" i="10"/>
  <c r="AN137" i="10"/>
  <c r="BD137" i="10" s="1"/>
  <c r="AN136" i="10"/>
  <c r="BD136" i="10" s="1"/>
  <c r="AN126" i="10"/>
  <c r="BD126" i="10" s="1"/>
  <c r="AM126" i="10"/>
  <c r="BC126" i="10" s="1"/>
  <c r="AN124" i="10"/>
  <c r="BD124" i="10" s="1"/>
  <c r="AM124" i="10"/>
  <c r="BC124" i="10" s="1"/>
  <c r="AN7" i="10"/>
  <c r="BD7" i="10" s="1"/>
  <c r="AN5" i="10"/>
  <c r="BD5" i="10" s="1"/>
  <c r="AM5" i="10"/>
  <c r="BC5" i="10" s="1"/>
  <c r="AN2" i="10"/>
  <c r="BD2" i="10" s="1"/>
  <c r="AM2" i="10"/>
  <c r="BC2" i="10" s="1"/>
  <c r="AL90" i="9"/>
  <c r="AH90" i="9"/>
  <c r="AL98" i="9"/>
  <c r="AK71" i="9"/>
  <c r="AL118" i="10" l="1"/>
  <c r="AO43" i="59" s="1"/>
  <c r="AL153" i="10"/>
  <c r="AN146" i="10"/>
  <c r="BD141" i="10"/>
  <c r="AM128" i="10"/>
  <c r="BC128" i="10" s="1"/>
  <c r="AN144" i="10"/>
  <c r="BD144" i="10"/>
  <c r="AK21" i="36"/>
  <c r="AL21" i="36"/>
  <c r="AN138" i="10"/>
  <c r="AN145" i="10" s="1"/>
  <c r="AM127" i="10"/>
  <c r="AN127" i="10"/>
  <c r="AN117" i="10"/>
  <c r="AN140" i="10" s="1"/>
  <c r="AN128" i="10"/>
  <c r="BD128" i="10" s="1"/>
  <c r="AM125" i="10"/>
  <c r="AP44" i="59" s="1"/>
  <c r="AN125" i="10"/>
  <c r="AQ44" i="59" s="1"/>
  <c r="AN139" i="10" l="1"/>
  <c r="AN148" i="10"/>
  <c r="AL61" i="9"/>
  <c r="AL55" i="9"/>
  <c r="AP121" i="9" l="1"/>
  <c r="AN103" i="9"/>
  <c r="BD103" i="9" s="1"/>
  <c r="AN104" i="9"/>
  <c r="BD104" i="9" s="1"/>
  <c r="AN105" i="9"/>
  <c r="BD105" i="9" s="1"/>
  <c r="AN106" i="9"/>
  <c r="BD106" i="9" s="1"/>
  <c r="AN107" i="9"/>
  <c r="BD107" i="9" s="1"/>
  <c r="AN108" i="9"/>
  <c r="BD108" i="9" s="1"/>
  <c r="AN109" i="9"/>
  <c r="BD109" i="9" s="1"/>
  <c r="AN110" i="9"/>
  <c r="BD110" i="9" s="1"/>
  <c r="AN111" i="9"/>
  <c r="BD111" i="9" s="1"/>
  <c r="AN112" i="9"/>
  <c r="BD112" i="9" s="1"/>
  <c r="AN113" i="9"/>
  <c r="BD113" i="9" s="1"/>
  <c r="AN114" i="9"/>
  <c r="BD114" i="9" s="1"/>
  <c r="AN115" i="9"/>
  <c r="BD115" i="9" s="1"/>
  <c r="AN117" i="9"/>
  <c r="BD117" i="9" s="1"/>
  <c r="AN118" i="9"/>
  <c r="BD118" i="9" s="1"/>
  <c r="AN119" i="9"/>
  <c r="BD119" i="9" s="1"/>
  <c r="AN120" i="9"/>
  <c r="BD120" i="9" s="1"/>
  <c r="AN121" i="9"/>
  <c r="AN102" i="9"/>
  <c r="BD102" i="9" s="1"/>
  <c r="AN87" i="9"/>
  <c r="BD87" i="9" s="1"/>
  <c r="BC14" i="15" s="1"/>
  <c r="BC16" i="15" s="1"/>
  <c r="AN83" i="9"/>
  <c r="BD83" i="9" s="1"/>
  <c r="AN67" i="9"/>
  <c r="BD67" i="9" s="1"/>
  <c r="AN66" i="9"/>
  <c r="BD66" i="9" s="1"/>
  <c r="AN65" i="9"/>
  <c r="BD65" i="9" s="1"/>
  <c r="AN64" i="9"/>
  <c r="BD64" i="9" s="1"/>
  <c r="AN63" i="9"/>
  <c r="BD63" i="9" s="1"/>
  <c r="AN62" i="9"/>
  <c r="BD62" i="9" s="1"/>
  <c r="AN60" i="9"/>
  <c r="BD60" i="9" s="1"/>
  <c r="AN59" i="9"/>
  <c r="BD59" i="9" s="1"/>
  <c r="AM59" i="9"/>
  <c r="BC59" i="9" s="1"/>
  <c r="AN58" i="9"/>
  <c r="BD58" i="9" s="1"/>
  <c r="AN57" i="9"/>
  <c r="BD57" i="9" s="1"/>
  <c r="AN55" i="9"/>
  <c r="BD55" i="9" s="1"/>
  <c r="AM55" i="9"/>
  <c r="BC55" i="9" s="1"/>
  <c r="AN54" i="9"/>
  <c r="BD54" i="9" s="1"/>
  <c r="AN44" i="9"/>
  <c r="BD44" i="9" s="1"/>
  <c r="AN43" i="9"/>
  <c r="BD43" i="9" s="1"/>
  <c r="AN41" i="9"/>
  <c r="BD41" i="9" s="1"/>
  <c r="AM41" i="9"/>
  <c r="BC41" i="9" s="1"/>
  <c r="AN36" i="9"/>
  <c r="BD36" i="9" s="1"/>
  <c r="AN35" i="9"/>
  <c r="BD35" i="9" s="1"/>
  <c r="AN33" i="9"/>
  <c r="BD33" i="9" s="1"/>
  <c r="AN32" i="9"/>
  <c r="BD32" i="9" s="1"/>
  <c r="AM32" i="9"/>
  <c r="BC32" i="9" s="1"/>
  <c r="AN27" i="9"/>
  <c r="AN26" i="9"/>
  <c r="AN25" i="9"/>
  <c r="AN23" i="9"/>
  <c r="AM23" i="9"/>
  <c r="AN21" i="9"/>
  <c r="BD21" i="9" s="1"/>
  <c r="AN20" i="9"/>
  <c r="BD20" i="9" s="1"/>
  <c r="AN19" i="9"/>
  <c r="BD19" i="9" s="1"/>
  <c r="AN18" i="9"/>
  <c r="BD18" i="9" s="1"/>
  <c r="AM18" i="9"/>
  <c r="BC18" i="9" s="1"/>
  <c r="AN13" i="9"/>
  <c r="BD13" i="9" s="1"/>
  <c r="AN12" i="9"/>
  <c r="BD12" i="9" s="1"/>
  <c r="AN11" i="9"/>
  <c r="BD11" i="9" s="1"/>
  <c r="AN9" i="9"/>
  <c r="AN8" i="9"/>
  <c r="AN7" i="9"/>
  <c r="AL133" i="9"/>
  <c r="AL135" i="9" s="1"/>
  <c r="AL136" i="9" s="1"/>
  <c r="AL94" i="9"/>
  <c r="AL93" i="9"/>
  <c r="AK93" i="9"/>
  <c r="AL92" i="9"/>
  <c r="AK92" i="9"/>
  <c r="AL88" i="9"/>
  <c r="AK85" i="9"/>
  <c r="AK84" i="9"/>
  <c r="AL56" i="9"/>
  <c r="AK46" i="9"/>
  <c r="AL45" i="9"/>
  <c r="AL39" i="9"/>
  <c r="AL47" i="9" s="1"/>
  <c r="AL38" i="9"/>
  <c r="AL46" i="9" s="1"/>
  <c r="AL37" i="9"/>
  <c r="AL34" i="9"/>
  <c r="AL28" i="9"/>
  <c r="AL29" i="9" s="1"/>
  <c r="AK27" i="9"/>
  <c r="AK25" i="9"/>
  <c r="AL22" i="9"/>
  <c r="AL10" i="9"/>
  <c r="AL14" i="9" s="1"/>
  <c r="AL5" i="9"/>
  <c r="AK5" i="9"/>
  <c r="AK90" i="9" s="1"/>
  <c r="AK28" i="9" l="1"/>
  <c r="AK83" i="9" s="1"/>
  <c r="BD39" i="9"/>
  <c r="BD47" i="9" s="1"/>
  <c r="BD37" i="9"/>
  <c r="AN124" i="9"/>
  <c r="BD8" i="9"/>
  <c r="AN126" i="9"/>
  <c r="BD25" i="9"/>
  <c r="BD38" i="9"/>
  <c r="BD34" i="9"/>
  <c r="BD56" i="9"/>
  <c r="BD133" i="9"/>
  <c r="BD135" i="9" s="1"/>
  <c r="BD136" i="9" s="1"/>
  <c r="AN125" i="9"/>
  <c r="BD9" i="9"/>
  <c r="AN127" i="9"/>
  <c r="BD26" i="9"/>
  <c r="AM96" i="9"/>
  <c r="BC23" i="9"/>
  <c r="AN128" i="9"/>
  <c r="BD27" i="9"/>
  <c r="AK86" i="9"/>
  <c r="AN123" i="9"/>
  <c r="BD7" i="9"/>
  <c r="AN96" i="9"/>
  <c r="BD23" i="9"/>
  <c r="AL85" i="9"/>
  <c r="AK30" i="9"/>
  <c r="AK62" i="9"/>
  <c r="AK67" i="9"/>
  <c r="AN38" i="9"/>
  <c r="AK57" i="9"/>
  <c r="AK63" i="9"/>
  <c r="AM14" i="15"/>
  <c r="AK65" i="9"/>
  <c r="AJ90" i="26"/>
  <c r="AK33" i="22"/>
  <c r="AK90" i="26"/>
  <c r="AL33" i="22"/>
  <c r="AK7" i="9"/>
  <c r="AK58" i="9"/>
  <c r="AK64" i="9"/>
  <c r="AK22" i="9"/>
  <c r="AP63" i="22"/>
  <c r="AN63" i="22"/>
  <c r="AN65" i="22" s="1"/>
  <c r="AN66" i="22" s="1"/>
  <c r="AK54" i="9"/>
  <c r="AK56" i="9" s="1"/>
  <c r="AK60" i="9"/>
  <c r="AK66" i="9"/>
  <c r="AK87" i="9"/>
  <c r="AN39" i="9"/>
  <c r="AP58" i="22"/>
  <c r="AN58" i="22"/>
  <c r="AN60" i="22" s="1"/>
  <c r="AN61" i="22" s="1"/>
  <c r="AL95" i="9"/>
  <c r="AN37" i="9"/>
  <c r="AL40" i="9"/>
  <c r="AN10" i="9"/>
  <c r="AN28" i="9"/>
  <c r="AN34" i="9"/>
  <c r="AN56" i="9"/>
  <c r="AM50" i="9"/>
  <c r="BC50" i="9" s="1"/>
  <c r="AN50" i="9"/>
  <c r="BD50" i="9" s="1"/>
  <c r="AN88" i="9"/>
  <c r="AL48" i="9"/>
  <c r="AL72" i="9" s="1"/>
  <c r="AL140" i="9"/>
  <c r="AL91" i="9"/>
  <c r="AL89" i="9"/>
  <c r="AK18" i="15" s="1"/>
  <c r="AL84" i="9"/>
  <c r="AL86" i="9" s="1"/>
  <c r="AK29" i="9"/>
  <c r="BD125" i="9" l="1"/>
  <c r="BD124" i="9"/>
  <c r="BD40" i="9"/>
  <c r="AN40" i="9"/>
  <c r="BD126" i="9"/>
  <c r="BD127" i="9"/>
  <c r="BD96" i="9"/>
  <c r="BD28" i="9"/>
  <c r="BD140" i="9"/>
  <c r="BD123" i="9"/>
  <c r="BD10" i="9"/>
  <c r="BC96" i="9"/>
  <c r="BD88" i="9"/>
  <c r="BD128" i="9"/>
  <c r="AK7" i="22"/>
  <c r="AK21" i="22"/>
  <c r="AL79" i="9"/>
  <c r="AL80" i="9"/>
  <c r="AL73" i="9"/>
  <c r="AL81" i="9"/>
  <c r="AL75" i="9"/>
  <c r="AL77" i="9"/>
  <c r="AO41" i="59" s="1"/>
  <c r="AL52" i="9"/>
  <c r="AL51" i="9"/>
  <c r="AO39" i="59" s="1"/>
  <c r="AL71" i="9"/>
  <c r="AL69" i="9"/>
  <c r="AL76" i="9"/>
  <c r="AL78" i="9"/>
  <c r="AL82" i="9"/>
  <c r="AO40" i="59" s="1"/>
  <c r="AL70" i="9"/>
  <c r="AL74" i="9"/>
  <c r="AK8" i="22" l="1"/>
  <c r="AK10" i="22" s="1"/>
  <c r="AK11" i="22" s="1"/>
  <c r="AK13" i="22" s="1"/>
  <c r="AK22" i="22"/>
  <c r="AK24" i="22" s="1"/>
  <c r="AK25" i="22" s="1"/>
  <c r="AK27" i="22" s="1"/>
  <c r="AN115" i="8"/>
  <c r="BD115" i="8" s="1"/>
  <c r="BD117" i="8" s="1"/>
  <c r="AN112" i="8"/>
  <c r="BD112" i="8" s="1"/>
  <c r="AN109" i="8"/>
  <c r="BD109" i="8" s="1"/>
  <c r="AN103" i="8"/>
  <c r="BD103" i="8" s="1"/>
  <c r="AN100" i="8"/>
  <c r="BD100" i="8" s="1"/>
  <c r="AN97" i="8"/>
  <c r="BD97" i="8" s="1"/>
  <c r="AN84" i="8"/>
  <c r="BD84" i="8" s="1"/>
  <c r="AL117" i="8"/>
  <c r="AL118" i="8" s="1"/>
  <c r="AL105" i="8"/>
  <c r="AL106" i="8" s="1"/>
  <c r="AL85" i="8"/>
  <c r="AL89" i="8" s="1"/>
  <c r="AL137" i="9" s="1"/>
  <c r="AL80" i="8"/>
  <c r="AL77" i="8"/>
  <c r="AL75" i="8"/>
  <c r="AK75" i="8"/>
  <c r="AL74" i="8"/>
  <c r="AK74" i="8"/>
  <c r="AK65" i="8"/>
  <c r="AL60" i="8"/>
  <c r="AL64" i="8" s="1"/>
  <c r="AL58" i="8"/>
  <c r="AL32" i="8" s="1"/>
  <c r="AL55" i="8"/>
  <c r="AL54" i="8"/>
  <c r="AL52" i="8"/>
  <c r="AL45" i="8"/>
  <c r="AK45" i="8"/>
  <c r="AK38" i="8"/>
  <c r="AK37" i="8"/>
  <c r="AK36" i="8"/>
  <c r="AL25" i="8"/>
  <c r="AL20" i="8"/>
  <c r="AK20" i="8"/>
  <c r="AK18" i="8"/>
  <c r="AL16" i="8"/>
  <c r="AK16" i="8"/>
  <c r="AL14" i="8"/>
  <c r="AL13" i="8"/>
  <c r="AK13" i="8"/>
  <c r="AL12" i="8"/>
  <c r="AK12" i="8"/>
  <c r="AL5" i="8"/>
  <c r="AK5" i="8"/>
  <c r="AK29" i="8" s="1"/>
  <c r="AN10" i="7"/>
  <c r="AM10" i="7"/>
  <c r="AK15" i="8" l="1"/>
  <c r="AL56" i="8"/>
  <c r="AK26" i="8"/>
  <c r="AK52" i="8" s="1"/>
  <c r="AK56" i="8" s="1"/>
  <c r="AK33" i="8" s="1"/>
  <c r="BD105" i="8"/>
  <c r="BD16" i="49"/>
  <c r="BD17" i="49" s="1"/>
  <c r="AK39" i="8"/>
  <c r="AL138" i="9"/>
  <c r="AL141" i="9"/>
  <c r="AL15" i="8"/>
  <c r="AK22" i="8"/>
  <c r="AK28" i="8"/>
  <c r="AK23" i="8"/>
  <c r="AK46" i="8"/>
  <c r="AK66" i="8" s="1"/>
  <c r="AL63" i="8"/>
  <c r="AL33" i="8"/>
  <c r="AL62" i="8"/>
  <c r="AL61" i="8"/>
  <c r="AK24" i="8"/>
  <c r="AK27" i="8"/>
  <c r="AL34" i="8"/>
  <c r="AL37" i="8"/>
  <c r="AL43" i="8"/>
  <c r="AL46" i="8"/>
  <c r="AK5" i="26" s="1"/>
  <c r="AL87" i="8"/>
  <c r="AL88" i="8" s="1"/>
  <c r="AL40" i="8"/>
  <c r="AL72" i="8"/>
  <c r="AL78" i="8"/>
  <c r="AL36" i="8"/>
  <c r="AL38" i="8"/>
  <c r="AL41" i="8"/>
  <c r="AL42" i="8"/>
  <c r="AL68" i="8"/>
  <c r="AO33" i="59" s="1"/>
  <c r="AK58" i="8" l="1"/>
  <c r="AK32" i="8" s="1"/>
  <c r="AK25" i="8"/>
  <c r="AL142" i="9"/>
  <c r="AL47" i="8"/>
  <c r="AK60" i="8"/>
  <c r="AK34" i="8" s="1"/>
  <c r="AL39" i="8"/>
  <c r="AL90" i="8"/>
  <c r="AL92" i="8"/>
  <c r="AL93" i="8" s="1"/>
  <c r="AL94" i="8" l="1"/>
  <c r="AO34" i="39" l="1"/>
  <c r="BE34" i="39" s="1"/>
  <c r="AO33" i="39"/>
  <c r="BE33" i="39" s="1"/>
  <c r="AO32" i="39"/>
  <c r="BE32" i="39" s="1"/>
  <c r="AO31" i="39"/>
  <c r="BE31" i="39" s="1"/>
  <c r="AO30" i="39"/>
  <c r="BE30" i="39" s="1"/>
  <c r="AO29" i="39"/>
  <c r="BE29" i="39" s="1"/>
  <c r="AO28" i="39"/>
  <c r="BE28" i="39" s="1"/>
  <c r="AO25" i="39"/>
  <c r="BE25" i="39" s="1"/>
  <c r="AO24" i="39"/>
  <c r="BE24" i="39" s="1"/>
  <c r="AO23" i="39"/>
  <c r="BE23" i="39" s="1"/>
  <c r="AO22" i="39"/>
  <c r="BE22" i="39" s="1"/>
  <c r="AO19" i="39"/>
  <c r="BE19" i="39" s="1"/>
  <c r="AO18" i="39"/>
  <c r="BE18" i="39" s="1"/>
  <c r="AO17" i="39"/>
  <c r="BE17" i="39" s="1"/>
  <c r="AO5" i="39"/>
  <c r="BE5" i="39" s="1"/>
  <c r="AO6" i="39"/>
  <c r="BE6" i="39" s="1"/>
  <c r="AO7" i="39"/>
  <c r="BE7" i="39" s="1"/>
  <c r="AO8" i="39"/>
  <c r="BE8" i="39" s="1"/>
  <c r="AO9" i="39"/>
  <c r="BE9" i="39" s="1"/>
  <c r="AO10" i="39"/>
  <c r="BE10" i="39" s="1"/>
  <c r="AO11" i="39"/>
  <c r="BE11" i="39" s="1"/>
  <c r="AO12" i="39"/>
  <c r="BE12" i="39" s="1"/>
  <c r="AO13" i="39"/>
  <c r="BE13" i="39" s="1"/>
  <c r="AO4" i="39"/>
  <c r="BE4" i="39" s="1"/>
  <c r="AM14" i="39"/>
  <c r="BE14" i="39" l="1"/>
  <c r="AO14" i="39"/>
  <c r="AN160" i="64"/>
  <c r="AL160" i="64"/>
  <c r="AJ160" i="64"/>
  <c r="AH160" i="64"/>
  <c r="AF160" i="64"/>
  <c r="AD160" i="64"/>
  <c r="AB160" i="64"/>
  <c r="Z160" i="64"/>
  <c r="X160" i="64"/>
  <c r="V160" i="64"/>
  <c r="T160" i="64"/>
  <c r="R160" i="64"/>
  <c r="P160" i="64"/>
  <c r="N160" i="64"/>
  <c r="L160" i="64"/>
  <c r="J160" i="64"/>
  <c r="H160" i="64"/>
  <c r="F160" i="64"/>
  <c r="AO55" i="50" l="1"/>
  <c r="BE55" i="50" s="1"/>
  <c r="BG55" i="50" s="1"/>
  <c r="AO59" i="50"/>
  <c r="BE59" i="50" s="1"/>
  <c r="AO52" i="50"/>
  <c r="BE52" i="50" s="1"/>
  <c r="BG52" i="50" s="1"/>
  <c r="AM43" i="50"/>
  <c r="AM45" i="50"/>
  <c r="AM42" i="50"/>
  <c r="AM35" i="50"/>
  <c r="AM36" i="50"/>
  <c r="AM39" i="50"/>
  <c r="AM40" i="50"/>
  <c r="AM34" i="50"/>
  <c r="AM5" i="50"/>
  <c r="AM6" i="50"/>
  <c r="AM7" i="50"/>
  <c r="AM10" i="50"/>
  <c r="AM11" i="50"/>
  <c r="AM13" i="50"/>
  <c r="AM14" i="50"/>
  <c r="AM15" i="50"/>
  <c r="AM18" i="50"/>
  <c r="AM20" i="50"/>
  <c r="AM21" i="50"/>
  <c r="AM22" i="50"/>
  <c r="AM23" i="50"/>
  <c r="AM24" i="50"/>
  <c r="AM25" i="50"/>
  <c r="AM27" i="50"/>
  <c r="AM28" i="50"/>
  <c r="AM29" i="50"/>
  <c r="AM30" i="50"/>
  <c r="AM32" i="50"/>
  <c r="AM4" i="50"/>
  <c r="AO61" i="50"/>
  <c r="AN60" i="50"/>
  <c r="AO47" i="50"/>
  <c r="AM70" i="50"/>
  <c r="AH12" i="52"/>
  <c r="AX12" i="52" s="1"/>
  <c r="AH11" i="52"/>
  <c r="AX11" i="52" s="1"/>
  <c r="AH10" i="52"/>
  <c r="AX10" i="52" s="1"/>
  <c r="AH9" i="52"/>
  <c r="AX9" i="52" s="1"/>
  <c r="AG6" i="52"/>
  <c r="AW6" i="52" s="1"/>
  <c r="AH6" i="52"/>
  <c r="AX6" i="52" s="1"/>
  <c r="AG7" i="52"/>
  <c r="AW7" i="52" s="1"/>
  <c r="AH7" i="52"/>
  <c r="AX7" i="52" s="1"/>
  <c r="AH5" i="52"/>
  <c r="AX5" i="52" s="1"/>
  <c r="AG5" i="52"/>
  <c r="AW5" i="52" s="1"/>
  <c r="AF13" i="52"/>
  <c r="AE13" i="52"/>
  <c r="AF8" i="52"/>
  <c r="AE8" i="52"/>
  <c r="AL46" i="36"/>
  <c r="AX8" i="52" l="1"/>
  <c r="AO60" i="50"/>
  <c r="BE47" i="50"/>
  <c r="AW8" i="52"/>
  <c r="AO70" i="50"/>
  <c r="BE61" i="50"/>
  <c r="AX13" i="52"/>
  <c r="AX14" i="52" s="1"/>
  <c r="AF14" i="52"/>
  <c r="AH8" i="52"/>
  <c r="AM9" i="61"/>
  <c r="AM16" i="61"/>
  <c r="AM14" i="61"/>
  <c r="AM18" i="61"/>
  <c r="AM11" i="61"/>
  <c r="AM17" i="61"/>
  <c r="AM10" i="61"/>
  <c r="AM60" i="50"/>
  <c r="AM33" i="50"/>
  <c r="AL119" i="10" s="1"/>
  <c r="AL120" i="10" s="1"/>
  <c r="AM41" i="50"/>
  <c r="AM46" i="50"/>
  <c r="AH13" i="52"/>
  <c r="AG8" i="52"/>
  <c r="AE14" i="52"/>
  <c r="AH14" i="52" l="1"/>
  <c r="AM19" i="61"/>
  <c r="AM71" i="50"/>
  <c r="AP375" i="28"/>
  <c r="AT375" i="28" s="1"/>
  <c r="AX375" i="28" s="1"/>
  <c r="BF375" i="28" s="1"/>
  <c r="AN375" i="28"/>
  <c r="BD375" i="28" s="1"/>
  <c r="AP328" i="28"/>
  <c r="AT328" i="28" s="1"/>
  <c r="AX328" i="28" s="1"/>
  <c r="BF328" i="28" s="1"/>
  <c r="AN328" i="28"/>
  <c r="BD328" i="28" s="1"/>
  <c r="AP284" i="28"/>
  <c r="AT284" i="28" s="1"/>
  <c r="AX284" i="28" s="1"/>
  <c r="BF284" i="28" s="1"/>
  <c r="AN284" i="28"/>
  <c r="BD284" i="28" s="1"/>
  <c r="AJ281" i="28"/>
  <c r="AP281" i="28" s="1"/>
  <c r="AT281" i="28" s="1"/>
  <c r="AX281" i="28" s="1"/>
  <c r="BF281" i="28" s="1"/>
  <c r="AJ280" i="28"/>
  <c r="AP280" i="28" s="1"/>
  <c r="AT280" i="28" s="1"/>
  <c r="AX280" i="28" s="1"/>
  <c r="BF280" i="28" s="1"/>
  <c r="AN280" i="28"/>
  <c r="BD280" i="28" s="1"/>
  <c r="AN281" i="28"/>
  <c r="BD281" i="28" s="1"/>
  <c r="AP264" i="28"/>
  <c r="AT264" i="28" s="1"/>
  <c r="AX264" i="28" s="1"/>
  <c r="BF264" i="28" s="1"/>
  <c r="AP265" i="28"/>
  <c r="AT265" i="28" s="1"/>
  <c r="AX265" i="28" s="1"/>
  <c r="BF265" i="28" s="1"/>
  <c r="AN264" i="28"/>
  <c r="BD264" i="28" s="1"/>
  <c r="AN265" i="28"/>
  <c r="BD265" i="28" s="1"/>
  <c r="AP250" i="28"/>
  <c r="AT250" i="28" s="1"/>
  <c r="AX250" i="28" s="1"/>
  <c r="BF250" i="28" s="1"/>
  <c r="AN250" i="28"/>
  <c r="BD250" i="28" s="1"/>
  <c r="AP230" i="28"/>
  <c r="AT230" i="28" s="1"/>
  <c r="AX230" i="28" s="1"/>
  <c r="BF230" i="28" s="1"/>
  <c r="AN230" i="28"/>
  <c r="BD230" i="28" s="1"/>
  <c r="AP225" i="28"/>
  <c r="AT225" i="28" s="1"/>
  <c r="AX225" i="28" s="1"/>
  <c r="BF225" i="28" s="1"/>
  <c r="AN225" i="28"/>
  <c r="BD225" i="28" s="1"/>
  <c r="AP222" i="28"/>
  <c r="AT222" i="28" s="1"/>
  <c r="AX222" i="28" s="1"/>
  <c r="BF222" i="28" s="1"/>
  <c r="AN222" i="28"/>
  <c r="BD222" i="28" s="1"/>
  <c r="AP209" i="28"/>
  <c r="AT209" i="28" s="1"/>
  <c r="AX209" i="28" s="1"/>
  <c r="BF209" i="28" s="1"/>
  <c r="AP210" i="28"/>
  <c r="AT210" i="28" s="1"/>
  <c r="AX210" i="28" s="1"/>
  <c r="BF210" i="28" s="1"/>
  <c r="AN209" i="28"/>
  <c r="BD209" i="28" s="1"/>
  <c r="AN210" i="28"/>
  <c r="BD210" i="28" s="1"/>
  <c r="AP191" i="28"/>
  <c r="AT191" i="28" s="1"/>
  <c r="AX191" i="28" s="1"/>
  <c r="BF191" i="28" s="1"/>
  <c r="AN191" i="28"/>
  <c r="BD191" i="28" s="1"/>
  <c r="AL48" i="35" l="1"/>
  <c r="AL46" i="35"/>
  <c r="AL45" i="35"/>
  <c r="AM26" i="35" l="1"/>
  <c r="AK19" i="35"/>
  <c r="AL19" i="35"/>
  <c r="AK87" i="6"/>
  <c r="AL87" i="6"/>
  <c r="AK84" i="6"/>
  <c r="AL84" i="6"/>
  <c r="AM83" i="6"/>
  <c r="BC83" i="6" s="1"/>
  <c r="AN83" i="6"/>
  <c r="BD83" i="6" s="1"/>
  <c r="AM31" i="36"/>
  <c r="BC31" i="36" s="1"/>
  <c r="AO31" i="36"/>
  <c r="AP31" i="36"/>
  <c r="AL88" i="6" l="1"/>
  <c r="AL92" i="6" s="1"/>
  <c r="AL138" i="6" s="1"/>
  <c r="AK88" i="6"/>
  <c r="AK92" i="6" s="1"/>
  <c r="AL156" i="6" l="1"/>
  <c r="AL155" i="6"/>
  <c r="AK155" i="6"/>
  <c r="AL154" i="6"/>
  <c r="AK154" i="6"/>
  <c r="AL130" i="6"/>
  <c r="AL129" i="6"/>
  <c r="AK129" i="6"/>
  <c r="AL105" i="6"/>
  <c r="AL104" i="6"/>
  <c r="AL103" i="6"/>
  <c r="AK103" i="6"/>
  <c r="AL100" i="6"/>
  <c r="AK100" i="6"/>
  <c r="AL99" i="6"/>
  <c r="AK99" i="6"/>
  <c r="AL97" i="6"/>
  <c r="AK97" i="6"/>
  <c r="AL96" i="6"/>
  <c r="AK96" i="6"/>
  <c r="AL95" i="6"/>
  <c r="AK95" i="6"/>
  <c r="AL94" i="6"/>
  <c r="AK94" i="6"/>
  <c r="AL73" i="6"/>
  <c r="AK73" i="6"/>
  <c r="AL70" i="6"/>
  <c r="AK70" i="6"/>
  <c r="AL52" i="6"/>
  <c r="AK52" i="6"/>
  <c r="AL44" i="6"/>
  <c r="AK44" i="6"/>
  <c r="AL41" i="6"/>
  <c r="AK41" i="6"/>
  <c r="AK37" i="6"/>
  <c r="AL28" i="6"/>
  <c r="AL25" i="6"/>
  <c r="AL22" i="6"/>
  <c r="AL18" i="6"/>
  <c r="AL30" i="6" s="1"/>
  <c r="AL17" i="6"/>
  <c r="AL29" i="6" s="1"/>
  <c r="AK6" i="6"/>
  <c r="AK14" i="6" s="1"/>
  <c r="AK5" i="6"/>
  <c r="AK13" i="6" s="1"/>
  <c r="AH92" i="64"/>
  <c r="AF92" i="64"/>
  <c r="AD92" i="64"/>
  <c r="AB92" i="64"/>
  <c r="Z92" i="64"/>
  <c r="X92" i="64"/>
  <c r="V92" i="64"/>
  <c r="T92" i="64"/>
  <c r="R92" i="64"/>
  <c r="P92" i="64"/>
  <c r="N92" i="64"/>
  <c r="L92" i="64"/>
  <c r="J92" i="64"/>
  <c r="H92" i="64"/>
  <c r="F92" i="64"/>
  <c r="AM10" i="15"/>
  <c r="AK11" i="15"/>
  <c r="AK12" i="15" s="1"/>
  <c r="AK13" i="15" s="1"/>
  <c r="Y151" i="64"/>
  <c r="Y144" i="64"/>
  <c r="Y112" i="64"/>
  <c r="Y100" i="64"/>
  <c r="Y98" i="64"/>
  <c r="AM94" i="64"/>
  <c r="BC94" i="64" s="1"/>
  <c r="Y94" i="64"/>
  <c r="AM88" i="64"/>
  <c r="BC88" i="64" s="1"/>
  <c r="Y88" i="64"/>
  <c r="AG11" i="15"/>
  <c r="AG12" i="15" s="1"/>
  <c r="AG13" i="15" s="1"/>
  <c r="AM85" i="64"/>
  <c r="W11" i="15"/>
  <c r="W12" i="15" s="1"/>
  <c r="W13" i="15" s="1"/>
  <c r="K11" i="15"/>
  <c r="K12" i="15" s="1"/>
  <c r="K13" i="15" s="1"/>
  <c r="G11" i="15"/>
  <c r="G12" i="15" s="1"/>
  <c r="G13" i="15" s="1"/>
  <c r="AM78" i="64"/>
  <c r="BC78" i="64" s="1"/>
  <c r="Y10" i="15"/>
  <c r="M10" i="15"/>
  <c r="I10" i="15"/>
  <c r="AM54" i="64"/>
  <c r="BC54" i="64" s="1"/>
  <c r="AM44" i="64"/>
  <c r="BC44" i="64" s="1"/>
  <c r="AM41" i="64"/>
  <c r="BC41" i="64" s="1"/>
  <c r="AM36" i="64"/>
  <c r="BC36" i="64" s="1"/>
  <c r="AM23" i="64"/>
  <c r="BC23" i="64" s="1"/>
  <c r="Y23" i="64"/>
  <c r="AM13" i="64"/>
  <c r="BC13" i="64" s="1"/>
  <c r="Y13" i="64"/>
  <c r="M7" i="64"/>
  <c r="Q7" i="64" s="1"/>
  <c r="W1" i="64"/>
  <c r="BC85" i="64" l="1"/>
  <c r="BC11" i="15" s="1"/>
  <c r="BC12" i="15" s="1"/>
  <c r="AK101" i="6"/>
  <c r="Y78" i="64"/>
  <c r="O11" i="15"/>
  <c r="O12" i="15" s="1"/>
  <c r="O13" i="15" s="1"/>
  <c r="Y85" i="64"/>
  <c r="Y11" i="15" s="1"/>
  <c r="Y12" i="15" s="1"/>
  <c r="I98" i="64"/>
  <c r="M98" i="64"/>
  <c r="Q98" i="64" s="1"/>
  <c r="U98" i="64" s="1"/>
  <c r="AA98" i="64" s="1"/>
  <c r="AE98" i="64" s="1"/>
  <c r="AI98" i="64" s="1"/>
  <c r="AO98" i="64" s="1"/>
  <c r="AS98" i="64" s="1"/>
  <c r="AW98" i="64" s="1"/>
  <c r="I100" i="64"/>
  <c r="M100" i="64"/>
  <c r="Q100" i="64" s="1"/>
  <c r="U100" i="64" s="1"/>
  <c r="AA100" i="64" s="1"/>
  <c r="AE100" i="64" s="1"/>
  <c r="AI100" i="64" s="1"/>
  <c r="AO100" i="64" s="1"/>
  <c r="AS100" i="64" s="1"/>
  <c r="AW100" i="64" s="1"/>
  <c r="M112" i="64"/>
  <c r="Q112" i="64" s="1"/>
  <c r="U112" i="64" s="1"/>
  <c r="AA112" i="64" s="1"/>
  <c r="AE112" i="64" s="1"/>
  <c r="AI112" i="64" s="1"/>
  <c r="AO112" i="64" s="1"/>
  <c r="AS112" i="64" s="1"/>
  <c r="AW112" i="64" s="1"/>
  <c r="I112" i="64"/>
  <c r="I144" i="64"/>
  <c r="M144" i="64"/>
  <c r="Q144" i="64" s="1"/>
  <c r="U144" i="64" s="1"/>
  <c r="AA144" i="64" s="1"/>
  <c r="AE144" i="64" s="1"/>
  <c r="AI144" i="64" s="1"/>
  <c r="AO144" i="64" s="1"/>
  <c r="AS144" i="64" s="1"/>
  <c r="AW144" i="64" s="1"/>
  <c r="M151" i="64"/>
  <c r="Q151" i="64" s="1"/>
  <c r="U151" i="64" s="1"/>
  <c r="AA151" i="64" s="1"/>
  <c r="AE151" i="64" s="1"/>
  <c r="AI151" i="64" s="1"/>
  <c r="AO151" i="64" s="1"/>
  <c r="AS151" i="64" s="1"/>
  <c r="AW151" i="64" s="1"/>
  <c r="I151" i="64"/>
  <c r="Y36" i="64"/>
  <c r="Y41" i="64"/>
  <c r="Y44" i="64"/>
  <c r="Y54" i="64"/>
  <c r="I78" i="64"/>
  <c r="M78" i="64"/>
  <c r="Q78" i="64" s="1"/>
  <c r="U78" i="64" s="1"/>
  <c r="AA78" i="64" s="1"/>
  <c r="AE78" i="64" s="1"/>
  <c r="AI78" i="64" s="1"/>
  <c r="AO78" i="64" s="1"/>
  <c r="AS78" i="64" s="1"/>
  <c r="AW78" i="64" s="1"/>
  <c r="E11" i="15"/>
  <c r="I85" i="64"/>
  <c r="I11" i="15" s="1"/>
  <c r="I12" i="15" s="1"/>
  <c r="M85" i="64"/>
  <c r="Q85" i="64" s="1"/>
  <c r="U85" i="64" s="1"/>
  <c r="AA85" i="64" s="1"/>
  <c r="AE85" i="64" s="1"/>
  <c r="AI85" i="64" s="1"/>
  <c r="AO85" i="64" s="1"/>
  <c r="AS85" i="64" s="1"/>
  <c r="AW85" i="64" s="1"/>
  <c r="I88" i="64"/>
  <c r="M88" i="64"/>
  <c r="Q88" i="64" s="1"/>
  <c r="U88" i="64" s="1"/>
  <c r="AA88" i="64" s="1"/>
  <c r="AE88" i="64" s="1"/>
  <c r="AI88" i="64" s="1"/>
  <c r="AO88" i="64" s="1"/>
  <c r="AS88" i="64" s="1"/>
  <c r="AW88" i="64" s="1"/>
  <c r="I94" i="64"/>
  <c r="M94" i="64"/>
  <c r="Q94" i="64" s="1"/>
  <c r="U94" i="64" s="1"/>
  <c r="AA94" i="64" s="1"/>
  <c r="AE94" i="64" s="1"/>
  <c r="AI94" i="64" s="1"/>
  <c r="AO94" i="64" s="1"/>
  <c r="AS94" i="64" s="1"/>
  <c r="AW94" i="64" s="1"/>
  <c r="I13" i="64"/>
  <c r="M13" i="64"/>
  <c r="Q13" i="64" s="1"/>
  <c r="U13" i="64" s="1"/>
  <c r="AA13" i="64" s="1"/>
  <c r="AE13" i="64" s="1"/>
  <c r="AI13" i="64" s="1"/>
  <c r="AO13" i="64" s="1"/>
  <c r="AS13" i="64" s="1"/>
  <c r="AW13" i="64" s="1"/>
  <c r="I23" i="64"/>
  <c r="M23" i="64"/>
  <c r="Q23" i="64" s="1"/>
  <c r="U23" i="64" s="1"/>
  <c r="AA23" i="64" s="1"/>
  <c r="AE23" i="64" s="1"/>
  <c r="AI23" i="64" s="1"/>
  <c r="AO23" i="64" s="1"/>
  <c r="AS23" i="64" s="1"/>
  <c r="AW23" i="64" s="1"/>
  <c r="M36" i="64"/>
  <c r="Q36" i="64" s="1"/>
  <c r="U36" i="64" s="1"/>
  <c r="AA36" i="64" s="1"/>
  <c r="AE36" i="64" s="1"/>
  <c r="AI36" i="64" s="1"/>
  <c r="AO36" i="64" s="1"/>
  <c r="AS36" i="64" s="1"/>
  <c r="AW36" i="64" s="1"/>
  <c r="I36" i="64"/>
  <c r="I41" i="64"/>
  <c r="M41" i="64"/>
  <c r="Q41" i="64" s="1"/>
  <c r="U41" i="64" s="1"/>
  <c r="AA41" i="64" s="1"/>
  <c r="AE41" i="64" s="1"/>
  <c r="AI41" i="64" s="1"/>
  <c r="AO41" i="64" s="1"/>
  <c r="AS41" i="64" s="1"/>
  <c r="AW41" i="64" s="1"/>
  <c r="M44" i="64"/>
  <c r="Q44" i="64" s="1"/>
  <c r="U44" i="64" s="1"/>
  <c r="AA44" i="64" s="1"/>
  <c r="AE44" i="64" s="1"/>
  <c r="AI44" i="64" s="1"/>
  <c r="AO44" i="64" s="1"/>
  <c r="AS44" i="64" s="1"/>
  <c r="AW44" i="64" s="1"/>
  <c r="I44" i="64"/>
  <c r="I54" i="64"/>
  <c r="M54" i="64"/>
  <c r="Q54" i="64" s="1"/>
  <c r="U54" i="64" s="1"/>
  <c r="AA54" i="64" s="1"/>
  <c r="AE54" i="64" s="1"/>
  <c r="AI54" i="64" s="1"/>
  <c r="AO54" i="64" s="1"/>
  <c r="AS54" i="64" s="1"/>
  <c r="AW54" i="64" s="1"/>
  <c r="AM98" i="64"/>
  <c r="BC98" i="64" s="1"/>
  <c r="BE98" i="64" s="1"/>
  <c r="AM100" i="64"/>
  <c r="BC100" i="64" s="1"/>
  <c r="AM112" i="64"/>
  <c r="BC112" i="64" s="1"/>
  <c r="BE112" i="64" s="1"/>
  <c r="AM144" i="64"/>
  <c r="BC144" i="64" s="1"/>
  <c r="AM151" i="64"/>
  <c r="BC151" i="64" s="1"/>
  <c r="BE151" i="64" s="1"/>
  <c r="S11" i="15"/>
  <c r="S12" i="15" s="1"/>
  <c r="S13" i="15" s="1"/>
  <c r="AM11" i="15"/>
  <c r="AM12" i="15" s="1"/>
  <c r="AC11" i="15"/>
  <c r="AC12" i="15" s="1"/>
  <c r="AC13" i="15" s="1"/>
  <c r="M20" i="15"/>
  <c r="Y15" i="15"/>
  <c r="Y20" i="15"/>
  <c r="AM15" i="15"/>
  <c r="AM16" i="15" s="1"/>
  <c r="AM20" i="15"/>
  <c r="I20" i="15"/>
  <c r="AL101" i="6"/>
  <c r="AL98" i="6"/>
  <c r="AK98" i="6"/>
  <c r="AK102" i="6" s="1"/>
  <c r="AK106" i="6" s="1"/>
  <c r="AK167" i="6" s="1"/>
  <c r="AL31" i="6"/>
  <c r="AK27" i="6"/>
  <c r="AK24" i="6"/>
  <c r="AK21" i="6"/>
  <c r="AK18" i="6"/>
  <c r="AK151" i="6"/>
  <c r="AK26" i="6"/>
  <c r="AK23" i="6"/>
  <c r="AK20" i="6"/>
  <c r="AK15" i="6"/>
  <c r="AK59" i="6" s="1"/>
  <c r="AK126" i="6"/>
  <c r="AK17" i="6"/>
  <c r="AK7" i="6"/>
  <c r="AK12" i="6"/>
  <c r="AL161" i="6"/>
  <c r="AL19" i="6"/>
  <c r="AK74" i="6"/>
  <c r="AK138" i="6"/>
  <c r="AK11" i="6"/>
  <c r="AL74" i="6"/>
  <c r="AL78" i="6" s="1"/>
  <c r="BE144" i="64" l="1"/>
  <c r="AL102" i="6"/>
  <c r="AL106" i="6" s="1"/>
  <c r="BE100" i="64"/>
  <c r="BE88" i="64"/>
  <c r="BE94" i="64"/>
  <c r="BE78" i="64"/>
  <c r="BE44" i="64"/>
  <c r="BE36" i="64"/>
  <c r="BE54" i="64"/>
  <c r="BE41" i="64"/>
  <c r="BE85" i="64"/>
  <c r="BE11" i="15" s="1"/>
  <c r="BE12" i="15" s="1"/>
  <c r="BE23" i="64"/>
  <c r="BE13" i="64"/>
  <c r="AK56" i="6"/>
  <c r="AK25" i="6"/>
  <c r="AK28" i="6"/>
  <c r="Y160" i="64"/>
  <c r="AM92" i="64"/>
  <c r="BC92" i="64" s="1"/>
  <c r="Y103" i="64"/>
  <c r="Y92" i="64"/>
  <c r="I92" i="64"/>
  <c r="M92" i="64"/>
  <c r="Q92" i="64" s="1"/>
  <c r="U92" i="64" s="1"/>
  <c r="AA92" i="64" s="1"/>
  <c r="AE92" i="64" s="1"/>
  <c r="AI92" i="64" s="1"/>
  <c r="AO92" i="64" s="1"/>
  <c r="AS92" i="64" s="1"/>
  <c r="AW92" i="64" s="1"/>
  <c r="AM160" i="64"/>
  <c r="BC160" i="64" s="1"/>
  <c r="AM103" i="64"/>
  <c r="BC103" i="64" s="1"/>
  <c r="M103" i="64"/>
  <c r="Q103" i="64" s="1"/>
  <c r="U103" i="64" s="1"/>
  <c r="AA103" i="64" s="1"/>
  <c r="AE103" i="64" s="1"/>
  <c r="AI103" i="64" s="1"/>
  <c r="AO103" i="64" s="1"/>
  <c r="AS103" i="64" s="1"/>
  <c r="AW103" i="64" s="1"/>
  <c r="I103" i="64"/>
  <c r="I160" i="64"/>
  <c r="M160" i="64"/>
  <c r="Q160" i="64" s="1"/>
  <c r="U160" i="64" s="1"/>
  <c r="AA160" i="64" s="1"/>
  <c r="AE160" i="64" s="1"/>
  <c r="AI160" i="64" s="1"/>
  <c r="AO160" i="64" s="1"/>
  <c r="AS160" i="64" s="1"/>
  <c r="AW160" i="64" s="1"/>
  <c r="AA20" i="15"/>
  <c r="M11" i="15"/>
  <c r="M12" i="15" s="1"/>
  <c r="AA10" i="15"/>
  <c r="U10" i="15"/>
  <c r="Q10" i="15"/>
  <c r="Q20" i="15"/>
  <c r="AK78" i="6"/>
  <c r="AK113" i="6" s="1"/>
  <c r="AK168" i="6"/>
  <c r="AK171" i="6"/>
  <c r="AK172" i="6"/>
  <c r="AK135" i="6"/>
  <c r="AK169" i="6"/>
  <c r="AK175" i="6"/>
  <c r="AK178" i="6" s="1"/>
  <c r="AK166" i="6"/>
  <c r="AL113" i="6"/>
  <c r="AL110" i="6"/>
  <c r="AK29" i="6"/>
  <c r="AK19" i="6"/>
  <c r="AK22" i="6"/>
  <c r="AL136" i="6"/>
  <c r="AK136" i="6"/>
  <c r="AK30" i="6"/>
  <c r="AL135" i="6"/>
  <c r="AL111" i="6"/>
  <c r="U7" i="64"/>
  <c r="AA7" i="64" s="1"/>
  <c r="BE92" i="64" l="1"/>
  <c r="BE103" i="64"/>
  <c r="AE7" i="64"/>
  <c r="AI7" i="64" s="1"/>
  <c r="AO7" i="64" s="1"/>
  <c r="AS7" i="64" s="1"/>
  <c r="AW7" i="64" s="1"/>
  <c r="BE7" i="64"/>
  <c r="BE160" i="64"/>
  <c r="AA11" i="15"/>
  <c r="AA12" i="15" s="1"/>
  <c r="U20" i="15"/>
  <c r="AE10" i="15"/>
  <c r="AE20" i="15"/>
  <c r="U11" i="15"/>
  <c r="U12" i="15" s="1"/>
  <c r="Q11" i="15"/>
  <c r="Q12" i="15" s="1"/>
  <c r="AK137" i="6"/>
  <c r="AK111" i="6"/>
  <c r="AK110" i="6"/>
  <c r="AK170" i="6"/>
  <c r="AK173" i="6"/>
  <c r="AK31" i="6"/>
  <c r="AL169" i="6"/>
  <c r="AL175" i="6"/>
  <c r="AL176" i="6"/>
  <c r="AL177" i="6"/>
  <c r="AL166" i="6"/>
  <c r="AL167" i="6"/>
  <c r="AL168" i="6"/>
  <c r="AL171" i="6"/>
  <c r="AL172" i="6"/>
  <c r="AL162" i="6"/>
  <c r="AL137" i="6"/>
  <c r="AL160" i="6"/>
  <c r="AL112" i="6"/>
  <c r="AI20" i="15" l="1"/>
  <c r="AI10" i="15"/>
  <c r="AE11" i="15"/>
  <c r="AE12" i="15" s="1"/>
  <c r="AK112" i="6"/>
  <c r="AK174" i="6"/>
  <c r="AK179" i="6" s="1"/>
  <c r="AL178" i="6"/>
  <c r="AL170" i="6"/>
  <c r="AL173" i="6"/>
  <c r="AS20" i="15" l="1"/>
  <c r="AO10" i="15"/>
  <c r="AO20" i="15"/>
  <c r="AI11" i="15"/>
  <c r="AI12" i="15" s="1"/>
  <c r="AL174" i="6"/>
  <c r="AL179" i="6" s="1"/>
  <c r="AW20" i="15" l="1"/>
  <c r="AS10" i="15"/>
  <c r="AO11" i="15"/>
  <c r="AO12" i="15" s="1"/>
  <c r="AW10" i="15" l="1"/>
  <c r="AS11" i="15"/>
  <c r="AS12" i="15" s="1"/>
  <c r="AW11" i="15" l="1"/>
  <c r="AW12" i="15" s="1"/>
  <c r="AL125" i="7"/>
  <c r="AL127" i="7" s="1"/>
  <c r="AL128" i="7" s="1"/>
  <c r="AL119" i="7"/>
  <c r="AL121" i="7" s="1"/>
  <c r="AL122" i="7" s="1"/>
  <c r="AL102" i="7"/>
  <c r="AL71" i="7"/>
  <c r="AK71" i="7"/>
  <c r="AL69" i="7"/>
  <c r="AL62" i="7"/>
  <c r="AK62" i="7"/>
  <c r="AL58" i="7"/>
  <c r="AL60" i="7" s="1"/>
  <c r="AK58" i="7"/>
  <c r="AK60" i="7" s="1"/>
  <c r="AL54" i="7"/>
  <c r="AL104" i="7" s="1"/>
  <c r="AL105" i="7" s="1"/>
  <c r="AK54" i="7"/>
  <c r="AK65" i="7" s="1"/>
  <c r="AL19" i="7"/>
  <c r="AK18" i="7"/>
  <c r="AK74" i="7" s="1"/>
  <c r="AN22" i="59" s="1"/>
  <c r="AL16" i="7"/>
  <c r="AL30" i="7" s="1"/>
  <c r="AK16" i="7"/>
  <c r="AK30" i="7" s="1"/>
  <c r="AK39" i="7" s="1"/>
  <c r="AL24" i="7" l="1"/>
  <c r="AL79" i="7" s="1"/>
  <c r="AL46" i="7"/>
  <c r="AL27" i="7"/>
  <c r="AL77" i="7" s="1"/>
  <c r="AK22" i="7"/>
  <c r="AK81" i="7" s="1"/>
  <c r="AK24" i="7"/>
  <c r="AK79" i="7" s="1"/>
  <c r="AK68" i="7"/>
  <c r="AN21" i="59" s="1"/>
  <c r="AK20" i="7"/>
  <c r="AK76" i="7" s="1"/>
  <c r="AN24" i="59" s="1"/>
  <c r="AK26" i="7"/>
  <c r="AK83" i="7" s="1"/>
  <c r="AL63" i="7"/>
  <c r="AL70" i="7"/>
  <c r="AO26" i="59" s="1"/>
  <c r="AL22" i="7"/>
  <c r="AL81" i="7" s="1"/>
  <c r="AL25" i="7"/>
  <c r="AL80" i="7" s="1"/>
  <c r="AL42" i="7"/>
  <c r="AL75" i="7" s="1"/>
  <c r="AO23" i="59" s="1"/>
  <c r="AL47" i="7"/>
  <c r="AL56" i="7"/>
  <c r="AL68" i="7"/>
  <c r="AO21" i="59" s="1"/>
  <c r="AL20" i="7"/>
  <c r="AL23" i="7"/>
  <c r="AL78" i="7" s="1"/>
  <c r="AL43" i="7"/>
  <c r="AL49" i="7"/>
  <c r="AL18" i="7"/>
  <c r="AL74" i="7" s="1"/>
  <c r="AO22" i="59" s="1"/>
  <c r="AL21" i="7"/>
  <c r="AL26" i="7"/>
  <c r="AL83" i="7" s="1"/>
  <c r="AL45" i="7"/>
  <c r="AK19" i="7"/>
  <c r="AK75" i="7" s="1"/>
  <c r="AN23" i="59" s="1"/>
  <c r="AK21" i="7"/>
  <c r="AK84" i="7" s="1"/>
  <c r="AN25" i="59" s="1"/>
  <c r="AK23" i="7"/>
  <c r="AK78" i="7" s="1"/>
  <c r="AK25" i="7"/>
  <c r="AK80" i="7" s="1"/>
  <c r="AK27" i="7"/>
  <c r="AK77" i="7" s="1"/>
  <c r="AL44" i="7"/>
  <c r="AL82" i="7" s="1"/>
  <c r="AL48" i="7"/>
  <c r="AK55" i="7"/>
  <c r="AK63" i="7"/>
  <c r="AL65" i="7"/>
  <c r="AL39" i="7"/>
  <c r="AL41" i="7"/>
  <c r="AL107" i="7"/>
  <c r="AL108" i="7" s="1"/>
  <c r="AL106" i="7"/>
  <c r="AL84" i="7" l="1"/>
  <c r="AO25" i="59" s="1"/>
  <c r="AL28" i="7"/>
  <c r="AL76" i="7"/>
  <c r="AL109" i="7"/>
  <c r="AK85" i="7"/>
  <c r="AK28" i="7"/>
  <c r="AK41" i="7" s="1"/>
  <c r="AK64" i="7" s="1"/>
  <c r="AL50" i="7"/>
  <c r="AL64" i="7"/>
  <c r="AL85" i="7" l="1"/>
  <c r="AO24" i="59"/>
  <c r="AK50" i="7"/>
  <c r="AL146" i="10" l="1"/>
  <c r="AL144" i="10"/>
  <c r="AL138" i="10"/>
  <c r="AL139" i="10" s="1"/>
  <c r="AL133" i="10"/>
  <c r="AK133" i="10"/>
  <c r="AL132" i="10"/>
  <c r="AK132" i="10"/>
  <c r="AL131" i="10"/>
  <c r="AK131" i="10"/>
  <c r="AL129" i="10"/>
  <c r="AL130" i="10" s="1"/>
  <c r="AL127" i="10"/>
  <c r="AK127" i="10"/>
  <c r="AL125" i="10"/>
  <c r="AO44" i="59" s="1"/>
  <c r="AK125" i="10"/>
  <c r="AN44" i="59" s="1"/>
  <c r="AL122" i="10"/>
  <c r="AL123" i="10" s="1"/>
  <c r="AK122" i="10"/>
  <c r="AK123" i="10" s="1"/>
  <c r="AL148" i="10"/>
  <c r="AL134" i="10"/>
  <c r="AO45" i="59" s="1"/>
  <c r="AK134" i="10"/>
  <c r="AN45" i="59" s="1"/>
  <c r="AL140" i="10" l="1"/>
  <c r="AL147" i="10"/>
  <c r="AL149" i="10" s="1"/>
  <c r="AL145" i="10"/>
  <c r="AL151" i="10" l="1"/>
  <c r="AJ376" i="28" l="1"/>
  <c r="AP376" i="28" s="1"/>
  <c r="AT376" i="28" s="1"/>
  <c r="AX376" i="28" s="1"/>
  <c r="BF376" i="28" s="1"/>
  <c r="AJ377" i="28"/>
  <c r="AP377" i="28" s="1"/>
  <c r="AT377" i="28" s="1"/>
  <c r="AX377" i="28" s="1"/>
  <c r="BF377" i="28" s="1"/>
  <c r="F414" i="28"/>
  <c r="AN388" i="28"/>
  <c r="BD388" i="28" s="1"/>
  <c r="AN389" i="28"/>
  <c r="BD389" i="28" s="1"/>
  <c r="AN390" i="28"/>
  <c r="BD390" i="28" s="1"/>
  <c r="AN391" i="28"/>
  <c r="BD391" i="28" s="1"/>
  <c r="AN392" i="28"/>
  <c r="BD392" i="28" s="1"/>
  <c r="AN393" i="28"/>
  <c r="BD393" i="28" s="1"/>
  <c r="AN394" i="28"/>
  <c r="BD394" i="28" s="1"/>
  <c r="AN395" i="28"/>
  <c r="BD395" i="28" s="1"/>
  <c r="AN396" i="28"/>
  <c r="BD396" i="28" s="1"/>
  <c r="AN397" i="28"/>
  <c r="BD397" i="28" s="1"/>
  <c r="AN398" i="28"/>
  <c r="BD398" i="28" s="1"/>
  <c r="AN400" i="28"/>
  <c r="BD400" i="28" s="1"/>
  <c r="AN401" i="28"/>
  <c r="BD401" i="28" s="1"/>
  <c r="AN402" i="28"/>
  <c r="BD402" i="28" s="1"/>
  <c r="AN403" i="28"/>
  <c r="BD403" i="28" s="1"/>
  <c r="AN404" i="28"/>
  <c r="BD404" i="28" s="1"/>
  <c r="AN405" i="28"/>
  <c r="BD405" i="28" s="1"/>
  <c r="AN406" i="28"/>
  <c r="BD406" i="28" s="1"/>
  <c r="AN407" i="28"/>
  <c r="BD407" i="28" s="1"/>
  <c r="AN408" i="28"/>
  <c r="BD408" i="28" s="1"/>
  <c r="AN409" i="28"/>
  <c r="BD409" i="28" s="1"/>
  <c r="AN410" i="28"/>
  <c r="BD410" i="28" s="1"/>
  <c r="AN412" i="28"/>
  <c r="BD412" i="28" s="1"/>
  <c r="AN365" i="28"/>
  <c r="BD365" i="28" s="1"/>
  <c r="AN366" i="28"/>
  <c r="BD366" i="28" s="1"/>
  <c r="AN368" i="28"/>
  <c r="BD368" i="28" s="1"/>
  <c r="AN369" i="28"/>
  <c r="BD369" i="28" s="1"/>
  <c r="AN370" i="28"/>
  <c r="BD370" i="28" s="1"/>
  <c r="AN371" i="28"/>
  <c r="BD371" i="28" s="1"/>
  <c r="AN372" i="28"/>
  <c r="BD372" i="28" s="1"/>
  <c r="AN373" i="28"/>
  <c r="BD373" i="28" s="1"/>
  <c r="AN374" i="28"/>
  <c r="BD374" i="28" s="1"/>
  <c r="AN376" i="28"/>
  <c r="BD376" i="28" s="1"/>
  <c r="AN377" i="28"/>
  <c r="BD377" i="28" s="1"/>
  <c r="AN378" i="28"/>
  <c r="BD378" i="28" s="1"/>
  <c r="AN379" i="28"/>
  <c r="BD379" i="28" s="1"/>
  <c r="AN361" i="28"/>
  <c r="BD361" i="28" s="1"/>
  <c r="AN338" i="28"/>
  <c r="BD338" i="28" s="1"/>
  <c r="AN339" i="28"/>
  <c r="BD339" i="28" s="1"/>
  <c r="AN340" i="28"/>
  <c r="BD340" i="28" s="1"/>
  <c r="AN341" i="28"/>
  <c r="BD341" i="28" s="1"/>
  <c r="AN342" i="28"/>
  <c r="BD342" i="28" s="1"/>
  <c r="AN343" i="28"/>
  <c r="BD343" i="28" s="1"/>
  <c r="AN344" i="28"/>
  <c r="BD344" i="28" s="1"/>
  <c r="AN345" i="28"/>
  <c r="BD345" i="28" s="1"/>
  <c r="AN346" i="28"/>
  <c r="BD346" i="28" s="1"/>
  <c r="AN347" i="28"/>
  <c r="BD347" i="28" s="1"/>
  <c r="AN348" i="28"/>
  <c r="BD348" i="28" s="1"/>
  <c r="AN349" i="28"/>
  <c r="BD349" i="28" s="1"/>
  <c r="AN350" i="28"/>
  <c r="BD350" i="28" s="1"/>
  <c r="AN351" i="28"/>
  <c r="BD351" i="28" s="1"/>
  <c r="AN352" i="28"/>
  <c r="BD352" i="28" s="1"/>
  <c r="AN353" i="28"/>
  <c r="BD353" i="28" s="1"/>
  <c r="AN354" i="28"/>
  <c r="BD354" i="28" s="1"/>
  <c r="AN355" i="28"/>
  <c r="BD355" i="28" s="1"/>
  <c r="AN356" i="28"/>
  <c r="BD356" i="28" s="1"/>
  <c r="AN357" i="28"/>
  <c r="BD357" i="28" s="1"/>
  <c r="AN358" i="28"/>
  <c r="BD358" i="28" s="1"/>
  <c r="AN359" i="28"/>
  <c r="BD359" i="28" s="1"/>
  <c r="AN360" i="28"/>
  <c r="BD360" i="28" s="1"/>
  <c r="AM321" i="28"/>
  <c r="Y321" i="28"/>
  <c r="Z331" i="28"/>
  <c r="Z329" i="28"/>
  <c r="Z327" i="28"/>
  <c r="Z326" i="28"/>
  <c r="Z324" i="28"/>
  <c r="Z321" i="28"/>
  <c r="Z219" i="28"/>
  <c r="Z221" i="28"/>
  <c r="Z223" i="28"/>
  <c r="Z224" i="28"/>
  <c r="Z226" i="28"/>
  <c r="Z227" i="28"/>
  <c r="Z228" i="28"/>
  <c r="Z229" i="28"/>
  <c r="Z231" i="28"/>
  <c r="Z232" i="28"/>
  <c r="Z233" i="28"/>
  <c r="Z235" i="28"/>
  <c r="Z238" i="28"/>
  <c r="Z239" i="28"/>
  <c r="Z241" i="28"/>
  <c r="Z242" i="28"/>
  <c r="Z243" i="28"/>
  <c r="Z245" i="28"/>
  <c r="Z246" i="28"/>
  <c r="Z247" i="28"/>
  <c r="Z249" i="28"/>
  <c r="Z251" i="28"/>
  <c r="Z252" i="28"/>
  <c r="Z253" i="28"/>
  <c r="Z255" i="28"/>
  <c r="Z256" i="28"/>
  <c r="Z257" i="28"/>
  <c r="Z258" i="28"/>
  <c r="Z179" i="28"/>
  <c r="Z180" i="28"/>
  <c r="Z181" i="28"/>
  <c r="Z182" i="28"/>
  <c r="Z183" i="28"/>
  <c r="Z184" i="28"/>
  <c r="Z185" i="28"/>
  <c r="Z186" i="28"/>
  <c r="Z187" i="28"/>
  <c r="Z188" i="28"/>
  <c r="Z189" i="28"/>
  <c r="Z190" i="28"/>
  <c r="Z192" i="28"/>
  <c r="Z193" i="28"/>
  <c r="Z194" i="28"/>
  <c r="Z195" i="28"/>
  <c r="Z8" i="28"/>
  <c r="Z9" i="28"/>
  <c r="Z10" i="28"/>
  <c r="N394" i="28"/>
  <c r="N398" i="28"/>
  <c r="N347" i="28"/>
  <c r="N348" i="28"/>
  <c r="N354" i="28"/>
  <c r="N355" i="28"/>
  <c r="N356" i="28"/>
  <c r="N357" i="28"/>
  <c r="N358" i="28"/>
  <c r="N376" i="28"/>
  <c r="N377" i="28"/>
  <c r="N378" i="28"/>
  <c r="N379" i="28"/>
  <c r="N278" i="28"/>
  <c r="N280" i="28"/>
  <c r="N285" i="28"/>
  <c r="N306" i="28"/>
  <c r="N308" i="28"/>
  <c r="N219" i="28"/>
  <c r="N224" i="28"/>
  <c r="N185" i="28"/>
  <c r="N186" i="28"/>
  <c r="N187" i="28"/>
  <c r="N188" i="28"/>
  <c r="N189" i="28"/>
  <c r="N190" i="28"/>
  <c r="N192" i="28"/>
  <c r="N197" i="28"/>
  <c r="AN331" i="28"/>
  <c r="BD331" i="28" s="1"/>
  <c r="AN329" i="28"/>
  <c r="BD329" i="28" s="1"/>
  <c r="AN327" i="28"/>
  <c r="BD327" i="28" s="1"/>
  <c r="AN326" i="28"/>
  <c r="BD326" i="28" s="1"/>
  <c r="AN324" i="28"/>
  <c r="BD324" i="28" s="1"/>
  <c r="AN321" i="28"/>
  <c r="AN270" i="28"/>
  <c r="BD270" i="28" s="1"/>
  <c r="AN271" i="28"/>
  <c r="BD271" i="28" s="1"/>
  <c r="AN272" i="28"/>
  <c r="BD272" i="28" s="1"/>
  <c r="AN275" i="28"/>
  <c r="BD275" i="28" s="1"/>
  <c r="AN276" i="28"/>
  <c r="BD276" i="28" s="1"/>
  <c r="AN277" i="28"/>
  <c r="BD277" i="28" s="1"/>
  <c r="AN278" i="28"/>
  <c r="BD278" i="28" s="1"/>
  <c r="AN279" i="28"/>
  <c r="BD279" i="28" s="1"/>
  <c r="AN282" i="28"/>
  <c r="BD282" i="28" s="1"/>
  <c r="AN283" i="28"/>
  <c r="BD283" i="28" s="1"/>
  <c r="AN285" i="28"/>
  <c r="BD285" i="28" s="1"/>
  <c r="AN286" i="28"/>
  <c r="BD286" i="28" s="1"/>
  <c r="AN287" i="28"/>
  <c r="BD287" i="28" s="1"/>
  <c r="AN288" i="28"/>
  <c r="BD288" i="28" s="1"/>
  <c r="AN289" i="28"/>
  <c r="BD289" i="28" s="1"/>
  <c r="AN290" i="28"/>
  <c r="BD290" i="28" s="1"/>
  <c r="AN292" i="28"/>
  <c r="BD292" i="28" s="1"/>
  <c r="AN293" i="28"/>
  <c r="BD293" i="28" s="1"/>
  <c r="AN294" i="28"/>
  <c r="BD294" i="28" s="1"/>
  <c r="AN295" i="28"/>
  <c r="BD295" i="28" s="1"/>
  <c r="AN296" i="28"/>
  <c r="BD296" i="28" s="1"/>
  <c r="AN297" i="28"/>
  <c r="BD297" i="28" s="1"/>
  <c r="AN298" i="28"/>
  <c r="BD298" i="28" s="1"/>
  <c r="AN300" i="28"/>
  <c r="BD300" i="28" s="1"/>
  <c r="AN301" i="28"/>
  <c r="BD301" i="28" s="1"/>
  <c r="AN302" i="28"/>
  <c r="BD302" i="28" s="1"/>
  <c r="AN303" i="28"/>
  <c r="BD303" i="28" s="1"/>
  <c r="AN304" i="28"/>
  <c r="BD304" i="28" s="1"/>
  <c r="AN305" i="28"/>
  <c r="BD305" i="28" s="1"/>
  <c r="AN306" i="28"/>
  <c r="BD306" i="28" s="1"/>
  <c r="AN308" i="28"/>
  <c r="BD308" i="28" s="1"/>
  <c r="AN310" i="28"/>
  <c r="BD310" i="28" s="1"/>
  <c r="AN312" i="28"/>
  <c r="BD312" i="28" s="1"/>
  <c r="AN313" i="28"/>
  <c r="BD313" i="28" s="1"/>
  <c r="AN314" i="28"/>
  <c r="BD314" i="28" s="1"/>
  <c r="AN315" i="28"/>
  <c r="BD315" i="28" s="1"/>
  <c r="AN316" i="28"/>
  <c r="BD316" i="28" s="1"/>
  <c r="AN219" i="28"/>
  <c r="BD219" i="28" s="1"/>
  <c r="AN221" i="28"/>
  <c r="BD221" i="28" s="1"/>
  <c r="AN223" i="28"/>
  <c r="BD223" i="28" s="1"/>
  <c r="AN224" i="28"/>
  <c r="BD224" i="28" s="1"/>
  <c r="AN226" i="28"/>
  <c r="BD226" i="28" s="1"/>
  <c r="AN227" i="28"/>
  <c r="BD227" i="28" s="1"/>
  <c r="AN228" i="28"/>
  <c r="BD228" i="28" s="1"/>
  <c r="AN229" i="28"/>
  <c r="BD229" i="28" s="1"/>
  <c r="AN231" i="28"/>
  <c r="BD231" i="28" s="1"/>
  <c r="AN232" i="28"/>
  <c r="BD232" i="28" s="1"/>
  <c r="AN233" i="28"/>
  <c r="BD233" i="28" s="1"/>
  <c r="AN235" i="28"/>
  <c r="BD235" i="28" s="1"/>
  <c r="AN238" i="28"/>
  <c r="BD238" i="28" s="1"/>
  <c r="AN239" i="28"/>
  <c r="BD239" i="28" s="1"/>
  <c r="AN241" i="28"/>
  <c r="BD241" i="28" s="1"/>
  <c r="AN242" i="28"/>
  <c r="BD242" i="28" s="1"/>
  <c r="AN243" i="28"/>
  <c r="BD243" i="28" s="1"/>
  <c r="AN245" i="28"/>
  <c r="BD245" i="28" s="1"/>
  <c r="AN246" i="28"/>
  <c r="BD246" i="28" s="1"/>
  <c r="AN247" i="28"/>
  <c r="BD247" i="28" s="1"/>
  <c r="AN249" i="28"/>
  <c r="BD249" i="28" s="1"/>
  <c r="AN251" i="28"/>
  <c r="BD251" i="28" s="1"/>
  <c r="AN252" i="28"/>
  <c r="BD252" i="28" s="1"/>
  <c r="AN253" i="28"/>
  <c r="BD253" i="28" s="1"/>
  <c r="AN255" i="28"/>
  <c r="BD255" i="28" s="1"/>
  <c r="AN256" i="28"/>
  <c r="BD256" i="28" s="1"/>
  <c r="AN257" i="28"/>
  <c r="BD257" i="28" s="1"/>
  <c r="AN258" i="28"/>
  <c r="BD258" i="28" s="1"/>
  <c r="AN179" i="28"/>
  <c r="BD179" i="28" s="1"/>
  <c r="AN180" i="28"/>
  <c r="BD180" i="28" s="1"/>
  <c r="AN181" i="28"/>
  <c r="BD181" i="28" s="1"/>
  <c r="AN182" i="28"/>
  <c r="BD182" i="28" s="1"/>
  <c r="AN183" i="28"/>
  <c r="BD183" i="28" s="1"/>
  <c r="AN184" i="28"/>
  <c r="BD184" i="28" s="1"/>
  <c r="AN185" i="28"/>
  <c r="BD185" i="28" s="1"/>
  <c r="AN186" i="28"/>
  <c r="BD186" i="28" s="1"/>
  <c r="AN187" i="28"/>
  <c r="BD187" i="28" s="1"/>
  <c r="AN188" i="28"/>
  <c r="BD188" i="28" s="1"/>
  <c r="AN189" i="28"/>
  <c r="BD189" i="28" s="1"/>
  <c r="AN190" i="28"/>
  <c r="BD190" i="28" s="1"/>
  <c r="AN192" i="28"/>
  <c r="BD192" i="28" s="1"/>
  <c r="AN193" i="28"/>
  <c r="BD193" i="28" s="1"/>
  <c r="AN194" i="28"/>
  <c r="BD194" i="28" s="1"/>
  <c r="AN195" i="28"/>
  <c r="BD195" i="28" s="1"/>
  <c r="AN196" i="28"/>
  <c r="BD196" i="28" s="1"/>
  <c r="AN197" i="28"/>
  <c r="BD197" i="28" s="1"/>
  <c r="AN198" i="28"/>
  <c r="BD198" i="28" s="1"/>
  <c r="AN199" i="28"/>
  <c r="BD199" i="28" s="1"/>
  <c r="AN200" i="28"/>
  <c r="BD200" i="28" s="1"/>
  <c r="AN201" i="28"/>
  <c r="BD201" i="28" s="1"/>
  <c r="AN202" i="28"/>
  <c r="BD202" i="28" s="1"/>
  <c r="AN207" i="28"/>
  <c r="BD207" i="28" s="1"/>
  <c r="AN208" i="28"/>
  <c r="BD208" i="28" s="1"/>
  <c r="AN211" i="28"/>
  <c r="BD211" i="28" s="1"/>
  <c r="AN212" i="28"/>
  <c r="BD212" i="28" s="1"/>
  <c r="AN213" i="28"/>
  <c r="BD213" i="28" s="1"/>
  <c r="AN214" i="28"/>
  <c r="BD214" i="28" s="1"/>
  <c r="AN178" i="28"/>
  <c r="AL424" i="28"/>
  <c r="AL426" i="28" s="1"/>
  <c r="AL420" i="28"/>
  <c r="AL318" i="28"/>
  <c r="AL319" i="28" s="1"/>
  <c r="AL261" i="28"/>
  <c r="AL175" i="28"/>
  <c r="AL176" i="28" s="1"/>
  <c r="AL65" i="28"/>
  <c r="AL64" i="28"/>
  <c r="AL62" i="28"/>
  <c r="AL455" i="28" s="1"/>
  <c r="AL58" i="28"/>
  <c r="AL54" i="28"/>
  <c r="AL50" i="28"/>
  <c r="AL36" i="28"/>
  <c r="AL35" i="28"/>
  <c r="AL34" i="28"/>
  <c r="AL33" i="28"/>
  <c r="AK33" i="28"/>
  <c r="AL31" i="28"/>
  <c r="AK27" i="28"/>
  <c r="AL24" i="28"/>
  <c r="AK21" i="28"/>
  <c r="AL18" i="28"/>
  <c r="AK15" i="28"/>
  <c r="AK18" i="28" s="1"/>
  <c r="AL11" i="28"/>
  <c r="AK8" i="28"/>
  <c r="AK11" i="28" s="1"/>
  <c r="AL16" i="49"/>
  <c r="AL17" i="49" s="1"/>
  <c r="AL10" i="49"/>
  <c r="AK10" i="49"/>
  <c r="AL9" i="49"/>
  <c r="AL8" i="49"/>
  <c r="AL7" i="49"/>
  <c r="AL447" i="28" l="1"/>
  <c r="AL443" i="28"/>
  <c r="AL451" i="28"/>
  <c r="AN332" i="28"/>
  <c r="AL42" i="28"/>
  <c r="AL448" i="28"/>
  <c r="AL446" i="28"/>
  <c r="AL44" i="28"/>
  <c r="AL456" i="28"/>
  <c r="AL454" i="28"/>
  <c r="AK176" i="28"/>
  <c r="AK444" i="28" s="1"/>
  <c r="AN215" i="28"/>
  <c r="Z332" i="28"/>
  <c r="AN414" i="28"/>
  <c r="BD414" i="28"/>
  <c r="AL444" i="28"/>
  <c r="AL442" i="28"/>
  <c r="AL43" i="28"/>
  <c r="AL452" i="28"/>
  <c r="AL450" i="28"/>
  <c r="AK261" i="28"/>
  <c r="AK448" i="28" s="1"/>
  <c r="AK31" i="28"/>
  <c r="AK44" i="28" s="1"/>
  <c r="AK60" i="28" s="1"/>
  <c r="AK34" i="28"/>
  <c r="AK38" i="28" s="1"/>
  <c r="AL41" i="28"/>
  <c r="BI19" i="28"/>
  <c r="AL433" i="28"/>
  <c r="AL11" i="49"/>
  <c r="AL434" i="28"/>
  <c r="AL439" i="28"/>
  <c r="AL440" i="28"/>
  <c r="AL66" i="28"/>
  <c r="AL67" i="28" s="1"/>
  <c r="AL38" i="28"/>
  <c r="AK42" i="28"/>
  <c r="AK52" i="28" s="1"/>
  <c r="AK41" i="28"/>
  <c r="AL427" i="28"/>
  <c r="AL430" i="28"/>
  <c r="AK24" i="28"/>
  <c r="AN49" i="36"/>
  <c r="BD49" i="36" s="1"/>
  <c r="AN48" i="36"/>
  <c r="BD48" i="36" s="1"/>
  <c r="AN46" i="36"/>
  <c r="BD46" i="36" s="1"/>
  <c r="AM46" i="36"/>
  <c r="BC46" i="36" s="1"/>
  <c r="AN45" i="36"/>
  <c r="BD45" i="36" s="1"/>
  <c r="AN44" i="36"/>
  <c r="BD44" i="36" s="1"/>
  <c r="AN43" i="36"/>
  <c r="BD43" i="36" s="1"/>
  <c r="AM43" i="36"/>
  <c r="BC43" i="36" s="1"/>
  <c r="AN31" i="36"/>
  <c r="BD31" i="36" s="1"/>
  <c r="AL55" i="36"/>
  <c r="AL54" i="36"/>
  <c r="AK53" i="36"/>
  <c r="AK19" i="36" s="1"/>
  <c r="AN38" i="59" s="1"/>
  <c r="AL52" i="36"/>
  <c r="AL51" i="36"/>
  <c r="AK49" i="36"/>
  <c r="AK48" i="36"/>
  <c r="AL47" i="36"/>
  <c r="AK45" i="36"/>
  <c r="AK47" i="36" s="1"/>
  <c r="AL33" i="36"/>
  <c r="AK33" i="36"/>
  <c r="AK44" i="36" s="1"/>
  <c r="AK18" i="36"/>
  <c r="AN37" i="59" s="1"/>
  <c r="AL17" i="36"/>
  <c r="AO36" i="59" s="1"/>
  <c r="AL16" i="36"/>
  <c r="AK13" i="36"/>
  <c r="AN30" i="59" s="1"/>
  <c r="AL12" i="36"/>
  <c r="AO29" i="59" s="1"/>
  <c r="AL11" i="36"/>
  <c r="AO28" i="59" s="1"/>
  <c r="AL10" i="36"/>
  <c r="AO27" i="59" s="1"/>
  <c r="AL9" i="36"/>
  <c r="AO10" i="59" s="1"/>
  <c r="AL8" i="36"/>
  <c r="AO9" i="59" s="1"/>
  <c r="AL7" i="36"/>
  <c r="AO8" i="59" s="1"/>
  <c r="AL5" i="36"/>
  <c r="AL45" i="28" l="1"/>
  <c r="AK447" i="28"/>
  <c r="AK446" i="28"/>
  <c r="BD47" i="36"/>
  <c r="AL39" i="28"/>
  <c r="AL12" i="49"/>
  <c r="AO6" i="59"/>
  <c r="AK319" i="28"/>
  <c r="AK452" i="28" s="1"/>
  <c r="AK454" i="28"/>
  <c r="AK415" i="28"/>
  <c r="AK433" i="28" s="1"/>
  <c r="AL18" i="36"/>
  <c r="AO37" i="59" s="1"/>
  <c r="AO35" i="59"/>
  <c r="AL13" i="49"/>
  <c r="AL14" i="49" s="1"/>
  <c r="AL15" i="49" s="1"/>
  <c r="AL18" i="49" s="1"/>
  <c r="AL53" i="36"/>
  <c r="AL19" i="36" s="1"/>
  <c r="AO38" i="59" s="1"/>
  <c r="AK440" i="28"/>
  <c r="AK439" i="28"/>
  <c r="AL13" i="36"/>
  <c r="AO30" i="59" s="1"/>
  <c r="AK43" i="28"/>
  <c r="AK56" i="28" s="1"/>
  <c r="AK48" i="28"/>
  <c r="AN47" i="36"/>
  <c r="BJ20" i="21"/>
  <c r="AK39" i="21"/>
  <c r="AK38" i="21"/>
  <c r="AL37" i="21"/>
  <c r="AK35" i="21"/>
  <c r="AL33" i="21"/>
  <c r="AL29" i="21"/>
  <c r="AK27" i="21"/>
  <c r="AK429" i="28" s="1"/>
  <c r="AK26" i="21"/>
  <c r="AK418" i="28" s="1"/>
  <c r="AK420" i="28" s="1"/>
  <c r="AL24" i="21"/>
  <c r="AL25" i="21" s="1"/>
  <c r="AL18" i="21"/>
  <c r="AL15" i="21"/>
  <c r="AL12" i="21"/>
  <c r="AL459" i="28" s="1"/>
  <c r="AK12" i="21"/>
  <c r="AK22" i="21" s="1"/>
  <c r="AK40" i="35"/>
  <c r="AL39" i="35"/>
  <c r="AK39" i="35"/>
  <c r="AK37" i="35"/>
  <c r="AK34" i="35"/>
  <c r="AK43" i="35" s="1"/>
  <c r="AL31" i="35"/>
  <c r="AL34" i="35" s="1"/>
  <c r="AL43" i="35" s="1"/>
  <c r="AK31" i="35"/>
  <c r="AL24" i="35"/>
  <c r="AL34" i="36" s="1"/>
  <c r="AK24" i="35"/>
  <c r="AK34" i="36" s="1"/>
  <c r="AL15" i="35"/>
  <c r="AK15" i="35"/>
  <c r="AL11" i="35"/>
  <c r="AK10" i="35"/>
  <c r="AK5" i="36" s="1"/>
  <c r="AN6" i="59" s="1"/>
  <c r="AK9" i="35"/>
  <c r="AK8" i="35"/>
  <c r="AL7" i="35"/>
  <c r="AL6" i="6" s="1"/>
  <c r="AL6" i="35"/>
  <c r="AK456" i="28" l="1"/>
  <c r="AK451" i="28"/>
  <c r="AK450" i="28"/>
  <c r="AK455" i="28"/>
  <c r="AK443" i="28"/>
  <c r="AK442" i="28"/>
  <c r="AL460" i="28"/>
  <c r="AK434" i="28"/>
  <c r="AL14" i="6"/>
  <c r="AL12" i="6"/>
  <c r="AK459" i="28"/>
  <c r="AL5" i="6"/>
  <c r="AK422" i="28"/>
  <c r="AK426" i="28"/>
  <c r="AK430" i="28" s="1"/>
  <c r="AL20" i="21"/>
  <c r="AK45" i="28"/>
  <c r="AK460" i="28" s="1"/>
  <c r="AK29" i="21"/>
  <c r="AK35" i="36"/>
  <c r="AK12" i="49"/>
  <c r="AK11" i="35"/>
  <c r="AL35" i="36"/>
  <c r="AL8" i="35"/>
  <c r="AK35" i="35"/>
  <c r="AL74" i="50" s="1"/>
  <c r="AK64" i="28"/>
  <c r="AK15" i="21"/>
  <c r="AL35" i="35"/>
  <c r="AM74" i="50" s="1"/>
  <c r="AM72" i="50" s="1"/>
  <c r="AK44" i="35"/>
  <c r="AL44" i="35"/>
  <c r="BI346" i="28"/>
  <c r="BI351" i="28" s="1"/>
  <c r="AL13" i="6" l="1"/>
  <c r="AL7" i="6"/>
  <c r="AL11" i="6"/>
  <c r="AL152" i="6"/>
  <c r="AL157" i="6"/>
  <c r="AK36" i="36"/>
  <c r="AL36" i="36"/>
  <c r="AL60" i="6" l="1"/>
  <c r="AL131" i="6"/>
  <c r="AL15" i="6"/>
  <c r="AL127" i="6"/>
  <c r="AK39" i="36"/>
  <c r="AK30" i="36" s="1"/>
  <c r="AN59" i="59" s="1"/>
  <c r="AL39" i="36"/>
  <c r="AL30" i="36" s="1"/>
  <c r="AO59" i="59" s="1"/>
  <c r="O67" i="50"/>
  <c r="O68" i="50"/>
  <c r="O61" i="50"/>
  <c r="S61" i="50" s="1"/>
  <c r="W61" i="50" s="1"/>
  <c r="AC68" i="50" l="1"/>
  <c r="AG68" i="50" s="1"/>
  <c r="AK68" i="50" s="1"/>
  <c r="S68" i="50"/>
  <c r="W68" i="50" s="1"/>
  <c r="AC67" i="50"/>
  <c r="AG67" i="50" s="1"/>
  <c r="AK67" i="50" s="1"/>
  <c r="S67" i="50"/>
  <c r="W67" i="50" s="1"/>
  <c r="AL59" i="6"/>
  <c r="AL33" i="6"/>
  <c r="AL36" i="6"/>
  <c r="AL35" i="6"/>
  <c r="AL34" i="6"/>
  <c r="AL56" i="6"/>
  <c r="AI38" i="45"/>
  <c r="AO38" i="45" l="1"/>
  <c r="BE38" i="45" s="1"/>
  <c r="AI42" i="45"/>
  <c r="AL37" i="6"/>
  <c r="BE44" i="45"/>
  <c r="AO44" i="45"/>
  <c r="AG51" i="17"/>
  <c r="AG25" i="17"/>
  <c r="AG9" i="17"/>
  <c r="BE67" i="45" l="1"/>
  <c r="BE76" i="45"/>
  <c r="AO76" i="45"/>
  <c r="AO67" i="45"/>
  <c r="AG8" i="17"/>
  <c r="AJ155" i="10" l="1"/>
  <c r="AA12" i="52"/>
  <c r="AG12" i="52" s="1"/>
  <c r="AW12" i="52" s="1"/>
  <c r="AA11" i="52"/>
  <c r="AG11" i="52" s="1"/>
  <c r="AW11" i="52" s="1"/>
  <c r="AA10" i="52"/>
  <c r="AG10" i="52" s="1"/>
  <c r="AW10" i="52" s="1"/>
  <c r="AA9" i="52"/>
  <c r="AG9" i="52" s="1"/>
  <c r="AW9" i="52" s="1"/>
  <c r="AW13" i="52" l="1"/>
  <c r="AW14" i="52" s="1"/>
  <c r="AG13" i="52"/>
  <c r="AG14" i="52" s="1"/>
  <c r="AQ49" i="50"/>
  <c r="AU49" i="50" s="1"/>
  <c r="AY49" i="50" s="1"/>
  <c r="AI43" i="50"/>
  <c r="AI45" i="50"/>
  <c r="AI42" i="50"/>
  <c r="AI35" i="50"/>
  <c r="AI36" i="50"/>
  <c r="AI39" i="50"/>
  <c r="AI40" i="50"/>
  <c r="AI34" i="50"/>
  <c r="AI5" i="50"/>
  <c r="AI6" i="50"/>
  <c r="AI7" i="50"/>
  <c r="AI10" i="50"/>
  <c r="AI11" i="50"/>
  <c r="AI13" i="50"/>
  <c r="AI14" i="50"/>
  <c r="AI15" i="50"/>
  <c r="AI18" i="50"/>
  <c r="AI20" i="50"/>
  <c r="AI21" i="50"/>
  <c r="AI22" i="50"/>
  <c r="AI23" i="50"/>
  <c r="AI24" i="50"/>
  <c r="AI25" i="50"/>
  <c r="AI27" i="50"/>
  <c r="AI28" i="50"/>
  <c r="AI29" i="50"/>
  <c r="AI30" i="50"/>
  <c r="AI32" i="50"/>
  <c r="AI4" i="50"/>
  <c r="AI70" i="50"/>
  <c r="O69" i="50"/>
  <c r="S69" i="50" s="1"/>
  <c r="W69" i="50" s="1"/>
  <c r="O62" i="50"/>
  <c r="S62" i="50" s="1"/>
  <c r="W62" i="50" s="1"/>
  <c r="AA61" i="50"/>
  <c r="AC69" i="50" l="1"/>
  <c r="AI16" i="61"/>
  <c r="AI9" i="61"/>
  <c r="AI14" i="61"/>
  <c r="AI18" i="61"/>
  <c r="AI11" i="61"/>
  <c r="AI17" i="61"/>
  <c r="AI10" i="61"/>
  <c r="AC62" i="50"/>
  <c r="AI46" i="50"/>
  <c r="AI60" i="50"/>
  <c r="AI41" i="50"/>
  <c r="AI33" i="50"/>
  <c r="AC61" i="50"/>
  <c r="AQ67" i="50"/>
  <c r="AU67" i="50" s="1"/>
  <c r="AY67" i="50" s="1"/>
  <c r="AQ68" i="50"/>
  <c r="AU68" i="50" s="1"/>
  <c r="AY68" i="50" s="1"/>
  <c r="AG62" i="50" l="1"/>
  <c r="AK62" i="50" s="1"/>
  <c r="AQ62" i="50" s="1"/>
  <c r="AU62" i="50" s="1"/>
  <c r="AY62" i="50" s="1"/>
  <c r="BG62" i="50" s="1"/>
  <c r="AG69" i="50"/>
  <c r="AK69" i="50" s="1"/>
  <c r="AQ69" i="50" s="1"/>
  <c r="AU69" i="50" s="1"/>
  <c r="AY69" i="50" s="1"/>
  <c r="BG69" i="50" s="1"/>
  <c r="AG61" i="50"/>
  <c r="AK61" i="50" s="1"/>
  <c r="AQ61" i="50" s="1"/>
  <c r="BG68" i="50"/>
  <c r="BG67" i="50"/>
  <c r="AI19" i="61"/>
  <c r="AI71" i="50"/>
  <c r="AB13" i="52"/>
  <c r="AA13" i="52"/>
  <c r="AB8" i="52"/>
  <c r="AA8" i="52"/>
  <c r="AH63" i="22"/>
  <c r="AH58" i="22"/>
  <c r="AH52" i="22"/>
  <c r="AH44" i="22"/>
  <c r="AH28" i="22"/>
  <c r="AH64" i="22" s="1"/>
  <c r="AH24" i="22"/>
  <c r="AH26" i="22" s="1"/>
  <c r="AH23" i="22"/>
  <c r="AH51" i="22" s="1"/>
  <c r="AH53" i="22" s="1"/>
  <c r="AH14" i="22"/>
  <c r="AH59" i="22" s="1"/>
  <c r="AH10" i="22"/>
  <c r="AH12" i="22" s="1"/>
  <c r="AH9" i="22"/>
  <c r="AH43" i="22" s="1"/>
  <c r="AG88" i="26"/>
  <c r="AF88" i="26"/>
  <c r="AG74" i="26"/>
  <c r="AF74" i="26"/>
  <c r="AG61" i="26"/>
  <c r="AF59" i="26"/>
  <c r="AG57" i="26"/>
  <c r="AF57" i="26"/>
  <c r="AG56" i="26"/>
  <c r="AF56" i="26"/>
  <c r="AG51" i="26"/>
  <c r="AF51" i="26"/>
  <c r="AF133" i="26" s="1"/>
  <c r="AG36" i="26"/>
  <c r="AG37" i="26" s="1"/>
  <c r="AF36" i="26"/>
  <c r="AG32" i="26"/>
  <c r="AF32" i="26"/>
  <c r="AF16" i="26"/>
  <c r="AF14" i="26"/>
  <c r="AG11" i="26"/>
  <c r="AG12" i="26" s="1"/>
  <c r="AF10" i="26"/>
  <c r="AF8" i="26"/>
  <c r="AQ70" i="50" l="1"/>
  <c r="AU70" i="50" s="1"/>
  <c r="AY70" i="50" s="1"/>
  <c r="BG70" i="50" s="1"/>
  <c r="AU61" i="50"/>
  <c r="AY61" i="50" s="1"/>
  <c r="BG61" i="50" s="1"/>
  <c r="AF37" i="26"/>
  <c r="AF128" i="26"/>
  <c r="AH45" i="22"/>
  <c r="AH47" i="22" s="1"/>
  <c r="AH48" i="22" s="1"/>
  <c r="BE70" i="50"/>
  <c r="AF61" i="26"/>
  <c r="AF84" i="17"/>
  <c r="AH65" i="22"/>
  <c r="AH66" i="22" s="1"/>
  <c r="AH60" i="22"/>
  <c r="AH61" i="22" s="1"/>
  <c r="AF41" i="26"/>
  <c r="AF40" i="26"/>
  <c r="AG18" i="26"/>
  <c r="AG17" i="26"/>
  <c r="AF11" i="26"/>
  <c r="AF17" i="26" s="1"/>
  <c r="AB14" i="52"/>
  <c r="AA14" i="52"/>
  <c r="AH55" i="22"/>
  <c r="AH56" i="22" s="1"/>
  <c r="AG40" i="26"/>
  <c r="AG41" i="26"/>
  <c r="AF132" i="26" l="1"/>
  <c r="AF125" i="26"/>
  <c r="AF12" i="26"/>
  <c r="AF18" i="26"/>
  <c r="AH61" i="28" l="1"/>
  <c r="AH64" i="28"/>
  <c r="BI62" i="28"/>
  <c r="AH424" i="28" l="1"/>
  <c r="AH426" i="28" s="1"/>
  <c r="AH430" i="28" s="1"/>
  <c r="AH420" i="28"/>
  <c r="AH318" i="28"/>
  <c r="AH319" i="28" s="1"/>
  <c r="AH261" i="28"/>
  <c r="AH175" i="28"/>
  <c r="AH176" i="28" s="1"/>
  <c r="AH65" i="28"/>
  <c r="AH62" i="28"/>
  <c r="AH455" i="28" s="1"/>
  <c r="AH58" i="28"/>
  <c r="AH54" i="28"/>
  <c r="AH50" i="28"/>
  <c r="AH36" i="28"/>
  <c r="AH35" i="28"/>
  <c r="AH34" i="28"/>
  <c r="AH31" i="28"/>
  <c r="AH24" i="28"/>
  <c r="AH18" i="28"/>
  <c r="AH11" i="28"/>
  <c r="AH41" i="28" s="1"/>
  <c r="AH443" i="28" l="1"/>
  <c r="AH43" i="28"/>
  <c r="AH452" i="28"/>
  <c r="AH450" i="28"/>
  <c r="AH447" i="28"/>
  <c r="AH42" i="28"/>
  <c r="AH448" i="28"/>
  <c r="AH446" i="28"/>
  <c r="AH44" i="28"/>
  <c r="AH456" i="28"/>
  <c r="AH454" i="28"/>
  <c r="AH444" i="28"/>
  <c r="AH442" i="28"/>
  <c r="AH451" i="28"/>
  <c r="AH439" i="28"/>
  <c r="AH440" i="28"/>
  <c r="AH427" i="28"/>
  <c r="AH38" i="28"/>
  <c r="AH39" i="28" s="1"/>
  <c r="AH66" i="28"/>
  <c r="AH67" i="28" s="1"/>
  <c r="AH45" i="28" l="1"/>
  <c r="AH434" i="28"/>
  <c r="AH433" i="28"/>
  <c r="F37" i="59" l="1"/>
  <c r="F30" i="59"/>
  <c r="AH98" i="9" l="1"/>
  <c r="AG38" i="27" l="1"/>
  <c r="AG36" i="27"/>
  <c r="AG28" i="27"/>
  <c r="AG30" i="27"/>
  <c r="AG29" i="27"/>
  <c r="AG23" i="27"/>
  <c r="AG20" i="27"/>
  <c r="AG19" i="27"/>
  <c r="AG18" i="27"/>
  <c r="AF40" i="27" l="1"/>
  <c r="AF34" i="27"/>
  <c r="E40" i="27"/>
  <c r="F40" i="27"/>
  <c r="G40" i="27"/>
  <c r="J40" i="27"/>
  <c r="N40" i="27"/>
  <c r="R40" i="27"/>
  <c r="V40" i="27"/>
  <c r="AB40" i="27"/>
  <c r="E34" i="27"/>
  <c r="F34" i="27"/>
  <c r="G34" i="27"/>
  <c r="J34" i="27"/>
  <c r="N34" i="27"/>
  <c r="R34" i="27"/>
  <c r="V34" i="27"/>
  <c r="AB34" i="27"/>
  <c r="E25" i="27"/>
  <c r="F25" i="27"/>
  <c r="G25" i="27"/>
  <c r="J25" i="27"/>
  <c r="N25" i="27"/>
  <c r="R25" i="27"/>
  <c r="V25" i="27"/>
  <c r="AB25" i="27"/>
  <c r="AF25" i="27"/>
  <c r="AG37" i="27"/>
  <c r="AG40" i="27" s="1"/>
  <c r="AG27" i="27"/>
  <c r="AG34" i="27" s="1"/>
  <c r="AG22" i="27"/>
  <c r="AG21" i="27"/>
  <c r="AF18" i="15"/>
  <c r="AF17" i="15"/>
  <c r="AF11" i="15"/>
  <c r="AF12" i="15" s="1"/>
  <c r="AF9" i="15"/>
  <c r="AF8" i="15"/>
  <c r="AF7" i="15"/>
  <c r="AF6" i="15"/>
  <c r="AF5" i="15"/>
  <c r="AK27" i="45"/>
  <c r="AQ27" i="45" s="1"/>
  <c r="AU27" i="45" s="1"/>
  <c r="AY27" i="45" s="1"/>
  <c r="BG27" i="45" s="1"/>
  <c r="AK28" i="45"/>
  <c r="AQ28" i="45" s="1"/>
  <c r="AU28" i="45" s="1"/>
  <c r="AY28" i="45" s="1"/>
  <c r="BG28" i="45" s="1"/>
  <c r="AK29" i="45"/>
  <c r="AQ29" i="45" s="1"/>
  <c r="AU29" i="45" s="1"/>
  <c r="AY29" i="45" s="1"/>
  <c r="BG29" i="45" s="1"/>
  <c r="AK30" i="45"/>
  <c r="AQ30" i="45" s="1"/>
  <c r="AU30" i="45" s="1"/>
  <c r="AY30" i="45" s="1"/>
  <c r="BG30" i="45" s="1"/>
  <c r="AK31" i="45"/>
  <c r="AQ31" i="45" s="1"/>
  <c r="AU31" i="45" s="1"/>
  <c r="AY31" i="45" s="1"/>
  <c r="BG31" i="45" s="1"/>
  <c r="AK34" i="45"/>
  <c r="AQ34" i="45" s="1"/>
  <c r="AU34" i="45" s="1"/>
  <c r="AY34" i="45" s="1"/>
  <c r="BG34" i="45" s="1"/>
  <c r="AI74" i="45"/>
  <c r="AI73" i="45"/>
  <c r="AI71" i="45"/>
  <c r="AI65" i="45"/>
  <c r="AI72" i="45" s="1"/>
  <c r="AI60" i="45"/>
  <c r="AH60" i="45"/>
  <c r="AI59" i="45"/>
  <c r="AH59" i="45"/>
  <c r="AI58" i="45"/>
  <c r="AH58" i="45"/>
  <c r="AI56" i="45"/>
  <c r="AI57" i="45" s="1"/>
  <c r="AI54" i="45"/>
  <c r="AH54" i="45"/>
  <c r="AI52" i="45"/>
  <c r="AK52" i="59" s="1"/>
  <c r="AH52" i="45"/>
  <c r="AJ52" i="59" s="1"/>
  <c r="AI49" i="45"/>
  <c r="AH49" i="45"/>
  <c r="AH50" i="45" s="1"/>
  <c r="AI44" i="45"/>
  <c r="AI76" i="45" s="1"/>
  <c r="AI75" i="45"/>
  <c r="AH42" i="45"/>
  <c r="AH61" i="45" s="1"/>
  <c r="AJ53" i="59" s="1"/>
  <c r="AH83" i="11"/>
  <c r="AH81" i="11"/>
  <c r="AH75" i="11"/>
  <c r="AH76" i="11" s="1"/>
  <c r="AH70" i="11"/>
  <c r="AG70" i="11"/>
  <c r="AH69" i="11"/>
  <c r="AG69" i="11"/>
  <c r="AH68" i="11"/>
  <c r="AG68" i="11"/>
  <c r="AH66" i="11"/>
  <c r="AH67" i="11" s="1"/>
  <c r="AH64" i="11"/>
  <c r="AG64" i="11"/>
  <c r="AH62" i="11"/>
  <c r="AK48" i="59" s="1"/>
  <c r="AG62" i="11"/>
  <c r="AJ48" i="59" s="1"/>
  <c r="AH59" i="11"/>
  <c r="AH60" i="11" s="1"/>
  <c r="AG59" i="11"/>
  <c r="AH56" i="11"/>
  <c r="AH54" i="11"/>
  <c r="AH77" i="11" s="1"/>
  <c r="AH52" i="11"/>
  <c r="AH84" i="11" s="1"/>
  <c r="AG52" i="11"/>
  <c r="AG71" i="11" s="1"/>
  <c r="AJ49" i="59" s="1"/>
  <c r="AG25" i="27" l="1"/>
  <c r="AF14" i="15"/>
  <c r="AF15" i="15" s="1"/>
  <c r="AF13" i="15"/>
  <c r="AI77" i="45"/>
  <c r="AI66" i="45"/>
  <c r="AI79" i="45"/>
  <c r="AI50" i="45"/>
  <c r="AI43" i="45"/>
  <c r="AI46" i="45" s="1"/>
  <c r="AI61" i="45"/>
  <c r="AK53" i="59" s="1"/>
  <c r="AI67" i="45"/>
  <c r="AH43" i="45"/>
  <c r="AH53" i="11"/>
  <c r="AH55" i="11" s="1"/>
  <c r="AK47" i="59" s="1"/>
  <c r="AH71" i="11"/>
  <c r="AK49" i="59" s="1"/>
  <c r="AH85" i="11"/>
  <c r="AH86" i="11" s="1"/>
  <c r="AG60" i="11"/>
  <c r="AH82" i="11"/>
  <c r="AH88" i="11" s="1"/>
  <c r="AG53" i="11"/>
  <c r="AG55" i="11" s="1"/>
  <c r="AJ47" i="59" s="1"/>
  <c r="AH45" i="45" l="1"/>
  <c r="AJ51" i="59" s="1"/>
  <c r="AH46" i="45"/>
  <c r="AI45" i="45"/>
  <c r="AK51" i="59" s="1"/>
  <c r="AI47" i="45"/>
  <c r="AH57" i="11"/>
  <c r="AG22" i="36"/>
  <c r="AG23" i="36"/>
  <c r="AH22" i="36" l="1"/>
  <c r="AH23" i="36"/>
  <c r="AJ48" i="10" l="1"/>
  <c r="AP48" i="10" s="1"/>
  <c r="AT48" i="10" s="1"/>
  <c r="AX48" i="10" s="1"/>
  <c r="BF48" i="10" s="1"/>
  <c r="AJ33" i="10"/>
  <c r="AP33" i="10" s="1"/>
  <c r="AT33" i="10" s="1"/>
  <c r="AX33" i="10" s="1"/>
  <c r="BF33" i="10" s="1"/>
  <c r="AH119" i="10"/>
  <c r="AH117" i="10"/>
  <c r="AH115" i="10"/>
  <c r="AH116" i="10" s="1"/>
  <c r="AH118" i="10" l="1"/>
  <c r="AK43" i="59" s="1"/>
  <c r="AH153" i="10"/>
  <c r="AH120" i="10"/>
  <c r="AH21" i="36" l="1"/>
  <c r="AF113" i="17"/>
  <c r="AF111" i="17"/>
  <c r="AF115" i="17" s="1"/>
  <c r="AG81" i="17"/>
  <c r="AF81" i="17"/>
  <c r="AG77" i="17"/>
  <c r="AF77" i="17"/>
  <c r="AG66" i="17"/>
  <c r="AG68" i="17" s="1"/>
  <c r="AF66" i="17"/>
  <c r="AF68" i="17" s="1"/>
  <c r="AF60" i="17"/>
  <c r="AG58" i="17"/>
  <c r="AF57" i="17"/>
  <c r="AF56" i="17"/>
  <c r="AF54" i="17"/>
  <c r="AG52" i="17"/>
  <c r="AF51" i="17"/>
  <c r="AG48" i="17"/>
  <c r="AF47" i="17"/>
  <c r="AG46" i="17"/>
  <c r="AF45" i="17"/>
  <c r="AG43" i="17"/>
  <c r="AG49" i="17" s="1"/>
  <c r="AF43" i="17"/>
  <c r="AG42" i="17"/>
  <c r="AG40" i="17"/>
  <c r="AG38" i="17"/>
  <c r="AF25" i="17"/>
  <c r="AG21" i="17"/>
  <c r="AG15" i="17" s="1"/>
  <c r="AF18" i="17"/>
  <c r="AF17" i="17"/>
  <c r="AF15" i="17"/>
  <c r="AF14" i="17"/>
  <c r="AG11" i="17"/>
  <c r="AG13" i="17"/>
  <c r="AG112" i="17"/>
  <c r="AF8" i="17"/>
  <c r="AJ118" i="9"/>
  <c r="AP118" i="9" s="1"/>
  <c r="AT118" i="9" s="1"/>
  <c r="AX118" i="9" s="1"/>
  <c r="BF118" i="9" s="1"/>
  <c r="AG85" i="9"/>
  <c r="AG84" i="9"/>
  <c r="AF21" i="17" l="1"/>
  <c r="AF31" i="17" s="1"/>
  <c r="AF112" i="17"/>
  <c r="AF29" i="17"/>
  <c r="AF58" i="17"/>
  <c r="AF61" i="17" s="1"/>
  <c r="AF10" i="17"/>
  <c r="AF49" i="17"/>
  <c r="AF110" i="17" s="1"/>
  <c r="AF114" i="17" s="1"/>
  <c r="AG33" i="17"/>
  <c r="AG31" i="17"/>
  <c r="AG30" i="17"/>
  <c r="AG29" i="17"/>
  <c r="AG32" i="17"/>
  <c r="AF59" i="17"/>
  <c r="AG110" i="17"/>
  <c r="AG114" i="17" s="1"/>
  <c r="AG50" i="17"/>
  <c r="AG111" i="17" s="1"/>
  <c r="AG53" i="17"/>
  <c r="AG54" i="17" s="1"/>
  <c r="AG10" i="17"/>
  <c r="AG61" i="17"/>
  <c r="AG12" i="17"/>
  <c r="AG113" i="17" s="1"/>
  <c r="AG44" i="17"/>
  <c r="AG59" i="17"/>
  <c r="AF33" i="17" l="1"/>
  <c r="AF30" i="17"/>
  <c r="AF32" i="17"/>
  <c r="AF53" i="17"/>
  <c r="AG115" i="17"/>
  <c r="AG14" i="17"/>
  <c r="AH46" i="35"/>
  <c r="AH45" i="35"/>
  <c r="AH146" i="10" l="1"/>
  <c r="AH144" i="10"/>
  <c r="AH138" i="10"/>
  <c r="AH139" i="10" s="1"/>
  <c r="AH133" i="10"/>
  <c r="AG133" i="10"/>
  <c r="AH132" i="10"/>
  <c r="AG132" i="10"/>
  <c r="AH131" i="10"/>
  <c r="AG131" i="10"/>
  <c r="AH129" i="10"/>
  <c r="AH130" i="10" s="1"/>
  <c r="AH127" i="10"/>
  <c r="AG127" i="10"/>
  <c r="AH125" i="10"/>
  <c r="AK44" i="59" s="1"/>
  <c r="AG125" i="10"/>
  <c r="AJ44" i="59" s="1"/>
  <c r="AH122" i="10"/>
  <c r="AG122" i="10"/>
  <c r="AG123" i="10" s="1"/>
  <c r="AH140" i="10"/>
  <c r="AG115" i="10"/>
  <c r="AG134" i="10" s="1"/>
  <c r="AJ45" i="59" s="1"/>
  <c r="AH133" i="9"/>
  <c r="AH135" i="9" s="1"/>
  <c r="AH136" i="9" s="1"/>
  <c r="AH94" i="9"/>
  <c r="AH93" i="9"/>
  <c r="AG93" i="9"/>
  <c r="AH92" i="9"/>
  <c r="AG92" i="9"/>
  <c r="AH88" i="9"/>
  <c r="AG86" i="9"/>
  <c r="AG71" i="9"/>
  <c r="AH56" i="9"/>
  <c r="AG46" i="9"/>
  <c r="AH39" i="9"/>
  <c r="AH47" i="9" s="1"/>
  <c r="AH38" i="9"/>
  <c r="AH46" i="9" s="1"/>
  <c r="AH37" i="9"/>
  <c r="AH34" i="9"/>
  <c r="AH28" i="9"/>
  <c r="AH29" i="9" s="1"/>
  <c r="AG27" i="9"/>
  <c r="AG25" i="9"/>
  <c r="AH22" i="9"/>
  <c r="AH10" i="9"/>
  <c r="AH5" i="9"/>
  <c r="AG5" i="9"/>
  <c r="AG87" i="9" l="1"/>
  <c r="AF90" i="26"/>
  <c r="AG33" i="22"/>
  <c r="AH33" i="22"/>
  <c r="AG90" i="26"/>
  <c r="AG30" i="9"/>
  <c r="AG65" i="9"/>
  <c r="AG57" i="9"/>
  <c r="AG60" i="9"/>
  <c r="AH145" i="10"/>
  <c r="AH134" i="10"/>
  <c r="AK45" i="59" s="1"/>
  <c r="AH147" i="10"/>
  <c r="AH123" i="10"/>
  <c r="AG116" i="10"/>
  <c r="AG118" i="10" s="1"/>
  <c r="AJ43" i="59" s="1"/>
  <c r="AH148" i="10"/>
  <c r="AH40" i="9"/>
  <c r="AH14" i="9"/>
  <c r="AG28" i="9"/>
  <c r="AH140" i="9"/>
  <c r="AH48" i="9"/>
  <c r="AH76" i="9" s="1"/>
  <c r="AH45" i="9"/>
  <c r="AG64" i="9"/>
  <c r="AH84" i="9"/>
  <c r="AH85" i="9"/>
  <c r="AG90" i="9"/>
  <c r="AH91" i="9"/>
  <c r="AH95" i="9"/>
  <c r="AG7" i="9"/>
  <c r="AG63" i="9"/>
  <c r="AG67" i="9"/>
  <c r="AH89" i="9"/>
  <c r="AG18" i="15" s="1"/>
  <c r="AG22" i="9"/>
  <c r="AG54" i="9"/>
  <c r="AG58" i="9"/>
  <c r="AG62" i="9"/>
  <c r="AG66" i="9"/>
  <c r="AF67" i="8"/>
  <c r="AI32" i="59" s="1"/>
  <c r="AE67" i="8"/>
  <c r="AH32" i="59" s="1"/>
  <c r="AJ67" i="8"/>
  <c r="AM32" i="59" s="1"/>
  <c r="AI67" i="8"/>
  <c r="AL32" i="59" s="1"/>
  <c r="AH117" i="8"/>
  <c r="AH118" i="8" s="1"/>
  <c r="AH105" i="8"/>
  <c r="AH106" i="8" s="1"/>
  <c r="AH85" i="8"/>
  <c r="AH80" i="8"/>
  <c r="AH77" i="8"/>
  <c r="AH75" i="8"/>
  <c r="AG75" i="8"/>
  <c r="AH74" i="8"/>
  <c r="AG74" i="8"/>
  <c r="AG65" i="8"/>
  <c r="AH60" i="8"/>
  <c r="AH64" i="8" s="1"/>
  <c r="AH58" i="8"/>
  <c r="AH55" i="8"/>
  <c r="AH54" i="8"/>
  <c r="AH52" i="8"/>
  <c r="AH45" i="8"/>
  <c r="AG45" i="8"/>
  <c r="AG38" i="8"/>
  <c r="AG37" i="8"/>
  <c r="AG36" i="8"/>
  <c r="AH25" i="8"/>
  <c r="AH20" i="8"/>
  <c r="AG20" i="8"/>
  <c r="AG18" i="8"/>
  <c r="AH16" i="8"/>
  <c r="AG16" i="8"/>
  <c r="AH14" i="8"/>
  <c r="AH13" i="8"/>
  <c r="AG13" i="8"/>
  <c r="AH12" i="8"/>
  <c r="AG12" i="8"/>
  <c r="AH5" i="8"/>
  <c r="AG5" i="8"/>
  <c r="AH151" i="10" l="1"/>
  <c r="AG39" i="8"/>
  <c r="AG29" i="9"/>
  <c r="AG83" i="9"/>
  <c r="AG21" i="22"/>
  <c r="AG7" i="22"/>
  <c r="AG8" i="22" s="1"/>
  <c r="AG10" i="22" s="1"/>
  <c r="AG11" i="22" s="1"/>
  <c r="AG13" i="22" s="1"/>
  <c r="AG21" i="36"/>
  <c r="AH86" i="9"/>
  <c r="AH46" i="8"/>
  <c r="AG5" i="26" s="1"/>
  <c r="AG22" i="8"/>
  <c r="AH15" i="8"/>
  <c r="AG15" i="8"/>
  <c r="AH149" i="10"/>
  <c r="AH81" i="9"/>
  <c r="AH77" i="9"/>
  <c r="AK41" i="59" s="1"/>
  <c r="AH72" i="9"/>
  <c r="AH82" i="9"/>
  <c r="AK40" i="59" s="1"/>
  <c r="AH78" i="9"/>
  <c r="AH73" i="9"/>
  <c r="AH52" i="9"/>
  <c r="AH79" i="9"/>
  <c r="AH74" i="9"/>
  <c r="AH69" i="9"/>
  <c r="AH51" i="9"/>
  <c r="AK39" i="59" s="1"/>
  <c r="AH80" i="9"/>
  <c r="AH75" i="9"/>
  <c r="AH71" i="9"/>
  <c r="AH70" i="9"/>
  <c r="AG56" i="9"/>
  <c r="AH34" i="8"/>
  <c r="AH32" i="8"/>
  <c r="AG28" i="8"/>
  <c r="AG27" i="8"/>
  <c r="AH37" i="8"/>
  <c r="AH38" i="8"/>
  <c r="AG26" i="8"/>
  <c r="AH42" i="8"/>
  <c r="AH56" i="8"/>
  <c r="AH62" i="8" s="1"/>
  <c r="AH78" i="8"/>
  <c r="AH87" i="8"/>
  <c r="AH92" i="8" s="1"/>
  <c r="AH89" i="8"/>
  <c r="AH137" i="9" s="1"/>
  <c r="AH138" i="9" s="1"/>
  <c r="AG24" i="8"/>
  <c r="AG29" i="8"/>
  <c r="AH41" i="8"/>
  <c r="AH68" i="8"/>
  <c r="AK33" i="59" s="1"/>
  <c r="AH72" i="8"/>
  <c r="AG23" i="8"/>
  <c r="AH40" i="8"/>
  <c r="AG46" i="8"/>
  <c r="AH63" i="8"/>
  <c r="AG71" i="8"/>
  <c r="AH36" i="8"/>
  <c r="AH43" i="8"/>
  <c r="AH71" i="7"/>
  <c r="AG71" i="7"/>
  <c r="AH69" i="7"/>
  <c r="AH62" i="7"/>
  <c r="AG62" i="7"/>
  <c r="AH58" i="7"/>
  <c r="AH60" i="7" s="1"/>
  <c r="AG58" i="7"/>
  <c r="AG60" i="7" s="1"/>
  <c r="AH54" i="7"/>
  <c r="AH48" i="7" s="1"/>
  <c r="AG54" i="7"/>
  <c r="AG55" i="7" s="1"/>
  <c r="AH16" i="7"/>
  <c r="AH30" i="7" s="1"/>
  <c r="AG16" i="7"/>
  <c r="AG30" i="7" s="1"/>
  <c r="AI14" i="39"/>
  <c r="AH129" i="6"/>
  <c r="AJ196" i="6"/>
  <c r="AI196" i="6"/>
  <c r="AH196" i="6"/>
  <c r="AG196" i="6"/>
  <c r="AJ195" i="6"/>
  <c r="AI195" i="6"/>
  <c r="AH195" i="6"/>
  <c r="AG195" i="6"/>
  <c r="AJ194" i="6"/>
  <c r="AI194" i="6"/>
  <c r="AH194" i="6"/>
  <c r="AG194" i="6"/>
  <c r="AJ190" i="6"/>
  <c r="AI190" i="6"/>
  <c r="AH190" i="6"/>
  <c r="AG190" i="6"/>
  <c r="AJ188" i="6"/>
  <c r="AI188" i="6"/>
  <c r="AH188" i="6"/>
  <c r="AG188" i="6"/>
  <c r="AJ187" i="6"/>
  <c r="AI187" i="6"/>
  <c r="AH187" i="6"/>
  <c r="AG187" i="6"/>
  <c r="AJ186" i="6"/>
  <c r="AI186" i="6"/>
  <c r="AH186" i="6"/>
  <c r="AG186" i="6"/>
  <c r="AJ185" i="6"/>
  <c r="AI185" i="6"/>
  <c r="AH185" i="6"/>
  <c r="AG185" i="6"/>
  <c r="AJ184" i="6"/>
  <c r="AI184" i="6"/>
  <c r="AH184" i="6"/>
  <c r="AG184" i="6"/>
  <c r="AJ183" i="6"/>
  <c r="AI183" i="6"/>
  <c r="AH183" i="6"/>
  <c r="AG183" i="6"/>
  <c r="AJ182" i="6"/>
  <c r="AI182" i="6"/>
  <c r="AH182" i="6"/>
  <c r="AG182" i="6"/>
  <c r="AH156" i="6"/>
  <c r="AH155" i="6"/>
  <c r="AG155" i="6"/>
  <c r="AH154" i="6"/>
  <c r="AG154" i="6"/>
  <c r="AH130" i="6"/>
  <c r="AG129" i="6"/>
  <c r="AH105" i="6"/>
  <c r="AH104" i="6"/>
  <c r="AH103" i="6"/>
  <c r="AG103" i="6"/>
  <c r="AH100" i="6"/>
  <c r="AG100" i="6"/>
  <c r="AH99" i="6"/>
  <c r="AG99" i="6"/>
  <c r="AH97" i="6"/>
  <c r="AG97" i="6"/>
  <c r="AH96" i="6"/>
  <c r="AG96" i="6"/>
  <c r="AH95" i="6"/>
  <c r="AG95" i="6"/>
  <c r="AH94" i="6"/>
  <c r="AG94" i="6"/>
  <c r="AH87" i="6"/>
  <c r="AG87" i="6"/>
  <c r="AH84" i="6"/>
  <c r="AG84" i="6"/>
  <c r="AH73" i="6"/>
  <c r="AG73" i="6"/>
  <c r="AH70" i="6"/>
  <c r="AG70" i="6"/>
  <c r="AH52" i="6"/>
  <c r="AG52" i="6"/>
  <c r="AH44" i="6"/>
  <c r="AG44" i="6"/>
  <c r="AH41" i="6"/>
  <c r="AG41" i="6"/>
  <c r="AG37" i="6"/>
  <c r="AH28" i="6"/>
  <c r="AH25" i="6"/>
  <c r="AH22" i="6"/>
  <c r="AH18" i="6"/>
  <c r="AH30" i="6" s="1"/>
  <c r="AH17" i="6"/>
  <c r="AG6" i="6"/>
  <c r="AG14" i="6" s="1"/>
  <c r="AG5" i="6"/>
  <c r="AG13" i="6" s="1"/>
  <c r="AG33" i="28"/>
  <c r="AG27" i="28"/>
  <c r="AG21" i="28"/>
  <c r="AG24" i="28" s="1"/>
  <c r="AG15" i="28"/>
  <c r="AG18" i="28" s="1"/>
  <c r="AG8" i="28"/>
  <c r="AH16" i="49"/>
  <c r="AH17" i="49" s="1"/>
  <c r="AG16" i="49"/>
  <c r="AG17" i="49" s="1"/>
  <c r="AH10" i="49"/>
  <c r="AG10" i="49"/>
  <c r="AH9" i="49"/>
  <c r="AH8" i="49"/>
  <c r="AG8" i="49"/>
  <c r="AH7" i="49"/>
  <c r="AG7" i="49"/>
  <c r="AH5" i="49"/>
  <c r="AG5" i="49"/>
  <c r="AJ31" i="36"/>
  <c r="AI31" i="36"/>
  <c r="AH55" i="36"/>
  <c r="AH54" i="36"/>
  <c r="AG53" i="36"/>
  <c r="AG19" i="36" s="1"/>
  <c r="AJ38" i="59" s="1"/>
  <c r="AH52" i="36"/>
  <c r="AH51" i="36"/>
  <c r="AG49" i="36"/>
  <c r="AG48" i="36"/>
  <c r="AH47" i="36"/>
  <c r="AG45" i="36"/>
  <c r="AG47" i="36" s="1"/>
  <c r="AH33" i="36"/>
  <c r="AG33" i="36"/>
  <c r="AG44" i="36" s="1"/>
  <c r="AG18" i="36"/>
  <c r="AJ37" i="59" s="1"/>
  <c r="AH17" i="36"/>
  <c r="AK36" i="59" s="1"/>
  <c r="AH16" i="36"/>
  <c r="AK35" i="59" s="1"/>
  <c r="AG13" i="36"/>
  <c r="AJ30" i="59" s="1"/>
  <c r="AH12" i="36"/>
  <c r="AK29" i="59" s="1"/>
  <c r="AH11" i="36"/>
  <c r="AK28" i="59" s="1"/>
  <c r="AH10" i="36"/>
  <c r="AK27" i="59" s="1"/>
  <c r="AH5" i="36"/>
  <c r="AG39" i="21"/>
  <c r="AG38" i="21"/>
  <c r="AH37" i="21"/>
  <c r="AG35" i="21"/>
  <c r="AH33" i="21"/>
  <c r="AH29" i="21"/>
  <c r="AG27" i="21"/>
  <c r="AG429" i="28" s="1"/>
  <c r="AG26" i="21"/>
  <c r="AH24" i="21"/>
  <c r="AH25" i="21" s="1"/>
  <c r="AH18" i="21"/>
  <c r="AH15" i="21"/>
  <c r="AH12" i="21"/>
  <c r="AG12" i="21"/>
  <c r="AG22" i="21" s="1"/>
  <c r="AH39" i="35"/>
  <c r="AG40" i="35"/>
  <c r="AG39" i="35"/>
  <c r="AG37" i="35"/>
  <c r="AG34" i="35"/>
  <c r="AH31" i="35"/>
  <c r="AH34" i="35" s="1"/>
  <c r="AH43" i="35" s="1"/>
  <c r="AG31" i="35"/>
  <c r="AH24" i="35"/>
  <c r="AH34" i="36" s="1"/>
  <c r="AG24" i="35"/>
  <c r="AG34" i="36" s="1"/>
  <c r="AG35" i="36" s="1"/>
  <c r="AH19" i="35"/>
  <c r="AG19" i="35"/>
  <c r="AH15" i="35"/>
  <c r="AG15" i="35"/>
  <c r="AH11" i="35"/>
  <c r="AG10" i="35"/>
  <c r="AG9" i="35"/>
  <c r="AG8" i="35"/>
  <c r="AH7" i="35"/>
  <c r="AH6" i="6" s="1"/>
  <c r="AH14" i="6" s="1"/>
  <c r="AH6" i="35"/>
  <c r="AH44" i="35" l="1"/>
  <c r="AH8" i="35"/>
  <c r="AG261" i="28"/>
  <c r="AG448" i="28" s="1"/>
  <c r="AG319" i="28"/>
  <c r="AG452" i="28" s="1"/>
  <c r="AH460" i="28"/>
  <c r="AH459" i="28"/>
  <c r="AG29" i="21"/>
  <c r="AG418" i="28"/>
  <c r="AG420" i="28" s="1"/>
  <c r="AH12" i="49"/>
  <c r="AK6" i="59"/>
  <c r="AG22" i="22"/>
  <c r="AG24" i="22" s="1"/>
  <c r="AG25" i="22" s="1"/>
  <c r="AG27" i="22" s="1"/>
  <c r="AG31" i="28"/>
  <c r="AG34" i="28"/>
  <c r="AG38" i="28" s="1"/>
  <c r="AG459" i="28" s="1"/>
  <c r="AH24" i="7"/>
  <c r="AH79" i="7" s="1"/>
  <c r="AH22" i="7"/>
  <c r="AH81" i="7" s="1"/>
  <c r="AH18" i="7"/>
  <c r="AH74" i="7" s="1"/>
  <c r="AK22" i="59" s="1"/>
  <c r="AH26" i="7"/>
  <c r="AH83" i="7" s="1"/>
  <c r="AH20" i="7"/>
  <c r="AG19" i="7"/>
  <c r="AG75" i="7" s="1"/>
  <c r="AJ23" i="59" s="1"/>
  <c r="AG23" i="7"/>
  <c r="AG78" i="7" s="1"/>
  <c r="AG27" i="7"/>
  <c r="AG77" i="7" s="1"/>
  <c r="AG21" i="7"/>
  <c r="AG84" i="7" s="1"/>
  <c r="AJ25" i="59" s="1"/>
  <c r="AG25" i="7"/>
  <c r="AG80" i="7" s="1"/>
  <c r="AH44" i="7"/>
  <c r="AH82" i="7" s="1"/>
  <c r="AH45" i="7"/>
  <c r="AH47" i="8"/>
  <c r="AH11" i="49"/>
  <c r="AH39" i="8"/>
  <c r="AH13" i="36"/>
  <c r="AK30" i="59" s="1"/>
  <c r="AH141" i="9"/>
  <c r="AH142" i="9" s="1"/>
  <c r="AH53" i="36"/>
  <c r="AH19" i="36" s="1"/>
  <c r="AK38" i="59" s="1"/>
  <c r="AH18" i="36"/>
  <c r="AK37" i="59" s="1"/>
  <c r="AH20" i="21"/>
  <c r="AH35" i="35"/>
  <c r="AI74" i="50" s="1"/>
  <c r="AI72" i="50" s="1"/>
  <c r="AH5" i="6"/>
  <c r="AH13" i="6" s="1"/>
  <c r="AH60" i="6" s="1"/>
  <c r="AG43" i="35"/>
  <c r="AG35" i="35"/>
  <c r="AH74" i="50" s="1"/>
  <c r="AG5" i="36"/>
  <c r="AJ6" i="59" s="1"/>
  <c r="AH88" i="8"/>
  <c r="AG66" i="8"/>
  <c r="AH93" i="8"/>
  <c r="AG60" i="8"/>
  <c r="AG25" i="8"/>
  <c r="AG58" i="8"/>
  <c r="AG32" i="8" s="1"/>
  <c r="AH33" i="8"/>
  <c r="AG52" i="8"/>
  <c r="AH61" i="8"/>
  <c r="AG18" i="7"/>
  <c r="AG74" i="7" s="1"/>
  <c r="AJ22" i="59" s="1"/>
  <c r="AG20" i="7"/>
  <c r="AG76" i="7" s="1"/>
  <c r="AJ24" i="59" s="1"/>
  <c r="AG22" i="7"/>
  <c r="AG81" i="7" s="1"/>
  <c r="AG24" i="7"/>
  <c r="AG79" i="7" s="1"/>
  <c r="AG26" i="7"/>
  <c r="AG83" i="7" s="1"/>
  <c r="AH43" i="7"/>
  <c r="AH49" i="7"/>
  <c r="AG68" i="7"/>
  <c r="AJ21" i="59" s="1"/>
  <c r="AG63" i="7"/>
  <c r="AH70" i="7"/>
  <c r="AK26" i="59" s="1"/>
  <c r="AH19" i="7"/>
  <c r="AH21" i="7"/>
  <c r="AH23" i="7"/>
  <c r="AH78" i="7" s="1"/>
  <c r="AH25" i="7"/>
  <c r="AH80" i="7" s="1"/>
  <c r="AH27" i="7"/>
  <c r="AH77" i="7" s="1"/>
  <c r="AG65" i="7"/>
  <c r="AG39" i="7"/>
  <c r="AH41" i="7"/>
  <c r="AH39" i="7"/>
  <c r="AH42" i="7"/>
  <c r="AH46" i="7"/>
  <c r="AH47" i="7"/>
  <c r="AH56" i="7"/>
  <c r="AH63" i="7"/>
  <c r="AH65" i="7"/>
  <c r="AH68" i="7"/>
  <c r="AK21" i="59" s="1"/>
  <c r="AH101" i="6"/>
  <c r="AH88" i="6"/>
  <c r="AH92" i="6" s="1"/>
  <c r="AH138" i="6" s="1"/>
  <c r="AG88" i="6"/>
  <c r="AG92" i="6" s="1"/>
  <c r="AG138" i="6" s="1"/>
  <c r="AG101" i="6"/>
  <c r="AG74" i="6"/>
  <c r="AG78" i="6" s="1"/>
  <c r="AG110" i="6" s="1"/>
  <c r="AG126" i="6"/>
  <c r="AG23" i="6"/>
  <c r="AG26" i="6"/>
  <c r="AG20" i="6"/>
  <c r="AG17" i="6"/>
  <c r="AG15" i="6"/>
  <c r="AG56" i="6" s="1"/>
  <c r="AG151" i="6"/>
  <c r="AG27" i="6"/>
  <c r="AG21" i="6"/>
  <c r="AG24" i="6"/>
  <c r="AG18" i="6"/>
  <c r="AH127" i="6"/>
  <c r="AH226" i="6"/>
  <c r="AH152" i="6"/>
  <c r="AG7" i="6"/>
  <c r="AG11" i="6"/>
  <c r="AG12" i="6"/>
  <c r="AH12" i="6"/>
  <c r="AH161" i="6"/>
  <c r="AH19" i="6"/>
  <c r="AH74" i="6"/>
  <c r="AH78" i="6" s="1"/>
  <c r="AG98" i="6"/>
  <c r="AH98" i="6"/>
  <c r="AH29" i="6"/>
  <c r="AH157" i="6"/>
  <c r="AG42" i="28"/>
  <c r="AG11" i="28"/>
  <c r="AG43" i="28"/>
  <c r="AG36" i="36"/>
  <c r="AH35" i="36"/>
  <c r="AH36" i="36" s="1"/>
  <c r="AH39" i="36" s="1"/>
  <c r="AG15" i="21"/>
  <c r="AG11" i="35"/>
  <c r="AG44" i="35"/>
  <c r="AH225" i="6" l="1"/>
  <c r="AH131" i="6"/>
  <c r="AH76" i="7"/>
  <c r="AK24" i="59" s="1"/>
  <c r="AH13" i="49"/>
  <c r="AG44" i="28"/>
  <c r="AG60" i="28" s="1"/>
  <c r="AG454" i="28" s="1"/>
  <c r="AG415" i="28"/>
  <c r="AG456" i="28" s="1"/>
  <c r="AG426" i="28"/>
  <c r="AG430" i="28" s="1"/>
  <c r="AG422" i="28"/>
  <c r="AG176" i="28"/>
  <c r="AG444" i="28" s="1"/>
  <c r="AH84" i="7"/>
  <c r="AK25" i="59" s="1"/>
  <c r="AG85" i="7"/>
  <c r="AG440" i="28"/>
  <c r="AH28" i="7"/>
  <c r="AG28" i="7"/>
  <c r="AG41" i="7" s="1"/>
  <c r="AG64" i="7" s="1"/>
  <c r="AG102" i="6"/>
  <c r="AG106" i="6" s="1"/>
  <c r="AG167" i="6" s="1"/>
  <c r="AG136" i="6"/>
  <c r="AG135" i="6"/>
  <c r="AG111" i="6"/>
  <c r="AG112" i="6" s="1"/>
  <c r="AH15" i="6"/>
  <c r="AH59" i="6" s="1"/>
  <c r="AH7" i="6"/>
  <c r="AH11" i="6"/>
  <c r="AG59" i="6"/>
  <c r="AG12" i="49"/>
  <c r="AG34" i="8"/>
  <c r="AH90" i="8"/>
  <c r="AH94" i="8" s="1"/>
  <c r="AG9" i="49"/>
  <c r="AG11" i="49" s="1"/>
  <c r="AG56" i="8"/>
  <c r="AH75" i="7"/>
  <c r="AK23" i="59" s="1"/>
  <c r="AH64" i="7"/>
  <c r="AH50" i="7"/>
  <c r="AH102" i="6"/>
  <c r="AH106" i="6" s="1"/>
  <c r="AH160" i="6" s="1"/>
  <c r="AH135" i="6"/>
  <c r="AH136" i="6"/>
  <c r="AG113" i="6"/>
  <c r="AH35" i="6"/>
  <c r="AG28" i="6"/>
  <c r="AG30" i="6"/>
  <c r="AH113" i="6"/>
  <c r="AH110" i="6"/>
  <c r="AH111" i="6"/>
  <c r="AG29" i="6"/>
  <c r="AG19" i="6"/>
  <c r="AG22" i="6"/>
  <c r="AG25" i="6"/>
  <c r="AH31" i="6"/>
  <c r="AG41" i="28"/>
  <c r="AG52" i="28"/>
  <c r="AG56" i="28"/>
  <c r="AH30" i="36"/>
  <c r="AK59" i="59" s="1"/>
  <c r="AG39" i="36"/>
  <c r="AG30" i="36" s="1"/>
  <c r="AJ59" i="59" s="1"/>
  <c r="AH14" i="49" l="1"/>
  <c r="AH34" i="6"/>
  <c r="AG172" i="6"/>
  <c r="AH33" i="6"/>
  <c r="AG433" i="28"/>
  <c r="AG455" i="28"/>
  <c r="AG451" i="28"/>
  <c r="AG450" i="28"/>
  <c r="AG439" i="28"/>
  <c r="AG447" i="28"/>
  <c r="AG446" i="28"/>
  <c r="AG434" i="28"/>
  <c r="AG50" i="7"/>
  <c r="AH36" i="6"/>
  <c r="AH85" i="7"/>
  <c r="AH137" i="6"/>
  <c r="AH8" i="36" s="1"/>
  <c r="AK9" i="59" s="1"/>
  <c r="AH56" i="6"/>
  <c r="AG171" i="6"/>
  <c r="AG168" i="6"/>
  <c r="AG169" i="6"/>
  <c r="AG175" i="6"/>
  <c r="AG178" i="6" s="1"/>
  <c r="AG197" i="6" s="1"/>
  <c r="AG166" i="6"/>
  <c r="AG137" i="6"/>
  <c r="AG13" i="49"/>
  <c r="AG14" i="49" s="1"/>
  <c r="AG15" i="49" s="1"/>
  <c r="AG18" i="49" s="1"/>
  <c r="AG19" i="49" s="1"/>
  <c r="AG33" i="8"/>
  <c r="AH112" i="6"/>
  <c r="AH7" i="36" s="1"/>
  <c r="AK8" i="59" s="1"/>
  <c r="AH248" i="6"/>
  <c r="AH234" i="6"/>
  <c r="AG31" i="6"/>
  <c r="AG173" i="6"/>
  <c r="AG192" i="6" s="1"/>
  <c r="AH177" i="6"/>
  <c r="AH175" i="6"/>
  <c r="AH168" i="6"/>
  <c r="AH171" i="6"/>
  <c r="AH172" i="6"/>
  <c r="AH167" i="6"/>
  <c r="AH176" i="6"/>
  <c r="AH166" i="6"/>
  <c r="AH169" i="6"/>
  <c r="AH162" i="6"/>
  <c r="AH15" i="49" s="1"/>
  <c r="AH18" i="49" s="1"/>
  <c r="AH19" i="49" s="1"/>
  <c r="AH15" i="36" s="1"/>
  <c r="AK34" i="59" s="1"/>
  <c r="AG48" i="28"/>
  <c r="AG45" i="28"/>
  <c r="AG460" i="28" s="1"/>
  <c r="O28" i="52"/>
  <c r="L28" i="52"/>
  <c r="K28" i="52"/>
  <c r="J28" i="52"/>
  <c r="H28" i="52"/>
  <c r="G28" i="52"/>
  <c r="F28" i="52"/>
  <c r="M27" i="52"/>
  <c r="I27" i="52"/>
  <c r="M26" i="52"/>
  <c r="I26" i="52"/>
  <c r="M25" i="52"/>
  <c r="I25" i="52"/>
  <c r="M24" i="52"/>
  <c r="I24" i="52"/>
  <c r="M23" i="52"/>
  <c r="I23" i="52"/>
  <c r="M22" i="52"/>
  <c r="I22" i="52"/>
  <c r="M21" i="52"/>
  <c r="I21" i="52"/>
  <c r="T5" i="52"/>
  <c r="S5" i="52"/>
  <c r="L12" i="52"/>
  <c r="L11" i="52"/>
  <c r="L10" i="52"/>
  <c r="L9" i="52"/>
  <c r="L7" i="52"/>
  <c r="L6" i="52"/>
  <c r="L5" i="52"/>
  <c r="K12" i="52"/>
  <c r="K11" i="52"/>
  <c r="K10" i="52"/>
  <c r="K9" i="52"/>
  <c r="K7" i="52"/>
  <c r="K6" i="52"/>
  <c r="K5" i="52"/>
  <c r="AG170" i="6" l="1"/>
  <c r="AG189" i="6" s="1"/>
  <c r="AH37" i="6"/>
  <c r="N24" i="52"/>
  <c r="P24" i="52" s="1"/>
  <c r="AG443" i="28"/>
  <c r="AG442" i="28"/>
  <c r="AH65" i="8"/>
  <c r="AG174" i="6"/>
  <c r="AH170" i="6"/>
  <c r="AH189" i="6" s="1"/>
  <c r="AH173" i="6"/>
  <c r="AH192" i="6" s="1"/>
  <c r="AH235" i="6"/>
  <c r="AH236" i="6"/>
  <c r="AH237" i="6" s="1"/>
  <c r="AH250" i="6"/>
  <c r="AH251" i="6" s="1"/>
  <c r="AH249" i="6"/>
  <c r="AH178" i="6"/>
  <c r="AH197" i="6" s="1"/>
  <c r="AH228" i="6"/>
  <c r="AH242" i="6"/>
  <c r="AG64" i="28"/>
  <c r="N22" i="52"/>
  <c r="P22" i="52" s="1"/>
  <c r="N26" i="52"/>
  <c r="P26" i="52" s="1"/>
  <c r="N21" i="52"/>
  <c r="P21" i="52" s="1"/>
  <c r="N23" i="52"/>
  <c r="P23" i="52" s="1"/>
  <c r="N25" i="52"/>
  <c r="P25" i="52" s="1"/>
  <c r="N27" i="52"/>
  <c r="P27" i="52" s="1"/>
  <c r="M28" i="52"/>
  <c r="I28" i="52"/>
  <c r="AH238" i="6" l="1"/>
  <c r="AH252" i="6"/>
  <c r="AG179" i="6"/>
  <c r="AG193" i="6"/>
  <c r="AH243" i="6"/>
  <c r="AH244" i="6"/>
  <c r="AH245" i="6" s="1"/>
  <c r="AH230" i="6"/>
  <c r="AH231" i="6" s="1"/>
  <c r="AH229" i="6"/>
  <c r="AH174" i="6"/>
  <c r="P28" i="52"/>
  <c r="N28" i="52"/>
  <c r="T9" i="52"/>
  <c r="S9" i="52"/>
  <c r="T7" i="52"/>
  <c r="T6" i="52"/>
  <c r="S6" i="52"/>
  <c r="S7" i="52"/>
  <c r="T10" i="52"/>
  <c r="T11" i="52"/>
  <c r="T12" i="52"/>
  <c r="S10" i="52"/>
  <c r="S11" i="52"/>
  <c r="S12" i="52"/>
  <c r="AH246" i="6" l="1"/>
  <c r="AH253" i="6" s="1"/>
  <c r="AH232" i="6"/>
  <c r="AH239" i="6" s="1"/>
  <c r="AG198" i="6"/>
  <c r="AH179" i="6"/>
  <c r="AH9" i="36"/>
  <c r="AK10" i="59" s="1"/>
  <c r="AH193" i="6"/>
  <c r="AH255" i="6" l="1"/>
  <c r="AH198" i="6"/>
  <c r="Z115" i="8" l="1"/>
  <c r="Z112" i="8"/>
  <c r="Z109" i="8"/>
  <c r="Z103" i="8"/>
  <c r="Z100" i="8"/>
  <c r="Z97" i="8"/>
  <c r="Z84" i="8"/>
  <c r="N115" i="8"/>
  <c r="N117" i="8" s="1"/>
  <c r="N118" i="8" s="1"/>
  <c r="N112" i="8"/>
  <c r="N109" i="8"/>
  <c r="N103" i="8"/>
  <c r="N105" i="8" s="1"/>
  <c r="N100" i="8"/>
  <c r="N97" i="8"/>
  <c r="N84" i="8"/>
  <c r="AB97" i="8" l="1"/>
  <c r="AF97" i="8" s="1"/>
  <c r="AJ97" i="8" s="1"/>
  <c r="AP97" i="8" s="1"/>
  <c r="AT97" i="8" s="1"/>
  <c r="AX97" i="8" s="1"/>
  <c r="BF97" i="8" s="1"/>
  <c r="AB115" i="8"/>
  <c r="AF115" i="8" s="1"/>
  <c r="AJ115" i="8" s="1"/>
  <c r="AB112" i="8"/>
  <c r="AF112" i="8" s="1"/>
  <c r="AJ112" i="8" s="1"/>
  <c r="AP112" i="8" s="1"/>
  <c r="AT112" i="8" s="1"/>
  <c r="AX112" i="8" s="1"/>
  <c r="BF112" i="8" s="1"/>
  <c r="AB100" i="8"/>
  <c r="AF100" i="8" s="1"/>
  <c r="AJ100" i="8" s="1"/>
  <c r="AP100" i="8" s="1"/>
  <c r="AT100" i="8" s="1"/>
  <c r="AX100" i="8" s="1"/>
  <c r="BF100" i="8" s="1"/>
  <c r="AB103" i="8"/>
  <c r="AB84" i="8"/>
  <c r="AF84" i="8" s="1"/>
  <c r="AJ84" i="8" s="1"/>
  <c r="AP84" i="8" s="1"/>
  <c r="AT84" i="8" s="1"/>
  <c r="AB109" i="8"/>
  <c r="AF109" i="8" s="1"/>
  <c r="AJ109" i="8" s="1"/>
  <c r="AP109" i="8" s="1"/>
  <c r="AT109" i="8" s="1"/>
  <c r="AX109" i="8" s="1"/>
  <c r="BF109" i="8" s="1"/>
  <c r="N106" i="8"/>
  <c r="AD98" i="9"/>
  <c r="AF224" i="28"/>
  <c r="AJ224" i="28" s="1"/>
  <c r="AP224" i="28" s="1"/>
  <c r="AT224" i="28" s="1"/>
  <c r="AX224" i="28" s="1"/>
  <c r="BF224" i="28" s="1"/>
  <c r="AF186" i="28"/>
  <c r="AJ186" i="28" s="1"/>
  <c r="AP186" i="28" s="1"/>
  <c r="AT186" i="28" s="1"/>
  <c r="AX186" i="28" s="1"/>
  <c r="BF186" i="28" s="1"/>
  <c r="AF187" i="28"/>
  <c r="AJ187" i="28" s="1"/>
  <c r="AP187" i="28" s="1"/>
  <c r="AT187" i="28" s="1"/>
  <c r="AX187" i="28" s="1"/>
  <c r="BF187" i="28" s="1"/>
  <c r="AF188" i="28"/>
  <c r="AJ188" i="28" s="1"/>
  <c r="AP188" i="28" s="1"/>
  <c r="AT188" i="28" s="1"/>
  <c r="AX188" i="28" s="1"/>
  <c r="BF188" i="28" s="1"/>
  <c r="AF189" i="28"/>
  <c r="AJ189" i="28" s="1"/>
  <c r="AP189" i="28" s="1"/>
  <c r="AT189" i="28" s="1"/>
  <c r="AX189" i="28" s="1"/>
  <c r="BF189" i="28" s="1"/>
  <c r="AF190" i="28"/>
  <c r="AJ190" i="28" s="1"/>
  <c r="AP190" i="28" s="1"/>
  <c r="AT190" i="28" s="1"/>
  <c r="AX190" i="28" s="1"/>
  <c r="BF190" i="28" s="1"/>
  <c r="AF192" i="28"/>
  <c r="AJ192" i="28" s="1"/>
  <c r="AP192" i="28" s="1"/>
  <c r="AT192" i="28" s="1"/>
  <c r="AX192" i="28" s="1"/>
  <c r="BF192" i="28" s="1"/>
  <c r="AX84" i="8" l="1"/>
  <c r="AJ117" i="8"/>
  <c r="AP115" i="8"/>
  <c r="AT115" i="8" s="1"/>
  <c r="AF103" i="8"/>
  <c r="AJ103" i="8" s="1"/>
  <c r="AP103" i="8" s="1"/>
  <c r="AT103" i="8" s="1"/>
  <c r="AF31" i="36"/>
  <c r="AE31" i="36"/>
  <c r="V31" i="36"/>
  <c r="U31" i="36"/>
  <c r="AT117" i="8" l="1"/>
  <c r="AX115" i="8"/>
  <c r="AT105" i="8"/>
  <c r="AX103" i="8"/>
  <c r="BF84" i="8"/>
  <c r="AJ105" i="8"/>
  <c r="AJ16" i="49"/>
  <c r="AJ17" i="49" s="1"/>
  <c r="AQ48" i="50"/>
  <c r="AU48" i="50" s="1"/>
  <c r="AY48" i="50" s="1"/>
  <c r="AQ50" i="50"/>
  <c r="AU50" i="50" s="1"/>
  <c r="AY50" i="50" s="1"/>
  <c r="AX105" i="8" l="1"/>
  <c r="BF103" i="8"/>
  <c r="BF16" i="49" s="1"/>
  <c r="BF17" i="49" s="1"/>
  <c r="AX16" i="49"/>
  <c r="AX17" i="49" s="1"/>
  <c r="AX117" i="8"/>
  <c r="BF115" i="8"/>
  <c r="G7" i="50"/>
  <c r="I7" i="50"/>
  <c r="M7" i="50"/>
  <c r="Q7" i="50"/>
  <c r="U7" i="50"/>
  <c r="Y7" i="50"/>
  <c r="AE7" i="50"/>
  <c r="AO7" i="50" s="1"/>
  <c r="BE7" i="50" s="1"/>
  <c r="AA7" i="50" l="1"/>
  <c r="K7" i="50"/>
  <c r="O7" i="50" s="1"/>
  <c r="AC38" i="27"/>
  <c r="AM38" i="27" s="1"/>
  <c r="BC38" i="27" s="1"/>
  <c r="AC36" i="27"/>
  <c r="AM36" i="27" s="1"/>
  <c r="BC36" i="27" s="1"/>
  <c r="AC28" i="27"/>
  <c r="AM28" i="27" s="1"/>
  <c r="BC28" i="27" s="1"/>
  <c r="AC30" i="27"/>
  <c r="AM30" i="27" s="1"/>
  <c r="BC30" i="27" s="1"/>
  <c r="AC29" i="27"/>
  <c r="AM29" i="27" s="1"/>
  <c r="BC29" i="27" s="1"/>
  <c r="AC23" i="27"/>
  <c r="AM23" i="27" s="1"/>
  <c r="BC23" i="27" s="1"/>
  <c r="AC20" i="27"/>
  <c r="AM20" i="27" s="1"/>
  <c r="BC20" i="27" s="1"/>
  <c r="AC19" i="27"/>
  <c r="AM19" i="27" s="1"/>
  <c r="BC19" i="27" s="1"/>
  <c r="AC18" i="27"/>
  <c r="AM18" i="27" s="1"/>
  <c r="BC18" i="27" s="1"/>
  <c r="AC7" i="50" l="1"/>
  <c r="AG7" i="50" s="1"/>
  <c r="AK7" i="50" s="1"/>
  <c r="AQ7" i="50" s="1"/>
  <c r="S7" i="50"/>
  <c r="W7" i="50" s="1"/>
  <c r="AC51" i="17"/>
  <c r="AM51" i="17" s="1"/>
  <c r="BC51" i="17" s="1"/>
  <c r="BC52" i="17" s="1"/>
  <c r="AC9" i="17"/>
  <c r="AM9" i="17" s="1"/>
  <c r="AC8" i="17"/>
  <c r="AM8" i="17" s="1"/>
  <c r="BC8" i="17" s="1"/>
  <c r="AD92" i="11"/>
  <c r="AD94" i="11" s="1"/>
  <c r="AM13" i="17" l="1"/>
  <c r="BC9" i="17"/>
  <c r="BC13" i="17" s="1"/>
  <c r="BC12" i="17"/>
  <c r="BC113" i="17" s="1"/>
  <c r="BC112" i="17"/>
  <c r="AU7" i="50"/>
  <c r="AY7" i="50" s="1"/>
  <c r="BG7" i="50" s="1"/>
  <c r="AM112" i="17"/>
  <c r="AM52" i="17"/>
  <c r="AM12" i="17"/>
  <c r="AM10" i="17"/>
  <c r="AD85" i="10"/>
  <c r="AN85" i="10" s="1"/>
  <c r="BD85" i="10" s="1"/>
  <c r="AD84" i="10"/>
  <c r="AD80" i="10"/>
  <c r="AD63" i="10"/>
  <c r="AD43" i="10"/>
  <c r="AN43" i="10" s="1"/>
  <c r="BD43" i="10" s="1"/>
  <c r="AD38" i="10"/>
  <c r="AN38" i="10" s="1"/>
  <c r="BD38" i="10" s="1"/>
  <c r="AD36" i="10"/>
  <c r="AN36" i="10" s="1"/>
  <c r="BD36" i="10" s="1"/>
  <c r="AD32" i="10"/>
  <c r="AD29" i="10"/>
  <c r="AN29" i="10" s="1"/>
  <c r="BD29" i="10" s="1"/>
  <c r="AD25" i="10"/>
  <c r="AN25" i="10" s="1"/>
  <c r="BD25" i="10" s="1"/>
  <c r="AD21" i="10"/>
  <c r="AD16" i="10"/>
  <c r="AN16" i="10" s="1"/>
  <c r="BD16" i="10" s="1"/>
  <c r="AD13" i="10"/>
  <c r="AN13" i="10" s="1"/>
  <c r="BD13" i="10" s="1"/>
  <c r="AD10" i="10"/>
  <c r="BC10" i="17" l="1"/>
  <c r="BC14" i="17"/>
  <c r="AM113" i="17"/>
  <c r="AM14" i="17"/>
  <c r="AN63" i="10"/>
  <c r="BD63" i="10" s="1"/>
  <c r="AN21" i="10"/>
  <c r="BD21" i="10" s="1"/>
  <c r="AN80" i="10"/>
  <c r="BD80" i="10" s="1"/>
  <c r="AN84" i="10"/>
  <c r="BD84" i="10" s="1"/>
  <c r="AN32" i="10"/>
  <c r="BD32" i="10" s="1"/>
  <c r="AN10" i="10"/>
  <c r="BD10" i="10" s="1"/>
  <c r="AD39" i="35"/>
  <c r="AD90" i="9" l="1"/>
  <c r="AN90" i="9" s="1"/>
  <c r="AD61" i="9"/>
  <c r="AN61" i="9" s="1"/>
  <c r="BD61" i="9" s="1"/>
  <c r="AN42" i="9"/>
  <c r="AD30" i="9"/>
  <c r="AN30" i="9" s="1"/>
  <c r="BD30" i="9" s="1"/>
  <c r="AN45" i="9" l="1"/>
  <c r="BD42" i="9"/>
  <c r="BD90" i="9"/>
  <c r="AD46" i="35"/>
  <c r="AD45" i="35"/>
  <c r="BD45" i="9" l="1"/>
  <c r="BD46" i="9"/>
  <c r="BD48" i="9" s="1"/>
  <c r="AG10" i="45"/>
  <c r="AK10" i="45" s="1"/>
  <c r="AQ10" i="45" s="1"/>
  <c r="AU10" i="45" s="1"/>
  <c r="AY10" i="45" s="1"/>
  <c r="BG10" i="45" s="1"/>
  <c r="AG8" i="45"/>
  <c r="AK8" i="45" s="1"/>
  <c r="AQ8" i="45" s="1"/>
  <c r="AU8" i="45" s="1"/>
  <c r="AY8" i="45" s="1"/>
  <c r="BG8" i="45" s="1"/>
  <c r="AO42" i="45"/>
  <c r="AD100" i="10"/>
  <c r="Z12" i="11"/>
  <c r="AB12" i="11" s="1"/>
  <c r="AF12" i="11" s="1"/>
  <c r="AJ12" i="11" s="1"/>
  <c r="AP12" i="11" s="1"/>
  <c r="AB100" i="10"/>
  <c r="AB84" i="10"/>
  <c r="AB85" i="10"/>
  <c r="AF85" i="10" s="1"/>
  <c r="AJ85" i="10" s="1"/>
  <c r="AP85" i="10" s="1"/>
  <c r="AF79" i="10"/>
  <c r="AJ79" i="10" s="1"/>
  <c r="AP79" i="10" s="1"/>
  <c r="AT79" i="10" s="1"/>
  <c r="AX79" i="10" s="1"/>
  <c r="BF79" i="10" s="1"/>
  <c r="AB28" i="10"/>
  <c r="AF28" i="10" s="1"/>
  <c r="AJ28" i="10" s="1"/>
  <c r="AP28" i="10" s="1"/>
  <c r="AF355" i="28"/>
  <c r="AJ355" i="28" s="1"/>
  <c r="AP355" i="28" s="1"/>
  <c r="AT355" i="28" s="1"/>
  <c r="AX355" i="28" s="1"/>
  <c r="BF355" i="28" s="1"/>
  <c r="AF356" i="28"/>
  <c r="AJ356" i="28" s="1"/>
  <c r="AP356" i="28" s="1"/>
  <c r="AT356" i="28" s="1"/>
  <c r="AX356" i="28" s="1"/>
  <c r="BF356" i="28" s="1"/>
  <c r="AF357" i="28"/>
  <c r="AJ357" i="28" s="1"/>
  <c r="AP357" i="28" s="1"/>
  <c r="AT357" i="28" s="1"/>
  <c r="AX357" i="28" s="1"/>
  <c r="BF357" i="28" s="1"/>
  <c r="BE42" i="45" l="1"/>
  <c r="AO61" i="45"/>
  <c r="AQ53" i="59" s="1"/>
  <c r="AO75" i="45"/>
  <c r="AO77" i="45" s="1"/>
  <c r="AT12" i="11"/>
  <c r="AX12" i="11" s="1"/>
  <c r="BF12" i="11" s="1"/>
  <c r="BD74" i="9"/>
  <c r="BD51" i="9"/>
  <c r="BG39" i="59" s="1"/>
  <c r="BD52" i="9"/>
  <c r="BD73" i="9"/>
  <c r="BD72" i="9"/>
  <c r="BD77" i="9"/>
  <c r="BG41" i="59" s="1"/>
  <c r="BD78" i="9"/>
  <c r="BD70" i="9"/>
  <c r="BD75" i="9"/>
  <c r="BD82" i="9"/>
  <c r="BG40" i="59" s="1"/>
  <c r="BD79" i="9"/>
  <c r="BD80" i="9"/>
  <c r="BD69" i="9"/>
  <c r="BD81" i="9"/>
  <c r="BD71" i="9"/>
  <c r="BD76" i="9"/>
  <c r="AT85" i="10"/>
  <c r="AX85" i="10" s="1"/>
  <c r="BF85" i="10" s="1"/>
  <c r="AT28" i="10"/>
  <c r="AX28" i="10" s="1"/>
  <c r="BF28" i="10" s="1"/>
  <c r="AD115" i="10"/>
  <c r="AN100" i="10"/>
  <c r="AF100" i="10"/>
  <c r="AJ100" i="10" s="1"/>
  <c r="AP100" i="10" s="1"/>
  <c r="AF84" i="10"/>
  <c r="BE75" i="45" l="1"/>
  <c r="BE61" i="45"/>
  <c r="BG53" i="59" s="1"/>
  <c r="AN115" i="10"/>
  <c r="AN116" i="10" s="1"/>
  <c r="AN118" i="10" s="1"/>
  <c r="AQ43" i="59" s="1"/>
  <c r="BD100" i="10"/>
  <c r="AT100" i="10"/>
  <c r="AX100" i="10" s="1"/>
  <c r="BF100" i="10" s="1"/>
  <c r="AJ84" i="10"/>
  <c r="AP84" i="10" s="1"/>
  <c r="AC88" i="26"/>
  <c r="AB88" i="26"/>
  <c r="AC74" i="26"/>
  <c r="AB74" i="26"/>
  <c r="AC61" i="26"/>
  <c r="AC57" i="26"/>
  <c r="AC56" i="26"/>
  <c r="AB59" i="26"/>
  <c r="AC51" i="26"/>
  <c r="AB51" i="26"/>
  <c r="AB133" i="26" s="1"/>
  <c r="AC36" i="26"/>
  <c r="AC41" i="26" s="1"/>
  <c r="AM41" i="26" s="1"/>
  <c r="AB36" i="26"/>
  <c r="AB128" i="26" s="1"/>
  <c r="AC32" i="26"/>
  <c r="AB32" i="26"/>
  <c r="AB16" i="26"/>
  <c r="AL16" i="26" s="1"/>
  <c r="BB16" i="26" s="1"/>
  <c r="AB14" i="26"/>
  <c r="AL14" i="26" s="1"/>
  <c r="BB14" i="26" s="1"/>
  <c r="AC11" i="26"/>
  <c r="AC12" i="26" s="1"/>
  <c r="AB10" i="26"/>
  <c r="AL10" i="26" s="1"/>
  <c r="BB10" i="26" s="1"/>
  <c r="AB8" i="26"/>
  <c r="AL8" i="26" s="1"/>
  <c r="BB8" i="26" s="1"/>
  <c r="J11" i="15"/>
  <c r="N11" i="15"/>
  <c r="R11" i="15"/>
  <c r="V11" i="15"/>
  <c r="AB11" i="15"/>
  <c r="H10" i="15"/>
  <c r="L10" i="15" s="1"/>
  <c r="P10" i="15" s="1"/>
  <c r="T10" i="15" s="1"/>
  <c r="Z10" i="15" s="1"/>
  <c r="AD10" i="15" s="1"/>
  <c r="AH10" i="15" s="1"/>
  <c r="X10" i="15"/>
  <c r="D11" i="15"/>
  <c r="AB18" i="15"/>
  <c r="AB17" i="15"/>
  <c r="AB9" i="15"/>
  <c r="AB8" i="15"/>
  <c r="AB7" i="15"/>
  <c r="AB6" i="15"/>
  <c r="AB5" i="15"/>
  <c r="AC37" i="27"/>
  <c r="AC27" i="27"/>
  <c r="AC22" i="27"/>
  <c r="AM22" i="27" s="1"/>
  <c r="BC22" i="27" s="1"/>
  <c r="AC21" i="27"/>
  <c r="AD63" i="22"/>
  <c r="AD58" i="22"/>
  <c r="AD52" i="22"/>
  <c r="AD44" i="22"/>
  <c r="AD28" i="22"/>
  <c r="AD64" i="22" s="1"/>
  <c r="AD24" i="22"/>
  <c r="AD23" i="22"/>
  <c r="AD51" i="22" s="1"/>
  <c r="AD53" i="22" s="1"/>
  <c r="AD14" i="22"/>
  <c r="AD59" i="22" s="1"/>
  <c r="AD10" i="22"/>
  <c r="AD9" i="22"/>
  <c r="AD43" i="22" s="1"/>
  <c r="AE43" i="50"/>
  <c r="AO43" i="50" s="1"/>
  <c r="BE43" i="50" s="1"/>
  <c r="AE45" i="50"/>
  <c r="AO45" i="50" s="1"/>
  <c r="BE45" i="50" s="1"/>
  <c r="AE42" i="50"/>
  <c r="AO42" i="50" s="1"/>
  <c r="BE42" i="50" s="1"/>
  <c r="AE35" i="50"/>
  <c r="AO35" i="50" s="1"/>
  <c r="BE35" i="50" s="1"/>
  <c r="AE36" i="50"/>
  <c r="AO36" i="50" s="1"/>
  <c r="BE36" i="50" s="1"/>
  <c r="AE39" i="50"/>
  <c r="AO39" i="50" s="1"/>
  <c r="BE39" i="50" s="1"/>
  <c r="AE40" i="50"/>
  <c r="AO40" i="50" s="1"/>
  <c r="BE40" i="50" s="1"/>
  <c r="AE34" i="50"/>
  <c r="AO34" i="50" s="1"/>
  <c r="BE34" i="50" s="1"/>
  <c r="AE5" i="50"/>
  <c r="AO5" i="50" s="1"/>
  <c r="BE5" i="50" s="1"/>
  <c r="AE6" i="50"/>
  <c r="AO6" i="50" s="1"/>
  <c r="BE6" i="50" s="1"/>
  <c r="AE10" i="50"/>
  <c r="AO10" i="50" s="1"/>
  <c r="BE10" i="50" s="1"/>
  <c r="AE11" i="50"/>
  <c r="AO11" i="50" s="1"/>
  <c r="BE11" i="50" s="1"/>
  <c r="AE13" i="50"/>
  <c r="AO13" i="50" s="1"/>
  <c r="BE13" i="50" s="1"/>
  <c r="AE14" i="50"/>
  <c r="AO14" i="50" s="1"/>
  <c r="BE14" i="50" s="1"/>
  <c r="AE15" i="50"/>
  <c r="AO15" i="50" s="1"/>
  <c r="BE15" i="50" s="1"/>
  <c r="AE18" i="50"/>
  <c r="AO18" i="50" s="1"/>
  <c r="BE18" i="50" s="1"/>
  <c r="AE20" i="50"/>
  <c r="AO20" i="50" s="1"/>
  <c r="BE20" i="50" s="1"/>
  <c r="AE21" i="50"/>
  <c r="AO21" i="50" s="1"/>
  <c r="BE21" i="50" s="1"/>
  <c r="AE22" i="50"/>
  <c r="AO22" i="50" s="1"/>
  <c r="BE22" i="50" s="1"/>
  <c r="AE23" i="50"/>
  <c r="AO23" i="50" s="1"/>
  <c r="BE23" i="50" s="1"/>
  <c r="AE24" i="50"/>
  <c r="AO24" i="50" s="1"/>
  <c r="BE24" i="50" s="1"/>
  <c r="AE25" i="50"/>
  <c r="AO25" i="50" s="1"/>
  <c r="BE25" i="50" s="1"/>
  <c r="AE27" i="50"/>
  <c r="AO27" i="50" s="1"/>
  <c r="BE27" i="50" s="1"/>
  <c r="AE28" i="50"/>
  <c r="AO28" i="50" s="1"/>
  <c r="BE28" i="50" s="1"/>
  <c r="AE29" i="50"/>
  <c r="AO29" i="50" s="1"/>
  <c r="BE29" i="50" s="1"/>
  <c r="AE30" i="50"/>
  <c r="AO30" i="50" s="1"/>
  <c r="BE30" i="50" s="1"/>
  <c r="AE32" i="50"/>
  <c r="AO32" i="50" s="1"/>
  <c r="BE32" i="50" s="1"/>
  <c r="AE4" i="50"/>
  <c r="AO4" i="50" s="1"/>
  <c r="BE4" i="50" s="1"/>
  <c r="AE70" i="50"/>
  <c r="AE60" i="50"/>
  <c r="X13" i="52"/>
  <c r="W13" i="52"/>
  <c r="X8" i="52"/>
  <c r="W8" i="52"/>
  <c r="AB113" i="17"/>
  <c r="AB111" i="17"/>
  <c r="AD88" i="17"/>
  <c r="AH88" i="17" s="1"/>
  <c r="AN88" i="17" s="1"/>
  <c r="AR88" i="17" s="1"/>
  <c r="AC81" i="17"/>
  <c r="AB81" i="17"/>
  <c r="AC77" i="17"/>
  <c r="AB77" i="17"/>
  <c r="AC66" i="17"/>
  <c r="AC68" i="17" s="1"/>
  <c r="AB66" i="17"/>
  <c r="AB68" i="17" s="1"/>
  <c r="AB60" i="17"/>
  <c r="AL60" i="17" s="1"/>
  <c r="BB60" i="17" s="1"/>
  <c r="AC58" i="17"/>
  <c r="AM89" i="17" s="1"/>
  <c r="BC89" i="17" s="1"/>
  <c r="AB57" i="17"/>
  <c r="AL57" i="17" s="1"/>
  <c r="BB57" i="17" s="1"/>
  <c r="AB56" i="17"/>
  <c r="AL56" i="17" s="1"/>
  <c r="BB56" i="17" s="1"/>
  <c r="AB54" i="17"/>
  <c r="AC52" i="17"/>
  <c r="AB51" i="17"/>
  <c r="AL51" i="17" s="1"/>
  <c r="AC48" i="17"/>
  <c r="AB47" i="17"/>
  <c r="AL47" i="17" s="1"/>
  <c r="AC46" i="17"/>
  <c r="AB45" i="17"/>
  <c r="AL45" i="17" s="1"/>
  <c r="AC43" i="17"/>
  <c r="AB43" i="17"/>
  <c r="AL43" i="17" s="1"/>
  <c r="BB43" i="17" s="1"/>
  <c r="AC42" i="17"/>
  <c r="AC40" i="17"/>
  <c r="AC38" i="17"/>
  <c r="AC25" i="17"/>
  <c r="AM25" i="17" s="1"/>
  <c r="BC25" i="17" s="1"/>
  <c r="AB25" i="17"/>
  <c r="AL25" i="17" s="1"/>
  <c r="BB25" i="17" s="1"/>
  <c r="AC21" i="17"/>
  <c r="AB18" i="17"/>
  <c r="AL18" i="17" s="1"/>
  <c r="BB18" i="17" s="1"/>
  <c r="AB17" i="17"/>
  <c r="AL17" i="17" s="1"/>
  <c r="AB15" i="17"/>
  <c r="AB14" i="17"/>
  <c r="AC11" i="17"/>
  <c r="AC13" i="17"/>
  <c r="AB8" i="17"/>
  <c r="AE74" i="45"/>
  <c r="AO74" i="45" s="1"/>
  <c r="AE73" i="45"/>
  <c r="AE71" i="45"/>
  <c r="AE65" i="45"/>
  <c r="AE72" i="45" s="1"/>
  <c r="AE60" i="45"/>
  <c r="AO60" i="45" s="1"/>
  <c r="BE60" i="45" s="1"/>
  <c r="AD60" i="45"/>
  <c r="AN60" i="45" s="1"/>
  <c r="BD60" i="45" s="1"/>
  <c r="AE59" i="45"/>
  <c r="AO59" i="45" s="1"/>
  <c r="BE59" i="45" s="1"/>
  <c r="AD59" i="45"/>
  <c r="AN59" i="45" s="1"/>
  <c r="BD59" i="45" s="1"/>
  <c r="AE58" i="45"/>
  <c r="AO58" i="45" s="1"/>
  <c r="BE58" i="45" s="1"/>
  <c r="AD58" i="45"/>
  <c r="AN58" i="45" s="1"/>
  <c r="BD58" i="45" s="1"/>
  <c r="AE56" i="45"/>
  <c r="AE54" i="45"/>
  <c r="AD54" i="45"/>
  <c r="AE52" i="45"/>
  <c r="AG52" i="59" s="1"/>
  <c r="AD52" i="45"/>
  <c r="AF52" i="59" s="1"/>
  <c r="AE49" i="45"/>
  <c r="AO49" i="45" s="1"/>
  <c r="AD49" i="45"/>
  <c r="AE44" i="45"/>
  <c r="AE61" i="45"/>
  <c r="AG53" i="59" s="1"/>
  <c r="AD42" i="45"/>
  <c r="AD83" i="11"/>
  <c r="AD81" i="11"/>
  <c r="AD75" i="11"/>
  <c r="AD82" i="11" s="1"/>
  <c r="AD70" i="11"/>
  <c r="AN70" i="11" s="1"/>
  <c r="BD70" i="11" s="1"/>
  <c r="AC70" i="11"/>
  <c r="AM70" i="11" s="1"/>
  <c r="BC70" i="11" s="1"/>
  <c r="AD69" i="11"/>
  <c r="AN69" i="11" s="1"/>
  <c r="BD69" i="11" s="1"/>
  <c r="AC69" i="11"/>
  <c r="AM69" i="11" s="1"/>
  <c r="BC69" i="11" s="1"/>
  <c r="AD68" i="11"/>
  <c r="AN68" i="11" s="1"/>
  <c r="BD68" i="11" s="1"/>
  <c r="AC68" i="11"/>
  <c r="AM68" i="11" s="1"/>
  <c r="BC68" i="11" s="1"/>
  <c r="AD66" i="11"/>
  <c r="AD64" i="11"/>
  <c r="AC64" i="11"/>
  <c r="AD62" i="11"/>
  <c r="AG48" i="59" s="1"/>
  <c r="AC62" i="11"/>
  <c r="AF48" i="59" s="1"/>
  <c r="AD59" i="11"/>
  <c r="AC59" i="11"/>
  <c r="AD54" i="11"/>
  <c r="AD77" i="11" s="1"/>
  <c r="AC52" i="11"/>
  <c r="AC71" i="11" s="1"/>
  <c r="AF49" i="59" s="1"/>
  <c r="AD56" i="11"/>
  <c r="AD61" i="45" l="1"/>
  <c r="AF53" i="59" s="1"/>
  <c r="AN42" i="45"/>
  <c r="BD42" i="45" s="1"/>
  <c r="AO50" i="45"/>
  <c r="BE49" i="45"/>
  <c r="BE50" i="45" s="1"/>
  <c r="AN134" i="10"/>
  <c r="AQ45" i="59" s="1"/>
  <c r="AO79" i="45"/>
  <c r="BE74" i="45"/>
  <c r="BE77" i="45"/>
  <c r="BE79" i="45"/>
  <c r="BB58" i="17"/>
  <c r="AL46" i="17"/>
  <c r="BB45" i="17"/>
  <c r="BB46" i="17" s="1"/>
  <c r="AL52" i="17"/>
  <c r="AL113" i="17" s="1"/>
  <c r="BB51" i="17"/>
  <c r="BB52" i="17" s="1"/>
  <c r="BB113" i="17" s="1"/>
  <c r="AL21" i="17"/>
  <c r="AL31" i="17" s="1"/>
  <c r="BB17" i="17"/>
  <c r="BB21" i="17" s="1"/>
  <c r="BB44" i="17"/>
  <c r="AL48" i="17"/>
  <c r="BB47" i="17"/>
  <c r="BB48" i="17" s="1"/>
  <c r="BB11" i="26"/>
  <c r="BB18" i="26" s="1"/>
  <c r="AN147" i="10"/>
  <c r="AC25" i="27"/>
  <c r="AM21" i="27"/>
  <c r="AC60" i="11"/>
  <c r="AM59" i="11"/>
  <c r="AD60" i="11"/>
  <c r="AN59" i="11"/>
  <c r="AM6" i="26"/>
  <c r="BC6" i="26" s="1"/>
  <c r="AD45" i="22"/>
  <c r="AD26" i="22"/>
  <c r="AN24" i="22"/>
  <c r="AC34" i="27"/>
  <c r="AM27" i="27"/>
  <c r="AB84" i="17"/>
  <c r="AL59" i="26"/>
  <c r="BB59" i="26" s="1"/>
  <c r="AT84" i="10"/>
  <c r="AX84" i="10" s="1"/>
  <c r="BF84" i="10" s="1"/>
  <c r="AD12" i="22"/>
  <c r="AN10" i="22"/>
  <c r="AC40" i="27"/>
  <c r="AM37" i="27"/>
  <c r="AL11" i="26"/>
  <c r="AL17" i="26" s="1"/>
  <c r="AO41" i="50"/>
  <c r="AL33" i="17"/>
  <c r="AL44" i="17"/>
  <c r="AL49" i="17"/>
  <c r="AC49" i="17"/>
  <c r="AC110" i="17" s="1"/>
  <c r="AM43" i="17"/>
  <c r="BC43" i="17" s="1"/>
  <c r="AC15" i="17"/>
  <c r="AM15" i="17" s="1"/>
  <c r="BC15" i="17" s="1"/>
  <c r="AM34" i="17"/>
  <c r="AL58" i="17"/>
  <c r="AB112" i="17"/>
  <c r="AL8" i="17"/>
  <c r="BB8" i="17" s="1"/>
  <c r="AB29" i="17"/>
  <c r="AL15" i="17"/>
  <c r="AO46" i="50"/>
  <c r="AO33" i="50"/>
  <c r="AE14" i="61"/>
  <c r="AO14" i="61" s="1"/>
  <c r="BE14" i="61" s="1"/>
  <c r="AE18" i="61"/>
  <c r="AO18" i="61" s="1"/>
  <c r="BE18" i="61" s="1"/>
  <c r="AE11" i="61"/>
  <c r="AO11" i="61" s="1"/>
  <c r="BE11" i="61" s="1"/>
  <c r="AE17" i="61"/>
  <c r="AO17" i="61" s="1"/>
  <c r="BE17" i="61" s="1"/>
  <c r="AE10" i="61"/>
  <c r="AO10" i="61" s="1"/>
  <c r="BE10" i="61" s="1"/>
  <c r="AE16" i="61"/>
  <c r="AO16" i="61" s="1"/>
  <c r="BE16" i="61" s="1"/>
  <c r="AE9" i="61"/>
  <c r="AB21" i="17"/>
  <c r="AM63" i="26"/>
  <c r="BC63" i="26" s="1"/>
  <c r="AD65" i="22"/>
  <c r="AD66" i="22" s="1"/>
  <c r="AD60" i="22"/>
  <c r="AD61" i="22" s="1"/>
  <c r="AD50" i="45"/>
  <c r="AN49" i="45"/>
  <c r="AE57" i="45"/>
  <c r="AO56" i="45"/>
  <c r="AD67" i="11"/>
  <c r="AN66" i="11"/>
  <c r="AN149" i="10"/>
  <c r="AN151" i="10"/>
  <c r="AB14" i="15"/>
  <c r="AB15" i="15" s="1"/>
  <c r="X14" i="52"/>
  <c r="AB10" i="17"/>
  <c r="AB115" i="17"/>
  <c r="AD43" i="45"/>
  <c r="AD46" i="45" s="1"/>
  <c r="AE67" i="45"/>
  <c r="AE43" i="45"/>
  <c r="AE46" i="45" s="1"/>
  <c r="AB11" i="26"/>
  <c r="AB18" i="26" s="1"/>
  <c r="AB37" i="26"/>
  <c r="AB41" i="26"/>
  <c r="AB40" i="26"/>
  <c r="AB61" i="26"/>
  <c r="AC17" i="26"/>
  <c r="AC18" i="26"/>
  <c r="AC37" i="26"/>
  <c r="AB56" i="26"/>
  <c r="AB57" i="26"/>
  <c r="AC40" i="26"/>
  <c r="AB12" i="15"/>
  <c r="AB13" i="15" s="1"/>
  <c r="AD47" i="22"/>
  <c r="AD48" i="22" s="1"/>
  <c r="AD55" i="22"/>
  <c r="AD56" i="22" s="1"/>
  <c r="AE33" i="50"/>
  <c r="AD119" i="10" s="1"/>
  <c r="AE46" i="50"/>
  <c r="AE41" i="50"/>
  <c r="W14" i="52"/>
  <c r="AC10" i="17"/>
  <c r="AB49" i="17"/>
  <c r="AB58" i="17"/>
  <c r="AC61" i="17"/>
  <c r="AC12" i="17"/>
  <c r="AC113" i="17" s="1"/>
  <c r="AC44" i="17"/>
  <c r="AC59" i="17"/>
  <c r="AC112" i="17"/>
  <c r="AE66" i="45"/>
  <c r="AE76" i="45"/>
  <c r="AE75" i="45"/>
  <c r="AE79" i="45" s="1"/>
  <c r="AE50" i="45"/>
  <c r="AD76" i="11"/>
  <c r="AC53" i="11"/>
  <c r="AC55" i="11" s="1"/>
  <c r="AF47" i="59" s="1"/>
  <c r="AD85" i="11"/>
  <c r="AD52" i="11"/>
  <c r="AD146" i="10"/>
  <c r="AD144" i="10"/>
  <c r="AD138" i="10"/>
  <c r="AD139" i="10" s="1"/>
  <c r="AD133" i="10"/>
  <c r="AN133" i="10" s="1"/>
  <c r="BD133" i="10" s="1"/>
  <c r="AC133" i="10"/>
  <c r="AM133" i="10" s="1"/>
  <c r="BC133" i="10" s="1"/>
  <c r="AD132" i="10"/>
  <c r="AN132" i="10" s="1"/>
  <c r="BD132" i="10" s="1"/>
  <c r="AC132" i="10"/>
  <c r="AM132" i="10" s="1"/>
  <c r="BC132" i="10" s="1"/>
  <c r="AD131" i="10"/>
  <c r="AN131" i="10" s="1"/>
  <c r="BD131" i="10" s="1"/>
  <c r="AC131" i="10"/>
  <c r="AM131" i="10" s="1"/>
  <c r="BC131" i="10" s="1"/>
  <c r="AD129" i="10"/>
  <c r="AD127" i="10"/>
  <c r="AC127" i="10"/>
  <c r="AD125" i="10"/>
  <c r="AG44" i="59" s="1"/>
  <c r="AC125" i="10"/>
  <c r="AF44" i="59" s="1"/>
  <c r="AD122" i="10"/>
  <c r="AC122" i="10"/>
  <c r="AD117" i="10"/>
  <c r="AD148" i="10" s="1"/>
  <c r="AD134" i="10"/>
  <c r="AG45" i="59" s="1"/>
  <c r="AC115" i="10"/>
  <c r="AC116" i="10" s="1"/>
  <c r="AC118" i="10" s="1"/>
  <c r="AF43" i="59" s="1"/>
  <c r="AD133" i="9"/>
  <c r="AD135" i="9" s="1"/>
  <c r="AD94" i="9"/>
  <c r="AN94" i="9" s="1"/>
  <c r="AD93" i="9"/>
  <c r="AC93" i="9"/>
  <c r="AD92" i="9"/>
  <c r="AC92" i="9"/>
  <c r="AD88" i="9"/>
  <c r="AC85" i="9"/>
  <c r="AC84" i="9"/>
  <c r="AC71" i="9"/>
  <c r="AD56" i="9"/>
  <c r="AC46" i="9"/>
  <c r="AM46" i="9" s="1"/>
  <c r="BC46" i="9" s="1"/>
  <c r="AD45" i="9"/>
  <c r="AD38" i="9"/>
  <c r="AD46" i="9" s="1"/>
  <c r="AN46" i="9" s="1"/>
  <c r="AD37" i="9"/>
  <c r="AD39" i="9"/>
  <c r="AD47" i="9" s="1"/>
  <c r="AN47" i="9" s="1"/>
  <c r="AD28" i="9"/>
  <c r="AD29" i="9" s="1"/>
  <c r="AC27" i="9"/>
  <c r="AM27" i="9" s="1"/>
  <c r="BC27" i="9" s="1"/>
  <c r="AC25" i="9"/>
  <c r="AM25" i="9" s="1"/>
  <c r="BC25" i="9" s="1"/>
  <c r="AD22" i="9"/>
  <c r="AN22" i="9" s="1"/>
  <c r="AD10" i="9"/>
  <c r="AD5" i="9"/>
  <c r="AC5" i="9"/>
  <c r="AD117" i="8"/>
  <c r="AD118" i="8" s="1"/>
  <c r="AD105" i="8"/>
  <c r="AD106" i="8" s="1"/>
  <c r="AD85" i="8"/>
  <c r="AD80" i="8"/>
  <c r="AD77" i="8"/>
  <c r="AD75" i="8"/>
  <c r="AC75" i="8"/>
  <c r="AD74" i="8"/>
  <c r="AC74" i="8"/>
  <c r="AC65" i="8"/>
  <c r="AD60" i="8"/>
  <c r="AD64" i="8" s="1"/>
  <c r="AD58" i="8"/>
  <c r="AD55" i="8"/>
  <c r="AD54" i="8"/>
  <c r="AD52" i="8"/>
  <c r="AD45" i="8"/>
  <c r="AC45" i="8"/>
  <c r="AC38" i="8"/>
  <c r="AC37" i="8"/>
  <c r="AC36" i="8"/>
  <c r="AD25" i="8"/>
  <c r="AD20" i="8"/>
  <c r="AC20" i="8"/>
  <c r="AC18" i="8"/>
  <c r="AD16" i="8"/>
  <c r="AC16" i="8"/>
  <c r="AD14" i="8"/>
  <c r="AD13" i="8"/>
  <c r="AC13" i="8"/>
  <c r="AD12" i="8"/>
  <c r="AC12" i="8"/>
  <c r="AD5" i="8"/>
  <c r="AD46" i="8" s="1"/>
  <c r="AC5" i="8"/>
  <c r="AC27" i="8" s="1"/>
  <c r="AE14" i="39"/>
  <c r="AD71" i="7"/>
  <c r="AC71" i="7"/>
  <c r="AD69" i="7"/>
  <c r="AD62" i="7"/>
  <c r="AC62" i="7"/>
  <c r="AD58" i="7"/>
  <c r="AD60" i="7" s="1"/>
  <c r="AC58" i="7"/>
  <c r="AC60" i="7" s="1"/>
  <c r="AD54" i="7"/>
  <c r="AD45" i="7" s="1"/>
  <c r="AC54" i="7"/>
  <c r="AC55" i="7" s="1"/>
  <c r="AD25" i="7"/>
  <c r="AD80" i="7" s="1"/>
  <c r="AD16" i="7"/>
  <c r="AD30" i="7" s="1"/>
  <c r="AC16" i="7"/>
  <c r="AC30" i="7" s="1"/>
  <c r="AD156" i="6"/>
  <c r="AD155" i="6"/>
  <c r="AC155" i="6"/>
  <c r="AD154" i="6"/>
  <c r="AC154" i="6"/>
  <c r="AD130" i="6"/>
  <c r="AD129" i="6"/>
  <c r="AC129" i="6"/>
  <c r="AD105" i="6"/>
  <c r="AD104" i="6"/>
  <c r="AD103" i="6"/>
  <c r="AC103" i="6"/>
  <c r="AD100" i="6"/>
  <c r="AC100" i="6"/>
  <c r="AD99" i="6"/>
  <c r="AC99" i="6"/>
  <c r="AD97" i="6"/>
  <c r="AC97" i="6"/>
  <c r="AD96" i="6"/>
  <c r="AN96" i="6" s="1"/>
  <c r="BD96" i="6" s="1"/>
  <c r="AC96" i="6"/>
  <c r="AM96" i="6" s="1"/>
  <c r="BC96" i="6" s="1"/>
  <c r="AD95" i="6"/>
  <c r="AC95" i="6"/>
  <c r="AD94" i="6"/>
  <c r="AC94" i="6"/>
  <c r="AD87" i="6"/>
  <c r="AC87" i="6"/>
  <c r="AD84" i="6"/>
  <c r="AC84" i="6"/>
  <c r="AD73" i="6"/>
  <c r="AC73" i="6"/>
  <c r="AD70" i="6"/>
  <c r="AC70" i="6"/>
  <c r="AD52" i="6"/>
  <c r="AC52" i="6"/>
  <c r="AD44" i="6"/>
  <c r="AC44" i="6"/>
  <c r="AD41" i="6"/>
  <c r="AC41" i="6"/>
  <c r="AC37" i="6"/>
  <c r="AD28" i="6"/>
  <c r="AD25" i="6"/>
  <c r="AD22" i="6"/>
  <c r="AD18" i="6"/>
  <c r="AD17" i="6"/>
  <c r="AD29" i="6" s="1"/>
  <c r="AC6" i="6"/>
  <c r="AC14" i="6" s="1"/>
  <c r="AC5" i="6"/>
  <c r="AC13" i="6" s="1"/>
  <c r="AL32" i="17" l="1"/>
  <c r="AL30" i="17"/>
  <c r="AL34" i="17"/>
  <c r="BB34" i="17" s="1"/>
  <c r="BB17" i="26"/>
  <c r="BB12" i="26"/>
  <c r="AD23" i="7"/>
  <c r="AD78" i="7" s="1"/>
  <c r="AN50" i="45"/>
  <c r="BD49" i="45"/>
  <c r="BD50" i="45" s="1"/>
  <c r="AN26" i="22"/>
  <c r="BD24" i="22"/>
  <c r="BD26" i="22" s="1"/>
  <c r="AM25" i="27"/>
  <c r="BC21" i="27"/>
  <c r="BC25" i="27" s="1"/>
  <c r="AN43" i="45"/>
  <c r="AN46" i="45" s="1"/>
  <c r="AD45" i="45"/>
  <c r="AF51" i="59" s="1"/>
  <c r="AN12" i="22"/>
  <c r="BD10" i="22"/>
  <c r="BD12" i="22" s="1"/>
  <c r="AD19" i="7"/>
  <c r="AD43" i="7"/>
  <c r="AL50" i="17"/>
  <c r="AM34" i="27"/>
  <c r="BC27" i="27"/>
  <c r="BC34" i="27" s="1"/>
  <c r="BB50" i="17"/>
  <c r="BB54" i="17" s="1"/>
  <c r="BD61" i="45"/>
  <c r="BF53" i="59" s="1"/>
  <c r="AD21" i="7"/>
  <c r="AD48" i="7"/>
  <c r="AO43" i="45"/>
  <c r="AO46" i="45" s="1"/>
  <c r="AE45" i="45"/>
  <c r="AG51" i="59" s="1"/>
  <c r="AE47" i="45"/>
  <c r="AM40" i="27"/>
  <c r="BC37" i="27"/>
  <c r="BC40" i="27" s="1"/>
  <c r="BB112" i="17"/>
  <c r="BB10" i="17"/>
  <c r="BC29" i="17"/>
  <c r="BC33" i="17"/>
  <c r="BC31" i="17"/>
  <c r="BC30" i="17"/>
  <c r="BB33" i="17"/>
  <c r="BB30" i="17"/>
  <c r="BB31" i="17"/>
  <c r="BB32" i="17"/>
  <c r="BC49" i="17"/>
  <c r="BC44" i="17"/>
  <c r="AL29" i="17"/>
  <c r="BB15" i="17"/>
  <c r="BB29" i="17" s="1"/>
  <c r="BB49" i="17"/>
  <c r="BC34" i="17"/>
  <c r="BC32" i="17"/>
  <c r="BB59" i="17"/>
  <c r="BB61" i="17"/>
  <c r="AB132" i="26"/>
  <c r="AB125" i="26"/>
  <c r="AL41" i="26"/>
  <c r="BB61" i="26"/>
  <c r="BB84" i="17"/>
  <c r="AN60" i="11"/>
  <c r="BD59" i="11"/>
  <c r="BD60" i="11" s="1"/>
  <c r="AM60" i="11"/>
  <c r="BC59" i="11"/>
  <c r="BC60" i="11" s="1"/>
  <c r="AB30" i="17"/>
  <c r="AC33" i="17"/>
  <c r="AC32" i="17"/>
  <c r="AB31" i="17"/>
  <c r="AN67" i="11"/>
  <c r="BD66" i="11"/>
  <c r="BD67" i="11" s="1"/>
  <c r="AO57" i="45"/>
  <c r="BE56" i="45"/>
  <c r="BE57" i="45" s="1"/>
  <c r="AC39" i="8"/>
  <c r="BC28" i="9"/>
  <c r="AC29" i="17"/>
  <c r="AL61" i="26"/>
  <c r="AL84" i="17"/>
  <c r="BD22" i="9"/>
  <c r="AC15" i="8"/>
  <c r="AN48" i="9"/>
  <c r="AN77" i="9" s="1"/>
  <c r="AQ41" i="59" s="1"/>
  <c r="BD94" i="9"/>
  <c r="AC30" i="17"/>
  <c r="AL18" i="26"/>
  <c r="AL12" i="26"/>
  <c r="BC52" i="9"/>
  <c r="BC51" i="9"/>
  <c r="BF39" i="59" s="1"/>
  <c r="BC74" i="9"/>
  <c r="BC70" i="9"/>
  <c r="AC31" i="17"/>
  <c r="AM34" i="26"/>
  <c r="BC34" i="26" s="1"/>
  <c r="AM28" i="9"/>
  <c r="AD91" i="9"/>
  <c r="AM74" i="9"/>
  <c r="AM52" i="9"/>
  <c r="AM70" i="9"/>
  <c r="AO71" i="50"/>
  <c r="AC86" i="9"/>
  <c r="AC50" i="17"/>
  <c r="AC111" i="17" s="1"/>
  <c r="AC115" i="17" s="1"/>
  <c r="AC53" i="17"/>
  <c r="AC54" i="17" s="1"/>
  <c r="AL89" i="17"/>
  <c r="BB89" i="17" s="1"/>
  <c r="AL59" i="17"/>
  <c r="AL61" i="17"/>
  <c r="AL53" i="17"/>
  <c r="AL110" i="17"/>
  <c r="AB32" i="17"/>
  <c r="AL10" i="17"/>
  <c r="AL112" i="17"/>
  <c r="AM29" i="17"/>
  <c r="AM31" i="17"/>
  <c r="AM33" i="17"/>
  <c r="AM30" i="17"/>
  <c r="AL54" i="17"/>
  <c r="AL111" i="17"/>
  <c r="AL115" i="17" s="1"/>
  <c r="AB33" i="17"/>
  <c r="AM49" i="17"/>
  <c r="AM44" i="17"/>
  <c r="AM32" i="17"/>
  <c r="AO9" i="61"/>
  <c r="BE9" i="61" s="1"/>
  <c r="AE19" i="61"/>
  <c r="AO19" i="61" s="1"/>
  <c r="BE19" i="61" s="1"/>
  <c r="AD123" i="10"/>
  <c r="AN122" i="10"/>
  <c r="AC123" i="10"/>
  <c r="AM122" i="10"/>
  <c r="AD130" i="10"/>
  <c r="AN129" i="10"/>
  <c r="AN119" i="10"/>
  <c r="AN120" i="10" s="1"/>
  <c r="AB12" i="26"/>
  <c r="AC114" i="17"/>
  <c r="AC14" i="17"/>
  <c r="AD27" i="7"/>
  <c r="AD77" i="7" s="1"/>
  <c r="AD47" i="7"/>
  <c r="AD85" i="9"/>
  <c r="AC18" i="7"/>
  <c r="AC74" i="7" s="1"/>
  <c r="AF22" i="59" s="1"/>
  <c r="AC21" i="7"/>
  <c r="AC84" i="7" s="1"/>
  <c r="AF25" i="59" s="1"/>
  <c r="AC22" i="7"/>
  <c r="AC81" i="7" s="1"/>
  <c r="AC25" i="7"/>
  <c r="AC80" i="7" s="1"/>
  <c r="AC26" i="7"/>
  <c r="AC83" i="7" s="1"/>
  <c r="AC11" i="6"/>
  <c r="AC12" i="6"/>
  <c r="AD30" i="6"/>
  <c r="AD31" i="6" s="1"/>
  <c r="AC19" i="7"/>
  <c r="AC75" i="7" s="1"/>
  <c r="AF23" i="59" s="1"/>
  <c r="AC20" i="7"/>
  <c r="AC76" i="7" s="1"/>
  <c r="AF24" i="59" s="1"/>
  <c r="AC23" i="7"/>
  <c r="AC78" i="7" s="1"/>
  <c r="AC24" i="7"/>
  <c r="AC79" i="7" s="1"/>
  <c r="AC27" i="7"/>
  <c r="AC77" i="7" s="1"/>
  <c r="AC65" i="7"/>
  <c r="AC90" i="26"/>
  <c r="AD33" i="22"/>
  <c r="AD14" i="9"/>
  <c r="AN14" i="9" s="1"/>
  <c r="BD14" i="9" s="1"/>
  <c r="AC68" i="7"/>
  <c r="AF21" i="59" s="1"/>
  <c r="AC5" i="26"/>
  <c r="AD15" i="8"/>
  <c r="AD78" i="8"/>
  <c r="AC33" i="22"/>
  <c r="AB90" i="26"/>
  <c r="AB17" i="26"/>
  <c r="AE71" i="50"/>
  <c r="AB61" i="17"/>
  <c r="AB59" i="17"/>
  <c r="AB53" i="17"/>
  <c r="AB110" i="17"/>
  <c r="AB114" i="17" s="1"/>
  <c r="AE77" i="45"/>
  <c r="AD53" i="11"/>
  <c r="AD71" i="11"/>
  <c r="AG49" i="59" s="1"/>
  <c r="AD84" i="11"/>
  <c r="AD116" i="10"/>
  <c r="AC134" i="10"/>
  <c r="AF45" i="59" s="1"/>
  <c r="AD140" i="10"/>
  <c r="AD147" i="10"/>
  <c r="AD149" i="10" s="1"/>
  <c r="AD145" i="10"/>
  <c r="AD136" i="9"/>
  <c r="AD140" i="9" s="1"/>
  <c r="AC28" i="9"/>
  <c r="AC83" i="9" s="1"/>
  <c r="AD48" i="9"/>
  <c r="AC7" i="9"/>
  <c r="AC58" i="9"/>
  <c r="AM58" i="9" s="1"/>
  <c r="AC65" i="9"/>
  <c r="AM65" i="9" s="1"/>
  <c r="AC87" i="9"/>
  <c r="AM87" i="9" s="1"/>
  <c r="BC87" i="9" s="1"/>
  <c r="AC22" i="9"/>
  <c r="AM22" i="9" s="1"/>
  <c r="AC57" i="9"/>
  <c r="AM57" i="9" s="1"/>
  <c r="AC60" i="9"/>
  <c r="AM60" i="9" s="1"/>
  <c r="AC64" i="9"/>
  <c r="AM64" i="9" s="1"/>
  <c r="AD84" i="9"/>
  <c r="AC90" i="9"/>
  <c r="AM90" i="9" s="1"/>
  <c r="AD95" i="9"/>
  <c r="AC30" i="9"/>
  <c r="AM30" i="9" s="1"/>
  <c r="BC30" i="9" s="1"/>
  <c r="AD34" i="9"/>
  <c r="AD40" i="9" s="1"/>
  <c r="AC63" i="9"/>
  <c r="AM63" i="9" s="1"/>
  <c r="AC67" i="9"/>
  <c r="AM67" i="9" s="1"/>
  <c r="AD89" i="9"/>
  <c r="AC18" i="15" s="1"/>
  <c r="AC54" i="9"/>
  <c r="AM54" i="9" s="1"/>
  <c r="BC54" i="9" s="1"/>
  <c r="AC62" i="9"/>
  <c r="AM62" i="9" s="1"/>
  <c r="AC66" i="9"/>
  <c r="AM66" i="9" s="1"/>
  <c r="AD34" i="8"/>
  <c r="AD32" i="8"/>
  <c r="AC60" i="8"/>
  <c r="AC26" i="8"/>
  <c r="AD42" i="8"/>
  <c r="AD56" i="8"/>
  <c r="AD62" i="8" s="1"/>
  <c r="AD87" i="8"/>
  <c r="AD89" i="8"/>
  <c r="AD137" i="9" s="1"/>
  <c r="AC24" i="8"/>
  <c r="AC29" i="8"/>
  <c r="AD41" i="8"/>
  <c r="AD68" i="8"/>
  <c r="AG33" i="59" s="1"/>
  <c r="AD72" i="8"/>
  <c r="AC23" i="8"/>
  <c r="AC28" i="8"/>
  <c r="AD40" i="8"/>
  <c r="AC46" i="8"/>
  <c r="AD63" i="8"/>
  <c r="AC71" i="8"/>
  <c r="AC22" i="8"/>
  <c r="AD36" i="8"/>
  <c r="AD37" i="8"/>
  <c r="AD38" i="8"/>
  <c r="AD43" i="8"/>
  <c r="AD18" i="7"/>
  <c r="AD74" i="7" s="1"/>
  <c r="AG22" i="59" s="1"/>
  <c r="AD20" i="7"/>
  <c r="AD76" i="7" s="1"/>
  <c r="AG24" i="59" s="1"/>
  <c r="AD24" i="7"/>
  <c r="AD79" i="7" s="1"/>
  <c r="AD26" i="7"/>
  <c r="AD83" i="7" s="1"/>
  <c r="AD44" i="7"/>
  <c r="AD82" i="7" s="1"/>
  <c r="AD56" i="7"/>
  <c r="AC63" i="7"/>
  <c r="AD63" i="7"/>
  <c r="AD70" i="7"/>
  <c r="AG26" i="59" s="1"/>
  <c r="AD84" i="7"/>
  <c r="AG25" i="59" s="1"/>
  <c r="AD22" i="7"/>
  <c r="AD81" i="7" s="1"/>
  <c r="AD49" i="7"/>
  <c r="AD41" i="7"/>
  <c r="AD39" i="7"/>
  <c r="AC39" i="7"/>
  <c r="AD42" i="7"/>
  <c r="AD75" i="7" s="1"/>
  <c r="AG23" i="59" s="1"/>
  <c r="AD46" i="7"/>
  <c r="AD65" i="7"/>
  <c r="AD68" i="7"/>
  <c r="AG21" i="59" s="1"/>
  <c r="AD88" i="6"/>
  <c r="AD92" i="6" s="1"/>
  <c r="AD138" i="6" s="1"/>
  <c r="AD101" i="6"/>
  <c r="AD98" i="6"/>
  <c r="AC88" i="6"/>
  <c r="AC92" i="6" s="1"/>
  <c r="AC136" i="6" s="1"/>
  <c r="AC126" i="6"/>
  <c r="AC23" i="6"/>
  <c r="AC20" i="6"/>
  <c r="AC15" i="6"/>
  <c r="AC56" i="6" s="1"/>
  <c r="AC17" i="6"/>
  <c r="AC26" i="6"/>
  <c r="AC24" i="6"/>
  <c r="AC151" i="6"/>
  <c r="AC27" i="6"/>
  <c r="AC18" i="6"/>
  <c r="AC21" i="6"/>
  <c r="AD161" i="6"/>
  <c r="AD19" i="6"/>
  <c r="AC7" i="6"/>
  <c r="AC74" i="6"/>
  <c r="AC78" i="6" s="1"/>
  <c r="AD74" i="6"/>
  <c r="AD78" i="6" s="1"/>
  <c r="AD111" i="6" s="1"/>
  <c r="AC98" i="6"/>
  <c r="AC101" i="6"/>
  <c r="BB111" i="17" l="1"/>
  <c r="BB115" i="17" s="1"/>
  <c r="AD55" i="11"/>
  <c r="AG47" i="59" s="1"/>
  <c r="AD57" i="11"/>
  <c r="AD153" i="10"/>
  <c r="AD118" i="10"/>
  <c r="AG43" i="59" s="1"/>
  <c r="BE43" i="45"/>
  <c r="BE46" i="45" s="1"/>
  <c r="AO45" i="45"/>
  <c r="AQ51" i="59" s="1"/>
  <c r="AO47" i="45"/>
  <c r="AD120" i="10"/>
  <c r="BD43" i="45"/>
  <c r="BD46" i="45" s="1"/>
  <c r="AN45" i="45"/>
  <c r="AP51" i="59" s="1"/>
  <c r="AN70" i="9"/>
  <c r="AN74" i="9"/>
  <c r="AN76" i="9"/>
  <c r="AN73" i="9"/>
  <c r="AN82" i="9"/>
  <c r="AQ40" i="59" s="1"/>
  <c r="AN71" i="9"/>
  <c r="AN72" i="9"/>
  <c r="AN80" i="9"/>
  <c r="AN51" i="9"/>
  <c r="AQ39" i="59" s="1"/>
  <c r="AN81" i="9"/>
  <c r="AN75" i="9"/>
  <c r="AN69" i="9"/>
  <c r="AN78" i="9"/>
  <c r="AN79" i="9"/>
  <c r="AN52" i="9"/>
  <c r="BC50" i="17"/>
  <c r="BC111" i="17" s="1"/>
  <c r="BC115" i="17" s="1"/>
  <c r="BC53" i="17"/>
  <c r="BC54" i="17" s="1"/>
  <c r="BC110" i="17"/>
  <c r="BC114" i="17" s="1"/>
  <c r="BB53" i="17"/>
  <c r="BB110" i="17"/>
  <c r="BB114" i="17" s="1"/>
  <c r="BB41" i="26"/>
  <c r="BB125" i="26" s="1"/>
  <c r="AL125" i="26"/>
  <c r="AN123" i="10"/>
  <c r="BD122" i="10"/>
  <c r="AM123" i="10"/>
  <c r="BC122" i="10"/>
  <c r="AN130" i="10"/>
  <c r="BD129" i="10"/>
  <c r="BC90" i="9"/>
  <c r="AM73" i="9"/>
  <c r="BC58" i="9"/>
  <c r="BC73" i="9" s="1"/>
  <c r="BC56" i="9"/>
  <c r="BC71" i="9" s="1"/>
  <c r="BC69" i="9"/>
  <c r="BC22" i="9"/>
  <c r="AM77" i="9"/>
  <c r="AP41" i="59" s="1"/>
  <c r="BC62" i="9"/>
  <c r="BC77" i="9" s="1"/>
  <c r="BF41" i="59" s="1"/>
  <c r="AM72" i="9"/>
  <c r="BC57" i="9"/>
  <c r="BC72" i="9" s="1"/>
  <c r="AM79" i="9"/>
  <c r="BC64" i="9"/>
  <c r="BC79" i="9" s="1"/>
  <c r="BC88" i="9"/>
  <c r="BC83" i="9"/>
  <c r="AM78" i="9"/>
  <c r="BC63" i="9"/>
  <c r="BC78" i="9" s="1"/>
  <c r="AM81" i="9"/>
  <c r="BC66" i="9"/>
  <c r="BC81" i="9" s="1"/>
  <c r="AM82" i="9"/>
  <c r="AP40" i="59" s="1"/>
  <c r="BC67" i="9"/>
  <c r="BC82" i="9" s="1"/>
  <c r="BF40" i="59" s="1"/>
  <c r="AM75" i="9"/>
  <c r="BC60" i="9"/>
  <c r="BC75" i="9" s="1"/>
  <c r="AM80" i="9"/>
  <c r="BC65" i="9"/>
  <c r="BC80" i="9" s="1"/>
  <c r="AM69" i="9"/>
  <c r="AM56" i="9"/>
  <c r="AM71" i="9" s="1"/>
  <c r="AM88" i="9"/>
  <c r="AM51" i="9"/>
  <c r="AM83" i="9"/>
  <c r="AL114" i="17"/>
  <c r="AM110" i="17"/>
  <c r="AM114" i="17" s="1"/>
  <c r="AM53" i="17"/>
  <c r="AM54" i="17" s="1"/>
  <c r="AM50" i="17"/>
  <c r="AM111" i="17" s="1"/>
  <c r="AM115" i="17" s="1"/>
  <c r="AC22" i="36"/>
  <c r="AC21" i="36"/>
  <c r="AD23" i="36"/>
  <c r="AC23" i="36"/>
  <c r="AC29" i="9"/>
  <c r="AC28" i="7"/>
  <c r="AC41" i="7" s="1"/>
  <c r="AC64" i="7" s="1"/>
  <c r="AD64" i="7"/>
  <c r="AD86" i="9"/>
  <c r="AD39" i="8"/>
  <c r="AC85" i="7"/>
  <c r="AC135" i="6"/>
  <c r="AC137" i="6" s="1"/>
  <c r="AC138" i="6"/>
  <c r="AD85" i="7"/>
  <c r="AD141" i="9"/>
  <c r="AD71" i="9"/>
  <c r="AD51" i="9"/>
  <c r="AG39" i="59" s="1"/>
  <c r="AC7" i="22"/>
  <c r="AM7" i="22" s="1"/>
  <c r="BC7" i="22" s="1"/>
  <c r="AC21" i="22"/>
  <c r="AM21" i="22" s="1"/>
  <c r="BC21" i="22" s="1"/>
  <c r="AD86" i="11"/>
  <c r="AD88" i="11"/>
  <c r="AD151" i="10"/>
  <c r="AD138" i="9"/>
  <c r="AD70" i="9"/>
  <c r="AC56" i="9"/>
  <c r="AD81" i="9"/>
  <c r="AD77" i="9"/>
  <c r="AG41" i="59" s="1"/>
  <c r="AD72" i="9"/>
  <c r="AD82" i="9"/>
  <c r="AG40" i="59" s="1"/>
  <c r="AD78" i="9"/>
  <c r="AD73" i="9"/>
  <c r="AD79" i="9"/>
  <c r="AD74" i="9"/>
  <c r="AD69" i="9"/>
  <c r="AD80" i="9"/>
  <c r="AD76" i="9"/>
  <c r="AD75" i="9"/>
  <c r="AD52" i="9"/>
  <c r="AD88" i="8"/>
  <c r="AC66" i="8"/>
  <c r="AD92" i="8"/>
  <c r="AC34" i="8"/>
  <c r="AD47" i="8"/>
  <c r="AD33" i="8"/>
  <c r="AC52" i="8"/>
  <c r="AD61" i="8"/>
  <c r="AC58" i="8"/>
  <c r="AC25" i="8"/>
  <c r="AD28" i="7"/>
  <c r="AD50" i="7"/>
  <c r="AD102" i="6"/>
  <c r="AD106" i="6" s="1"/>
  <c r="AD168" i="6" s="1"/>
  <c r="AD135" i="6"/>
  <c r="AD136" i="6"/>
  <c r="AC102" i="6"/>
  <c r="AC106" i="6" s="1"/>
  <c r="AD113" i="6"/>
  <c r="AC113" i="6"/>
  <c r="AC30" i="6"/>
  <c r="AC111" i="6"/>
  <c r="AD110" i="6"/>
  <c r="AD112" i="6" s="1"/>
  <c r="AC110" i="6"/>
  <c r="AC22" i="6"/>
  <c r="AC59" i="6"/>
  <c r="AC28" i="6"/>
  <c r="AC29" i="6"/>
  <c r="AC19" i="6"/>
  <c r="AC25" i="6"/>
  <c r="AN23" i="36" l="1"/>
  <c r="BD45" i="45"/>
  <c r="BE45" i="45"/>
  <c r="BE47" i="45"/>
  <c r="AN22" i="36"/>
  <c r="AD22" i="36"/>
  <c r="AP39" i="59"/>
  <c r="AD21" i="36"/>
  <c r="AN21" i="36"/>
  <c r="AC50" i="7"/>
  <c r="AD176" i="6"/>
  <c r="AD142" i="9"/>
  <c r="AC22" i="22"/>
  <c r="AC8" i="22"/>
  <c r="AM8" i="22" s="1"/>
  <c r="AC56" i="8"/>
  <c r="AD93" i="8"/>
  <c r="AD90" i="8"/>
  <c r="AC32" i="8"/>
  <c r="AD166" i="6"/>
  <c r="AD175" i="6"/>
  <c r="AD172" i="6"/>
  <c r="AD171" i="6"/>
  <c r="AD169" i="6"/>
  <c r="AD137" i="6"/>
  <c r="AD177" i="6"/>
  <c r="AD167" i="6"/>
  <c r="AD160" i="6"/>
  <c r="AD162" i="6"/>
  <c r="AC31" i="6"/>
  <c r="AC112" i="6"/>
  <c r="AC172" i="6"/>
  <c r="AC167" i="6"/>
  <c r="AC168" i="6"/>
  <c r="AC175" i="6"/>
  <c r="AC178" i="6" s="1"/>
  <c r="AC169" i="6"/>
  <c r="AC166" i="6"/>
  <c r="AC171" i="6"/>
  <c r="BG51" i="59" l="1"/>
  <c r="BD23" i="36"/>
  <c r="BF51" i="59"/>
  <c r="BC23" i="36"/>
  <c r="AM9" i="22"/>
  <c r="BC8" i="22"/>
  <c r="AC24" i="22"/>
  <c r="AM22" i="22"/>
  <c r="AD170" i="6"/>
  <c r="AD94" i="8"/>
  <c r="AD173" i="6"/>
  <c r="AC10" i="22"/>
  <c r="AC33" i="8"/>
  <c r="AD178" i="6"/>
  <c r="AC173" i="6"/>
  <c r="AC170" i="6"/>
  <c r="AD174" i="6" l="1"/>
  <c r="AM23" i="22"/>
  <c r="BC22" i="22"/>
  <c r="AC11" i="22"/>
  <c r="AM10" i="22"/>
  <c r="BC10" i="22" s="1"/>
  <c r="AC25" i="22"/>
  <c r="AM24" i="22"/>
  <c r="BC24" i="22" s="1"/>
  <c r="AD179" i="6"/>
  <c r="AC174" i="6"/>
  <c r="AC179" i="6" s="1"/>
  <c r="AC27" i="22" l="1"/>
  <c r="AM27" i="22" s="1"/>
  <c r="BC27" i="22" s="1"/>
  <c r="AM25" i="22"/>
  <c r="AM29" i="22"/>
  <c r="AC13" i="22"/>
  <c r="AM13" i="22" s="1"/>
  <c r="BC13" i="22" s="1"/>
  <c r="AM11" i="22"/>
  <c r="AD55" i="36"/>
  <c r="AD54" i="36"/>
  <c r="AC53" i="36"/>
  <c r="AC19" i="36" s="1"/>
  <c r="AF38" i="59" s="1"/>
  <c r="AD51" i="36"/>
  <c r="AC49" i="36"/>
  <c r="AM49" i="36" s="1"/>
  <c r="AC48" i="36"/>
  <c r="AM48" i="36" s="1"/>
  <c r="AD52" i="36"/>
  <c r="AC45" i="36"/>
  <c r="AD33" i="36"/>
  <c r="AC33" i="36"/>
  <c r="AC18" i="36"/>
  <c r="AF37" i="59" s="1"/>
  <c r="AD17" i="36"/>
  <c r="AG36" i="59" s="1"/>
  <c r="AD16" i="36"/>
  <c r="AG35" i="59" s="1"/>
  <c r="AC13" i="36"/>
  <c r="AF30" i="59" s="1"/>
  <c r="AD12" i="36"/>
  <c r="AG29" i="59" s="1"/>
  <c r="AD11" i="36"/>
  <c r="AG28" i="59" s="1"/>
  <c r="AD10" i="36"/>
  <c r="AG27" i="59" s="1"/>
  <c r="AD9" i="36"/>
  <c r="AG10" i="59" s="1"/>
  <c r="AD8" i="36"/>
  <c r="AG9" i="59" s="1"/>
  <c r="AD7" i="36"/>
  <c r="AG8" i="59" s="1"/>
  <c r="AD5" i="36"/>
  <c r="AG6" i="59" s="1"/>
  <c r="AM15" i="22" l="1"/>
  <c r="BC11" i="22"/>
  <c r="AM26" i="22"/>
  <c r="BC25" i="22"/>
  <c r="BC29" i="22" s="1"/>
  <c r="AC44" i="36"/>
  <c r="AM44" i="36" s="1"/>
  <c r="AM33" i="36"/>
  <c r="AM24" i="36" s="1"/>
  <c r="AP54" i="59" s="1"/>
  <c r="AN33" i="36"/>
  <c r="AM12" i="22"/>
  <c r="AM14" i="22"/>
  <c r="AM28" i="22"/>
  <c r="AC47" i="36"/>
  <c r="AM45" i="36"/>
  <c r="AD53" i="36"/>
  <c r="AD19" i="36" s="1"/>
  <c r="AG38" i="59" s="1"/>
  <c r="AD18" i="36"/>
  <c r="AG37" i="59" s="1"/>
  <c r="AD13" i="36"/>
  <c r="AG30" i="59" s="1"/>
  <c r="AD47" i="36"/>
  <c r="BC15" i="22" l="1"/>
  <c r="AM47" i="36"/>
  <c r="AM28" i="36"/>
  <c r="AP57" i="59" s="1"/>
  <c r="AN24" i="36"/>
  <c r="AQ54" i="59" s="1"/>
  <c r="AM27" i="36"/>
  <c r="AN27" i="36"/>
  <c r="AN29" i="36"/>
  <c r="AM29" i="36"/>
  <c r="AN28" i="36"/>
  <c r="AD424" i="28"/>
  <c r="AD426" i="28" s="1"/>
  <c r="AD420" i="28"/>
  <c r="AD318" i="28"/>
  <c r="AD319" i="28" s="1"/>
  <c r="AD261" i="28"/>
  <c r="AD175" i="28"/>
  <c r="AD176" i="28" s="1"/>
  <c r="AD65" i="28"/>
  <c r="AD64" i="28"/>
  <c r="AD62" i="28"/>
  <c r="AD455" i="28" s="1"/>
  <c r="AD58" i="28"/>
  <c r="AD54" i="28"/>
  <c r="AD50" i="28"/>
  <c r="AD36" i="28"/>
  <c r="AD35" i="28"/>
  <c r="AD34" i="28"/>
  <c r="AD33" i="28"/>
  <c r="AC33" i="28"/>
  <c r="AM33" i="28" s="1"/>
  <c r="AD31" i="28"/>
  <c r="AC27" i="28"/>
  <c r="AM27" i="28" s="1"/>
  <c r="AM31" i="28" s="1"/>
  <c r="AD24" i="28"/>
  <c r="AC21" i="28"/>
  <c r="AD18" i="28"/>
  <c r="AC15" i="28"/>
  <c r="AD11" i="28"/>
  <c r="AC8" i="28"/>
  <c r="AM8" i="28" s="1"/>
  <c r="AM11" i="28" s="1"/>
  <c r="AD16" i="49"/>
  <c r="AD17" i="49" s="1"/>
  <c r="AD12" i="49"/>
  <c r="AD10" i="49"/>
  <c r="AC10" i="49"/>
  <c r="AD9" i="49"/>
  <c r="AD8" i="49"/>
  <c r="AD7" i="49"/>
  <c r="AD5" i="49"/>
  <c r="AC5" i="49"/>
  <c r="AC39" i="21"/>
  <c r="AC38" i="21"/>
  <c r="AD37" i="21"/>
  <c r="AC35" i="21"/>
  <c r="AD33" i="21"/>
  <c r="AD29" i="21"/>
  <c r="AC27" i="21"/>
  <c r="AC429" i="28" s="1"/>
  <c r="AC26" i="21"/>
  <c r="AC418" i="28" s="1"/>
  <c r="AC420" i="28" s="1"/>
  <c r="AD18" i="21"/>
  <c r="AD15" i="21"/>
  <c r="AD12" i="21"/>
  <c r="AC12" i="21"/>
  <c r="AC15" i="21" s="1"/>
  <c r="AC40" i="35"/>
  <c r="AC39" i="35"/>
  <c r="AC37" i="35"/>
  <c r="AC34" i="35"/>
  <c r="AC43" i="35" s="1"/>
  <c r="AD31" i="35"/>
  <c r="AD34" i="35" s="1"/>
  <c r="AD43" i="35" s="1"/>
  <c r="AD44" i="35" s="1"/>
  <c r="AC31" i="35"/>
  <c r="AD24" i="35"/>
  <c r="AD34" i="36" s="1"/>
  <c r="AC24" i="35"/>
  <c r="AC34" i="36" s="1"/>
  <c r="AD19" i="35"/>
  <c r="AC19" i="35"/>
  <c r="AD15" i="35"/>
  <c r="AC15" i="35"/>
  <c r="AD11" i="35"/>
  <c r="AC10" i="35"/>
  <c r="AC9" i="35"/>
  <c r="AC8" i="35"/>
  <c r="AD7" i="35"/>
  <c r="AD6" i="6" s="1"/>
  <c r="AD6" i="35"/>
  <c r="AD443" i="28" l="1"/>
  <c r="AP56" i="59"/>
  <c r="AD43" i="28"/>
  <c r="AD452" i="28"/>
  <c r="AD450" i="28"/>
  <c r="AC35" i="36"/>
  <c r="AM35" i="36" s="1"/>
  <c r="AM34" i="36"/>
  <c r="AC18" i="28"/>
  <c r="AC42" i="28" s="1"/>
  <c r="AM15" i="28"/>
  <c r="AM18" i="28" s="1"/>
  <c r="AM415" i="28"/>
  <c r="AM456" i="28" s="1"/>
  <c r="AM6" i="15"/>
  <c r="AQ57" i="59"/>
  <c r="AD35" i="36"/>
  <c r="AD36" i="36" s="1"/>
  <c r="AN36" i="36" s="1"/>
  <c r="AN34" i="36"/>
  <c r="AC426" i="28"/>
  <c r="AC430" i="28" s="1"/>
  <c r="AC422" i="28"/>
  <c r="AD42" i="28"/>
  <c r="AD448" i="28"/>
  <c r="AD446" i="28"/>
  <c r="AD44" i="28"/>
  <c r="AD456" i="28"/>
  <c r="AD454" i="28"/>
  <c r="AD447" i="28"/>
  <c r="AP58" i="59"/>
  <c r="AD41" i="28"/>
  <c r="AD442" i="28"/>
  <c r="AD444" i="28"/>
  <c r="AC24" i="28"/>
  <c r="AC43" i="28" s="1"/>
  <c r="AM21" i="28"/>
  <c r="AM24" i="28" s="1"/>
  <c r="AD451" i="28"/>
  <c r="AM7" i="15"/>
  <c r="AQ58" i="59"/>
  <c r="AM5" i="15"/>
  <c r="AQ56" i="59"/>
  <c r="AD20" i="21"/>
  <c r="AC31" i="28"/>
  <c r="AC34" i="28"/>
  <c r="AD440" i="28"/>
  <c r="AD439" i="28"/>
  <c r="AC11" i="35"/>
  <c r="AD14" i="6"/>
  <c r="AD12" i="6"/>
  <c r="AD5" i="6"/>
  <c r="AC5" i="36"/>
  <c r="AF6" i="59" s="1"/>
  <c r="AD11" i="49"/>
  <c r="AD13" i="49" s="1"/>
  <c r="AD14" i="49" s="1"/>
  <c r="AD15" i="49" s="1"/>
  <c r="AD18" i="49" s="1"/>
  <c r="AD19" i="49" s="1"/>
  <c r="AD15" i="36" s="1"/>
  <c r="AG34" i="59" s="1"/>
  <c r="AD38" i="28"/>
  <c r="AD459" i="28" s="1"/>
  <c r="AD427" i="28"/>
  <c r="AD430" i="28"/>
  <c r="AC11" i="28"/>
  <c r="AD66" i="28"/>
  <c r="AD67" i="28" s="1"/>
  <c r="AC22" i="21"/>
  <c r="AD24" i="21"/>
  <c r="AD25" i="21" s="1"/>
  <c r="AC29" i="21"/>
  <c r="AD35" i="35"/>
  <c r="AE74" i="50" s="1"/>
  <c r="AE72" i="50" s="1"/>
  <c r="AD8" i="35"/>
  <c r="AC44" i="35"/>
  <c r="AC35" i="35"/>
  <c r="AD74" i="50" s="1"/>
  <c r="AD45" i="28" l="1"/>
  <c r="AD460" i="28" s="1"/>
  <c r="AN35" i="36"/>
  <c r="AC36" i="36"/>
  <c r="AC39" i="36" s="1"/>
  <c r="AC30" i="36" s="1"/>
  <c r="AF59" i="59" s="1"/>
  <c r="AM34" i="28"/>
  <c r="AM38" i="28" s="1"/>
  <c r="AM319" i="28"/>
  <c r="AD39" i="28"/>
  <c r="AC44" i="28"/>
  <c r="AC60" i="28" s="1"/>
  <c r="AC454" i="28" s="1"/>
  <c r="AC415" i="28"/>
  <c r="AC319" i="28"/>
  <c r="AC452" i="28" s="1"/>
  <c r="AC261" i="28"/>
  <c r="AC440" i="28" s="1"/>
  <c r="AC176" i="28"/>
  <c r="AC444" i="28" s="1"/>
  <c r="AC38" i="28"/>
  <c r="AC459" i="28" s="1"/>
  <c r="AD39" i="36"/>
  <c r="AD30" i="36" s="1"/>
  <c r="AG59" i="59" s="1"/>
  <c r="AD434" i="28"/>
  <c r="AD433" i="28"/>
  <c r="AC12" i="49"/>
  <c r="AD7" i="6"/>
  <c r="AD13" i="6"/>
  <c r="AD11" i="6"/>
  <c r="AD152" i="6"/>
  <c r="AD157" i="6"/>
  <c r="AD65" i="8"/>
  <c r="AC52" i="28"/>
  <c r="AC56" i="28"/>
  <c r="AC41" i="28"/>
  <c r="AM36" i="36" l="1"/>
  <c r="AC434" i="28"/>
  <c r="AC451" i="28"/>
  <c r="AC439" i="28"/>
  <c r="AC447" i="28"/>
  <c r="AC433" i="28"/>
  <c r="AC446" i="28"/>
  <c r="AC450" i="28"/>
  <c r="AC456" i="28"/>
  <c r="AC448" i="28"/>
  <c r="AC455" i="28"/>
  <c r="AM452" i="28"/>
  <c r="AD15" i="6"/>
  <c r="AD56" i="6" s="1"/>
  <c r="AD131" i="6"/>
  <c r="AD60" i="6"/>
  <c r="AD127" i="6"/>
  <c r="AC45" i="28"/>
  <c r="AC460" i="28" s="1"/>
  <c r="AC48" i="28"/>
  <c r="AC443" i="28" l="1"/>
  <c r="AC442" i="28"/>
  <c r="AD35" i="6"/>
  <c r="AD34" i="6"/>
  <c r="AD33" i="6"/>
  <c r="AD36" i="6"/>
  <c r="AD59" i="6"/>
  <c r="AC64" i="28"/>
  <c r="AD37" i="6" l="1"/>
  <c r="H34" i="59"/>
  <c r="X40" i="35"/>
  <c r="H58" i="59" l="1"/>
  <c r="H57" i="59"/>
  <c r="H56" i="59"/>
  <c r="H54" i="59"/>
  <c r="H41" i="59"/>
  <c r="H40" i="59"/>
  <c r="H39" i="59"/>
  <c r="H36" i="59"/>
  <c r="H35" i="59"/>
  <c r="H33" i="59"/>
  <c r="H32" i="59"/>
  <c r="H31" i="59"/>
  <c r="H28" i="59"/>
  <c r="H29" i="59"/>
  <c r="H27" i="59"/>
  <c r="H18" i="59"/>
  <c r="H19" i="59"/>
  <c r="H20" i="59"/>
  <c r="H17" i="59"/>
  <c r="H13" i="59"/>
  <c r="H14" i="59"/>
  <c r="H15" i="59"/>
  <c r="H12" i="59"/>
  <c r="H8" i="59"/>
  <c r="H9" i="59"/>
  <c r="H10" i="59"/>
  <c r="W11" i="26" l="1"/>
  <c r="W18" i="26" s="1"/>
  <c r="Y73" i="26"/>
  <c r="X73" i="26"/>
  <c r="Y72" i="26"/>
  <c r="X72" i="26"/>
  <c r="Y71" i="26"/>
  <c r="X71" i="26"/>
  <c r="Y70" i="26"/>
  <c r="X70" i="26"/>
  <c r="Y69" i="26"/>
  <c r="X69" i="26"/>
  <c r="Y68" i="26"/>
  <c r="X68" i="26"/>
  <c r="Y67" i="26"/>
  <c r="X67" i="26"/>
  <c r="Y66" i="26"/>
  <c r="X66" i="26"/>
  <c r="Y65" i="26"/>
  <c r="X65" i="26"/>
  <c r="Y60" i="26"/>
  <c r="X60" i="26"/>
  <c r="Y59" i="26"/>
  <c r="Y55" i="26"/>
  <c r="X55" i="26"/>
  <c r="Y54" i="26"/>
  <c r="Y50" i="26"/>
  <c r="X50" i="26"/>
  <c r="Y49" i="26"/>
  <c r="X49" i="26"/>
  <c r="Y48" i="26"/>
  <c r="X48" i="26"/>
  <c r="Y47" i="26"/>
  <c r="X47" i="26"/>
  <c r="Y46" i="26"/>
  <c r="X46" i="26"/>
  <c r="Y45" i="26"/>
  <c r="X45" i="26"/>
  <c r="Y44" i="26"/>
  <c r="X44" i="26"/>
  <c r="Y43" i="26"/>
  <c r="X43" i="26"/>
  <c r="Y39" i="26"/>
  <c r="Y38" i="26"/>
  <c r="X38" i="26"/>
  <c r="Y35" i="26"/>
  <c r="X23" i="26"/>
  <c r="Y31" i="26"/>
  <c r="X31" i="26"/>
  <c r="Y30" i="26"/>
  <c r="X30" i="26"/>
  <c r="Y29" i="26"/>
  <c r="X29" i="26"/>
  <c r="Y28" i="26"/>
  <c r="X28" i="26"/>
  <c r="Y27" i="26"/>
  <c r="X27" i="26"/>
  <c r="Y26" i="26"/>
  <c r="X26" i="26"/>
  <c r="Y25" i="26"/>
  <c r="X25" i="26"/>
  <c r="Y24" i="26"/>
  <c r="X24" i="26"/>
  <c r="Y23" i="26"/>
  <c r="Y22" i="26"/>
  <c r="X22" i="26"/>
  <c r="Y21" i="26"/>
  <c r="X21" i="26"/>
  <c r="X20" i="26"/>
  <c r="Y16" i="26"/>
  <c r="W51" i="17"/>
  <c r="Y56" i="26" l="1"/>
  <c r="W8" i="17" l="1"/>
  <c r="W9" i="17"/>
  <c r="W38" i="27"/>
  <c r="W36" i="27"/>
  <c r="W28" i="27"/>
  <c r="W30" i="27"/>
  <c r="W23" i="27"/>
  <c r="W20" i="27"/>
  <c r="W19" i="27"/>
  <c r="W18" i="27"/>
  <c r="Y33" i="27" l="1"/>
  <c r="X33" i="27"/>
  <c r="V18" i="15" l="1"/>
  <c r="V17" i="15"/>
  <c r="V12" i="15"/>
  <c r="V9" i="15"/>
  <c r="V8" i="15"/>
  <c r="V7" i="15"/>
  <c r="V6" i="15"/>
  <c r="V5" i="15"/>
  <c r="Y74" i="45"/>
  <c r="U74" i="45"/>
  <c r="K74" i="45"/>
  <c r="O74" i="45" s="1"/>
  <c r="S74" i="45" s="1"/>
  <c r="AA69" i="45"/>
  <c r="K69" i="45"/>
  <c r="O69" i="45" s="1"/>
  <c r="V14" i="15" l="1"/>
  <c r="V15" i="15" s="1"/>
  <c r="AA74" i="45"/>
  <c r="AC74" i="45" s="1"/>
  <c r="AG74" i="45" s="1"/>
  <c r="AK74" i="45" s="1"/>
  <c r="AQ74" i="45" s="1"/>
  <c r="V13" i="15"/>
  <c r="W74" i="45"/>
  <c r="AC69" i="45"/>
  <c r="AG69" i="45" s="1"/>
  <c r="AK69" i="45" s="1"/>
  <c r="AQ69" i="45" s="1"/>
  <c r="S69" i="45"/>
  <c r="W69" i="45" s="1"/>
  <c r="AU74" i="45" l="1"/>
  <c r="AY74" i="45" s="1"/>
  <c r="BG74" i="45" s="1"/>
  <c r="AU69" i="45"/>
  <c r="AY69" i="45" s="1"/>
  <c r="BG69" i="45" s="1"/>
  <c r="X98" i="9"/>
  <c r="AB398" i="28"/>
  <c r="AF398" i="28" s="1"/>
  <c r="AJ398" i="28" s="1"/>
  <c r="AP398" i="28" s="1"/>
  <c r="AT398" i="28" s="1"/>
  <c r="AX398" i="28" s="1"/>
  <c r="BF398" i="28" s="1"/>
  <c r="Z388" i="28"/>
  <c r="Z389" i="28"/>
  <c r="Z390" i="28"/>
  <c r="Z391" i="28"/>
  <c r="Z392" i="28"/>
  <c r="Z393" i="28"/>
  <c r="Z394" i="28"/>
  <c r="Z395" i="28"/>
  <c r="Z396" i="28"/>
  <c r="Z397" i="28"/>
  <c r="Z398" i="28"/>
  <c r="Z400" i="28"/>
  <c r="Z401" i="28"/>
  <c r="Z402" i="28"/>
  <c r="Z403" i="28"/>
  <c r="Z404" i="28"/>
  <c r="Z405" i="28"/>
  <c r="Z406" i="28"/>
  <c r="Z407" i="28"/>
  <c r="Z408" i="28"/>
  <c r="Z409" i="28"/>
  <c r="Z410" i="28"/>
  <c r="Z412" i="28"/>
  <c r="AB354" i="28"/>
  <c r="AF354" i="28" s="1"/>
  <c r="AJ354" i="28" s="1"/>
  <c r="AP354" i="28" s="1"/>
  <c r="AT354" i="28" s="1"/>
  <c r="AX354" i="28" s="1"/>
  <c r="BF354" i="28" s="1"/>
  <c r="AB358" i="28"/>
  <c r="AF358" i="28" s="1"/>
  <c r="AJ358" i="28" s="1"/>
  <c r="AP358" i="28" s="1"/>
  <c r="AT358" i="28" s="1"/>
  <c r="AX358" i="28" s="1"/>
  <c r="BF358" i="28" s="1"/>
  <c r="AB378" i="28"/>
  <c r="AF378" i="28" s="1"/>
  <c r="AJ378" i="28" s="1"/>
  <c r="AP378" i="28" s="1"/>
  <c r="AT378" i="28" s="1"/>
  <c r="AX378" i="28" s="1"/>
  <c r="BF378" i="28" s="1"/>
  <c r="AB379" i="28"/>
  <c r="AF379" i="28" s="1"/>
  <c r="AJ379" i="28" s="1"/>
  <c r="AP379" i="28" s="1"/>
  <c r="AT379" i="28" s="1"/>
  <c r="AX379" i="28" s="1"/>
  <c r="BF379" i="28" s="1"/>
  <c r="Z338" i="28"/>
  <c r="Z339" i="28"/>
  <c r="Z340" i="28"/>
  <c r="Z341" i="28"/>
  <c r="Z342" i="28"/>
  <c r="Z343" i="28"/>
  <c r="Z344" i="28"/>
  <c r="Z345" i="28"/>
  <c r="Z346" i="28"/>
  <c r="Z347" i="28"/>
  <c r="Z348" i="28"/>
  <c r="Z349" i="28"/>
  <c r="Z350" i="28"/>
  <c r="Z351" i="28"/>
  <c r="Z352" i="28"/>
  <c r="Z353" i="28"/>
  <c r="Z354" i="28"/>
  <c r="Z358" i="28"/>
  <c r="Z359" i="28"/>
  <c r="Z360" i="28"/>
  <c r="Z361" i="28"/>
  <c r="Z362" i="28"/>
  <c r="Z363" i="28"/>
  <c r="Z364" i="28"/>
  <c r="Z365" i="28"/>
  <c r="Z366" i="28"/>
  <c r="Z368" i="28"/>
  <c r="Z369" i="28"/>
  <c r="Z370" i="28"/>
  <c r="Z371" i="28"/>
  <c r="Z372" i="28"/>
  <c r="Z373" i="28"/>
  <c r="Z374" i="28"/>
  <c r="Z378" i="28"/>
  <c r="Z379" i="28"/>
  <c r="Z381" i="28"/>
  <c r="Z382" i="28"/>
  <c r="Z383" i="28"/>
  <c r="AB308" i="28"/>
  <c r="AF308" i="28" s="1"/>
  <c r="AJ308" i="28" s="1"/>
  <c r="AP308" i="28" s="1"/>
  <c r="AT308" i="28" s="1"/>
  <c r="AX308" i="28" s="1"/>
  <c r="BF308" i="28" s="1"/>
  <c r="Z270" i="28"/>
  <c r="Z271" i="28"/>
  <c r="Z272" i="28"/>
  <c r="Z275" i="28"/>
  <c r="Z276" i="28"/>
  <c r="Z277" i="28"/>
  <c r="Z278" i="28"/>
  <c r="Z279" i="28"/>
  <c r="Z282" i="28"/>
  <c r="Z283" i="28"/>
  <c r="Z285" i="28"/>
  <c r="Z286" i="28"/>
  <c r="Z287" i="28"/>
  <c r="Z288" i="28"/>
  <c r="Z289" i="28"/>
  <c r="Z290" i="28"/>
  <c r="Z292" i="28"/>
  <c r="Z293" i="28"/>
  <c r="Z294" i="28"/>
  <c r="Z295" i="28"/>
  <c r="Z296" i="28"/>
  <c r="Z297" i="28"/>
  <c r="Z298" i="28"/>
  <c r="Z300" i="28"/>
  <c r="Z301" i="28"/>
  <c r="Z302" i="28"/>
  <c r="Z303" i="28"/>
  <c r="Z304" i="28"/>
  <c r="Z305" i="28"/>
  <c r="Z306" i="28"/>
  <c r="Z308" i="28"/>
  <c r="Z310" i="28"/>
  <c r="Z312" i="28"/>
  <c r="Z313" i="28"/>
  <c r="Z314" i="28"/>
  <c r="Z315" i="28"/>
  <c r="Z316" i="28"/>
  <c r="Z317" i="28"/>
  <c r="Z196" i="28"/>
  <c r="Z197" i="28"/>
  <c r="Z198" i="28"/>
  <c r="Z199" i="28"/>
  <c r="Z200" i="28"/>
  <c r="Z201" i="28"/>
  <c r="Z202" i="28"/>
  <c r="Z207" i="28"/>
  <c r="Z208" i="28"/>
  <c r="Z211" i="28"/>
  <c r="Z212" i="28"/>
  <c r="Z213" i="28"/>
  <c r="Z214" i="28"/>
  <c r="Z414" i="28" l="1"/>
  <c r="X122" i="10"/>
  <c r="X32" i="11" l="1"/>
  <c r="X13" i="11"/>
  <c r="X23" i="11"/>
  <c r="X45" i="10"/>
  <c r="X35" i="10"/>
  <c r="X34" i="10"/>
  <c r="X43" i="10"/>
  <c r="X40" i="10"/>
  <c r="X20" i="10"/>
  <c r="X21" i="10"/>
  <c r="X26" i="10"/>
  <c r="X15" i="10" l="1"/>
  <c r="X102" i="10"/>
  <c r="X117" i="10" s="1"/>
  <c r="X13" i="10"/>
  <c r="A7" i="10" l="1"/>
  <c r="X58" i="8"/>
  <c r="X63" i="8" s="1"/>
  <c r="AQ52" i="50" l="1"/>
  <c r="AU52" i="50" s="1"/>
  <c r="AY52" i="50" s="1"/>
  <c r="AQ53" i="50"/>
  <c r="AU53" i="50" s="1"/>
  <c r="AY53" i="50" s="1"/>
  <c r="AQ57" i="50"/>
  <c r="AU57" i="50" s="1"/>
  <c r="AY57" i="50" s="1"/>
  <c r="G29" i="50"/>
  <c r="I29" i="50"/>
  <c r="M29" i="50"/>
  <c r="Q29" i="50"/>
  <c r="U29" i="50"/>
  <c r="Y29" i="50"/>
  <c r="G30" i="50"/>
  <c r="I30" i="50"/>
  <c r="M30" i="50"/>
  <c r="Q30" i="50"/>
  <c r="U30" i="50"/>
  <c r="Y30" i="50"/>
  <c r="K29" i="50" l="1"/>
  <c r="O29" i="50" s="1"/>
  <c r="S29" i="50" s="1"/>
  <c r="W29" i="50" s="1"/>
  <c r="AA30" i="50"/>
  <c r="K30" i="50"/>
  <c r="O30" i="50" s="1"/>
  <c r="AA29" i="50"/>
  <c r="AB94" i="38"/>
  <c r="AB93" i="38"/>
  <c r="AB92" i="38"/>
  <c r="AB91" i="38"/>
  <c r="AB89" i="38"/>
  <c r="AB86" i="38"/>
  <c r="AB85" i="38"/>
  <c r="AB84" i="38"/>
  <c r="AB83" i="38"/>
  <c r="AB80" i="38"/>
  <c r="AB79" i="38"/>
  <c r="AB78" i="38"/>
  <c r="AB77" i="38"/>
  <c r="AB76" i="38"/>
  <c r="AB75" i="38"/>
  <c r="AB74" i="38"/>
  <c r="AB73" i="38"/>
  <c r="AB72" i="38"/>
  <c r="AB71" i="38"/>
  <c r="AB70" i="38"/>
  <c r="AB69" i="38"/>
  <c r="AB68" i="38"/>
  <c r="AB67" i="38"/>
  <c r="AB62" i="38"/>
  <c r="AB61" i="38"/>
  <c r="AB59" i="38"/>
  <c r="AB58" i="38"/>
  <c r="AB57" i="38"/>
  <c r="AB56" i="38"/>
  <c r="AB55" i="38"/>
  <c r="AC29" i="50" l="1"/>
  <c r="AG29" i="50" s="1"/>
  <c r="AK29" i="50" s="1"/>
  <c r="AQ29" i="50" s="1"/>
  <c r="AC30" i="50"/>
  <c r="AG30" i="50" s="1"/>
  <c r="AK30" i="50" s="1"/>
  <c r="AQ30" i="50" s="1"/>
  <c r="S30" i="50"/>
  <c r="W30" i="50" s="1"/>
  <c r="AA17" i="45"/>
  <c r="AC17" i="45" s="1"/>
  <c r="AG17" i="45" s="1"/>
  <c r="AK17" i="45" s="1"/>
  <c r="AQ17" i="45" s="1"/>
  <c r="AA19" i="45"/>
  <c r="AC19" i="45" s="1"/>
  <c r="AG19" i="45" s="1"/>
  <c r="AK19" i="45" s="1"/>
  <c r="AQ19" i="45" s="1"/>
  <c r="AA20" i="45"/>
  <c r="AA23" i="45"/>
  <c r="AA24" i="45"/>
  <c r="AA25" i="45"/>
  <c r="AA7" i="45"/>
  <c r="AA9" i="45"/>
  <c r="AA12" i="45"/>
  <c r="AA14" i="45"/>
  <c r="AA15" i="45"/>
  <c r="AA33" i="45"/>
  <c r="AC33" i="45" s="1"/>
  <c r="AG33" i="45" s="1"/>
  <c r="AK33" i="45" s="1"/>
  <c r="AQ33" i="45" s="1"/>
  <c r="AA35" i="45"/>
  <c r="AC35" i="45" s="1"/>
  <c r="AG35" i="45" s="1"/>
  <c r="AK35" i="45" s="1"/>
  <c r="AQ35" i="45" s="1"/>
  <c r="AA36" i="45"/>
  <c r="AA37" i="45"/>
  <c r="AA38" i="45"/>
  <c r="AA39" i="45"/>
  <c r="AA40" i="45"/>
  <c r="AA41" i="45"/>
  <c r="X94" i="11"/>
  <c r="Z10" i="10"/>
  <c r="Z11" i="10"/>
  <c r="AB11" i="10" s="1"/>
  <c r="AF11" i="10" s="1"/>
  <c r="AJ11" i="10" s="1"/>
  <c r="AP11" i="10" s="1"/>
  <c r="Z13" i="10"/>
  <c r="Z15" i="10"/>
  <c r="Z16" i="10"/>
  <c r="AB16" i="10" s="1"/>
  <c r="AF16" i="10" s="1"/>
  <c r="AJ16" i="10" s="1"/>
  <c r="AP16" i="10" s="1"/>
  <c r="Z18" i="10"/>
  <c r="Z19" i="10"/>
  <c r="Z25" i="10"/>
  <c r="Z27" i="10"/>
  <c r="Z29" i="10"/>
  <c r="Z31" i="10"/>
  <c r="Z32" i="10"/>
  <c r="Z35" i="10"/>
  <c r="Z38" i="10"/>
  <c r="Z39" i="10"/>
  <c r="Z40" i="10"/>
  <c r="Z44" i="10"/>
  <c r="Z47" i="10"/>
  <c r="AB47" i="10" s="1"/>
  <c r="AF47" i="10" s="1"/>
  <c r="AJ47" i="10" s="1"/>
  <c r="AP47" i="10" s="1"/>
  <c r="Z49" i="10"/>
  <c r="AB49" i="10" s="1"/>
  <c r="AF49" i="10" s="1"/>
  <c r="AJ49" i="10" s="1"/>
  <c r="AP49" i="10" s="1"/>
  <c r="Z51" i="10"/>
  <c r="AB51" i="10" s="1"/>
  <c r="Z53" i="10"/>
  <c r="Z57" i="10"/>
  <c r="Z58" i="10"/>
  <c r="Z61" i="10"/>
  <c r="Z64" i="10"/>
  <c r="Z65" i="10"/>
  <c r="Z66" i="10"/>
  <c r="Z73" i="10"/>
  <c r="Z75" i="10"/>
  <c r="AB75" i="10" s="1"/>
  <c r="AF75" i="10" s="1"/>
  <c r="AJ75" i="10" s="1"/>
  <c r="AP75" i="10" s="1"/>
  <c r="Z76" i="10"/>
  <c r="AB76" i="10" s="1"/>
  <c r="AF76" i="10" s="1"/>
  <c r="AJ76" i="10" s="1"/>
  <c r="AP76" i="10" s="1"/>
  <c r="Z78" i="10"/>
  <c r="AB78" i="10" s="1"/>
  <c r="AF78" i="10" s="1"/>
  <c r="AJ78" i="10" s="1"/>
  <c r="AP78" i="10" s="1"/>
  <c r="Z80" i="10"/>
  <c r="Z82" i="10"/>
  <c r="Z83" i="10"/>
  <c r="Z87" i="10"/>
  <c r="Z89" i="10"/>
  <c r="Z90" i="10"/>
  <c r="Z91" i="10"/>
  <c r="Z92" i="10"/>
  <c r="Z94" i="10"/>
  <c r="Z96" i="10"/>
  <c r="Z97" i="10"/>
  <c r="Z98" i="10"/>
  <c r="Z99" i="10"/>
  <c r="AT75" i="10" l="1"/>
  <c r="AX75" i="10" s="1"/>
  <c r="BF75" i="10" s="1"/>
  <c r="AT16" i="10"/>
  <c r="AX16" i="10" s="1"/>
  <c r="BF16" i="10" s="1"/>
  <c r="AU35" i="45"/>
  <c r="AY35" i="45" s="1"/>
  <c r="BG35" i="45" s="1"/>
  <c r="AU17" i="45"/>
  <c r="AY17" i="45" s="1"/>
  <c r="BG17" i="45" s="1"/>
  <c r="AU33" i="45"/>
  <c r="AY33" i="45" s="1"/>
  <c r="BG33" i="45" s="1"/>
  <c r="AT78" i="10"/>
  <c r="AX78" i="10" s="1"/>
  <c r="BF78" i="10" s="1"/>
  <c r="AT49" i="10"/>
  <c r="AX49" i="10" s="1"/>
  <c r="BF49" i="10" s="1"/>
  <c r="AU30" i="50"/>
  <c r="AY30" i="50" s="1"/>
  <c r="BG30" i="50" s="1"/>
  <c r="AT76" i="10"/>
  <c r="AX76" i="10" s="1"/>
  <c r="BF76" i="10" s="1"/>
  <c r="AT47" i="10"/>
  <c r="AX47" i="10" s="1"/>
  <c r="BF47" i="10" s="1"/>
  <c r="AT11" i="10"/>
  <c r="AX11" i="10" s="1"/>
  <c r="BF11" i="10" s="1"/>
  <c r="AU19" i="45"/>
  <c r="AY19" i="45" s="1"/>
  <c r="BG19" i="45" s="1"/>
  <c r="AU29" i="50"/>
  <c r="AY29" i="50" s="1"/>
  <c r="BG29" i="50" s="1"/>
  <c r="AF51" i="10"/>
  <c r="X90" i="9"/>
  <c r="X61" i="9"/>
  <c r="X39" i="9"/>
  <c r="X38" i="9"/>
  <c r="AJ51" i="10" l="1"/>
  <c r="AP51" i="10" s="1"/>
  <c r="X30" i="9"/>
  <c r="AT51" i="10" l="1"/>
  <c r="AX51" i="10" s="1"/>
  <c r="BF51" i="10" s="1"/>
  <c r="X46" i="35"/>
  <c r="X45" i="35"/>
  <c r="Y43" i="50"/>
  <c r="Y45" i="50"/>
  <c r="Y42" i="50"/>
  <c r="Y35" i="50"/>
  <c r="Y36" i="50"/>
  <c r="Y39" i="50"/>
  <c r="Y40" i="50"/>
  <c r="Y34" i="50"/>
  <c r="Y5" i="50"/>
  <c r="Y6" i="50"/>
  <c r="Y10" i="50"/>
  <c r="Y11" i="50"/>
  <c r="Y13" i="50"/>
  <c r="Y14" i="50"/>
  <c r="Y15" i="50"/>
  <c r="Y18" i="50"/>
  <c r="Y20" i="50"/>
  <c r="Y21" i="50"/>
  <c r="Y22" i="50"/>
  <c r="Y23" i="50"/>
  <c r="Y24" i="50"/>
  <c r="Y25" i="50"/>
  <c r="Y27" i="50"/>
  <c r="Y28" i="50"/>
  <c r="Y32" i="50"/>
  <c r="Y4" i="50"/>
  <c r="Z41" i="50"/>
  <c r="AB41" i="50"/>
  <c r="Z46" i="50"/>
  <c r="AB46" i="50"/>
  <c r="Z60" i="50"/>
  <c r="AB60" i="50"/>
  <c r="Z70" i="50"/>
  <c r="AB70" i="50"/>
  <c r="AA59" i="50"/>
  <c r="AA58" i="50"/>
  <c r="AA47" i="50"/>
  <c r="Z33" i="50"/>
  <c r="AB33" i="50"/>
  <c r="Y70" i="50"/>
  <c r="Y60" i="50"/>
  <c r="R13" i="52"/>
  <c r="Q13" i="52"/>
  <c r="R8" i="52"/>
  <c r="Q8" i="52"/>
  <c r="Y17" i="61" l="1"/>
  <c r="Y10" i="61"/>
  <c r="Y16" i="61"/>
  <c r="Y9" i="61"/>
  <c r="Y14" i="61"/>
  <c r="Y18" i="61"/>
  <c r="Y11" i="61"/>
  <c r="R14" i="52"/>
  <c r="AA60" i="50"/>
  <c r="AA70" i="50"/>
  <c r="Y46" i="50"/>
  <c r="Y41" i="50"/>
  <c r="Y33" i="50"/>
  <c r="Q14" i="52"/>
  <c r="W88" i="26"/>
  <c r="V88" i="26"/>
  <c r="W74" i="26"/>
  <c r="V74" i="26"/>
  <c r="W61" i="26"/>
  <c r="W57" i="26"/>
  <c r="W56" i="26"/>
  <c r="V57" i="26"/>
  <c r="W51" i="26"/>
  <c r="V51" i="26"/>
  <c r="V133" i="26" s="1"/>
  <c r="W36" i="26"/>
  <c r="W40" i="26" s="1"/>
  <c r="V36" i="26"/>
  <c r="V128" i="26" s="1"/>
  <c r="W32" i="26"/>
  <c r="V32" i="26"/>
  <c r="V16" i="26"/>
  <c r="V14" i="26"/>
  <c r="V10" i="26"/>
  <c r="V8" i="26"/>
  <c r="Y19" i="61" l="1"/>
  <c r="V11" i="26"/>
  <c r="V18" i="26" s="1"/>
  <c r="W37" i="26"/>
  <c r="W41" i="26"/>
  <c r="Y71" i="50"/>
  <c r="W12" i="26"/>
  <c r="W17" i="26"/>
  <c r="V41" i="26"/>
  <c r="V40" i="26"/>
  <c r="V37" i="26"/>
  <c r="V56" i="26"/>
  <c r="V59" i="26"/>
  <c r="V84" i="17" s="1"/>
  <c r="V132" i="26" l="1"/>
  <c r="V125" i="26"/>
  <c r="V12" i="26"/>
  <c r="V17" i="26"/>
  <c r="V61" i="26"/>
  <c r="Y87" i="17"/>
  <c r="X87" i="17"/>
  <c r="W25" i="17"/>
  <c r="V113" i="17"/>
  <c r="V111" i="17"/>
  <c r="W81" i="17"/>
  <c r="V81" i="17"/>
  <c r="W77" i="17"/>
  <c r="V77" i="17"/>
  <c r="W66" i="17"/>
  <c r="W68" i="17" s="1"/>
  <c r="V66" i="17"/>
  <c r="V68" i="17" s="1"/>
  <c r="V60" i="17"/>
  <c r="W58" i="17"/>
  <c r="W61" i="17" s="1"/>
  <c r="V57" i="17"/>
  <c r="V56" i="17"/>
  <c r="V54" i="17"/>
  <c r="W52" i="17"/>
  <c r="V51" i="17"/>
  <c r="W48" i="17"/>
  <c r="V47" i="17"/>
  <c r="W46" i="17"/>
  <c r="V45" i="17"/>
  <c r="W43" i="17"/>
  <c r="W44" i="17" s="1"/>
  <c r="V43" i="17"/>
  <c r="W42" i="17"/>
  <c r="W40" i="17"/>
  <c r="W38" i="17"/>
  <c r="V25" i="17"/>
  <c r="W21" i="17"/>
  <c r="W15" i="17" s="1"/>
  <c r="W33" i="17" s="1"/>
  <c r="V18" i="17"/>
  <c r="V17" i="17"/>
  <c r="V15" i="17"/>
  <c r="V29" i="17" s="1"/>
  <c r="V14" i="17"/>
  <c r="W11" i="17"/>
  <c r="W13" i="17"/>
  <c r="W10" i="17"/>
  <c r="V8" i="17"/>
  <c r="V10" i="17" s="1"/>
  <c r="AA53" i="45"/>
  <c r="Z53" i="45"/>
  <c r="AA51" i="45"/>
  <c r="Z51" i="45"/>
  <c r="AA68" i="45"/>
  <c r="AA64" i="45"/>
  <c r="AA63" i="45"/>
  <c r="AA6" i="45"/>
  <c r="AA5" i="45"/>
  <c r="AA55" i="45" s="1"/>
  <c r="Z5" i="45"/>
  <c r="Z55" i="45" s="1"/>
  <c r="AA2" i="45"/>
  <c r="Z2" i="45"/>
  <c r="Y73" i="45"/>
  <c r="Y71" i="45"/>
  <c r="Y65" i="45"/>
  <c r="Y66" i="45" s="1"/>
  <c r="Y60" i="45"/>
  <c r="X60" i="45"/>
  <c r="Y59" i="45"/>
  <c r="X59" i="45"/>
  <c r="Y58" i="45"/>
  <c r="X58" i="45"/>
  <c r="Y56" i="45"/>
  <c r="Y57" i="45" s="1"/>
  <c r="Y54" i="45"/>
  <c r="X54" i="45"/>
  <c r="Y52" i="45"/>
  <c r="AA52" i="59" s="1"/>
  <c r="X52" i="45"/>
  <c r="Z52" i="59" s="1"/>
  <c r="Y49" i="45"/>
  <c r="X49" i="45"/>
  <c r="X50" i="45" s="1"/>
  <c r="Y76" i="45"/>
  <c r="X42" i="45"/>
  <c r="X43" i="45" s="1"/>
  <c r="Z78" i="11"/>
  <c r="Z83" i="11" s="1"/>
  <c r="Z74" i="11"/>
  <c r="Z73" i="11"/>
  <c r="Z63" i="11"/>
  <c r="Y63" i="11"/>
  <c r="Z61" i="11"/>
  <c r="Y61" i="11"/>
  <c r="Z51" i="11"/>
  <c r="Z50" i="11"/>
  <c r="Z49" i="11"/>
  <c r="Z48" i="11"/>
  <c r="Z47" i="11"/>
  <c r="Z46" i="11"/>
  <c r="Z45" i="11"/>
  <c r="Z10" i="11"/>
  <c r="Z13" i="11"/>
  <c r="Z14" i="11"/>
  <c r="Z16" i="11"/>
  <c r="Z18" i="11"/>
  <c r="Z19" i="11"/>
  <c r="Z23" i="11"/>
  <c r="Z25" i="11"/>
  <c r="Z27" i="11"/>
  <c r="Z28" i="11"/>
  <c r="Z31" i="11"/>
  <c r="Z35" i="11"/>
  <c r="Z37" i="11"/>
  <c r="Z38" i="11"/>
  <c r="Z40" i="11"/>
  <c r="Z41" i="11"/>
  <c r="Z42" i="11"/>
  <c r="Z43" i="11"/>
  <c r="Z7" i="11"/>
  <c r="Z5" i="11"/>
  <c r="Z65" i="11" s="1"/>
  <c r="Y5" i="11"/>
  <c r="Y65" i="11" s="1"/>
  <c r="Z2" i="11"/>
  <c r="Y2" i="11"/>
  <c r="X83" i="11"/>
  <c r="X81" i="11"/>
  <c r="X75" i="11"/>
  <c r="X76" i="11" s="1"/>
  <c r="X70" i="11"/>
  <c r="W70" i="11"/>
  <c r="X69" i="11"/>
  <c r="W69" i="11"/>
  <c r="X68" i="11"/>
  <c r="W68" i="11"/>
  <c r="X66" i="11"/>
  <c r="X67" i="11" s="1"/>
  <c r="X64" i="11"/>
  <c r="W64" i="11"/>
  <c r="X62" i="11"/>
  <c r="AA48" i="59" s="1"/>
  <c r="W62" i="11"/>
  <c r="Z48" i="59" s="1"/>
  <c r="X59" i="11"/>
  <c r="X60" i="11" s="1"/>
  <c r="W59" i="11"/>
  <c r="W60" i="11" s="1"/>
  <c r="X54" i="11"/>
  <c r="X77" i="11" s="1"/>
  <c r="W52" i="11"/>
  <c r="X56" i="11"/>
  <c r="Z141" i="10"/>
  <c r="Z146" i="10" s="1"/>
  <c r="Z136" i="10"/>
  <c r="Z137" i="10"/>
  <c r="Z126" i="10"/>
  <c r="Y126" i="10"/>
  <c r="Z124" i="10"/>
  <c r="Y124" i="10"/>
  <c r="Z122" i="10"/>
  <c r="Z114" i="10"/>
  <c r="Z113" i="10"/>
  <c r="Z111" i="10"/>
  <c r="Z109" i="10"/>
  <c r="Z106" i="10"/>
  <c r="Z105" i="10"/>
  <c r="Z104" i="10"/>
  <c r="Z103" i="10"/>
  <c r="Z102" i="10"/>
  <c r="Z7" i="10"/>
  <c r="Z5" i="10"/>
  <c r="Z128" i="10" s="1"/>
  <c r="Y5" i="10"/>
  <c r="Z2" i="10"/>
  <c r="Y2" i="10"/>
  <c r="X146" i="10"/>
  <c r="X144" i="10"/>
  <c r="X138" i="10"/>
  <c r="X139" i="10" s="1"/>
  <c r="X133" i="10"/>
  <c r="W133" i="10"/>
  <c r="X132" i="10"/>
  <c r="W132" i="10"/>
  <c r="X131" i="10"/>
  <c r="W131" i="10"/>
  <c r="X129" i="10"/>
  <c r="X130" i="10" s="1"/>
  <c r="X127" i="10"/>
  <c r="W127" i="10"/>
  <c r="X125" i="10"/>
  <c r="AA44" i="59" s="1"/>
  <c r="W125" i="10"/>
  <c r="Z44" i="59" s="1"/>
  <c r="X123" i="10"/>
  <c r="W122" i="10"/>
  <c r="W123" i="10" s="1"/>
  <c r="X119" i="10"/>
  <c r="X140" i="10"/>
  <c r="W115" i="10"/>
  <c r="W116" i="10" s="1"/>
  <c r="W118" i="10" s="1"/>
  <c r="Z43" i="59" s="1"/>
  <c r="X115" i="10"/>
  <c r="X116" i="10" s="1"/>
  <c r="J113" i="9"/>
  <c r="N113" i="9" s="1"/>
  <c r="R113" i="9" s="1"/>
  <c r="J114" i="9"/>
  <c r="N114" i="9" s="1"/>
  <c r="R114" i="9" s="1"/>
  <c r="D94" i="9"/>
  <c r="D95" i="9" s="1"/>
  <c r="D90" i="9"/>
  <c r="D87" i="9"/>
  <c r="D85" i="9"/>
  <c r="D84" i="9"/>
  <c r="D71" i="9"/>
  <c r="D67" i="9"/>
  <c r="D66" i="9"/>
  <c r="D65" i="9"/>
  <c r="D64" i="9"/>
  <c r="D63" i="9"/>
  <c r="D62" i="9"/>
  <c r="D61" i="9"/>
  <c r="D60" i="9"/>
  <c r="D58" i="9"/>
  <c r="D57" i="9"/>
  <c r="D54" i="9"/>
  <c r="D56" i="9" s="1"/>
  <c r="D46" i="9"/>
  <c r="D30" i="9"/>
  <c r="D27" i="9"/>
  <c r="E27" i="9"/>
  <c r="G27" i="9"/>
  <c r="G25" i="9"/>
  <c r="D25" i="9"/>
  <c r="E25" i="9"/>
  <c r="D7" i="9"/>
  <c r="D83" i="9" s="1"/>
  <c r="Z103" i="9"/>
  <c r="Z104" i="9"/>
  <c r="Z105" i="9"/>
  <c r="Z106" i="9"/>
  <c r="Z107" i="9"/>
  <c r="Z108" i="9"/>
  <c r="Z109" i="9"/>
  <c r="Z110" i="9"/>
  <c r="Z111" i="9"/>
  <c r="Z112" i="9"/>
  <c r="Z113" i="9"/>
  <c r="Z114" i="9"/>
  <c r="Z21" i="9"/>
  <c r="J21" i="9"/>
  <c r="N21" i="9" s="1"/>
  <c r="V21" i="9"/>
  <c r="AB21" i="9" s="1"/>
  <c r="AF21" i="9" s="1"/>
  <c r="AJ21" i="9" s="1"/>
  <c r="AP21" i="9" s="1"/>
  <c r="AT21" i="9" s="1"/>
  <c r="AX21" i="9" s="1"/>
  <c r="BF21" i="9" s="1"/>
  <c r="Z18" i="9"/>
  <c r="Y18" i="9"/>
  <c r="Y50" i="9" s="1"/>
  <c r="Z8" i="9"/>
  <c r="Z7" i="9"/>
  <c r="X133" i="9"/>
  <c r="X135" i="9" s="1"/>
  <c r="X136" i="9" s="1"/>
  <c r="X94" i="9"/>
  <c r="X93" i="9"/>
  <c r="W93" i="9"/>
  <c r="X92" i="9"/>
  <c r="W92" i="9"/>
  <c r="X88" i="9"/>
  <c r="W85" i="9"/>
  <c r="W84" i="9"/>
  <c r="W71" i="9"/>
  <c r="X56" i="9"/>
  <c r="W46" i="9"/>
  <c r="X45" i="9"/>
  <c r="X46" i="9"/>
  <c r="X37" i="9"/>
  <c r="X34" i="9"/>
  <c r="X47" i="9"/>
  <c r="X28" i="9"/>
  <c r="X29" i="9" s="1"/>
  <c r="W27" i="9"/>
  <c r="W25" i="9"/>
  <c r="X22" i="9"/>
  <c r="X10" i="9"/>
  <c r="X5" i="9"/>
  <c r="W5" i="9"/>
  <c r="D77" i="8"/>
  <c r="D78" i="8" s="1"/>
  <c r="D71" i="8"/>
  <c r="D66" i="8"/>
  <c r="X45" i="45" l="1"/>
  <c r="Z51" i="59" s="1"/>
  <c r="X46" i="45"/>
  <c r="X120" i="10"/>
  <c r="X153" i="10"/>
  <c r="X118" i="10"/>
  <c r="AA43" i="59" s="1"/>
  <c r="W86" i="9"/>
  <c r="W28" i="9"/>
  <c r="W83" i="9" s="1"/>
  <c r="V21" i="17"/>
  <c r="V30" i="17" s="1"/>
  <c r="Z117" i="10"/>
  <c r="Z148" i="10" s="1"/>
  <c r="Z81" i="11"/>
  <c r="X28" i="35"/>
  <c r="V58" i="17"/>
  <c r="V61" i="17" s="1"/>
  <c r="V112" i="17"/>
  <c r="W65" i="9"/>
  <c r="V90" i="26"/>
  <c r="Z64" i="11"/>
  <c r="D28" i="9"/>
  <c r="D29" i="9" s="1"/>
  <c r="D86" i="9"/>
  <c r="Z75" i="11"/>
  <c r="Z76" i="11" s="1"/>
  <c r="Y72" i="45"/>
  <c r="Z144" i="10"/>
  <c r="Y128" i="10"/>
  <c r="X48" i="9"/>
  <c r="X73" i="9" s="1"/>
  <c r="X40" i="9"/>
  <c r="X89" i="9"/>
  <c r="W18" i="15" s="1"/>
  <c r="W90" i="26"/>
  <c r="W59" i="17"/>
  <c r="V49" i="17"/>
  <c r="V53" i="17" s="1"/>
  <c r="W49" i="17"/>
  <c r="W50" i="17" s="1"/>
  <c r="W111" i="17" s="1"/>
  <c r="W32" i="17"/>
  <c r="W30" i="17"/>
  <c r="V115" i="17"/>
  <c r="W29" i="17"/>
  <c r="W31" i="17"/>
  <c r="W12" i="17"/>
  <c r="W113" i="17" s="1"/>
  <c r="W112" i="17"/>
  <c r="AA54" i="45"/>
  <c r="AA71" i="45"/>
  <c r="Y67" i="45"/>
  <c r="AA44" i="45"/>
  <c r="AA67" i="45" s="1"/>
  <c r="Z54" i="45"/>
  <c r="Z52" i="45"/>
  <c r="AB52" i="59" s="1"/>
  <c r="AA73" i="45"/>
  <c r="AA65" i="45"/>
  <c r="AA66" i="45" s="1"/>
  <c r="Y50" i="45"/>
  <c r="AA52" i="45"/>
  <c r="AC52" i="59" s="1"/>
  <c r="X61" i="45"/>
  <c r="Z53" i="59" s="1"/>
  <c r="Y75" i="45"/>
  <c r="Y77" i="45" s="1"/>
  <c r="Y61" i="45"/>
  <c r="AA53" i="59" s="1"/>
  <c r="Y62" i="11"/>
  <c r="AB48" i="59" s="1"/>
  <c r="Z54" i="11"/>
  <c r="Z85" i="11" s="1"/>
  <c r="Z62" i="11"/>
  <c r="AC48" i="59" s="1"/>
  <c r="X82" i="11"/>
  <c r="Y64" i="11"/>
  <c r="W71" i="11"/>
  <c r="Z49" i="59" s="1"/>
  <c r="X85" i="11"/>
  <c r="W53" i="11"/>
  <c r="W55" i="11" s="1"/>
  <c r="Z47" i="59" s="1"/>
  <c r="X52" i="11"/>
  <c r="Y125" i="10"/>
  <c r="AB44" i="59" s="1"/>
  <c r="Z123" i="10"/>
  <c r="Z138" i="10"/>
  <c r="Z145" i="10" s="1"/>
  <c r="Z127" i="10"/>
  <c r="Y127" i="10"/>
  <c r="X134" i="10"/>
  <c r="AA45" i="59" s="1"/>
  <c r="X147" i="10"/>
  <c r="Z125" i="10"/>
  <c r="AC44" i="59" s="1"/>
  <c r="X145" i="10"/>
  <c r="W134" i="10"/>
  <c r="Z45" i="59" s="1"/>
  <c r="X148" i="10"/>
  <c r="D22" i="9"/>
  <c r="W7" i="9"/>
  <c r="X14" i="9"/>
  <c r="X77" i="9"/>
  <c r="AA41" i="59" s="1"/>
  <c r="X140" i="9"/>
  <c r="W54" i="9"/>
  <c r="W56" i="9" s="1"/>
  <c r="W57" i="9"/>
  <c r="W62" i="9"/>
  <c r="W66" i="9"/>
  <c r="X84" i="9"/>
  <c r="W90" i="9"/>
  <c r="W29" i="9"/>
  <c r="W58" i="9"/>
  <c r="W63" i="9"/>
  <c r="W67" i="9"/>
  <c r="W87" i="9"/>
  <c r="W60" i="9"/>
  <c r="W64" i="9"/>
  <c r="X85" i="9"/>
  <c r="X91" i="9"/>
  <c r="X95" i="9"/>
  <c r="W22" i="9"/>
  <c r="W30" i="9"/>
  <c r="D65" i="8"/>
  <c r="D45" i="8"/>
  <c r="D46" i="8" s="1"/>
  <c r="D38" i="8"/>
  <c r="D24" i="8" s="1"/>
  <c r="D37" i="8"/>
  <c r="D23" i="8" s="1"/>
  <c r="D36" i="8"/>
  <c r="D22" i="8" s="1"/>
  <c r="D58" i="8" s="1"/>
  <c r="D29" i="8"/>
  <c r="D28" i="8"/>
  <c r="D27" i="8"/>
  <c r="D60" i="8" s="1"/>
  <c r="D26" i="8"/>
  <c r="D52" i="8" s="1"/>
  <c r="D56" i="8" s="1"/>
  <c r="D15" i="8"/>
  <c r="AA4" i="39"/>
  <c r="F22" i="7"/>
  <c r="K22" i="7"/>
  <c r="Y7" i="7"/>
  <c r="Z7" i="7"/>
  <c r="Y8" i="7"/>
  <c r="Z8" i="7"/>
  <c r="Y9" i="7"/>
  <c r="Z9" i="7"/>
  <c r="Y10" i="7"/>
  <c r="Z10" i="7"/>
  <c r="Y11" i="7"/>
  <c r="Z11" i="7"/>
  <c r="Y12" i="7"/>
  <c r="Z12" i="7"/>
  <c r="Y13" i="7"/>
  <c r="Z13" i="7"/>
  <c r="Y14" i="7"/>
  <c r="Z14" i="7"/>
  <c r="Y15" i="7"/>
  <c r="Z15" i="7"/>
  <c r="Z6" i="7"/>
  <c r="Y6" i="7"/>
  <c r="X71" i="7"/>
  <c r="W71" i="7"/>
  <c r="X69" i="7"/>
  <c r="X62" i="7"/>
  <c r="W62" i="7"/>
  <c r="X58" i="7"/>
  <c r="X60" i="7" s="1"/>
  <c r="W58" i="7"/>
  <c r="W60" i="7" s="1"/>
  <c r="X54" i="7"/>
  <c r="X47" i="7" s="1"/>
  <c r="W54" i="7"/>
  <c r="W24" i="7" s="1"/>
  <c r="W79" i="7" s="1"/>
  <c r="X16" i="7"/>
  <c r="X30" i="7" s="1"/>
  <c r="W16" i="7"/>
  <c r="W30" i="7" s="1"/>
  <c r="W39" i="7" s="1"/>
  <c r="D84" i="7"/>
  <c r="D81" i="7"/>
  <c r="D80" i="7"/>
  <c r="D79" i="7"/>
  <c r="D78" i="7"/>
  <c r="D77" i="7"/>
  <c r="D76" i="7"/>
  <c r="D75" i="7"/>
  <c r="D74" i="7"/>
  <c r="D71" i="7"/>
  <c r="D69" i="7"/>
  <c r="D62" i="7"/>
  <c r="D60" i="7"/>
  <c r="D54" i="7"/>
  <c r="D39" i="7"/>
  <c r="D28" i="7"/>
  <c r="D41" i="7" s="1"/>
  <c r="D16" i="7"/>
  <c r="D1" i="7"/>
  <c r="D156" i="6"/>
  <c r="D157" i="6" s="1"/>
  <c r="D130" i="6"/>
  <c r="D131" i="6" s="1"/>
  <c r="I35" i="38"/>
  <c r="D151" i="6"/>
  <c r="D126" i="6"/>
  <c r="D103" i="6"/>
  <c r="D100" i="6"/>
  <c r="D99" i="6"/>
  <c r="D97" i="6"/>
  <c r="D96" i="6"/>
  <c r="D95" i="6"/>
  <c r="D94" i="6"/>
  <c r="D87" i="6"/>
  <c r="D84" i="6"/>
  <c r="D73" i="6"/>
  <c r="D70" i="6"/>
  <c r="X79" i="9" l="1"/>
  <c r="X76" i="9"/>
  <c r="X82" i="9"/>
  <c r="AA40" i="59" s="1"/>
  <c r="Y45" i="45"/>
  <c r="AA51" i="59" s="1"/>
  <c r="Y47" i="45"/>
  <c r="W21" i="36"/>
  <c r="X21" i="36"/>
  <c r="V32" i="17"/>
  <c r="V31" i="17"/>
  <c r="V33" i="17"/>
  <c r="W23" i="36"/>
  <c r="W20" i="7"/>
  <c r="W76" i="7" s="1"/>
  <c r="Z24" i="59" s="1"/>
  <c r="X20" i="7"/>
  <c r="X30" i="35"/>
  <c r="Y79" i="45"/>
  <c r="Z82" i="11"/>
  <c r="X71" i="11"/>
  <c r="AA49" i="59" s="1"/>
  <c r="V59" i="17"/>
  <c r="D70" i="7"/>
  <c r="D68" i="7"/>
  <c r="D56" i="7"/>
  <c r="D63" i="7"/>
  <c r="D50" i="7"/>
  <c r="D64" i="7"/>
  <c r="D65" i="7"/>
  <c r="X18" i="7"/>
  <c r="X74" i="7" s="1"/>
  <c r="AA22" i="59" s="1"/>
  <c r="X43" i="7"/>
  <c r="D25" i="8"/>
  <c r="D67" i="7"/>
  <c r="D85" i="7"/>
  <c r="W14" i="17"/>
  <c r="V110" i="17"/>
  <c r="V114" i="17" s="1"/>
  <c r="W115" i="17"/>
  <c r="D34" i="8"/>
  <c r="AA76" i="45"/>
  <c r="Z139" i="10"/>
  <c r="Z140" i="10"/>
  <c r="X42" i="7"/>
  <c r="X24" i="7"/>
  <c r="X79" i="7" s="1"/>
  <c r="X46" i="7"/>
  <c r="X22" i="7"/>
  <c r="X81" i="7" s="1"/>
  <c r="X26" i="7"/>
  <c r="X83" i="7" s="1"/>
  <c r="X81" i="9"/>
  <c r="X51" i="9"/>
  <c r="AA39" i="59" s="1"/>
  <c r="X52" i="9"/>
  <c r="X80" i="9"/>
  <c r="X75" i="9"/>
  <c r="X69" i="9"/>
  <c r="X70" i="9"/>
  <c r="X71" i="9"/>
  <c r="X74" i="9"/>
  <c r="X78" i="9"/>
  <c r="X72" i="9"/>
  <c r="X86" i="9"/>
  <c r="X70" i="7"/>
  <c r="AA26" i="59" s="1"/>
  <c r="W53" i="17"/>
  <c r="W54" i="17" s="1"/>
  <c r="W110" i="17"/>
  <c r="W114" i="17" s="1"/>
  <c r="AA72" i="45"/>
  <c r="Z77" i="11"/>
  <c r="X53" i="11"/>
  <c r="X84" i="11"/>
  <c r="X86" i="11" s="1"/>
  <c r="X151" i="10"/>
  <c r="X149" i="10"/>
  <c r="D32" i="8"/>
  <c r="D33" i="8"/>
  <c r="D39" i="8"/>
  <c r="W22" i="7"/>
  <c r="W81" i="7" s="1"/>
  <c r="W18" i="7"/>
  <c r="W74" i="7" s="1"/>
  <c r="Z22" i="59" s="1"/>
  <c r="W26" i="7"/>
  <c r="W83" i="7" s="1"/>
  <c r="W65" i="7"/>
  <c r="X65" i="7"/>
  <c r="W19" i="7"/>
  <c r="W75" i="7" s="1"/>
  <c r="Z23" i="59" s="1"/>
  <c r="W21" i="7"/>
  <c r="W84" i="7" s="1"/>
  <c r="Z25" i="59" s="1"/>
  <c r="W23" i="7"/>
  <c r="W78" i="7" s="1"/>
  <c r="W25" i="7"/>
  <c r="W80" i="7" s="1"/>
  <c r="W27" i="7"/>
  <c r="W77" i="7" s="1"/>
  <c r="X44" i="7"/>
  <c r="X82" i="7" s="1"/>
  <c r="X48" i="7"/>
  <c r="W55" i="7"/>
  <c r="W63" i="7"/>
  <c r="W68" i="7"/>
  <c r="Z21" i="59" s="1"/>
  <c r="X19" i="7"/>
  <c r="X21" i="7"/>
  <c r="X23" i="7"/>
  <c r="X78" i="7" s="1"/>
  <c r="X25" i="7"/>
  <c r="X80" i="7" s="1"/>
  <c r="X27" i="7"/>
  <c r="X77" i="7" s="1"/>
  <c r="X45" i="7"/>
  <c r="X49" i="7"/>
  <c r="X56" i="7"/>
  <c r="X63" i="7"/>
  <c r="X68" i="7"/>
  <c r="AA21" i="59" s="1"/>
  <c r="X41" i="7"/>
  <c r="X39" i="7"/>
  <c r="D101" i="6"/>
  <c r="D74" i="6"/>
  <c r="D78" i="6" s="1"/>
  <c r="D110" i="6" s="1"/>
  <c r="D88" i="6"/>
  <c r="D92" i="6" s="1"/>
  <c r="D135" i="6" s="1"/>
  <c r="D98" i="6"/>
  <c r="X55" i="11" l="1"/>
  <c r="AA47" i="59" s="1"/>
  <c r="X57" i="11"/>
  <c r="X76" i="7"/>
  <c r="AA24" i="59" s="1"/>
  <c r="W22" i="36"/>
  <c r="X23" i="36"/>
  <c r="D102" i="6"/>
  <c r="X29" i="35"/>
  <c r="X39" i="35" s="1"/>
  <c r="D138" i="6"/>
  <c r="W28" i="7"/>
  <c r="W41" i="7" s="1"/>
  <c r="W64" i="7" s="1"/>
  <c r="X75" i="7"/>
  <c r="AA23" i="59" s="1"/>
  <c r="X28" i="7"/>
  <c r="X88" i="11"/>
  <c r="W85" i="7"/>
  <c r="X84" i="7"/>
  <c r="AA25" i="59" s="1"/>
  <c r="X64" i="7"/>
  <c r="X50" i="7"/>
  <c r="D136" i="6"/>
  <c r="D111" i="6"/>
  <c r="D112" i="6" s="1"/>
  <c r="D113" i="6"/>
  <c r="D106" i="6"/>
  <c r="D137" i="6"/>
  <c r="X22" i="36" l="1"/>
  <c r="X85" i="7"/>
  <c r="W50" i="7"/>
  <c r="D172" i="6"/>
  <c r="D168" i="6"/>
  <c r="D167" i="6"/>
  <c r="D169" i="6"/>
  <c r="D175" i="6"/>
  <c r="D178" i="6" s="1"/>
  <c r="D166" i="6"/>
  <c r="D171" i="6"/>
  <c r="D173" i="6" l="1"/>
  <c r="D170" i="6"/>
  <c r="D174" i="6" l="1"/>
  <c r="D179" i="6" s="1"/>
  <c r="Z90" i="6" l="1"/>
  <c r="Z89" i="6"/>
  <c r="Z77" i="6"/>
  <c r="Z76" i="6"/>
  <c r="Z75" i="6"/>
  <c r="Y67" i="6"/>
  <c r="Z67" i="6"/>
  <c r="Y68" i="6"/>
  <c r="Z68" i="6"/>
  <c r="Y69" i="6"/>
  <c r="Z69" i="6"/>
  <c r="Z66" i="6"/>
  <c r="Z81" i="6"/>
  <c r="Z82" i="6"/>
  <c r="Z83" i="6"/>
  <c r="Z96" i="6" s="1"/>
  <c r="Y83" i="6"/>
  <c r="X154" i="6"/>
  <c r="X196" i="6"/>
  <c r="W196" i="6"/>
  <c r="X195" i="6"/>
  <c r="W195" i="6"/>
  <c r="X194" i="6"/>
  <c r="W194" i="6"/>
  <c r="X190" i="6"/>
  <c r="W190" i="6"/>
  <c r="X188" i="6"/>
  <c r="W188" i="6"/>
  <c r="X187" i="6"/>
  <c r="W187" i="6"/>
  <c r="X186" i="6"/>
  <c r="W186" i="6"/>
  <c r="X185" i="6"/>
  <c r="W185" i="6"/>
  <c r="X184" i="6"/>
  <c r="W184" i="6"/>
  <c r="X183" i="6"/>
  <c r="W183" i="6"/>
  <c r="X182" i="6"/>
  <c r="W182" i="6"/>
  <c r="X156" i="6"/>
  <c r="X155" i="6"/>
  <c r="W155" i="6"/>
  <c r="W154" i="6"/>
  <c r="X130" i="6"/>
  <c r="X129" i="6"/>
  <c r="W129" i="6"/>
  <c r="X105" i="6"/>
  <c r="X104" i="6"/>
  <c r="X103" i="6"/>
  <c r="W103" i="6"/>
  <c r="X100" i="6"/>
  <c r="W100" i="6"/>
  <c r="X99" i="6"/>
  <c r="W99" i="6"/>
  <c r="X97" i="6"/>
  <c r="W97" i="6"/>
  <c r="X96" i="6"/>
  <c r="W96" i="6"/>
  <c r="X95" i="6"/>
  <c r="W95" i="6"/>
  <c r="X94" i="6"/>
  <c r="W94" i="6"/>
  <c r="X87" i="6"/>
  <c r="W87" i="6"/>
  <c r="X84" i="6"/>
  <c r="W84" i="6"/>
  <c r="X73" i="6"/>
  <c r="W73" i="6"/>
  <c r="X70" i="6"/>
  <c r="W70" i="6"/>
  <c r="X52" i="6"/>
  <c r="W52" i="6"/>
  <c r="X44" i="6"/>
  <c r="W44" i="6"/>
  <c r="X41" i="6"/>
  <c r="W41" i="6"/>
  <c r="W37" i="6"/>
  <c r="X28" i="6"/>
  <c r="X25" i="6"/>
  <c r="X22" i="6"/>
  <c r="X18" i="6"/>
  <c r="X30" i="6" s="1"/>
  <c r="X17" i="6"/>
  <c r="X19" i="6" s="1"/>
  <c r="W6" i="6"/>
  <c r="W14" i="6" s="1"/>
  <c r="W5" i="6"/>
  <c r="D424" i="28"/>
  <c r="D427" i="28" s="1"/>
  <c r="D430" i="28" s="1"/>
  <c r="D44" i="28"/>
  <c r="D62" i="28" s="1"/>
  <c r="D43" i="28"/>
  <c r="D58" i="28" s="1"/>
  <c r="D319" i="28" s="1"/>
  <c r="D42" i="28"/>
  <c r="D54" i="28" s="1"/>
  <c r="D261" i="28" s="1"/>
  <c r="D41" i="28"/>
  <c r="D38" i="28"/>
  <c r="Z178" i="28"/>
  <c r="Z215" i="28" s="1"/>
  <c r="Z445" i="28" s="1"/>
  <c r="X424" i="28"/>
  <c r="X426" i="28" s="1"/>
  <c r="X420" i="28"/>
  <c r="X318" i="28"/>
  <c r="X319" i="28" s="1"/>
  <c r="X261" i="28"/>
  <c r="X175" i="28"/>
  <c r="X176" i="28" s="1"/>
  <c r="X65" i="28"/>
  <c r="X64" i="28"/>
  <c r="X62" i="28"/>
  <c r="X455" i="28" s="1"/>
  <c r="X58" i="28"/>
  <c r="X54" i="28"/>
  <c r="X50" i="28"/>
  <c r="X36" i="28"/>
  <c r="X35" i="28"/>
  <c r="X34" i="28"/>
  <c r="X33" i="28"/>
  <c r="W33" i="28"/>
  <c r="X31" i="28"/>
  <c r="W27" i="28"/>
  <c r="X24" i="28"/>
  <c r="W21" i="28"/>
  <c r="X18" i="28"/>
  <c r="W15" i="28"/>
  <c r="X11" i="28"/>
  <c r="W8" i="28"/>
  <c r="W11" i="28" s="1"/>
  <c r="X443" i="28" l="1"/>
  <c r="X41" i="28"/>
  <c r="X444" i="28"/>
  <c r="X442" i="28"/>
  <c r="W18" i="28"/>
  <c r="W42" i="28" s="1"/>
  <c r="W52" i="28" s="1"/>
  <c r="X44" i="28"/>
  <c r="X456" i="28"/>
  <c r="X454" i="28"/>
  <c r="X447" i="28"/>
  <c r="W176" i="28"/>
  <c r="W444" i="28" s="1"/>
  <c r="W24" i="28"/>
  <c r="W43" i="28" s="1"/>
  <c r="W56" i="28" s="1"/>
  <c r="X451" i="28"/>
  <c r="X43" i="28"/>
  <c r="X452" i="28"/>
  <c r="X450" i="28"/>
  <c r="X42" i="28"/>
  <c r="X448" i="28"/>
  <c r="X446" i="28"/>
  <c r="W31" i="28"/>
  <c r="W34" i="28"/>
  <c r="W38" i="28" s="1"/>
  <c r="X433" i="28"/>
  <c r="X434" i="28"/>
  <c r="X440" i="28"/>
  <c r="X439" i="28"/>
  <c r="W7" i="6"/>
  <c r="D45" i="28"/>
  <c r="D66" i="28" s="1"/>
  <c r="D50" i="28"/>
  <c r="D176" i="28" s="1"/>
  <c r="Y96" i="6"/>
  <c r="Z104" i="6"/>
  <c r="Z97" i="6"/>
  <c r="Z95" i="6"/>
  <c r="Z70" i="6"/>
  <c r="W98" i="6"/>
  <c r="W11" i="6"/>
  <c r="Z103" i="6"/>
  <c r="W13" i="6"/>
  <c r="W20" i="6" s="1"/>
  <c r="X29" i="6"/>
  <c r="X31" i="6" s="1"/>
  <c r="X98" i="6"/>
  <c r="W101" i="6"/>
  <c r="W18" i="6"/>
  <c r="W151" i="6"/>
  <c r="W27" i="6"/>
  <c r="W24" i="6"/>
  <c r="W21" i="6"/>
  <c r="W12" i="6"/>
  <c r="X101" i="6"/>
  <c r="X161" i="6"/>
  <c r="W74" i="6"/>
  <c r="W78" i="6" s="1"/>
  <c r="W113" i="6" s="1"/>
  <c r="W88" i="6"/>
  <c r="W92" i="6" s="1"/>
  <c r="W138" i="6" s="1"/>
  <c r="X74" i="6"/>
  <c r="X78" i="6" s="1"/>
  <c r="X88" i="6"/>
  <c r="X92" i="6" s="1"/>
  <c r="X136" i="6" s="1"/>
  <c r="X38" i="28"/>
  <c r="X39" i="28" s="1"/>
  <c r="W41" i="28"/>
  <c r="X430" i="28"/>
  <c r="X427" i="28"/>
  <c r="X66" i="28"/>
  <c r="X67" i="28" s="1"/>
  <c r="X16" i="49"/>
  <c r="X17" i="49" s="1"/>
  <c r="X10" i="49"/>
  <c r="W10" i="49"/>
  <c r="X8" i="49"/>
  <c r="X7" i="49"/>
  <c r="Z49" i="36"/>
  <c r="Z48" i="36"/>
  <c r="Z44" i="36"/>
  <c r="Z45" i="36"/>
  <c r="Z43" i="36"/>
  <c r="Z31" i="36"/>
  <c r="Y46" i="36"/>
  <c r="Y43" i="36"/>
  <c r="Y31" i="36"/>
  <c r="X55" i="36"/>
  <c r="X54" i="36"/>
  <c r="W53" i="36"/>
  <c r="W19" i="36" s="1"/>
  <c r="Z38" i="59" s="1"/>
  <c r="X52" i="36"/>
  <c r="X51" i="36"/>
  <c r="W49" i="36"/>
  <c r="W48" i="36"/>
  <c r="X47" i="36"/>
  <c r="W45" i="36"/>
  <c r="X33" i="36"/>
  <c r="W33" i="36"/>
  <c r="W44" i="36" s="1"/>
  <c r="W18" i="36"/>
  <c r="Z37" i="59" s="1"/>
  <c r="X17" i="36"/>
  <c r="AA36" i="59" s="1"/>
  <c r="X16" i="36"/>
  <c r="AA35" i="59" s="1"/>
  <c r="W13" i="36"/>
  <c r="Z30" i="59" s="1"/>
  <c r="X12" i="36"/>
  <c r="AA29" i="59" s="1"/>
  <c r="X11" i="36"/>
  <c r="AA28" i="59" s="1"/>
  <c r="X10" i="36"/>
  <c r="AA27" i="59" s="1"/>
  <c r="X5" i="36"/>
  <c r="AA6" i="59" s="1"/>
  <c r="X45" i="28" l="1"/>
  <c r="W450" i="28"/>
  <c r="W319" i="28"/>
  <c r="W452" i="28" s="1"/>
  <c r="W415" i="28"/>
  <c r="W433" i="28" s="1"/>
  <c r="W261" i="28"/>
  <c r="W447" i="28" s="1"/>
  <c r="W446" i="28"/>
  <c r="W44" i="28"/>
  <c r="W60" i="28" s="1"/>
  <c r="X12" i="49"/>
  <c r="W126" i="6"/>
  <c r="W17" i="6"/>
  <c r="W19" i="6" s="1"/>
  <c r="W15" i="6"/>
  <c r="W59" i="6" s="1"/>
  <c r="X53" i="36"/>
  <c r="X19" i="36" s="1"/>
  <c r="AA38" i="59" s="1"/>
  <c r="X18" i="36"/>
  <c r="AA37" i="59" s="1"/>
  <c r="X13" i="36"/>
  <c r="AA30" i="59" s="1"/>
  <c r="W102" i="6"/>
  <c r="W106" i="6" s="1"/>
  <c r="W169" i="6" s="1"/>
  <c r="W23" i="6"/>
  <c r="W25" i="6" s="1"/>
  <c r="W26" i="6"/>
  <c r="W28" i="6" s="1"/>
  <c r="X102" i="6"/>
  <c r="X106" i="6" s="1"/>
  <c r="W22" i="6"/>
  <c r="W135" i="6"/>
  <c r="X222" i="6"/>
  <c r="X113" i="6"/>
  <c r="X135" i="6"/>
  <c r="X137" i="6" s="1"/>
  <c r="X8" i="36" s="1"/>
  <c r="AA9" i="59" s="1"/>
  <c r="W110" i="6"/>
  <c r="W30" i="6"/>
  <c r="W136" i="6"/>
  <c r="X110" i="6"/>
  <c r="X111" i="6"/>
  <c r="W111" i="6"/>
  <c r="X223" i="6"/>
  <c r="X138" i="6"/>
  <c r="W48" i="28"/>
  <c r="W47" i="36"/>
  <c r="W172" i="6" l="1"/>
  <c r="W451" i="28"/>
  <c r="W440" i="28"/>
  <c r="W448" i="28"/>
  <c r="W45" i="28"/>
  <c r="W456" i="28"/>
  <c r="W439" i="28"/>
  <c r="W64" i="28"/>
  <c r="W443" i="28"/>
  <c r="W442" i="28"/>
  <c r="W434" i="28"/>
  <c r="W455" i="28"/>
  <c r="W454" i="28"/>
  <c r="W166" i="6"/>
  <c r="W29" i="6"/>
  <c r="W56" i="6"/>
  <c r="W171" i="6"/>
  <c r="W175" i="6"/>
  <c r="W178" i="6" s="1"/>
  <c r="W197" i="6" s="1"/>
  <c r="W168" i="6"/>
  <c r="W167" i="6"/>
  <c r="W173" i="6"/>
  <c r="W192" i="6" s="1"/>
  <c r="X162" i="6"/>
  <c r="X160" i="6"/>
  <c r="X112" i="6"/>
  <c r="X7" i="36" s="1"/>
  <c r="AA8" i="59" s="1"/>
  <c r="W112" i="6"/>
  <c r="W137" i="6"/>
  <c r="W31" i="6"/>
  <c r="X176" i="6"/>
  <c r="X166" i="6"/>
  <c r="X169" i="6"/>
  <c r="X168" i="6"/>
  <c r="X172" i="6"/>
  <c r="X171" i="6"/>
  <c r="X177" i="6"/>
  <c r="X175" i="6"/>
  <c r="X167" i="6"/>
  <c r="W170" i="6" l="1"/>
  <c r="W189" i="6" s="1"/>
  <c r="X173" i="6"/>
  <c r="X192" i="6" s="1"/>
  <c r="X170" i="6"/>
  <c r="X178" i="6"/>
  <c r="X197" i="6" s="1"/>
  <c r="W174" i="6" l="1"/>
  <c r="W179" i="6" s="1"/>
  <c r="X174" i="6"/>
  <c r="X189" i="6"/>
  <c r="W193" i="6" l="1"/>
  <c r="W198" i="6" s="1"/>
  <c r="X193" i="6"/>
  <c r="X179" i="6"/>
  <c r="X9" i="36"/>
  <c r="AA10" i="59" s="1"/>
  <c r="X198" i="6" l="1"/>
  <c r="D39" i="21" l="1"/>
  <c r="D38" i="21"/>
  <c r="D33" i="21"/>
  <c r="D35" i="21" s="1"/>
  <c r="D27" i="21"/>
  <c r="D26" i="21"/>
  <c r="D12" i="21"/>
  <c r="D15" i="21" s="1"/>
  <c r="W39" i="21"/>
  <c r="W38" i="21"/>
  <c r="X37" i="21"/>
  <c r="W35" i="21"/>
  <c r="X33" i="21"/>
  <c r="X29" i="21"/>
  <c r="W27" i="21"/>
  <c r="W429" i="28" s="1"/>
  <c r="W26" i="21"/>
  <c r="W418" i="28" s="1"/>
  <c r="W420" i="28" s="1"/>
  <c r="X24" i="21"/>
  <c r="X18" i="21"/>
  <c r="X15" i="21"/>
  <c r="X12" i="21"/>
  <c r="W12" i="21"/>
  <c r="Y6" i="21"/>
  <c r="K19" i="35"/>
  <c r="O19" i="35"/>
  <c r="S19" i="35"/>
  <c r="W19" i="35"/>
  <c r="X459" i="28" l="1"/>
  <c r="X460" i="28"/>
  <c r="W426" i="28"/>
  <c r="W430" i="28" s="1"/>
  <c r="W422" i="28"/>
  <c r="W22" i="21"/>
  <c r="W459" i="28"/>
  <c r="W460" i="28"/>
  <c r="X20" i="21"/>
  <c r="D22" i="21"/>
  <c r="D29" i="21"/>
  <c r="W29" i="21"/>
  <c r="X25" i="21"/>
  <c r="W15" i="21"/>
  <c r="W36" i="8" l="1"/>
  <c r="X117" i="8"/>
  <c r="X118" i="8" s="1"/>
  <c r="X105" i="8"/>
  <c r="X106" i="8" s="1"/>
  <c r="X85" i="8"/>
  <c r="X89" i="8" s="1"/>
  <c r="X137" i="9" s="1"/>
  <c r="X80" i="8"/>
  <c r="X77" i="8"/>
  <c r="X75" i="8"/>
  <c r="W75" i="8"/>
  <c r="X74" i="8"/>
  <c r="W74" i="8"/>
  <c r="W65" i="8"/>
  <c r="X60" i="8"/>
  <c r="X34" i="8" s="1"/>
  <c r="X55" i="8"/>
  <c r="X54" i="8"/>
  <c r="X52" i="8"/>
  <c r="X45" i="8"/>
  <c r="W45" i="8"/>
  <c r="W38" i="8"/>
  <c r="W37" i="8"/>
  <c r="X25" i="8"/>
  <c r="X20" i="8"/>
  <c r="W20" i="8"/>
  <c r="W18" i="8"/>
  <c r="X16" i="8"/>
  <c r="W16" i="8"/>
  <c r="X14" i="8"/>
  <c r="X13" i="8"/>
  <c r="W13" i="8"/>
  <c r="X12" i="8"/>
  <c r="W12" i="8"/>
  <c r="X5" i="8"/>
  <c r="W5" i="8"/>
  <c r="Y13" i="35"/>
  <c r="W40" i="35"/>
  <c r="W39" i="35"/>
  <c r="W37" i="35"/>
  <c r="W34" i="35"/>
  <c r="W43" i="35" s="1"/>
  <c r="X31" i="35"/>
  <c r="X34" i="35" s="1"/>
  <c r="X43" i="35" s="1"/>
  <c r="X44" i="35" s="1"/>
  <c r="W31" i="35"/>
  <c r="X24" i="35"/>
  <c r="W24" i="35"/>
  <c r="W34" i="36" s="1"/>
  <c r="W35" i="36" s="1"/>
  <c r="W36" i="36" s="1"/>
  <c r="W39" i="36" s="1"/>
  <c r="W30" i="36" s="1"/>
  <c r="Z59" i="59" s="1"/>
  <c r="X19" i="35"/>
  <c r="X15" i="35"/>
  <c r="W15" i="35"/>
  <c r="X11" i="35"/>
  <c r="W10" i="35"/>
  <c r="W5" i="36" s="1"/>
  <c r="Z6" i="59" s="1"/>
  <c r="W9" i="35"/>
  <c r="W8" i="35"/>
  <c r="X7" i="35"/>
  <c r="X6" i="6" s="1"/>
  <c r="X6" i="35"/>
  <c r="X5" i="6" s="1"/>
  <c r="W11" i="35" l="1"/>
  <c r="W12" i="49"/>
  <c r="X138" i="9"/>
  <c r="X141" i="9"/>
  <c r="X13" i="6"/>
  <c r="X11" i="6"/>
  <c r="X8" i="35"/>
  <c r="X14" i="6"/>
  <c r="X7" i="6"/>
  <c r="X12" i="6"/>
  <c r="X15" i="8"/>
  <c r="X41" i="8"/>
  <c r="X5" i="49"/>
  <c r="W26" i="8"/>
  <c r="W52" i="8" s="1"/>
  <c r="W56" i="8" s="1"/>
  <c r="X9" i="49"/>
  <c r="X11" i="49" s="1"/>
  <c r="X13" i="49" s="1"/>
  <c r="X14" i="49" s="1"/>
  <c r="X15" i="49" s="1"/>
  <c r="X18" i="49" s="1"/>
  <c r="W23" i="8"/>
  <c r="W8" i="49" s="1"/>
  <c r="W29" i="8"/>
  <c r="W5" i="49"/>
  <c r="W46" i="8"/>
  <c r="W66" i="8" s="1"/>
  <c r="X34" i="36"/>
  <c r="X43" i="8"/>
  <c r="X46" i="8"/>
  <c r="W5" i="26" s="1"/>
  <c r="X68" i="8"/>
  <c r="AA33" i="59" s="1"/>
  <c r="X42" i="8"/>
  <c r="X37" i="8"/>
  <c r="X78" i="8"/>
  <c r="W15" i="8"/>
  <c r="W39" i="8"/>
  <c r="X32" i="8"/>
  <c r="X87" i="8"/>
  <c r="X88" i="8" s="1"/>
  <c r="X56" i="8"/>
  <c r="X33" i="8" s="1"/>
  <c r="X64" i="8"/>
  <c r="W24" i="8"/>
  <c r="W16" i="49" s="1"/>
  <c r="W17" i="49" s="1"/>
  <c r="W27" i="8"/>
  <c r="W71" i="8"/>
  <c r="W28" i="8"/>
  <c r="X40" i="8"/>
  <c r="X72" i="8"/>
  <c r="W22" i="8"/>
  <c r="W7" i="49" s="1"/>
  <c r="X36" i="8"/>
  <c r="X38" i="8"/>
  <c r="W35" i="35"/>
  <c r="X74" i="50" s="1"/>
  <c r="W44" i="35"/>
  <c r="X35" i="35"/>
  <c r="Y74" i="50" l="1"/>
  <c r="Y72" i="50" s="1"/>
  <c r="X47" i="8"/>
  <c r="X142" i="9"/>
  <c r="X35" i="36"/>
  <c r="X36" i="36" s="1"/>
  <c r="X39" i="36" s="1"/>
  <c r="X30" i="36" s="1"/>
  <c r="AA59" i="59" s="1"/>
  <c r="X60" i="6"/>
  <c r="X127" i="6"/>
  <c r="X131" i="6"/>
  <c r="X225" i="6"/>
  <c r="X228" i="6"/>
  <c r="X242" i="6"/>
  <c r="X15" i="6"/>
  <c r="X59" i="6" s="1"/>
  <c r="X157" i="6"/>
  <c r="X152" i="6"/>
  <c r="X226" i="6"/>
  <c r="X248" i="6"/>
  <c r="X234" i="6"/>
  <c r="W33" i="8"/>
  <c r="X19" i="49"/>
  <c r="X15" i="36" s="1"/>
  <c r="AA34" i="59" s="1"/>
  <c r="X39" i="8"/>
  <c r="X92" i="8"/>
  <c r="X93" i="8" s="1"/>
  <c r="X61" i="8"/>
  <c r="W60" i="8"/>
  <c r="W34" i="8" s="1"/>
  <c r="X90" i="8"/>
  <c r="X62" i="8"/>
  <c r="W25" i="8"/>
  <c r="W58" i="8"/>
  <c r="X65" i="8" l="1"/>
  <c r="X244" i="6"/>
  <c r="X245" i="6" s="1"/>
  <c r="X243" i="6"/>
  <c r="X230" i="6"/>
  <c r="X231" i="6" s="1"/>
  <c r="X229" i="6"/>
  <c r="X235" i="6"/>
  <c r="X236" i="6"/>
  <c r="X237" i="6" s="1"/>
  <c r="X250" i="6"/>
  <c r="X251" i="6" s="1"/>
  <c r="X249" i="6"/>
  <c r="X56" i="6"/>
  <c r="X34" i="6"/>
  <c r="X35" i="6"/>
  <c r="X36" i="6"/>
  <c r="X33" i="6"/>
  <c r="W32" i="8"/>
  <c r="W9" i="49"/>
  <c r="W11" i="49" s="1"/>
  <c r="W13" i="49" s="1"/>
  <c r="W14" i="49" s="1"/>
  <c r="W15" i="49" s="1"/>
  <c r="W18" i="49" s="1"/>
  <c r="W19" i="49" s="1"/>
  <c r="X94" i="8"/>
  <c r="X252" i="6" l="1"/>
  <c r="X238" i="6"/>
  <c r="X232" i="6"/>
  <c r="X246" i="6"/>
  <c r="X37" i="6"/>
  <c r="D40" i="35"/>
  <c r="D39" i="35"/>
  <c r="D37" i="35"/>
  <c r="D34" i="35"/>
  <c r="D43" i="35" s="1"/>
  <c r="D31" i="35"/>
  <c r="D24" i="35"/>
  <c r="D10" i="35"/>
  <c r="D14" i="35" s="1"/>
  <c r="D9" i="35"/>
  <c r="D13" i="35" s="1"/>
  <c r="X253" i="6" l="1"/>
  <c r="D11" i="35"/>
  <c r="D35" i="35"/>
  <c r="X239" i="6"/>
  <c r="D44" i="35"/>
  <c r="D15" i="35"/>
  <c r="D13" i="36"/>
  <c r="X255" i="6" l="1"/>
  <c r="E70" i="6"/>
  <c r="F105" i="6"/>
  <c r="F104" i="6"/>
  <c r="F103" i="6"/>
  <c r="H105" i="6"/>
  <c r="H104" i="6"/>
  <c r="H103" i="6"/>
  <c r="L105" i="6"/>
  <c r="L104" i="6"/>
  <c r="L103" i="6"/>
  <c r="P105" i="6"/>
  <c r="P104" i="6"/>
  <c r="P103" i="6"/>
  <c r="T103" i="6"/>
  <c r="F100" i="6"/>
  <c r="E100" i="6"/>
  <c r="F99" i="6"/>
  <c r="E99" i="6"/>
  <c r="H100" i="6"/>
  <c r="G100" i="6"/>
  <c r="H99" i="6"/>
  <c r="G99" i="6"/>
  <c r="L100" i="6"/>
  <c r="K100" i="6"/>
  <c r="L99" i="6"/>
  <c r="K99" i="6"/>
  <c r="P100" i="6"/>
  <c r="O100" i="6"/>
  <c r="P99" i="6"/>
  <c r="O99" i="6"/>
  <c r="S100" i="6"/>
  <c r="S99" i="6"/>
  <c r="F97" i="6"/>
  <c r="E97" i="6"/>
  <c r="F96" i="6"/>
  <c r="E96" i="6"/>
  <c r="F95" i="6"/>
  <c r="E95" i="6"/>
  <c r="F94" i="6"/>
  <c r="E94" i="6"/>
  <c r="H97" i="6"/>
  <c r="J97" i="6" s="1"/>
  <c r="G97" i="6"/>
  <c r="I97" i="6" s="1"/>
  <c r="H96" i="6"/>
  <c r="G96" i="6"/>
  <c r="I96" i="6" s="1"/>
  <c r="H95" i="6"/>
  <c r="J95" i="6" s="1"/>
  <c r="G95" i="6"/>
  <c r="H94" i="6"/>
  <c r="G94" i="6"/>
  <c r="I94" i="6" s="1"/>
  <c r="L97" i="6"/>
  <c r="K97" i="6"/>
  <c r="L96" i="6"/>
  <c r="K96" i="6"/>
  <c r="L95" i="6"/>
  <c r="K95" i="6"/>
  <c r="L94" i="6"/>
  <c r="K94" i="6"/>
  <c r="P97" i="6"/>
  <c r="O97" i="6"/>
  <c r="P96" i="6"/>
  <c r="O96" i="6"/>
  <c r="P95" i="6"/>
  <c r="O95" i="6"/>
  <c r="P94" i="6"/>
  <c r="O94" i="6"/>
  <c r="S97" i="6"/>
  <c r="S96" i="6"/>
  <c r="S95" i="6"/>
  <c r="S94" i="6"/>
  <c r="T97" i="6"/>
  <c r="T96" i="6"/>
  <c r="T95" i="6"/>
  <c r="T94" i="6"/>
  <c r="J99" i="6"/>
  <c r="I89" i="6"/>
  <c r="M89" i="6" s="1"/>
  <c r="J91" i="6"/>
  <c r="N91" i="6" s="1"/>
  <c r="R91" i="6" s="1"/>
  <c r="V91" i="6" s="1"/>
  <c r="J90" i="6"/>
  <c r="N90" i="6" s="1"/>
  <c r="R90" i="6" s="1"/>
  <c r="V90" i="6" s="1"/>
  <c r="AB90" i="6" s="1"/>
  <c r="AF90" i="6" s="1"/>
  <c r="AJ90" i="6" s="1"/>
  <c r="J89" i="6"/>
  <c r="N89" i="6" s="1"/>
  <c r="R89" i="6" s="1"/>
  <c r="V89" i="6" s="1"/>
  <c r="AB89" i="6" s="1"/>
  <c r="AF89" i="6" s="1"/>
  <c r="AJ89" i="6" s="1"/>
  <c r="J86" i="6"/>
  <c r="I86" i="6"/>
  <c r="M86" i="6" s="1"/>
  <c r="Q86" i="6" s="1"/>
  <c r="U86" i="6" s="1"/>
  <c r="J85" i="6"/>
  <c r="N85" i="6" s="1"/>
  <c r="R85" i="6" s="1"/>
  <c r="V85" i="6" s="1"/>
  <c r="I85" i="6"/>
  <c r="J83" i="6"/>
  <c r="N83" i="6" s="1"/>
  <c r="R83" i="6" s="1"/>
  <c r="V83" i="6" s="1"/>
  <c r="AB83" i="6" s="1"/>
  <c r="AF83" i="6" s="1"/>
  <c r="AJ83" i="6" s="1"/>
  <c r="AP83" i="6" s="1"/>
  <c r="AT83" i="6" s="1"/>
  <c r="AX83" i="6" s="1"/>
  <c r="BF83" i="6" s="1"/>
  <c r="I83" i="6"/>
  <c r="M83" i="6" s="1"/>
  <c r="Q83" i="6" s="1"/>
  <c r="U83" i="6" s="1"/>
  <c r="AA83" i="6" s="1"/>
  <c r="AE83" i="6" s="1"/>
  <c r="AI83" i="6" s="1"/>
  <c r="AO83" i="6" s="1"/>
  <c r="AS83" i="6" s="1"/>
  <c r="AW83" i="6" s="1"/>
  <c r="BE83" i="6" s="1"/>
  <c r="J82" i="6"/>
  <c r="N82" i="6" s="1"/>
  <c r="R82" i="6" s="1"/>
  <c r="V82" i="6" s="1"/>
  <c r="AB82" i="6" s="1"/>
  <c r="AF82" i="6" s="1"/>
  <c r="AJ82" i="6" s="1"/>
  <c r="I82" i="6"/>
  <c r="M82" i="6" s="1"/>
  <c r="Q82" i="6" s="1"/>
  <c r="U82" i="6" s="1"/>
  <c r="AA82" i="6" s="1"/>
  <c r="AE82" i="6" s="1"/>
  <c r="AI82" i="6" s="1"/>
  <c r="J81" i="6"/>
  <c r="N81" i="6" s="1"/>
  <c r="R81" i="6" s="1"/>
  <c r="V81" i="6" s="1"/>
  <c r="AB81" i="6" s="1"/>
  <c r="AF81" i="6" s="1"/>
  <c r="AJ81" i="6" s="1"/>
  <c r="I81" i="6"/>
  <c r="M81" i="6" s="1"/>
  <c r="Q81" i="6" s="1"/>
  <c r="U81" i="6" s="1"/>
  <c r="AA81" i="6" s="1"/>
  <c r="AE81" i="6" s="1"/>
  <c r="AI81" i="6" s="1"/>
  <c r="J80" i="6"/>
  <c r="N80" i="6" s="1"/>
  <c r="R80" i="6" s="1"/>
  <c r="I80" i="6"/>
  <c r="I75" i="6"/>
  <c r="M75" i="6" s="1"/>
  <c r="J77" i="6"/>
  <c r="N77" i="6" s="1"/>
  <c r="R77" i="6" s="1"/>
  <c r="V77" i="6" s="1"/>
  <c r="AB77" i="6" s="1"/>
  <c r="AF77" i="6" s="1"/>
  <c r="AJ77" i="6" s="1"/>
  <c r="J76" i="6"/>
  <c r="N76" i="6" s="1"/>
  <c r="R76" i="6" s="1"/>
  <c r="V76" i="6" s="1"/>
  <c r="AB76" i="6" s="1"/>
  <c r="AF76" i="6" s="1"/>
  <c r="AJ76" i="6" s="1"/>
  <c r="J75" i="6"/>
  <c r="N75" i="6" s="1"/>
  <c r="R75" i="6" s="1"/>
  <c r="V75" i="6" s="1"/>
  <c r="AB75" i="6" s="1"/>
  <c r="AF75" i="6" s="1"/>
  <c r="AJ75" i="6" s="1"/>
  <c r="J72" i="6"/>
  <c r="N72" i="6" s="1"/>
  <c r="R72" i="6" s="1"/>
  <c r="V72" i="6" s="1"/>
  <c r="I72" i="6"/>
  <c r="M72" i="6" s="1"/>
  <c r="Q72" i="6" s="1"/>
  <c r="U72" i="6" s="1"/>
  <c r="J71" i="6"/>
  <c r="I71" i="6"/>
  <c r="I67" i="6"/>
  <c r="M67" i="6" s="1"/>
  <c r="Q67" i="6" s="1"/>
  <c r="U67" i="6" s="1"/>
  <c r="J67" i="6"/>
  <c r="N67" i="6" s="1"/>
  <c r="R67" i="6" s="1"/>
  <c r="V67" i="6" s="1"/>
  <c r="I68" i="6"/>
  <c r="J68" i="6"/>
  <c r="I69" i="6"/>
  <c r="M69" i="6" s="1"/>
  <c r="Q69" i="6" s="1"/>
  <c r="U69" i="6" s="1"/>
  <c r="J69" i="6"/>
  <c r="N69" i="6" s="1"/>
  <c r="R69" i="6" s="1"/>
  <c r="V69" i="6" s="1"/>
  <c r="J66" i="6"/>
  <c r="N66" i="6" s="1"/>
  <c r="R66" i="6" s="1"/>
  <c r="I66" i="6"/>
  <c r="M66" i="6" s="1"/>
  <c r="Q66" i="6" s="1"/>
  <c r="L101" i="6"/>
  <c r="F98" i="6"/>
  <c r="F87" i="6"/>
  <c r="G87" i="6"/>
  <c r="H87" i="6"/>
  <c r="K87" i="6"/>
  <c r="L87" i="6"/>
  <c r="O87" i="6"/>
  <c r="P87" i="6"/>
  <c r="S87" i="6"/>
  <c r="T87" i="6"/>
  <c r="E87" i="6"/>
  <c r="F84" i="6"/>
  <c r="G84" i="6"/>
  <c r="H84" i="6"/>
  <c r="K84" i="6"/>
  <c r="L84" i="6"/>
  <c r="L88" i="6" s="1"/>
  <c r="L92" i="6" s="1"/>
  <c r="O84" i="6"/>
  <c r="P84" i="6"/>
  <c r="S84" i="6"/>
  <c r="T84" i="6"/>
  <c r="T88" i="6" s="1"/>
  <c r="T92" i="6" s="1"/>
  <c r="E84" i="6"/>
  <c r="F73" i="6"/>
  <c r="G73" i="6"/>
  <c r="H73" i="6"/>
  <c r="K73" i="6"/>
  <c r="L73" i="6"/>
  <c r="O73" i="6"/>
  <c r="P73" i="6"/>
  <c r="S73" i="6"/>
  <c r="T73" i="6"/>
  <c r="E73" i="6"/>
  <c r="F70" i="6"/>
  <c r="G70" i="6"/>
  <c r="H70" i="6"/>
  <c r="K70" i="6"/>
  <c r="L70" i="6"/>
  <c r="O70" i="6"/>
  <c r="P70" i="6"/>
  <c r="S70" i="6"/>
  <c r="T70" i="6"/>
  <c r="T105" i="6"/>
  <c r="T104" i="6"/>
  <c r="T100" i="6"/>
  <c r="T99" i="6"/>
  <c r="J84" i="6" l="1"/>
  <c r="J104" i="6"/>
  <c r="O98" i="6"/>
  <c r="O102" i="6" s="1"/>
  <c r="K98" i="6"/>
  <c r="E98" i="6"/>
  <c r="Q75" i="6"/>
  <c r="U75" i="6" s="1"/>
  <c r="AA75" i="6"/>
  <c r="AE75" i="6" s="1"/>
  <c r="AI75" i="6" s="1"/>
  <c r="Q89" i="6"/>
  <c r="U89" i="6" s="1"/>
  <c r="AA89" i="6"/>
  <c r="S88" i="6"/>
  <c r="S92" i="6" s="1"/>
  <c r="K88" i="6"/>
  <c r="K92" i="6" s="1"/>
  <c r="P74" i="6"/>
  <c r="P78" i="6" s="1"/>
  <c r="J100" i="6"/>
  <c r="H74" i="6"/>
  <c r="H78" i="6" s="1"/>
  <c r="I73" i="6"/>
  <c r="I84" i="6"/>
  <c r="I88" i="6" s="1"/>
  <c r="I92" i="6" s="1"/>
  <c r="I87" i="6"/>
  <c r="J103" i="6"/>
  <c r="N103" i="6" s="1"/>
  <c r="P88" i="6"/>
  <c r="P92" i="6" s="1"/>
  <c r="J70" i="6"/>
  <c r="H88" i="6"/>
  <c r="H92" i="6" s="1"/>
  <c r="J73" i="6"/>
  <c r="E88" i="6"/>
  <c r="E92" i="6" s="1"/>
  <c r="O88" i="6"/>
  <c r="O92" i="6" s="1"/>
  <c r="G88" i="6"/>
  <c r="G92" i="6" s="1"/>
  <c r="S74" i="6"/>
  <c r="S78" i="6" s="1"/>
  <c r="K74" i="6"/>
  <c r="K78" i="6" s="1"/>
  <c r="P98" i="6"/>
  <c r="L98" i="6"/>
  <c r="P101" i="6"/>
  <c r="AB103" i="6"/>
  <c r="AF103" i="6" s="1"/>
  <c r="AJ103" i="6" s="1"/>
  <c r="AB104" i="6"/>
  <c r="AF104" i="6" s="1"/>
  <c r="AJ104" i="6" s="1"/>
  <c r="O74" i="6"/>
  <c r="O78" i="6" s="1"/>
  <c r="G74" i="6"/>
  <c r="G78" i="6" s="1"/>
  <c r="F88" i="6"/>
  <c r="F92" i="6" s="1"/>
  <c r="G98" i="6"/>
  <c r="G101" i="6"/>
  <c r="T101" i="6"/>
  <c r="T74" i="6"/>
  <c r="T78" i="6" s="1"/>
  <c r="L74" i="6"/>
  <c r="L78" i="6" s="1"/>
  <c r="F74" i="6"/>
  <c r="F78" i="6" s="1"/>
  <c r="J87" i="6"/>
  <c r="T98" i="6"/>
  <c r="N97" i="6"/>
  <c r="R97" i="6" s="1"/>
  <c r="H101" i="6"/>
  <c r="F101" i="6"/>
  <c r="F102" i="6" s="1"/>
  <c r="F106" i="6" s="1"/>
  <c r="E74" i="6"/>
  <c r="E78" i="6" s="1"/>
  <c r="V66" i="6"/>
  <c r="V80" i="6"/>
  <c r="R84" i="6"/>
  <c r="U66" i="6"/>
  <c r="I70" i="6"/>
  <c r="N68" i="6"/>
  <c r="R68" i="6" s="1"/>
  <c r="V68" i="6" s="1"/>
  <c r="M71" i="6"/>
  <c r="Q71" i="6" s="1"/>
  <c r="U71" i="6" s="1"/>
  <c r="M80" i="6"/>
  <c r="Q80" i="6" s="1"/>
  <c r="M94" i="6"/>
  <c r="Q94" i="6" s="1"/>
  <c r="O101" i="6"/>
  <c r="I100" i="6"/>
  <c r="M100" i="6" s="1"/>
  <c r="M68" i="6"/>
  <c r="Q68" i="6" s="1"/>
  <c r="U68" i="6" s="1"/>
  <c r="N71" i="6"/>
  <c r="R71" i="6" s="1"/>
  <c r="V71" i="6" s="1"/>
  <c r="N86" i="6"/>
  <c r="R86" i="6" s="1"/>
  <c r="V86" i="6" s="1"/>
  <c r="J94" i="6"/>
  <c r="N94" i="6" s="1"/>
  <c r="R94" i="6" s="1"/>
  <c r="J96" i="6"/>
  <c r="N96" i="6" s="1"/>
  <c r="R96" i="6" s="1"/>
  <c r="S101" i="6"/>
  <c r="H98" i="6"/>
  <c r="H102" i="6" s="1"/>
  <c r="H106" i="6" s="1"/>
  <c r="M85" i="6"/>
  <c r="Q85" i="6" s="1"/>
  <c r="U85" i="6" s="1"/>
  <c r="M97" i="6"/>
  <c r="Q97" i="6" s="1"/>
  <c r="I99" i="6"/>
  <c r="M99" i="6" s="1"/>
  <c r="J105" i="6"/>
  <c r="N105" i="6" s="1"/>
  <c r="N104" i="6"/>
  <c r="J101" i="6"/>
  <c r="E101" i="6"/>
  <c r="E102" i="6" s="1"/>
  <c r="N100" i="6"/>
  <c r="N99" i="6"/>
  <c r="K101" i="6"/>
  <c r="K102" i="6" s="1"/>
  <c r="L102" i="6"/>
  <c r="L106" i="6" s="1"/>
  <c r="N95" i="6"/>
  <c r="R95" i="6" s="1"/>
  <c r="I95" i="6"/>
  <c r="M96" i="6"/>
  <c r="Q96" i="6" s="1"/>
  <c r="S98" i="6"/>
  <c r="J88" i="6"/>
  <c r="J92" i="6" s="1"/>
  <c r="J8" i="10"/>
  <c r="N8" i="10" s="1"/>
  <c r="J10" i="10"/>
  <c r="N10" i="10" s="1"/>
  <c r="AB10" i="10" s="1"/>
  <c r="AF10" i="10" s="1"/>
  <c r="AJ10" i="10" s="1"/>
  <c r="AP10" i="10" s="1"/>
  <c r="J12" i="10"/>
  <c r="N12" i="10" s="1"/>
  <c r="J13" i="10"/>
  <c r="J19" i="10"/>
  <c r="N19" i="10" s="1"/>
  <c r="AB19" i="10" s="1"/>
  <c r="AF19" i="10" s="1"/>
  <c r="AJ19" i="10" s="1"/>
  <c r="AP19" i="10" s="1"/>
  <c r="J27" i="10"/>
  <c r="N27" i="10" s="1"/>
  <c r="AB27" i="10" s="1"/>
  <c r="AF27" i="10" s="1"/>
  <c r="AJ27" i="10" s="1"/>
  <c r="AP27" i="10" s="1"/>
  <c r="J29" i="10"/>
  <c r="N29" i="10" s="1"/>
  <c r="AB29" i="10" s="1"/>
  <c r="AF29" i="10" s="1"/>
  <c r="AJ29" i="10" s="1"/>
  <c r="AP29" i="10" s="1"/>
  <c r="J30" i="10"/>
  <c r="N30" i="10" s="1"/>
  <c r="J31" i="10"/>
  <c r="N31" i="10" s="1"/>
  <c r="AB31" i="10" s="1"/>
  <c r="AF31" i="10" s="1"/>
  <c r="AJ31" i="10" s="1"/>
  <c r="AP31" i="10" s="1"/>
  <c r="J32" i="10"/>
  <c r="N32" i="10" s="1"/>
  <c r="AB32" i="10" s="1"/>
  <c r="J34" i="10"/>
  <c r="N34" i="10" s="1"/>
  <c r="J36" i="10"/>
  <c r="N36" i="10" s="1"/>
  <c r="J38" i="10"/>
  <c r="N38" i="10" s="1"/>
  <c r="AB38" i="10" s="1"/>
  <c r="AF38" i="10" s="1"/>
  <c r="AJ38" i="10" s="1"/>
  <c r="AP38" i="10" s="1"/>
  <c r="J39" i="10"/>
  <c r="N39" i="10" s="1"/>
  <c r="AB39" i="10" s="1"/>
  <c r="AF39" i="10" s="1"/>
  <c r="AJ39" i="10" s="1"/>
  <c r="AP39" i="10" s="1"/>
  <c r="J40" i="10"/>
  <c r="N40" i="10" s="1"/>
  <c r="AB40" i="10" s="1"/>
  <c r="AF40" i="10" s="1"/>
  <c r="AJ40" i="10" s="1"/>
  <c r="AP40" i="10" s="1"/>
  <c r="J44" i="10"/>
  <c r="N44" i="10" s="1"/>
  <c r="AB44" i="10" s="1"/>
  <c r="J46" i="10"/>
  <c r="N46" i="10" s="1"/>
  <c r="J50" i="10"/>
  <c r="N50" i="10" s="1"/>
  <c r="J53" i="10"/>
  <c r="N53" i="10" s="1"/>
  <c r="AB53" i="10" s="1"/>
  <c r="J54" i="10"/>
  <c r="N54" i="10" s="1"/>
  <c r="J57" i="10"/>
  <c r="N57" i="10" s="1"/>
  <c r="AB57" i="10" s="1"/>
  <c r="AF57" i="10" s="1"/>
  <c r="AJ57" i="10" s="1"/>
  <c r="AP57" i="10" s="1"/>
  <c r="J58" i="10"/>
  <c r="N58" i="10" s="1"/>
  <c r="AB58" i="10" s="1"/>
  <c r="AF58" i="10" s="1"/>
  <c r="AJ58" i="10" s="1"/>
  <c r="AP58" i="10" s="1"/>
  <c r="J61" i="10"/>
  <c r="N61" i="10" s="1"/>
  <c r="AB61" i="10" s="1"/>
  <c r="AF61" i="10" s="1"/>
  <c r="AJ61" i="10" s="1"/>
  <c r="AP61" i="10" s="1"/>
  <c r="J64" i="10"/>
  <c r="N64" i="10" s="1"/>
  <c r="AB64" i="10" s="1"/>
  <c r="AF64" i="10" s="1"/>
  <c r="AJ64" i="10" s="1"/>
  <c r="AP64" i="10" s="1"/>
  <c r="J66" i="10"/>
  <c r="N66" i="10" s="1"/>
  <c r="AB66" i="10" s="1"/>
  <c r="AF66" i="10" s="1"/>
  <c r="AJ66" i="10" s="1"/>
  <c r="AP66" i="10" s="1"/>
  <c r="J73" i="10"/>
  <c r="N73" i="10" s="1"/>
  <c r="AB73" i="10" s="1"/>
  <c r="J80" i="10"/>
  <c r="J82" i="10"/>
  <c r="N82" i="10" s="1"/>
  <c r="AB82" i="10" s="1"/>
  <c r="J83" i="10"/>
  <c r="J87" i="10"/>
  <c r="N87" i="10" s="1"/>
  <c r="AB87" i="10" s="1"/>
  <c r="J89" i="10"/>
  <c r="N89" i="10" s="1"/>
  <c r="AB89" i="10" s="1"/>
  <c r="AF89" i="10" s="1"/>
  <c r="AJ89" i="10" s="1"/>
  <c r="AP89" i="10" s="1"/>
  <c r="J90" i="10"/>
  <c r="N90" i="10" s="1"/>
  <c r="AB90" i="10" s="1"/>
  <c r="AF90" i="10" s="1"/>
  <c r="AJ90" i="10" s="1"/>
  <c r="AP90" i="10" s="1"/>
  <c r="J91" i="10"/>
  <c r="N91" i="10" s="1"/>
  <c r="AB91" i="10" s="1"/>
  <c r="AF91" i="10" s="1"/>
  <c r="AJ91" i="10" s="1"/>
  <c r="AP91" i="10" s="1"/>
  <c r="J92" i="10"/>
  <c r="N92" i="10" s="1"/>
  <c r="AB92" i="10" s="1"/>
  <c r="AF92" i="10" s="1"/>
  <c r="AJ92" i="10" s="1"/>
  <c r="AP92" i="10" s="1"/>
  <c r="J94" i="10"/>
  <c r="N94" i="10" s="1"/>
  <c r="AB94" i="10" s="1"/>
  <c r="AF94" i="10" s="1"/>
  <c r="AJ94" i="10" s="1"/>
  <c r="AP94" i="10" s="1"/>
  <c r="J96" i="10"/>
  <c r="N96" i="10" s="1"/>
  <c r="AB96" i="10" s="1"/>
  <c r="AF96" i="10" s="1"/>
  <c r="AJ96" i="10" s="1"/>
  <c r="AP96" i="10" s="1"/>
  <c r="J97" i="10"/>
  <c r="N97" i="10" s="1"/>
  <c r="AB97" i="10" s="1"/>
  <c r="AF97" i="10" s="1"/>
  <c r="AJ97" i="10" s="1"/>
  <c r="AP97" i="10" s="1"/>
  <c r="J98" i="10"/>
  <c r="N98" i="10" s="1"/>
  <c r="AB98" i="10" s="1"/>
  <c r="AF98" i="10" s="1"/>
  <c r="AJ98" i="10" s="1"/>
  <c r="AP98" i="10" s="1"/>
  <c r="J99" i="10"/>
  <c r="N99" i="10" s="1"/>
  <c r="AB99" i="10" s="1"/>
  <c r="AF99" i="10" s="1"/>
  <c r="AJ99" i="10" s="1"/>
  <c r="AP99" i="10" s="1"/>
  <c r="F35" i="10"/>
  <c r="J35" i="10" s="1"/>
  <c r="N35" i="10" s="1"/>
  <c r="AB35" i="10" s="1"/>
  <c r="AF35" i="10" s="1"/>
  <c r="AJ35" i="10" s="1"/>
  <c r="AP35" i="10" s="1"/>
  <c r="F22" i="10"/>
  <c r="F20" i="10"/>
  <c r="J20" i="10" s="1"/>
  <c r="F21" i="10"/>
  <c r="F26" i="10"/>
  <c r="F9" i="10"/>
  <c r="J9" i="10" s="1"/>
  <c r="F7" i="10"/>
  <c r="F43" i="10"/>
  <c r="J43" i="10" s="1"/>
  <c r="F18" i="10"/>
  <c r="J18" i="10" s="1"/>
  <c r="F15" i="10"/>
  <c r="J15" i="10" s="1"/>
  <c r="F65" i="10"/>
  <c r="J65" i="10" s="1"/>
  <c r="N65" i="10" s="1"/>
  <c r="AB65" i="10" s="1"/>
  <c r="AF65" i="10" s="1"/>
  <c r="AJ65" i="10" s="1"/>
  <c r="AP65" i="10" s="1"/>
  <c r="I74" i="6" l="1"/>
  <c r="I78" i="6" s="1"/>
  <c r="AE89" i="6"/>
  <c r="AI89" i="6" s="1"/>
  <c r="AT98" i="10"/>
  <c r="AX98" i="10" s="1"/>
  <c r="BF98" i="10" s="1"/>
  <c r="AT92" i="10"/>
  <c r="AX92" i="10" s="1"/>
  <c r="BF92" i="10" s="1"/>
  <c r="AT58" i="10"/>
  <c r="AX58" i="10" s="1"/>
  <c r="BF58" i="10" s="1"/>
  <c r="AT39" i="10"/>
  <c r="AX39" i="10" s="1"/>
  <c r="BF39" i="10" s="1"/>
  <c r="AT27" i="10"/>
  <c r="AX27" i="10" s="1"/>
  <c r="BF27" i="10" s="1"/>
  <c r="AT10" i="10"/>
  <c r="AX10" i="10" s="1"/>
  <c r="BF10" i="10" s="1"/>
  <c r="AT97" i="10"/>
  <c r="AX97" i="10" s="1"/>
  <c r="BF97" i="10" s="1"/>
  <c r="AT91" i="10"/>
  <c r="AX91" i="10" s="1"/>
  <c r="BF91" i="10" s="1"/>
  <c r="AT66" i="10"/>
  <c r="AX66" i="10" s="1"/>
  <c r="BF66" i="10" s="1"/>
  <c r="AT57" i="10"/>
  <c r="AX57" i="10" s="1"/>
  <c r="BF57" i="10" s="1"/>
  <c r="AT38" i="10"/>
  <c r="AX38" i="10" s="1"/>
  <c r="BF38" i="10" s="1"/>
  <c r="AT31" i="10"/>
  <c r="AX31" i="10" s="1"/>
  <c r="BF31" i="10" s="1"/>
  <c r="AT19" i="10"/>
  <c r="AX19" i="10" s="1"/>
  <c r="BF19" i="10" s="1"/>
  <c r="AT65" i="10"/>
  <c r="AX65" i="10" s="1"/>
  <c r="BF65" i="10" s="1"/>
  <c r="AT35" i="10"/>
  <c r="AX35" i="10" s="1"/>
  <c r="BF35" i="10" s="1"/>
  <c r="AT96" i="10"/>
  <c r="AX96" i="10" s="1"/>
  <c r="BF96" i="10" s="1"/>
  <c r="AT90" i="10"/>
  <c r="AX90" i="10" s="1"/>
  <c r="BF90" i="10" s="1"/>
  <c r="AT64" i="10"/>
  <c r="AX64" i="10" s="1"/>
  <c r="BF64" i="10" s="1"/>
  <c r="AT99" i="10"/>
  <c r="AX99" i="10" s="1"/>
  <c r="BF99" i="10" s="1"/>
  <c r="AT94" i="10"/>
  <c r="AX94" i="10" s="1"/>
  <c r="BF94" i="10" s="1"/>
  <c r="AT89" i="10"/>
  <c r="AX89" i="10" s="1"/>
  <c r="BF89" i="10" s="1"/>
  <c r="AT61" i="10"/>
  <c r="AX61" i="10" s="1"/>
  <c r="BF61" i="10" s="1"/>
  <c r="AT40" i="10"/>
  <c r="AX40" i="10" s="1"/>
  <c r="BF40" i="10" s="1"/>
  <c r="AT29" i="10"/>
  <c r="AX29" i="10" s="1"/>
  <c r="BF29" i="10" s="1"/>
  <c r="J74" i="6"/>
  <c r="J78" i="6" s="1"/>
  <c r="G102" i="6"/>
  <c r="P102" i="6"/>
  <c r="P106" i="6" s="1"/>
  <c r="AF82" i="10"/>
  <c r="AJ82" i="10" s="1"/>
  <c r="AP82" i="10" s="1"/>
  <c r="AF44" i="10"/>
  <c r="AJ44" i="10" s="1"/>
  <c r="AP44" i="10" s="1"/>
  <c r="AF53" i="10"/>
  <c r="AF87" i="10"/>
  <c r="AF73" i="10"/>
  <c r="AJ73" i="10" s="1"/>
  <c r="AP73" i="10" s="1"/>
  <c r="AF32" i="10"/>
  <c r="AJ32" i="10" s="1"/>
  <c r="AP32" i="10" s="1"/>
  <c r="S102" i="6"/>
  <c r="T102" i="6"/>
  <c r="T106" i="6" s="1"/>
  <c r="R36" i="10"/>
  <c r="R31" i="10"/>
  <c r="V31" i="10" s="1"/>
  <c r="R87" i="10"/>
  <c r="V87" i="10" s="1"/>
  <c r="R73" i="10"/>
  <c r="V73" i="10" s="1"/>
  <c r="R96" i="10"/>
  <c r="V96" i="10" s="1"/>
  <c r="R57" i="10"/>
  <c r="V57" i="10" s="1"/>
  <c r="R39" i="10"/>
  <c r="V39" i="10" s="1"/>
  <c r="R8" i="10"/>
  <c r="R99" i="10"/>
  <c r="V99" i="10" s="1"/>
  <c r="R89" i="10"/>
  <c r="V89" i="10" s="1"/>
  <c r="R64" i="10"/>
  <c r="V64" i="10" s="1"/>
  <c r="R44" i="10"/>
  <c r="V44" i="10" s="1"/>
  <c r="R10" i="10"/>
  <c r="V10" i="10" s="1"/>
  <c r="R91" i="10"/>
  <c r="V91" i="10" s="1"/>
  <c r="R92" i="10"/>
  <c r="V92" i="10" s="1"/>
  <c r="R61" i="10"/>
  <c r="V61" i="10" s="1"/>
  <c r="R53" i="10"/>
  <c r="V53" i="10" s="1"/>
  <c r="R35" i="10"/>
  <c r="V35" i="10" s="1"/>
  <c r="R90" i="10"/>
  <c r="V90" i="10" s="1"/>
  <c r="R66" i="10"/>
  <c r="V66" i="10" s="1"/>
  <c r="R32" i="10"/>
  <c r="V32" i="10" s="1"/>
  <c r="R27" i="10"/>
  <c r="V27" i="10" s="1"/>
  <c r="R97" i="10"/>
  <c r="V97" i="10" s="1"/>
  <c r="R94" i="10"/>
  <c r="V94" i="10" s="1"/>
  <c r="R82" i="10"/>
  <c r="V82" i="10" s="1"/>
  <c r="R54" i="10"/>
  <c r="R38" i="10"/>
  <c r="V38" i="10" s="1"/>
  <c r="R19" i="10"/>
  <c r="V19" i="10" s="1"/>
  <c r="R40" i="10"/>
  <c r="V40" i="10" s="1"/>
  <c r="R65" i="10"/>
  <c r="V65" i="10" s="1"/>
  <c r="R98" i="10"/>
  <c r="V98" i="10" s="1"/>
  <c r="R58" i="10"/>
  <c r="V58" i="10" s="1"/>
  <c r="R29" i="10"/>
  <c r="V29" i="10" s="1"/>
  <c r="Y103" i="6"/>
  <c r="AA103" i="6"/>
  <c r="AE103" i="6" s="1"/>
  <c r="AI103" i="6" s="1"/>
  <c r="J98" i="6"/>
  <c r="J102" i="6" s="1"/>
  <c r="J106" i="6" s="1"/>
  <c r="Q70" i="6"/>
  <c r="Q84" i="6"/>
  <c r="U80" i="6"/>
  <c r="R98" i="6"/>
  <c r="I101" i="6"/>
  <c r="R70" i="6"/>
  <c r="I98" i="6"/>
  <c r="M95" i="6"/>
  <c r="Q95" i="6" s="1"/>
  <c r="Q98" i="6" s="1"/>
  <c r="T36" i="10"/>
  <c r="Z36" i="10" s="1"/>
  <c r="AB36" i="10" s="1"/>
  <c r="AF36" i="10" s="1"/>
  <c r="AJ36" i="10" s="1"/>
  <c r="AP36" i="10" s="1"/>
  <c r="T34" i="10"/>
  <c r="T43" i="10"/>
  <c r="T21" i="10"/>
  <c r="AT36" i="10" l="1"/>
  <c r="AX36" i="10" s="1"/>
  <c r="BF36" i="10" s="1"/>
  <c r="AT73" i="10"/>
  <c r="AX73" i="10" s="1"/>
  <c r="BF73" i="10" s="1"/>
  <c r="AT82" i="10"/>
  <c r="AX82" i="10" s="1"/>
  <c r="BF82" i="10" s="1"/>
  <c r="AT32" i="10"/>
  <c r="AX32" i="10" s="1"/>
  <c r="BF32" i="10" s="1"/>
  <c r="AT44" i="10"/>
  <c r="AX44" i="10" s="1"/>
  <c r="BF44" i="10" s="1"/>
  <c r="AJ87" i="10"/>
  <c r="AP87" i="10" s="1"/>
  <c r="AJ53" i="10"/>
  <c r="AP53" i="10" s="1"/>
  <c r="V36" i="10"/>
  <c r="I102" i="6"/>
  <c r="T26" i="10"/>
  <c r="T12" i="10"/>
  <c r="T8" i="10"/>
  <c r="Z8" i="10" s="1"/>
  <c r="T63" i="10"/>
  <c r="Z63" i="10" s="1"/>
  <c r="T55" i="10"/>
  <c r="Z55" i="10" s="1"/>
  <c r="T54" i="10"/>
  <c r="Z54" i="10" s="1"/>
  <c r="AB54" i="10" s="1"/>
  <c r="T9" i="10"/>
  <c r="AT53" i="10" l="1"/>
  <c r="AX53" i="10" s="1"/>
  <c r="BF53" i="10" s="1"/>
  <c r="AT87" i="10"/>
  <c r="AX87" i="10" s="1"/>
  <c r="BF87" i="10" s="1"/>
  <c r="AF54" i="10"/>
  <c r="AB8" i="10"/>
  <c r="AF8" i="10" s="1"/>
  <c r="AJ8" i="10" s="1"/>
  <c r="AP8" i="10" s="1"/>
  <c r="V8" i="10"/>
  <c r="V54" i="10"/>
  <c r="P50" i="10"/>
  <c r="Z50" i="10" s="1"/>
  <c r="AB50" i="10" s="1"/>
  <c r="AF50" i="10" s="1"/>
  <c r="AJ50" i="10" s="1"/>
  <c r="AP50" i="10" s="1"/>
  <c r="P46" i="10"/>
  <c r="Z46" i="10" s="1"/>
  <c r="AB46" i="10" s="1"/>
  <c r="AF46" i="10" s="1"/>
  <c r="AJ46" i="10" s="1"/>
  <c r="AP46" i="10" s="1"/>
  <c r="P45" i="10"/>
  <c r="Z45" i="10" s="1"/>
  <c r="P34" i="10"/>
  <c r="Z34" i="10" s="1"/>
  <c r="AB34" i="10" s="1"/>
  <c r="P37" i="10"/>
  <c r="Z37" i="10" s="1"/>
  <c r="P43" i="10"/>
  <c r="Z43" i="10" s="1"/>
  <c r="P30" i="10"/>
  <c r="Z30" i="10" s="1"/>
  <c r="AB30" i="10" s="1"/>
  <c r="P22" i="10"/>
  <c r="Z22" i="10" s="1"/>
  <c r="P20" i="10"/>
  <c r="Z20" i="10" s="1"/>
  <c r="P21" i="10"/>
  <c r="Z21" i="10" s="1"/>
  <c r="P26" i="10"/>
  <c r="Z26" i="10" s="1"/>
  <c r="P9" i="10"/>
  <c r="Z9" i="10" s="1"/>
  <c r="P12" i="10"/>
  <c r="Z12" i="10" s="1"/>
  <c r="AB12" i="10" s="1"/>
  <c r="AF12" i="10" s="1"/>
  <c r="AJ12" i="10" s="1"/>
  <c r="AP12" i="10" s="1"/>
  <c r="AT46" i="10" l="1"/>
  <c r="AX46" i="10" s="1"/>
  <c r="BF46" i="10" s="1"/>
  <c r="AT8" i="10"/>
  <c r="AX8" i="10" s="1"/>
  <c r="BF8" i="10" s="1"/>
  <c r="AT12" i="10"/>
  <c r="AX12" i="10" s="1"/>
  <c r="BF12" i="10" s="1"/>
  <c r="AT50" i="10"/>
  <c r="AX50" i="10" s="1"/>
  <c r="BF50" i="10" s="1"/>
  <c r="AF34" i="10"/>
  <c r="AJ34" i="10" s="1"/>
  <c r="AP34" i="10" s="1"/>
  <c r="AF30" i="10"/>
  <c r="AJ54" i="10"/>
  <c r="AP54" i="10" s="1"/>
  <c r="Z115" i="10"/>
  <c r="R34" i="10"/>
  <c r="V34" i="10" s="1"/>
  <c r="R30" i="10"/>
  <c r="V30" i="10" s="1"/>
  <c r="R46" i="10"/>
  <c r="V46" i="10" s="1"/>
  <c r="R12" i="10"/>
  <c r="V12" i="10" s="1"/>
  <c r="R50" i="10"/>
  <c r="V50" i="10" s="1"/>
  <c r="L26" i="10"/>
  <c r="L37" i="10"/>
  <c r="L43" i="10"/>
  <c r="N43" i="10" s="1"/>
  <c r="AB43" i="10" s="1"/>
  <c r="AF43" i="10" s="1"/>
  <c r="AJ43" i="10" s="1"/>
  <c r="AP43" i="10" s="1"/>
  <c r="L22" i="10"/>
  <c r="L20" i="10"/>
  <c r="N20" i="10" s="1"/>
  <c r="AB20" i="10" s="1"/>
  <c r="L21" i="10"/>
  <c r="L9" i="10"/>
  <c r="N9" i="10" s="1"/>
  <c r="L18" i="10"/>
  <c r="N18" i="10" s="1"/>
  <c r="AB18" i="10" s="1"/>
  <c r="AF18" i="10" s="1"/>
  <c r="AJ18" i="10" s="1"/>
  <c r="AP18" i="10" s="1"/>
  <c r="L15" i="10"/>
  <c r="N15" i="10" s="1"/>
  <c r="AB15" i="10" s="1"/>
  <c r="AF15" i="10" s="1"/>
  <c r="AJ15" i="10" s="1"/>
  <c r="AP15" i="10" s="1"/>
  <c r="L13" i="10"/>
  <c r="N13" i="10" s="1"/>
  <c r="AB13" i="10" s="1"/>
  <c r="AF13" i="10" s="1"/>
  <c r="AJ13" i="10" s="1"/>
  <c r="AP13" i="10" s="1"/>
  <c r="L83" i="10"/>
  <c r="N83" i="10" s="1"/>
  <c r="AB83" i="10" s="1"/>
  <c r="L80" i="10"/>
  <c r="N80" i="10" s="1"/>
  <c r="AB80" i="10" s="1"/>
  <c r="H45" i="10"/>
  <c r="J45" i="10" s="1"/>
  <c r="N45" i="10" s="1"/>
  <c r="AB45" i="10" s="1"/>
  <c r="H37" i="10"/>
  <c r="J37" i="10" s="1"/>
  <c r="N37" i="10" s="1"/>
  <c r="AB37" i="10" s="1"/>
  <c r="AF37" i="10" s="1"/>
  <c r="AJ37" i="10" s="1"/>
  <c r="AP37" i="10" s="1"/>
  <c r="H21" i="10"/>
  <c r="J21" i="10" s="1"/>
  <c r="H26" i="10"/>
  <c r="J26" i="10" s="1"/>
  <c r="H25" i="10"/>
  <c r="J25" i="10" s="1"/>
  <c r="N25" i="10" s="1"/>
  <c r="AB25" i="10" s="1"/>
  <c r="AF25" i="10" s="1"/>
  <c r="AJ25" i="10" s="1"/>
  <c r="AP25" i="10" s="1"/>
  <c r="H22" i="10"/>
  <c r="J22" i="10" s="1"/>
  <c r="H63" i="10"/>
  <c r="J63" i="10" s="1"/>
  <c r="N63" i="10" s="1"/>
  <c r="AB63" i="10" s="1"/>
  <c r="H55" i="10"/>
  <c r="J55" i="10" s="1"/>
  <c r="N55" i="10" s="1"/>
  <c r="AB55" i="10" s="1"/>
  <c r="AT43" i="10" l="1"/>
  <c r="AX43" i="10" s="1"/>
  <c r="BF43" i="10" s="1"/>
  <c r="AT13" i="10"/>
  <c r="AX13" i="10" s="1"/>
  <c r="BF13" i="10" s="1"/>
  <c r="AT54" i="10"/>
  <c r="AX54" i="10" s="1"/>
  <c r="BF54" i="10" s="1"/>
  <c r="AT25" i="10"/>
  <c r="AX25" i="10" s="1"/>
  <c r="BF25" i="10" s="1"/>
  <c r="AT15" i="10"/>
  <c r="AX15" i="10" s="1"/>
  <c r="BF15" i="10" s="1"/>
  <c r="AT37" i="10"/>
  <c r="AX37" i="10" s="1"/>
  <c r="BF37" i="10" s="1"/>
  <c r="AT18" i="10"/>
  <c r="AX18" i="10" s="1"/>
  <c r="BF18" i="10" s="1"/>
  <c r="AT34" i="10"/>
  <c r="AX34" i="10" s="1"/>
  <c r="BF34" i="10" s="1"/>
  <c r="AF45" i="10"/>
  <c r="AF20" i="10"/>
  <c r="AJ20" i="10" s="1"/>
  <c r="AP20" i="10" s="1"/>
  <c r="AJ30" i="10"/>
  <c r="AP30" i="10" s="1"/>
  <c r="AF55" i="10"/>
  <c r="AF80" i="10"/>
  <c r="AF63" i="10"/>
  <c r="AF83" i="10"/>
  <c r="N21" i="10"/>
  <c r="AB21" i="10" s="1"/>
  <c r="AF21" i="10" s="1"/>
  <c r="AJ21" i="10" s="1"/>
  <c r="AP21" i="10" s="1"/>
  <c r="Z116" i="10"/>
  <c r="Z118" i="10" s="1"/>
  <c r="AC43" i="59" s="1"/>
  <c r="R9" i="10"/>
  <c r="V9" i="10" s="1"/>
  <c r="AB9" i="10"/>
  <c r="AF9" i="10" s="1"/>
  <c r="AJ9" i="10" s="1"/>
  <c r="AP9" i="10" s="1"/>
  <c r="N26" i="10"/>
  <c r="AB26" i="10" s="1"/>
  <c r="AF26" i="10" s="1"/>
  <c r="AJ26" i="10" s="1"/>
  <c r="AP26" i="10" s="1"/>
  <c r="R63" i="10"/>
  <c r="V63" i="10" s="1"/>
  <c r="R83" i="10"/>
  <c r="V83" i="10" s="1"/>
  <c r="R37" i="10"/>
  <c r="V37" i="10" s="1"/>
  <c r="R13" i="10"/>
  <c r="V13" i="10" s="1"/>
  <c r="R43" i="10"/>
  <c r="V43" i="10" s="1"/>
  <c r="R45" i="10"/>
  <c r="V45" i="10" s="1"/>
  <c r="R15" i="10"/>
  <c r="V15" i="10" s="1"/>
  <c r="R20" i="10"/>
  <c r="V20" i="10" s="1"/>
  <c r="R25" i="10"/>
  <c r="V25" i="10" s="1"/>
  <c r="R55" i="10"/>
  <c r="V55" i="10" s="1"/>
  <c r="R80" i="10"/>
  <c r="V80" i="10" s="1"/>
  <c r="R18" i="10"/>
  <c r="V18" i="10" s="1"/>
  <c r="N22" i="10"/>
  <c r="AB22" i="10" s="1"/>
  <c r="AF22" i="10" s="1"/>
  <c r="AJ22" i="10" s="1"/>
  <c r="AP22" i="10" s="1"/>
  <c r="H115" i="10"/>
  <c r="H153" i="10" s="1"/>
  <c r="AT9" i="10" l="1"/>
  <c r="AX9" i="10" s="1"/>
  <c r="BF9" i="10" s="1"/>
  <c r="AT30" i="10"/>
  <c r="AX30" i="10" s="1"/>
  <c r="BF30" i="10" s="1"/>
  <c r="AT20" i="10"/>
  <c r="AX20" i="10" s="1"/>
  <c r="BF20" i="10" s="1"/>
  <c r="AT22" i="10"/>
  <c r="AX22" i="10" s="1"/>
  <c r="BF22" i="10" s="1"/>
  <c r="AT26" i="10"/>
  <c r="AX26" i="10" s="1"/>
  <c r="BF26" i="10" s="1"/>
  <c r="AT21" i="10"/>
  <c r="AX21" i="10" s="1"/>
  <c r="BF21" i="10" s="1"/>
  <c r="AJ83" i="10"/>
  <c r="AP83" i="10" s="1"/>
  <c r="AJ55" i="10"/>
  <c r="AP55" i="10" s="1"/>
  <c r="AJ45" i="10"/>
  <c r="AP45" i="10" s="1"/>
  <c r="AJ80" i="10"/>
  <c r="AP80" i="10" s="1"/>
  <c r="AJ63" i="10"/>
  <c r="AP63" i="10" s="1"/>
  <c r="R26" i="10"/>
  <c r="V26" i="10" s="1"/>
  <c r="R21" i="10"/>
  <c r="V21" i="10" s="1"/>
  <c r="Z147" i="10"/>
  <c r="Z134" i="10"/>
  <c r="AC45" i="59" s="1"/>
  <c r="R22" i="10"/>
  <c r="V22" i="10" s="1"/>
  <c r="H116" i="10"/>
  <c r="H28" i="35" l="1"/>
  <c r="H118" i="10"/>
  <c r="K43" i="59" s="1"/>
  <c r="AT80" i="10"/>
  <c r="AX80" i="10" s="1"/>
  <c r="BF80" i="10" s="1"/>
  <c r="AT45" i="10"/>
  <c r="AX45" i="10" s="1"/>
  <c r="BF45" i="10" s="1"/>
  <c r="AT55" i="10"/>
  <c r="AX55" i="10" s="1"/>
  <c r="BF55" i="10" s="1"/>
  <c r="AT63" i="10"/>
  <c r="AX63" i="10" s="1"/>
  <c r="BF63" i="10" s="1"/>
  <c r="AT83" i="10"/>
  <c r="AX83" i="10" s="1"/>
  <c r="BF83" i="10" s="1"/>
  <c r="H21" i="36"/>
  <c r="Z149" i="10"/>
  <c r="Z151" i="10"/>
  <c r="U60" i="45"/>
  <c r="U59" i="45"/>
  <c r="U58" i="45"/>
  <c r="U56" i="45"/>
  <c r="U57" i="45" s="1"/>
  <c r="U54" i="45"/>
  <c r="U52" i="45"/>
  <c r="W52" i="59" s="1"/>
  <c r="U49" i="45"/>
  <c r="U50" i="45" s="1"/>
  <c r="V394" i="28" l="1"/>
  <c r="AB394" i="28" s="1"/>
  <c r="AF394" i="28" s="1"/>
  <c r="AJ394" i="28" s="1"/>
  <c r="AP394" i="28" s="1"/>
  <c r="AT394" i="28" s="1"/>
  <c r="AX394" i="28" s="1"/>
  <c r="BF394" i="28" s="1"/>
  <c r="I10" i="7"/>
  <c r="J10" i="7"/>
  <c r="AQ56" i="50"/>
  <c r="AU56" i="50" s="1"/>
  <c r="AY56" i="50" s="1"/>
  <c r="M10" i="7" l="1"/>
  <c r="N10" i="7"/>
  <c r="BD10" i="7"/>
  <c r="BC10" i="7"/>
  <c r="P13" i="52"/>
  <c r="O13" i="52"/>
  <c r="P8" i="52"/>
  <c r="O8" i="52"/>
  <c r="U43" i="50"/>
  <c r="U45" i="50"/>
  <c r="T17" i="11"/>
  <c r="Z17" i="11" s="1"/>
  <c r="T32" i="11"/>
  <c r="Z32" i="11" s="1"/>
  <c r="U42" i="50"/>
  <c r="Q10" i="7" l="1"/>
  <c r="R10" i="7"/>
  <c r="O14" i="52"/>
  <c r="P14" i="52"/>
  <c r="V10" i="7" l="1"/>
  <c r="U10" i="7"/>
  <c r="U44" i="45"/>
  <c r="U76" i="45" s="1"/>
  <c r="U73" i="45"/>
  <c r="U71" i="45"/>
  <c r="U65" i="45"/>
  <c r="U66" i="45" s="1"/>
  <c r="T60" i="45"/>
  <c r="T59" i="45"/>
  <c r="T58" i="45"/>
  <c r="T54" i="45"/>
  <c r="T52" i="45"/>
  <c r="V52" i="59" s="1"/>
  <c r="T49" i="45"/>
  <c r="T50" i="45" s="1"/>
  <c r="T42" i="45"/>
  <c r="J43" i="11"/>
  <c r="N43" i="11" s="1"/>
  <c r="J51" i="11"/>
  <c r="N51" i="11" s="1"/>
  <c r="J50" i="11"/>
  <c r="N50" i="11" s="1"/>
  <c r="J49" i="11"/>
  <c r="N49" i="11" s="1"/>
  <c r="J48" i="11"/>
  <c r="N48" i="11" s="1"/>
  <c r="J47" i="11"/>
  <c r="N47" i="11" s="1"/>
  <c r="J46" i="11"/>
  <c r="N46" i="11" s="1"/>
  <c r="J45" i="11"/>
  <c r="N45" i="11" s="1"/>
  <c r="T56" i="11"/>
  <c r="T54" i="11"/>
  <c r="T77" i="11" s="1"/>
  <c r="T52" i="11"/>
  <c r="S52" i="11"/>
  <c r="P54" i="11"/>
  <c r="O52" i="11"/>
  <c r="L54" i="11"/>
  <c r="K52" i="11"/>
  <c r="H54" i="11"/>
  <c r="G52" i="11"/>
  <c r="T83" i="11"/>
  <c r="T81" i="11"/>
  <c r="T75" i="11"/>
  <c r="T76" i="11" s="1"/>
  <c r="T70" i="11"/>
  <c r="S70" i="11"/>
  <c r="T69" i="11"/>
  <c r="S69" i="11"/>
  <c r="T68" i="11"/>
  <c r="S68" i="11"/>
  <c r="T66" i="11"/>
  <c r="T64" i="11"/>
  <c r="S64" i="11"/>
  <c r="T62" i="11"/>
  <c r="W48" i="59" s="1"/>
  <c r="S62" i="11"/>
  <c r="V48" i="59" s="1"/>
  <c r="T59" i="11"/>
  <c r="T60" i="11" s="1"/>
  <c r="S59" i="11"/>
  <c r="S60" i="11" s="1"/>
  <c r="T43" i="45" l="1"/>
  <c r="G53" i="11"/>
  <c r="G55" i="11" s="1"/>
  <c r="J47" i="59" s="1"/>
  <c r="K53" i="11"/>
  <c r="K55" i="11" s="1"/>
  <c r="N47" i="59" s="1"/>
  <c r="S53" i="11"/>
  <c r="S55" i="11" s="1"/>
  <c r="V47" i="59" s="1"/>
  <c r="AA10" i="7"/>
  <c r="AB10" i="7"/>
  <c r="R45" i="11"/>
  <c r="V45" i="11" s="1"/>
  <c r="AB45" i="11"/>
  <c r="AF45" i="11" s="1"/>
  <c r="AJ45" i="11" s="1"/>
  <c r="AP45" i="11" s="1"/>
  <c r="R49" i="11"/>
  <c r="V49" i="11" s="1"/>
  <c r="AB49" i="11"/>
  <c r="AF49" i="11" s="1"/>
  <c r="AJ49" i="11" s="1"/>
  <c r="AP49" i="11" s="1"/>
  <c r="R46" i="11"/>
  <c r="V46" i="11" s="1"/>
  <c r="AB46" i="11"/>
  <c r="AF46" i="11" s="1"/>
  <c r="AJ46" i="11" s="1"/>
  <c r="AP46" i="11" s="1"/>
  <c r="R50" i="11"/>
  <c r="V50" i="11" s="1"/>
  <c r="AB50" i="11"/>
  <c r="AF50" i="11" s="1"/>
  <c r="AJ50" i="11" s="1"/>
  <c r="AP50" i="11" s="1"/>
  <c r="R47" i="11"/>
  <c r="V47" i="11" s="1"/>
  <c r="AB47" i="11"/>
  <c r="AF47" i="11" s="1"/>
  <c r="AJ47" i="11" s="1"/>
  <c r="AP47" i="11" s="1"/>
  <c r="R51" i="11"/>
  <c r="V51" i="11" s="1"/>
  <c r="AB51" i="11"/>
  <c r="AF51" i="11" s="1"/>
  <c r="AJ51" i="11" s="1"/>
  <c r="AP51" i="11" s="1"/>
  <c r="R48" i="11"/>
  <c r="V48" i="11" s="1"/>
  <c r="AB48" i="11"/>
  <c r="AF48" i="11" s="1"/>
  <c r="AJ48" i="11" s="1"/>
  <c r="AP48" i="11" s="1"/>
  <c r="R43" i="11"/>
  <c r="V43" i="11" s="1"/>
  <c r="AB43" i="11"/>
  <c r="AF43" i="11" s="1"/>
  <c r="AJ43" i="11" s="1"/>
  <c r="AP43" i="11" s="1"/>
  <c r="T115" i="10"/>
  <c r="T153" i="10" s="1"/>
  <c r="U72" i="45"/>
  <c r="U67" i="45"/>
  <c r="T61" i="45"/>
  <c r="V53" i="59" s="1"/>
  <c r="O53" i="11"/>
  <c r="O55" i="11" s="1"/>
  <c r="R47" i="59" s="1"/>
  <c r="S71" i="11"/>
  <c r="V49" i="59" s="1"/>
  <c r="T53" i="11"/>
  <c r="T85" i="11"/>
  <c r="T67" i="11"/>
  <c r="T82" i="11"/>
  <c r="T45" i="45" l="1"/>
  <c r="V51" i="59" s="1"/>
  <c r="T46" i="45"/>
  <c r="T29" i="35"/>
  <c r="T39" i="35" s="1"/>
  <c r="T55" i="11"/>
  <c r="W47" i="59" s="1"/>
  <c r="T57" i="11"/>
  <c r="T30" i="35"/>
  <c r="U45" i="45"/>
  <c r="W51" i="59" s="1"/>
  <c r="U47" i="45"/>
  <c r="AT43" i="11"/>
  <c r="AX43" i="11" s="1"/>
  <c r="BF43" i="11" s="1"/>
  <c r="AT51" i="11"/>
  <c r="AX51" i="11" s="1"/>
  <c r="BF51" i="11" s="1"/>
  <c r="AT50" i="11"/>
  <c r="AX50" i="11" s="1"/>
  <c r="BF50" i="11" s="1"/>
  <c r="AT49" i="11"/>
  <c r="AX49" i="11" s="1"/>
  <c r="BF49" i="11" s="1"/>
  <c r="AT48" i="11"/>
  <c r="AX48" i="11" s="1"/>
  <c r="BF48" i="11" s="1"/>
  <c r="AT47" i="11"/>
  <c r="AX47" i="11" s="1"/>
  <c r="BF47" i="11" s="1"/>
  <c r="AT46" i="11"/>
  <c r="AX46" i="11" s="1"/>
  <c r="BF46" i="11" s="1"/>
  <c r="AT45" i="11"/>
  <c r="AX45" i="11" s="1"/>
  <c r="BF45" i="11" s="1"/>
  <c r="K22" i="36"/>
  <c r="O22" i="36"/>
  <c r="S22" i="36"/>
  <c r="G22" i="36"/>
  <c r="S23" i="36"/>
  <c r="AP54" i="11"/>
  <c r="AJ54" i="11"/>
  <c r="AE10" i="7"/>
  <c r="AF10" i="7"/>
  <c r="U61" i="45"/>
  <c r="W53" i="59" s="1"/>
  <c r="AF54" i="11"/>
  <c r="T116" i="10"/>
  <c r="AB54" i="11"/>
  <c r="U75" i="45"/>
  <c r="U79" i="45" s="1"/>
  <c r="T71" i="11"/>
  <c r="W49" i="59" s="1"/>
  <c r="T84" i="11"/>
  <c r="T28" i="35" l="1"/>
  <c r="T118" i="10"/>
  <c r="W43" i="59" s="1"/>
  <c r="T22" i="36"/>
  <c r="BF54" i="11"/>
  <c r="AX54" i="11"/>
  <c r="AX85" i="11" s="1"/>
  <c r="AT54" i="11"/>
  <c r="AT77" i="11" s="1"/>
  <c r="T21" i="36"/>
  <c r="T23" i="36"/>
  <c r="AP77" i="11"/>
  <c r="AP85" i="11"/>
  <c r="AJ77" i="11"/>
  <c r="AJ85" i="11"/>
  <c r="AI10" i="7"/>
  <c r="AO10" i="7" s="1"/>
  <c r="AJ10" i="7"/>
  <c r="AP10" i="7" s="1"/>
  <c r="AF77" i="11"/>
  <c r="AF85" i="11"/>
  <c r="AB85" i="11"/>
  <c r="AB77" i="11"/>
  <c r="U77" i="45"/>
  <c r="T86" i="11"/>
  <c r="T88" i="11"/>
  <c r="AX77" i="11" l="1"/>
  <c r="BF85" i="11"/>
  <c r="BF77" i="11"/>
  <c r="AT85" i="11"/>
  <c r="AT10" i="7"/>
  <c r="AX10" i="7" s="1"/>
  <c r="AS10" i="7"/>
  <c r="AW10" i="7" s="1"/>
  <c r="Q43" i="50"/>
  <c r="AA43" i="50" s="1"/>
  <c r="Q45" i="50"/>
  <c r="AA45" i="50" s="1"/>
  <c r="M43" i="50"/>
  <c r="M45" i="50"/>
  <c r="I43" i="50"/>
  <c r="I45" i="50"/>
  <c r="G43" i="50"/>
  <c r="G45" i="50"/>
  <c r="I42" i="50"/>
  <c r="G42" i="50"/>
  <c r="U35" i="50"/>
  <c r="U36" i="50"/>
  <c r="U39" i="50"/>
  <c r="U40" i="50"/>
  <c r="Q36" i="50"/>
  <c r="Q39" i="50"/>
  <c r="Q40" i="50"/>
  <c r="M35" i="50"/>
  <c r="M36" i="50"/>
  <c r="M39" i="50"/>
  <c r="M40" i="50"/>
  <c r="I35" i="50"/>
  <c r="I39" i="50"/>
  <c r="I40" i="50"/>
  <c r="G35" i="50"/>
  <c r="G36" i="50"/>
  <c r="G39" i="50"/>
  <c r="K39" i="50" s="1"/>
  <c r="G40" i="50"/>
  <c r="K40" i="50" s="1"/>
  <c r="U34" i="50"/>
  <c r="U5" i="50"/>
  <c r="U6" i="50"/>
  <c r="U10" i="50"/>
  <c r="U11" i="50"/>
  <c r="U13" i="50"/>
  <c r="U14" i="50"/>
  <c r="U15" i="50"/>
  <c r="U18" i="50"/>
  <c r="U20" i="50"/>
  <c r="U21" i="50"/>
  <c r="U22" i="50"/>
  <c r="U23" i="50"/>
  <c r="U24" i="50"/>
  <c r="U25" i="50"/>
  <c r="U27" i="50"/>
  <c r="U28" i="50"/>
  <c r="U32" i="50"/>
  <c r="Q5" i="50"/>
  <c r="Q6" i="50"/>
  <c r="Q11" i="50"/>
  <c r="Q13" i="50"/>
  <c r="Q9" i="61" s="1"/>
  <c r="Q14" i="50"/>
  <c r="Q10" i="61" s="1"/>
  <c r="Q15" i="50"/>
  <c r="Q11" i="61" s="1"/>
  <c r="Q18" i="50"/>
  <c r="Q14" i="61" s="1"/>
  <c r="Q20" i="50"/>
  <c r="Q16" i="61" s="1"/>
  <c r="Q21" i="50"/>
  <c r="Q17" i="61" s="1"/>
  <c r="Q27" i="50"/>
  <c r="Q28" i="50"/>
  <c r="Q32" i="50"/>
  <c r="M5" i="50"/>
  <c r="M6" i="50"/>
  <c r="M11" i="50"/>
  <c r="M14" i="50"/>
  <c r="M10" i="61" s="1"/>
  <c r="M20" i="50"/>
  <c r="M16" i="61" s="1"/>
  <c r="M21" i="50"/>
  <c r="M17" i="61" s="1"/>
  <c r="M23" i="50"/>
  <c r="M27" i="50"/>
  <c r="M32" i="50"/>
  <c r="I5" i="50"/>
  <c r="I6" i="50"/>
  <c r="I11" i="50"/>
  <c r="I13" i="50"/>
  <c r="I9" i="61" s="1"/>
  <c r="I14" i="50"/>
  <c r="I10" i="61" s="1"/>
  <c r="I15" i="50"/>
  <c r="I11" i="61" s="1"/>
  <c r="I18" i="50"/>
  <c r="I14" i="61" s="1"/>
  <c r="I20" i="50"/>
  <c r="I16" i="61" s="1"/>
  <c r="I21" i="50"/>
  <c r="I17" i="61" s="1"/>
  <c r="I22" i="50"/>
  <c r="I18" i="61" s="1"/>
  <c r="I23" i="50"/>
  <c r="I24" i="50"/>
  <c r="I27" i="50"/>
  <c r="I28" i="50"/>
  <c r="I32" i="50"/>
  <c r="G6" i="50"/>
  <c r="G10" i="50"/>
  <c r="G11" i="50"/>
  <c r="G13" i="50"/>
  <c r="G14" i="50"/>
  <c r="G15" i="50"/>
  <c r="G18" i="50"/>
  <c r="G20" i="50"/>
  <c r="G21" i="50"/>
  <c r="G22" i="50"/>
  <c r="G23" i="50"/>
  <c r="G24" i="50"/>
  <c r="K24" i="50" s="1"/>
  <c r="G25" i="50"/>
  <c r="G27" i="50"/>
  <c r="K27" i="50" s="1"/>
  <c r="G28" i="50"/>
  <c r="K28" i="50" s="1"/>
  <c r="G32" i="50"/>
  <c r="K32" i="50" s="1"/>
  <c r="O32" i="50" s="1"/>
  <c r="U4" i="50"/>
  <c r="G4" i="50"/>
  <c r="O47" i="50"/>
  <c r="S47" i="50" s="1"/>
  <c r="W47" i="50" s="1"/>
  <c r="U70" i="50"/>
  <c r="U60" i="50"/>
  <c r="T117" i="10"/>
  <c r="T140" i="10" s="1"/>
  <c r="P117" i="10"/>
  <c r="L117" i="10"/>
  <c r="H117" i="10"/>
  <c r="F117" i="10"/>
  <c r="J102" i="10"/>
  <c r="N102" i="10" s="1"/>
  <c r="J103" i="10"/>
  <c r="N103" i="10" s="1"/>
  <c r="J104" i="10"/>
  <c r="N104" i="10" s="1"/>
  <c r="J105" i="10"/>
  <c r="N105" i="10" s="1"/>
  <c r="J106" i="10"/>
  <c r="N106" i="10" s="1"/>
  <c r="J109" i="10"/>
  <c r="N109" i="10" s="1"/>
  <c r="J111" i="10"/>
  <c r="N111" i="10" s="1"/>
  <c r="J113" i="10"/>
  <c r="N113" i="10" s="1"/>
  <c r="J114" i="10"/>
  <c r="N114" i="10" s="1"/>
  <c r="G115" i="10"/>
  <c r="K115" i="10"/>
  <c r="O115" i="10"/>
  <c r="S115" i="10"/>
  <c r="T146" i="10"/>
  <c r="T144" i="10"/>
  <c r="T138" i="10"/>
  <c r="T145" i="10" s="1"/>
  <c r="T133" i="10"/>
  <c r="S133" i="10"/>
  <c r="T132" i="10"/>
  <c r="S132" i="10"/>
  <c r="T131" i="10"/>
  <c r="S131" i="10"/>
  <c r="T129" i="10"/>
  <c r="T130" i="10" s="1"/>
  <c r="T127" i="10"/>
  <c r="S127" i="10"/>
  <c r="T125" i="10"/>
  <c r="W44" i="59" s="1"/>
  <c r="S125" i="10"/>
  <c r="V44" i="59" s="1"/>
  <c r="T123" i="10"/>
  <c r="S122" i="10"/>
  <c r="S123" i="10" s="1"/>
  <c r="E25" i="15"/>
  <c r="E26" i="15"/>
  <c r="K35" i="50" l="1"/>
  <c r="O35" i="50" s="1"/>
  <c r="BE10" i="7"/>
  <c r="BF10" i="7"/>
  <c r="K45" i="50"/>
  <c r="O45" i="50" s="1"/>
  <c r="AC45" i="50" s="1"/>
  <c r="AG45" i="50" s="1"/>
  <c r="AK45" i="50" s="1"/>
  <c r="K43" i="50"/>
  <c r="O43" i="50" s="1"/>
  <c r="AC43" i="50" s="1"/>
  <c r="AG43" i="50" s="1"/>
  <c r="AK43" i="50" s="1"/>
  <c r="O39" i="50"/>
  <c r="AA39" i="50"/>
  <c r="AA36" i="50"/>
  <c r="AA40" i="50"/>
  <c r="O27" i="50"/>
  <c r="K23" i="50"/>
  <c r="O23" i="50" s="1"/>
  <c r="K11" i="50"/>
  <c r="O11" i="50" s="1"/>
  <c r="S11" i="50" s="1"/>
  <c r="W11" i="50" s="1"/>
  <c r="K6" i="50"/>
  <c r="O6" i="50" s="1"/>
  <c r="S6" i="50" s="1"/>
  <c r="W6" i="50" s="1"/>
  <c r="G16" i="61"/>
  <c r="K16" i="61" s="1"/>
  <c r="O16" i="61" s="1"/>
  <c r="K20" i="50"/>
  <c r="O20" i="50" s="1"/>
  <c r="G9" i="61"/>
  <c r="K13" i="50"/>
  <c r="AA32" i="50"/>
  <c r="AC32" i="50" s="1"/>
  <c r="AG32" i="50" s="1"/>
  <c r="AK32" i="50" s="1"/>
  <c r="AQ32" i="50" s="1"/>
  <c r="U16" i="61"/>
  <c r="AA16" i="61" s="1"/>
  <c r="AA20" i="50"/>
  <c r="U9" i="61"/>
  <c r="AA13" i="50"/>
  <c r="AA5" i="50"/>
  <c r="G14" i="61"/>
  <c r="K14" i="61" s="1"/>
  <c r="K18" i="50"/>
  <c r="AA28" i="50"/>
  <c r="U14" i="61"/>
  <c r="AA14" i="61" s="1"/>
  <c r="AA18" i="50"/>
  <c r="AA11" i="50"/>
  <c r="S27" i="50"/>
  <c r="W27" i="50" s="1"/>
  <c r="G18" i="61"/>
  <c r="K18" i="61" s="1"/>
  <c r="K22" i="50"/>
  <c r="G11" i="61"/>
  <c r="K11" i="61" s="1"/>
  <c r="K15" i="50"/>
  <c r="AA27" i="50"/>
  <c r="U18" i="61"/>
  <c r="U11" i="61"/>
  <c r="AA11" i="61" s="1"/>
  <c r="AA15" i="50"/>
  <c r="G17" i="61"/>
  <c r="K17" i="61" s="1"/>
  <c r="O17" i="61" s="1"/>
  <c r="S17" i="61" s="1"/>
  <c r="K21" i="50"/>
  <c r="O21" i="50" s="1"/>
  <c r="S21" i="50" s="1"/>
  <c r="W21" i="50" s="1"/>
  <c r="G10" i="61"/>
  <c r="K10" i="61" s="1"/>
  <c r="O10" i="61" s="1"/>
  <c r="S10" i="61" s="1"/>
  <c r="K14" i="50"/>
  <c r="O14" i="50" s="1"/>
  <c r="S14" i="50" s="1"/>
  <c r="W14" i="50" s="1"/>
  <c r="U17" i="61"/>
  <c r="AA17" i="61" s="1"/>
  <c r="AA21" i="50"/>
  <c r="U10" i="61"/>
  <c r="AA10" i="61" s="1"/>
  <c r="AA14" i="50"/>
  <c r="AA6" i="50"/>
  <c r="K9" i="61"/>
  <c r="AA9" i="61"/>
  <c r="S16" i="61"/>
  <c r="I19" i="61"/>
  <c r="E30" i="15"/>
  <c r="E15" i="15" s="1"/>
  <c r="I25" i="15"/>
  <c r="M25" i="15"/>
  <c r="I26" i="15"/>
  <c r="M26" i="15"/>
  <c r="S134" i="10"/>
  <c r="V45" i="59" s="1"/>
  <c r="K116" i="10"/>
  <c r="K118" i="10" s="1"/>
  <c r="N43" i="59" s="1"/>
  <c r="AQ55" i="50"/>
  <c r="AU55" i="50" s="1"/>
  <c r="AY55" i="50" s="1"/>
  <c r="AC47" i="50"/>
  <c r="AG47" i="50" s="1"/>
  <c r="AK47" i="50" s="1"/>
  <c r="AC59" i="50"/>
  <c r="AC58" i="50"/>
  <c r="R114" i="10"/>
  <c r="V114" i="10" s="1"/>
  <c r="AB114" i="10"/>
  <c r="AF114" i="10" s="1"/>
  <c r="AJ114" i="10" s="1"/>
  <c r="AP114" i="10" s="1"/>
  <c r="R106" i="10"/>
  <c r="V106" i="10" s="1"/>
  <c r="AB106" i="10"/>
  <c r="AF106" i="10" s="1"/>
  <c r="AJ106" i="10" s="1"/>
  <c r="AP106" i="10" s="1"/>
  <c r="R102" i="10"/>
  <c r="V102" i="10" s="1"/>
  <c r="AB102" i="10"/>
  <c r="R105" i="10"/>
  <c r="V105" i="10" s="1"/>
  <c r="AB105" i="10"/>
  <c r="AF105" i="10" s="1"/>
  <c r="AJ105" i="10" s="1"/>
  <c r="AP105" i="10" s="1"/>
  <c r="R111" i="10"/>
  <c r="V111" i="10" s="1"/>
  <c r="AB111" i="10"/>
  <c r="AF111" i="10" s="1"/>
  <c r="AJ111" i="10" s="1"/>
  <c r="AP111" i="10" s="1"/>
  <c r="R104" i="10"/>
  <c r="V104" i="10" s="1"/>
  <c r="AB104" i="10"/>
  <c r="AF104" i="10" s="1"/>
  <c r="AJ104" i="10" s="1"/>
  <c r="AP104" i="10" s="1"/>
  <c r="R113" i="10"/>
  <c r="V113" i="10" s="1"/>
  <c r="AB113" i="10"/>
  <c r="AF113" i="10" s="1"/>
  <c r="AJ113" i="10" s="1"/>
  <c r="AP113" i="10" s="1"/>
  <c r="R109" i="10"/>
  <c r="V109" i="10" s="1"/>
  <c r="AB109" i="10"/>
  <c r="AF109" i="10" s="1"/>
  <c r="AJ109" i="10" s="1"/>
  <c r="AP109" i="10" s="1"/>
  <c r="R103" i="10"/>
  <c r="V103" i="10" s="1"/>
  <c r="AB103" i="10"/>
  <c r="AF103" i="10" s="1"/>
  <c r="AJ103" i="10" s="1"/>
  <c r="AP103" i="10" s="1"/>
  <c r="U33" i="50"/>
  <c r="T119" i="10" s="1"/>
  <c r="T120" i="10" s="1"/>
  <c r="U41" i="50"/>
  <c r="U46" i="50"/>
  <c r="O116" i="10"/>
  <c r="O118" i="10" s="1"/>
  <c r="R43" i="59" s="1"/>
  <c r="G116" i="10"/>
  <c r="G118" i="10" s="1"/>
  <c r="J43" i="59" s="1"/>
  <c r="N117" i="10"/>
  <c r="S116" i="10"/>
  <c r="S118" i="10" s="1"/>
  <c r="V43" i="59" s="1"/>
  <c r="J117" i="10"/>
  <c r="T139" i="10"/>
  <c r="T148" i="10"/>
  <c r="AG58" i="50" l="1"/>
  <c r="AK58" i="50" s="1"/>
  <c r="BG58" i="50"/>
  <c r="AG59" i="50"/>
  <c r="AK59" i="50" s="1"/>
  <c r="AQ59" i="50" s="1"/>
  <c r="BG59" i="50"/>
  <c r="AQ47" i="50"/>
  <c r="AU47" i="50" s="1"/>
  <c r="AY47" i="50" s="1"/>
  <c r="BG47" i="50"/>
  <c r="AQ58" i="50"/>
  <c r="AU58" i="50" s="1"/>
  <c r="AY58" i="50" s="1"/>
  <c r="AT103" i="10"/>
  <c r="AX103" i="10" s="1"/>
  <c r="BF103" i="10" s="1"/>
  <c r="AT113" i="10"/>
  <c r="AX113" i="10" s="1"/>
  <c r="BF113" i="10" s="1"/>
  <c r="AT111" i="10"/>
  <c r="AX111" i="10" s="1"/>
  <c r="BF111" i="10" s="1"/>
  <c r="AT114" i="10"/>
  <c r="AX114" i="10" s="1"/>
  <c r="BF114" i="10" s="1"/>
  <c r="AU32" i="50"/>
  <c r="AY32" i="50" s="1"/>
  <c r="BG32" i="50" s="1"/>
  <c r="AT109" i="10"/>
  <c r="AX109" i="10" s="1"/>
  <c r="BF109" i="10" s="1"/>
  <c r="AT104" i="10"/>
  <c r="AX104" i="10" s="1"/>
  <c r="BF104" i="10" s="1"/>
  <c r="AT105" i="10"/>
  <c r="AX105" i="10" s="1"/>
  <c r="BF105" i="10" s="1"/>
  <c r="AT106" i="10"/>
  <c r="AX106" i="10" s="1"/>
  <c r="BF106" i="10" s="1"/>
  <c r="AC39" i="50"/>
  <c r="AG39" i="50" s="1"/>
  <c r="AK39" i="50" s="1"/>
  <c r="AQ39" i="50" s="1"/>
  <c r="AC27" i="50"/>
  <c r="AG27" i="50" s="1"/>
  <c r="AK27" i="50" s="1"/>
  <c r="AQ27" i="50" s="1"/>
  <c r="AC10" i="61"/>
  <c r="AG10" i="61" s="1"/>
  <c r="AK10" i="61" s="1"/>
  <c r="AQ10" i="61" s="1"/>
  <c r="AU10" i="61" s="1"/>
  <c r="AY10" i="61" s="1"/>
  <c r="BG10" i="61" s="1"/>
  <c r="W16" i="61"/>
  <c r="W10" i="61"/>
  <c r="G19" i="61"/>
  <c r="K19" i="61" s="1"/>
  <c r="AC16" i="61"/>
  <c r="AG16" i="61" s="1"/>
  <c r="AK16" i="61" s="1"/>
  <c r="AQ16" i="61" s="1"/>
  <c r="AU16" i="61" s="1"/>
  <c r="AY16" i="61" s="1"/>
  <c r="BG16" i="61" s="1"/>
  <c r="W17" i="61"/>
  <c r="AC11" i="50"/>
  <c r="AG11" i="50" s="1"/>
  <c r="AK11" i="50" s="1"/>
  <c r="AQ11" i="50" s="1"/>
  <c r="U19" i="61"/>
  <c r="AC6" i="50"/>
  <c r="AG6" i="50" s="1"/>
  <c r="AK6" i="50" s="1"/>
  <c r="AQ6" i="50" s="1"/>
  <c r="AC14" i="50"/>
  <c r="AG14" i="50" s="1"/>
  <c r="AK14" i="50" s="1"/>
  <c r="AQ14" i="50" s="1"/>
  <c r="AC17" i="61"/>
  <c r="AG17" i="61" s="1"/>
  <c r="AK17" i="61" s="1"/>
  <c r="AQ17" i="61" s="1"/>
  <c r="AU17" i="61" s="1"/>
  <c r="AY17" i="61" s="1"/>
  <c r="BG17" i="61" s="1"/>
  <c r="AC20" i="50"/>
  <c r="AG20" i="50" s="1"/>
  <c r="AK20" i="50" s="1"/>
  <c r="AQ20" i="50" s="1"/>
  <c r="S20" i="50"/>
  <c r="W20" i="50" s="1"/>
  <c r="AC21" i="50"/>
  <c r="AG21" i="50" s="1"/>
  <c r="AK21" i="50" s="1"/>
  <c r="AQ21" i="50" s="1"/>
  <c r="K21" i="36"/>
  <c r="G21" i="36"/>
  <c r="O21" i="36"/>
  <c r="S21" i="36"/>
  <c r="Q26" i="15"/>
  <c r="AA26" i="15"/>
  <c r="AE26" i="15" s="1"/>
  <c r="Q25" i="15"/>
  <c r="U25" i="15" s="1"/>
  <c r="M30" i="15"/>
  <c r="M15" i="15" s="1"/>
  <c r="AA25" i="15"/>
  <c r="I30" i="15"/>
  <c r="I15" i="15" s="1"/>
  <c r="AF102" i="10"/>
  <c r="AB117" i="10"/>
  <c r="R117" i="10"/>
  <c r="AC60" i="50"/>
  <c r="AG60" i="50" s="1"/>
  <c r="AK60" i="50" s="1"/>
  <c r="V117" i="10"/>
  <c r="U71" i="50"/>
  <c r="T134" i="10"/>
  <c r="W45" i="59" s="1"/>
  <c r="T147" i="10"/>
  <c r="AU59" i="50" l="1"/>
  <c r="AY59" i="50" s="1"/>
  <c r="AQ60" i="50"/>
  <c r="AU60" i="50" s="1"/>
  <c r="AY60" i="50" s="1"/>
  <c r="BG60" i="50"/>
  <c r="AU20" i="50"/>
  <c r="AY20" i="50" s="1"/>
  <c r="BG20" i="50" s="1"/>
  <c r="AU27" i="50"/>
  <c r="AY27" i="50" s="1"/>
  <c r="BG27" i="50" s="1"/>
  <c r="BE60" i="50"/>
  <c r="AU11" i="50"/>
  <c r="AY11" i="50" s="1"/>
  <c r="BG11" i="50" s="1"/>
  <c r="AU39" i="50"/>
  <c r="AY39" i="50" s="1"/>
  <c r="BG39" i="50" s="1"/>
  <c r="AU21" i="50"/>
  <c r="AY21" i="50" s="1"/>
  <c r="BG21" i="50" s="1"/>
  <c r="AU14" i="50"/>
  <c r="AY14" i="50" s="1"/>
  <c r="BG14" i="50" s="1"/>
  <c r="AU6" i="50"/>
  <c r="AY6" i="50" s="1"/>
  <c r="BG6" i="50" s="1"/>
  <c r="AE25" i="15"/>
  <c r="AI25" i="15" s="1"/>
  <c r="AO25" i="15" s="1"/>
  <c r="AS25" i="15" s="1"/>
  <c r="AA30" i="15"/>
  <c r="AA15" i="15" s="1"/>
  <c r="AI26" i="15"/>
  <c r="AO26" i="15" s="1"/>
  <c r="AS26" i="15" s="1"/>
  <c r="AW26" i="15" s="1"/>
  <c r="BE26" i="15" s="1"/>
  <c r="Q30" i="15"/>
  <c r="Q15" i="15" s="1"/>
  <c r="U26" i="15"/>
  <c r="U30" i="15" s="1"/>
  <c r="U15" i="15" s="1"/>
  <c r="AF117" i="10"/>
  <c r="AF148" i="10" s="1"/>
  <c r="AJ102" i="10"/>
  <c r="AP102" i="10" s="1"/>
  <c r="BD117" i="10" s="1"/>
  <c r="AB140" i="10"/>
  <c r="AB148" i="10"/>
  <c r="T149" i="10"/>
  <c r="T151" i="10"/>
  <c r="BD148" i="10" l="1"/>
  <c r="BD140" i="10"/>
  <c r="AS30" i="15"/>
  <c r="AS15" i="15" s="1"/>
  <c r="AW25" i="15"/>
  <c r="BE25" i="15" s="1"/>
  <c r="AP117" i="10"/>
  <c r="AT102" i="10"/>
  <c r="AO30" i="15"/>
  <c r="AO15" i="15" s="1"/>
  <c r="AE30" i="15"/>
  <c r="AE15" i="15" s="1"/>
  <c r="AI30" i="15"/>
  <c r="AI15" i="15" s="1"/>
  <c r="AJ117" i="10"/>
  <c r="AJ148" i="10" s="1"/>
  <c r="AF140" i="10"/>
  <c r="T63" i="22"/>
  <c r="T58" i="22"/>
  <c r="T52" i="22"/>
  <c r="T44" i="22"/>
  <c r="T28" i="22"/>
  <c r="T64" i="22" s="1"/>
  <c r="T24" i="22"/>
  <c r="T23" i="22"/>
  <c r="T51" i="22" s="1"/>
  <c r="T53" i="22" s="1"/>
  <c r="T14" i="22"/>
  <c r="T59" i="22" s="1"/>
  <c r="T10" i="22"/>
  <c r="T12" i="22" s="1"/>
  <c r="T9" i="22"/>
  <c r="T43" i="22" s="1"/>
  <c r="AW30" i="15" l="1"/>
  <c r="AW15" i="15" s="1"/>
  <c r="BE30" i="15"/>
  <c r="T45" i="22"/>
  <c r="T47" i="22" s="1"/>
  <c r="T48" i="22" s="1"/>
  <c r="AT117" i="10"/>
  <c r="AT148" i="10" s="1"/>
  <c r="AX102" i="10"/>
  <c r="BF102" i="10" s="1"/>
  <c r="AJ140" i="10"/>
  <c r="AP140" i="10"/>
  <c r="AP148" i="10"/>
  <c r="T60" i="22"/>
  <c r="T61" i="22" s="1"/>
  <c r="T65" i="22"/>
  <c r="T66" i="22" s="1"/>
  <c r="T26" i="22"/>
  <c r="T55" i="22"/>
  <c r="T56" i="22" s="1"/>
  <c r="BE15" i="15" l="1"/>
  <c r="AX117" i="10"/>
  <c r="AX140" i="10" s="1"/>
  <c r="BF117" i="10"/>
  <c r="AT140" i="10"/>
  <c r="O29" i="27"/>
  <c r="AX148" i="10" l="1"/>
  <c r="BF148" i="10"/>
  <c r="BF140" i="10"/>
  <c r="S38" i="27"/>
  <c r="S36" i="27"/>
  <c r="S30" i="27"/>
  <c r="S28" i="27"/>
  <c r="S23" i="27"/>
  <c r="S20" i="27"/>
  <c r="S19" i="27"/>
  <c r="S18" i="27"/>
  <c r="S88" i="26"/>
  <c r="R54" i="26"/>
  <c r="X54" i="26" s="1"/>
  <c r="X56" i="26" s="1"/>
  <c r="R35" i="26"/>
  <c r="X35" i="26" s="1"/>
  <c r="R88" i="26"/>
  <c r="S37" i="27" l="1"/>
  <c r="S40" i="27" s="1"/>
  <c r="S29" i="27"/>
  <c r="S27" i="27"/>
  <c r="S22" i="27"/>
  <c r="S21" i="27"/>
  <c r="S51" i="17"/>
  <c r="S25" i="27" l="1"/>
  <c r="S34" i="27"/>
  <c r="V113" i="9"/>
  <c r="AB113" i="9" s="1"/>
  <c r="AF113" i="9" s="1"/>
  <c r="AJ113" i="9" s="1"/>
  <c r="AP113" i="9" s="1"/>
  <c r="AT113" i="9" s="1"/>
  <c r="AX113" i="9" s="1"/>
  <c r="BF113" i="9" s="1"/>
  <c r="V114" i="9"/>
  <c r="AB114" i="9" s="1"/>
  <c r="AF114" i="9" s="1"/>
  <c r="AJ114" i="9" s="1"/>
  <c r="AP114" i="9" s="1"/>
  <c r="AT114" i="9" s="1"/>
  <c r="AX114" i="9" s="1"/>
  <c r="BF114" i="9" s="1"/>
  <c r="T98" i="9"/>
  <c r="T90" i="9"/>
  <c r="T55" i="9"/>
  <c r="T56" i="9" s="1"/>
  <c r="T33" i="9"/>
  <c r="T34" i="9" s="1"/>
  <c r="T44" i="9"/>
  <c r="T43" i="9"/>
  <c r="T33" i="35" s="1"/>
  <c r="T30" i="9"/>
  <c r="T22" i="9"/>
  <c r="S84" i="9"/>
  <c r="F5" i="9"/>
  <c r="G5" i="9"/>
  <c r="H5" i="9"/>
  <c r="K5" i="9"/>
  <c r="L5" i="9"/>
  <c r="O5" i="9"/>
  <c r="P5" i="9"/>
  <c r="S5" i="9"/>
  <c r="T5" i="9"/>
  <c r="T84" i="9" s="1"/>
  <c r="E5" i="9"/>
  <c r="T133" i="9"/>
  <c r="T135" i="9" s="1"/>
  <c r="T94" i="9"/>
  <c r="T93" i="9"/>
  <c r="S93" i="9"/>
  <c r="T92" i="9"/>
  <c r="S92" i="9"/>
  <c r="T88" i="9"/>
  <c r="S85" i="9"/>
  <c r="S71" i="9"/>
  <c r="S57" i="9"/>
  <c r="S46" i="9"/>
  <c r="T38" i="9"/>
  <c r="T46" i="9" s="1"/>
  <c r="T37" i="9"/>
  <c r="T28" i="9"/>
  <c r="T29" i="9" s="1"/>
  <c r="S27" i="9"/>
  <c r="S25" i="9"/>
  <c r="T10" i="9"/>
  <c r="T46" i="36"/>
  <c r="Z46" i="36" s="1"/>
  <c r="Z47" i="36" s="1"/>
  <c r="S54" i="9" l="1"/>
  <c r="S56" i="9" s="1"/>
  <c r="S33" i="22"/>
  <c r="T89" i="9"/>
  <c r="S18" i="15" s="1"/>
  <c r="T33" i="22"/>
  <c r="S28" i="9"/>
  <c r="S29" i="9" s="1"/>
  <c r="T95" i="9"/>
  <c r="S63" i="9"/>
  <c r="S65" i="9"/>
  <c r="S90" i="9"/>
  <c r="S30" i="9"/>
  <c r="S67" i="9"/>
  <c r="S87" i="9"/>
  <c r="T91" i="9"/>
  <c r="T39" i="9"/>
  <c r="T47" i="9" s="1"/>
  <c r="T48" i="9" s="1"/>
  <c r="T14" i="9"/>
  <c r="S86" i="9"/>
  <c r="T45" i="9"/>
  <c r="T40" i="9"/>
  <c r="S22" i="9"/>
  <c r="S58" i="9"/>
  <c r="S60" i="9"/>
  <c r="S62" i="9"/>
  <c r="S64" i="9"/>
  <c r="S66" i="9"/>
  <c r="S7" i="9"/>
  <c r="T85" i="9"/>
  <c r="T86" i="9" s="1"/>
  <c r="T136" i="9"/>
  <c r="S7" i="22" l="1"/>
  <c r="S21" i="22"/>
  <c r="S83" i="9"/>
  <c r="T80" i="9"/>
  <c r="T74" i="9"/>
  <c r="T72" i="9"/>
  <c r="T79" i="9"/>
  <c r="T75" i="9"/>
  <c r="T69" i="9"/>
  <c r="T82" i="9"/>
  <c r="W40" i="59" s="1"/>
  <c r="T51" i="9"/>
  <c r="W39" i="59" s="1"/>
  <c r="T70" i="9"/>
  <c r="T81" i="9"/>
  <c r="T78" i="9"/>
  <c r="T71" i="9"/>
  <c r="T52" i="9"/>
  <c r="T77" i="9"/>
  <c r="W41" i="59" s="1"/>
  <c r="T73" i="9"/>
  <c r="T76" i="9"/>
  <c r="T140" i="9"/>
  <c r="S8" i="22" l="1"/>
  <c r="S10" i="22" s="1"/>
  <c r="S11" i="22" s="1"/>
  <c r="S13" i="22" s="1"/>
  <c r="S22" i="22"/>
  <c r="S24" i="22" s="1"/>
  <c r="S25" i="22" s="1"/>
  <c r="S27" i="22" s="1"/>
  <c r="T23" i="21"/>
  <c r="T22" i="21"/>
  <c r="T424" i="28" l="1"/>
  <c r="T426" i="28" s="1"/>
  <c r="T427" i="28" s="1"/>
  <c r="T420" i="28"/>
  <c r="T318" i="28"/>
  <c r="T319" i="28" s="1"/>
  <c r="T261" i="28"/>
  <c r="T176" i="28"/>
  <c r="T65" i="28"/>
  <c r="T64" i="28"/>
  <c r="T62" i="28"/>
  <c r="T455" i="28" s="1"/>
  <c r="T58" i="28"/>
  <c r="T54" i="28"/>
  <c r="T50" i="28"/>
  <c r="T36" i="28"/>
  <c r="T35" i="28"/>
  <c r="T34" i="28"/>
  <c r="T33" i="28"/>
  <c r="S33" i="28"/>
  <c r="T31" i="28"/>
  <c r="S27" i="28"/>
  <c r="S31" i="28" s="1"/>
  <c r="T24" i="28"/>
  <c r="S21" i="28"/>
  <c r="S24" i="28" s="1"/>
  <c r="T18" i="28"/>
  <c r="S15" i="28"/>
  <c r="S18" i="28" s="1"/>
  <c r="T11" i="28"/>
  <c r="S8" i="28"/>
  <c r="S11" i="28" s="1"/>
  <c r="T41" i="28" l="1"/>
  <c r="T442" i="28"/>
  <c r="T43" i="28"/>
  <c r="T452" i="28"/>
  <c r="T450" i="28"/>
  <c r="S415" i="28"/>
  <c r="S456" i="28" s="1"/>
  <c r="T42" i="28"/>
  <c r="T448" i="28"/>
  <c r="T446" i="28"/>
  <c r="T44" i="28"/>
  <c r="T456" i="28"/>
  <c r="T454" i="28"/>
  <c r="T447" i="28"/>
  <c r="S319" i="28"/>
  <c r="S452" i="28" s="1"/>
  <c r="T451" i="28"/>
  <c r="T444" i="28"/>
  <c r="T443" i="28"/>
  <c r="S42" i="28"/>
  <c r="S52" i="28" s="1"/>
  <c r="S261" i="28"/>
  <c r="S448" i="28" s="1"/>
  <c r="S41" i="28"/>
  <c r="S176" i="28"/>
  <c r="S444" i="28" s="1"/>
  <c r="T439" i="28"/>
  <c r="T440" i="28"/>
  <c r="T38" i="28"/>
  <c r="T39" i="28" s="1"/>
  <c r="S43" i="28"/>
  <c r="T66" i="28"/>
  <c r="T67" i="28" s="1"/>
  <c r="T430" i="28"/>
  <c r="S34" i="28"/>
  <c r="S44" i="28"/>
  <c r="T45" i="28" l="1"/>
  <c r="S447" i="28"/>
  <c r="S446" i="28"/>
  <c r="S38" i="28"/>
  <c r="S433" i="28"/>
  <c r="T434" i="28"/>
  <c r="T433" i="28"/>
  <c r="S440" i="28"/>
  <c r="S439" i="28"/>
  <c r="S60" i="28"/>
  <c r="S56" i="28"/>
  <c r="S48" i="28"/>
  <c r="S45" i="28"/>
  <c r="S434" i="28" l="1"/>
  <c r="S455" i="28"/>
  <c r="S454" i="28"/>
  <c r="S451" i="28"/>
  <c r="S450" i="28"/>
  <c r="S443" i="28"/>
  <c r="S442" i="28"/>
  <c r="S64" i="28"/>
  <c r="S20" i="8" l="1"/>
  <c r="T20" i="8"/>
  <c r="T117" i="8"/>
  <c r="T118" i="8" s="1"/>
  <c r="T105" i="8"/>
  <c r="T106" i="8" s="1"/>
  <c r="T85" i="8"/>
  <c r="T89" i="8" s="1"/>
  <c r="T80" i="8"/>
  <c r="T77" i="8"/>
  <c r="T75" i="8"/>
  <c r="S75" i="8"/>
  <c r="T74" i="8"/>
  <c r="S74" i="8"/>
  <c r="S65" i="8"/>
  <c r="T60" i="8"/>
  <c r="T64" i="8" s="1"/>
  <c r="T58" i="8"/>
  <c r="T55" i="8"/>
  <c r="T54" i="8"/>
  <c r="T52" i="8"/>
  <c r="T45" i="8"/>
  <c r="S45" i="8"/>
  <c r="S38" i="8"/>
  <c r="S37" i="8"/>
  <c r="S36" i="8"/>
  <c r="T25" i="8"/>
  <c r="S18" i="8"/>
  <c r="T16" i="8"/>
  <c r="S16" i="8"/>
  <c r="T14" i="8"/>
  <c r="T13" i="8"/>
  <c r="S13" i="8"/>
  <c r="T12" i="8"/>
  <c r="S12" i="8"/>
  <c r="T5" i="8"/>
  <c r="S5" i="8"/>
  <c r="T125" i="7"/>
  <c r="T127" i="7" s="1"/>
  <c r="T128" i="7" s="1"/>
  <c r="T119" i="7"/>
  <c r="T121" i="7" s="1"/>
  <c r="T122" i="7" s="1"/>
  <c r="T71" i="7"/>
  <c r="S71" i="7"/>
  <c r="T69" i="7"/>
  <c r="T62" i="7"/>
  <c r="S62" i="7"/>
  <c r="T58" i="7"/>
  <c r="T60" i="7" s="1"/>
  <c r="S58" i="7"/>
  <c r="S60" i="7" s="1"/>
  <c r="T54" i="7"/>
  <c r="T19" i="7" s="1"/>
  <c r="S54" i="7"/>
  <c r="T16" i="7"/>
  <c r="T30" i="7" s="1"/>
  <c r="S16" i="7"/>
  <c r="S30" i="7" s="1"/>
  <c r="S39" i="7" s="1"/>
  <c r="U196" i="6"/>
  <c r="S196" i="6"/>
  <c r="U195" i="6"/>
  <c r="S195" i="6"/>
  <c r="U194" i="6"/>
  <c r="S194" i="6"/>
  <c r="U190" i="6"/>
  <c r="S190" i="6"/>
  <c r="U188" i="6"/>
  <c r="S188" i="6"/>
  <c r="U187" i="6"/>
  <c r="S187" i="6"/>
  <c r="U186" i="6"/>
  <c r="S186" i="6"/>
  <c r="U185" i="6"/>
  <c r="S185" i="6"/>
  <c r="U184" i="6"/>
  <c r="S184" i="6"/>
  <c r="U183" i="6"/>
  <c r="S183" i="6"/>
  <c r="U182" i="6"/>
  <c r="S182" i="6"/>
  <c r="V194" i="6"/>
  <c r="T194" i="6"/>
  <c r="T156" i="6"/>
  <c r="T155" i="6"/>
  <c r="S155" i="6"/>
  <c r="T154" i="6"/>
  <c r="S154" i="6"/>
  <c r="T130" i="6"/>
  <c r="T129" i="6"/>
  <c r="S129" i="6"/>
  <c r="S103" i="6"/>
  <c r="S106" i="6" s="1"/>
  <c r="T52" i="6"/>
  <c r="S52" i="6"/>
  <c r="T44" i="6"/>
  <c r="S44" i="6"/>
  <c r="T41" i="6"/>
  <c r="S41" i="6"/>
  <c r="S37" i="6"/>
  <c r="T28" i="6"/>
  <c r="T25" i="6"/>
  <c r="T22" i="6"/>
  <c r="T18" i="6"/>
  <c r="T17" i="6"/>
  <c r="S6" i="6"/>
  <c r="S14" i="6" s="1"/>
  <c r="S5" i="6"/>
  <c r="S13" i="6" s="1"/>
  <c r="S34" i="35"/>
  <c r="S55" i="7" l="1"/>
  <c r="S22" i="7"/>
  <c r="T104" i="7"/>
  <c r="T105" i="7" s="1"/>
  <c r="T107" i="7" s="1"/>
  <c r="T108" i="7" s="1"/>
  <c r="T22" i="7"/>
  <c r="S15" i="8"/>
  <c r="T41" i="8"/>
  <c r="S29" i="8"/>
  <c r="T21" i="7"/>
  <c r="T25" i="7"/>
  <c r="T80" i="7" s="1"/>
  <c r="T18" i="7"/>
  <c r="T74" i="7" s="1"/>
  <c r="W22" i="59" s="1"/>
  <c r="T26" i="7"/>
  <c r="T83" i="7" s="1"/>
  <c r="T42" i="7"/>
  <c r="T75" i="7" s="1"/>
  <c r="W23" i="59" s="1"/>
  <c r="T24" i="7"/>
  <c r="T79" i="7" s="1"/>
  <c r="T46" i="7"/>
  <c r="T48" i="7"/>
  <c r="S20" i="7"/>
  <c r="S76" i="7" s="1"/>
  <c r="V24" i="59" s="1"/>
  <c r="T49" i="7"/>
  <c r="T102" i="7"/>
  <c r="T137" i="9"/>
  <c r="T70" i="7"/>
  <c r="W26" i="59" s="1"/>
  <c r="T87" i="8"/>
  <c r="T88" i="8" s="1"/>
  <c r="S28" i="8"/>
  <c r="T40" i="8"/>
  <c r="S39" i="8"/>
  <c r="S46" i="8"/>
  <c r="S66" i="8" s="1"/>
  <c r="S23" i="8"/>
  <c r="T78" i="8"/>
  <c r="T32" i="8"/>
  <c r="T63" i="8"/>
  <c r="T56" i="8"/>
  <c r="T61" i="8" s="1"/>
  <c r="T47" i="8"/>
  <c r="S22" i="8"/>
  <c r="S27" i="8"/>
  <c r="T34" i="8"/>
  <c r="T36" i="8"/>
  <c r="T37" i="8"/>
  <c r="T38" i="8"/>
  <c r="T43" i="8"/>
  <c r="T46" i="8"/>
  <c r="T68" i="8"/>
  <c r="W33" i="59" s="1"/>
  <c r="T72" i="8"/>
  <c r="S26" i="8"/>
  <c r="T42" i="8"/>
  <c r="S71" i="8"/>
  <c r="S24" i="8"/>
  <c r="T20" i="7"/>
  <c r="T23" i="7"/>
  <c r="T78" i="7" s="1"/>
  <c r="T27" i="7"/>
  <c r="T77" i="7" s="1"/>
  <c r="T44" i="7"/>
  <c r="T82" i="7" s="1"/>
  <c r="T45" i="7"/>
  <c r="S18" i="7"/>
  <c r="S74" i="7" s="1"/>
  <c r="V22" i="59" s="1"/>
  <c r="S26" i="7"/>
  <c r="S83" i="7" s="1"/>
  <c r="S68" i="7"/>
  <c r="V21" i="59" s="1"/>
  <c r="S24" i="7"/>
  <c r="S79" i="7" s="1"/>
  <c r="S63" i="7"/>
  <c r="S19" i="7"/>
  <c r="S75" i="7" s="1"/>
  <c r="V23" i="59" s="1"/>
  <c r="S21" i="7"/>
  <c r="S84" i="7" s="1"/>
  <c r="V25" i="59" s="1"/>
  <c r="S23" i="7"/>
  <c r="S78" i="7" s="1"/>
  <c r="S25" i="7"/>
  <c r="S80" i="7" s="1"/>
  <c r="S27" i="7"/>
  <c r="S77" i="7" s="1"/>
  <c r="S65" i="7"/>
  <c r="T41" i="7"/>
  <c r="T39" i="7"/>
  <c r="T43" i="7"/>
  <c r="T47" i="7"/>
  <c r="T56" i="7"/>
  <c r="T63" i="7"/>
  <c r="T65" i="7"/>
  <c r="T68" i="7"/>
  <c r="W21" i="59" s="1"/>
  <c r="T113" i="6"/>
  <c r="S126" i="6"/>
  <c r="S26" i="6"/>
  <c r="S20" i="6"/>
  <c r="S17" i="6"/>
  <c r="S15" i="6"/>
  <c r="S56" i="6" s="1"/>
  <c r="S151" i="6"/>
  <c r="S18" i="6"/>
  <c r="S27" i="6"/>
  <c r="S21" i="6"/>
  <c r="T161" i="6"/>
  <c r="T29" i="6"/>
  <c r="T19" i="6"/>
  <c r="S23" i="6"/>
  <c r="T30" i="6"/>
  <c r="S24" i="6"/>
  <c r="S110" i="6"/>
  <c r="S136" i="6"/>
  <c r="S7" i="6"/>
  <c r="S11" i="6"/>
  <c r="S12" i="6"/>
  <c r="T136" i="6"/>
  <c r="T106" i="7" l="1"/>
  <c r="T109" i="7" s="1"/>
  <c r="T84" i="7"/>
  <c r="W25" i="59" s="1"/>
  <c r="T76" i="7"/>
  <c r="W24" i="59" s="1"/>
  <c r="S59" i="6"/>
  <c r="T138" i="9"/>
  <c r="T141" i="9"/>
  <c r="T92" i="8"/>
  <c r="T93" i="8" s="1"/>
  <c r="T33" i="8"/>
  <c r="T62" i="8"/>
  <c r="S52" i="8"/>
  <c r="S60" i="8"/>
  <c r="T39" i="8"/>
  <c r="T90" i="8"/>
  <c r="S25" i="8"/>
  <c r="S58" i="8"/>
  <c r="T50" i="7"/>
  <c r="T64" i="7"/>
  <c r="T110" i="6"/>
  <c r="S169" i="6"/>
  <c r="T135" i="6"/>
  <c r="T137" i="6" s="1"/>
  <c r="T111" i="6"/>
  <c r="T222" i="6"/>
  <c r="S135" i="6"/>
  <c r="S137" i="6" s="1"/>
  <c r="S111" i="6"/>
  <c r="S112" i="6" s="1"/>
  <c r="S28" i="6"/>
  <c r="T138" i="6"/>
  <c r="T223" i="6"/>
  <c r="S113" i="6"/>
  <c r="T31" i="6"/>
  <c r="S30" i="6"/>
  <c r="S19" i="6"/>
  <c r="S29" i="6"/>
  <c r="S138" i="6"/>
  <c r="S25" i="6"/>
  <c r="S22" i="6"/>
  <c r="T142" i="9" l="1"/>
  <c r="S34" i="8"/>
  <c r="S32" i="8"/>
  <c r="T94" i="8"/>
  <c r="S56" i="8"/>
  <c r="T112" i="6"/>
  <c r="S168" i="6"/>
  <c r="S167" i="6"/>
  <c r="S166" i="6"/>
  <c r="S175" i="6"/>
  <c r="S178" i="6" s="1"/>
  <c r="S197" i="6" s="1"/>
  <c r="S172" i="6"/>
  <c r="S171" i="6"/>
  <c r="T177" i="6"/>
  <c r="T168" i="6"/>
  <c r="T171" i="6"/>
  <c r="T166" i="6"/>
  <c r="T167" i="6"/>
  <c r="T172" i="6"/>
  <c r="T169" i="6"/>
  <c r="T176" i="6"/>
  <c r="T175" i="6"/>
  <c r="T160" i="6"/>
  <c r="S31" i="6"/>
  <c r="T162" i="6"/>
  <c r="S33" i="8" l="1"/>
  <c r="S170" i="6"/>
  <c r="S189" i="6" s="1"/>
  <c r="S173" i="6"/>
  <c r="S192" i="6" s="1"/>
  <c r="T173" i="6"/>
  <c r="T170" i="6"/>
  <c r="T178" i="6"/>
  <c r="S174" i="6" l="1"/>
  <c r="S193" i="6" s="1"/>
  <c r="T174" i="6"/>
  <c r="S179" i="6" l="1"/>
  <c r="S198" i="6" s="1"/>
  <c r="T179" i="6"/>
  <c r="T48" i="35" l="1"/>
  <c r="T46" i="35"/>
  <c r="T45" i="35"/>
  <c r="S90" i="26" l="1"/>
  <c r="R90" i="26"/>
  <c r="S74" i="26"/>
  <c r="R74" i="26"/>
  <c r="S61" i="26"/>
  <c r="R59" i="26"/>
  <c r="R84" i="17" s="1"/>
  <c r="S57" i="26"/>
  <c r="R57" i="26"/>
  <c r="S56" i="26"/>
  <c r="R56" i="26"/>
  <c r="S51" i="26"/>
  <c r="R51" i="26"/>
  <c r="R133" i="26" s="1"/>
  <c r="S36" i="26"/>
  <c r="S37" i="26" s="1"/>
  <c r="R36" i="26"/>
  <c r="S32" i="26"/>
  <c r="R32" i="26"/>
  <c r="R16" i="26"/>
  <c r="R14" i="26"/>
  <c r="S11" i="26"/>
  <c r="S18" i="26" s="1"/>
  <c r="R10" i="26"/>
  <c r="R8" i="26"/>
  <c r="S5" i="26"/>
  <c r="S9" i="17"/>
  <c r="S8" i="17"/>
  <c r="R41" i="26" l="1"/>
  <c r="R128" i="26"/>
  <c r="S40" i="26"/>
  <c r="R11" i="26"/>
  <c r="R12" i="26" s="1"/>
  <c r="S41" i="26"/>
  <c r="S12" i="26"/>
  <c r="R37" i="26"/>
  <c r="R61" i="26"/>
  <c r="S17" i="26"/>
  <c r="R40" i="26"/>
  <c r="R137" i="26" l="1"/>
  <c r="R132" i="26"/>
  <c r="R125" i="26"/>
  <c r="R17" i="26"/>
  <c r="R18" i="26"/>
  <c r="R113" i="17" l="1"/>
  <c r="R111" i="17"/>
  <c r="S81" i="17"/>
  <c r="R81" i="17"/>
  <c r="S77" i="17"/>
  <c r="R77" i="17"/>
  <c r="S66" i="17"/>
  <c r="S68" i="17" s="1"/>
  <c r="R66" i="17"/>
  <c r="R68" i="17" s="1"/>
  <c r="R60" i="17"/>
  <c r="S58" i="17"/>
  <c r="R57" i="17"/>
  <c r="R56" i="17"/>
  <c r="R54" i="17"/>
  <c r="S52" i="17"/>
  <c r="R51" i="17"/>
  <c r="S48" i="17"/>
  <c r="R47" i="17"/>
  <c r="S46" i="17"/>
  <c r="R45" i="17"/>
  <c r="S43" i="17"/>
  <c r="S49" i="17" s="1"/>
  <c r="S53" i="17" s="1"/>
  <c r="S54" i="17" s="1"/>
  <c r="R43" i="17"/>
  <c r="S42" i="17"/>
  <c r="S40" i="17"/>
  <c r="S38" i="17"/>
  <c r="S25" i="17"/>
  <c r="R25" i="17"/>
  <c r="S21" i="17"/>
  <c r="S15" i="17" s="1"/>
  <c r="R18" i="17"/>
  <c r="R17" i="17"/>
  <c r="R15" i="17"/>
  <c r="R29" i="17" s="1"/>
  <c r="R14" i="17"/>
  <c r="S11" i="17"/>
  <c r="S13" i="17"/>
  <c r="S112" i="17"/>
  <c r="R8" i="17"/>
  <c r="R112" i="17" s="1"/>
  <c r="R18" i="15"/>
  <c r="R17" i="15"/>
  <c r="R12" i="15"/>
  <c r="R9" i="15"/>
  <c r="R8" i="15"/>
  <c r="R7" i="15"/>
  <c r="R6" i="15"/>
  <c r="R5" i="15"/>
  <c r="R21" i="17" l="1"/>
  <c r="R30" i="17" s="1"/>
  <c r="R14" i="15"/>
  <c r="R15" i="15" s="1"/>
  <c r="S44" i="17"/>
  <c r="R13" i="15"/>
  <c r="R49" i="17"/>
  <c r="R110" i="17" s="1"/>
  <c r="R114" i="17" s="1"/>
  <c r="R115" i="17"/>
  <c r="S33" i="17"/>
  <c r="S31" i="17"/>
  <c r="S30" i="17"/>
  <c r="S29" i="17"/>
  <c r="S32" i="17"/>
  <c r="R10" i="17"/>
  <c r="R58" i="17"/>
  <c r="S61" i="17"/>
  <c r="S12" i="17"/>
  <c r="S113" i="17" s="1"/>
  <c r="S10" i="17"/>
  <c r="S50" i="17"/>
  <c r="S111" i="17" s="1"/>
  <c r="S59" i="17"/>
  <c r="S110" i="17"/>
  <c r="S114" i="17" s="1"/>
  <c r="R32" i="17" l="1"/>
  <c r="R33" i="17"/>
  <c r="R31" i="17"/>
  <c r="R53" i="17"/>
  <c r="S115" i="17"/>
  <c r="R61" i="17"/>
  <c r="R59" i="17"/>
  <c r="S14" i="17"/>
  <c r="T16" i="49" l="1"/>
  <c r="T17" i="49" s="1"/>
  <c r="T10" i="49"/>
  <c r="S10" i="49"/>
  <c r="T9" i="49"/>
  <c r="T8" i="49"/>
  <c r="T7" i="49"/>
  <c r="T55" i="36"/>
  <c r="T54" i="36"/>
  <c r="S53" i="36"/>
  <c r="S19" i="36" s="1"/>
  <c r="V38" i="59" s="1"/>
  <c r="T52" i="36"/>
  <c r="T51" i="36"/>
  <c r="S49" i="36"/>
  <c r="S48" i="36"/>
  <c r="T47" i="36"/>
  <c r="S45" i="36"/>
  <c r="S47" i="36" s="1"/>
  <c r="T33" i="36"/>
  <c r="S33" i="36"/>
  <c r="S44" i="36" s="1"/>
  <c r="S18" i="36"/>
  <c r="V37" i="59" s="1"/>
  <c r="T17" i="36"/>
  <c r="W36" i="59" s="1"/>
  <c r="T16" i="36"/>
  <c r="W35" i="59" s="1"/>
  <c r="S13" i="36"/>
  <c r="V30" i="59" s="1"/>
  <c r="T12" i="36"/>
  <c r="W29" i="59" s="1"/>
  <c r="T11" i="36"/>
  <c r="W28" i="59" s="1"/>
  <c r="T10" i="36"/>
  <c r="W27" i="59" s="1"/>
  <c r="T9" i="36"/>
  <c r="W10" i="59" s="1"/>
  <c r="T8" i="36"/>
  <c r="W9" i="59" s="1"/>
  <c r="T7" i="36"/>
  <c r="W8" i="59" s="1"/>
  <c r="T5" i="36"/>
  <c r="W6" i="59" s="1"/>
  <c r="S39" i="21"/>
  <c r="S38" i="21"/>
  <c r="S27" i="21"/>
  <c r="S429" i="28" s="1"/>
  <c r="S26" i="21"/>
  <c r="S418" i="28" s="1"/>
  <c r="S420" i="28" s="1"/>
  <c r="P54" i="7"/>
  <c r="S422" i="28" l="1"/>
  <c r="S426" i="28"/>
  <c r="S430" i="28" s="1"/>
  <c r="T12" i="49"/>
  <c r="P18" i="7"/>
  <c r="P22" i="7"/>
  <c r="T53" i="36"/>
  <c r="T19" i="36" s="1"/>
  <c r="W38" i="59" s="1"/>
  <c r="T18" i="36"/>
  <c r="W37" i="59" s="1"/>
  <c r="T11" i="49"/>
  <c r="T13" i="36"/>
  <c r="W30" i="59" s="1"/>
  <c r="T13" i="49" l="1"/>
  <c r="T14" i="49" s="1"/>
  <c r="T15" i="49" s="1"/>
  <c r="T18" i="49" s="1"/>
  <c r="R115" i="8"/>
  <c r="R112" i="8"/>
  <c r="R109" i="8"/>
  <c r="R103" i="8"/>
  <c r="R100" i="8"/>
  <c r="R97" i="8"/>
  <c r="K124" i="8"/>
  <c r="J9" i="11" l="1"/>
  <c r="N9" i="11" s="1"/>
  <c r="J10" i="11"/>
  <c r="N10" i="11" s="1"/>
  <c r="AB10" i="11" s="1"/>
  <c r="AF10" i="11" s="1"/>
  <c r="AJ10" i="11" s="1"/>
  <c r="AP10" i="11" s="1"/>
  <c r="J13" i="11"/>
  <c r="N13" i="11" s="1"/>
  <c r="AB13" i="11" s="1"/>
  <c r="AF13" i="11" s="1"/>
  <c r="AJ13" i="11" s="1"/>
  <c r="AP13" i="11" s="1"/>
  <c r="J14" i="11"/>
  <c r="N14" i="11" s="1"/>
  <c r="AB14" i="11" s="1"/>
  <c r="AF14" i="11" s="1"/>
  <c r="AJ14" i="11" s="1"/>
  <c r="AP14" i="11" s="1"/>
  <c r="J16" i="11"/>
  <c r="N16" i="11" s="1"/>
  <c r="AB16" i="11" s="1"/>
  <c r="AF16" i="11" s="1"/>
  <c r="AJ16" i="11" s="1"/>
  <c r="AP16" i="11" s="1"/>
  <c r="J17" i="11"/>
  <c r="N17" i="11" s="1"/>
  <c r="AB17" i="11" s="1"/>
  <c r="AF17" i="11" s="1"/>
  <c r="AJ17" i="11" s="1"/>
  <c r="AP17" i="11" s="1"/>
  <c r="J18" i="11"/>
  <c r="N18" i="11" s="1"/>
  <c r="AB18" i="11" s="1"/>
  <c r="AF18" i="11" s="1"/>
  <c r="AJ18" i="11" s="1"/>
  <c r="AP18" i="11" s="1"/>
  <c r="J19" i="11"/>
  <c r="N19" i="11" s="1"/>
  <c r="AB19" i="11" s="1"/>
  <c r="AF19" i="11" s="1"/>
  <c r="AJ19" i="11" s="1"/>
  <c r="AP19" i="11" s="1"/>
  <c r="AF20" i="11"/>
  <c r="AJ20" i="11" s="1"/>
  <c r="AP20" i="11" s="1"/>
  <c r="J23" i="11"/>
  <c r="N23" i="11" s="1"/>
  <c r="AB23" i="11" s="1"/>
  <c r="AF23" i="11" s="1"/>
  <c r="AJ23" i="11" s="1"/>
  <c r="AP23" i="11" s="1"/>
  <c r="J25" i="11"/>
  <c r="N25" i="11" s="1"/>
  <c r="AB25" i="11" s="1"/>
  <c r="AF25" i="11" s="1"/>
  <c r="AJ25" i="11" s="1"/>
  <c r="AP25" i="11" s="1"/>
  <c r="J27" i="11"/>
  <c r="J28" i="11"/>
  <c r="J30" i="11"/>
  <c r="J31" i="11"/>
  <c r="J35" i="11"/>
  <c r="J37" i="11"/>
  <c r="J38" i="11"/>
  <c r="J41" i="11"/>
  <c r="J42" i="11"/>
  <c r="Q44" i="45"/>
  <c r="M44" i="45"/>
  <c r="I44" i="45"/>
  <c r="G44" i="45"/>
  <c r="AA16" i="45"/>
  <c r="AC16" i="45" s="1"/>
  <c r="AG16" i="45" s="1"/>
  <c r="AK16" i="45" s="1"/>
  <c r="AQ16" i="45" s="1"/>
  <c r="P9" i="11"/>
  <c r="Z9" i="11" s="1"/>
  <c r="P26" i="11"/>
  <c r="Z26" i="11" s="1"/>
  <c r="P30" i="11"/>
  <c r="Z30" i="11" s="1"/>
  <c r="P36" i="11"/>
  <c r="Z36" i="11" s="1"/>
  <c r="Q22" i="50"/>
  <c r="AA22" i="50" s="1"/>
  <c r="Q24" i="50"/>
  <c r="AA24" i="50" s="1"/>
  <c r="Q4" i="50"/>
  <c r="AA4" i="50" s="1"/>
  <c r="Q10" i="50"/>
  <c r="AA10" i="50" s="1"/>
  <c r="Q23" i="50"/>
  <c r="AA11" i="45" l="1"/>
  <c r="AT19" i="11"/>
  <c r="AX19" i="11" s="1"/>
  <c r="BF19" i="11" s="1"/>
  <c r="AT14" i="11"/>
  <c r="AX14" i="11" s="1"/>
  <c r="BF14" i="11" s="1"/>
  <c r="AT25" i="11"/>
  <c r="AX25" i="11" s="1"/>
  <c r="BF25" i="11" s="1"/>
  <c r="AT18" i="11"/>
  <c r="AX18" i="11" s="1"/>
  <c r="BF18" i="11" s="1"/>
  <c r="AT13" i="11"/>
  <c r="AX13" i="11" s="1"/>
  <c r="BF13" i="11" s="1"/>
  <c r="AT23" i="11"/>
  <c r="AX23" i="11" s="1"/>
  <c r="BF23" i="11" s="1"/>
  <c r="AT17" i="11"/>
  <c r="AX17" i="11" s="1"/>
  <c r="BF17" i="11" s="1"/>
  <c r="AT10" i="11"/>
  <c r="AX10" i="11" s="1"/>
  <c r="BF10" i="11" s="1"/>
  <c r="AU16" i="45"/>
  <c r="AY16" i="45" s="1"/>
  <c r="BG16" i="45" s="1"/>
  <c r="AT20" i="11"/>
  <c r="AX20" i="11" s="1"/>
  <c r="BF20" i="11" s="1"/>
  <c r="AT16" i="11"/>
  <c r="AX16" i="11" s="1"/>
  <c r="BF16" i="11" s="1"/>
  <c r="S23" i="50"/>
  <c r="W23" i="50" s="1"/>
  <c r="AA23" i="50"/>
  <c r="AC23" i="50" s="1"/>
  <c r="AG23" i="50" s="1"/>
  <c r="AK23" i="50" s="1"/>
  <c r="AQ23" i="50" s="1"/>
  <c r="Q18" i="61"/>
  <c r="AB9" i="11"/>
  <c r="AF9" i="11" s="1"/>
  <c r="AJ9" i="11" s="1"/>
  <c r="AP9" i="11" s="1"/>
  <c r="Z52" i="11"/>
  <c r="Z56" i="11"/>
  <c r="Q42" i="50"/>
  <c r="AA42" i="50" s="1"/>
  <c r="AA46" i="50" s="1"/>
  <c r="Q25" i="50"/>
  <c r="AA25" i="50" s="1"/>
  <c r="P115" i="10"/>
  <c r="P153" i="10" s="1"/>
  <c r="Q35" i="50"/>
  <c r="AA35" i="50" s="1"/>
  <c r="AC35" i="50" s="1"/>
  <c r="AG35" i="50" s="1"/>
  <c r="AK35" i="50" s="1"/>
  <c r="AQ35" i="50" s="1"/>
  <c r="P52" i="11"/>
  <c r="P56" i="11"/>
  <c r="Q34" i="50"/>
  <c r="AA34" i="50" s="1"/>
  <c r="AU35" i="50" l="1"/>
  <c r="AY35" i="50" s="1"/>
  <c r="BG35" i="50" s="1"/>
  <c r="AU23" i="50"/>
  <c r="AY23" i="50" s="1"/>
  <c r="BG23" i="50" s="1"/>
  <c r="AT9" i="11"/>
  <c r="AX9" i="11" s="1"/>
  <c r="BF9" i="11" s="1"/>
  <c r="AA18" i="61"/>
  <c r="Q19" i="61"/>
  <c r="AA19" i="61" s="1"/>
  <c r="Z84" i="11"/>
  <c r="Z71" i="11"/>
  <c r="AC49" i="59" s="1"/>
  <c r="Z53" i="11"/>
  <c r="Z55" i="11" s="1"/>
  <c r="AC47" i="59" s="1"/>
  <c r="AA41" i="50"/>
  <c r="AA33" i="50"/>
  <c r="Z119" i="10" s="1"/>
  <c r="Z120" i="10" s="1"/>
  <c r="P116" i="10"/>
  <c r="P53" i="11"/>
  <c r="Z57" i="11" l="1"/>
  <c r="P118" i="10"/>
  <c r="S43" i="59" s="1"/>
  <c r="P28" i="35"/>
  <c r="Z28" i="35" s="1"/>
  <c r="P55" i="11"/>
  <c r="S47" i="59" s="1"/>
  <c r="P29" i="35"/>
  <c r="P39" i="35" s="1"/>
  <c r="P57" i="11"/>
  <c r="Z22" i="36"/>
  <c r="Z21" i="36"/>
  <c r="Z88" i="11"/>
  <c r="Z86" i="11"/>
  <c r="Q60" i="45"/>
  <c r="AA60" i="45" s="1"/>
  <c r="P60" i="45"/>
  <c r="Z60" i="45" s="1"/>
  <c r="Q59" i="45"/>
  <c r="AA59" i="45" s="1"/>
  <c r="P59" i="45"/>
  <c r="Z59" i="45" s="1"/>
  <c r="Q58" i="45"/>
  <c r="AA58" i="45" s="1"/>
  <c r="P58" i="45"/>
  <c r="Z58" i="45" s="1"/>
  <c r="S35" i="45"/>
  <c r="W35" i="45" s="1"/>
  <c r="S16" i="45"/>
  <c r="W16" i="45" s="1"/>
  <c r="O14" i="45"/>
  <c r="AC14" i="45" s="1"/>
  <c r="AG14" i="45" s="1"/>
  <c r="AK14" i="45" s="1"/>
  <c r="AQ14" i="45" s="1"/>
  <c r="P42" i="45"/>
  <c r="Z42" i="45" s="1"/>
  <c r="L42" i="45"/>
  <c r="H42" i="45"/>
  <c r="P70" i="11"/>
  <c r="Z70" i="11" s="1"/>
  <c r="O70" i="11"/>
  <c r="Y70" i="11" s="1"/>
  <c r="P69" i="11"/>
  <c r="Z69" i="11" s="1"/>
  <c r="O69" i="11"/>
  <c r="Y69" i="11" s="1"/>
  <c r="P68" i="11"/>
  <c r="Z68" i="11" s="1"/>
  <c r="O68" i="11"/>
  <c r="Y68" i="11" s="1"/>
  <c r="R16" i="11"/>
  <c r="V16" i="11" s="1"/>
  <c r="R9" i="11"/>
  <c r="V9" i="11" s="1"/>
  <c r="R25" i="11"/>
  <c r="V25" i="11" s="1"/>
  <c r="R10" i="11"/>
  <c r="V10" i="11" s="1"/>
  <c r="R13" i="11"/>
  <c r="V13" i="11" s="1"/>
  <c r="R14" i="11"/>
  <c r="V14" i="11" s="1"/>
  <c r="R17" i="11"/>
  <c r="V17" i="11" s="1"/>
  <c r="R18" i="11"/>
  <c r="V18" i="11" s="1"/>
  <c r="R19" i="11"/>
  <c r="V19" i="11" s="1"/>
  <c r="R23" i="11"/>
  <c r="V23" i="11" s="1"/>
  <c r="N27" i="11"/>
  <c r="N28" i="11"/>
  <c r="N31" i="11"/>
  <c r="N35" i="11"/>
  <c r="N37" i="11"/>
  <c r="N38" i="11"/>
  <c r="N41" i="11"/>
  <c r="N42" i="11"/>
  <c r="J7" i="11"/>
  <c r="N7" i="11" s="1"/>
  <c r="AB7" i="11" s="1"/>
  <c r="AF7" i="11" s="1"/>
  <c r="AJ7" i="11" s="1"/>
  <c r="AP7" i="11" s="1"/>
  <c r="P21" i="36" l="1"/>
  <c r="P22" i="36"/>
  <c r="Q46" i="45"/>
  <c r="AA42" i="45"/>
  <c r="H30" i="35"/>
  <c r="I45" i="45"/>
  <c r="K51" i="59" s="1"/>
  <c r="I47" i="45"/>
  <c r="AU14" i="45"/>
  <c r="AY14" i="45" s="1"/>
  <c r="BG14" i="45" s="1"/>
  <c r="AT7" i="11"/>
  <c r="AX7" i="11" s="1"/>
  <c r="BF7" i="11" s="1"/>
  <c r="L43" i="45"/>
  <c r="P43" i="45"/>
  <c r="P46" i="45" s="1"/>
  <c r="H43" i="45"/>
  <c r="R41" i="11"/>
  <c r="V41" i="11" s="1"/>
  <c r="AB41" i="11"/>
  <c r="AF41" i="11" s="1"/>
  <c r="AJ41" i="11" s="1"/>
  <c r="AP41" i="11" s="1"/>
  <c r="R31" i="11"/>
  <c r="V31" i="11" s="1"/>
  <c r="AB31" i="11"/>
  <c r="AF31" i="11" s="1"/>
  <c r="AJ31" i="11" s="1"/>
  <c r="AP31" i="11" s="1"/>
  <c r="R38" i="11"/>
  <c r="V38" i="11" s="1"/>
  <c r="AB38" i="11"/>
  <c r="AF38" i="11" s="1"/>
  <c r="AJ38" i="11" s="1"/>
  <c r="AP38" i="11" s="1"/>
  <c r="R28" i="11"/>
  <c r="V28" i="11" s="1"/>
  <c r="AB28" i="11"/>
  <c r="AF28" i="11" s="1"/>
  <c r="AJ28" i="11" s="1"/>
  <c r="AP28" i="11" s="1"/>
  <c r="R37" i="11"/>
  <c r="V37" i="11" s="1"/>
  <c r="AB37" i="11"/>
  <c r="AF37" i="11" s="1"/>
  <c r="AJ37" i="11" s="1"/>
  <c r="AP37" i="11" s="1"/>
  <c r="R27" i="11"/>
  <c r="V27" i="11" s="1"/>
  <c r="AB27" i="11"/>
  <c r="AF27" i="11" s="1"/>
  <c r="AJ27" i="11" s="1"/>
  <c r="AP27" i="11" s="1"/>
  <c r="R42" i="11"/>
  <c r="V42" i="11" s="1"/>
  <c r="AB42" i="11"/>
  <c r="AF42" i="11" s="1"/>
  <c r="AJ42" i="11" s="1"/>
  <c r="AP42" i="11" s="1"/>
  <c r="R35" i="11"/>
  <c r="V35" i="11" s="1"/>
  <c r="AB35" i="11"/>
  <c r="AF35" i="11" s="1"/>
  <c r="AJ35" i="11" s="1"/>
  <c r="AP35" i="11" s="1"/>
  <c r="S14" i="45"/>
  <c r="W14" i="45" s="1"/>
  <c r="V54" i="11"/>
  <c r="J7" i="10"/>
  <c r="H45" i="45" l="1"/>
  <c r="J51" i="59" s="1"/>
  <c r="H46" i="45"/>
  <c r="L45" i="45"/>
  <c r="N51" i="59" s="1"/>
  <c r="L46" i="45"/>
  <c r="Z43" i="45"/>
  <c r="P45" i="45"/>
  <c r="R51" i="59" s="1"/>
  <c r="AA75" i="45"/>
  <c r="AA61" i="45"/>
  <c r="AC53" i="59" s="1"/>
  <c r="P30" i="35"/>
  <c r="Q45" i="45"/>
  <c r="S51" i="59" s="1"/>
  <c r="AA43" i="45"/>
  <c r="AA46" i="45" s="1"/>
  <c r="Q47" i="45"/>
  <c r="AT38" i="11"/>
  <c r="AX38" i="11" s="1"/>
  <c r="BF38" i="11" s="1"/>
  <c r="AT41" i="11"/>
  <c r="AX41" i="11" s="1"/>
  <c r="BF41" i="11" s="1"/>
  <c r="AT42" i="11"/>
  <c r="AX42" i="11" s="1"/>
  <c r="BF42" i="11" s="1"/>
  <c r="AT37" i="11"/>
  <c r="AX37" i="11" s="1"/>
  <c r="BF37" i="11" s="1"/>
  <c r="AT35" i="11"/>
  <c r="AX35" i="11" s="1"/>
  <c r="BF35" i="11" s="1"/>
  <c r="AT27" i="11"/>
  <c r="AX27" i="11" s="1"/>
  <c r="BF27" i="11" s="1"/>
  <c r="AT28" i="11"/>
  <c r="AX28" i="11" s="1"/>
  <c r="BF28" i="11" s="1"/>
  <c r="AT31" i="11"/>
  <c r="AX31" i="11" s="1"/>
  <c r="BF31" i="11" s="1"/>
  <c r="K23" i="36"/>
  <c r="H23" i="36"/>
  <c r="G23" i="36"/>
  <c r="O23" i="36"/>
  <c r="S39" i="50"/>
  <c r="W39" i="50" s="1"/>
  <c r="N7" i="10"/>
  <c r="AB7" i="10" s="1"/>
  <c r="V85" i="11"/>
  <c r="V77" i="11"/>
  <c r="P98" i="9"/>
  <c r="P90" i="9"/>
  <c r="P91" i="9" s="1"/>
  <c r="P61" i="9"/>
  <c r="P43" i="9"/>
  <c r="P33" i="35" s="1"/>
  <c r="P30" i="9"/>
  <c r="P20" i="9"/>
  <c r="P22" i="9" s="1"/>
  <c r="P133" i="9"/>
  <c r="P94" i="9"/>
  <c r="P95" i="9" s="1"/>
  <c r="P93" i="9"/>
  <c r="O93" i="9"/>
  <c r="P92" i="9"/>
  <c r="O92" i="9"/>
  <c r="K93" i="9"/>
  <c r="K92" i="9"/>
  <c r="O90" i="9"/>
  <c r="P89" i="9"/>
  <c r="O18" i="15" s="1"/>
  <c r="P88" i="9"/>
  <c r="O87" i="9"/>
  <c r="O85" i="9"/>
  <c r="P84" i="9"/>
  <c r="O84" i="9"/>
  <c r="O71" i="9"/>
  <c r="O25" i="17"/>
  <c r="K25" i="17"/>
  <c r="O9" i="17"/>
  <c r="O8" i="17"/>
  <c r="Z45" i="45" l="1"/>
  <c r="AB51" i="59" s="1"/>
  <c r="Z46" i="45"/>
  <c r="P23" i="36"/>
  <c r="AA45" i="45"/>
  <c r="AA47" i="45"/>
  <c r="AA79" i="45"/>
  <c r="AA77" i="45"/>
  <c r="AF7" i="10"/>
  <c r="AB115" i="10"/>
  <c r="R7" i="10"/>
  <c r="P135" i="9"/>
  <c r="P136" i="9" s="1"/>
  <c r="AC51" i="59" l="1"/>
  <c r="Z23" i="36"/>
  <c r="AB116" i="10"/>
  <c r="AF115" i="10"/>
  <c r="AF116" i="10" s="1"/>
  <c r="AJ7" i="10"/>
  <c r="AP7" i="10" s="1"/>
  <c r="BD115" i="10" s="1"/>
  <c r="AB147" i="10"/>
  <c r="AB149" i="10" s="1"/>
  <c r="V7" i="10"/>
  <c r="P140" i="9"/>
  <c r="BD116" i="10" l="1"/>
  <c r="BD118" i="10" s="1"/>
  <c r="BD147" i="10"/>
  <c r="BD149" i="10" s="1"/>
  <c r="AP115" i="10"/>
  <c r="AT7" i="10"/>
  <c r="AF147" i="10"/>
  <c r="AF149" i="10" s="1"/>
  <c r="AJ115" i="10"/>
  <c r="AJ116" i="10" s="1"/>
  <c r="H88" i="17"/>
  <c r="L88" i="17" s="1"/>
  <c r="P88" i="17" s="1"/>
  <c r="T88" i="17" s="1"/>
  <c r="H87" i="17"/>
  <c r="L87" i="17" s="1"/>
  <c r="N113" i="17"/>
  <c r="O112" i="17"/>
  <c r="N111" i="17"/>
  <c r="O81" i="17"/>
  <c r="N81" i="17"/>
  <c r="O77" i="17"/>
  <c r="N77" i="17"/>
  <c r="O66" i="17"/>
  <c r="O68" i="17" s="1"/>
  <c r="N66" i="17"/>
  <c r="N68" i="17" s="1"/>
  <c r="N60" i="17"/>
  <c r="O58" i="17"/>
  <c r="O59" i="17" s="1"/>
  <c r="N57" i="17"/>
  <c r="N56" i="17"/>
  <c r="N54" i="17"/>
  <c r="O52" i="17"/>
  <c r="N51" i="17"/>
  <c r="O48" i="17"/>
  <c r="N47" i="17"/>
  <c r="O46" i="17"/>
  <c r="N45" i="17"/>
  <c r="O43" i="17"/>
  <c r="O49" i="17" s="1"/>
  <c r="O110" i="17" s="1"/>
  <c r="N43" i="17"/>
  <c r="O42" i="17"/>
  <c r="O40" i="17"/>
  <c r="O38" i="17"/>
  <c r="N25" i="17"/>
  <c r="O21" i="17"/>
  <c r="O15" i="17" s="1"/>
  <c r="N18" i="17"/>
  <c r="N17" i="17"/>
  <c r="N15" i="17"/>
  <c r="N29" i="17" s="1"/>
  <c r="N14" i="17"/>
  <c r="O11" i="17"/>
  <c r="O13" i="17"/>
  <c r="O12" i="17"/>
  <c r="N8" i="17"/>
  <c r="N112" i="17" s="1"/>
  <c r="E56" i="26"/>
  <c r="N18" i="15"/>
  <c r="N17" i="15"/>
  <c r="N12" i="15"/>
  <c r="N9" i="15"/>
  <c r="N8" i="15"/>
  <c r="N7" i="15"/>
  <c r="N6" i="15"/>
  <c r="N5" i="15"/>
  <c r="O38" i="27"/>
  <c r="O36" i="27"/>
  <c r="H33" i="27"/>
  <c r="L33" i="27" s="1"/>
  <c r="Z33" i="27" s="1"/>
  <c r="O28" i="27"/>
  <c r="O30" i="27"/>
  <c r="O23" i="27"/>
  <c r="O22" i="27"/>
  <c r="O20" i="27"/>
  <c r="O19" i="27"/>
  <c r="O18" i="27"/>
  <c r="BG43" i="59" l="1"/>
  <c r="BD21" i="36"/>
  <c r="AP116" i="10"/>
  <c r="AT115" i="10"/>
  <c r="AT147" i="10" s="1"/>
  <c r="AX7" i="10"/>
  <c r="P33" i="27"/>
  <c r="T33" i="27" s="1"/>
  <c r="AJ147" i="10"/>
  <c r="AJ149" i="10" s="1"/>
  <c r="AP147" i="10"/>
  <c r="AP149" i="10" s="1"/>
  <c r="AD33" i="27"/>
  <c r="AH33" i="27" s="1"/>
  <c r="AN33" i="27" s="1"/>
  <c r="AR33" i="27" s="1"/>
  <c r="AV33" i="27" s="1"/>
  <c r="BD33" i="27" s="1"/>
  <c r="P87" i="17"/>
  <c r="T87" i="17" s="1"/>
  <c r="Z87" i="17"/>
  <c r="AD87" i="17" s="1"/>
  <c r="AH87" i="17" s="1"/>
  <c r="AN87" i="17" s="1"/>
  <c r="AR87" i="17" s="1"/>
  <c r="AV87" i="17" s="1"/>
  <c r="BD87" i="17" s="1"/>
  <c r="N13" i="15"/>
  <c r="O113" i="17"/>
  <c r="N14" i="15"/>
  <c r="X14" i="15" s="1"/>
  <c r="N21" i="17"/>
  <c r="N31" i="17" s="1"/>
  <c r="O114" i="17"/>
  <c r="N58" i="17"/>
  <c r="N59" i="17" s="1"/>
  <c r="O61" i="17"/>
  <c r="N115" i="17"/>
  <c r="N49" i="17"/>
  <c r="N53" i="17" s="1"/>
  <c r="O29" i="17"/>
  <c r="O31" i="17"/>
  <c r="O33" i="17"/>
  <c r="O30" i="17"/>
  <c r="O32" i="17"/>
  <c r="N10" i="17"/>
  <c r="O50" i="17"/>
  <c r="O111" i="17" s="1"/>
  <c r="O53" i="17"/>
  <c r="O54" i="17" s="1"/>
  <c r="O44" i="17"/>
  <c r="O14" i="17"/>
  <c r="O10" i="17"/>
  <c r="O115" i="17" l="1"/>
  <c r="AX115" i="10"/>
  <c r="AX116" i="10" s="1"/>
  <c r="BF7" i="10"/>
  <c r="BF115" i="10" s="1"/>
  <c r="AT116" i="10"/>
  <c r="AT149" i="10"/>
  <c r="N15" i="15"/>
  <c r="X15" i="15" s="1"/>
  <c r="X16" i="15" s="1"/>
  <c r="N33" i="17"/>
  <c r="N61" i="17"/>
  <c r="N30" i="17"/>
  <c r="N32" i="17"/>
  <c r="N110" i="17"/>
  <c r="N114" i="17" s="1"/>
  <c r="P33" i="22"/>
  <c r="O33" i="22"/>
  <c r="O21" i="22" s="1"/>
  <c r="P28" i="22"/>
  <c r="P24" i="22"/>
  <c r="P23" i="22"/>
  <c r="P14" i="22"/>
  <c r="P10" i="22"/>
  <c r="P12" i="22" s="1"/>
  <c r="P9" i="22"/>
  <c r="AX147" i="10" l="1"/>
  <c r="AX149" i="10" s="1"/>
  <c r="BF147" i="10"/>
  <c r="BF149" i="10" s="1"/>
  <c r="BF116" i="10"/>
  <c r="P26" i="22"/>
  <c r="O22" i="22"/>
  <c r="O7" i="22"/>
  <c r="N13" i="52"/>
  <c r="M13" i="52"/>
  <c r="N8" i="52"/>
  <c r="M8" i="52"/>
  <c r="M14" i="52" l="1"/>
  <c r="O24" i="22"/>
  <c r="O8" i="22"/>
  <c r="N14" i="52"/>
  <c r="O10" i="22" l="1"/>
  <c r="O11" i="22" s="1"/>
  <c r="O25" i="22"/>
  <c r="O27" i="22" l="1"/>
  <c r="O13" i="22"/>
  <c r="N16" i="26"/>
  <c r="X16" i="26" s="1"/>
  <c r="N14" i="26"/>
  <c r="X14" i="26" s="1"/>
  <c r="O11" i="26"/>
  <c r="O18" i="26" s="1"/>
  <c r="N10" i="26"/>
  <c r="X10" i="26" s="1"/>
  <c r="N8" i="26"/>
  <c r="X8" i="26" s="1"/>
  <c r="R347" i="28"/>
  <c r="V347" i="28" s="1"/>
  <c r="AB347" i="28" s="1"/>
  <c r="AF347" i="28" s="1"/>
  <c r="AJ347" i="28" s="1"/>
  <c r="AP347" i="28" s="1"/>
  <c r="AT347" i="28" s="1"/>
  <c r="AX347" i="28" s="1"/>
  <c r="BF347" i="28" s="1"/>
  <c r="R348" i="28"/>
  <c r="V348" i="28" s="1"/>
  <c r="AB348" i="28" s="1"/>
  <c r="AF348" i="28" s="1"/>
  <c r="AJ348" i="28" s="1"/>
  <c r="AP348" i="28" s="1"/>
  <c r="AT348" i="28" s="1"/>
  <c r="AX348" i="28" s="1"/>
  <c r="BF348" i="28" s="1"/>
  <c r="R278" i="28"/>
  <c r="V278" i="28" s="1"/>
  <c r="AB278" i="28" s="1"/>
  <c r="AF278" i="28" s="1"/>
  <c r="AJ278" i="28" s="1"/>
  <c r="AP278" i="28" s="1"/>
  <c r="AT278" i="28" s="1"/>
  <c r="AX278" i="28" s="1"/>
  <c r="BF278" i="28" s="1"/>
  <c r="R285" i="28"/>
  <c r="V285" i="28" s="1"/>
  <c r="AB285" i="28" s="1"/>
  <c r="AF285" i="28" s="1"/>
  <c r="AJ285" i="28" s="1"/>
  <c r="AP285" i="28" s="1"/>
  <c r="AT285" i="28" s="1"/>
  <c r="AX285" i="28" s="1"/>
  <c r="BF285" i="28" s="1"/>
  <c r="R306" i="28"/>
  <c r="V306" i="28" s="1"/>
  <c r="AB306" i="28" s="1"/>
  <c r="AF306" i="28" s="1"/>
  <c r="AJ306" i="28" s="1"/>
  <c r="AP306" i="28" s="1"/>
  <c r="AT306" i="28" s="1"/>
  <c r="AX306" i="28" s="1"/>
  <c r="BF306" i="28" s="1"/>
  <c r="R219" i="28"/>
  <c r="V219" i="28" s="1"/>
  <c r="AB219" i="28" s="1"/>
  <c r="AF219" i="28" s="1"/>
  <c r="AJ219" i="28" s="1"/>
  <c r="AP219" i="28" s="1"/>
  <c r="AT219" i="28" s="1"/>
  <c r="AX219" i="28" s="1"/>
  <c r="BF219" i="28" s="1"/>
  <c r="N229" i="28"/>
  <c r="R229" i="28" s="1"/>
  <c r="V229" i="28" s="1"/>
  <c r="AB229" i="28" s="1"/>
  <c r="AF229" i="28" s="1"/>
  <c r="AJ229" i="28" s="1"/>
  <c r="AP229" i="28" s="1"/>
  <c r="AT229" i="28" s="1"/>
  <c r="AX229" i="28" s="1"/>
  <c r="BF229" i="28" s="1"/>
  <c r="N243" i="28"/>
  <c r="R243" i="28" s="1"/>
  <c r="V243" i="28" s="1"/>
  <c r="AB243" i="28" s="1"/>
  <c r="AF243" i="28" s="1"/>
  <c r="AJ243" i="28" s="1"/>
  <c r="AP243" i="28" s="1"/>
  <c r="AT243" i="28" s="1"/>
  <c r="AX243" i="28" s="1"/>
  <c r="BF243" i="28" s="1"/>
  <c r="N255" i="28"/>
  <c r="R255" i="28" s="1"/>
  <c r="V255" i="28" s="1"/>
  <c r="AB255" i="28" s="1"/>
  <c r="AF255" i="28" s="1"/>
  <c r="AJ255" i="28" s="1"/>
  <c r="AP255" i="28" s="1"/>
  <c r="AT255" i="28" s="1"/>
  <c r="AX255" i="28" s="1"/>
  <c r="BF255" i="28" s="1"/>
  <c r="R185" i="28"/>
  <c r="V185" i="28" s="1"/>
  <c r="AB185" i="28" s="1"/>
  <c r="AF185" i="28" s="1"/>
  <c r="AJ185" i="28" s="1"/>
  <c r="AP185" i="28" s="1"/>
  <c r="AT185" i="28" s="1"/>
  <c r="AX185" i="28" s="1"/>
  <c r="BF185" i="28" s="1"/>
  <c r="P75" i="8"/>
  <c r="O75" i="8"/>
  <c r="P74" i="8"/>
  <c r="O74" i="8"/>
  <c r="Q14" i="39"/>
  <c r="O71" i="7"/>
  <c r="X11" i="26" l="1"/>
  <c r="X18" i="26" s="1"/>
  <c r="N11" i="26"/>
  <c r="N17" i="26" s="1"/>
  <c r="O12" i="26"/>
  <c r="O17" i="26"/>
  <c r="O155" i="6"/>
  <c r="O154" i="6"/>
  <c r="N12" i="26" l="1"/>
  <c r="N18" i="26"/>
  <c r="P129" i="6"/>
  <c r="L430" i="28"/>
  <c r="P418" i="28"/>
  <c r="O33" i="28"/>
  <c r="P71" i="11" l="1"/>
  <c r="S49" i="59" s="1"/>
  <c r="P62" i="11"/>
  <c r="S48" i="59" s="1"/>
  <c r="O125" i="10" l="1"/>
  <c r="R44" i="59" s="1"/>
  <c r="P74" i="7"/>
  <c r="S22" i="59" s="1"/>
  <c r="P71" i="7"/>
  <c r="P18" i="6"/>
  <c r="P17" i="6"/>
  <c r="P10" i="49" l="1"/>
  <c r="O10" i="49"/>
  <c r="P155" i="6"/>
  <c r="P154" i="6"/>
  <c r="O129" i="6"/>
  <c r="P161" i="6"/>
  <c r="E103" i="6"/>
  <c r="O16" i="8"/>
  <c r="O12" i="8"/>
  <c r="O13" i="8"/>
  <c r="E106" i="6" l="1"/>
  <c r="P16" i="49"/>
  <c r="P17" i="49" s="1"/>
  <c r="P8" i="49"/>
  <c r="P7" i="49"/>
  <c r="R31" i="36"/>
  <c r="Q31" i="36"/>
  <c r="J5" i="45"/>
  <c r="N5" i="45" s="1"/>
  <c r="P55" i="36"/>
  <c r="P54" i="36"/>
  <c r="O53" i="36"/>
  <c r="O19" i="36" s="1"/>
  <c r="R38" i="59" s="1"/>
  <c r="P52" i="36"/>
  <c r="P51" i="36"/>
  <c r="O49" i="36"/>
  <c r="Y49" i="36" s="1"/>
  <c r="O48" i="36"/>
  <c r="Y48" i="36" s="1"/>
  <c r="P47" i="36"/>
  <c r="O45" i="36"/>
  <c r="O103" i="6"/>
  <c r="O106" i="6" s="1"/>
  <c r="P33" i="36"/>
  <c r="O33" i="36"/>
  <c r="O18" i="36"/>
  <c r="R37" i="59" s="1"/>
  <c r="P17" i="36"/>
  <c r="S36" i="59" s="1"/>
  <c r="P16" i="36"/>
  <c r="S35" i="59" s="1"/>
  <c r="O13" i="36"/>
  <c r="R30" i="59" s="1"/>
  <c r="P12" i="36"/>
  <c r="S29" i="59" s="1"/>
  <c r="P11" i="36"/>
  <c r="S28" i="59" s="1"/>
  <c r="P10" i="36"/>
  <c r="S27" i="59" s="1"/>
  <c r="P5" i="36"/>
  <c r="S6" i="59" s="1"/>
  <c r="O27" i="21"/>
  <c r="O429" i="28" s="1"/>
  <c r="O26" i="21"/>
  <c r="O418" i="28" s="1"/>
  <c r="O420" i="28" s="1"/>
  <c r="O39" i="21"/>
  <c r="O38" i="21"/>
  <c r="P48" i="35"/>
  <c r="P46" i="35"/>
  <c r="P45" i="35"/>
  <c r="O426" i="28" l="1"/>
  <c r="O430" i="28" s="1"/>
  <c r="O422" i="28"/>
  <c r="P12" i="49"/>
  <c r="O44" i="36"/>
  <c r="Y44" i="36" s="1"/>
  <c r="Y33" i="36"/>
  <c r="Y29" i="36" s="1"/>
  <c r="AB58" i="59" s="1"/>
  <c r="Z33" i="36"/>
  <c r="Z27" i="36" s="1"/>
  <c r="R5" i="45"/>
  <c r="V5" i="45" s="1"/>
  <c r="AB5" i="45"/>
  <c r="AF5" i="45" s="1"/>
  <c r="AJ5" i="45" s="1"/>
  <c r="AP5" i="45" s="1"/>
  <c r="O47" i="36"/>
  <c r="Y45" i="36"/>
  <c r="P223" i="6"/>
  <c r="P136" i="6"/>
  <c r="P135" i="6"/>
  <c r="P138" i="6"/>
  <c r="P13" i="36"/>
  <c r="S30" i="59" s="1"/>
  <c r="P18" i="36"/>
  <c r="S37" i="59" s="1"/>
  <c r="P53" i="36"/>
  <c r="P19" i="36" s="1"/>
  <c r="S38" i="59" s="1"/>
  <c r="O135" i="6"/>
  <c r="AT5" i="45" l="1"/>
  <c r="AX5" i="45" s="1"/>
  <c r="BF5" i="45" s="1"/>
  <c r="P137" i="6"/>
  <c r="Y5" i="15"/>
  <c r="AC56" i="59"/>
  <c r="Z24" i="36"/>
  <c r="AC54" i="59" s="1"/>
  <c r="Y24" i="36"/>
  <c r="AB54" i="59" s="1"/>
  <c r="Y27" i="36"/>
  <c r="AB56" i="59" s="1"/>
  <c r="Y28" i="36"/>
  <c r="AB57" i="59" s="1"/>
  <c r="Z28" i="36"/>
  <c r="Z29" i="36"/>
  <c r="Y47" i="36"/>
  <c r="P222" i="6"/>
  <c r="P111" i="6"/>
  <c r="P110" i="6"/>
  <c r="O171" i="6"/>
  <c r="O138" i="6"/>
  <c r="O136" i="6"/>
  <c r="O137" i="6" s="1"/>
  <c r="O113" i="6"/>
  <c r="O111" i="6"/>
  <c r="O110" i="6"/>
  <c r="P113" i="6"/>
  <c r="Y6" i="15" l="1"/>
  <c r="AC57" i="59"/>
  <c r="Y7" i="15"/>
  <c r="AC58" i="59"/>
  <c r="P112" i="6"/>
  <c r="P162" i="6"/>
  <c r="O175" i="6"/>
  <c r="O178" i="6" s="1"/>
  <c r="O166" i="6"/>
  <c r="O167" i="6"/>
  <c r="O168" i="6"/>
  <c r="O169" i="6"/>
  <c r="O172" i="6"/>
  <c r="O173" i="6" s="1"/>
  <c r="O112" i="6"/>
  <c r="P177" i="6" l="1"/>
  <c r="P169" i="6"/>
  <c r="P166" i="6"/>
  <c r="P176" i="6"/>
  <c r="P171" i="6"/>
  <c r="P167" i="6"/>
  <c r="P175" i="6"/>
  <c r="P168" i="6"/>
  <c r="P172" i="6"/>
  <c r="P160" i="6"/>
  <c r="O170" i="6"/>
  <c r="O174" i="6" s="1"/>
  <c r="O179" i="6" s="1"/>
  <c r="P170" i="6" l="1"/>
  <c r="P178" i="6"/>
  <c r="P173" i="6"/>
  <c r="Q70" i="50"/>
  <c r="Q60" i="50"/>
  <c r="P174" i="6" l="1"/>
  <c r="P179" i="6" s="1"/>
  <c r="Q33" i="50"/>
  <c r="P119" i="10" s="1"/>
  <c r="P120" i="10" s="1"/>
  <c r="Q46" i="50"/>
  <c r="P146" i="10"/>
  <c r="P144" i="10"/>
  <c r="P138" i="10"/>
  <c r="P139" i="10" s="1"/>
  <c r="P133" i="10"/>
  <c r="Z133" i="10" s="1"/>
  <c r="O133" i="10"/>
  <c r="Y133" i="10" s="1"/>
  <c r="P132" i="10"/>
  <c r="Z132" i="10" s="1"/>
  <c r="O132" i="10"/>
  <c r="Y132" i="10" s="1"/>
  <c r="P131" i="10"/>
  <c r="Z131" i="10" s="1"/>
  <c r="O131" i="10"/>
  <c r="Y131" i="10" s="1"/>
  <c r="P129" i="10"/>
  <c r="P127" i="10"/>
  <c r="O127" i="10"/>
  <c r="P125" i="10"/>
  <c r="S44" i="59" s="1"/>
  <c r="P123" i="10"/>
  <c r="O122" i="10"/>
  <c r="O123" i="10" l="1"/>
  <c r="Y122" i="10"/>
  <c r="Y123" i="10" s="1"/>
  <c r="P130" i="10"/>
  <c r="Z129" i="10"/>
  <c r="F115" i="10"/>
  <c r="F153" i="10" s="1"/>
  <c r="G5" i="50"/>
  <c r="K5" i="50" s="1"/>
  <c r="O5" i="50" s="1"/>
  <c r="P145" i="10"/>
  <c r="P140" i="10"/>
  <c r="P148" i="10"/>
  <c r="P134" i="10"/>
  <c r="S45" i="59" s="1"/>
  <c r="P147" i="10"/>
  <c r="O134" i="10"/>
  <c r="R45" i="59" s="1"/>
  <c r="AC5" i="50" l="1"/>
  <c r="AG5" i="50" s="1"/>
  <c r="AK5" i="50" s="1"/>
  <c r="AQ5" i="50" s="1"/>
  <c r="S5" i="50"/>
  <c r="W5" i="50" s="1"/>
  <c r="Z130" i="10"/>
  <c r="F116" i="10"/>
  <c r="G33" i="50"/>
  <c r="F119" i="10" s="1"/>
  <c r="P149" i="10"/>
  <c r="P151" i="10"/>
  <c r="L13" i="22"/>
  <c r="F118" i="10" l="1"/>
  <c r="I43" i="59" s="1"/>
  <c r="F28" i="35"/>
  <c r="F120" i="10"/>
  <c r="AU5" i="50"/>
  <c r="AY5" i="50" s="1"/>
  <c r="BG5" i="50" s="1"/>
  <c r="L30" i="11"/>
  <c r="N30" i="11" s="1"/>
  <c r="L26" i="11"/>
  <c r="M4" i="50"/>
  <c r="M10" i="50"/>
  <c r="F21" i="36" l="1"/>
  <c r="R30" i="11"/>
  <c r="V30" i="11" s="1"/>
  <c r="AB30" i="11"/>
  <c r="AF30" i="11" s="1"/>
  <c r="AJ30" i="11" s="1"/>
  <c r="AP30" i="11" s="1"/>
  <c r="L115" i="10"/>
  <c r="L153" i="10" s="1"/>
  <c r="BF153" i="10" s="1"/>
  <c r="M42" i="50"/>
  <c r="M34" i="50"/>
  <c r="L56" i="11"/>
  <c r="L52" i="11"/>
  <c r="M28" i="50"/>
  <c r="O28" i="50" s="1"/>
  <c r="M18" i="50"/>
  <c r="M24" i="50"/>
  <c r="O24" i="50" s="1"/>
  <c r="AC24" i="50" s="1"/>
  <c r="AG24" i="50" s="1"/>
  <c r="AK24" i="50" s="1"/>
  <c r="AQ24" i="50" s="1"/>
  <c r="M22" i="50"/>
  <c r="M15" i="50"/>
  <c r="M25" i="50"/>
  <c r="M13" i="50"/>
  <c r="K9" i="17"/>
  <c r="K42" i="50"/>
  <c r="K51" i="17"/>
  <c r="K8" i="17"/>
  <c r="M60" i="45"/>
  <c r="M59" i="45"/>
  <c r="M58" i="45"/>
  <c r="L30" i="35" l="1"/>
  <c r="M45" i="45"/>
  <c r="O51" i="59" s="1"/>
  <c r="M47" i="45"/>
  <c r="AU24" i="50"/>
  <c r="AY24" i="50" s="1"/>
  <c r="BG24" i="50" s="1"/>
  <c r="AT30" i="11"/>
  <c r="AX30" i="11" s="1"/>
  <c r="BF30" i="11" s="1"/>
  <c r="M9" i="61"/>
  <c r="O9" i="61" s="1"/>
  <c r="O13" i="50"/>
  <c r="M14" i="61"/>
  <c r="O14" i="61" s="1"/>
  <c r="S14" i="61" s="1"/>
  <c r="W14" i="61" s="1"/>
  <c r="O18" i="50"/>
  <c r="M18" i="61"/>
  <c r="O18" i="61" s="1"/>
  <c r="AC18" i="61" s="1"/>
  <c r="AG18" i="61" s="1"/>
  <c r="AK18" i="61" s="1"/>
  <c r="AQ18" i="61" s="1"/>
  <c r="AU18" i="61" s="1"/>
  <c r="AY18" i="61" s="1"/>
  <c r="BG18" i="61" s="1"/>
  <c r="O22" i="50"/>
  <c r="M11" i="61"/>
  <c r="O11" i="61" s="1"/>
  <c r="AC11" i="61" s="1"/>
  <c r="AG11" i="61" s="1"/>
  <c r="AK11" i="61" s="1"/>
  <c r="AQ11" i="61" s="1"/>
  <c r="AU11" i="61" s="1"/>
  <c r="AY11" i="61" s="1"/>
  <c r="BG11" i="61" s="1"/>
  <c r="O15" i="50"/>
  <c r="S28" i="50"/>
  <c r="W28" i="50" s="1"/>
  <c r="AC28" i="50"/>
  <c r="AG28" i="50" s="1"/>
  <c r="AK28" i="50" s="1"/>
  <c r="AQ28" i="50" s="1"/>
  <c r="S43" i="50"/>
  <c r="W43" i="50" s="1"/>
  <c r="AQ43" i="50"/>
  <c r="L116" i="10"/>
  <c r="O42" i="50"/>
  <c r="L53" i="11"/>
  <c r="L70" i="11"/>
  <c r="L69" i="11"/>
  <c r="L68" i="11"/>
  <c r="L133" i="10"/>
  <c r="L132" i="10"/>
  <c r="L131" i="10"/>
  <c r="L28" i="35" l="1"/>
  <c r="L118" i="10"/>
  <c r="O43" i="59" s="1"/>
  <c r="L55" i="11"/>
  <c r="O47" i="59" s="1"/>
  <c r="L29" i="35"/>
  <c r="L39" i="35" s="1"/>
  <c r="L57" i="11"/>
  <c r="AU28" i="50"/>
  <c r="AY28" i="50" s="1"/>
  <c r="BG28" i="50" s="1"/>
  <c r="AU43" i="50"/>
  <c r="AY43" i="50" s="1"/>
  <c r="BG43" i="50" s="1"/>
  <c r="S18" i="61"/>
  <c r="W18" i="61" s="1"/>
  <c r="M19" i="61"/>
  <c r="O19" i="61" s="1"/>
  <c r="AC19" i="61" s="1"/>
  <c r="AG19" i="61" s="1"/>
  <c r="AK19" i="61" s="1"/>
  <c r="AQ19" i="61" s="1"/>
  <c r="AU19" i="61" s="1"/>
  <c r="AY19" i="61" s="1"/>
  <c r="BG19" i="61" s="1"/>
  <c r="AC14" i="61"/>
  <c r="AG14" i="61" s="1"/>
  <c r="AK14" i="61" s="1"/>
  <c r="AQ14" i="61" s="1"/>
  <c r="AU14" i="61" s="1"/>
  <c r="AY14" i="61" s="1"/>
  <c r="BG14" i="61" s="1"/>
  <c r="S11" i="61"/>
  <c r="W11" i="61" s="1"/>
  <c r="S15" i="50"/>
  <c r="W15" i="50" s="1"/>
  <c r="AC15" i="50"/>
  <c r="AG15" i="50" s="1"/>
  <c r="AK15" i="50" s="1"/>
  <c r="AQ15" i="50" s="1"/>
  <c r="S18" i="50"/>
  <c r="W18" i="50" s="1"/>
  <c r="AC18" i="50"/>
  <c r="AG18" i="50" s="1"/>
  <c r="AK18" i="50" s="1"/>
  <c r="AQ18" i="50" s="1"/>
  <c r="AC22" i="50"/>
  <c r="AG22" i="50" s="1"/>
  <c r="AK22" i="50" s="1"/>
  <c r="AQ22" i="50" s="1"/>
  <c r="S22" i="50"/>
  <c r="W22" i="50" s="1"/>
  <c r="AC13" i="50"/>
  <c r="AG13" i="50" s="1"/>
  <c r="AK13" i="50" s="1"/>
  <c r="AQ13" i="50" s="1"/>
  <c r="S13" i="50"/>
  <c r="W13" i="50" s="1"/>
  <c r="L21" i="36"/>
  <c r="S9" i="61"/>
  <c r="W9" i="61" s="1"/>
  <c r="AC9" i="61"/>
  <c r="AG9" i="61" s="1"/>
  <c r="AK9" i="61" s="1"/>
  <c r="AQ9" i="61" s="1"/>
  <c r="AU9" i="61" s="1"/>
  <c r="AY9" i="61" s="1"/>
  <c r="BG9" i="61" s="1"/>
  <c r="L23" i="36"/>
  <c r="S45" i="50"/>
  <c r="W45" i="50" s="1"/>
  <c r="AQ45" i="50"/>
  <c r="S42" i="50"/>
  <c r="W42" i="50" s="1"/>
  <c r="AC42" i="50"/>
  <c r="L98" i="9"/>
  <c r="L93" i="9"/>
  <c r="L92" i="9"/>
  <c r="H98" i="9"/>
  <c r="L75" i="8"/>
  <c r="L74" i="8"/>
  <c r="L73" i="8"/>
  <c r="H73" i="8"/>
  <c r="L71" i="8"/>
  <c r="AA18" i="39"/>
  <c r="K18" i="39"/>
  <c r="O18" i="39" s="1"/>
  <c r="S18" i="39" s="1"/>
  <c r="W18" i="39" s="1"/>
  <c r="AC18" i="39" s="1"/>
  <c r="AG18" i="39" s="1"/>
  <c r="AK18" i="39" s="1"/>
  <c r="AQ18" i="39" s="1"/>
  <c r="AU18" i="39" s="1"/>
  <c r="AY18" i="39" s="1"/>
  <c r="BG18" i="39" s="1"/>
  <c r="L22" i="36" l="1"/>
  <c r="AU15" i="50"/>
  <c r="AY15" i="50" s="1"/>
  <c r="BG15" i="50" s="1"/>
  <c r="AU22" i="50"/>
  <c r="AY22" i="50" s="1"/>
  <c r="BG22" i="50" s="1"/>
  <c r="AU45" i="50"/>
  <c r="AY45" i="50" s="1"/>
  <c r="BG45" i="50" s="1"/>
  <c r="AU18" i="50"/>
  <c r="AY18" i="50" s="1"/>
  <c r="BG18" i="50" s="1"/>
  <c r="AU13" i="50"/>
  <c r="AY13" i="50" s="1"/>
  <c r="BG13" i="50" s="1"/>
  <c r="S19" i="61"/>
  <c r="W19" i="61" s="1"/>
  <c r="AC46" i="50"/>
  <c r="AG46" i="50" s="1"/>
  <c r="AK46" i="50" s="1"/>
  <c r="AG42" i="50"/>
  <c r="AK42" i="50" s="1"/>
  <c r="AQ42" i="50" s="1"/>
  <c r="L80" i="8"/>
  <c r="BE46" i="50" l="1"/>
  <c r="AQ46" i="50"/>
  <c r="AU46" i="50" s="1"/>
  <c r="AY46" i="50" s="1"/>
  <c r="BG46" i="50" s="1"/>
  <c r="AU42" i="50"/>
  <c r="AY42" i="50" s="1"/>
  <c r="BG42" i="50" s="1"/>
  <c r="F71" i="7"/>
  <c r="G71" i="7"/>
  <c r="H71" i="7"/>
  <c r="K71" i="7"/>
  <c r="L71" i="7"/>
  <c r="X17" i="26"/>
  <c r="K11" i="26"/>
  <c r="K18" i="26" s="1"/>
  <c r="G11" i="26"/>
  <c r="E11" i="26"/>
  <c r="E17" i="26" s="1"/>
  <c r="E18" i="26" l="1"/>
  <c r="J25" i="17" l="1"/>
  <c r="G34" i="17"/>
  <c r="E34" i="17"/>
  <c r="L60" i="45" l="1"/>
  <c r="L59" i="45"/>
  <c r="L58" i="45"/>
  <c r="K7" i="45"/>
  <c r="O7" i="45" s="1"/>
  <c r="AC7" i="45" s="1"/>
  <c r="AG7" i="45" s="1"/>
  <c r="AK7" i="45" s="1"/>
  <c r="AQ7" i="45" s="1"/>
  <c r="K9" i="45"/>
  <c r="O9" i="45" s="1"/>
  <c r="AC9" i="45" s="1"/>
  <c r="AG9" i="45" s="1"/>
  <c r="AK9" i="45" s="1"/>
  <c r="AQ9" i="45" s="1"/>
  <c r="K11" i="45"/>
  <c r="O11" i="45" s="1"/>
  <c r="AC11" i="45" s="1"/>
  <c r="K12" i="45"/>
  <c r="O12" i="45" s="1"/>
  <c r="AC12" i="45" s="1"/>
  <c r="AG12" i="45" s="1"/>
  <c r="AK12" i="45" s="1"/>
  <c r="AQ12" i="45" s="1"/>
  <c r="K15" i="45"/>
  <c r="O15" i="45" s="1"/>
  <c r="AC15" i="45" s="1"/>
  <c r="AG15" i="45" s="1"/>
  <c r="AK15" i="45" s="1"/>
  <c r="AQ15" i="45" s="1"/>
  <c r="K20" i="45"/>
  <c r="O20" i="45" s="1"/>
  <c r="AC20" i="45" s="1"/>
  <c r="AG20" i="45" s="1"/>
  <c r="AK20" i="45" s="1"/>
  <c r="AQ20" i="45" s="1"/>
  <c r="K23" i="45"/>
  <c r="O23" i="45" s="1"/>
  <c r="AC23" i="45" s="1"/>
  <c r="AG23" i="45" s="1"/>
  <c r="AK23" i="45" s="1"/>
  <c r="AQ23" i="45" s="1"/>
  <c r="K24" i="45"/>
  <c r="O24" i="45" s="1"/>
  <c r="AC24" i="45" s="1"/>
  <c r="AG24" i="45" s="1"/>
  <c r="AK24" i="45" s="1"/>
  <c r="AQ24" i="45" s="1"/>
  <c r="K25" i="45"/>
  <c r="O25" i="45" s="1"/>
  <c r="AC25" i="45" s="1"/>
  <c r="AG25" i="45" s="1"/>
  <c r="AK25" i="45" s="1"/>
  <c r="AQ25" i="45" s="1"/>
  <c r="K36" i="45"/>
  <c r="O36" i="45" s="1"/>
  <c r="AC36" i="45" s="1"/>
  <c r="AG36" i="45" s="1"/>
  <c r="AK36" i="45" s="1"/>
  <c r="AQ36" i="45" s="1"/>
  <c r="K37" i="45"/>
  <c r="O37" i="45" s="1"/>
  <c r="AC37" i="45" s="1"/>
  <c r="AG37" i="45" s="1"/>
  <c r="AK37" i="45" s="1"/>
  <c r="AQ37" i="45" s="1"/>
  <c r="K38" i="45"/>
  <c r="O38" i="45" s="1"/>
  <c r="AC38" i="45" s="1"/>
  <c r="AG38" i="45" s="1"/>
  <c r="AK38" i="45" s="1"/>
  <c r="AQ38" i="45" s="1"/>
  <c r="K39" i="45"/>
  <c r="O39" i="45" s="1"/>
  <c r="AC39" i="45" s="1"/>
  <c r="AG39" i="45" s="1"/>
  <c r="AK39" i="45" s="1"/>
  <c r="AQ39" i="45" s="1"/>
  <c r="K40" i="45"/>
  <c r="O40" i="45" s="1"/>
  <c r="AC40" i="45" s="1"/>
  <c r="AG40" i="45" s="1"/>
  <c r="AK40" i="45" s="1"/>
  <c r="AQ40" i="45" s="1"/>
  <c r="K41" i="45"/>
  <c r="O41" i="45" s="1"/>
  <c r="AC41" i="45" s="1"/>
  <c r="AG41" i="45" s="1"/>
  <c r="AK41" i="45" s="1"/>
  <c r="AQ41" i="45" s="1"/>
  <c r="K70" i="11"/>
  <c r="K69" i="11"/>
  <c r="K68" i="11"/>
  <c r="R7" i="11"/>
  <c r="V7" i="11" s="1"/>
  <c r="K133" i="10"/>
  <c r="K132" i="10"/>
  <c r="K131" i="10"/>
  <c r="K75" i="8"/>
  <c r="K74" i="8"/>
  <c r="I19" i="8"/>
  <c r="J19" i="8"/>
  <c r="AG11" i="45" l="1"/>
  <c r="AK11" i="45" s="1"/>
  <c r="AQ11" i="45" s="1"/>
  <c r="AU11" i="45" s="1"/>
  <c r="AY11" i="45" s="1"/>
  <c r="BG11" i="45" s="1"/>
  <c r="AU40" i="45"/>
  <c r="AY40" i="45" s="1"/>
  <c r="BG40" i="45" s="1"/>
  <c r="AU36" i="45"/>
  <c r="AY36" i="45" s="1"/>
  <c r="BG36" i="45" s="1"/>
  <c r="AU20" i="45"/>
  <c r="AY20" i="45" s="1"/>
  <c r="BG20" i="45" s="1"/>
  <c r="AU9" i="45"/>
  <c r="AY9" i="45" s="1"/>
  <c r="BG9" i="45" s="1"/>
  <c r="AU39" i="45"/>
  <c r="AY39" i="45" s="1"/>
  <c r="BG39" i="45" s="1"/>
  <c r="AU25" i="45"/>
  <c r="AY25" i="45" s="1"/>
  <c r="BG25" i="45" s="1"/>
  <c r="AU15" i="45"/>
  <c r="AY15" i="45" s="1"/>
  <c r="BG15" i="45" s="1"/>
  <c r="AU7" i="45"/>
  <c r="AY7" i="45" s="1"/>
  <c r="BG7" i="45" s="1"/>
  <c r="AU38" i="45"/>
  <c r="AY38" i="45" s="1"/>
  <c r="BG38" i="45" s="1"/>
  <c r="AU24" i="45"/>
  <c r="AY24" i="45" s="1"/>
  <c r="BG24" i="45" s="1"/>
  <c r="AU12" i="45"/>
  <c r="AY12" i="45" s="1"/>
  <c r="BG12" i="45" s="1"/>
  <c r="AU41" i="45"/>
  <c r="AY41" i="45" s="1"/>
  <c r="BG41" i="45" s="1"/>
  <c r="AU37" i="45"/>
  <c r="AY37" i="45" s="1"/>
  <c r="BG37" i="45" s="1"/>
  <c r="AU23" i="45"/>
  <c r="AY23" i="45" s="1"/>
  <c r="BG23" i="45" s="1"/>
  <c r="AQ44" i="45"/>
  <c r="AK44" i="45"/>
  <c r="AG44" i="45"/>
  <c r="S24" i="45"/>
  <c r="W24" i="45" s="1"/>
  <c r="S23" i="45"/>
  <c r="W23" i="45" s="1"/>
  <c r="S11" i="45"/>
  <c r="W11" i="45" s="1"/>
  <c r="S12" i="45"/>
  <c r="W12" i="45" s="1"/>
  <c r="S40" i="45"/>
  <c r="W40" i="45" s="1"/>
  <c r="S36" i="45"/>
  <c r="W36" i="45" s="1"/>
  <c r="S20" i="45"/>
  <c r="W20" i="45" s="1"/>
  <c r="S9" i="45"/>
  <c r="W9" i="45" s="1"/>
  <c r="S38" i="45"/>
  <c r="W38" i="45" s="1"/>
  <c r="S41" i="45"/>
  <c r="W41" i="45" s="1"/>
  <c r="S39" i="45"/>
  <c r="W39" i="45" s="1"/>
  <c r="S25" i="45"/>
  <c r="W25" i="45" s="1"/>
  <c r="S15" i="45"/>
  <c r="W15" i="45" s="1"/>
  <c r="S7" i="45"/>
  <c r="W7" i="45" s="1"/>
  <c r="S37" i="45"/>
  <c r="O44" i="45"/>
  <c r="J54" i="11"/>
  <c r="AU44" i="45" l="1"/>
  <c r="AU76" i="45" s="1"/>
  <c r="BG44" i="45"/>
  <c r="BG67" i="45" s="1"/>
  <c r="AY44" i="45"/>
  <c r="AY76" i="45" s="1"/>
  <c r="AU67" i="45"/>
  <c r="AQ76" i="45"/>
  <c r="AQ67" i="45"/>
  <c r="AK67" i="45"/>
  <c r="AK76" i="45"/>
  <c r="AG67" i="45"/>
  <c r="AG76" i="45"/>
  <c r="AC44" i="45"/>
  <c r="AC67" i="45" s="1"/>
  <c r="S44" i="45"/>
  <c r="W37" i="45"/>
  <c r="W44" i="45" s="1"/>
  <c r="N54" i="11"/>
  <c r="AR418" i="28"/>
  <c r="BB418" i="28" s="1"/>
  <c r="BB420" i="28" s="1"/>
  <c r="L418" i="28"/>
  <c r="H418" i="28"/>
  <c r="F418" i="28"/>
  <c r="BA418" i="28"/>
  <c r="BA420" i="28" s="1"/>
  <c r="N327" i="28"/>
  <c r="R327" i="28" s="1"/>
  <c r="V327" i="28" s="1"/>
  <c r="L61" i="28"/>
  <c r="R197" i="28"/>
  <c r="V197" i="28" s="1"/>
  <c r="AB197" i="28" s="1"/>
  <c r="AF197" i="28" s="1"/>
  <c r="AJ197" i="28" s="1"/>
  <c r="AP197" i="28" s="1"/>
  <c r="AT197" i="28" s="1"/>
  <c r="AX197" i="28" s="1"/>
  <c r="BF197" i="28" s="1"/>
  <c r="BG76" i="45" l="1"/>
  <c r="AY67" i="45"/>
  <c r="AB327" i="28"/>
  <c r="AF327" i="28" s="1"/>
  <c r="AJ327" i="28" s="1"/>
  <c r="AP327" i="28" s="1"/>
  <c r="AT327" i="28" s="1"/>
  <c r="AX327" i="28" s="1"/>
  <c r="BF327" i="28" s="1"/>
  <c r="AC76" i="45"/>
  <c r="W67" i="45"/>
  <c r="W76" i="45"/>
  <c r="J16" i="26" l="1"/>
  <c r="F16" i="26"/>
  <c r="D16" i="26"/>
  <c r="J14" i="26"/>
  <c r="F14" i="26"/>
  <c r="D14" i="26"/>
  <c r="J10" i="26"/>
  <c r="F10" i="26"/>
  <c r="D10" i="26"/>
  <c r="J8" i="26"/>
  <c r="F8" i="26"/>
  <c r="D8" i="26"/>
  <c r="K38" i="27"/>
  <c r="K36" i="27"/>
  <c r="K30" i="27"/>
  <c r="K29" i="27"/>
  <c r="K28" i="27"/>
  <c r="K23" i="27"/>
  <c r="K22" i="27"/>
  <c r="K20" i="27"/>
  <c r="K19" i="27"/>
  <c r="K18" i="27"/>
  <c r="D11" i="26" l="1"/>
  <c r="H14" i="26"/>
  <c r="L14" i="26" s="1"/>
  <c r="F11" i="26"/>
  <c r="J11" i="26"/>
  <c r="J18" i="26" s="1"/>
  <c r="D18" i="26"/>
  <c r="H16" i="26"/>
  <c r="F18" i="26"/>
  <c r="D40" i="27"/>
  <c r="P14" i="26" l="1"/>
  <c r="T14" i="26" s="1"/>
  <c r="Z14" i="26"/>
  <c r="AD14" i="26" s="1"/>
  <c r="AH14" i="26" s="1"/>
  <c r="AN14" i="26" s="1"/>
  <c r="AR14" i="26" s="1"/>
  <c r="AV14" i="26" s="1"/>
  <c r="BD14" i="26" s="1"/>
  <c r="L16" i="26"/>
  <c r="K32" i="7"/>
  <c r="P16" i="26" l="1"/>
  <c r="T16" i="26" s="1"/>
  <c r="Z16" i="26"/>
  <c r="AD16" i="26" s="1"/>
  <c r="AH16" i="26" s="1"/>
  <c r="AN16" i="26" s="1"/>
  <c r="AR16" i="26" s="1"/>
  <c r="AV16" i="26" s="1"/>
  <c r="BD16" i="26" s="1"/>
  <c r="L16" i="49"/>
  <c r="L17" i="49" s="1"/>
  <c r="L10" i="49"/>
  <c r="L8" i="49"/>
  <c r="L7" i="49"/>
  <c r="K10" i="49"/>
  <c r="L125" i="10" l="1"/>
  <c r="O44" i="59" s="1"/>
  <c r="L61" i="9" l="1"/>
  <c r="L43" i="9"/>
  <c r="L46" i="9"/>
  <c r="L30" i="9"/>
  <c r="L20" i="9"/>
  <c r="L22" i="9" s="1"/>
  <c r="L47" i="9" l="1"/>
  <c r="L33" i="35"/>
  <c r="L48" i="35"/>
  <c r="L46" i="35"/>
  <c r="L45" i="35"/>
  <c r="L58" i="8"/>
  <c r="L9" i="49" s="1"/>
  <c r="L11" i="49" s="1"/>
  <c r="G125" i="10" l="1"/>
  <c r="J44" i="59" s="1"/>
  <c r="L12" i="21" l="1"/>
  <c r="L20" i="21" s="1"/>
  <c r="J388" i="28" l="1"/>
  <c r="J389" i="28"/>
  <c r="J390" i="28"/>
  <c r="J391" i="28"/>
  <c r="J392" i="28"/>
  <c r="J393" i="28"/>
  <c r="J395" i="28"/>
  <c r="J396" i="28"/>
  <c r="J397" i="28"/>
  <c r="J400" i="28"/>
  <c r="J401" i="28"/>
  <c r="J402" i="28"/>
  <c r="J403" i="28"/>
  <c r="J404" i="28"/>
  <c r="J405" i="28"/>
  <c r="J406" i="28"/>
  <c r="J407" i="28"/>
  <c r="J408" i="28"/>
  <c r="J409" i="28"/>
  <c r="J410" i="28"/>
  <c r="J412" i="28"/>
  <c r="J387" i="28"/>
  <c r="L54" i="36"/>
  <c r="L52" i="36"/>
  <c r="L55" i="36"/>
  <c r="L51" i="36"/>
  <c r="H55" i="36"/>
  <c r="H54" i="36"/>
  <c r="H52" i="36"/>
  <c r="H51" i="36"/>
  <c r="K39" i="21"/>
  <c r="K38" i="21"/>
  <c r="E39" i="21"/>
  <c r="E38" i="21"/>
  <c r="K26" i="21"/>
  <c r="K418" i="28" s="1"/>
  <c r="K420" i="28" s="1"/>
  <c r="G26" i="21"/>
  <c r="G418" i="28" s="1"/>
  <c r="G420" i="28" s="1"/>
  <c r="E26" i="21"/>
  <c r="E418" i="28" s="1"/>
  <c r="K27" i="21"/>
  <c r="K429" i="28" s="1"/>
  <c r="G27" i="21"/>
  <c r="G429" i="28" s="1"/>
  <c r="E27" i="21"/>
  <c r="V6" i="52"/>
  <c r="Z6" i="52" s="1"/>
  <c r="AD6" i="52" s="1"/>
  <c r="AJ6" i="52" s="1"/>
  <c r="AN6" i="52" s="1"/>
  <c r="V7" i="52"/>
  <c r="Z7" i="52" s="1"/>
  <c r="AD7" i="52" s="1"/>
  <c r="AJ7" i="52" s="1"/>
  <c r="AN7" i="52" s="1"/>
  <c r="AR7" i="52" s="1"/>
  <c r="AZ7" i="52" s="1"/>
  <c r="F8" i="52"/>
  <c r="G8" i="52"/>
  <c r="H8" i="52"/>
  <c r="I8" i="52"/>
  <c r="J8" i="52"/>
  <c r="F13" i="52"/>
  <c r="G13" i="52"/>
  <c r="H13" i="52"/>
  <c r="I13" i="52"/>
  <c r="J13" i="52"/>
  <c r="U6" i="52"/>
  <c r="Y6" i="52" s="1"/>
  <c r="AC6" i="52" s="1"/>
  <c r="U7" i="52"/>
  <c r="Y7" i="52" s="1"/>
  <c r="AC7" i="52" s="1"/>
  <c r="AI7" i="52" s="1"/>
  <c r="AM7" i="52" s="1"/>
  <c r="AQ7" i="52" s="1"/>
  <c r="AY7" i="52" s="1"/>
  <c r="M70" i="50"/>
  <c r="M60" i="50"/>
  <c r="M46" i="50"/>
  <c r="J413" i="28" l="1"/>
  <c r="G422" i="28"/>
  <c r="G426" i="28"/>
  <c r="G430" i="28" s="1"/>
  <c r="K422" i="28"/>
  <c r="K426" i="28"/>
  <c r="K430" i="28" s="1"/>
  <c r="AI6" i="52"/>
  <c r="AR6" i="52"/>
  <c r="AZ6" i="52" s="1"/>
  <c r="N408" i="28"/>
  <c r="R408" i="28" s="1"/>
  <c r="V408" i="28" s="1"/>
  <c r="AB408" i="28" s="1"/>
  <c r="AF408" i="28" s="1"/>
  <c r="AJ408" i="28" s="1"/>
  <c r="AP408" i="28" s="1"/>
  <c r="AT408" i="28" s="1"/>
  <c r="AX408" i="28" s="1"/>
  <c r="BF408" i="28" s="1"/>
  <c r="N391" i="28"/>
  <c r="R391" i="28" s="1"/>
  <c r="V391" i="28" s="1"/>
  <c r="AB391" i="28" s="1"/>
  <c r="AF391" i="28" s="1"/>
  <c r="AJ391" i="28" s="1"/>
  <c r="AP391" i="28" s="1"/>
  <c r="AT391" i="28" s="1"/>
  <c r="AX391" i="28" s="1"/>
  <c r="BF391" i="28" s="1"/>
  <c r="N392" i="28"/>
  <c r="R392" i="28" s="1"/>
  <c r="V392" i="28" s="1"/>
  <c r="AB392" i="28" s="1"/>
  <c r="AF392" i="28" s="1"/>
  <c r="AJ392" i="28" s="1"/>
  <c r="AP392" i="28" s="1"/>
  <c r="AT392" i="28" s="1"/>
  <c r="AX392" i="28" s="1"/>
  <c r="BF392" i="28" s="1"/>
  <c r="N405" i="28"/>
  <c r="R405" i="28" s="1"/>
  <c r="V405" i="28" s="1"/>
  <c r="AB405" i="28" s="1"/>
  <c r="AF405" i="28" s="1"/>
  <c r="AJ405" i="28" s="1"/>
  <c r="AP405" i="28" s="1"/>
  <c r="AT405" i="28" s="1"/>
  <c r="AX405" i="28" s="1"/>
  <c r="BF405" i="28" s="1"/>
  <c r="N390" i="28"/>
  <c r="R390" i="28" s="1"/>
  <c r="V390" i="28" s="1"/>
  <c r="AB390" i="28" s="1"/>
  <c r="AF390" i="28" s="1"/>
  <c r="AJ390" i="28" s="1"/>
  <c r="AP390" i="28" s="1"/>
  <c r="AT390" i="28" s="1"/>
  <c r="AX390" i="28" s="1"/>
  <c r="BF390" i="28" s="1"/>
  <c r="N393" i="28"/>
  <c r="R393" i="28" s="1"/>
  <c r="V393" i="28" s="1"/>
  <c r="AB393" i="28" s="1"/>
  <c r="AF393" i="28" s="1"/>
  <c r="AJ393" i="28" s="1"/>
  <c r="AP393" i="28" s="1"/>
  <c r="AT393" i="28" s="1"/>
  <c r="AX393" i="28" s="1"/>
  <c r="BF393" i="28" s="1"/>
  <c r="N401" i="28"/>
  <c r="R401" i="28" s="1"/>
  <c r="V401" i="28" s="1"/>
  <c r="AB401" i="28" s="1"/>
  <c r="AF401" i="28" s="1"/>
  <c r="AJ401" i="28" s="1"/>
  <c r="AP401" i="28" s="1"/>
  <c r="AT401" i="28" s="1"/>
  <c r="AX401" i="28" s="1"/>
  <c r="BF401" i="28" s="1"/>
  <c r="N406" i="28"/>
  <c r="R406" i="28" s="1"/>
  <c r="V406" i="28" s="1"/>
  <c r="AB406" i="28" s="1"/>
  <c r="AF406" i="28" s="1"/>
  <c r="AJ406" i="28" s="1"/>
  <c r="AP406" i="28" s="1"/>
  <c r="AT406" i="28" s="1"/>
  <c r="AX406" i="28" s="1"/>
  <c r="BF406" i="28" s="1"/>
  <c r="N410" i="28"/>
  <c r="R410" i="28" s="1"/>
  <c r="V410" i="28" s="1"/>
  <c r="AB410" i="28" s="1"/>
  <c r="AF410" i="28" s="1"/>
  <c r="AJ410" i="28" s="1"/>
  <c r="AP410" i="28" s="1"/>
  <c r="AT410" i="28" s="1"/>
  <c r="AX410" i="28" s="1"/>
  <c r="BF410" i="28" s="1"/>
  <c r="N404" i="28"/>
  <c r="R404" i="28" s="1"/>
  <c r="V404" i="28" s="1"/>
  <c r="AB404" i="28" s="1"/>
  <c r="AF404" i="28" s="1"/>
  <c r="AJ404" i="28" s="1"/>
  <c r="AP404" i="28" s="1"/>
  <c r="AT404" i="28" s="1"/>
  <c r="AX404" i="28" s="1"/>
  <c r="BF404" i="28" s="1"/>
  <c r="N396" i="28"/>
  <c r="R396" i="28" s="1"/>
  <c r="V396" i="28" s="1"/>
  <c r="AB396" i="28" s="1"/>
  <c r="AF396" i="28" s="1"/>
  <c r="AJ396" i="28" s="1"/>
  <c r="AP396" i="28" s="1"/>
  <c r="AT396" i="28" s="1"/>
  <c r="AX396" i="28" s="1"/>
  <c r="BF396" i="28" s="1"/>
  <c r="N389" i="28"/>
  <c r="R389" i="28" s="1"/>
  <c r="V389" i="28" s="1"/>
  <c r="AB389" i="28" s="1"/>
  <c r="AF389" i="28" s="1"/>
  <c r="AJ389" i="28" s="1"/>
  <c r="AP389" i="28" s="1"/>
  <c r="AT389" i="28" s="1"/>
  <c r="AX389" i="28" s="1"/>
  <c r="BF389" i="28" s="1"/>
  <c r="N402" i="28"/>
  <c r="R402" i="28" s="1"/>
  <c r="V402" i="28" s="1"/>
  <c r="AB402" i="28" s="1"/>
  <c r="AF402" i="28" s="1"/>
  <c r="AJ402" i="28" s="1"/>
  <c r="AP402" i="28" s="1"/>
  <c r="N407" i="28"/>
  <c r="R407" i="28" s="1"/>
  <c r="V407" i="28" s="1"/>
  <c r="AB407" i="28" s="1"/>
  <c r="AF407" i="28" s="1"/>
  <c r="AJ407" i="28" s="1"/>
  <c r="AP407" i="28" s="1"/>
  <c r="AT407" i="28" s="1"/>
  <c r="AX407" i="28" s="1"/>
  <c r="BF407" i="28" s="1"/>
  <c r="N387" i="28"/>
  <c r="N400" i="28"/>
  <c r="N412" i="28"/>
  <c r="R412" i="28" s="1"/>
  <c r="V412" i="28" s="1"/>
  <c r="AB412" i="28" s="1"/>
  <c r="AF412" i="28" s="1"/>
  <c r="AJ412" i="28" s="1"/>
  <c r="AP412" i="28" s="1"/>
  <c r="AT412" i="28" s="1"/>
  <c r="AX412" i="28" s="1"/>
  <c r="BF412" i="28" s="1"/>
  <c r="N397" i="28"/>
  <c r="R397" i="28" s="1"/>
  <c r="V397" i="28" s="1"/>
  <c r="AB397" i="28" s="1"/>
  <c r="AF397" i="28" s="1"/>
  <c r="AJ397" i="28" s="1"/>
  <c r="AP397" i="28" s="1"/>
  <c r="AT397" i="28" s="1"/>
  <c r="AX397" i="28" s="1"/>
  <c r="BF397" i="28" s="1"/>
  <c r="N409" i="28"/>
  <c r="R409" i="28" s="1"/>
  <c r="V409" i="28" s="1"/>
  <c r="AB409" i="28" s="1"/>
  <c r="AF409" i="28" s="1"/>
  <c r="AJ409" i="28" s="1"/>
  <c r="AP409" i="28" s="1"/>
  <c r="AT409" i="28" s="1"/>
  <c r="AX409" i="28" s="1"/>
  <c r="BF409" i="28" s="1"/>
  <c r="N403" i="28"/>
  <c r="R403" i="28" s="1"/>
  <c r="V403" i="28" s="1"/>
  <c r="AB403" i="28" s="1"/>
  <c r="AF403" i="28" s="1"/>
  <c r="AJ403" i="28" s="1"/>
  <c r="AP403" i="28" s="1"/>
  <c r="AT403" i="28" s="1"/>
  <c r="AX403" i="28" s="1"/>
  <c r="BF403" i="28" s="1"/>
  <c r="N395" i="28"/>
  <c r="R395" i="28" s="1"/>
  <c r="V395" i="28" s="1"/>
  <c r="AB395" i="28" s="1"/>
  <c r="AF395" i="28" s="1"/>
  <c r="AJ395" i="28" s="1"/>
  <c r="AP395" i="28" s="1"/>
  <c r="AT395" i="28" s="1"/>
  <c r="AX395" i="28" s="1"/>
  <c r="BF395" i="28" s="1"/>
  <c r="N388" i="28"/>
  <c r="R388" i="28" s="1"/>
  <c r="V388" i="28" s="1"/>
  <c r="AB388" i="28" s="1"/>
  <c r="AF388" i="28" s="1"/>
  <c r="AJ388" i="28" s="1"/>
  <c r="U10" i="52"/>
  <c r="Y10" i="52" s="1"/>
  <c r="AC10" i="52" s="1"/>
  <c r="AI10" i="52" s="1"/>
  <c r="AM10" i="52" s="1"/>
  <c r="AQ10" i="52" s="1"/>
  <c r="AY10" i="52" s="1"/>
  <c r="V9" i="52"/>
  <c r="Z9" i="52" s="1"/>
  <c r="AD9" i="52" s="1"/>
  <c r="U11" i="52"/>
  <c r="Y11" i="52" s="1"/>
  <c r="AC11" i="52" s="1"/>
  <c r="AI11" i="52" s="1"/>
  <c r="AM11" i="52" s="1"/>
  <c r="AQ11" i="52" s="1"/>
  <c r="AY11" i="52" s="1"/>
  <c r="U12" i="52"/>
  <c r="Y12" i="52" s="1"/>
  <c r="AC12" i="52" s="1"/>
  <c r="AI12" i="52" s="1"/>
  <c r="AM12" i="52" s="1"/>
  <c r="AQ12" i="52" s="1"/>
  <c r="AY12" i="52" s="1"/>
  <c r="V11" i="52"/>
  <c r="Z11" i="52" s="1"/>
  <c r="AD11" i="52" s="1"/>
  <c r="AJ11" i="52" s="1"/>
  <c r="AN11" i="52" s="1"/>
  <c r="AR11" i="52" s="1"/>
  <c r="AZ11" i="52" s="1"/>
  <c r="V12" i="52"/>
  <c r="Z12" i="52" s="1"/>
  <c r="AD12" i="52" s="1"/>
  <c r="AJ12" i="52" s="1"/>
  <c r="AN12" i="52" s="1"/>
  <c r="AR12" i="52" s="1"/>
  <c r="AZ12" i="52" s="1"/>
  <c r="V10" i="52"/>
  <c r="Z10" i="52" s="1"/>
  <c r="AD10" i="52" s="1"/>
  <c r="AJ10" i="52" s="1"/>
  <c r="AN10" i="52" s="1"/>
  <c r="AR10" i="52" s="1"/>
  <c r="AZ10" i="52" s="1"/>
  <c r="G14" i="52"/>
  <c r="F14" i="52"/>
  <c r="H14" i="52"/>
  <c r="H53" i="36"/>
  <c r="J14" i="52"/>
  <c r="I14" i="52"/>
  <c r="K8" i="52"/>
  <c r="L13" i="52"/>
  <c r="L8" i="52"/>
  <c r="L53" i="36"/>
  <c r="L47" i="36"/>
  <c r="M41" i="50"/>
  <c r="AM6" i="52" l="1"/>
  <c r="AQ6" i="52" s="1"/>
  <c r="AY6" i="52" s="1"/>
  <c r="AJ9" i="52"/>
  <c r="AD13" i="52"/>
  <c r="AP388" i="28"/>
  <c r="AT388" i="28" s="1"/>
  <c r="AX388" i="28" s="1"/>
  <c r="BF388" i="28" s="1"/>
  <c r="R400" i="28"/>
  <c r="Z13" i="52"/>
  <c r="V13" i="52"/>
  <c r="T13" i="52"/>
  <c r="K13" i="52"/>
  <c r="K14" i="52" s="1"/>
  <c r="L14" i="52"/>
  <c r="F18" i="9"/>
  <c r="K62" i="7"/>
  <c r="B34" i="36"/>
  <c r="AJ13" i="52" l="1"/>
  <c r="AN9" i="52"/>
  <c r="V400" i="28"/>
  <c r="T8" i="52"/>
  <c r="T14" i="52" s="1"/>
  <c r="V5" i="52"/>
  <c r="S8" i="52"/>
  <c r="U5" i="52"/>
  <c r="L155" i="6"/>
  <c r="K155" i="6"/>
  <c r="L154" i="6"/>
  <c r="K154" i="6"/>
  <c r="L129" i="6"/>
  <c r="K129" i="6"/>
  <c r="N386" i="28"/>
  <c r="N413" i="28" s="1"/>
  <c r="R387" i="28"/>
  <c r="R413" i="28" s="1"/>
  <c r="AR9" i="52" l="1"/>
  <c r="AN13" i="52"/>
  <c r="AB400" i="28"/>
  <c r="V387" i="28"/>
  <c r="V413" i="28" s="1"/>
  <c r="U8" i="52"/>
  <c r="Y5" i="52"/>
  <c r="V8" i="52"/>
  <c r="V14" i="52" s="1"/>
  <c r="Z5" i="52"/>
  <c r="J55" i="45"/>
  <c r="H429" i="28"/>
  <c r="H426" i="28"/>
  <c r="J338" i="28"/>
  <c r="J339" i="28"/>
  <c r="J340" i="28"/>
  <c r="J341" i="28"/>
  <c r="J342" i="28"/>
  <c r="J343" i="28"/>
  <c r="J344" i="28"/>
  <c r="J345" i="28"/>
  <c r="J346" i="28"/>
  <c r="J349" i="28"/>
  <c r="J350" i="28"/>
  <c r="J351" i="28"/>
  <c r="J352" i="28"/>
  <c r="J353" i="28"/>
  <c r="J359" i="28"/>
  <c r="J360" i="28"/>
  <c r="J414" i="28" s="1"/>
  <c r="J361" i="28"/>
  <c r="J362" i="28"/>
  <c r="J363" i="28"/>
  <c r="J364" i="28"/>
  <c r="J365" i="28"/>
  <c r="J366" i="28"/>
  <c r="J368" i="28"/>
  <c r="J369" i="28"/>
  <c r="J370" i="28"/>
  <c r="J371" i="28"/>
  <c r="J372" i="28"/>
  <c r="J373" i="28"/>
  <c r="J374" i="28"/>
  <c r="J381" i="28"/>
  <c r="J382" i="28"/>
  <c r="J383" i="28"/>
  <c r="J270" i="28"/>
  <c r="J271" i="28"/>
  <c r="J272" i="28"/>
  <c r="J275" i="28"/>
  <c r="J276" i="28"/>
  <c r="J277" i="28"/>
  <c r="J279" i="28"/>
  <c r="J282" i="28"/>
  <c r="J283" i="28"/>
  <c r="J286" i="28"/>
  <c r="J287" i="28"/>
  <c r="J288" i="28"/>
  <c r="J289" i="28"/>
  <c r="J290" i="28"/>
  <c r="J292" i="28"/>
  <c r="J293" i="28"/>
  <c r="J294" i="28"/>
  <c r="J295" i="28"/>
  <c r="J296" i="28"/>
  <c r="J297" i="28"/>
  <c r="J298" i="28"/>
  <c r="J300" i="28"/>
  <c r="J301" i="28"/>
  <c r="J302" i="28"/>
  <c r="J303" i="28"/>
  <c r="J304" i="28"/>
  <c r="J305" i="28"/>
  <c r="J310" i="28"/>
  <c r="J312" i="28"/>
  <c r="J313" i="28"/>
  <c r="J314" i="28"/>
  <c r="J315" i="28"/>
  <c r="J316" i="28"/>
  <c r="J317" i="28"/>
  <c r="J175" i="28"/>
  <c r="N175" i="28" s="1"/>
  <c r="J178" i="28"/>
  <c r="N214" i="28"/>
  <c r="R214" i="28" s="1"/>
  <c r="V214" i="28" s="1"/>
  <c r="AB214" i="28" s="1"/>
  <c r="AF214" i="28" s="1"/>
  <c r="AJ214" i="28" s="1"/>
  <c r="AP214" i="28" s="1"/>
  <c r="AT214" i="28" s="1"/>
  <c r="AX214" i="28" s="1"/>
  <c r="BF214" i="28" s="1"/>
  <c r="J218" i="28"/>
  <c r="N226" i="28"/>
  <c r="R226" i="28" s="1"/>
  <c r="V226" i="28" s="1"/>
  <c r="AB226" i="28" s="1"/>
  <c r="AF226" i="28" s="1"/>
  <c r="AJ226" i="28" s="1"/>
  <c r="AP226" i="28" s="1"/>
  <c r="AT226" i="28" s="1"/>
  <c r="AX226" i="28" s="1"/>
  <c r="BF226" i="28" s="1"/>
  <c r="N227" i="28"/>
  <c r="R227" i="28" s="1"/>
  <c r="V227" i="28" s="1"/>
  <c r="AB227" i="28" s="1"/>
  <c r="AF227" i="28" s="1"/>
  <c r="AJ227" i="28" s="1"/>
  <c r="AP227" i="28" s="1"/>
  <c r="AT227" i="28" s="1"/>
  <c r="AX227" i="28" s="1"/>
  <c r="BF227" i="28" s="1"/>
  <c r="N228" i="28"/>
  <c r="R228" i="28" s="1"/>
  <c r="V228" i="28" s="1"/>
  <c r="AB228" i="28" s="1"/>
  <c r="AF228" i="28" s="1"/>
  <c r="AJ228" i="28" s="1"/>
  <c r="AP228" i="28" s="1"/>
  <c r="AT228" i="28" s="1"/>
  <c r="AX228" i="28" s="1"/>
  <c r="BF228" i="28" s="1"/>
  <c r="N231" i="28"/>
  <c r="R231" i="28" s="1"/>
  <c r="V231" i="28" s="1"/>
  <c r="AB231" i="28" s="1"/>
  <c r="AF231" i="28" s="1"/>
  <c r="AJ231" i="28" s="1"/>
  <c r="AP231" i="28" s="1"/>
  <c r="AT231" i="28" s="1"/>
  <c r="AX231" i="28" s="1"/>
  <c r="BF231" i="28" s="1"/>
  <c r="N232" i="28"/>
  <c r="R232" i="28" s="1"/>
  <c r="V232" i="28" s="1"/>
  <c r="AB232" i="28" s="1"/>
  <c r="AF232" i="28" s="1"/>
  <c r="AJ232" i="28" s="1"/>
  <c r="AP232" i="28" s="1"/>
  <c r="AT232" i="28" s="1"/>
  <c r="AX232" i="28" s="1"/>
  <c r="BF232" i="28" s="1"/>
  <c r="N233" i="28"/>
  <c r="R233" i="28" s="1"/>
  <c r="V233" i="28" s="1"/>
  <c r="AB233" i="28" s="1"/>
  <c r="AF233" i="28" s="1"/>
  <c r="AJ233" i="28" s="1"/>
  <c r="AP233" i="28" s="1"/>
  <c r="AT233" i="28" s="1"/>
  <c r="AX233" i="28" s="1"/>
  <c r="BF233" i="28" s="1"/>
  <c r="N235" i="28"/>
  <c r="R235" i="28" s="1"/>
  <c r="V235" i="28" s="1"/>
  <c r="AB235" i="28" s="1"/>
  <c r="AF235" i="28" s="1"/>
  <c r="AJ235" i="28" s="1"/>
  <c r="AP235" i="28" s="1"/>
  <c r="AT235" i="28" s="1"/>
  <c r="AX235" i="28" s="1"/>
  <c r="BF235" i="28" s="1"/>
  <c r="N238" i="28"/>
  <c r="R238" i="28" s="1"/>
  <c r="V238" i="28" s="1"/>
  <c r="AB238" i="28" s="1"/>
  <c r="AF238" i="28" s="1"/>
  <c r="AJ238" i="28" s="1"/>
  <c r="AP238" i="28" s="1"/>
  <c r="AT238" i="28" s="1"/>
  <c r="AX238" i="28" s="1"/>
  <c r="BF238" i="28" s="1"/>
  <c r="N239" i="28"/>
  <c r="R239" i="28" s="1"/>
  <c r="V239" i="28" s="1"/>
  <c r="AB239" i="28" s="1"/>
  <c r="AF239" i="28" s="1"/>
  <c r="AJ239" i="28" s="1"/>
  <c r="AP239" i="28" s="1"/>
  <c r="AT239" i="28" s="1"/>
  <c r="AX239" i="28" s="1"/>
  <c r="BF239" i="28" s="1"/>
  <c r="N241" i="28"/>
  <c r="R241" i="28" s="1"/>
  <c r="V241" i="28" s="1"/>
  <c r="AB241" i="28" s="1"/>
  <c r="AF241" i="28" s="1"/>
  <c r="AJ241" i="28" s="1"/>
  <c r="AP241" i="28" s="1"/>
  <c r="AT241" i="28" s="1"/>
  <c r="AX241" i="28" s="1"/>
  <c r="BF241" i="28" s="1"/>
  <c r="N242" i="28"/>
  <c r="R242" i="28" s="1"/>
  <c r="V242" i="28" s="1"/>
  <c r="AB242" i="28" s="1"/>
  <c r="AF242" i="28" s="1"/>
  <c r="AJ242" i="28" s="1"/>
  <c r="AP242" i="28" s="1"/>
  <c r="AT242" i="28" s="1"/>
  <c r="AX242" i="28" s="1"/>
  <c r="BF242" i="28" s="1"/>
  <c r="N245" i="28"/>
  <c r="R245" i="28" s="1"/>
  <c r="V245" i="28" s="1"/>
  <c r="AB245" i="28" s="1"/>
  <c r="AF245" i="28" s="1"/>
  <c r="AJ245" i="28" s="1"/>
  <c r="AP245" i="28" s="1"/>
  <c r="AT245" i="28" s="1"/>
  <c r="AX245" i="28" s="1"/>
  <c r="BF245" i="28" s="1"/>
  <c r="N246" i="28"/>
  <c r="R246" i="28" s="1"/>
  <c r="V246" i="28" s="1"/>
  <c r="AB246" i="28" s="1"/>
  <c r="AF246" i="28" s="1"/>
  <c r="AJ246" i="28" s="1"/>
  <c r="AP246" i="28" s="1"/>
  <c r="AT246" i="28" s="1"/>
  <c r="AX246" i="28" s="1"/>
  <c r="BF246" i="28" s="1"/>
  <c r="N247" i="28"/>
  <c r="R247" i="28" s="1"/>
  <c r="V247" i="28" s="1"/>
  <c r="AB247" i="28" s="1"/>
  <c r="AF247" i="28" s="1"/>
  <c r="AJ247" i="28" s="1"/>
  <c r="AP247" i="28" s="1"/>
  <c r="AT247" i="28" s="1"/>
  <c r="AX247" i="28" s="1"/>
  <c r="BF247" i="28" s="1"/>
  <c r="N249" i="28"/>
  <c r="R249" i="28" s="1"/>
  <c r="V249" i="28" s="1"/>
  <c r="AB249" i="28" s="1"/>
  <c r="AF249" i="28" s="1"/>
  <c r="AJ249" i="28" s="1"/>
  <c r="AP249" i="28" s="1"/>
  <c r="AT249" i="28" s="1"/>
  <c r="AX249" i="28" s="1"/>
  <c r="BF249" i="28" s="1"/>
  <c r="N251" i="28"/>
  <c r="R251" i="28" s="1"/>
  <c r="V251" i="28" s="1"/>
  <c r="AB251" i="28" s="1"/>
  <c r="AF251" i="28" s="1"/>
  <c r="AJ251" i="28" s="1"/>
  <c r="AP251" i="28" s="1"/>
  <c r="AT251" i="28" s="1"/>
  <c r="AX251" i="28" s="1"/>
  <c r="BF251" i="28" s="1"/>
  <c r="N252" i="28"/>
  <c r="R252" i="28" s="1"/>
  <c r="V252" i="28" s="1"/>
  <c r="AB252" i="28" s="1"/>
  <c r="AF252" i="28" s="1"/>
  <c r="AJ252" i="28" s="1"/>
  <c r="AP252" i="28" s="1"/>
  <c r="AT252" i="28" s="1"/>
  <c r="AX252" i="28" s="1"/>
  <c r="BF252" i="28" s="1"/>
  <c r="N253" i="28"/>
  <c r="R253" i="28" s="1"/>
  <c r="V253" i="28" s="1"/>
  <c r="AB253" i="28" s="1"/>
  <c r="AF253" i="28" s="1"/>
  <c r="AJ253" i="28" s="1"/>
  <c r="AP253" i="28" s="1"/>
  <c r="AT253" i="28" s="1"/>
  <c r="AX253" i="28" s="1"/>
  <c r="BF253" i="28" s="1"/>
  <c r="N256" i="28"/>
  <c r="R256" i="28" s="1"/>
  <c r="V256" i="28" s="1"/>
  <c r="AB256" i="28" s="1"/>
  <c r="AF256" i="28" s="1"/>
  <c r="AJ256" i="28" s="1"/>
  <c r="AP256" i="28" s="1"/>
  <c r="AT256" i="28" s="1"/>
  <c r="AX256" i="28" s="1"/>
  <c r="BF256" i="28" s="1"/>
  <c r="N257" i="28"/>
  <c r="R257" i="28" s="1"/>
  <c r="V257" i="28" s="1"/>
  <c r="AB257" i="28" s="1"/>
  <c r="AF257" i="28" s="1"/>
  <c r="AJ257" i="28" s="1"/>
  <c r="AP257" i="28" s="1"/>
  <c r="AT257" i="28" s="1"/>
  <c r="AX257" i="28" s="1"/>
  <c r="BF257" i="28" s="1"/>
  <c r="N258" i="28"/>
  <c r="R258" i="28" s="1"/>
  <c r="V258" i="28" s="1"/>
  <c r="AB258" i="28" s="1"/>
  <c r="AF258" i="28" s="1"/>
  <c r="AJ258" i="28" s="1"/>
  <c r="AP258" i="28" s="1"/>
  <c r="AT258" i="28" s="1"/>
  <c r="AX258" i="28" s="1"/>
  <c r="BF258" i="28" s="1"/>
  <c r="H30" i="28"/>
  <c r="H37" i="28" s="1"/>
  <c r="H26" i="28"/>
  <c r="H215" i="28"/>
  <c r="H445" i="28" s="1"/>
  <c r="AR13" i="52" l="1"/>
  <c r="AZ9" i="52"/>
  <c r="AZ13" i="52" s="1"/>
  <c r="Z8" i="52"/>
  <c r="Z14" i="52" s="1"/>
  <c r="AD5" i="52"/>
  <c r="Y8" i="52"/>
  <c r="AC5" i="52"/>
  <c r="N218" i="28"/>
  <c r="N178" i="28"/>
  <c r="J215" i="28"/>
  <c r="N383" i="28"/>
  <c r="R383" i="28" s="1"/>
  <c r="V383" i="28" s="1"/>
  <c r="AB383" i="28" s="1"/>
  <c r="AF383" i="28" s="1"/>
  <c r="AJ383" i="28" s="1"/>
  <c r="AP383" i="28" s="1"/>
  <c r="AT383" i="28" s="1"/>
  <c r="AX383" i="28" s="1"/>
  <c r="BF383" i="28" s="1"/>
  <c r="N371" i="28"/>
  <c r="R371" i="28" s="1"/>
  <c r="V371" i="28" s="1"/>
  <c r="AB371" i="28" s="1"/>
  <c r="AF371" i="28" s="1"/>
  <c r="AJ371" i="28" s="1"/>
  <c r="AP371" i="28" s="1"/>
  <c r="AT371" i="28" s="1"/>
  <c r="AX371" i="28" s="1"/>
  <c r="BF371" i="28" s="1"/>
  <c r="N364" i="28"/>
  <c r="R364" i="28" s="1"/>
  <c r="V364" i="28" s="1"/>
  <c r="AB364" i="28" s="1"/>
  <c r="AF364" i="28" s="1"/>
  <c r="AJ364" i="28" s="1"/>
  <c r="AP364" i="28" s="1"/>
  <c r="AT364" i="28" s="1"/>
  <c r="AX364" i="28" s="1"/>
  <c r="BF364" i="28" s="1"/>
  <c r="N353" i="28"/>
  <c r="R353" i="28" s="1"/>
  <c r="V353" i="28" s="1"/>
  <c r="AB353" i="28" s="1"/>
  <c r="AF353" i="28" s="1"/>
  <c r="AJ353" i="28" s="1"/>
  <c r="AP353" i="28" s="1"/>
  <c r="AT353" i="28" s="1"/>
  <c r="AX353" i="28" s="1"/>
  <c r="BF353" i="28" s="1"/>
  <c r="N345" i="28"/>
  <c r="R345" i="28" s="1"/>
  <c r="V345" i="28" s="1"/>
  <c r="AB345" i="28" s="1"/>
  <c r="AF345" i="28" s="1"/>
  <c r="AJ345" i="28" s="1"/>
  <c r="AP345" i="28" s="1"/>
  <c r="AT345" i="28" s="1"/>
  <c r="AX345" i="28" s="1"/>
  <c r="BF345" i="28" s="1"/>
  <c r="N339" i="28"/>
  <c r="R339" i="28" s="1"/>
  <c r="V339" i="28" s="1"/>
  <c r="AB339" i="28" s="1"/>
  <c r="AF339" i="28" s="1"/>
  <c r="AJ339" i="28" s="1"/>
  <c r="AP339" i="28" s="1"/>
  <c r="AT339" i="28" s="1"/>
  <c r="AX339" i="28" s="1"/>
  <c r="BF339" i="28" s="1"/>
  <c r="N382" i="28"/>
  <c r="R382" i="28" s="1"/>
  <c r="V382" i="28" s="1"/>
  <c r="AB382" i="28" s="1"/>
  <c r="AF382" i="28" s="1"/>
  <c r="AJ382" i="28" s="1"/>
  <c r="AP382" i="28" s="1"/>
  <c r="AT382" i="28" s="1"/>
  <c r="AX382" i="28" s="1"/>
  <c r="BF382" i="28" s="1"/>
  <c r="N370" i="28"/>
  <c r="R370" i="28" s="1"/>
  <c r="V370" i="28" s="1"/>
  <c r="AB370" i="28" s="1"/>
  <c r="AF370" i="28" s="1"/>
  <c r="AJ370" i="28" s="1"/>
  <c r="AP370" i="28" s="1"/>
  <c r="AT370" i="28" s="1"/>
  <c r="AX370" i="28" s="1"/>
  <c r="BF370" i="28" s="1"/>
  <c r="N363" i="28"/>
  <c r="R363" i="28" s="1"/>
  <c r="V363" i="28" s="1"/>
  <c r="AB363" i="28" s="1"/>
  <c r="AF363" i="28" s="1"/>
  <c r="AJ363" i="28" s="1"/>
  <c r="AP363" i="28" s="1"/>
  <c r="AT363" i="28" s="1"/>
  <c r="AX363" i="28" s="1"/>
  <c r="BF363" i="28" s="1"/>
  <c r="N352" i="28"/>
  <c r="R352" i="28" s="1"/>
  <c r="V352" i="28" s="1"/>
  <c r="AB352" i="28" s="1"/>
  <c r="AF352" i="28" s="1"/>
  <c r="AJ352" i="28" s="1"/>
  <c r="AP352" i="28" s="1"/>
  <c r="AT352" i="28" s="1"/>
  <c r="AX352" i="28" s="1"/>
  <c r="BF352" i="28" s="1"/>
  <c r="N344" i="28"/>
  <c r="R344" i="28" s="1"/>
  <c r="V344" i="28" s="1"/>
  <c r="AB344" i="28" s="1"/>
  <c r="AF344" i="28" s="1"/>
  <c r="AJ344" i="28" s="1"/>
  <c r="AP344" i="28" s="1"/>
  <c r="AT344" i="28" s="1"/>
  <c r="AX344" i="28" s="1"/>
  <c r="BF344" i="28" s="1"/>
  <c r="N338" i="28"/>
  <c r="R338" i="28" s="1"/>
  <c r="V338" i="28" s="1"/>
  <c r="AB338" i="28" s="1"/>
  <c r="AF338" i="28" s="1"/>
  <c r="AJ338" i="28" s="1"/>
  <c r="AP338" i="28" s="1"/>
  <c r="AT338" i="28" s="1"/>
  <c r="AX338" i="28" s="1"/>
  <c r="BF338" i="28" s="1"/>
  <c r="N381" i="28"/>
  <c r="R381" i="28" s="1"/>
  <c r="V381" i="28" s="1"/>
  <c r="AB381" i="28" s="1"/>
  <c r="AF381" i="28" s="1"/>
  <c r="AJ381" i="28" s="1"/>
  <c r="AP381" i="28" s="1"/>
  <c r="AT381" i="28" s="1"/>
  <c r="AX381" i="28" s="1"/>
  <c r="BF381" i="28" s="1"/>
  <c r="N369" i="28"/>
  <c r="R369" i="28" s="1"/>
  <c r="V369" i="28" s="1"/>
  <c r="AB369" i="28" s="1"/>
  <c r="AF369" i="28" s="1"/>
  <c r="AJ369" i="28" s="1"/>
  <c r="AP369" i="28" s="1"/>
  <c r="AT369" i="28" s="1"/>
  <c r="AX369" i="28" s="1"/>
  <c r="BF369" i="28" s="1"/>
  <c r="N362" i="28"/>
  <c r="R362" i="28" s="1"/>
  <c r="V362" i="28" s="1"/>
  <c r="AB362" i="28" s="1"/>
  <c r="AF362" i="28" s="1"/>
  <c r="AJ362" i="28" s="1"/>
  <c r="AP362" i="28" s="1"/>
  <c r="AT362" i="28" s="1"/>
  <c r="AX362" i="28" s="1"/>
  <c r="BF362" i="28" s="1"/>
  <c r="N351" i="28"/>
  <c r="R351" i="28" s="1"/>
  <c r="V351" i="28" s="1"/>
  <c r="AB351" i="28" s="1"/>
  <c r="AF351" i="28" s="1"/>
  <c r="AJ351" i="28" s="1"/>
  <c r="AP351" i="28" s="1"/>
  <c r="AT351" i="28" s="1"/>
  <c r="AX351" i="28" s="1"/>
  <c r="BF351" i="28" s="1"/>
  <c r="N343" i="28"/>
  <c r="R343" i="28" s="1"/>
  <c r="V343" i="28" s="1"/>
  <c r="AB343" i="28" s="1"/>
  <c r="AF343" i="28" s="1"/>
  <c r="AJ343" i="28" s="1"/>
  <c r="AP343" i="28" s="1"/>
  <c r="AT343" i="28" s="1"/>
  <c r="AX343" i="28" s="1"/>
  <c r="BF343" i="28" s="1"/>
  <c r="N374" i="28"/>
  <c r="R374" i="28" s="1"/>
  <c r="V374" i="28" s="1"/>
  <c r="AB374" i="28" s="1"/>
  <c r="AF374" i="28" s="1"/>
  <c r="AJ374" i="28" s="1"/>
  <c r="AP374" i="28" s="1"/>
  <c r="AT374" i="28" s="1"/>
  <c r="AX374" i="28" s="1"/>
  <c r="BF374" i="28" s="1"/>
  <c r="N368" i="28"/>
  <c r="R368" i="28" s="1"/>
  <c r="V368" i="28" s="1"/>
  <c r="AB368" i="28" s="1"/>
  <c r="AF368" i="28" s="1"/>
  <c r="AJ368" i="28" s="1"/>
  <c r="AP368" i="28" s="1"/>
  <c r="AT368" i="28" s="1"/>
  <c r="AX368" i="28" s="1"/>
  <c r="BF368" i="28" s="1"/>
  <c r="N361" i="28"/>
  <c r="R361" i="28" s="1"/>
  <c r="V361" i="28" s="1"/>
  <c r="AB361" i="28" s="1"/>
  <c r="AF361" i="28" s="1"/>
  <c r="AJ361" i="28" s="1"/>
  <c r="AP361" i="28" s="1"/>
  <c r="AT361" i="28" s="1"/>
  <c r="AX361" i="28" s="1"/>
  <c r="BF361" i="28" s="1"/>
  <c r="N350" i="28"/>
  <c r="R350" i="28" s="1"/>
  <c r="V350" i="28" s="1"/>
  <c r="AB350" i="28" s="1"/>
  <c r="AF350" i="28" s="1"/>
  <c r="AJ350" i="28" s="1"/>
  <c r="AP350" i="28" s="1"/>
  <c r="AT350" i="28" s="1"/>
  <c r="AX350" i="28" s="1"/>
  <c r="BF350" i="28" s="1"/>
  <c r="N342" i="28"/>
  <c r="R342" i="28" s="1"/>
  <c r="V342" i="28" s="1"/>
  <c r="AB342" i="28" s="1"/>
  <c r="AF342" i="28" s="1"/>
  <c r="AJ342" i="28" s="1"/>
  <c r="AP342" i="28" s="1"/>
  <c r="AT342" i="28" s="1"/>
  <c r="AX342" i="28" s="1"/>
  <c r="BF342" i="28" s="1"/>
  <c r="N373" i="28"/>
  <c r="R373" i="28" s="1"/>
  <c r="V373" i="28" s="1"/>
  <c r="AB373" i="28" s="1"/>
  <c r="AF373" i="28" s="1"/>
  <c r="AJ373" i="28" s="1"/>
  <c r="AP373" i="28" s="1"/>
  <c r="AT373" i="28" s="1"/>
  <c r="AX373" i="28" s="1"/>
  <c r="BF373" i="28" s="1"/>
  <c r="N366" i="28"/>
  <c r="R366" i="28" s="1"/>
  <c r="V366" i="28" s="1"/>
  <c r="AB366" i="28" s="1"/>
  <c r="AF366" i="28" s="1"/>
  <c r="AJ366" i="28" s="1"/>
  <c r="AP366" i="28" s="1"/>
  <c r="AT366" i="28" s="1"/>
  <c r="AX366" i="28" s="1"/>
  <c r="BF366" i="28" s="1"/>
  <c r="N360" i="28"/>
  <c r="N414" i="28" s="1"/>
  <c r="N349" i="28"/>
  <c r="R349" i="28" s="1"/>
  <c r="V349" i="28" s="1"/>
  <c r="AB349" i="28" s="1"/>
  <c r="AF349" i="28" s="1"/>
  <c r="AJ349" i="28" s="1"/>
  <c r="AP349" i="28" s="1"/>
  <c r="AT349" i="28" s="1"/>
  <c r="AX349" i="28" s="1"/>
  <c r="BF349" i="28" s="1"/>
  <c r="N341" i="28"/>
  <c r="R341" i="28" s="1"/>
  <c r="V341" i="28" s="1"/>
  <c r="AB341" i="28" s="1"/>
  <c r="AF341" i="28" s="1"/>
  <c r="AJ341" i="28" s="1"/>
  <c r="AP341" i="28" s="1"/>
  <c r="AT341" i="28" s="1"/>
  <c r="AX341" i="28" s="1"/>
  <c r="BF341" i="28" s="1"/>
  <c r="N372" i="28"/>
  <c r="R372" i="28" s="1"/>
  <c r="V372" i="28" s="1"/>
  <c r="AB372" i="28" s="1"/>
  <c r="AF372" i="28" s="1"/>
  <c r="AJ372" i="28" s="1"/>
  <c r="AP372" i="28" s="1"/>
  <c r="AT372" i="28" s="1"/>
  <c r="AX372" i="28" s="1"/>
  <c r="BF372" i="28" s="1"/>
  <c r="N365" i="28"/>
  <c r="R365" i="28" s="1"/>
  <c r="V365" i="28" s="1"/>
  <c r="AB365" i="28" s="1"/>
  <c r="AF365" i="28" s="1"/>
  <c r="AJ365" i="28" s="1"/>
  <c r="AP365" i="28" s="1"/>
  <c r="AT365" i="28" s="1"/>
  <c r="AX365" i="28" s="1"/>
  <c r="BF365" i="28" s="1"/>
  <c r="N359" i="28"/>
  <c r="R359" i="28" s="1"/>
  <c r="V359" i="28" s="1"/>
  <c r="AB359" i="28" s="1"/>
  <c r="AF359" i="28" s="1"/>
  <c r="AJ359" i="28" s="1"/>
  <c r="AP359" i="28" s="1"/>
  <c r="AT359" i="28" s="1"/>
  <c r="AX359" i="28" s="1"/>
  <c r="BF359" i="28" s="1"/>
  <c r="N346" i="28"/>
  <c r="R346" i="28" s="1"/>
  <c r="V346" i="28" s="1"/>
  <c r="AB346" i="28" s="1"/>
  <c r="AF346" i="28" s="1"/>
  <c r="AJ346" i="28" s="1"/>
  <c r="AP346" i="28" s="1"/>
  <c r="AT346" i="28" s="1"/>
  <c r="AX346" i="28" s="1"/>
  <c r="BF346" i="28" s="1"/>
  <c r="N340" i="28"/>
  <c r="R340" i="28" s="1"/>
  <c r="V340" i="28" s="1"/>
  <c r="AB340" i="28" s="1"/>
  <c r="AF340" i="28" s="1"/>
  <c r="AJ340" i="28" s="1"/>
  <c r="AP340" i="28" s="1"/>
  <c r="AT340" i="28" s="1"/>
  <c r="AX340" i="28" s="1"/>
  <c r="BF340" i="28" s="1"/>
  <c r="AF400" i="28"/>
  <c r="N315" i="28"/>
  <c r="R315" i="28" s="1"/>
  <c r="V315" i="28" s="1"/>
  <c r="AB315" i="28" s="1"/>
  <c r="AF315" i="28" s="1"/>
  <c r="AJ315" i="28" s="1"/>
  <c r="AP315" i="28" s="1"/>
  <c r="AT315" i="28" s="1"/>
  <c r="AX315" i="28" s="1"/>
  <c r="BF315" i="28" s="1"/>
  <c r="N304" i="28"/>
  <c r="R304" i="28" s="1"/>
  <c r="V304" i="28" s="1"/>
  <c r="AB304" i="28" s="1"/>
  <c r="AF304" i="28" s="1"/>
  <c r="AJ304" i="28" s="1"/>
  <c r="AP304" i="28" s="1"/>
  <c r="AT304" i="28" s="1"/>
  <c r="AX304" i="28" s="1"/>
  <c r="BF304" i="28" s="1"/>
  <c r="N297" i="28"/>
  <c r="R297" i="28" s="1"/>
  <c r="V297" i="28" s="1"/>
  <c r="AB297" i="28" s="1"/>
  <c r="AF297" i="28" s="1"/>
  <c r="AJ297" i="28" s="1"/>
  <c r="AP297" i="28" s="1"/>
  <c r="AT297" i="28" s="1"/>
  <c r="AX297" i="28" s="1"/>
  <c r="BF297" i="28" s="1"/>
  <c r="N290" i="28"/>
  <c r="R290" i="28" s="1"/>
  <c r="V290" i="28" s="1"/>
  <c r="AB290" i="28" s="1"/>
  <c r="AF290" i="28" s="1"/>
  <c r="AJ290" i="28" s="1"/>
  <c r="AP290" i="28" s="1"/>
  <c r="AT290" i="28" s="1"/>
  <c r="AX290" i="28" s="1"/>
  <c r="BF290" i="28" s="1"/>
  <c r="N282" i="28"/>
  <c r="R282" i="28" s="1"/>
  <c r="V282" i="28" s="1"/>
  <c r="AB282" i="28" s="1"/>
  <c r="AF282" i="28" s="1"/>
  <c r="N271" i="28"/>
  <c r="R271" i="28" s="1"/>
  <c r="V271" i="28" s="1"/>
  <c r="AB271" i="28" s="1"/>
  <c r="AF271" i="28" s="1"/>
  <c r="AJ271" i="28" s="1"/>
  <c r="AP271" i="28" s="1"/>
  <c r="AT271" i="28" s="1"/>
  <c r="AX271" i="28" s="1"/>
  <c r="BF271" i="28" s="1"/>
  <c r="N314" i="28"/>
  <c r="R314" i="28" s="1"/>
  <c r="V314" i="28" s="1"/>
  <c r="AB314" i="28" s="1"/>
  <c r="AF314" i="28" s="1"/>
  <c r="AJ314" i="28" s="1"/>
  <c r="AP314" i="28" s="1"/>
  <c r="AT314" i="28" s="1"/>
  <c r="AX314" i="28" s="1"/>
  <c r="BF314" i="28" s="1"/>
  <c r="N303" i="28"/>
  <c r="R303" i="28" s="1"/>
  <c r="V303" i="28" s="1"/>
  <c r="AB303" i="28" s="1"/>
  <c r="AF303" i="28" s="1"/>
  <c r="AJ303" i="28" s="1"/>
  <c r="AP303" i="28" s="1"/>
  <c r="AT303" i="28" s="1"/>
  <c r="AX303" i="28" s="1"/>
  <c r="BF303" i="28" s="1"/>
  <c r="N296" i="28"/>
  <c r="R296" i="28" s="1"/>
  <c r="V296" i="28" s="1"/>
  <c r="AB296" i="28" s="1"/>
  <c r="AF296" i="28" s="1"/>
  <c r="AJ296" i="28" s="1"/>
  <c r="AP296" i="28" s="1"/>
  <c r="AT296" i="28" s="1"/>
  <c r="AX296" i="28" s="1"/>
  <c r="BF296" i="28" s="1"/>
  <c r="N289" i="28"/>
  <c r="R289" i="28" s="1"/>
  <c r="V289" i="28" s="1"/>
  <c r="AB289" i="28" s="1"/>
  <c r="AF289" i="28" s="1"/>
  <c r="AJ289" i="28" s="1"/>
  <c r="AP289" i="28" s="1"/>
  <c r="AT289" i="28" s="1"/>
  <c r="AX289" i="28" s="1"/>
  <c r="BF289" i="28" s="1"/>
  <c r="N279" i="28"/>
  <c r="R279" i="28" s="1"/>
  <c r="V279" i="28" s="1"/>
  <c r="AB279" i="28" s="1"/>
  <c r="AF279" i="28" s="1"/>
  <c r="AJ279" i="28" s="1"/>
  <c r="AP279" i="28" s="1"/>
  <c r="AT279" i="28" s="1"/>
  <c r="AX279" i="28" s="1"/>
  <c r="BF279" i="28" s="1"/>
  <c r="N270" i="28"/>
  <c r="R270" i="28" s="1"/>
  <c r="V270" i="28" s="1"/>
  <c r="AB270" i="28" s="1"/>
  <c r="AF270" i="28" s="1"/>
  <c r="AJ270" i="28" s="1"/>
  <c r="AP270" i="28" s="1"/>
  <c r="AT270" i="28" s="1"/>
  <c r="AX270" i="28" s="1"/>
  <c r="BF270" i="28" s="1"/>
  <c r="N313" i="28"/>
  <c r="R313" i="28" s="1"/>
  <c r="V313" i="28" s="1"/>
  <c r="AB313" i="28" s="1"/>
  <c r="AF313" i="28" s="1"/>
  <c r="AJ313" i="28" s="1"/>
  <c r="AP313" i="28" s="1"/>
  <c r="AT313" i="28" s="1"/>
  <c r="AX313" i="28" s="1"/>
  <c r="BF313" i="28" s="1"/>
  <c r="N302" i="28"/>
  <c r="R302" i="28" s="1"/>
  <c r="V302" i="28" s="1"/>
  <c r="AB302" i="28" s="1"/>
  <c r="AF302" i="28" s="1"/>
  <c r="AJ302" i="28" s="1"/>
  <c r="AP302" i="28" s="1"/>
  <c r="AT302" i="28" s="1"/>
  <c r="AX302" i="28" s="1"/>
  <c r="BF302" i="28" s="1"/>
  <c r="N295" i="28"/>
  <c r="R295" i="28" s="1"/>
  <c r="V295" i="28" s="1"/>
  <c r="AB295" i="28" s="1"/>
  <c r="AF295" i="28" s="1"/>
  <c r="AJ295" i="28" s="1"/>
  <c r="AP295" i="28" s="1"/>
  <c r="AT295" i="28" s="1"/>
  <c r="AX295" i="28" s="1"/>
  <c r="BF295" i="28" s="1"/>
  <c r="N288" i="28"/>
  <c r="R288" i="28" s="1"/>
  <c r="V288" i="28" s="1"/>
  <c r="AB288" i="28" s="1"/>
  <c r="AF288" i="28" s="1"/>
  <c r="AJ288" i="28" s="1"/>
  <c r="AP288" i="28" s="1"/>
  <c r="AT288" i="28" s="1"/>
  <c r="AX288" i="28" s="1"/>
  <c r="BF288" i="28" s="1"/>
  <c r="N277" i="28"/>
  <c r="R277" i="28" s="1"/>
  <c r="V277" i="28" s="1"/>
  <c r="AB277" i="28" s="1"/>
  <c r="AF277" i="28" s="1"/>
  <c r="AJ277" i="28" s="1"/>
  <c r="AP277" i="28" s="1"/>
  <c r="AT277" i="28" s="1"/>
  <c r="AX277" i="28" s="1"/>
  <c r="BF277" i="28" s="1"/>
  <c r="N312" i="28"/>
  <c r="R312" i="28" s="1"/>
  <c r="V312" i="28" s="1"/>
  <c r="AB312" i="28" s="1"/>
  <c r="AF312" i="28" s="1"/>
  <c r="AJ312" i="28" s="1"/>
  <c r="AP312" i="28" s="1"/>
  <c r="AT312" i="28" s="1"/>
  <c r="AX312" i="28" s="1"/>
  <c r="BF312" i="28" s="1"/>
  <c r="N301" i="28"/>
  <c r="R301" i="28" s="1"/>
  <c r="V301" i="28" s="1"/>
  <c r="AB301" i="28" s="1"/>
  <c r="AF301" i="28" s="1"/>
  <c r="AJ301" i="28" s="1"/>
  <c r="AP301" i="28" s="1"/>
  <c r="AT301" i="28" s="1"/>
  <c r="AX301" i="28" s="1"/>
  <c r="BF301" i="28" s="1"/>
  <c r="N294" i="28"/>
  <c r="R294" i="28" s="1"/>
  <c r="V294" i="28" s="1"/>
  <c r="AB294" i="28" s="1"/>
  <c r="AF294" i="28" s="1"/>
  <c r="AJ294" i="28" s="1"/>
  <c r="AP294" i="28" s="1"/>
  <c r="AT294" i="28" s="1"/>
  <c r="AX294" i="28" s="1"/>
  <c r="BF294" i="28" s="1"/>
  <c r="N287" i="28"/>
  <c r="R287" i="28" s="1"/>
  <c r="V287" i="28" s="1"/>
  <c r="AB287" i="28" s="1"/>
  <c r="AF287" i="28" s="1"/>
  <c r="AJ287" i="28" s="1"/>
  <c r="AP287" i="28" s="1"/>
  <c r="AT287" i="28" s="1"/>
  <c r="AX287" i="28" s="1"/>
  <c r="BF287" i="28" s="1"/>
  <c r="N276" i="28"/>
  <c r="R276" i="28" s="1"/>
  <c r="V276" i="28" s="1"/>
  <c r="AB276" i="28" s="1"/>
  <c r="AF276" i="28" s="1"/>
  <c r="AJ276" i="28" s="1"/>
  <c r="AP276" i="28" s="1"/>
  <c r="AT276" i="28" s="1"/>
  <c r="AX276" i="28" s="1"/>
  <c r="BF276" i="28" s="1"/>
  <c r="N317" i="28"/>
  <c r="R317" i="28" s="1"/>
  <c r="V317" i="28" s="1"/>
  <c r="AB317" i="28" s="1"/>
  <c r="AF317" i="28" s="1"/>
  <c r="AJ317" i="28" s="1"/>
  <c r="AP317" i="28" s="1"/>
  <c r="AT317" i="28" s="1"/>
  <c r="AX317" i="28" s="1"/>
  <c r="BF317" i="28" s="1"/>
  <c r="N310" i="28"/>
  <c r="R310" i="28" s="1"/>
  <c r="V310" i="28" s="1"/>
  <c r="AB310" i="28" s="1"/>
  <c r="AF310" i="28" s="1"/>
  <c r="AJ310" i="28" s="1"/>
  <c r="AP310" i="28" s="1"/>
  <c r="AT310" i="28" s="1"/>
  <c r="AX310" i="28" s="1"/>
  <c r="BF310" i="28" s="1"/>
  <c r="N300" i="28"/>
  <c r="R300" i="28" s="1"/>
  <c r="V300" i="28" s="1"/>
  <c r="AB300" i="28" s="1"/>
  <c r="AF300" i="28" s="1"/>
  <c r="AJ300" i="28" s="1"/>
  <c r="AP300" i="28" s="1"/>
  <c r="AT300" i="28" s="1"/>
  <c r="AX300" i="28" s="1"/>
  <c r="BF300" i="28" s="1"/>
  <c r="N293" i="28"/>
  <c r="R293" i="28" s="1"/>
  <c r="V293" i="28" s="1"/>
  <c r="AB293" i="28" s="1"/>
  <c r="AF293" i="28" s="1"/>
  <c r="AJ293" i="28" s="1"/>
  <c r="AP293" i="28" s="1"/>
  <c r="AT293" i="28" s="1"/>
  <c r="AX293" i="28" s="1"/>
  <c r="BF293" i="28" s="1"/>
  <c r="N286" i="28"/>
  <c r="R286" i="28" s="1"/>
  <c r="V286" i="28" s="1"/>
  <c r="AB286" i="28" s="1"/>
  <c r="AF286" i="28" s="1"/>
  <c r="AJ286" i="28" s="1"/>
  <c r="AP286" i="28" s="1"/>
  <c r="AT286" i="28" s="1"/>
  <c r="AX286" i="28" s="1"/>
  <c r="BF286" i="28" s="1"/>
  <c r="N275" i="28"/>
  <c r="R275" i="28" s="1"/>
  <c r="V275" i="28" s="1"/>
  <c r="AB275" i="28" s="1"/>
  <c r="AF275" i="28" s="1"/>
  <c r="AJ275" i="28" s="1"/>
  <c r="AP275" i="28" s="1"/>
  <c r="AT275" i="28" s="1"/>
  <c r="AX275" i="28" s="1"/>
  <c r="BF275" i="28" s="1"/>
  <c r="N316" i="28"/>
  <c r="R316" i="28" s="1"/>
  <c r="V316" i="28" s="1"/>
  <c r="AB316" i="28" s="1"/>
  <c r="AF316" i="28" s="1"/>
  <c r="AJ316" i="28" s="1"/>
  <c r="AP316" i="28" s="1"/>
  <c r="AT316" i="28" s="1"/>
  <c r="AX316" i="28" s="1"/>
  <c r="BF316" i="28" s="1"/>
  <c r="N305" i="28"/>
  <c r="R305" i="28" s="1"/>
  <c r="V305" i="28" s="1"/>
  <c r="AB305" i="28" s="1"/>
  <c r="AF305" i="28" s="1"/>
  <c r="AJ305" i="28" s="1"/>
  <c r="AP305" i="28" s="1"/>
  <c r="AT305" i="28" s="1"/>
  <c r="AX305" i="28" s="1"/>
  <c r="BF305" i="28" s="1"/>
  <c r="N298" i="28"/>
  <c r="R298" i="28" s="1"/>
  <c r="V298" i="28" s="1"/>
  <c r="AB298" i="28" s="1"/>
  <c r="AF298" i="28" s="1"/>
  <c r="AJ298" i="28" s="1"/>
  <c r="AP298" i="28" s="1"/>
  <c r="AT298" i="28" s="1"/>
  <c r="AX298" i="28" s="1"/>
  <c r="BF298" i="28" s="1"/>
  <c r="N292" i="28"/>
  <c r="R292" i="28" s="1"/>
  <c r="V292" i="28" s="1"/>
  <c r="AB292" i="28" s="1"/>
  <c r="AF292" i="28" s="1"/>
  <c r="AJ292" i="28" s="1"/>
  <c r="AP292" i="28" s="1"/>
  <c r="AT292" i="28" s="1"/>
  <c r="AX292" i="28" s="1"/>
  <c r="BF292" i="28" s="1"/>
  <c r="N283" i="28"/>
  <c r="R283" i="28" s="1"/>
  <c r="V283" i="28" s="1"/>
  <c r="AB283" i="28" s="1"/>
  <c r="AF283" i="28" s="1"/>
  <c r="AJ283" i="28" s="1"/>
  <c r="AP283" i="28" s="1"/>
  <c r="AT283" i="28" s="1"/>
  <c r="AX283" i="28" s="1"/>
  <c r="BF283" i="28" s="1"/>
  <c r="N272" i="28"/>
  <c r="R272" i="28" s="1"/>
  <c r="V272" i="28" s="1"/>
  <c r="AB272" i="28" s="1"/>
  <c r="AF272" i="28" s="1"/>
  <c r="AJ272" i="28" s="1"/>
  <c r="AP272" i="28" s="1"/>
  <c r="AT272" i="28" s="1"/>
  <c r="AX272" i="28" s="1"/>
  <c r="BF272" i="28" s="1"/>
  <c r="N212" i="28"/>
  <c r="R212" i="28" s="1"/>
  <c r="V212" i="28" s="1"/>
  <c r="AB212" i="28" s="1"/>
  <c r="AF212" i="28" s="1"/>
  <c r="AJ212" i="28" s="1"/>
  <c r="AP212" i="28" s="1"/>
  <c r="AT212" i="28" s="1"/>
  <c r="AX212" i="28" s="1"/>
  <c r="BF212" i="28" s="1"/>
  <c r="N223" i="28"/>
  <c r="R223" i="28" s="1"/>
  <c r="V223" i="28" s="1"/>
  <c r="AB223" i="28" s="1"/>
  <c r="AF223" i="28" s="1"/>
  <c r="AJ223" i="28" s="1"/>
  <c r="AP223" i="28" s="1"/>
  <c r="AT223" i="28" s="1"/>
  <c r="AX223" i="28" s="1"/>
  <c r="BF223" i="28" s="1"/>
  <c r="N211" i="28"/>
  <c r="R211" i="28" s="1"/>
  <c r="V211" i="28" s="1"/>
  <c r="AB211" i="28" s="1"/>
  <c r="AF211" i="28" s="1"/>
  <c r="AJ211" i="28" s="1"/>
  <c r="AP211" i="28" s="1"/>
  <c r="AT211" i="28" s="1"/>
  <c r="AX211" i="28" s="1"/>
  <c r="BF211" i="28" s="1"/>
  <c r="N199" i="28"/>
  <c r="R199" i="28" s="1"/>
  <c r="V199" i="28" s="1"/>
  <c r="AB199" i="28" s="1"/>
  <c r="AF199" i="28" s="1"/>
  <c r="AJ199" i="28" s="1"/>
  <c r="AP199" i="28" s="1"/>
  <c r="AT199" i="28" s="1"/>
  <c r="AX199" i="28" s="1"/>
  <c r="BF199" i="28" s="1"/>
  <c r="N184" i="28"/>
  <c r="R184" i="28" s="1"/>
  <c r="V184" i="28" s="1"/>
  <c r="AB184" i="28" s="1"/>
  <c r="AF184" i="28" s="1"/>
  <c r="AJ184" i="28" s="1"/>
  <c r="AP184" i="28" s="1"/>
  <c r="AT184" i="28" s="1"/>
  <c r="AX184" i="28" s="1"/>
  <c r="BF184" i="28" s="1"/>
  <c r="N221" i="28"/>
  <c r="R221" i="28" s="1"/>
  <c r="V221" i="28" s="1"/>
  <c r="AB221" i="28" s="1"/>
  <c r="AF221" i="28" s="1"/>
  <c r="AJ221" i="28" s="1"/>
  <c r="AP221" i="28" s="1"/>
  <c r="AT221" i="28" s="1"/>
  <c r="AX221" i="28" s="1"/>
  <c r="BF221" i="28" s="1"/>
  <c r="N208" i="28"/>
  <c r="R208" i="28" s="1"/>
  <c r="V208" i="28" s="1"/>
  <c r="AB208" i="28" s="1"/>
  <c r="AF208" i="28" s="1"/>
  <c r="AJ208" i="28" s="1"/>
  <c r="AP208" i="28" s="1"/>
  <c r="AT208" i="28" s="1"/>
  <c r="AX208" i="28" s="1"/>
  <c r="BF208" i="28" s="1"/>
  <c r="N198" i="28"/>
  <c r="R198" i="28" s="1"/>
  <c r="V198" i="28" s="1"/>
  <c r="AB198" i="28" s="1"/>
  <c r="AF198" i="28" s="1"/>
  <c r="AJ198" i="28" s="1"/>
  <c r="AP198" i="28" s="1"/>
  <c r="AT198" i="28" s="1"/>
  <c r="AX198" i="28" s="1"/>
  <c r="BF198" i="28" s="1"/>
  <c r="N183" i="28"/>
  <c r="R183" i="28" s="1"/>
  <c r="V183" i="28" s="1"/>
  <c r="AB183" i="28" s="1"/>
  <c r="AF183" i="28" s="1"/>
  <c r="AJ183" i="28" s="1"/>
  <c r="AP183" i="28" s="1"/>
  <c r="AT183" i="28" s="1"/>
  <c r="AX183" i="28" s="1"/>
  <c r="BF183" i="28" s="1"/>
  <c r="N196" i="28"/>
  <c r="R196" i="28" s="1"/>
  <c r="V196" i="28" s="1"/>
  <c r="AB196" i="28" s="1"/>
  <c r="AF196" i="28" s="1"/>
  <c r="AJ196" i="28" s="1"/>
  <c r="AP196" i="28" s="1"/>
  <c r="AT196" i="28" s="1"/>
  <c r="AX196" i="28" s="1"/>
  <c r="BF196" i="28" s="1"/>
  <c r="N202" i="28"/>
  <c r="R202" i="28" s="1"/>
  <c r="V202" i="28" s="1"/>
  <c r="AB202" i="28" s="1"/>
  <c r="AF202" i="28" s="1"/>
  <c r="AJ202" i="28" s="1"/>
  <c r="AP202" i="28" s="1"/>
  <c r="AT202" i="28" s="1"/>
  <c r="AX202" i="28" s="1"/>
  <c r="BF202" i="28" s="1"/>
  <c r="N195" i="28"/>
  <c r="R195" i="28" s="1"/>
  <c r="V195" i="28" s="1"/>
  <c r="AB195" i="28" s="1"/>
  <c r="AF195" i="28" s="1"/>
  <c r="AJ195" i="28" s="1"/>
  <c r="AP195" i="28" s="1"/>
  <c r="AT195" i="28" s="1"/>
  <c r="AX195" i="28" s="1"/>
  <c r="BF195" i="28" s="1"/>
  <c r="N181" i="28"/>
  <c r="R181" i="28" s="1"/>
  <c r="V181" i="28" s="1"/>
  <c r="AB181" i="28" s="1"/>
  <c r="AF181" i="28" s="1"/>
  <c r="AJ181" i="28" s="1"/>
  <c r="AP181" i="28" s="1"/>
  <c r="AT181" i="28" s="1"/>
  <c r="AX181" i="28" s="1"/>
  <c r="BF181" i="28" s="1"/>
  <c r="N200" i="28"/>
  <c r="R200" i="28" s="1"/>
  <c r="V200" i="28" s="1"/>
  <c r="AB200" i="28" s="1"/>
  <c r="AF200" i="28" s="1"/>
  <c r="AJ200" i="28" s="1"/>
  <c r="AP200" i="28" s="1"/>
  <c r="AT200" i="28" s="1"/>
  <c r="AX200" i="28" s="1"/>
  <c r="BF200" i="28" s="1"/>
  <c r="N193" i="28"/>
  <c r="R193" i="28" s="1"/>
  <c r="V193" i="28" s="1"/>
  <c r="AB193" i="28" s="1"/>
  <c r="AF193" i="28" s="1"/>
  <c r="AJ193" i="28" s="1"/>
  <c r="AP193" i="28" s="1"/>
  <c r="AT193" i="28" s="1"/>
  <c r="AX193" i="28" s="1"/>
  <c r="BF193" i="28" s="1"/>
  <c r="N179" i="28"/>
  <c r="R179" i="28" s="1"/>
  <c r="V179" i="28" s="1"/>
  <c r="AB179" i="28" s="1"/>
  <c r="AF179" i="28" s="1"/>
  <c r="AJ179" i="28" s="1"/>
  <c r="AP179" i="28" s="1"/>
  <c r="AT179" i="28" s="1"/>
  <c r="N207" i="28"/>
  <c r="R207" i="28" s="1"/>
  <c r="V207" i="28" s="1"/>
  <c r="AB207" i="28" s="1"/>
  <c r="AF207" i="28" s="1"/>
  <c r="AJ207" i="28" s="1"/>
  <c r="AP207" i="28" s="1"/>
  <c r="AT207" i="28" s="1"/>
  <c r="AX207" i="28" s="1"/>
  <c r="BF207" i="28" s="1"/>
  <c r="N182" i="28"/>
  <c r="R182" i="28" s="1"/>
  <c r="V182" i="28" s="1"/>
  <c r="AB182" i="28" s="1"/>
  <c r="AF182" i="28" s="1"/>
  <c r="AJ182" i="28" s="1"/>
  <c r="AP182" i="28" s="1"/>
  <c r="AT182" i="28" s="1"/>
  <c r="AX182" i="28" s="1"/>
  <c r="BF182" i="28" s="1"/>
  <c r="N213" i="28"/>
  <c r="R213" i="28" s="1"/>
  <c r="V213" i="28" s="1"/>
  <c r="AB213" i="28" s="1"/>
  <c r="AF213" i="28" s="1"/>
  <c r="AJ213" i="28" s="1"/>
  <c r="AP213" i="28" s="1"/>
  <c r="AT213" i="28" s="1"/>
  <c r="AX213" i="28" s="1"/>
  <c r="BF213" i="28" s="1"/>
  <c r="N201" i="28"/>
  <c r="R201" i="28" s="1"/>
  <c r="V201" i="28" s="1"/>
  <c r="AB201" i="28" s="1"/>
  <c r="AF201" i="28" s="1"/>
  <c r="AJ201" i="28" s="1"/>
  <c r="AP201" i="28" s="1"/>
  <c r="AT201" i="28" s="1"/>
  <c r="AX201" i="28" s="1"/>
  <c r="BF201" i="28" s="1"/>
  <c r="N194" i="28"/>
  <c r="R194" i="28" s="1"/>
  <c r="V194" i="28" s="1"/>
  <c r="AB194" i="28" s="1"/>
  <c r="AF194" i="28" s="1"/>
  <c r="AJ194" i="28" s="1"/>
  <c r="AP194" i="28" s="1"/>
  <c r="AT194" i="28" s="1"/>
  <c r="AX194" i="28" s="1"/>
  <c r="BF194" i="28" s="1"/>
  <c r="N180" i="28"/>
  <c r="R180" i="28" s="1"/>
  <c r="V180" i="28" s="1"/>
  <c r="AB180" i="28" s="1"/>
  <c r="AF180" i="28" s="1"/>
  <c r="AJ180" i="28" s="1"/>
  <c r="AP180" i="28" s="1"/>
  <c r="AT180" i="28" s="1"/>
  <c r="AX180" i="28" s="1"/>
  <c r="BF180" i="28" s="1"/>
  <c r="S13" i="52"/>
  <c r="S14" i="52" s="1"/>
  <c r="U9" i="52"/>
  <c r="H430" i="28"/>
  <c r="G67" i="17"/>
  <c r="G65" i="17"/>
  <c r="G64" i="17"/>
  <c r="G51" i="17"/>
  <c r="G25" i="17"/>
  <c r="G8" i="17"/>
  <c r="E84" i="17"/>
  <c r="E83" i="17"/>
  <c r="E82" i="17"/>
  <c r="E25" i="17"/>
  <c r="D25" i="17"/>
  <c r="F25" i="17"/>
  <c r="F8" i="17"/>
  <c r="H10" i="26"/>
  <c r="L10" i="26" s="1"/>
  <c r="H8" i="26"/>
  <c r="G14" i="26"/>
  <c r="G16" i="26"/>
  <c r="I60" i="45"/>
  <c r="H60" i="45"/>
  <c r="I59" i="45"/>
  <c r="H59" i="45"/>
  <c r="I58" i="45"/>
  <c r="H58" i="45"/>
  <c r="H70" i="11"/>
  <c r="G70" i="11"/>
  <c r="H69" i="11"/>
  <c r="G69" i="11"/>
  <c r="H68" i="11"/>
  <c r="G68" i="11"/>
  <c r="H133" i="10"/>
  <c r="G133" i="10"/>
  <c r="H132" i="10"/>
  <c r="G132" i="10"/>
  <c r="H131" i="10"/>
  <c r="G131" i="10"/>
  <c r="H46" i="9"/>
  <c r="H20" i="9"/>
  <c r="H22" i="9" s="1"/>
  <c r="J95" i="8"/>
  <c r="J96" i="8"/>
  <c r="J97" i="8"/>
  <c r="J98" i="8"/>
  <c r="J99" i="8"/>
  <c r="J100" i="8"/>
  <c r="J101" i="8"/>
  <c r="H71" i="8"/>
  <c r="H59" i="8"/>
  <c r="H57" i="8"/>
  <c r="H51" i="8"/>
  <c r="H94" i="9"/>
  <c r="H95" i="9" s="1"/>
  <c r="H93" i="9"/>
  <c r="G93" i="9"/>
  <c r="H92" i="9"/>
  <c r="G92" i="9"/>
  <c r="H77" i="8"/>
  <c r="G75" i="8"/>
  <c r="H75" i="8"/>
  <c r="G74" i="8"/>
  <c r="H74" i="8"/>
  <c r="G64" i="8"/>
  <c r="G47" i="8"/>
  <c r="G43" i="8"/>
  <c r="G42" i="8"/>
  <c r="G40" i="8"/>
  <c r="G14" i="8"/>
  <c r="H69" i="7"/>
  <c r="G43" i="7"/>
  <c r="G44" i="7"/>
  <c r="G82" i="7" s="1"/>
  <c r="G45" i="7"/>
  <c r="G46" i="7"/>
  <c r="G47" i="7"/>
  <c r="G48" i="7"/>
  <c r="G49" i="7"/>
  <c r="G42" i="7"/>
  <c r="H156" i="6"/>
  <c r="H155" i="6"/>
  <c r="G155" i="6"/>
  <c r="H154" i="6"/>
  <c r="G154" i="6"/>
  <c r="H130" i="6"/>
  <c r="H129" i="6"/>
  <c r="G129" i="6"/>
  <c r="AI5" i="52" l="1"/>
  <c r="AC8" i="52"/>
  <c r="AJ5" i="52"/>
  <c r="AD8" i="52"/>
  <c r="AD14" i="52" s="1"/>
  <c r="R178" i="28"/>
  <c r="N215" i="28"/>
  <c r="AX179" i="28"/>
  <c r="BF179" i="28" s="1"/>
  <c r="BL179" i="28"/>
  <c r="AJ400" i="28"/>
  <c r="R360" i="28"/>
  <c r="R414" i="28" s="1"/>
  <c r="AJ282" i="28"/>
  <c r="AP282" i="28" s="1"/>
  <c r="AT282" i="28" s="1"/>
  <c r="AX282" i="28" s="1"/>
  <c r="BF282" i="28" s="1"/>
  <c r="U13" i="52"/>
  <c r="U14" i="52" s="1"/>
  <c r="Y9" i="52"/>
  <c r="P10" i="26"/>
  <c r="T10" i="26" s="1"/>
  <c r="Z10" i="26"/>
  <c r="AD10" i="26" s="1"/>
  <c r="AH10" i="26" s="1"/>
  <c r="AN10" i="26" s="1"/>
  <c r="AR10" i="26" s="1"/>
  <c r="AV10" i="26" s="1"/>
  <c r="BD10" i="26" s="1"/>
  <c r="V100" i="8"/>
  <c r="V97" i="8"/>
  <c r="I16" i="26"/>
  <c r="G17" i="26"/>
  <c r="I14" i="26"/>
  <c r="G18" i="26"/>
  <c r="L8" i="26"/>
  <c r="Z8" i="26" s="1"/>
  <c r="H11" i="26"/>
  <c r="H17" i="26" s="1"/>
  <c r="H32" i="11"/>
  <c r="H36" i="11"/>
  <c r="I34" i="50" s="1"/>
  <c r="H40" i="11"/>
  <c r="I4" i="50"/>
  <c r="K6" i="45"/>
  <c r="I70" i="50"/>
  <c r="I60" i="50"/>
  <c r="I46" i="50"/>
  <c r="H26" i="36"/>
  <c r="H7" i="49"/>
  <c r="H8" i="49"/>
  <c r="G10" i="49"/>
  <c r="H10" i="49"/>
  <c r="H16" i="49"/>
  <c r="H17" i="49" s="1"/>
  <c r="H15" i="21"/>
  <c r="H18" i="21"/>
  <c r="H22" i="21"/>
  <c r="H48" i="35"/>
  <c r="H20" i="8"/>
  <c r="I20" i="8"/>
  <c r="H23" i="35"/>
  <c r="G39" i="21"/>
  <c r="G38" i="21"/>
  <c r="G33" i="21"/>
  <c r="F11" i="15" s="1"/>
  <c r="G23" i="35"/>
  <c r="AN5" i="52" l="1"/>
  <c r="AJ8" i="52"/>
  <c r="AJ14" i="52" s="1"/>
  <c r="Y13" i="52"/>
  <c r="Y14" i="52" s="1"/>
  <c r="AC9" i="52"/>
  <c r="AP400" i="28"/>
  <c r="AM5" i="52"/>
  <c r="AI8" i="52"/>
  <c r="V178" i="28"/>
  <c r="R215" i="28"/>
  <c r="V360" i="28"/>
  <c r="V414" i="28" s="1"/>
  <c r="Z11" i="26"/>
  <c r="Z18" i="26" s="1"/>
  <c r="AD8" i="26"/>
  <c r="S24" i="50"/>
  <c r="W24" i="50" s="1"/>
  <c r="I36" i="50"/>
  <c r="K36" i="50" s="1"/>
  <c r="O36" i="50" s="1"/>
  <c r="AC36" i="50" s="1"/>
  <c r="AG36" i="50" s="1"/>
  <c r="AK36" i="50" s="1"/>
  <c r="AQ36" i="50" s="1"/>
  <c r="H52" i="11"/>
  <c r="H56" i="11"/>
  <c r="I10" i="50"/>
  <c r="K10" i="50" s="1"/>
  <c r="O10" i="50" s="1"/>
  <c r="I25" i="50"/>
  <c r="K25" i="50" s="1"/>
  <c r="O25" i="50" s="1"/>
  <c r="AC25" i="50" s="1"/>
  <c r="AG25" i="50" s="1"/>
  <c r="AK25" i="50" s="1"/>
  <c r="AQ25" i="50" s="1"/>
  <c r="K4" i="50"/>
  <c r="O4" i="50" s="1"/>
  <c r="J36" i="11"/>
  <c r="N36" i="11" s="1"/>
  <c r="J32" i="11"/>
  <c r="N32" i="11" s="1"/>
  <c r="J40" i="11"/>
  <c r="N40" i="11" s="1"/>
  <c r="L11" i="26"/>
  <c r="L17" i="26" s="1"/>
  <c r="P8" i="26"/>
  <c r="T8" i="26" s="1"/>
  <c r="T11" i="26" s="1"/>
  <c r="T18" i="26" s="1"/>
  <c r="M14" i="26"/>
  <c r="Q14" i="26" s="1"/>
  <c r="U14" i="26" s="1"/>
  <c r="M16" i="26"/>
  <c r="H18" i="26"/>
  <c r="AI9" i="52" l="1"/>
  <c r="AC13" i="52"/>
  <c r="AC14" i="52" s="1"/>
  <c r="AU36" i="50"/>
  <c r="AY36" i="50" s="1"/>
  <c r="BG36" i="50" s="1"/>
  <c r="AQ5" i="52"/>
  <c r="AM8" i="52"/>
  <c r="AU25" i="50"/>
  <c r="AY25" i="50" s="1"/>
  <c r="BG25" i="50" s="1"/>
  <c r="AT400" i="28"/>
  <c r="AR5" i="52"/>
  <c r="AN8" i="52"/>
  <c r="AN14" i="52" s="1"/>
  <c r="AB178" i="28"/>
  <c r="V215" i="28"/>
  <c r="AC10" i="50"/>
  <c r="AG10" i="50" s="1"/>
  <c r="AK10" i="50" s="1"/>
  <c r="AQ10" i="50" s="1"/>
  <c r="S10" i="50"/>
  <c r="W10" i="50" s="1"/>
  <c r="Z17" i="26"/>
  <c r="AB360" i="28"/>
  <c r="AB414" i="28" s="1"/>
  <c r="AD11" i="26"/>
  <c r="AD18" i="26" s="1"/>
  <c r="AH8" i="26"/>
  <c r="Q16" i="26"/>
  <c r="U16" i="26" s="1"/>
  <c r="AA16" i="26"/>
  <c r="AE16" i="26" s="1"/>
  <c r="AI16" i="26" s="1"/>
  <c r="AO16" i="26" s="1"/>
  <c r="AS16" i="26" s="1"/>
  <c r="R32" i="11"/>
  <c r="V32" i="11" s="1"/>
  <c r="AB32" i="11"/>
  <c r="AF32" i="11" s="1"/>
  <c r="AJ32" i="11" s="1"/>
  <c r="AP32" i="11" s="1"/>
  <c r="R36" i="11"/>
  <c r="V36" i="11" s="1"/>
  <c r="AB36" i="11"/>
  <c r="AF36" i="11" s="1"/>
  <c r="AJ36" i="11" s="1"/>
  <c r="AP36" i="11" s="1"/>
  <c r="R40" i="11"/>
  <c r="V40" i="11" s="1"/>
  <c r="AB40" i="11"/>
  <c r="AF40" i="11" s="1"/>
  <c r="AJ40" i="11" s="1"/>
  <c r="AP40" i="11" s="1"/>
  <c r="S4" i="50"/>
  <c r="W4" i="50" s="1"/>
  <c r="AC4" i="50"/>
  <c r="AG4" i="50" s="1"/>
  <c r="AK4" i="50" s="1"/>
  <c r="AQ4" i="50" s="1"/>
  <c r="S25" i="50"/>
  <c r="W25" i="50" s="1"/>
  <c r="J115" i="10"/>
  <c r="H53" i="11"/>
  <c r="I33" i="50"/>
  <c r="P11" i="26"/>
  <c r="P18" i="26" s="1"/>
  <c r="I41" i="50"/>
  <c r="G60" i="50"/>
  <c r="O40" i="50"/>
  <c r="AC40" i="50" s="1"/>
  <c r="AG40" i="50" s="1"/>
  <c r="AK40" i="50" s="1"/>
  <c r="AQ40" i="50" s="1"/>
  <c r="K60" i="50" l="1"/>
  <c r="O60" i="50" s="1"/>
  <c r="S60" i="50" s="1"/>
  <c r="W60" i="50" s="1"/>
  <c r="H55" i="11"/>
  <c r="K47" i="59" s="1"/>
  <c r="H29" i="35"/>
  <c r="H39" i="35" s="1"/>
  <c r="AR8" i="52"/>
  <c r="AR14" i="52" s="1"/>
  <c r="AZ5" i="52"/>
  <c r="AZ8" i="52" s="1"/>
  <c r="AZ14" i="52" s="1"/>
  <c r="AQ8" i="52"/>
  <c r="AY5" i="52"/>
  <c r="AY8" i="52" s="1"/>
  <c r="H57" i="11"/>
  <c r="AT36" i="11"/>
  <c r="AX36" i="11" s="1"/>
  <c r="BF36" i="11" s="1"/>
  <c r="AW16" i="26"/>
  <c r="BE16" i="26" s="1"/>
  <c r="AU10" i="50"/>
  <c r="AY10" i="50" s="1"/>
  <c r="BG10" i="50" s="1"/>
  <c r="BE33" i="50"/>
  <c r="AU40" i="50"/>
  <c r="AY40" i="50" s="1"/>
  <c r="BG40" i="50" s="1"/>
  <c r="AT40" i="11"/>
  <c r="AX40" i="11" s="1"/>
  <c r="BF40" i="11" s="1"/>
  <c r="AT32" i="11"/>
  <c r="AX32" i="11" s="1"/>
  <c r="BF32" i="11" s="1"/>
  <c r="AX400" i="28"/>
  <c r="BF400" i="28" s="1"/>
  <c r="AM9" i="52"/>
  <c r="AI13" i="52"/>
  <c r="AI14" i="52" s="1"/>
  <c r="AF178" i="28"/>
  <c r="AB215" i="28"/>
  <c r="AQ33" i="50"/>
  <c r="AU33" i="50" s="1"/>
  <c r="AU4" i="50"/>
  <c r="AY4" i="50" s="1"/>
  <c r="BG4" i="50" s="1"/>
  <c r="AH11" i="26"/>
  <c r="AH17" i="26" s="1"/>
  <c r="AN8" i="26"/>
  <c r="AD17" i="26"/>
  <c r="AF360" i="28"/>
  <c r="AF414" i="28" s="1"/>
  <c r="AH18" i="26"/>
  <c r="J116" i="10"/>
  <c r="S35" i="50"/>
  <c r="W35" i="50" s="1"/>
  <c r="S40" i="50"/>
  <c r="W40" i="50" s="1"/>
  <c r="P17" i="26"/>
  <c r="N115" i="10"/>
  <c r="K33" i="50"/>
  <c r="J119" i="10" s="1"/>
  <c r="H119" i="10"/>
  <c r="H120" i="10" s="1"/>
  <c r="T17" i="26"/>
  <c r="I71" i="50"/>
  <c r="G70" i="50"/>
  <c r="E8" i="52"/>
  <c r="E13" i="52"/>
  <c r="G46" i="50"/>
  <c r="K46" i="50" s="1"/>
  <c r="O46" i="50" s="1"/>
  <c r="S46" i="50" s="1"/>
  <c r="W46" i="50" s="1"/>
  <c r="D85" i="17"/>
  <c r="D83" i="17"/>
  <c r="D82" i="17"/>
  <c r="F60" i="45"/>
  <c r="F59" i="45"/>
  <c r="F58" i="45"/>
  <c r="E70" i="11"/>
  <c r="E69" i="11"/>
  <c r="E68" i="11"/>
  <c r="E133" i="10"/>
  <c r="E132" i="10"/>
  <c r="E131" i="10"/>
  <c r="E93" i="9"/>
  <c r="E92" i="9"/>
  <c r="E74" i="8"/>
  <c r="E75" i="8"/>
  <c r="E129" i="6"/>
  <c r="E154" i="6"/>
  <c r="E155" i="6"/>
  <c r="F8" i="49"/>
  <c r="F7" i="49"/>
  <c r="F16" i="49"/>
  <c r="F17" i="49" s="1"/>
  <c r="F10" i="49"/>
  <c r="E10" i="49"/>
  <c r="E62" i="11"/>
  <c r="H48" i="59" s="1"/>
  <c r="E60" i="11"/>
  <c r="E125" i="10"/>
  <c r="H44" i="59" s="1"/>
  <c r="E71" i="7"/>
  <c r="G60" i="45"/>
  <c r="G59" i="45"/>
  <c r="G58" i="45"/>
  <c r="F66" i="11"/>
  <c r="F70" i="11"/>
  <c r="F69" i="11"/>
  <c r="F68" i="11"/>
  <c r="F133" i="10"/>
  <c r="F131" i="10"/>
  <c r="F132" i="10"/>
  <c r="F98" i="9"/>
  <c r="F93" i="9"/>
  <c r="F92" i="9"/>
  <c r="F71" i="8"/>
  <c r="F75" i="8"/>
  <c r="F74" i="8"/>
  <c r="F73" i="8"/>
  <c r="F155" i="6"/>
  <c r="F154" i="6"/>
  <c r="F129" i="6"/>
  <c r="F261" i="28"/>
  <c r="J144" i="28"/>
  <c r="R144" i="28" s="1"/>
  <c r="V144" i="28" s="1"/>
  <c r="AF144" i="28" s="1"/>
  <c r="AJ144" i="28" s="1"/>
  <c r="AP144" i="28" s="1"/>
  <c r="AT144" i="28" s="1"/>
  <c r="AX144" i="28" s="1"/>
  <c r="F26" i="28"/>
  <c r="F18" i="21"/>
  <c r="H22" i="36" l="1"/>
  <c r="J120" i="10"/>
  <c r="BD119" i="10"/>
  <c r="BD120" i="10" s="1"/>
  <c r="AM13" i="52"/>
  <c r="AM14" i="52" s="1"/>
  <c r="AQ9" i="52"/>
  <c r="AN11" i="26"/>
  <c r="AN17" i="26" s="1"/>
  <c r="AR8" i="26"/>
  <c r="AJ178" i="28"/>
  <c r="AF215" i="28"/>
  <c r="AT119" i="10"/>
  <c r="AT120" i="10" s="1"/>
  <c r="AY33" i="50"/>
  <c r="F23" i="21"/>
  <c r="AJ360" i="28"/>
  <c r="AJ414" i="28" s="1"/>
  <c r="N116" i="10"/>
  <c r="AC70" i="50"/>
  <c r="AG70" i="50" s="1"/>
  <c r="AK70" i="50" s="1"/>
  <c r="V115" i="10"/>
  <c r="R115" i="10"/>
  <c r="K70" i="50"/>
  <c r="O70" i="50" s="1"/>
  <c r="S70" i="50" s="1"/>
  <c r="W70" i="50" s="1"/>
  <c r="E14" i="52"/>
  <c r="L18" i="26"/>
  <c r="E51" i="17"/>
  <c r="J12" i="38"/>
  <c r="E67" i="17"/>
  <c r="E65" i="17"/>
  <c r="E64" i="17"/>
  <c r="F26" i="11"/>
  <c r="F56" i="11" s="1"/>
  <c r="F75" i="11"/>
  <c r="F138" i="10"/>
  <c r="E122" i="10"/>
  <c r="E123" i="10" s="1"/>
  <c r="F56" i="9"/>
  <c r="F46" i="9"/>
  <c r="F30" i="9"/>
  <c r="F20" i="9"/>
  <c r="F22" i="9" s="1"/>
  <c r="F16" i="35"/>
  <c r="F46" i="35"/>
  <c r="F45" i="35"/>
  <c r="AN18" i="26" l="1"/>
  <c r="AQ13" i="52"/>
  <c r="AQ14" i="52" s="1"/>
  <c r="AY9" i="52"/>
  <c r="AY13" i="52" s="1"/>
  <c r="AY14" i="52" s="1"/>
  <c r="AV8" i="26"/>
  <c r="AR11" i="26"/>
  <c r="AX119" i="10"/>
  <c r="AX120" i="10" s="1"/>
  <c r="BG33" i="50"/>
  <c r="AP178" i="28"/>
  <c r="AJ215" i="28"/>
  <c r="AP360" i="28"/>
  <c r="AP414" i="28" s="1"/>
  <c r="R116" i="10"/>
  <c r="V116" i="10"/>
  <c r="V147" i="10"/>
  <c r="G34" i="50"/>
  <c r="K34" i="50" s="1"/>
  <c r="O34" i="50" s="1"/>
  <c r="AC34" i="50" s="1"/>
  <c r="V148" i="10"/>
  <c r="J26" i="11"/>
  <c r="N26" i="11" s="1"/>
  <c r="F52" i="11"/>
  <c r="AV11" i="26" l="1"/>
  <c r="AV18" i="26" s="1"/>
  <c r="BD8" i="26"/>
  <c r="BD11" i="26" s="1"/>
  <c r="AR17" i="26"/>
  <c r="AR18" i="26"/>
  <c r="AV17" i="26"/>
  <c r="BF119" i="10"/>
  <c r="BF120" i="10" s="1"/>
  <c r="AT178" i="28"/>
  <c r="AP215" i="28"/>
  <c r="AT360" i="28"/>
  <c r="AC41" i="50"/>
  <c r="AG41" i="50" s="1"/>
  <c r="AK41" i="50" s="1"/>
  <c r="AG34" i="50"/>
  <c r="AK34" i="50" s="1"/>
  <c r="AQ34" i="50" s="1"/>
  <c r="BE41" i="50" s="1"/>
  <c r="BE71" i="50" s="1"/>
  <c r="N56" i="11"/>
  <c r="AB26" i="11"/>
  <c r="AF26" i="11" s="1"/>
  <c r="AJ26" i="11" s="1"/>
  <c r="AP26" i="11" s="1"/>
  <c r="V149" i="10"/>
  <c r="J52" i="11"/>
  <c r="V140" i="10"/>
  <c r="J56" i="11"/>
  <c r="R26" i="11"/>
  <c r="V26" i="11" s="1"/>
  <c r="N52" i="11"/>
  <c r="G41" i="50"/>
  <c r="E88" i="26"/>
  <c r="F88" i="26"/>
  <c r="BD18" i="26" l="1"/>
  <c r="BD17" i="26"/>
  <c r="AX360" i="28"/>
  <c r="BF360" i="28" s="1"/>
  <c r="AT414" i="28"/>
  <c r="AT26" i="11"/>
  <c r="AX26" i="11" s="1"/>
  <c r="BF26" i="11" s="1"/>
  <c r="AX178" i="28"/>
  <c r="AT215" i="28"/>
  <c r="AQ41" i="50"/>
  <c r="AU34" i="50"/>
  <c r="AY34" i="50" s="1"/>
  <c r="BG34" i="50" s="1"/>
  <c r="AP56" i="11"/>
  <c r="AP52" i="11"/>
  <c r="AP53" i="11" s="1"/>
  <c r="AJ56" i="11"/>
  <c r="AJ52" i="11"/>
  <c r="AF56" i="11"/>
  <c r="AF52" i="11"/>
  <c r="AB56" i="11"/>
  <c r="AB52" i="11"/>
  <c r="V52" i="11"/>
  <c r="V56" i="11"/>
  <c r="K41" i="50"/>
  <c r="O41" i="50" s="1"/>
  <c r="G71" i="50"/>
  <c r="R52" i="11"/>
  <c r="R56" i="11"/>
  <c r="J53" i="11"/>
  <c r="R140" i="10"/>
  <c r="R148" i="10"/>
  <c r="AP57" i="11" l="1"/>
  <c r="J57" i="11"/>
  <c r="AX52" i="11"/>
  <c r="AX53" i="11" s="1"/>
  <c r="AX56" i="11"/>
  <c r="AT52" i="11"/>
  <c r="AT53" i="11" s="1"/>
  <c r="AT56" i="11"/>
  <c r="AX215" i="28"/>
  <c r="BF178" i="28"/>
  <c r="BF414" i="28"/>
  <c r="AX414" i="28"/>
  <c r="AQ71" i="50"/>
  <c r="AU41" i="50"/>
  <c r="AY41" i="50" s="1"/>
  <c r="BG41" i="50" s="1"/>
  <c r="BG71" i="50" s="1"/>
  <c r="AP84" i="11"/>
  <c r="AP86" i="11" s="1"/>
  <c r="AJ53" i="11"/>
  <c r="AJ84" i="11"/>
  <c r="AF53" i="11"/>
  <c r="AF84" i="11"/>
  <c r="AF86" i="11" s="1"/>
  <c r="AB84" i="11"/>
  <c r="AB53" i="11"/>
  <c r="V84" i="11"/>
  <c r="V86" i="11" s="1"/>
  <c r="V53" i="11"/>
  <c r="K71" i="50"/>
  <c r="N53" i="11"/>
  <c r="AT57" i="11" l="1"/>
  <c r="AX57" i="11"/>
  <c r="AF57" i="11"/>
  <c r="AJ57" i="11"/>
  <c r="N57" i="11"/>
  <c r="AB57" i="11"/>
  <c r="V57" i="11"/>
  <c r="AX84" i="11"/>
  <c r="AX86" i="11" s="1"/>
  <c r="AT84" i="11"/>
  <c r="AT86" i="11" s="1"/>
  <c r="BF56" i="11"/>
  <c r="BF52" i="11"/>
  <c r="AU71" i="50"/>
  <c r="AY71" i="50" s="1"/>
  <c r="AJ86" i="11"/>
  <c r="AB86" i="11"/>
  <c r="BF53" i="11" l="1"/>
  <c r="BF84" i="11"/>
  <c r="AZ15" i="36"/>
  <c r="AZ1" i="7"/>
  <c r="AZ67" i="7" s="1"/>
  <c r="AY1" i="7"/>
  <c r="AY67" i="7" s="1"/>
  <c r="BC427" i="28"/>
  <c r="BC424" i="28"/>
  <c r="BC423" i="28"/>
  <c r="BC383" i="28"/>
  <c r="BC382" i="28"/>
  <c r="BC381" i="28"/>
  <c r="BC374" i="28"/>
  <c r="BC373" i="28"/>
  <c r="BC372" i="28"/>
  <c r="BC371" i="28"/>
  <c r="BC370" i="28"/>
  <c r="BC369" i="28"/>
  <c r="BC368" i="28"/>
  <c r="BC366" i="28"/>
  <c r="BC365" i="28"/>
  <c r="BC364" i="28"/>
  <c r="BC363" i="28"/>
  <c r="BC362" i="28"/>
  <c r="BC361" i="28"/>
  <c r="BC360" i="28"/>
  <c r="BC359" i="28"/>
  <c r="BC353" i="28"/>
  <c r="BC352" i="28"/>
  <c r="BC351" i="28"/>
  <c r="BC350" i="28"/>
  <c r="BC349" i="28"/>
  <c r="BC346" i="28"/>
  <c r="BC345" i="28"/>
  <c r="BC344" i="28"/>
  <c r="BC341" i="28"/>
  <c r="BC340" i="28"/>
  <c r="BC339" i="28"/>
  <c r="BC338" i="28"/>
  <c r="BC337" i="28"/>
  <c r="BC332" i="28"/>
  <c r="BC331" i="28"/>
  <c r="BC329" i="28"/>
  <c r="BC326" i="28"/>
  <c r="BC324" i="28"/>
  <c r="BC215" i="28"/>
  <c r="BC214" i="28"/>
  <c r="BC213" i="28"/>
  <c r="BC212" i="28"/>
  <c r="BC211" i="28"/>
  <c r="BC208" i="28"/>
  <c r="BC207" i="28"/>
  <c r="BC202" i="28"/>
  <c r="BC201" i="28"/>
  <c r="BC200" i="28"/>
  <c r="BC199" i="28"/>
  <c r="BC198" i="28"/>
  <c r="BC196" i="28"/>
  <c r="BC195" i="28"/>
  <c r="BC194" i="28"/>
  <c r="BC193" i="28"/>
  <c r="BC184" i="28"/>
  <c r="BC183" i="28"/>
  <c r="BC182" i="28"/>
  <c r="BC181" i="28"/>
  <c r="BC180" i="28"/>
  <c r="BC179" i="28"/>
  <c r="BC175" i="28"/>
  <c r="BC66" i="28"/>
  <c r="BC65" i="28"/>
  <c r="BC62" i="28"/>
  <c r="BC61" i="28"/>
  <c r="BC58" i="28"/>
  <c r="BC57" i="28"/>
  <c r="BC54" i="28"/>
  <c r="BC53" i="28"/>
  <c r="BC50" i="28"/>
  <c r="BC49" i="28"/>
  <c r="BD178" i="28"/>
  <c r="BC38" i="35"/>
  <c r="AZ65" i="8" l="1"/>
  <c r="BC34" i="59"/>
  <c r="BF57" i="11"/>
  <c r="BF86" i="11"/>
  <c r="AZ110" i="7"/>
  <c r="AZ111" i="7" l="1"/>
  <c r="AZ112" i="7"/>
  <c r="AZ113" i="7" s="1"/>
  <c r="AZ114" i="7" l="1"/>
  <c r="AZ116" i="7" s="1"/>
  <c r="AV1" i="7"/>
  <c r="AU1" i="7"/>
  <c r="AV125" i="7"/>
  <c r="AV127" i="7" s="1"/>
  <c r="AV128" i="7" s="1"/>
  <c r="AV119" i="7"/>
  <c r="AV121" i="7" s="1"/>
  <c r="AV122" i="7" s="1"/>
  <c r="AU67" i="7" l="1"/>
  <c r="BA1" i="7"/>
  <c r="AV67" i="7"/>
  <c r="BB1" i="7"/>
  <c r="AV104" i="7"/>
  <c r="AV105" i="7" s="1"/>
  <c r="AV106" i="7" s="1"/>
  <c r="BB67" i="7" l="1"/>
  <c r="BA67" i="7"/>
  <c r="AV107" i="7"/>
  <c r="AV108" i="7" s="1"/>
  <c r="AV109" i="7" s="1"/>
  <c r="AV102" i="7"/>
  <c r="AV110" i="7"/>
  <c r="AV111" i="7" l="1"/>
  <c r="AV112" i="7"/>
  <c r="AV113" i="7" s="1"/>
  <c r="AV114" i="7" l="1"/>
  <c r="AV116" i="7" s="1"/>
  <c r="AR33" i="28" l="1"/>
  <c r="BB33" i="28" l="1"/>
  <c r="AV94" i="38" l="1"/>
  <c r="AV93" i="38"/>
  <c r="AV92" i="38"/>
  <c r="AV91" i="38"/>
  <c r="AU90" i="38"/>
  <c r="AV89" i="38"/>
  <c r="AU88" i="38"/>
  <c r="AV86" i="38"/>
  <c r="AV85" i="38"/>
  <c r="AV84" i="38"/>
  <c r="AV83" i="38"/>
  <c r="AU82" i="38"/>
  <c r="AV80" i="38"/>
  <c r="AV79" i="38"/>
  <c r="AV78" i="38"/>
  <c r="AV77" i="38"/>
  <c r="AV76" i="38"/>
  <c r="AV75" i="38"/>
  <c r="AV74" i="38"/>
  <c r="AV73" i="38"/>
  <c r="AV72" i="38"/>
  <c r="AV71" i="38"/>
  <c r="AV70" i="38"/>
  <c r="AV69" i="38"/>
  <c r="AV68" i="38"/>
  <c r="AV67" i="38"/>
  <c r="AU66" i="38"/>
  <c r="AV62" i="38"/>
  <c r="AV61" i="38"/>
  <c r="AU60" i="38"/>
  <c r="AV59" i="38"/>
  <c r="AV58" i="38"/>
  <c r="AV57" i="38"/>
  <c r="AV56" i="38"/>
  <c r="AV55" i="38"/>
  <c r="AU54" i="38"/>
  <c r="AU52" i="38"/>
  <c r="AV51" i="38"/>
  <c r="AU51" i="38"/>
  <c r="AU46" i="38"/>
  <c r="BE46" i="38" s="1"/>
  <c r="AU45" i="38"/>
  <c r="BE45" i="38" s="1"/>
  <c r="AU44" i="38"/>
  <c r="BE44" i="38" s="1"/>
  <c r="AU43" i="38"/>
  <c r="BE43" i="38" s="1"/>
  <c r="AV42" i="38"/>
  <c r="BF42" i="38" s="1"/>
  <c r="AU41" i="38"/>
  <c r="BE41" i="38" s="1"/>
  <c r="AV40" i="38"/>
  <c r="BF40" i="38" s="1"/>
  <c r="AU38" i="38"/>
  <c r="BE38" i="38" s="1"/>
  <c r="AU37" i="38"/>
  <c r="BE37" i="38" s="1"/>
  <c r="AU36" i="38"/>
  <c r="BE36" i="38" s="1"/>
  <c r="AU35" i="38"/>
  <c r="BE35" i="38" s="1"/>
  <c r="AV34" i="38"/>
  <c r="BF34" i="38" s="1"/>
  <c r="AU32" i="38"/>
  <c r="BE32" i="38" s="1"/>
  <c r="AU31" i="38"/>
  <c r="BE31" i="38" s="1"/>
  <c r="AU30" i="38"/>
  <c r="BE30" i="38" s="1"/>
  <c r="AU29" i="38"/>
  <c r="BE29" i="38" s="1"/>
  <c r="AU28" i="38"/>
  <c r="BE28" i="38" s="1"/>
  <c r="AU27" i="38"/>
  <c r="AU26" i="38"/>
  <c r="AU25" i="38"/>
  <c r="BE25" i="38" s="1"/>
  <c r="AU24" i="38"/>
  <c r="BE24" i="38" s="1"/>
  <c r="AU23" i="38"/>
  <c r="BE23" i="38" s="1"/>
  <c r="AU22" i="38"/>
  <c r="BE22" i="38" s="1"/>
  <c r="AU21" i="38"/>
  <c r="BE21" i="38" s="1"/>
  <c r="AU20" i="38"/>
  <c r="BE20" i="38" s="1"/>
  <c r="AU19" i="38"/>
  <c r="BE19" i="38" s="1"/>
  <c r="AV18" i="38"/>
  <c r="BF18" i="38" s="1"/>
  <c r="AU14" i="38"/>
  <c r="BE14" i="38" s="1"/>
  <c r="AU13" i="38"/>
  <c r="BE13" i="38" s="1"/>
  <c r="AV12" i="38"/>
  <c r="BF12" i="38" s="1"/>
  <c r="AU11" i="38"/>
  <c r="BE11" i="38" s="1"/>
  <c r="AU10" i="38"/>
  <c r="BE10" i="38" s="1"/>
  <c r="AU9" i="38"/>
  <c r="BE9" i="38" s="1"/>
  <c r="AU8" i="38"/>
  <c r="BE8" i="38" s="1"/>
  <c r="AU7" i="38"/>
  <c r="BE7" i="38" s="1"/>
  <c r="AV6" i="38"/>
  <c r="BF6" i="38" s="1"/>
  <c r="BF54" i="38" l="1"/>
  <c r="BH6" i="38"/>
  <c r="BG29" i="38"/>
  <c r="BE77" i="38"/>
  <c r="BE91" i="38"/>
  <c r="BG43" i="38"/>
  <c r="BE57" i="38"/>
  <c r="BG9" i="38"/>
  <c r="BE61" i="38"/>
  <c r="BG13" i="38"/>
  <c r="BE68" i="38"/>
  <c r="BG20" i="38"/>
  <c r="BE72" i="38"/>
  <c r="BG24" i="38"/>
  <c r="BE76" i="38"/>
  <c r="BG28" i="38"/>
  <c r="BE80" i="38"/>
  <c r="BG32" i="38"/>
  <c r="BE85" i="38"/>
  <c r="BG37" i="38"/>
  <c r="BF90" i="38"/>
  <c r="BH42" i="38"/>
  <c r="BG46" i="38"/>
  <c r="BE94" i="38"/>
  <c r="BE62" i="38"/>
  <c r="BG14" i="38"/>
  <c r="BG38" i="38"/>
  <c r="BE86" i="38"/>
  <c r="BE58" i="38"/>
  <c r="BG10" i="38"/>
  <c r="BG25" i="38"/>
  <c r="BE73" i="38"/>
  <c r="BE55" i="38"/>
  <c r="BG7" i="38"/>
  <c r="BE59" i="38"/>
  <c r="BG11" i="38"/>
  <c r="BF66" i="38"/>
  <c r="BH18" i="38"/>
  <c r="BE70" i="38"/>
  <c r="BG22" i="38"/>
  <c r="AQ66" i="11"/>
  <c r="BA66" i="11" s="1"/>
  <c r="BA67" i="11" s="1"/>
  <c r="BE26" i="38"/>
  <c r="BE78" i="38"/>
  <c r="BG30" i="38"/>
  <c r="BE83" i="38"/>
  <c r="BG35" i="38"/>
  <c r="BH40" i="38"/>
  <c r="BF88" i="38"/>
  <c r="BG44" i="38"/>
  <c r="BE92" i="38"/>
  <c r="BG21" i="38"/>
  <c r="BE69" i="38"/>
  <c r="BF82" i="38"/>
  <c r="BH34" i="38"/>
  <c r="BE56" i="38"/>
  <c r="BG8" i="38"/>
  <c r="BF60" i="38"/>
  <c r="BH12" i="38"/>
  <c r="BE67" i="38"/>
  <c r="BG19" i="38"/>
  <c r="BE71" i="38"/>
  <c r="BG23" i="38"/>
  <c r="AR56" i="45"/>
  <c r="BB56" i="45" s="1"/>
  <c r="BB57" i="45" s="1"/>
  <c r="BE27" i="38"/>
  <c r="BE79" i="38"/>
  <c r="BG31" i="38"/>
  <c r="BE84" i="38"/>
  <c r="BG36" i="38"/>
  <c r="BE89" i="38"/>
  <c r="BG41" i="38"/>
  <c r="BE93" i="38"/>
  <c r="BG45" i="38"/>
  <c r="AQ69" i="7"/>
  <c r="AQ129" i="10"/>
  <c r="AQ77" i="8"/>
  <c r="AQ130" i="6"/>
  <c r="AQ156" i="6"/>
  <c r="AQ94" i="9"/>
  <c r="AR57" i="45"/>
  <c r="AV60" i="38"/>
  <c r="AU40" i="38"/>
  <c r="BE40" i="38" s="1"/>
  <c r="AV90" i="38"/>
  <c r="AV54" i="38"/>
  <c r="AU12" i="38"/>
  <c r="BE12" i="38" s="1"/>
  <c r="AV82" i="38"/>
  <c r="AV17" i="38"/>
  <c r="BF17" i="38" s="1"/>
  <c r="AV39" i="38"/>
  <c r="BF39" i="38" s="1"/>
  <c r="AU87" i="38"/>
  <c r="AU64" i="38" s="1"/>
  <c r="AU42" i="38"/>
  <c r="BE42" i="38" s="1"/>
  <c r="AU34" i="38"/>
  <c r="BE34" i="38" s="1"/>
  <c r="AU18" i="38"/>
  <c r="BE18" i="38" s="1"/>
  <c r="AU63" i="38"/>
  <c r="AU6" i="38"/>
  <c r="BE6" i="38" s="1"/>
  <c r="AV65" i="38"/>
  <c r="AV66" i="38"/>
  <c r="AV88" i="38"/>
  <c r="AV15" i="38"/>
  <c r="BF15" i="38" s="1"/>
  <c r="AQ67" i="11" l="1"/>
  <c r="BF63" i="38"/>
  <c r="BH15" i="38"/>
  <c r="BE88" i="38"/>
  <c r="BG40" i="38"/>
  <c r="BE66" i="38"/>
  <c r="BG18" i="38"/>
  <c r="BF87" i="38"/>
  <c r="BH39" i="38"/>
  <c r="BE75" i="38"/>
  <c r="BG27" i="38"/>
  <c r="BE90" i="38"/>
  <c r="BG42" i="38"/>
  <c r="BE74" i="38"/>
  <c r="BG26" i="38"/>
  <c r="BE82" i="38"/>
  <c r="BG34" i="38"/>
  <c r="BH17" i="38"/>
  <c r="BF65" i="38"/>
  <c r="BB26" i="36"/>
  <c r="BE54" i="38"/>
  <c r="BG6" i="38"/>
  <c r="BE60" i="38"/>
  <c r="BG12" i="38"/>
  <c r="BA156" i="6"/>
  <c r="BA157" i="6" s="1"/>
  <c r="AQ157" i="6"/>
  <c r="AQ130" i="10"/>
  <c r="BA129" i="10"/>
  <c r="BA130" i="10" s="1"/>
  <c r="AQ95" i="9"/>
  <c r="BA94" i="9"/>
  <c r="BA95" i="9" s="1"/>
  <c r="BA130" i="6"/>
  <c r="BA131" i="6" s="1"/>
  <c r="AQ131" i="6"/>
  <c r="AQ78" i="8"/>
  <c r="BA77" i="8"/>
  <c r="BA78" i="8" s="1"/>
  <c r="BA69" i="7"/>
  <c r="BA70" i="7" s="1"/>
  <c r="BD26" i="59" s="1"/>
  <c r="AQ70" i="7"/>
  <c r="AR26" i="36"/>
  <c r="AV87" i="38"/>
  <c r="AV63" i="38"/>
  <c r="AU15" i="38"/>
  <c r="BE15" i="38" s="1"/>
  <c r="AU39" i="38"/>
  <c r="BE39" i="38" s="1"/>
  <c r="AV16" i="38"/>
  <c r="BF16" i="38" s="1"/>
  <c r="AU17" i="38"/>
  <c r="BE17" i="38" s="1"/>
  <c r="BE87" i="38" l="1"/>
  <c r="BG39" i="38"/>
  <c r="BF64" i="38"/>
  <c r="BH16" i="38"/>
  <c r="BE63" i="38"/>
  <c r="BG15" i="38"/>
  <c r="BE65" i="38"/>
  <c r="BA26" i="36"/>
  <c r="BA25" i="36"/>
  <c r="BD55" i="59" s="1"/>
  <c r="BG17" i="38"/>
  <c r="AU16" i="38"/>
  <c r="BE16" i="38" s="1"/>
  <c r="AV64" i="38"/>
  <c r="AA25" i="39"/>
  <c r="K25" i="39"/>
  <c r="O25" i="39" s="1"/>
  <c r="S25" i="39" s="1"/>
  <c r="W25" i="39" s="1"/>
  <c r="AC25" i="39" s="1"/>
  <c r="AG25" i="39" s="1"/>
  <c r="AK25" i="39" s="1"/>
  <c r="AQ25" i="39" s="1"/>
  <c r="AU25" i="39" s="1"/>
  <c r="AY25" i="39" s="1"/>
  <c r="BG25" i="39" s="1"/>
  <c r="BE64" i="38" l="1"/>
  <c r="BG16" i="38"/>
  <c r="AQ31" i="48"/>
  <c r="AQ34" i="48"/>
  <c r="AR5" i="49"/>
  <c r="AQ5" i="49"/>
  <c r="AR7" i="48"/>
  <c r="AR6" i="48"/>
  <c r="AQ55" i="48"/>
  <c r="AQ54" i="48"/>
  <c r="AQ53" i="48"/>
  <c r="AQ52" i="48"/>
  <c r="AQ51" i="48"/>
  <c r="AQ50" i="48"/>
  <c r="AQ49" i="48"/>
  <c r="AQ48" i="48"/>
  <c r="AQ47" i="48"/>
  <c r="AQ46" i="48"/>
  <c r="AQ45" i="48"/>
  <c r="AQ44" i="48"/>
  <c r="AQ43" i="48"/>
  <c r="AQ42" i="48"/>
  <c r="AQ40" i="48"/>
  <c r="AQ37" i="48"/>
  <c r="AQ26" i="48"/>
  <c r="AQ21" i="48"/>
  <c r="AP7" i="48"/>
  <c r="AP6" i="48"/>
  <c r="AQ27" i="48"/>
  <c r="AQ22" i="48"/>
  <c r="BB102" i="7" l="1"/>
  <c r="AR8" i="48"/>
  <c r="AP8" i="48"/>
  <c r="AQ23" i="48"/>
  <c r="AU33" i="59"/>
  <c r="BB110" i="7"/>
  <c r="AQ28" i="48"/>
  <c r="AT26" i="59"/>
  <c r="AU26" i="59"/>
  <c r="AQ196" i="6"/>
  <c r="AQ195" i="6"/>
  <c r="AQ194" i="6"/>
  <c r="AQ190" i="6"/>
  <c r="AQ188" i="6"/>
  <c r="AQ187" i="6"/>
  <c r="AQ186" i="6"/>
  <c r="AQ185" i="6"/>
  <c r="AQ184" i="6"/>
  <c r="AQ183" i="6"/>
  <c r="AQ182" i="6"/>
  <c r="AR195" i="6"/>
  <c r="AR194" i="6"/>
  <c r="AR196" i="6"/>
  <c r="AR190" i="6"/>
  <c r="AR186" i="6"/>
  <c r="AR188" i="6"/>
  <c r="AR187" i="6"/>
  <c r="AR184" i="6"/>
  <c r="AR185" i="6"/>
  <c r="AR183" i="6"/>
  <c r="AR182" i="6"/>
  <c r="AR424" i="28"/>
  <c r="AR426" i="28" s="1"/>
  <c r="BB426" i="28" s="1"/>
  <c r="AR420" i="28"/>
  <c r="AR318" i="28"/>
  <c r="AR319" i="28" s="1"/>
  <c r="AR261" i="28"/>
  <c r="AR64" i="28"/>
  <c r="BB64" i="28" s="1"/>
  <c r="AR62" i="28"/>
  <c r="AR58" i="28"/>
  <c r="AR54" i="28"/>
  <c r="AR50" i="28"/>
  <c r="AR443" i="28" s="1"/>
  <c r="BB37" i="28"/>
  <c r="AR36" i="28"/>
  <c r="BB36" i="28" s="1"/>
  <c r="AR35" i="28"/>
  <c r="BB35" i="28" s="1"/>
  <c r="AR34" i="28"/>
  <c r="AQ33" i="28"/>
  <c r="BA33" i="28" s="1"/>
  <c r="AR31" i="28"/>
  <c r="AQ27" i="28"/>
  <c r="BA27" i="28" s="1"/>
  <c r="AR24" i="28"/>
  <c r="AQ21" i="28"/>
  <c r="BA21" i="28" s="1"/>
  <c r="AR18" i="28"/>
  <c r="AQ15" i="28"/>
  <c r="AR11" i="28"/>
  <c r="AQ8" i="28"/>
  <c r="BA8" i="28" s="1"/>
  <c r="AR55" i="36"/>
  <c r="AR54" i="36"/>
  <c r="AQ19" i="36"/>
  <c r="AT38" i="59" s="1"/>
  <c r="AR52" i="36"/>
  <c r="AR51" i="36"/>
  <c r="AQ49" i="36"/>
  <c r="BA49" i="36" s="1"/>
  <c r="AQ48" i="36"/>
  <c r="BA48" i="36" s="1"/>
  <c r="AR47" i="36"/>
  <c r="AQ45" i="36"/>
  <c r="BA45" i="36" s="1"/>
  <c r="AR33" i="36"/>
  <c r="AQ33" i="36"/>
  <c r="AR17" i="36"/>
  <c r="AU36" i="59" s="1"/>
  <c r="AR16" i="36"/>
  <c r="AU35" i="59" s="1"/>
  <c r="AQ13" i="36"/>
  <c r="AT30" i="59" s="1"/>
  <c r="AR12" i="36"/>
  <c r="AU29" i="59" s="1"/>
  <c r="AR11" i="36"/>
  <c r="AU28" i="59" s="1"/>
  <c r="AR10" i="36"/>
  <c r="AU27" i="59" s="1"/>
  <c r="AR5" i="36"/>
  <c r="AR37" i="21"/>
  <c r="AQ35" i="21"/>
  <c r="BA35" i="21" s="1"/>
  <c r="AR33" i="21"/>
  <c r="AR29" i="21"/>
  <c r="AR24" i="21"/>
  <c r="AR25" i="21" s="1"/>
  <c r="AR18" i="21"/>
  <c r="AR15" i="21"/>
  <c r="BB15" i="21" s="1"/>
  <c r="AR12" i="21"/>
  <c r="AQ12" i="21"/>
  <c r="AQ22" i="21" s="1"/>
  <c r="AQ40" i="35"/>
  <c r="BA40" i="35" s="1"/>
  <c r="AQ39" i="35"/>
  <c r="BA39" i="35" s="1"/>
  <c r="AQ37" i="35"/>
  <c r="BA37" i="35" s="1"/>
  <c r="AQ34" i="35"/>
  <c r="AQ43" i="35" s="1"/>
  <c r="AR31" i="35"/>
  <c r="BB32" i="35" s="1"/>
  <c r="BB34" i="35" s="1"/>
  <c r="AQ31" i="35"/>
  <c r="AR24" i="35"/>
  <c r="AQ24" i="35"/>
  <c r="AQ34" i="36" s="1"/>
  <c r="BA34" i="36" s="1"/>
  <c r="BC34" i="36" s="1"/>
  <c r="AR19" i="35"/>
  <c r="AQ19" i="35"/>
  <c r="AR15" i="35"/>
  <c r="AQ15" i="35"/>
  <c r="AR11" i="35"/>
  <c r="AQ10" i="35"/>
  <c r="BA10" i="35" s="1"/>
  <c r="BA5" i="36" s="1"/>
  <c r="AQ9" i="35"/>
  <c r="BA9" i="35" s="1"/>
  <c r="AQ8" i="35"/>
  <c r="AR7" i="35"/>
  <c r="AR6" i="35"/>
  <c r="BA11" i="35" l="1"/>
  <c r="AR34" i="35"/>
  <c r="AR43" i="35" s="1"/>
  <c r="BB43" i="35"/>
  <c r="BB44" i="35" s="1"/>
  <c r="BB35" i="35"/>
  <c r="BD6" i="59"/>
  <c r="BA12" i="49"/>
  <c r="BA13" i="49" s="1"/>
  <c r="BA14" i="49" s="1"/>
  <c r="BA15" i="49" s="1"/>
  <c r="BA18" i="49" s="1"/>
  <c r="BA19" i="49" s="1"/>
  <c r="BB33" i="36"/>
  <c r="BB28" i="36" s="1"/>
  <c r="BB27" i="36"/>
  <c r="BA33" i="36"/>
  <c r="BA28" i="36" s="1"/>
  <c r="AR451" i="28"/>
  <c r="AR447" i="28"/>
  <c r="BA47" i="36"/>
  <c r="BA51" i="36"/>
  <c r="BA53" i="36" s="1"/>
  <c r="BC45" i="36"/>
  <c r="BA54" i="36"/>
  <c r="BC48" i="36"/>
  <c r="BA55" i="36"/>
  <c r="BC49" i="36"/>
  <c r="BA44" i="35"/>
  <c r="BA15" i="28"/>
  <c r="BC27" i="28"/>
  <c r="BC31" i="28" s="1"/>
  <c r="BA31" i="28"/>
  <c r="BB7" i="35"/>
  <c r="AR6" i="6"/>
  <c r="AR42" i="28"/>
  <c r="BB42" i="28" s="1"/>
  <c r="AR448" i="28"/>
  <c r="AR446" i="28"/>
  <c r="AR456" i="28"/>
  <c r="AR454" i="28"/>
  <c r="BB6" i="35"/>
  <c r="AR5" i="6"/>
  <c r="AQ35" i="36"/>
  <c r="AR20" i="21"/>
  <c r="BB18" i="21"/>
  <c r="BA11" i="28"/>
  <c r="BA176" i="28" s="1"/>
  <c r="BC8" i="28"/>
  <c r="BC11" i="28" s="1"/>
  <c r="BA24" i="28"/>
  <c r="BC21" i="28"/>
  <c r="BC24" i="28" s="1"/>
  <c r="BC33" i="28"/>
  <c r="AR434" i="28"/>
  <c r="AR455" i="28"/>
  <c r="AQ44" i="36"/>
  <c r="BA44" i="36" s="1"/>
  <c r="AR41" i="28"/>
  <c r="BB41" i="28" s="1"/>
  <c r="AR442" i="28"/>
  <c r="AR444" i="28"/>
  <c r="AR43" i="28"/>
  <c r="BB43" i="28" s="1"/>
  <c r="AR452" i="28"/>
  <c r="AR450" i="28"/>
  <c r="BB34" i="28"/>
  <c r="BB112" i="7"/>
  <c r="BB113" i="7" s="1"/>
  <c r="BB111" i="7"/>
  <c r="BB114" i="7" s="1"/>
  <c r="BB116" i="7" s="1"/>
  <c r="BB430" i="28"/>
  <c r="BB427" i="28"/>
  <c r="AR38" i="28"/>
  <c r="AR430" i="28"/>
  <c r="AR427" i="28"/>
  <c r="AQ34" i="28"/>
  <c r="AR12" i="49"/>
  <c r="AR13" i="49" s="1"/>
  <c r="AR14" i="49" s="1"/>
  <c r="AR15" i="49" s="1"/>
  <c r="AR18" i="49" s="1"/>
  <c r="AR19" i="49" s="1"/>
  <c r="AR15" i="36" s="1"/>
  <c r="AU6" i="59"/>
  <c r="AT35" i="59"/>
  <c r="AQ8" i="49"/>
  <c r="AQ7" i="49"/>
  <c r="AQ16" i="49"/>
  <c r="AQ17" i="49" s="1"/>
  <c r="AR44" i="28"/>
  <c r="BB44" i="28" s="1"/>
  <c r="AR433" i="28"/>
  <c r="AQ18" i="28"/>
  <c r="AQ31" i="28"/>
  <c r="AQ24" i="28"/>
  <c r="AQ47" i="36"/>
  <c r="AQ5" i="36"/>
  <c r="AQ11" i="35"/>
  <c r="AQ11" i="28"/>
  <c r="AR34" i="36"/>
  <c r="BB34" i="36" s="1"/>
  <c r="BD34" i="36" s="1"/>
  <c r="AR18" i="36"/>
  <c r="AU37" i="59" s="1"/>
  <c r="AR53" i="36"/>
  <c r="AR19" i="36" s="1"/>
  <c r="AU38" i="59" s="1"/>
  <c r="AR13" i="36"/>
  <c r="AU30" i="59" s="1"/>
  <c r="AR8" i="35"/>
  <c r="AQ16" i="48"/>
  <c r="AR65" i="28"/>
  <c r="AQ15" i="21"/>
  <c r="BA15" i="21" s="1"/>
  <c r="AR35" i="35"/>
  <c r="AQ35" i="35"/>
  <c r="AR74" i="50" s="1"/>
  <c r="AQ44" i="35"/>
  <c r="AR44" i="35"/>
  <c r="AN223" i="6"/>
  <c r="AN222" i="6"/>
  <c r="Z223" i="6"/>
  <c r="Z222" i="6"/>
  <c r="AK52" i="48"/>
  <c r="AG52" i="48"/>
  <c r="AC52" i="48"/>
  <c r="W52" i="48"/>
  <c r="S52" i="48"/>
  <c r="O52" i="48"/>
  <c r="K52" i="48"/>
  <c r="G52" i="48"/>
  <c r="E52" i="48"/>
  <c r="G55" i="48"/>
  <c r="K55" i="48"/>
  <c r="O55" i="48"/>
  <c r="S55" i="48"/>
  <c r="W55" i="48"/>
  <c r="AC55" i="48"/>
  <c r="AG55" i="48"/>
  <c r="AK55" i="48"/>
  <c r="E55" i="48"/>
  <c r="G54" i="48"/>
  <c r="K54" i="48"/>
  <c r="O54" i="48"/>
  <c r="S54" i="48"/>
  <c r="W54" i="48"/>
  <c r="AC54" i="48"/>
  <c r="AG54" i="48"/>
  <c r="AK54" i="48"/>
  <c r="E54" i="48"/>
  <c r="G53" i="48"/>
  <c r="K53" i="48"/>
  <c r="O53" i="48"/>
  <c r="S53" i="48"/>
  <c r="W53" i="48"/>
  <c r="AC53" i="48"/>
  <c r="AG53" i="48"/>
  <c r="AK53" i="48"/>
  <c r="E53" i="48"/>
  <c r="G50" i="48"/>
  <c r="K50" i="48"/>
  <c r="O50" i="48"/>
  <c r="S50" i="48"/>
  <c r="W50" i="48"/>
  <c r="AC50" i="48"/>
  <c r="AG50" i="48"/>
  <c r="AK50" i="48"/>
  <c r="E50" i="48"/>
  <c r="G49" i="48"/>
  <c r="K49" i="48"/>
  <c r="O49" i="48"/>
  <c r="S49" i="48"/>
  <c r="W49" i="48"/>
  <c r="AC49" i="48"/>
  <c r="AG49" i="48"/>
  <c r="AK49" i="48"/>
  <c r="E49" i="48"/>
  <c r="G48" i="48"/>
  <c r="K48" i="48"/>
  <c r="O48" i="48"/>
  <c r="S48" i="48"/>
  <c r="W48" i="48"/>
  <c r="AC48" i="48"/>
  <c r="AG48" i="48"/>
  <c r="AK48" i="48"/>
  <c r="E48" i="48"/>
  <c r="G47" i="48"/>
  <c r="K47" i="48"/>
  <c r="O47" i="48"/>
  <c r="S47" i="48"/>
  <c r="W47" i="48"/>
  <c r="AC47" i="48"/>
  <c r="AG47" i="48"/>
  <c r="AK47" i="48"/>
  <c r="E47" i="48"/>
  <c r="BC74" i="50" l="1"/>
  <c r="BC72" i="50" s="1"/>
  <c r="BB25" i="36"/>
  <c r="BE55" i="59" s="1"/>
  <c r="AZ6" i="15"/>
  <c r="BD57" i="59"/>
  <c r="BB29" i="36"/>
  <c r="BD33" i="36"/>
  <c r="BD28" i="36" s="1"/>
  <c r="BA29" i="36"/>
  <c r="BC33" i="36"/>
  <c r="BC28" i="36" s="1"/>
  <c r="BA6" i="15"/>
  <c r="BE57" i="59"/>
  <c r="BA27" i="36"/>
  <c r="BE56" i="59"/>
  <c r="BA5" i="15"/>
  <c r="BA24" i="36"/>
  <c r="BD54" i="59" s="1"/>
  <c r="BB24" i="36"/>
  <c r="BE54" i="59" s="1"/>
  <c r="AR45" i="28"/>
  <c r="AR460" i="28" s="1"/>
  <c r="BB45" i="28"/>
  <c r="BB460" i="28" s="1"/>
  <c r="BA19" i="36"/>
  <c r="BD38" i="59" s="1"/>
  <c r="AQ36" i="36"/>
  <c r="BA36" i="36" s="1"/>
  <c r="BA35" i="36"/>
  <c r="BC35" i="36" s="1"/>
  <c r="BC47" i="36"/>
  <c r="BA17" i="36"/>
  <c r="BC44" i="36"/>
  <c r="AS74" i="50"/>
  <c r="AS72" i="50" s="1"/>
  <c r="AR25" i="36"/>
  <c r="AU55" i="59" s="1"/>
  <c r="AQ415" i="28"/>
  <c r="AQ456" i="28" s="1"/>
  <c r="BA34" i="28"/>
  <c r="BB8" i="35"/>
  <c r="BB6" i="6"/>
  <c r="BB12" i="6" s="1"/>
  <c r="BA415" i="28"/>
  <c r="BA456" i="28" s="1"/>
  <c r="BB65" i="28"/>
  <c r="BB66" i="28" s="1"/>
  <c r="AR35" i="36"/>
  <c r="BB35" i="36" s="1"/>
  <c r="BD35" i="36" s="1"/>
  <c r="BA319" i="28"/>
  <c r="BA452" i="28" s="1"/>
  <c r="BB20" i="21"/>
  <c r="AR13" i="6"/>
  <c r="AR7" i="6"/>
  <c r="AR11" i="6"/>
  <c r="BA18" i="28"/>
  <c r="BC15" i="28"/>
  <c r="BC18" i="28" s="1"/>
  <c r="AQ43" i="28"/>
  <c r="BA43" i="28" s="1"/>
  <c r="AQ319" i="28"/>
  <c r="AQ452" i="28" s="1"/>
  <c r="BM36" i="28"/>
  <c r="AR459" i="28"/>
  <c r="AR39" i="28"/>
  <c r="BB5" i="6"/>
  <c r="AR14" i="6"/>
  <c r="AR12" i="6"/>
  <c r="BB38" i="28"/>
  <c r="BB459" i="28" s="1"/>
  <c r="BA444" i="28"/>
  <c r="BA426" i="28"/>
  <c r="BA430" i="28" s="1"/>
  <c r="AQ41" i="28"/>
  <c r="AQ176" i="28"/>
  <c r="AQ444" i="28" s="1"/>
  <c r="AQ42" i="28"/>
  <c r="BA42" i="28" s="1"/>
  <c r="AQ261" i="28"/>
  <c r="AQ448" i="28" s="1"/>
  <c r="AR36" i="36"/>
  <c r="BB36" i="36" s="1"/>
  <c r="AR440" i="28"/>
  <c r="AR439" i="28"/>
  <c r="AR65" i="8"/>
  <c r="AU34" i="59"/>
  <c r="AQ9" i="49"/>
  <c r="AQ11" i="49" s="1"/>
  <c r="AQ12" i="49"/>
  <c r="AT6" i="59"/>
  <c r="AV1" i="38"/>
  <c r="BA422" i="28"/>
  <c r="AQ38" i="28"/>
  <c r="AQ459" i="28" s="1"/>
  <c r="AQ44" i="28"/>
  <c r="BA44" i="28" s="1"/>
  <c r="AT36" i="59"/>
  <c r="AR66" i="28"/>
  <c r="AR67" i="28" s="1"/>
  <c r="AK51" i="48"/>
  <c r="AG51" i="48"/>
  <c r="AC51" i="48"/>
  <c r="W51" i="48"/>
  <c r="S51" i="48"/>
  <c r="O51" i="48"/>
  <c r="K51" i="48"/>
  <c r="AK46" i="48"/>
  <c r="AG46" i="48"/>
  <c r="AC46" i="48"/>
  <c r="W46" i="48"/>
  <c r="S46" i="48"/>
  <c r="O46" i="48"/>
  <c r="K46" i="48"/>
  <c r="K45" i="48"/>
  <c r="AK44" i="48"/>
  <c r="AG44" i="48"/>
  <c r="AC44" i="48"/>
  <c r="W44" i="48"/>
  <c r="S44" i="48"/>
  <c r="O44" i="48"/>
  <c r="K44" i="48"/>
  <c r="AK43" i="48"/>
  <c r="AG43" i="48"/>
  <c r="AC43" i="48"/>
  <c r="W43" i="48"/>
  <c r="S43" i="48"/>
  <c r="O43" i="48"/>
  <c r="K43" i="48"/>
  <c r="G51" i="48"/>
  <c r="G46" i="48"/>
  <c r="G45" i="48"/>
  <c r="G44" i="48"/>
  <c r="G43" i="48"/>
  <c r="E51" i="48"/>
  <c r="E46" i="48"/>
  <c r="E45" i="48"/>
  <c r="E44" i="48"/>
  <c r="E43" i="48"/>
  <c r="BD27" i="36" l="1"/>
  <c r="AQ56" i="28"/>
  <c r="AQ450" i="28" s="1"/>
  <c r="BC5" i="15"/>
  <c r="BG56" i="59"/>
  <c r="BC6" i="15"/>
  <c r="BG57" i="59"/>
  <c r="AZ7" i="15"/>
  <c r="BD58" i="59"/>
  <c r="BC29" i="36"/>
  <c r="BA7" i="15"/>
  <c r="BE58" i="59"/>
  <c r="BD29" i="36"/>
  <c r="BA18" i="36"/>
  <c r="BD37" i="59" s="1"/>
  <c r="BD36" i="59"/>
  <c r="BB6" i="15"/>
  <c r="BF57" i="59"/>
  <c r="AQ39" i="36"/>
  <c r="AQ30" i="36" s="1"/>
  <c r="AT59" i="59" s="1"/>
  <c r="BD24" i="36"/>
  <c r="BG54" i="59" s="1"/>
  <c r="AZ5" i="15"/>
  <c r="BD56" i="59"/>
  <c r="BC27" i="36"/>
  <c r="BC24" i="36"/>
  <c r="BF54" i="59" s="1"/>
  <c r="AQ433" i="28"/>
  <c r="AQ52" i="28"/>
  <c r="AQ446" i="28" s="1"/>
  <c r="BB39" i="36"/>
  <c r="BB30" i="36" s="1"/>
  <c r="BE59" i="59" s="1"/>
  <c r="BD36" i="36"/>
  <c r="BA39" i="36"/>
  <c r="BA30" i="36" s="1"/>
  <c r="BD59" i="59" s="1"/>
  <c r="BC36" i="36"/>
  <c r="BB11" i="6"/>
  <c r="BB7" i="6"/>
  <c r="BA56" i="28"/>
  <c r="AQ451" i="28"/>
  <c r="AR15" i="6"/>
  <c r="BB13" i="6"/>
  <c r="BB132" i="6" s="1"/>
  <c r="AR131" i="6"/>
  <c r="AR127" i="6"/>
  <c r="AR56" i="6"/>
  <c r="BB67" i="28"/>
  <c r="BA433" i="28"/>
  <c r="BC34" i="28"/>
  <c r="BC38" i="28" s="1"/>
  <c r="BA38" i="28"/>
  <c r="BA459" i="28" s="1"/>
  <c r="AR157" i="6"/>
  <c r="AR152" i="6"/>
  <c r="BB14" i="6"/>
  <c r="BB158" i="6" s="1"/>
  <c r="BA261" i="28"/>
  <c r="BA440" i="28" s="1"/>
  <c r="BB39" i="28"/>
  <c r="AQ48" i="28"/>
  <c r="BA41" i="28"/>
  <c r="BA45" i="28" s="1"/>
  <c r="BA460" i="28" s="1"/>
  <c r="AR39" i="36"/>
  <c r="AR30" i="36" s="1"/>
  <c r="AU59" i="59" s="1"/>
  <c r="AQ440" i="28"/>
  <c r="AQ60" i="28"/>
  <c r="AQ13" i="49"/>
  <c r="AQ14" i="49" s="1"/>
  <c r="AQ15" i="49" s="1"/>
  <c r="AQ18" i="49" s="1"/>
  <c r="AQ19" i="49" s="1"/>
  <c r="AR8" i="36"/>
  <c r="AR248" i="6" s="1"/>
  <c r="AQ45" i="28"/>
  <c r="AQ460" i="28" s="1"/>
  <c r="AR7" i="36"/>
  <c r="AQ18" i="36"/>
  <c r="AT37" i="59" s="1"/>
  <c r="AR226" i="6"/>
  <c r="AQ12" i="48"/>
  <c r="AQ8" i="36"/>
  <c r="AT9" i="59" s="1"/>
  <c r="AR225" i="6"/>
  <c r="AQ7" i="36"/>
  <c r="AT8" i="59" s="1"/>
  <c r="X63" i="22"/>
  <c r="P63" i="22"/>
  <c r="L63" i="22"/>
  <c r="H63" i="22"/>
  <c r="F63" i="22"/>
  <c r="H58" i="22"/>
  <c r="L58" i="22"/>
  <c r="P58" i="22"/>
  <c r="X58" i="22"/>
  <c r="F58" i="22"/>
  <c r="J103" i="8"/>
  <c r="V103" i="8" s="1"/>
  <c r="AC34" i="48"/>
  <c r="W34" i="48"/>
  <c r="S34" i="48"/>
  <c r="P105" i="8"/>
  <c r="P106" i="8" s="1"/>
  <c r="O34" i="48" s="1"/>
  <c r="L105" i="8"/>
  <c r="L106" i="8" s="1"/>
  <c r="K34" i="48" s="1"/>
  <c r="H105" i="8"/>
  <c r="H106" i="8" s="1"/>
  <c r="G34" i="48" s="1"/>
  <c r="F105" i="8"/>
  <c r="F106" i="8" s="1"/>
  <c r="AG34" i="48"/>
  <c r="AK34" i="48"/>
  <c r="AN117" i="8"/>
  <c r="AN118" i="8" s="1"/>
  <c r="J115" i="8"/>
  <c r="F117" i="8"/>
  <c r="F118" i="8" s="1"/>
  <c r="H117" i="8"/>
  <c r="H118" i="8" s="1"/>
  <c r="G31" i="48" s="1"/>
  <c r="L117" i="8"/>
  <c r="L118" i="8" s="1"/>
  <c r="K31" i="48" s="1"/>
  <c r="P117" i="8"/>
  <c r="P118" i="8" s="1"/>
  <c r="O31" i="48" s="1"/>
  <c r="S31" i="48"/>
  <c r="W31" i="48"/>
  <c r="AC31" i="48"/>
  <c r="AG31" i="48"/>
  <c r="AK31" i="48"/>
  <c r="AH125" i="7"/>
  <c r="AH127" i="7" s="1"/>
  <c r="AH128" i="7" s="1"/>
  <c r="AG27" i="48" s="1"/>
  <c r="AD125" i="7"/>
  <c r="AD127" i="7" s="1"/>
  <c r="AD128" i="7" s="1"/>
  <c r="AC27" i="48" s="1"/>
  <c r="X125" i="7"/>
  <c r="X127" i="7" s="1"/>
  <c r="X128" i="7" s="1"/>
  <c r="W27" i="48" s="1"/>
  <c r="S27" i="48"/>
  <c r="P125" i="7"/>
  <c r="P127" i="7" s="1"/>
  <c r="P128" i="7" s="1"/>
  <c r="O27" i="48" s="1"/>
  <c r="L125" i="7"/>
  <c r="L127" i="7" s="1"/>
  <c r="L128" i="7" s="1"/>
  <c r="K27" i="48" s="1"/>
  <c r="H125" i="7"/>
  <c r="H127" i="7" s="1"/>
  <c r="H128" i="7" s="1"/>
  <c r="G27" i="48" s="1"/>
  <c r="F125" i="7"/>
  <c r="F127" i="7" s="1"/>
  <c r="F128" i="7" s="1"/>
  <c r="E27" i="48" s="1"/>
  <c r="X52" i="22"/>
  <c r="P52" i="22"/>
  <c r="L52" i="22"/>
  <c r="H52" i="22"/>
  <c r="F52" i="22"/>
  <c r="BB5" i="15" l="1"/>
  <c r="BF56" i="59"/>
  <c r="BB7" i="15"/>
  <c r="BF58" i="59"/>
  <c r="BC7" i="15"/>
  <c r="BG58" i="59"/>
  <c r="BA52" i="28"/>
  <c r="BA446" i="28" s="1"/>
  <c r="AQ439" i="28"/>
  <c r="AQ447" i="28"/>
  <c r="BB58" i="6"/>
  <c r="AQ455" i="28"/>
  <c r="AQ454" i="28"/>
  <c r="BB57" i="6"/>
  <c r="BB60" i="6"/>
  <c r="BB54" i="6"/>
  <c r="BB127" i="6"/>
  <c r="BB242" i="6"/>
  <c r="BB225" i="6"/>
  <c r="BB228" i="6"/>
  <c r="BB131" i="6"/>
  <c r="BB15" i="6"/>
  <c r="BA48" i="28"/>
  <c r="AQ443" i="28"/>
  <c r="AQ442" i="28"/>
  <c r="AR34" i="6"/>
  <c r="AR35" i="6"/>
  <c r="AR36" i="6"/>
  <c r="AR33" i="6"/>
  <c r="BA451" i="28"/>
  <c r="BA450" i="28"/>
  <c r="AM31" i="48"/>
  <c r="AX118" i="8"/>
  <c r="BA448" i="28"/>
  <c r="BB157" i="6"/>
  <c r="BB152" i="6"/>
  <c r="BB226" i="6"/>
  <c r="BB55" i="6"/>
  <c r="BB234" i="6"/>
  <c r="BB248" i="6"/>
  <c r="AR59" i="6"/>
  <c r="AQ64" i="28"/>
  <c r="BA64" i="28" s="1"/>
  <c r="BA60" i="28"/>
  <c r="AR228" i="6"/>
  <c r="AR230" i="6" s="1"/>
  <c r="AR231" i="6" s="1"/>
  <c r="AU8" i="59"/>
  <c r="AR234" i="6"/>
  <c r="AR235" i="6" s="1"/>
  <c r="AU9" i="59"/>
  <c r="AN105" i="8"/>
  <c r="AN106" i="8" s="1"/>
  <c r="AN16" i="49"/>
  <c r="AN17" i="49" s="1"/>
  <c r="AQ434" i="28"/>
  <c r="V105" i="8"/>
  <c r="Z117" i="8"/>
  <c r="Z118" i="8" s="1"/>
  <c r="Z105" i="8"/>
  <c r="Z106" i="8" s="1"/>
  <c r="Z16" i="49"/>
  <c r="Z17" i="49" s="1"/>
  <c r="J117" i="8"/>
  <c r="J118" i="8" s="1"/>
  <c r="V115" i="8"/>
  <c r="E31" i="48"/>
  <c r="R118" i="8"/>
  <c r="E34" i="48"/>
  <c r="R106" i="8"/>
  <c r="N16" i="49"/>
  <c r="N17" i="49" s="1"/>
  <c r="J16" i="49"/>
  <c r="J17" i="49" s="1"/>
  <c r="J105" i="8"/>
  <c r="J106" i="8" s="1"/>
  <c r="V106" i="8" s="1"/>
  <c r="AR242" i="6"/>
  <c r="AR244" i="6" s="1"/>
  <c r="AR245" i="6" s="1"/>
  <c r="AR249" i="6"/>
  <c r="AQ11" i="48"/>
  <c r="AQ13" i="48" s="1"/>
  <c r="AQ17" i="48"/>
  <c r="AQ18" i="48" s="1"/>
  <c r="AR250" i="6"/>
  <c r="AR251" i="6" s="1"/>
  <c r="AR189" i="6"/>
  <c r="AQ189" i="6"/>
  <c r="AQ192" i="6"/>
  <c r="AR192" i="6"/>
  <c r="AR197" i="6"/>
  <c r="AQ197" i="6"/>
  <c r="AK27" i="48"/>
  <c r="BA447" i="28" l="1"/>
  <c r="AR37" i="6"/>
  <c r="BA439" i="28"/>
  <c r="BB250" i="6"/>
  <c r="BB251" i="6" s="1"/>
  <c r="BB249" i="6"/>
  <c r="BB252" i="6"/>
  <c r="BA434" i="28"/>
  <c r="BA454" i="28"/>
  <c r="BA455" i="28"/>
  <c r="BB238" i="6"/>
  <c r="BB236" i="6"/>
  <c r="BB237" i="6" s="1"/>
  <c r="BB235" i="6"/>
  <c r="BB230" i="6"/>
  <c r="BB231" i="6" s="1"/>
  <c r="BB229" i="6"/>
  <c r="BB232" i="6" s="1"/>
  <c r="BB56" i="6"/>
  <c r="BA443" i="28"/>
  <c r="BA442" i="28"/>
  <c r="AM34" i="48"/>
  <c r="AX106" i="8"/>
  <c r="BB35" i="6"/>
  <c r="BB33" i="6"/>
  <c r="BB34" i="6"/>
  <c r="BB36" i="6"/>
  <c r="BB243" i="6"/>
  <c r="BB246" i="6"/>
  <c r="BB244" i="6"/>
  <c r="BB245" i="6" s="1"/>
  <c r="BB59" i="6"/>
  <c r="AR229" i="6"/>
  <c r="AR232" i="6" s="1"/>
  <c r="AR236" i="6"/>
  <c r="AR237" i="6" s="1"/>
  <c r="AR238" i="6" s="1"/>
  <c r="Y34" i="48"/>
  <c r="AJ106" i="8"/>
  <c r="AT106" i="8" s="1"/>
  <c r="BD106" i="8" s="1"/>
  <c r="Y31" i="48"/>
  <c r="AJ118" i="8"/>
  <c r="AT118" i="8" s="1"/>
  <c r="BD118" i="8" s="1"/>
  <c r="V117" i="8"/>
  <c r="AF117" i="8"/>
  <c r="AF106" i="8"/>
  <c r="AF105" i="8"/>
  <c r="AF16" i="49"/>
  <c r="AF17" i="49" s="1"/>
  <c r="AR243" i="6"/>
  <c r="AR246" i="6" s="1"/>
  <c r="I31" i="48"/>
  <c r="V118" i="8"/>
  <c r="AF118" i="8" s="1"/>
  <c r="M34" i="48"/>
  <c r="I34" i="48"/>
  <c r="J109" i="8"/>
  <c r="V109" i="8" s="1"/>
  <c r="AR252" i="6"/>
  <c r="AR193" i="6"/>
  <c r="M31" i="48"/>
  <c r="BB253" i="6" l="1"/>
  <c r="BB239" i="6"/>
  <c r="BB255" i="6" s="1"/>
  <c r="BB37" i="6"/>
  <c r="J112" i="8"/>
  <c r="R16" i="49"/>
  <c r="R17" i="49" s="1"/>
  <c r="R105" i="8"/>
  <c r="Q34" i="48" s="1"/>
  <c r="AR239" i="6"/>
  <c r="AQ6" i="48" s="1"/>
  <c r="AR253" i="6"/>
  <c r="AQ7" i="48" s="1"/>
  <c r="AR198" i="6"/>
  <c r="AR9" i="36"/>
  <c r="AU10" i="59" s="1"/>
  <c r="AQ9" i="36"/>
  <c r="AT10" i="59" s="1"/>
  <c r="AQ193" i="6"/>
  <c r="R117" i="8"/>
  <c r="Q31" i="48" s="1"/>
  <c r="V112" i="8" l="1"/>
  <c r="U34" i="48"/>
  <c r="V16" i="49"/>
  <c r="V17" i="49" s="1"/>
  <c r="AQ8" i="48"/>
  <c r="AR255" i="6"/>
  <c r="AQ198" i="6"/>
  <c r="U31" i="48"/>
  <c r="AE34" i="48" l="1"/>
  <c r="AB16" i="49"/>
  <c r="AB17" i="49" s="1"/>
  <c r="AB105" i="8"/>
  <c r="AB106" i="8" s="1"/>
  <c r="AA34" i="48" s="1"/>
  <c r="AB117" i="8"/>
  <c r="AB118" i="8" s="1"/>
  <c r="AA31" i="48" s="1"/>
  <c r="AP16" i="49" l="1"/>
  <c r="AP17" i="49" s="1"/>
  <c r="AE31" i="48"/>
  <c r="AI34" i="48" l="1"/>
  <c r="AP105" i="8"/>
  <c r="AP106" i="8" s="1"/>
  <c r="AO34" i="48" s="1"/>
  <c r="AT16" i="49"/>
  <c r="AT17" i="49" s="1"/>
  <c r="AI31" i="48"/>
  <c r="AS34" i="48" l="1"/>
  <c r="AP117" i="8"/>
  <c r="AP118" i="8" s="1"/>
  <c r="AO31" i="48" s="1"/>
  <c r="AH119" i="7"/>
  <c r="AH121" i="7" s="1"/>
  <c r="AH122" i="7" s="1"/>
  <c r="AG22" i="48" s="1"/>
  <c r="AD119" i="7"/>
  <c r="AD121" i="7" s="1"/>
  <c r="AD122" i="7" s="1"/>
  <c r="AC22" i="48" s="1"/>
  <c r="X119" i="7"/>
  <c r="X121" i="7" s="1"/>
  <c r="X122" i="7" s="1"/>
  <c r="W22" i="48" s="1"/>
  <c r="S22" i="48"/>
  <c r="P119" i="7"/>
  <c r="P121" i="7" s="1"/>
  <c r="P122" i="7" s="1"/>
  <c r="O22" i="48" s="1"/>
  <c r="L119" i="7"/>
  <c r="L121" i="7" s="1"/>
  <c r="L122" i="7" s="1"/>
  <c r="K22" i="48" s="1"/>
  <c r="H119" i="7"/>
  <c r="H121" i="7" s="1"/>
  <c r="H122" i="7" s="1"/>
  <c r="G22" i="48" s="1"/>
  <c r="F119" i="7"/>
  <c r="F121" i="7" s="1"/>
  <c r="F122" i="7" s="1"/>
  <c r="E22" i="48" s="1"/>
  <c r="X44" i="22"/>
  <c r="P44" i="22"/>
  <c r="L44" i="22"/>
  <c r="H44" i="22"/>
  <c r="F44" i="22"/>
  <c r="AK22" i="48"/>
  <c r="AN7" i="48"/>
  <c r="AL7" i="48"/>
  <c r="AJ7" i="48"/>
  <c r="AH7" i="48"/>
  <c r="AF7" i="48"/>
  <c r="AD7" i="48"/>
  <c r="AB7" i="48"/>
  <c r="Z7" i="48"/>
  <c r="X7" i="48"/>
  <c r="V7" i="48"/>
  <c r="T7" i="48"/>
  <c r="R7" i="48"/>
  <c r="P7" i="48"/>
  <c r="N7" i="48"/>
  <c r="L7" i="48"/>
  <c r="J7" i="48"/>
  <c r="H7" i="48"/>
  <c r="F7" i="48"/>
  <c r="AN6" i="48"/>
  <c r="AL6" i="48"/>
  <c r="AJ6" i="48"/>
  <c r="AH6" i="48"/>
  <c r="AF6" i="48"/>
  <c r="AD6" i="48"/>
  <c r="AB6" i="48"/>
  <c r="Z6" i="48"/>
  <c r="X6" i="48"/>
  <c r="V6" i="48"/>
  <c r="T6" i="48"/>
  <c r="R6" i="48"/>
  <c r="P6" i="48"/>
  <c r="N6" i="48"/>
  <c r="L6" i="48"/>
  <c r="J6" i="48"/>
  <c r="H6" i="48"/>
  <c r="F6" i="48"/>
  <c r="D7" i="48"/>
  <c r="D6" i="48"/>
  <c r="AM2" i="48"/>
  <c r="AL2" i="48"/>
  <c r="Y2" i="48"/>
  <c r="X2" i="48"/>
  <c r="I2" i="48"/>
  <c r="H2" i="48"/>
  <c r="L2" i="48" s="1"/>
  <c r="P2" i="48" s="1"/>
  <c r="T2" i="48" s="1"/>
  <c r="Z2" i="48" s="1"/>
  <c r="AD2" i="48" s="1"/>
  <c r="AH2" i="48" s="1"/>
  <c r="AN2" i="48" s="1"/>
  <c r="AR2" i="48" s="1"/>
  <c r="L133" i="9"/>
  <c r="L135" i="9" s="1"/>
  <c r="L136" i="9" s="1"/>
  <c r="H133" i="9"/>
  <c r="H135" i="9" s="1"/>
  <c r="H136" i="9" s="1"/>
  <c r="F133" i="9"/>
  <c r="J84" i="8"/>
  <c r="AL110" i="7" l="1"/>
  <c r="AS31" i="48"/>
  <c r="R84" i="8"/>
  <c r="V84" i="8" s="1"/>
  <c r="H8" i="48"/>
  <c r="P8" i="48"/>
  <c r="X8" i="48"/>
  <c r="AF8" i="48"/>
  <c r="AN8" i="48"/>
  <c r="J8" i="48"/>
  <c r="R8" i="48"/>
  <c r="Z8" i="48"/>
  <c r="AH8" i="48"/>
  <c r="L8" i="48"/>
  <c r="T8" i="48"/>
  <c r="AB8" i="48"/>
  <c r="AJ8" i="48"/>
  <c r="F8" i="48"/>
  <c r="N8" i="48"/>
  <c r="V8" i="48"/>
  <c r="AD8" i="48"/>
  <c r="AL8" i="48"/>
  <c r="D8" i="48"/>
  <c r="M2" i="48"/>
  <c r="Q2" i="48" s="1"/>
  <c r="U2" i="48" s="1"/>
  <c r="AA2" i="48" s="1"/>
  <c r="AE2" i="48" s="1"/>
  <c r="AI2" i="48" s="1"/>
  <c r="AO2" i="48" s="1"/>
  <c r="AS2" i="48" s="1"/>
  <c r="L140" i="9"/>
  <c r="H140" i="9"/>
  <c r="F135" i="9"/>
  <c r="F136" i="9" s="1"/>
  <c r="P85" i="8"/>
  <c r="P89" i="8" s="1"/>
  <c r="P137" i="9" s="1"/>
  <c r="L85" i="8"/>
  <c r="L89" i="8" s="1"/>
  <c r="H85" i="8"/>
  <c r="H89" i="8" s="1"/>
  <c r="F85" i="8"/>
  <c r="F89" i="8" s="1"/>
  <c r="AL112" i="7" l="1"/>
  <c r="AL113" i="7" s="1"/>
  <c r="AL111" i="7"/>
  <c r="AL114" i="7" s="1"/>
  <c r="AL116" i="7" s="1"/>
  <c r="T110" i="7"/>
  <c r="P138" i="9"/>
  <c r="P141" i="9"/>
  <c r="BF105" i="8"/>
  <c r="BF106" i="8" s="1"/>
  <c r="AN85" i="8"/>
  <c r="L102" i="7"/>
  <c r="L137" i="9"/>
  <c r="L138" i="9" s="1"/>
  <c r="AD102" i="7"/>
  <c r="H137" i="9"/>
  <c r="H138" i="9" s="1"/>
  <c r="H102" i="7"/>
  <c r="Z85" i="8"/>
  <c r="J85" i="8"/>
  <c r="P102" i="7"/>
  <c r="AH102" i="7"/>
  <c r="F102" i="7"/>
  <c r="F137" i="9"/>
  <c r="F138" i="9" s="1"/>
  <c r="F140" i="9"/>
  <c r="X110" i="7"/>
  <c r="P87" i="8"/>
  <c r="L87" i="8"/>
  <c r="H87" i="8"/>
  <c r="H92" i="8" s="1"/>
  <c r="F87" i="8"/>
  <c r="AN89" i="8" l="1"/>
  <c r="AN102" i="7" s="1"/>
  <c r="BD85" i="8"/>
  <c r="BD89" i="8" s="1"/>
  <c r="BD137" i="9" s="1"/>
  <c r="T111" i="7"/>
  <c r="T112" i="7"/>
  <c r="T113" i="7" s="1"/>
  <c r="P142" i="9"/>
  <c r="O12" i="48" s="1"/>
  <c r="AC12" i="48"/>
  <c r="S12" i="48"/>
  <c r="L141" i="9"/>
  <c r="L142" i="9" s="1"/>
  <c r="K12" i="48" s="1"/>
  <c r="F141" i="9"/>
  <c r="F142" i="9" s="1"/>
  <c r="E12" i="48" s="1"/>
  <c r="BF117" i="8"/>
  <c r="BF118" i="8" s="1"/>
  <c r="H141" i="9"/>
  <c r="H142" i="9" s="1"/>
  <c r="G12" i="48" s="1"/>
  <c r="X102" i="7"/>
  <c r="X111" i="7" s="1"/>
  <c r="L88" i="8"/>
  <c r="L90" i="8" s="1"/>
  <c r="L110" i="7"/>
  <c r="F88" i="8"/>
  <c r="F90" i="8" s="1"/>
  <c r="F110" i="7"/>
  <c r="P88" i="8"/>
  <c r="P90" i="8" s="1"/>
  <c r="P110" i="7"/>
  <c r="H88" i="8"/>
  <c r="H110" i="7"/>
  <c r="X112" i="7"/>
  <c r="N85" i="8"/>
  <c r="AB85" i="8" s="1"/>
  <c r="AF85" i="8" s="1"/>
  <c r="AJ85" i="8" s="1"/>
  <c r="AJ89" i="8" s="1"/>
  <c r="AJ137" i="9" s="1"/>
  <c r="J89" i="8"/>
  <c r="Z89" i="8"/>
  <c r="AG12" i="48"/>
  <c r="AD110" i="7"/>
  <c r="AH110" i="7"/>
  <c r="AN87" i="8"/>
  <c r="BD87" i="8" s="1"/>
  <c r="Z87" i="8"/>
  <c r="P92" i="8"/>
  <c r="P93" i="8" s="1"/>
  <c r="J87" i="8"/>
  <c r="H93" i="8"/>
  <c r="L92" i="8"/>
  <c r="L93" i="8" s="1"/>
  <c r="F92" i="8"/>
  <c r="F93" i="8" s="1"/>
  <c r="AN137" i="9" l="1"/>
  <c r="BD138" i="9"/>
  <c r="BD141" i="9"/>
  <c r="AF89" i="8"/>
  <c r="AF137" i="9" s="1"/>
  <c r="T114" i="7"/>
  <c r="T116" i="7" s="1"/>
  <c r="J88" i="8"/>
  <c r="N88" i="8" s="1"/>
  <c r="R88" i="8" s="1"/>
  <c r="V88" i="8" s="1"/>
  <c r="Z88" i="8"/>
  <c r="H90" i="8"/>
  <c r="H94" i="8" s="1"/>
  <c r="P94" i="8"/>
  <c r="O11" i="48" s="1"/>
  <c r="O13" i="48" s="1"/>
  <c r="AN88" i="8"/>
  <c r="BD88" i="8" s="1"/>
  <c r="AB89" i="8"/>
  <c r="N87" i="8"/>
  <c r="AB87" i="8" s="1"/>
  <c r="AF87" i="8" s="1"/>
  <c r="AJ87" i="8" s="1"/>
  <c r="Z90" i="8"/>
  <c r="F111" i="7"/>
  <c r="F112" i="7"/>
  <c r="F113" i="7" s="1"/>
  <c r="AN92" i="8"/>
  <c r="BD92" i="8" s="1"/>
  <c r="AN90" i="8"/>
  <c r="BD90" i="8" s="1"/>
  <c r="Z102" i="7"/>
  <c r="Z137" i="9"/>
  <c r="X113" i="7"/>
  <c r="X114" i="7" s="1"/>
  <c r="W17" i="48" s="1"/>
  <c r="AK17" i="48"/>
  <c r="AD112" i="7"/>
  <c r="AD113" i="7" s="1"/>
  <c r="AD111" i="7"/>
  <c r="J102" i="7"/>
  <c r="J137" i="9"/>
  <c r="H112" i="7"/>
  <c r="H113" i="7" s="1"/>
  <c r="H111" i="7"/>
  <c r="P112" i="7"/>
  <c r="P113" i="7" s="1"/>
  <c r="P111" i="7"/>
  <c r="L111" i="7"/>
  <c r="L112" i="7"/>
  <c r="L113" i="7" s="1"/>
  <c r="AH112" i="7"/>
  <c r="AH113" i="7" s="1"/>
  <c r="AH111" i="7"/>
  <c r="N89" i="8"/>
  <c r="R85" i="8"/>
  <c r="V85" i="8" s="1"/>
  <c r="V89" i="8" s="1"/>
  <c r="Z93" i="8"/>
  <c r="Z92" i="8"/>
  <c r="F94" i="8"/>
  <c r="E11" i="48" s="1"/>
  <c r="E13" i="48" s="1"/>
  <c r="J92" i="8"/>
  <c r="N92" i="8" s="1"/>
  <c r="R92" i="8" s="1"/>
  <c r="V92" i="8" s="1"/>
  <c r="AN93" i="8"/>
  <c r="BD93" i="8" s="1"/>
  <c r="J93" i="8"/>
  <c r="N93" i="8" s="1"/>
  <c r="R93" i="8" s="1"/>
  <c r="V93" i="8" s="1"/>
  <c r="AK11" i="48"/>
  <c r="S11" i="48"/>
  <c r="S13" i="48" s="1"/>
  <c r="AG11" i="48"/>
  <c r="AG13" i="48" s="1"/>
  <c r="L94" i="8"/>
  <c r="K11" i="48" s="1"/>
  <c r="K13" i="48" s="1"/>
  <c r="AN387" i="28"/>
  <c r="BD387" i="28" s="1"/>
  <c r="AN363" i="28"/>
  <c r="BD363" i="28" s="1"/>
  <c r="AN364" i="28"/>
  <c r="BD364" i="28" s="1"/>
  <c r="AN381" i="28"/>
  <c r="BD381" i="28" s="1"/>
  <c r="AN382" i="28"/>
  <c r="BD382" i="28" s="1"/>
  <c r="AN383" i="28"/>
  <c r="BD383" i="28" s="1"/>
  <c r="AN317" i="28"/>
  <c r="BD317" i="28" s="1"/>
  <c r="AN218" i="28"/>
  <c r="AN413" i="28" l="1"/>
  <c r="BD413" i="28"/>
  <c r="BD142" i="9"/>
  <c r="BD218" i="28"/>
  <c r="V102" i="7"/>
  <c r="V137" i="9"/>
  <c r="AC11" i="48"/>
  <c r="AC13" i="48" s="1"/>
  <c r="AB88" i="8"/>
  <c r="J90" i="8"/>
  <c r="N90" i="8" s="1"/>
  <c r="R90" i="8" s="1"/>
  <c r="V90" i="8" s="1"/>
  <c r="W11" i="48"/>
  <c r="AH114" i="7"/>
  <c r="AG17" i="48" s="1"/>
  <c r="H114" i="7"/>
  <c r="G17" i="48" s="1"/>
  <c r="AD114" i="7"/>
  <c r="AC17" i="48" s="1"/>
  <c r="W12" i="48"/>
  <c r="AK12" i="48"/>
  <c r="AK13" i="48" s="1"/>
  <c r="S17" i="48"/>
  <c r="F114" i="7"/>
  <c r="E17" i="48" s="1"/>
  <c r="P114" i="7"/>
  <c r="O17" i="48" s="1"/>
  <c r="R89" i="8"/>
  <c r="N137" i="9"/>
  <c r="N102" i="7"/>
  <c r="L114" i="7"/>
  <c r="K17" i="48" s="1"/>
  <c r="AB137" i="9"/>
  <c r="AB102" i="7"/>
  <c r="R87" i="8"/>
  <c r="V87" i="8" s="1"/>
  <c r="J94" i="8"/>
  <c r="G11" i="48"/>
  <c r="G13" i="48" s="1"/>
  <c r="AB92" i="8"/>
  <c r="AB93" i="8"/>
  <c r="AF93" i="8" l="1"/>
  <c r="AF92" i="8"/>
  <c r="AF88" i="8"/>
  <c r="AN94" i="8"/>
  <c r="Z94" i="8"/>
  <c r="Y11" i="48" s="1"/>
  <c r="AB90" i="8"/>
  <c r="W13" i="48"/>
  <c r="R102" i="7"/>
  <c r="R137" i="9"/>
  <c r="N94" i="8"/>
  <c r="I11" i="48"/>
  <c r="AF102" i="7"/>
  <c r="AP85" i="8"/>
  <c r="BF85" i="8" l="1"/>
  <c r="BF89" i="8" s="1"/>
  <c r="BD102" i="7" s="1"/>
  <c r="AT85" i="8"/>
  <c r="AM11" i="48"/>
  <c r="BD94" i="8"/>
  <c r="AJ92" i="8"/>
  <c r="AP92" i="8" s="1"/>
  <c r="AT92" i="8" s="1"/>
  <c r="AX92" i="8" s="1"/>
  <c r="AJ88" i="8"/>
  <c r="AP88" i="8" s="1"/>
  <c r="AT88" i="8" s="1"/>
  <c r="AX88" i="8" s="1"/>
  <c r="AJ93" i="8"/>
  <c r="AP93" i="8" s="1"/>
  <c r="AT93" i="8" s="1"/>
  <c r="AX93" i="8" s="1"/>
  <c r="AF90" i="8"/>
  <c r="AB94" i="8"/>
  <c r="AF94" i="8" s="1"/>
  <c r="AJ94" i="8" s="1"/>
  <c r="R94" i="8"/>
  <c r="V94" i="8" s="1"/>
  <c r="AJ102" i="7"/>
  <c r="AP89" i="8"/>
  <c r="AP87" i="8"/>
  <c r="M11" i="48"/>
  <c r="BF102" i="7" l="1"/>
  <c r="BF87" i="8"/>
  <c r="AT87" i="8"/>
  <c r="AX87" i="8" s="1"/>
  <c r="AX85" i="8"/>
  <c r="AX89" i="8" s="1"/>
  <c r="AX137" i="9" s="1"/>
  <c r="AT89" i="8"/>
  <c r="BF88" i="8"/>
  <c r="BF93" i="8"/>
  <c r="BF92" i="8"/>
  <c r="AJ90" i="8"/>
  <c r="AP90" i="8" s="1"/>
  <c r="AA11" i="48"/>
  <c r="AE11" i="48"/>
  <c r="AP102" i="7"/>
  <c r="AP137" i="9"/>
  <c r="Q11" i="48"/>
  <c r="U11" i="48"/>
  <c r="AT137" i="9" l="1"/>
  <c r="AT102" i="7"/>
  <c r="BF90" i="8"/>
  <c r="AT90" i="8"/>
  <c r="AX90" i="8" s="1"/>
  <c r="AP94" i="8"/>
  <c r="AI11" i="48"/>
  <c r="BF94" i="8" l="1"/>
  <c r="AT94" i="8"/>
  <c r="AX94" i="8" s="1"/>
  <c r="AX102" i="7"/>
  <c r="AO11" i="48"/>
  <c r="AS11" i="48" l="1"/>
  <c r="AS52" i="38" l="1"/>
  <c r="AN2" i="9" l="1"/>
  <c r="BD2" i="9" s="1"/>
  <c r="BD29" i="9" s="1"/>
  <c r="AM2" i="9"/>
  <c r="BC2" i="9" s="1"/>
  <c r="BC29" i="9" s="1"/>
  <c r="AK45" i="48"/>
  <c r="AM98" i="9" l="1"/>
  <c r="BC98" i="9" s="1"/>
  <c r="AM93" i="9"/>
  <c r="BC93" i="9" s="1"/>
  <c r="AM92" i="9"/>
  <c r="BC92" i="9" s="1"/>
  <c r="AM29" i="9"/>
  <c r="AN29" i="9"/>
  <c r="AN98" i="9"/>
  <c r="BD98" i="9" s="1"/>
  <c r="AN92" i="9"/>
  <c r="BD92" i="9" s="1"/>
  <c r="AN93" i="9"/>
  <c r="BD93" i="9" s="1"/>
  <c r="AM53" i="48"/>
  <c r="AM47" i="48"/>
  <c r="AM49" i="48"/>
  <c r="AM50" i="48"/>
  <c r="AM54" i="48"/>
  <c r="AM48" i="48"/>
  <c r="AM55" i="48"/>
  <c r="G103" i="6" l="1"/>
  <c r="K103" i="6"/>
  <c r="K106" i="6" s="1"/>
  <c r="AN89" i="6"/>
  <c r="BD89" i="6" s="1"/>
  <c r="AO89" i="6"/>
  <c r="AS89" i="6" s="1"/>
  <c r="AP89" i="6"/>
  <c r="AT89" i="6" s="1"/>
  <c r="AN90" i="6"/>
  <c r="BD90" i="6" s="1"/>
  <c r="AP90" i="6"/>
  <c r="AT90" i="6" s="1"/>
  <c r="AX90" i="6" s="1"/>
  <c r="BF90" i="6" s="1"/>
  <c r="AO75" i="6"/>
  <c r="AS75" i="6" s="1"/>
  <c r="AN75" i="6"/>
  <c r="BD75" i="6" s="1"/>
  <c r="AP75" i="6"/>
  <c r="AT75" i="6" s="1"/>
  <c r="AN76" i="6"/>
  <c r="BD76" i="6" s="1"/>
  <c r="AP76" i="6"/>
  <c r="AT76" i="6" s="1"/>
  <c r="AX76" i="6" s="1"/>
  <c r="BF76" i="6" s="1"/>
  <c r="AW75" i="6" l="1"/>
  <c r="BE75" i="6" s="1"/>
  <c r="AX89" i="6"/>
  <c r="BF89" i="6" s="1"/>
  <c r="AX75" i="6"/>
  <c r="BF75" i="6" s="1"/>
  <c r="AW89" i="6"/>
  <c r="BE89" i="6" s="1"/>
  <c r="G106" i="6"/>
  <c r="I103" i="6"/>
  <c r="AN104" i="6"/>
  <c r="BD104" i="6" s="1"/>
  <c r="R103" i="6"/>
  <c r="V103" i="6" s="1"/>
  <c r="R105" i="6"/>
  <c r="V105" i="6" s="1"/>
  <c r="AN103" i="6"/>
  <c r="BD103" i="6" s="1"/>
  <c r="AM103" i="6"/>
  <c r="BC103" i="6" s="1"/>
  <c r="M103" i="6" l="1"/>
  <c r="Q103" i="6" s="1"/>
  <c r="U103" i="6" s="1"/>
  <c r="I106" i="6"/>
  <c r="R104" i="6"/>
  <c r="V104" i="6" s="1"/>
  <c r="AM6" i="21"/>
  <c r="BC6" i="21" s="1"/>
  <c r="AN39" i="21"/>
  <c r="BD39" i="21" s="1"/>
  <c r="AM39" i="21"/>
  <c r="BC39" i="21" s="1"/>
  <c r="AN38" i="21"/>
  <c r="BD38" i="21" s="1"/>
  <c r="AM38" i="21"/>
  <c r="BC38" i="21" s="1"/>
  <c r="AN36" i="21"/>
  <c r="BD36" i="21" s="1"/>
  <c r="AN35" i="21"/>
  <c r="BD35" i="21" s="1"/>
  <c r="AM33" i="21"/>
  <c r="BC33" i="21" s="1"/>
  <c r="BB11" i="15" s="1"/>
  <c r="AN32" i="21"/>
  <c r="BD32" i="21" s="1"/>
  <c r="AN31" i="21"/>
  <c r="BD31" i="21" s="1"/>
  <c r="AN28" i="21"/>
  <c r="BD28" i="21" s="1"/>
  <c r="AM28" i="21"/>
  <c r="BC28" i="21" s="1"/>
  <c r="AN27" i="21"/>
  <c r="BD27" i="21" s="1"/>
  <c r="AM27" i="21"/>
  <c r="BC27" i="21" s="1"/>
  <c r="AN26" i="21"/>
  <c r="BD26" i="21" s="1"/>
  <c r="AM26" i="21"/>
  <c r="BC26" i="21" s="1"/>
  <c r="AN22" i="21"/>
  <c r="BD22" i="21" s="1"/>
  <c r="AN19" i="21"/>
  <c r="BD19" i="21" s="1"/>
  <c r="AN17" i="21"/>
  <c r="BD17" i="21" s="1"/>
  <c r="AN16" i="21"/>
  <c r="BD16" i="21" s="1"/>
  <c r="AN11" i="21"/>
  <c r="BD11" i="21" s="1"/>
  <c r="AM11" i="21"/>
  <c r="BC11" i="21" s="1"/>
  <c r="AN10" i="21"/>
  <c r="BD10" i="21" s="1"/>
  <c r="AM10" i="21"/>
  <c r="BC10" i="21" s="1"/>
  <c r="AN9" i="21"/>
  <c r="BD9" i="21" s="1"/>
  <c r="AM9" i="21"/>
  <c r="BC9" i="21" s="1"/>
  <c r="AN8" i="21"/>
  <c r="BD8" i="21" s="1"/>
  <c r="AM8" i="21"/>
  <c r="BC8" i="21" s="1"/>
  <c r="AN7" i="21"/>
  <c r="BD7" i="21" s="1"/>
  <c r="AM7" i="21"/>
  <c r="BC7" i="21" s="1"/>
  <c r="AN6" i="21"/>
  <c r="BD6" i="21" s="1"/>
  <c r="AN2" i="21"/>
  <c r="BD2" i="21" s="1"/>
  <c r="AM2" i="21"/>
  <c r="BC2" i="21" s="1"/>
  <c r="AM48" i="35"/>
  <c r="BC48" i="35" s="1"/>
  <c r="BD33" i="21" l="1"/>
  <c r="BC12" i="21"/>
  <c r="BC22" i="21" s="1"/>
  <c r="BC29" i="21"/>
  <c r="BD12" i="21"/>
  <c r="BD29" i="21"/>
  <c r="BD37" i="21"/>
  <c r="AM12" i="21"/>
  <c r="AM459" i="28" s="1"/>
  <c r="AN37" i="21"/>
  <c r="AN29" i="21"/>
  <c r="AM29" i="21"/>
  <c r="AN33" i="21"/>
  <c r="AN12" i="21"/>
  <c r="AM22" i="21" l="1"/>
  <c r="AP103" i="6" l="1"/>
  <c r="AT103" i="6" s="1"/>
  <c r="AM6" i="24"/>
  <c r="BC6" i="24" s="1"/>
  <c r="AK40" i="48"/>
  <c r="AK26" i="48"/>
  <c r="AK28" i="48" s="1"/>
  <c r="AK37" i="48"/>
  <c r="AK21" i="48"/>
  <c r="AK23" i="48" s="1"/>
  <c r="AJ18" i="15"/>
  <c r="AJ11" i="15"/>
  <c r="AJ12" i="15" s="1"/>
  <c r="AL10" i="15"/>
  <c r="BB10" i="15" s="1"/>
  <c r="BB12" i="15" s="1"/>
  <c r="AJ9" i="15"/>
  <c r="AJ8" i="15"/>
  <c r="AJ7" i="15"/>
  <c r="AJ6" i="15"/>
  <c r="AJ5" i="15"/>
  <c r="AP94" i="38"/>
  <c r="AP93" i="38"/>
  <c r="AP92" i="38"/>
  <c r="AP91" i="38"/>
  <c r="AO90" i="38"/>
  <c r="AP89" i="38"/>
  <c r="AO88" i="38"/>
  <c r="AP86" i="38"/>
  <c r="AP85" i="38"/>
  <c r="AP84" i="38"/>
  <c r="AP83" i="38"/>
  <c r="AO82" i="38"/>
  <c r="AP80" i="38"/>
  <c r="AP79" i="38"/>
  <c r="AP78" i="38"/>
  <c r="AP77" i="38"/>
  <c r="AP76" i="38"/>
  <c r="AP75" i="38"/>
  <c r="AP74" i="38"/>
  <c r="AP73" i="38"/>
  <c r="AP72" i="38"/>
  <c r="AP71" i="38"/>
  <c r="AP70" i="38"/>
  <c r="AP69" i="38"/>
  <c r="AP68" i="38"/>
  <c r="AP67" i="38"/>
  <c r="AO66" i="38"/>
  <c r="AP62" i="38"/>
  <c r="AP61" i="38"/>
  <c r="AO60" i="38"/>
  <c r="AP59" i="38"/>
  <c r="AP58" i="38"/>
  <c r="AP57" i="38"/>
  <c r="AP56" i="38"/>
  <c r="AP55" i="38"/>
  <c r="AO54" i="38"/>
  <c r="AQ52" i="38"/>
  <c r="AO52" i="38"/>
  <c r="AP51" i="38"/>
  <c r="AO51" i="38"/>
  <c r="AR46" i="38"/>
  <c r="AO46" i="38"/>
  <c r="AR45" i="38"/>
  <c r="AO45" i="38"/>
  <c r="AR44" i="38"/>
  <c r="AO44" i="38"/>
  <c r="AR43" i="38"/>
  <c r="AO43" i="38"/>
  <c r="AP42" i="38"/>
  <c r="AR41" i="38"/>
  <c r="AO41" i="38"/>
  <c r="AP40" i="38"/>
  <c r="AR38" i="38"/>
  <c r="AO38" i="38"/>
  <c r="AR37" i="38"/>
  <c r="AO37" i="38"/>
  <c r="AR36" i="38"/>
  <c r="AO36" i="38"/>
  <c r="AR35" i="38"/>
  <c r="AO35" i="38"/>
  <c r="AK130" i="6" s="1"/>
  <c r="AK131" i="6" s="1"/>
  <c r="AP34" i="38"/>
  <c r="AR32" i="38"/>
  <c r="AO32" i="38"/>
  <c r="AR31" i="38"/>
  <c r="AO31" i="38"/>
  <c r="AR30" i="38"/>
  <c r="AO30" i="38"/>
  <c r="AR29" i="38"/>
  <c r="AO29" i="38"/>
  <c r="AR28" i="38"/>
  <c r="AO28" i="38"/>
  <c r="AR27" i="38"/>
  <c r="AO27" i="38"/>
  <c r="AL56" i="45" s="1"/>
  <c r="AL57" i="45" s="1"/>
  <c r="AR26" i="38"/>
  <c r="AO26" i="38"/>
  <c r="AK66" i="11" s="1"/>
  <c r="AK67" i="11" s="1"/>
  <c r="AR25" i="38"/>
  <c r="AO25" i="38"/>
  <c r="AK129" i="10" s="1"/>
  <c r="AK130" i="10" s="1"/>
  <c r="AR24" i="38"/>
  <c r="AO24" i="38"/>
  <c r="AR23" i="38"/>
  <c r="AO23" i="38"/>
  <c r="AK94" i="9" s="1"/>
  <c r="AR22" i="38"/>
  <c r="AO22" i="38"/>
  <c r="AK77" i="8" s="1"/>
  <c r="AK78" i="8" s="1"/>
  <c r="AR21" i="38"/>
  <c r="AO21" i="38"/>
  <c r="AK69" i="7" s="1"/>
  <c r="AK70" i="7" s="1"/>
  <c r="AN26" i="59" s="1"/>
  <c r="AR20" i="38"/>
  <c r="AO20" i="38"/>
  <c r="AR19" i="38"/>
  <c r="AO19" i="38"/>
  <c r="AK156" i="6" s="1"/>
  <c r="AK157" i="6" s="1"/>
  <c r="AP18" i="38"/>
  <c r="AR14" i="38"/>
  <c r="AO14" i="38"/>
  <c r="AR13" i="38"/>
  <c r="AO13" i="38"/>
  <c r="AR11" i="38"/>
  <c r="AO11" i="38"/>
  <c r="AR10" i="38"/>
  <c r="AO10" i="38"/>
  <c r="AR9" i="38"/>
  <c r="AO9" i="38"/>
  <c r="AR8" i="38"/>
  <c r="AO8" i="38"/>
  <c r="AR7" i="38"/>
  <c r="AO7" i="38"/>
  <c r="AP6" i="38"/>
  <c r="AR3" i="38"/>
  <c r="BH3" i="38" s="1"/>
  <c r="AQ3" i="38"/>
  <c r="BG3" i="38" s="1"/>
  <c r="BH51" i="38" l="1"/>
  <c r="BH75" i="38"/>
  <c r="BH61" i="38"/>
  <c r="BH79" i="38"/>
  <c r="BH92" i="38"/>
  <c r="BH67" i="38"/>
  <c r="BH86" i="38"/>
  <c r="BH57" i="38"/>
  <c r="BH71" i="38"/>
  <c r="BH84" i="38"/>
  <c r="BH91" i="38"/>
  <c r="BH73" i="38"/>
  <c r="BH80" i="38"/>
  <c r="BH70" i="38"/>
  <c r="BH55" i="38"/>
  <c r="BH56" i="38"/>
  <c r="BH74" i="38"/>
  <c r="BH78" i="38"/>
  <c r="BH85" i="38"/>
  <c r="BH72" i="38"/>
  <c r="BH83" i="38"/>
  <c r="BH62" i="38"/>
  <c r="BH69" i="38"/>
  <c r="BH58" i="38"/>
  <c r="BH93" i="38"/>
  <c r="BH77" i="38"/>
  <c r="BH94" i="38"/>
  <c r="BH68" i="38"/>
  <c r="BH59" i="38"/>
  <c r="BH89" i="38"/>
  <c r="BH76" i="38"/>
  <c r="BH88" i="38"/>
  <c r="BH82" i="38"/>
  <c r="BH66" i="38"/>
  <c r="BH60" i="38"/>
  <c r="BH90" i="38"/>
  <c r="BH54" i="38"/>
  <c r="BH87" i="38"/>
  <c r="BH65" i="38"/>
  <c r="BH63" i="38"/>
  <c r="BH64" i="38"/>
  <c r="BG51" i="38"/>
  <c r="BG89" i="38"/>
  <c r="BG80" i="38"/>
  <c r="BG78" i="38"/>
  <c r="BG76" i="38"/>
  <c r="BG61" i="38"/>
  <c r="BG77" i="38"/>
  <c r="BG62" i="38"/>
  <c r="BG91" i="38"/>
  <c r="BG70" i="38"/>
  <c r="BG68" i="38"/>
  <c r="BG79" i="38"/>
  <c r="BG73" i="38"/>
  <c r="BG72" i="38"/>
  <c r="BG92" i="38"/>
  <c r="BG86" i="38"/>
  <c r="BG93" i="38"/>
  <c r="BG67" i="38"/>
  <c r="BG59" i="38"/>
  <c r="BG57" i="38"/>
  <c r="BG55" i="38"/>
  <c r="BG58" i="38"/>
  <c r="BG84" i="38"/>
  <c r="BG56" i="38"/>
  <c r="BG85" i="38"/>
  <c r="BG83" i="38"/>
  <c r="BG69" i="38"/>
  <c r="BG94" i="38"/>
  <c r="BG71" i="38"/>
  <c r="BG82" i="38"/>
  <c r="BG74" i="38"/>
  <c r="BG60" i="38"/>
  <c r="BG66" i="38"/>
  <c r="BG54" i="38"/>
  <c r="BG75" i="38"/>
  <c r="BG90" i="38"/>
  <c r="BG88" i="38"/>
  <c r="BG63" i="38"/>
  <c r="BG87" i="38"/>
  <c r="BG65" i="38"/>
  <c r="BG64" i="38"/>
  <c r="AX103" i="6"/>
  <c r="BF103" i="6" s="1"/>
  <c r="AK95" i="9"/>
  <c r="AR93" i="38"/>
  <c r="AQ51" i="38"/>
  <c r="AJ13" i="15"/>
  <c r="AO103" i="6"/>
  <c r="AS103" i="6" s="1"/>
  <c r="AP104" i="6"/>
  <c r="AT104" i="6" s="1"/>
  <c r="AM26" i="48"/>
  <c r="AP88" i="38"/>
  <c r="AP82" i="38"/>
  <c r="AP66" i="38"/>
  <c r="AP17" i="38"/>
  <c r="AO87" i="38"/>
  <c r="AO64" i="38" s="1"/>
  <c r="AO63" i="38"/>
  <c r="AR94" i="38"/>
  <c r="AR67" i="38"/>
  <c r="AR89" i="38"/>
  <c r="AR92" i="38"/>
  <c r="AR75" i="38"/>
  <c r="AR85" i="38"/>
  <c r="AR59" i="38"/>
  <c r="AR62" i="38"/>
  <c r="AO42" i="38"/>
  <c r="AP54" i="38"/>
  <c r="AO6" i="38"/>
  <c r="AR80" i="38"/>
  <c r="AR76" i="38"/>
  <c r="AR72" i="38"/>
  <c r="AR68" i="38"/>
  <c r="AR55" i="38"/>
  <c r="AO12" i="38"/>
  <c r="AO18" i="38"/>
  <c r="AR73" i="38"/>
  <c r="AR83" i="38"/>
  <c r="AR51" i="38"/>
  <c r="AR56" i="38"/>
  <c r="AR84" i="38"/>
  <c r="AP60" i="38"/>
  <c r="AR69" i="38"/>
  <c r="AR70" i="38"/>
  <c r="AR71" i="38"/>
  <c r="AR74" i="38"/>
  <c r="AR77" i="38"/>
  <c r="AR78" i="38"/>
  <c r="AR79" i="38"/>
  <c r="AO40" i="38"/>
  <c r="AR57" i="38"/>
  <c r="AR58" i="38"/>
  <c r="AP15" i="38"/>
  <c r="AO34" i="38"/>
  <c r="AP90" i="38"/>
  <c r="AP39" i="38"/>
  <c r="AR61" i="38"/>
  <c r="AR86" i="38"/>
  <c r="AR91" i="38"/>
  <c r="AW103" i="6" l="1"/>
  <c r="AX104" i="6"/>
  <c r="BF104" i="6" s="1"/>
  <c r="AP16" i="38"/>
  <c r="AP64" i="38" s="1"/>
  <c r="AL26" i="36"/>
  <c r="AL25" i="36"/>
  <c r="AO55" i="59" s="1"/>
  <c r="AM21" i="48"/>
  <c r="AP65" i="38"/>
  <c r="AO15" i="38"/>
  <c r="AP87" i="38"/>
  <c r="AO39" i="38"/>
  <c r="AP63" i="38"/>
  <c r="AO17" i="38"/>
  <c r="BE103" i="6" l="1"/>
  <c r="AO16" i="38"/>
  <c r="AK42" i="48" l="1"/>
  <c r="AM51" i="48" l="1"/>
  <c r="AM37" i="48"/>
  <c r="AM44" i="48"/>
  <c r="AM40" i="48"/>
  <c r="AN133" i="9"/>
  <c r="AN135" i="9" s="1"/>
  <c r="AN110" i="7" s="1"/>
  <c r="AM43" i="48"/>
  <c r="AM46" i="48"/>
  <c r="AM52" i="48"/>
  <c r="AN71" i="8"/>
  <c r="BD71" i="8" s="1"/>
  <c r="AM67" i="8"/>
  <c r="AN59" i="8"/>
  <c r="BD59" i="8" s="1"/>
  <c r="AN57" i="8"/>
  <c r="BD57" i="8" s="1"/>
  <c r="AM54" i="8"/>
  <c r="BC54" i="8" s="1"/>
  <c r="AN53" i="8"/>
  <c r="BD53" i="8" s="1"/>
  <c r="AN51" i="8"/>
  <c r="BD51" i="8" s="1"/>
  <c r="AN31" i="8"/>
  <c r="BD31" i="8" s="1"/>
  <c r="BD10" i="49" s="1"/>
  <c r="AM31" i="8"/>
  <c r="BC31" i="8" s="1"/>
  <c r="BC10" i="49" s="1"/>
  <c r="AN29" i="8"/>
  <c r="BD29" i="8" s="1"/>
  <c r="AN28" i="8"/>
  <c r="BD28" i="8" s="1"/>
  <c r="AN27" i="8"/>
  <c r="BD27" i="8" s="1"/>
  <c r="AN26" i="8"/>
  <c r="BD26" i="8" s="1"/>
  <c r="AN24" i="8"/>
  <c r="BD24" i="8" s="1"/>
  <c r="AN23" i="8"/>
  <c r="BD23" i="8" s="1"/>
  <c r="AN22" i="8"/>
  <c r="BD22" i="8" s="1"/>
  <c r="AM20" i="8"/>
  <c r="BC20" i="8" s="1"/>
  <c r="AN19" i="8"/>
  <c r="BD19" i="8" s="1"/>
  <c r="AM19" i="8"/>
  <c r="BC19" i="8" s="1"/>
  <c r="AN18" i="8"/>
  <c r="BD18" i="8" s="1"/>
  <c r="AN17" i="8"/>
  <c r="AM17" i="8"/>
  <c r="BC17" i="8" s="1"/>
  <c r="BB8" i="15" s="1"/>
  <c r="BB13" i="15" s="1"/>
  <c r="AM16" i="8"/>
  <c r="AM14" i="8"/>
  <c r="BC14" i="8" s="1"/>
  <c r="AM13" i="8"/>
  <c r="BC13" i="8" s="1"/>
  <c r="AN10" i="8"/>
  <c r="BD10" i="8" s="1"/>
  <c r="AM10" i="8"/>
  <c r="BC10" i="8" s="1"/>
  <c r="AN9" i="8"/>
  <c r="BD9" i="8" s="1"/>
  <c r="AM9" i="8"/>
  <c r="BC9" i="8" s="1"/>
  <c r="AN8" i="8"/>
  <c r="BD8" i="8" s="1"/>
  <c r="AM8" i="8"/>
  <c r="BC8" i="8" s="1"/>
  <c r="AN7" i="8"/>
  <c r="BD7" i="8" s="1"/>
  <c r="AM7" i="8"/>
  <c r="BC7" i="8" s="1"/>
  <c r="AL5" i="49"/>
  <c r="AL19" i="49" s="1"/>
  <c r="AL15" i="36" s="1"/>
  <c r="AO34" i="59" s="1"/>
  <c r="AN2" i="8"/>
  <c r="BD2" i="8" s="1"/>
  <c r="AM2" i="8"/>
  <c r="AN61" i="7"/>
  <c r="BD61" i="7" s="1"/>
  <c r="AM61" i="7"/>
  <c r="BC61" i="7" s="1"/>
  <c r="AN59" i="7"/>
  <c r="BD59" i="7" s="1"/>
  <c r="AM59" i="7"/>
  <c r="BC59" i="7" s="1"/>
  <c r="AN55" i="7"/>
  <c r="BD55" i="7" s="1"/>
  <c r="AN53" i="7"/>
  <c r="BD53" i="7" s="1"/>
  <c r="AM53" i="7"/>
  <c r="BC53" i="7" s="1"/>
  <c r="AN52" i="7"/>
  <c r="AM52" i="7"/>
  <c r="AN38" i="7"/>
  <c r="BD38" i="7" s="1"/>
  <c r="AN37" i="7"/>
  <c r="BD37" i="7" s="1"/>
  <c r="AN36" i="7"/>
  <c r="BD36" i="7" s="1"/>
  <c r="AN35" i="7"/>
  <c r="BD35" i="7" s="1"/>
  <c r="AN34" i="7"/>
  <c r="BD34" i="7" s="1"/>
  <c r="AN33" i="7"/>
  <c r="BD33" i="7" s="1"/>
  <c r="AN32" i="7"/>
  <c r="AN31" i="7"/>
  <c r="BD31" i="7" s="1"/>
  <c r="AN15" i="7"/>
  <c r="AM15" i="7"/>
  <c r="BC15" i="7" s="1"/>
  <c r="AN14" i="7"/>
  <c r="AM14" i="7"/>
  <c r="BC14" i="7" s="1"/>
  <c r="AN13" i="7"/>
  <c r="AM13" i="7"/>
  <c r="BC13" i="7" s="1"/>
  <c r="AN12" i="7"/>
  <c r="AM12" i="7"/>
  <c r="BC12" i="7" s="1"/>
  <c r="AN11" i="7"/>
  <c r="AM11" i="7"/>
  <c r="BC11" i="7" s="1"/>
  <c r="AN9" i="7"/>
  <c r="AM9" i="7"/>
  <c r="BC9" i="7" s="1"/>
  <c r="AN8" i="7"/>
  <c r="BD8" i="7" s="1"/>
  <c r="AM8" i="7"/>
  <c r="BC8" i="7" s="1"/>
  <c r="AN7" i="7"/>
  <c r="BD7" i="7" s="1"/>
  <c r="AM7" i="7"/>
  <c r="BC7" i="7" s="1"/>
  <c r="AN6" i="7"/>
  <c r="BD6" i="7" s="1"/>
  <c r="AM6" i="7"/>
  <c r="BC6" i="7" s="1"/>
  <c r="AN2" i="7"/>
  <c r="AM2" i="7"/>
  <c r="AM71" i="7" s="1"/>
  <c r="AL1" i="7"/>
  <c r="AL67" i="7" s="1"/>
  <c r="AK1" i="7"/>
  <c r="AK67" i="7" s="1"/>
  <c r="AO196" i="6"/>
  <c r="AM196" i="6"/>
  <c r="AK196" i="6"/>
  <c r="AO195" i="6"/>
  <c r="AM195" i="6"/>
  <c r="AK195" i="6"/>
  <c r="AO194" i="6"/>
  <c r="AM194" i="6"/>
  <c r="AK194" i="6"/>
  <c r="AO190" i="6"/>
  <c r="AM190" i="6"/>
  <c r="AK190" i="6"/>
  <c r="AO188" i="6"/>
  <c r="AM188" i="6"/>
  <c r="AK188" i="6"/>
  <c r="AO187" i="6"/>
  <c r="AM187" i="6"/>
  <c r="AK187" i="6"/>
  <c r="AO186" i="6"/>
  <c r="AM186" i="6"/>
  <c r="AK186" i="6"/>
  <c r="AO185" i="6"/>
  <c r="AM185" i="6"/>
  <c r="AK185" i="6"/>
  <c r="AO184" i="6"/>
  <c r="AM184" i="6"/>
  <c r="AK184" i="6"/>
  <c r="AO183" i="6"/>
  <c r="AM183" i="6"/>
  <c r="AK183" i="6"/>
  <c r="AO182" i="6"/>
  <c r="AM182" i="6"/>
  <c r="AK182" i="6"/>
  <c r="AP195" i="6"/>
  <c r="AN195" i="6"/>
  <c r="AL195" i="6"/>
  <c r="AP194" i="6"/>
  <c r="AN194" i="6"/>
  <c r="AL194" i="6"/>
  <c r="AP196" i="6"/>
  <c r="AN196" i="6"/>
  <c r="AL196" i="6"/>
  <c r="AP190" i="6"/>
  <c r="AN190" i="6"/>
  <c r="AL190" i="6"/>
  <c r="AP186" i="6"/>
  <c r="AN186" i="6"/>
  <c r="AL186" i="6"/>
  <c r="AP188" i="6"/>
  <c r="AN188" i="6"/>
  <c r="AL188" i="6"/>
  <c r="AP187" i="6"/>
  <c r="AN187" i="6"/>
  <c r="AL187" i="6"/>
  <c r="AP184" i="6"/>
  <c r="AN184" i="6"/>
  <c r="AL184" i="6"/>
  <c r="AP185" i="6"/>
  <c r="AN185" i="6"/>
  <c r="AL185" i="6"/>
  <c r="AP183" i="6"/>
  <c r="AN183" i="6"/>
  <c r="AL183" i="6"/>
  <c r="AP182" i="6"/>
  <c r="AN182" i="6"/>
  <c r="AL182" i="6"/>
  <c r="AN151" i="6"/>
  <c r="BD151" i="6" s="1"/>
  <c r="AN126" i="6"/>
  <c r="BD126" i="6" s="1"/>
  <c r="AN86" i="6"/>
  <c r="BD86" i="6" s="1"/>
  <c r="AM86" i="6"/>
  <c r="BC86" i="6" s="1"/>
  <c r="AN85" i="6"/>
  <c r="BD85" i="6" s="1"/>
  <c r="AM85" i="6"/>
  <c r="BC85" i="6" s="1"/>
  <c r="AN82" i="6"/>
  <c r="BD82" i="6" s="1"/>
  <c r="AM82" i="6"/>
  <c r="BC82" i="6" s="1"/>
  <c r="AN81" i="6"/>
  <c r="BD81" i="6" s="1"/>
  <c r="AM81" i="6"/>
  <c r="BC81" i="6" s="1"/>
  <c r="AN80" i="6"/>
  <c r="BD80" i="6" s="1"/>
  <c r="AM80" i="6"/>
  <c r="BC80" i="6" s="1"/>
  <c r="AN77" i="6"/>
  <c r="BD77" i="6" s="1"/>
  <c r="AN72" i="6"/>
  <c r="BD72" i="6" s="1"/>
  <c r="AM72" i="6"/>
  <c r="BC72" i="6" s="1"/>
  <c r="AN71" i="6"/>
  <c r="BD71" i="6" s="1"/>
  <c r="AM71" i="6"/>
  <c r="BC71" i="6" s="1"/>
  <c r="AN69" i="6"/>
  <c r="BD69" i="6" s="1"/>
  <c r="AM69" i="6"/>
  <c r="BC69" i="6" s="1"/>
  <c r="AN68" i="6"/>
  <c r="BD68" i="6" s="1"/>
  <c r="AM68" i="6"/>
  <c r="BC68" i="6" s="1"/>
  <c r="AN67" i="6"/>
  <c r="BD67" i="6" s="1"/>
  <c r="AM67" i="6"/>
  <c r="BC67" i="6" s="1"/>
  <c r="AN66" i="6"/>
  <c r="BD66" i="6" s="1"/>
  <c r="AM66" i="6"/>
  <c r="BC66" i="6" s="1"/>
  <c r="AN63" i="6"/>
  <c r="BD63" i="6" s="1"/>
  <c r="AM63" i="6"/>
  <c r="BC63" i="6" s="1"/>
  <c r="AN62" i="6"/>
  <c r="BD62" i="6" s="1"/>
  <c r="AM62" i="6"/>
  <c r="BC62" i="6" s="1"/>
  <c r="AN61" i="6"/>
  <c r="BD61" i="6" s="1"/>
  <c r="AM61" i="6"/>
  <c r="BC61" i="6" s="1"/>
  <c r="AN51" i="6"/>
  <c r="BD51" i="6" s="1"/>
  <c r="AM51" i="6"/>
  <c r="BC51" i="6" s="1"/>
  <c r="AN50" i="6"/>
  <c r="BD50" i="6" s="1"/>
  <c r="AM50" i="6"/>
  <c r="BC50" i="6" s="1"/>
  <c r="AN49" i="6"/>
  <c r="BD49" i="6" s="1"/>
  <c r="AM49" i="6"/>
  <c r="BC49" i="6" s="1"/>
  <c r="AN48" i="6"/>
  <c r="BD48" i="6" s="1"/>
  <c r="AM48" i="6"/>
  <c r="BC48" i="6" s="1"/>
  <c r="AN47" i="6"/>
  <c r="BD47" i="6" s="1"/>
  <c r="AM47" i="6"/>
  <c r="BC47" i="6" s="1"/>
  <c r="AN45" i="6"/>
  <c r="BD45" i="6" s="1"/>
  <c r="AM45" i="6"/>
  <c r="BC45" i="6" s="1"/>
  <c r="AN43" i="6"/>
  <c r="BD43" i="6" s="1"/>
  <c r="AM43" i="6"/>
  <c r="BC43" i="6" s="1"/>
  <c r="AN42" i="6"/>
  <c r="BD42" i="6" s="1"/>
  <c r="AM42" i="6"/>
  <c r="BC42" i="6" s="1"/>
  <c r="AN40" i="6"/>
  <c r="BD40" i="6" s="1"/>
  <c r="AM40" i="6"/>
  <c r="BC40" i="6" s="1"/>
  <c r="AN39" i="6"/>
  <c r="BD39" i="6" s="1"/>
  <c r="AM39" i="6"/>
  <c r="BC39" i="6" s="1"/>
  <c r="AN27" i="6"/>
  <c r="BD27" i="6" s="1"/>
  <c r="AN26" i="6"/>
  <c r="BD26" i="6" s="1"/>
  <c r="AN24" i="6"/>
  <c r="BD24" i="6" s="1"/>
  <c r="AN23" i="6"/>
  <c r="BD23" i="6" s="1"/>
  <c r="AN21" i="6"/>
  <c r="BD21" i="6" s="1"/>
  <c r="AN20" i="6"/>
  <c r="BD20" i="6" s="1"/>
  <c r="AN2" i="6"/>
  <c r="BD2" i="6" s="1"/>
  <c r="AM2" i="6"/>
  <c r="BC2" i="6" s="1"/>
  <c r="AM2" i="36"/>
  <c r="BC2" i="36" s="1"/>
  <c r="BC39" i="36" s="1"/>
  <c r="BC30" i="36" s="1"/>
  <c r="BF59" i="59" s="1"/>
  <c r="AN2" i="36"/>
  <c r="BD2" i="36" s="1"/>
  <c r="BD39" i="36" s="1"/>
  <c r="BD30" i="36" s="1"/>
  <c r="BG59" i="59" s="1"/>
  <c r="AN429" i="28"/>
  <c r="BD429" i="28" s="1"/>
  <c r="AN426" i="28"/>
  <c r="AN423" i="28"/>
  <c r="BD423" i="28" s="1"/>
  <c r="AN422" i="28"/>
  <c r="BD422" i="28" s="1"/>
  <c r="AN419" i="28"/>
  <c r="BD419" i="28" s="1"/>
  <c r="AM419" i="28"/>
  <c r="BC419" i="28" s="1"/>
  <c r="AN418" i="28"/>
  <c r="BD418" i="28" s="1"/>
  <c r="AM418" i="28"/>
  <c r="BC418" i="28" s="1"/>
  <c r="AN362" i="28"/>
  <c r="BD362" i="28" s="1"/>
  <c r="AN337" i="28"/>
  <c r="AN269" i="28"/>
  <c r="AN263" i="28"/>
  <c r="AM263" i="28"/>
  <c r="BD215" i="28"/>
  <c r="AM178" i="28"/>
  <c r="BC178" i="28" s="1"/>
  <c r="AN69" i="28"/>
  <c r="AN60" i="28"/>
  <c r="BD60" i="28" s="1"/>
  <c r="AN57" i="28"/>
  <c r="BD57" i="28" s="1"/>
  <c r="AN56" i="28"/>
  <c r="BD56" i="28" s="1"/>
  <c r="AN53" i="28"/>
  <c r="BD53" i="28" s="1"/>
  <c r="AN52" i="28"/>
  <c r="BD52" i="28" s="1"/>
  <c r="AN49" i="28"/>
  <c r="BD49" i="28" s="1"/>
  <c r="AN48" i="28"/>
  <c r="BD48" i="28" s="1"/>
  <c r="AN30" i="28"/>
  <c r="BD30" i="28" s="1"/>
  <c r="AN29" i="28"/>
  <c r="BD29" i="28" s="1"/>
  <c r="AN28" i="28"/>
  <c r="BD28" i="28" s="1"/>
  <c r="AN27" i="28"/>
  <c r="BD27" i="28" s="1"/>
  <c r="AN26" i="28"/>
  <c r="BD26" i="28" s="1"/>
  <c r="AN23" i="28"/>
  <c r="BD23" i="28" s="1"/>
  <c r="AN22" i="28"/>
  <c r="AN21" i="28"/>
  <c r="BD21" i="28" s="1"/>
  <c r="AN20" i="28"/>
  <c r="BD20" i="28" s="1"/>
  <c r="AN17" i="28"/>
  <c r="BD17" i="28" s="1"/>
  <c r="AN16" i="28"/>
  <c r="AN15" i="28"/>
  <c r="BD15" i="28" s="1"/>
  <c r="AN13" i="28"/>
  <c r="BD10" i="28"/>
  <c r="BD8" i="28"/>
  <c r="AN7" i="28"/>
  <c r="BD7" i="28" s="1"/>
  <c r="BD13" i="28" l="1"/>
  <c r="BD260" i="28" s="1"/>
  <c r="AN260" i="28"/>
  <c r="BC52" i="6"/>
  <c r="BD87" i="6"/>
  <c r="BD73" i="6"/>
  <c r="BD52" i="6"/>
  <c r="BC70" i="6"/>
  <c r="BC74" i="6" s="1"/>
  <c r="BC78" i="6" s="1"/>
  <c r="BC113" i="6" s="1"/>
  <c r="BC73" i="6"/>
  <c r="BD8" i="49"/>
  <c r="BD7" i="49"/>
  <c r="BD28" i="6"/>
  <c r="BD25" i="6"/>
  <c r="BD22" i="6"/>
  <c r="BD9" i="28"/>
  <c r="BD445" i="28" s="1"/>
  <c r="AN445" i="28"/>
  <c r="BD16" i="28"/>
  <c r="BD22" i="28"/>
  <c r="BD24" i="28" s="1"/>
  <c r="AN453" i="28"/>
  <c r="AN384" i="28"/>
  <c r="AN415" i="28" s="1"/>
  <c r="BD337" i="28"/>
  <c r="BD384" i="28" s="1"/>
  <c r="BD415" i="28" s="1"/>
  <c r="BC41" i="6"/>
  <c r="BD84" i="6"/>
  <c r="BD25" i="8"/>
  <c r="BD41" i="6"/>
  <c r="BD44" i="6"/>
  <c r="BD70" i="6"/>
  <c r="BD31" i="28"/>
  <c r="BD263" i="28"/>
  <c r="BD266" i="28" s="1"/>
  <c r="BD449" i="28" s="1"/>
  <c r="AN266" i="28"/>
  <c r="AN449" i="28" s="1"/>
  <c r="AN39" i="36"/>
  <c r="AN30" i="36" s="1"/>
  <c r="AQ59" i="59" s="1"/>
  <c r="BC44" i="6"/>
  <c r="BC67" i="8"/>
  <c r="BF32" i="59" s="1"/>
  <c r="AP32" i="59"/>
  <c r="BD18" i="28"/>
  <c r="BD269" i="28"/>
  <c r="AM39" i="36"/>
  <c r="AM30" i="36" s="1"/>
  <c r="AP59" i="59" s="1"/>
  <c r="BC84" i="6"/>
  <c r="BC87" i="6"/>
  <c r="BD17" i="8"/>
  <c r="BC8" i="15" s="1"/>
  <c r="BC13" i="15" s="1"/>
  <c r="AM8" i="15"/>
  <c r="AM13" i="15" s="1"/>
  <c r="BD69" i="28"/>
  <c r="AN7" i="49"/>
  <c r="AN10" i="49"/>
  <c r="AN8" i="49"/>
  <c r="AL65" i="8"/>
  <c r="AM10" i="49"/>
  <c r="AN84" i="6"/>
  <c r="AN87" i="6"/>
  <c r="AM84" i="6"/>
  <c r="AM87" i="6"/>
  <c r="AN430" i="28"/>
  <c r="BD2" i="7"/>
  <c r="AN71" i="7"/>
  <c r="AN136" i="9"/>
  <c r="AN138" i="9" s="1"/>
  <c r="BD119" i="7"/>
  <c r="BD121" i="7" s="1"/>
  <c r="BD122" i="7" s="1"/>
  <c r="BD9" i="7"/>
  <c r="BD11" i="7"/>
  <c r="BD13" i="7"/>
  <c r="BD15" i="7"/>
  <c r="AN49" i="8"/>
  <c r="BD49" i="8" s="1"/>
  <c r="AM42" i="48"/>
  <c r="AN175" i="28"/>
  <c r="BD175" i="28" s="1"/>
  <c r="AN153" i="6"/>
  <c r="BD153" i="6" s="1"/>
  <c r="BC16" i="7"/>
  <c r="BC62" i="7"/>
  <c r="AN73" i="8"/>
  <c r="BD73" i="8" s="1"/>
  <c r="AN128" i="6"/>
  <c r="BD128" i="6" s="1"/>
  <c r="BD12" i="7"/>
  <c r="BD14" i="7"/>
  <c r="BD32" i="7"/>
  <c r="AM54" i="7"/>
  <c r="AM63" i="7" s="1"/>
  <c r="BC52" i="7"/>
  <c r="BC54" i="7" s="1"/>
  <c r="BD62" i="7"/>
  <c r="AN48" i="8"/>
  <c r="BD48" i="8" s="1"/>
  <c r="AN50" i="8"/>
  <c r="BD50" i="8" s="1"/>
  <c r="AN318" i="28"/>
  <c r="BD318" i="28" s="1"/>
  <c r="AN427" i="28"/>
  <c r="BD427" i="28" s="1"/>
  <c r="BD426" i="28"/>
  <c r="BD430" i="28" s="1"/>
  <c r="BC2" i="7"/>
  <c r="BC71" i="7" s="1"/>
  <c r="AN54" i="7"/>
  <c r="AN104" i="7" s="1"/>
  <c r="AN105" i="7" s="1"/>
  <c r="BD52" i="7"/>
  <c r="BD54" i="7" s="1"/>
  <c r="AM75" i="8"/>
  <c r="BC2" i="8"/>
  <c r="AN125" i="7"/>
  <c r="AN127" i="7" s="1"/>
  <c r="AN128" i="7" s="1"/>
  <c r="AM27" i="48" s="1"/>
  <c r="AM28" i="48" s="1"/>
  <c r="AN112" i="7"/>
  <c r="AN113" i="7" s="1"/>
  <c r="AN111" i="7"/>
  <c r="AN119" i="7"/>
  <c r="AN121" i="7" s="1"/>
  <c r="AN122" i="7" s="1"/>
  <c r="AM22" i="48" s="1"/>
  <c r="AM23" i="48" s="1"/>
  <c r="AM44" i="6"/>
  <c r="AN58" i="28"/>
  <c r="AN420" i="28"/>
  <c r="BD420" i="28" s="1"/>
  <c r="AN424" i="28"/>
  <c r="BD424" i="28" s="1"/>
  <c r="AN54" i="28"/>
  <c r="AN50" i="28"/>
  <c r="AN31" i="28"/>
  <c r="AN18" i="28"/>
  <c r="AN62" i="7"/>
  <c r="AM62" i="7"/>
  <c r="AL8" i="15"/>
  <c r="AM41" i="6"/>
  <c r="AN41" i="6"/>
  <c r="AN22" i="6"/>
  <c r="AM52" i="6"/>
  <c r="AN70" i="6"/>
  <c r="AN52" i="6"/>
  <c r="AM73" i="6"/>
  <c r="AM70" i="6"/>
  <c r="AN73" i="6"/>
  <c r="AN44" i="6"/>
  <c r="AN28" i="6"/>
  <c r="AN25" i="6"/>
  <c r="AM74" i="8"/>
  <c r="BC74" i="8" s="1"/>
  <c r="AN67" i="8"/>
  <c r="AN25" i="8"/>
  <c r="AN16" i="7"/>
  <c r="AM21" i="7"/>
  <c r="AM16" i="7"/>
  <c r="AM155" i="6"/>
  <c r="BC155" i="6" s="1"/>
  <c r="AM154" i="6"/>
  <c r="BC154" i="6" s="1"/>
  <c r="AM129" i="6"/>
  <c r="BC129" i="6" s="1"/>
  <c r="AM9" i="6"/>
  <c r="BC9" i="6" s="1"/>
  <c r="AN9" i="6"/>
  <c r="BD9" i="6" s="1"/>
  <c r="AN8" i="6"/>
  <c r="BD8" i="6" s="1"/>
  <c r="AM8" i="6"/>
  <c r="BC8" i="6" s="1"/>
  <c r="AN11" i="28"/>
  <c r="AN24" i="28"/>
  <c r="AN44" i="7" l="1"/>
  <c r="AN82" i="7" s="1"/>
  <c r="BC75" i="8"/>
  <c r="BD319" i="28"/>
  <c r="BD452" i="28" s="1"/>
  <c r="BD11" i="28"/>
  <c r="BC110" i="6"/>
  <c r="AN442" i="28"/>
  <c r="BD50" i="28"/>
  <c r="BD58" i="28"/>
  <c r="BD450" i="28" s="1"/>
  <c r="BC111" i="6"/>
  <c r="BC112" i="6" s="1"/>
  <c r="BD67" i="8"/>
  <c r="BG32" i="59" s="1"/>
  <c r="AQ32" i="59"/>
  <c r="BD54" i="28"/>
  <c r="BD446" i="28" s="1"/>
  <c r="BC88" i="6"/>
  <c r="BC92" i="6" s="1"/>
  <c r="BC138" i="6" s="1"/>
  <c r="BD74" i="6"/>
  <c r="BD78" i="6" s="1"/>
  <c r="BD110" i="6" s="1"/>
  <c r="AN319" i="28"/>
  <c r="AN451" i="28" s="1"/>
  <c r="BD88" i="6"/>
  <c r="AN446" i="28"/>
  <c r="AN450" i="28"/>
  <c r="AN456" i="28"/>
  <c r="AN19" i="7"/>
  <c r="AN176" i="28"/>
  <c r="AN443" i="28" s="1"/>
  <c r="BD261" i="28"/>
  <c r="AN261" i="28"/>
  <c r="AN447" i="28" s="1"/>
  <c r="BD176" i="28"/>
  <c r="AN88" i="6"/>
  <c r="AM88" i="6"/>
  <c r="AM92" i="6" s="1"/>
  <c r="AM138" i="6" s="1"/>
  <c r="AM26" i="7"/>
  <c r="AM83" i="7" s="1"/>
  <c r="AM18" i="7"/>
  <c r="AM22" i="7"/>
  <c r="BD65" i="7"/>
  <c r="BD22" i="7"/>
  <c r="AN23" i="7"/>
  <c r="AN78" i="7" s="1"/>
  <c r="AN22" i="7"/>
  <c r="BC19" i="7"/>
  <c r="BC22" i="7"/>
  <c r="AM25" i="7"/>
  <c r="AM80" i="7" s="1"/>
  <c r="AM68" i="7"/>
  <c r="AP21" i="59" s="1"/>
  <c r="AM24" i="7"/>
  <c r="AM79" i="7" s="1"/>
  <c r="AM19" i="7"/>
  <c r="AM20" i="7"/>
  <c r="AM76" i="7" s="1"/>
  <c r="AP24" i="59" s="1"/>
  <c r="AM27" i="7"/>
  <c r="AM77" i="7" s="1"/>
  <c r="AM23" i="7"/>
  <c r="AM78" i="7" s="1"/>
  <c r="BC21" i="7"/>
  <c r="BD71" i="7"/>
  <c r="AN65" i="7"/>
  <c r="BC25" i="7"/>
  <c r="BC80" i="7" s="1"/>
  <c r="AN68" i="7"/>
  <c r="AQ21" i="59" s="1"/>
  <c r="AN56" i="7"/>
  <c r="AN45" i="7"/>
  <c r="AN49" i="7"/>
  <c r="AN48" i="7"/>
  <c r="BC23" i="7"/>
  <c r="BC78" i="7" s="1"/>
  <c r="BD16" i="7"/>
  <c r="AN42" i="7"/>
  <c r="AN63" i="7"/>
  <c r="AN18" i="7"/>
  <c r="AN74" i="7" s="1"/>
  <c r="AQ22" i="59" s="1"/>
  <c r="AN47" i="7"/>
  <c r="AN46" i="7"/>
  <c r="BC27" i="7"/>
  <c r="BC77" i="7" s="1"/>
  <c r="AN20" i="7"/>
  <c r="AN140" i="9"/>
  <c r="AN141" i="9" s="1"/>
  <c r="AN142" i="9" s="1"/>
  <c r="AM12" i="48" s="1"/>
  <c r="AM13" i="48" s="1"/>
  <c r="BD63" i="7"/>
  <c r="BD68" i="7"/>
  <c r="BG21" i="59" s="1"/>
  <c r="BC68" i="7"/>
  <c r="BF21" i="59" s="1"/>
  <c r="BC63" i="7"/>
  <c r="AN43" i="7"/>
  <c r="AN24" i="7"/>
  <c r="AN79" i="7" s="1"/>
  <c r="BD49" i="7"/>
  <c r="BC24" i="7"/>
  <c r="BC79" i="7" s="1"/>
  <c r="BC18" i="7"/>
  <c r="BD48" i="7"/>
  <c r="BD25" i="7"/>
  <c r="BD80" i="7" s="1"/>
  <c r="BD21" i="7"/>
  <c r="BD26" i="7"/>
  <c r="BD83" i="7" s="1"/>
  <c r="BD18" i="7"/>
  <c r="BD45" i="7"/>
  <c r="BD44" i="7"/>
  <c r="BD82" i="7" s="1"/>
  <c r="AN25" i="7"/>
  <c r="AN80" i="7" s="1"/>
  <c r="AN21" i="7"/>
  <c r="BD46" i="7"/>
  <c r="AN26" i="7"/>
  <c r="AN83" i="7" s="1"/>
  <c r="BD20" i="7"/>
  <c r="BD104" i="7"/>
  <c r="BD105" i="7" s="1"/>
  <c r="BD42" i="7"/>
  <c r="BC20" i="7"/>
  <c r="BC76" i="7" s="1"/>
  <c r="BF24" i="59" s="1"/>
  <c r="BD27" i="7"/>
  <c r="BD77" i="7" s="1"/>
  <c r="BD23" i="7"/>
  <c r="BD78" i="7" s="1"/>
  <c r="BD19" i="7"/>
  <c r="BD47" i="7"/>
  <c r="BD43" i="7"/>
  <c r="BD24" i="7"/>
  <c r="BD79" i="7" s="1"/>
  <c r="BD125" i="7"/>
  <c r="BD127" i="7" s="1"/>
  <c r="BD128" i="7" s="1"/>
  <c r="BC26" i="7"/>
  <c r="BC83" i="7" s="1"/>
  <c r="BD56" i="7"/>
  <c r="AN27" i="7"/>
  <c r="AN77" i="7" s="1"/>
  <c r="AN114" i="7"/>
  <c r="AM17" i="48" s="1"/>
  <c r="AL226" i="6"/>
  <c r="AL225" i="6"/>
  <c r="AN106" i="7"/>
  <c r="AN107" i="7"/>
  <c r="AN108" i="7" s="1"/>
  <c r="AM74" i="6"/>
  <c r="AM78" i="6" s="1"/>
  <c r="AN74" i="6"/>
  <c r="AN78" i="6" s="1"/>
  <c r="AM74" i="7"/>
  <c r="AP22" i="59" s="1"/>
  <c r="AN75" i="7" l="1"/>
  <c r="AQ23" i="59" s="1"/>
  <c r="AN452" i="28"/>
  <c r="BD451" i="28"/>
  <c r="BD442" i="28"/>
  <c r="BD443" i="28"/>
  <c r="AN448" i="28"/>
  <c r="BC135" i="6"/>
  <c r="BC136" i="6"/>
  <c r="BD113" i="6"/>
  <c r="BD111" i="6"/>
  <c r="BD112" i="6" s="1"/>
  <c r="BD7" i="36" s="1"/>
  <c r="BG8" i="59" s="1"/>
  <c r="AN444" i="28"/>
  <c r="BD440" i="28"/>
  <c r="BD439" i="28"/>
  <c r="BD447" i="28"/>
  <c r="BD448" i="28"/>
  <c r="BD456" i="28"/>
  <c r="BD444" i="28"/>
  <c r="BD75" i="7"/>
  <c r="BG23" i="59" s="1"/>
  <c r="AN84" i="7"/>
  <c r="AQ25" i="59" s="1"/>
  <c r="AN439" i="28"/>
  <c r="AN440" i="28"/>
  <c r="AN76" i="7"/>
  <c r="AQ24" i="59" s="1"/>
  <c r="BD76" i="7"/>
  <c r="BG24" i="59" s="1"/>
  <c r="AN111" i="6"/>
  <c r="BD106" i="7"/>
  <c r="BD107" i="7"/>
  <c r="BD108" i="7" s="1"/>
  <c r="BD74" i="7"/>
  <c r="BG22" i="59" s="1"/>
  <c r="BC74" i="7"/>
  <c r="BF22" i="59" s="1"/>
  <c r="BD84" i="7"/>
  <c r="BG25" i="59" s="1"/>
  <c r="AN109" i="7"/>
  <c r="BC137" i="6" l="1"/>
  <c r="AM113" i="6"/>
  <c r="AN110" i="6"/>
  <c r="AN112" i="6" s="1"/>
  <c r="AN7" i="36" s="1"/>
  <c r="AQ8" i="59" s="1"/>
  <c r="AN113" i="6"/>
  <c r="BD109" i="7"/>
  <c r="AM135" i="6"/>
  <c r="AM110" i="6"/>
  <c r="AM111" i="6"/>
  <c r="AM136" i="6"/>
  <c r="AL242" i="6"/>
  <c r="AL228" i="6"/>
  <c r="AL248" i="6"/>
  <c r="AL234" i="6"/>
  <c r="AK16" i="48"/>
  <c r="AM16" i="48"/>
  <c r="AM18" i="48" s="1"/>
  <c r="AN116" i="7"/>
  <c r="AL197" i="6"/>
  <c r="AL189" i="6"/>
  <c r="AL192" i="6"/>
  <c r="AM112" i="6" l="1"/>
  <c r="AM137" i="6"/>
  <c r="AK189" i="6"/>
  <c r="AK192" i="6"/>
  <c r="AK18" i="48"/>
  <c r="AL235" i="6"/>
  <c r="AL236" i="6"/>
  <c r="AL237" i="6" s="1"/>
  <c r="AL250" i="6"/>
  <c r="AL251" i="6" s="1"/>
  <c r="AL249" i="6"/>
  <c r="AL230" i="6"/>
  <c r="AL231" i="6" s="1"/>
  <c r="AL229" i="6"/>
  <c r="AL243" i="6"/>
  <c r="AL244" i="6"/>
  <c r="AL245" i="6" s="1"/>
  <c r="AK197" i="6"/>
  <c r="AL232" i="6" l="1"/>
  <c r="AL252" i="6"/>
  <c r="AL246" i="6"/>
  <c r="AL238" i="6"/>
  <c r="AL193" i="6"/>
  <c r="AK193" i="6" l="1"/>
  <c r="AL253" i="6"/>
  <c r="AK7" i="48" s="1"/>
  <c r="AL239" i="6"/>
  <c r="AL198" i="6"/>
  <c r="AK198" i="6" l="1"/>
  <c r="AL255" i="6"/>
  <c r="AK6" i="48"/>
  <c r="AK8" i="48" s="1"/>
  <c r="AN1" i="35"/>
  <c r="AM1" i="35"/>
  <c r="BD1" i="35" l="1"/>
  <c r="AN6" i="35"/>
  <c r="BC1" i="35"/>
  <c r="BC19" i="35" s="1"/>
  <c r="AM6" i="35"/>
  <c r="AK5" i="49"/>
  <c r="AJ17" i="15"/>
  <c r="AJ14" i="15" s="1"/>
  <c r="AJ15" i="15" s="1"/>
  <c r="AM28" i="35"/>
  <c r="AM115" i="10" s="1"/>
  <c r="AM14" i="35"/>
  <c r="BC14" i="35" s="1"/>
  <c r="AM7" i="35"/>
  <c r="AM46" i="35"/>
  <c r="BC46" i="35" s="1"/>
  <c r="AM45" i="35"/>
  <c r="BC45" i="35" s="1"/>
  <c r="AN42" i="35"/>
  <c r="BD42" i="35" s="1"/>
  <c r="AM42" i="35"/>
  <c r="BC42" i="35" s="1"/>
  <c r="AN41" i="35"/>
  <c r="BD41" i="35" s="1"/>
  <c r="AM41" i="35"/>
  <c r="BC41" i="35" s="1"/>
  <c r="AN40" i="35"/>
  <c r="BD40" i="35" s="1"/>
  <c r="AN39" i="35"/>
  <c r="BD39" i="35" s="1"/>
  <c r="AN38" i="35"/>
  <c r="BD38" i="35" s="1"/>
  <c r="AN37" i="35"/>
  <c r="BD37" i="35" s="1"/>
  <c r="AN33" i="35"/>
  <c r="BD33" i="35" s="1"/>
  <c r="AM33" i="35"/>
  <c r="BC33" i="35" s="1"/>
  <c r="AM32" i="35"/>
  <c r="BC32" i="35" s="1"/>
  <c r="AN30" i="35"/>
  <c r="AM30" i="35"/>
  <c r="AN29" i="35"/>
  <c r="AM29" i="35"/>
  <c r="AM52" i="11" s="1"/>
  <c r="AN28" i="35"/>
  <c r="AN26" i="35"/>
  <c r="AM9" i="15" s="1"/>
  <c r="AN25" i="35"/>
  <c r="BD25" i="35" s="1"/>
  <c r="AM25" i="35"/>
  <c r="BC25" i="35" s="1"/>
  <c r="AN23" i="35"/>
  <c r="BD23" i="35" s="1"/>
  <c r="AM23" i="35"/>
  <c r="BC23" i="35" s="1"/>
  <c r="AN22" i="35"/>
  <c r="BD22" i="35" s="1"/>
  <c r="AM22" i="35"/>
  <c r="BC22" i="35" s="1"/>
  <c r="AN21" i="35"/>
  <c r="BD21" i="35" s="1"/>
  <c r="AM21" i="35"/>
  <c r="BC21" i="35" s="1"/>
  <c r="AN18" i="35"/>
  <c r="AN17" i="35"/>
  <c r="AN16" i="35"/>
  <c r="BD16" i="35" s="1"/>
  <c r="AN14" i="35"/>
  <c r="BD14" i="35" s="1"/>
  <c r="AN13" i="35"/>
  <c r="BD13" i="35" s="1"/>
  <c r="AM13" i="35"/>
  <c r="BC13" i="35" s="1"/>
  <c r="AN10" i="35"/>
  <c r="AN9" i="35"/>
  <c r="BD9" i="35" s="1"/>
  <c r="AN2" i="35"/>
  <c r="BD2" i="35" s="1"/>
  <c r="AM2" i="35"/>
  <c r="BC2" i="35" s="1"/>
  <c r="AM19" i="35"/>
  <c r="AN61" i="45" l="1"/>
  <c r="AP53" i="59" s="1"/>
  <c r="AM116" i="10"/>
  <c r="AM118" i="10" s="1"/>
  <c r="AP43" i="59" s="1"/>
  <c r="AM134" i="10"/>
  <c r="AP45" i="59" s="1"/>
  <c r="AM53" i="11"/>
  <c r="AM55" i="11" s="1"/>
  <c r="AP47" i="59" s="1"/>
  <c r="AM71" i="11"/>
  <c r="AP49" i="59" s="1"/>
  <c r="AM17" i="15"/>
  <c r="AN5" i="9"/>
  <c r="AN10" i="36"/>
  <c r="AQ27" i="59" s="1"/>
  <c r="AN14" i="36"/>
  <c r="AQ31" i="59" s="1"/>
  <c r="AN12" i="36"/>
  <c r="AQ29" i="59" s="1"/>
  <c r="AN11" i="36"/>
  <c r="AQ28" i="59" s="1"/>
  <c r="AN17" i="36"/>
  <c r="AQ36" i="59" s="1"/>
  <c r="AN54" i="36"/>
  <c r="AN52" i="36"/>
  <c r="AN16" i="36"/>
  <c r="AQ35" i="59" s="1"/>
  <c r="AN51" i="36"/>
  <c r="AN55" i="36"/>
  <c r="BD10" i="35"/>
  <c r="BD5" i="36" s="1"/>
  <c r="AN5" i="36"/>
  <c r="AQ6" i="59" s="1"/>
  <c r="BD18" i="35"/>
  <c r="BC6" i="35"/>
  <c r="BC5" i="6" s="1"/>
  <c r="AL9" i="15"/>
  <c r="BC26" i="35"/>
  <c r="BB9" i="15" s="1"/>
  <c r="BD26" i="35"/>
  <c r="BC9" i="15" s="1"/>
  <c r="BC30" i="35"/>
  <c r="BC7" i="35"/>
  <c r="BC6" i="6" s="1"/>
  <c r="BC12" i="6" s="1"/>
  <c r="BD29" i="35"/>
  <c r="BD17" i="35"/>
  <c r="BD28" i="35"/>
  <c r="BD30" i="35"/>
  <c r="BC29" i="35"/>
  <c r="BC52" i="11" s="1"/>
  <c r="BC28" i="35"/>
  <c r="BC115" i="10" s="1"/>
  <c r="AO6" i="6"/>
  <c r="AM6" i="6"/>
  <c r="AM12" i="6" s="1"/>
  <c r="AO5" i="6"/>
  <c r="AM5" i="6"/>
  <c r="AK8" i="49"/>
  <c r="AK16" i="49"/>
  <c r="AK17" i="49" s="1"/>
  <c r="AK7" i="49"/>
  <c r="AN11" i="35"/>
  <c r="AN31" i="35"/>
  <c r="BD31" i="35" s="1"/>
  <c r="AM34" i="35"/>
  <c r="AM31" i="35"/>
  <c r="BC31" i="35" s="1"/>
  <c r="AM24" i="35"/>
  <c r="AN24" i="35"/>
  <c r="AM15" i="35"/>
  <c r="AN15" i="35"/>
  <c r="AM8" i="35"/>
  <c r="BG6" i="59" l="1"/>
  <c r="BD12" i="49"/>
  <c r="BD10" i="36"/>
  <c r="BD12" i="36"/>
  <c r="BG29" i="59" s="1"/>
  <c r="BD11" i="36"/>
  <c r="BG28" i="59" s="1"/>
  <c r="BD5" i="9"/>
  <c r="BD33" i="22" s="1"/>
  <c r="BD54" i="36"/>
  <c r="BD55" i="36"/>
  <c r="BD16" i="36"/>
  <c r="BD52" i="36"/>
  <c r="BD17" i="36"/>
  <c r="BG36" i="59" s="1"/>
  <c r="BD51" i="36"/>
  <c r="BD26" i="36"/>
  <c r="BC53" i="11"/>
  <c r="BC55" i="11" s="1"/>
  <c r="BC71" i="11"/>
  <c r="BF49" i="59" s="1"/>
  <c r="BC17" i="15"/>
  <c r="AN84" i="9"/>
  <c r="AM90" i="26"/>
  <c r="AN89" i="9"/>
  <c r="AM18" i="15" s="1"/>
  <c r="AN33" i="22"/>
  <c r="AN91" i="9"/>
  <c r="AN97" i="9"/>
  <c r="BD97" i="9" s="1"/>
  <c r="AN85" i="9"/>
  <c r="AN99" i="9"/>
  <c r="BD99" i="9" s="1"/>
  <c r="AN95" i="9"/>
  <c r="AM21" i="36"/>
  <c r="BC7" i="6"/>
  <c r="BC11" i="6"/>
  <c r="BC116" i="10"/>
  <c r="BC118" i="10" s="1"/>
  <c r="BF43" i="59" s="1"/>
  <c r="BD89" i="9"/>
  <c r="BC18" i="15" s="1"/>
  <c r="BD91" i="9"/>
  <c r="BD95" i="9"/>
  <c r="AM22" i="36"/>
  <c r="AM23" i="36"/>
  <c r="AN13" i="36"/>
  <c r="AQ30" i="59" s="1"/>
  <c r="AN18" i="36"/>
  <c r="AQ37" i="59" s="1"/>
  <c r="AN53" i="36"/>
  <c r="AN19" i="36" s="1"/>
  <c r="AQ38" i="59" s="1"/>
  <c r="AN12" i="49"/>
  <c r="AM43" i="35"/>
  <c r="BC43" i="35" s="1"/>
  <c r="BC34" i="35"/>
  <c r="BD24" i="35"/>
  <c r="BC24" i="35"/>
  <c r="BC8" i="35"/>
  <c r="AM7" i="6"/>
  <c r="AM11" i="6"/>
  <c r="AO7" i="6"/>
  <c r="AM35" i="35"/>
  <c r="AN74" i="50" s="1"/>
  <c r="BF47" i="59" l="1"/>
  <c r="BC22" i="36"/>
  <c r="BG35" i="59"/>
  <c r="BD18" i="36"/>
  <c r="BG37" i="59" s="1"/>
  <c r="BD13" i="36"/>
  <c r="BG30" i="59" s="1"/>
  <c r="BG27" i="59"/>
  <c r="BD53" i="36"/>
  <c r="BD19" i="36" s="1"/>
  <c r="BG38" i="59" s="1"/>
  <c r="BC21" i="36"/>
  <c r="AN86" i="9"/>
  <c r="BC90" i="26"/>
  <c r="BD84" i="9"/>
  <c r="BD85" i="9"/>
  <c r="AM78" i="26"/>
  <c r="AM87" i="26"/>
  <c r="BC87" i="26" s="1"/>
  <c r="AM81" i="26"/>
  <c r="BC81" i="26" s="1"/>
  <c r="AM84" i="26"/>
  <c r="AM85" i="26"/>
  <c r="BC85" i="26" s="1"/>
  <c r="AM82" i="26"/>
  <c r="BC82" i="26" s="1"/>
  <c r="AM76" i="26"/>
  <c r="BC76" i="26" s="1"/>
  <c r="AM83" i="26"/>
  <c r="BC83" i="26" s="1"/>
  <c r="AM86" i="26"/>
  <c r="BC86" i="26" s="1"/>
  <c r="AM80" i="26"/>
  <c r="BC80" i="26" s="1"/>
  <c r="AM79" i="26"/>
  <c r="BC79" i="26" s="1"/>
  <c r="AM77" i="26"/>
  <c r="BC77" i="26" s="1"/>
  <c r="AK9" i="49"/>
  <c r="AK11" i="49" s="1"/>
  <c r="AK13" i="49" s="1"/>
  <c r="AK14" i="49" s="1"/>
  <c r="AK15" i="49" s="1"/>
  <c r="AK18" i="49" s="1"/>
  <c r="AK19" i="49" s="1"/>
  <c r="BC35" i="35"/>
  <c r="BC25" i="36" s="1"/>
  <c r="BF55" i="59" s="1"/>
  <c r="BD86" i="9" l="1"/>
  <c r="BC78" i="26"/>
  <c r="BC84" i="26"/>
  <c r="BC88" i="26" s="1"/>
  <c r="BD74" i="50"/>
  <c r="AM88" i="26"/>
  <c r="AG40" i="48" l="1"/>
  <c r="AG26" i="48"/>
  <c r="AG28" i="48" s="1"/>
  <c r="AG37" i="48"/>
  <c r="AG21" i="48"/>
  <c r="AG23" i="48" s="1"/>
  <c r="D34" i="27"/>
  <c r="D25" i="27"/>
  <c r="K42" i="45" l="1"/>
  <c r="O42" i="45"/>
  <c r="G46" i="45"/>
  <c r="S42" i="45" l="1"/>
  <c r="W42" i="45" s="1"/>
  <c r="AC42" i="45"/>
  <c r="K43" i="45"/>
  <c r="K46" i="45" s="1"/>
  <c r="K47" i="45" s="1"/>
  <c r="O43" i="45"/>
  <c r="O46" i="45" s="1"/>
  <c r="G45" i="45"/>
  <c r="F30" i="35"/>
  <c r="G47" i="45"/>
  <c r="AG45" i="48"/>
  <c r="AG42" i="48"/>
  <c r="S43" i="45" l="1"/>
  <c r="S46" i="45" s="1"/>
  <c r="AC43" i="45"/>
  <c r="AC46" i="45" s="1"/>
  <c r="AG42" i="45"/>
  <c r="AK42" i="45" s="1"/>
  <c r="AQ42" i="45" s="1"/>
  <c r="AU42" i="45" s="1"/>
  <c r="AY42" i="45" s="1"/>
  <c r="BG42" i="45"/>
  <c r="I51" i="59"/>
  <c r="F23" i="36"/>
  <c r="AH1" i="7"/>
  <c r="AH67" i="7" s="1"/>
  <c r="AG1" i="7"/>
  <c r="AG67" i="7" s="1"/>
  <c r="AG43" i="45" l="1"/>
  <c r="BG43" i="45"/>
  <c r="BG46" i="45" s="1"/>
  <c r="W43" i="45"/>
  <c r="W46" i="45" s="1"/>
  <c r="AH104" i="7"/>
  <c r="AH105" i="7" s="1"/>
  <c r="AK43" i="45" l="1"/>
  <c r="AG46" i="45"/>
  <c r="AH107" i="7"/>
  <c r="AH108" i="7" s="1"/>
  <c r="AH106" i="7"/>
  <c r="AQ43" i="45" l="1"/>
  <c r="AK46" i="45"/>
  <c r="AH109" i="7"/>
  <c r="AG16" i="48" s="1"/>
  <c r="AG18" i="48" s="1"/>
  <c r="AU43" i="45" l="1"/>
  <c r="AQ46" i="45"/>
  <c r="AH116" i="7"/>
  <c r="AY43" i="45" l="1"/>
  <c r="AY46" i="45" s="1"/>
  <c r="AU46" i="45"/>
  <c r="AN105" i="6"/>
  <c r="BD105" i="6" s="1"/>
  <c r="AN91" i="6"/>
  <c r="BD91" i="6" s="1"/>
  <c r="BD92" i="6" l="1"/>
  <c r="AN92" i="6"/>
  <c r="AN138" i="6" s="1"/>
  <c r="AL94" i="38"/>
  <c r="AL93" i="38"/>
  <c r="AL92" i="38"/>
  <c r="AL91" i="38"/>
  <c r="AK90" i="38"/>
  <c r="AL89" i="38"/>
  <c r="AK88" i="38"/>
  <c r="AL86" i="38"/>
  <c r="AL85" i="38"/>
  <c r="AL84" i="38"/>
  <c r="AL83" i="38"/>
  <c r="AK82" i="38"/>
  <c r="AL80" i="38"/>
  <c r="AL79" i="38"/>
  <c r="AL78" i="38"/>
  <c r="AL77" i="38"/>
  <c r="AL76" i="38"/>
  <c r="AL75" i="38"/>
  <c r="AL74" i="38"/>
  <c r="AL73" i="38"/>
  <c r="AL72" i="38"/>
  <c r="AL71" i="38"/>
  <c r="AL70" i="38"/>
  <c r="AL69" i="38"/>
  <c r="AL68" i="38"/>
  <c r="AL67" i="38"/>
  <c r="AK66" i="38"/>
  <c r="AL62" i="38"/>
  <c r="AL61" i="38"/>
  <c r="AK60" i="38"/>
  <c r="AL59" i="38"/>
  <c r="AL58" i="38"/>
  <c r="AL57" i="38"/>
  <c r="AL56" i="38"/>
  <c r="AL55" i="38"/>
  <c r="AK54" i="38"/>
  <c r="AK52" i="38"/>
  <c r="AL51" i="38"/>
  <c r="AK51" i="38"/>
  <c r="AK46" i="38"/>
  <c r="AK45" i="38"/>
  <c r="AK44" i="38"/>
  <c r="AK43" i="38"/>
  <c r="AL42" i="38"/>
  <c r="AL90" i="38" s="1"/>
  <c r="AK41" i="38"/>
  <c r="AK40" i="38" s="1"/>
  <c r="AL40" i="38"/>
  <c r="AK38" i="38"/>
  <c r="AK37" i="38"/>
  <c r="AK36" i="38"/>
  <c r="AK35" i="38"/>
  <c r="AG130" i="6" s="1"/>
  <c r="AG131" i="6" s="1"/>
  <c r="AL34" i="38"/>
  <c r="AL82" i="38" s="1"/>
  <c r="AK32" i="38"/>
  <c r="AK31" i="38"/>
  <c r="AK30" i="38"/>
  <c r="AK29" i="38"/>
  <c r="AK28" i="38"/>
  <c r="AK27" i="38"/>
  <c r="AH56" i="45" s="1"/>
  <c r="AH57" i="45" s="1"/>
  <c r="AK26" i="38"/>
  <c r="AG66" i="11" s="1"/>
  <c r="AK25" i="38"/>
  <c r="AG129" i="10" s="1"/>
  <c r="AG130" i="10" s="1"/>
  <c r="AK24" i="38"/>
  <c r="AK23" i="38"/>
  <c r="AG94" i="9" s="1"/>
  <c r="AK22" i="38"/>
  <c r="AG77" i="8" s="1"/>
  <c r="AK21" i="38"/>
  <c r="AG69" i="7" s="1"/>
  <c r="AG70" i="7" s="1"/>
  <c r="AJ26" i="59" s="1"/>
  <c r="AK20" i="38"/>
  <c r="AK19" i="38"/>
  <c r="AG156" i="6" s="1"/>
  <c r="AG157" i="6" s="1"/>
  <c r="AL18" i="38"/>
  <c r="AL66" i="38" s="1"/>
  <c r="AK14" i="38"/>
  <c r="AK13" i="38"/>
  <c r="AL12" i="38"/>
  <c r="AL60" i="38" s="1"/>
  <c r="AK11" i="38"/>
  <c r="AK10" i="38"/>
  <c r="AK9" i="38"/>
  <c r="AK8" i="38"/>
  <c r="AK7" i="38"/>
  <c r="AL6" i="38"/>
  <c r="AL54" i="38" s="1"/>
  <c r="BD136" i="6" l="1"/>
  <c r="BD135" i="6"/>
  <c r="BD137" i="6" s="1"/>
  <c r="BD8" i="36" s="1"/>
  <c r="BG9" i="59" s="1"/>
  <c r="BD138" i="6"/>
  <c r="AG95" i="9"/>
  <c r="AG78" i="8"/>
  <c r="AG67" i="11"/>
  <c r="AK87" i="38"/>
  <c r="AK64" i="38" s="1"/>
  <c r="AN136" i="6"/>
  <c r="AN135" i="6"/>
  <c r="AL39" i="38"/>
  <c r="AL87" i="38" s="1"/>
  <c r="AK34" i="38"/>
  <c r="AK12" i="38"/>
  <c r="AK63" i="38"/>
  <c r="AK6" i="38"/>
  <c r="AK42" i="38"/>
  <c r="AK18" i="38"/>
  <c r="AL15" i="38"/>
  <c r="AL17" i="38"/>
  <c r="AL88" i="38"/>
  <c r="AN32" i="35"/>
  <c r="AM16" i="35"/>
  <c r="BC16" i="35" s="1"/>
  <c r="AH26" i="36" l="1"/>
  <c r="AH25" i="36"/>
  <c r="AK55" i="59" s="1"/>
  <c r="AN34" i="35"/>
  <c r="BD34" i="35" s="1"/>
  <c r="BD32" i="35"/>
  <c r="AM18" i="35"/>
  <c r="AM5" i="9" s="1"/>
  <c r="AM17" i="35"/>
  <c r="AN137" i="6"/>
  <c r="AN8" i="36" s="1"/>
  <c r="AQ9" i="59" s="1"/>
  <c r="AK39" i="38"/>
  <c r="AK15" i="38"/>
  <c r="AK17" i="38"/>
  <c r="AL16" i="38"/>
  <c r="AL65" i="38"/>
  <c r="AL63" i="38"/>
  <c r="AL90" i="26" l="1"/>
  <c r="AM33" i="22"/>
  <c r="AM84" i="9"/>
  <c r="AM97" i="9"/>
  <c r="AM99" i="9"/>
  <c r="AM91" i="9"/>
  <c r="AM85" i="9"/>
  <c r="AM86" i="9" s="1"/>
  <c r="AM89" i="9"/>
  <c r="AM7" i="9"/>
  <c r="AM14" i="36"/>
  <c r="AP31" i="59" s="1"/>
  <c r="AM15" i="36"/>
  <c r="AM16" i="36"/>
  <c r="AP35" i="59" s="1"/>
  <c r="AM54" i="36"/>
  <c r="AM17" i="36"/>
  <c r="AP36" i="59" s="1"/>
  <c r="AM52" i="36"/>
  <c r="AM55" i="36"/>
  <c r="AM51" i="36"/>
  <c r="AN43" i="35"/>
  <c r="AN44" i="35" s="1"/>
  <c r="BD44" i="35" s="1"/>
  <c r="BC18" i="35"/>
  <c r="AN35" i="35"/>
  <c r="AO74" i="50" s="1"/>
  <c r="AO72" i="50" s="1"/>
  <c r="BC17" i="35"/>
  <c r="AL17" i="15"/>
  <c r="AL64" i="38"/>
  <c r="AK16" i="38"/>
  <c r="AN61" i="28"/>
  <c r="AP34" i="59" l="1"/>
  <c r="BC15" i="36"/>
  <c r="BC5" i="9"/>
  <c r="BC33" i="22" s="1"/>
  <c r="BB17" i="15"/>
  <c r="BC16" i="36"/>
  <c r="BF35" i="59" s="1"/>
  <c r="BC52" i="36"/>
  <c r="BC26" i="36"/>
  <c r="BC54" i="36"/>
  <c r="BC51" i="36"/>
  <c r="BC55" i="36"/>
  <c r="BC17" i="36"/>
  <c r="AL83" i="26"/>
  <c r="AL79" i="26"/>
  <c r="AL78" i="26"/>
  <c r="AL87" i="26"/>
  <c r="AL85" i="26"/>
  <c r="AL82" i="26"/>
  <c r="AL80" i="26"/>
  <c r="AL81" i="26"/>
  <c r="AL77" i="26"/>
  <c r="AL76" i="26"/>
  <c r="AL86" i="26"/>
  <c r="AL84" i="26"/>
  <c r="AM53" i="36"/>
  <c r="AM19" i="36" s="1"/>
  <c r="AP38" i="59" s="1"/>
  <c r="AM18" i="36"/>
  <c r="AP37" i="59" s="1"/>
  <c r="BD35" i="35"/>
  <c r="BD43" i="35"/>
  <c r="AN62" i="28"/>
  <c r="BD61" i="28"/>
  <c r="AM65" i="8"/>
  <c r="BC85" i="9" l="1"/>
  <c r="BC91" i="9"/>
  <c r="BB90" i="26"/>
  <c r="BB81" i="26" s="1"/>
  <c r="BC97" i="9"/>
  <c r="BC99" i="9"/>
  <c r="BF34" i="59"/>
  <c r="BC65" i="8"/>
  <c r="BC18" i="36"/>
  <c r="BF37" i="59" s="1"/>
  <c r="BF36" i="59"/>
  <c r="BC7" i="9"/>
  <c r="BC89" i="9"/>
  <c r="BB18" i="15" s="1"/>
  <c r="BC84" i="9"/>
  <c r="BC53" i="36"/>
  <c r="BC19" i="36" s="1"/>
  <c r="BF38" i="59" s="1"/>
  <c r="BE74" i="50"/>
  <c r="BE72" i="50" s="1"/>
  <c r="BD25" i="36"/>
  <c r="BG55" i="59" s="1"/>
  <c r="AL88" i="26"/>
  <c r="AN455" i="28"/>
  <c r="AN454" i="28"/>
  <c r="BC86" i="9"/>
  <c r="BD62" i="28"/>
  <c r="BB79" i="26" l="1"/>
  <c r="BB82" i="26"/>
  <c r="BB83" i="26"/>
  <c r="BB80" i="26"/>
  <c r="BB76" i="26"/>
  <c r="BB86" i="26"/>
  <c r="BB85" i="26"/>
  <c r="BB78" i="26"/>
  <c r="BB84" i="26"/>
  <c r="BB87" i="26"/>
  <c r="BB77" i="26"/>
  <c r="BD455" i="28"/>
  <c r="BD454" i="28"/>
  <c r="AG7" i="48"/>
  <c r="AG6" i="48"/>
  <c r="BB88" i="26" l="1"/>
  <c r="AG8" i="48"/>
  <c r="AN23" i="21"/>
  <c r="AN24" i="21" l="1"/>
  <c r="AN25" i="21" s="1"/>
  <c r="BD23" i="21"/>
  <c r="BD24" i="21" s="1"/>
  <c r="BD25" i="21" s="1"/>
  <c r="K71" i="9" l="1"/>
  <c r="G71" i="9"/>
  <c r="E71" i="9"/>
  <c r="W42" i="48"/>
  <c r="S42" i="48"/>
  <c r="P56" i="9"/>
  <c r="L56" i="9"/>
  <c r="K42" i="48" s="1"/>
  <c r="H56" i="9"/>
  <c r="G42" i="48" s="1"/>
  <c r="J55" i="9"/>
  <c r="Y55" i="9"/>
  <c r="I55" i="9"/>
  <c r="M55" i="9" s="1"/>
  <c r="AC42" i="48"/>
  <c r="J46" i="36"/>
  <c r="G53" i="36"/>
  <c r="G19" i="36" s="1"/>
  <c r="J38" i="59" s="1"/>
  <c r="K53" i="36"/>
  <c r="K19" i="36" s="1"/>
  <c r="N38" i="59" s="1"/>
  <c r="E53" i="36"/>
  <c r="E19" i="36" s="1"/>
  <c r="H38" i="59" s="1"/>
  <c r="M46" i="36"/>
  <c r="AA46" i="36" s="1"/>
  <c r="I46" i="36"/>
  <c r="H47" i="36"/>
  <c r="AN75" i="8"/>
  <c r="BD75" i="8" s="1"/>
  <c r="AN74" i="8"/>
  <c r="BD74" i="8" s="1"/>
  <c r="AN155" i="6"/>
  <c r="BD155" i="6" s="1"/>
  <c r="AN154" i="6"/>
  <c r="BD154" i="6" s="1"/>
  <c r="AN129" i="6"/>
  <c r="BD129" i="6" s="1"/>
  <c r="Q46" i="36" l="1"/>
  <c r="U46" i="36" s="1"/>
  <c r="AE46" i="36"/>
  <c r="AI46" i="36" s="1"/>
  <c r="O42" i="48"/>
  <c r="AC45" i="48"/>
  <c r="Q55" i="9"/>
  <c r="U55" i="9" s="1"/>
  <c r="Z55" i="9"/>
  <c r="N55" i="9"/>
  <c r="E42" i="48"/>
  <c r="F47" i="36"/>
  <c r="N46" i="36"/>
  <c r="AB46" i="36" s="1"/>
  <c r="F52" i="36"/>
  <c r="R46" i="36" l="1"/>
  <c r="V46" i="36" s="1"/>
  <c r="AF46" i="36"/>
  <c r="AJ46" i="36" s="1"/>
  <c r="AM45" i="48"/>
  <c r="R55" i="9"/>
  <c r="V55" i="9" s="1"/>
  <c r="AO46" i="36"/>
  <c r="AS46" i="36" l="1"/>
  <c r="AW46" i="36" s="1"/>
  <c r="BE46" i="36" s="1"/>
  <c r="AA55" i="9"/>
  <c r="AE55" i="9" s="1"/>
  <c r="AI55" i="9" s="1"/>
  <c r="AB55" i="9" l="1"/>
  <c r="AF55" i="9" s="1"/>
  <c r="AJ55" i="9" s="1"/>
  <c r="AP46" i="36"/>
  <c r="AT46" i="36" l="1"/>
  <c r="AX46" i="36" s="1"/>
  <c r="BF46" i="36" s="1"/>
  <c r="AO55" i="9"/>
  <c r="AS55" i="9" s="1"/>
  <c r="AW55" i="9" l="1"/>
  <c r="BE55" i="9" s="1"/>
  <c r="AP55" i="9"/>
  <c r="AT55" i="9" s="1"/>
  <c r="AX55" i="9" l="1"/>
  <c r="BF55" i="9" s="1"/>
  <c r="AN45" i="35"/>
  <c r="BD45" i="35" s="1"/>
  <c r="AN46" i="35"/>
  <c r="BD46" i="35" s="1"/>
  <c r="AN48" i="35" l="1"/>
  <c r="AN19" i="35" l="1"/>
  <c r="BD48" i="35"/>
  <c r="BD19" i="35" s="1"/>
  <c r="Q67" i="45"/>
  <c r="Q65" i="45"/>
  <c r="Q66" i="45" s="1"/>
  <c r="M67" i="45"/>
  <c r="M65" i="45"/>
  <c r="M66" i="45" s="1"/>
  <c r="I67" i="45"/>
  <c r="I65" i="45"/>
  <c r="I66" i="45" s="1"/>
  <c r="Q56" i="45"/>
  <c r="Q54" i="45"/>
  <c r="P54" i="45"/>
  <c r="Q52" i="45"/>
  <c r="S52" i="59" s="1"/>
  <c r="P52" i="45"/>
  <c r="R52" i="59" s="1"/>
  <c r="Q49" i="45"/>
  <c r="P49" i="45"/>
  <c r="M56" i="45"/>
  <c r="M57" i="45" s="1"/>
  <c r="M54" i="45"/>
  <c r="L54" i="45"/>
  <c r="M52" i="45"/>
  <c r="O52" i="59" s="1"/>
  <c r="L52" i="45"/>
  <c r="N52" i="59" s="1"/>
  <c r="M49" i="45"/>
  <c r="M50" i="45" s="1"/>
  <c r="L49" i="45"/>
  <c r="L50" i="45" s="1"/>
  <c r="I56" i="45"/>
  <c r="I57" i="45" s="1"/>
  <c r="I54" i="45"/>
  <c r="H54" i="45"/>
  <c r="I52" i="45"/>
  <c r="K52" i="59" s="1"/>
  <c r="H52" i="45"/>
  <c r="J52" i="59" s="1"/>
  <c r="I49" i="45"/>
  <c r="I50" i="45" s="1"/>
  <c r="H50" i="45"/>
  <c r="G56" i="45"/>
  <c r="G57" i="45" s="1"/>
  <c r="P61" i="45"/>
  <c r="R53" i="59" s="1"/>
  <c r="L61" i="45"/>
  <c r="N53" i="59" s="1"/>
  <c r="H61" i="45"/>
  <c r="J53" i="59" s="1"/>
  <c r="F42" i="45"/>
  <c r="Q73" i="45"/>
  <c r="M73" i="45"/>
  <c r="I73" i="45"/>
  <c r="G73" i="45"/>
  <c r="Q71" i="45"/>
  <c r="M71" i="45"/>
  <c r="I71" i="45"/>
  <c r="G71" i="45"/>
  <c r="K68" i="45"/>
  <c r="K73" i="45" s="1"/>
  <c r="G65" i="45"/>
  <c r="K64" i="45"/>
  <c r="O64" i="45" s="1"/>
  <c r="K63" i="45"/>
  <c r="O63" i="45" s="1"/>
  <c r="G54" i="45"/>
  <c r="F54" i="45"/>
  <c r="K53" i="45"/>
  <c r="J53" i="45"/>
  <c r="G52" i="45"/>
  <c r="I52" i="59" s="1"/>
  <c r="F52" i="45"/>
  <c r="H52" i="59" s="1"/>
  <c r="K51" i="45"/>
  <c r="O51" i="45" s="1"/>
  <c r="AC51" i="45" s="1"/>
  <c r="AG51" i="45" s="1"/>
  <c r="AK51" i="45" s="1"/>
  <c r="AQ51" i="45" s="1"/>
  <c r="J51" i="45"/>
  <c r="G50" i="45"/>
  <c r="F50" i="45"/>
  <c r="Q76" i="45"/>
  <c r="I76" i="45"/>
  <c r="K5" i="45"/>
  <c r="K45" i="45" s="1"/>
  <c r="M51" i="59" s="1"/>
  <c r="K2" i="45"/>
  <c r="J2" i="45"/>
  <c r="N2" i="45" s="1"/>
  <c r="N42" i="45" l="1"/>
  <c r="J42" i="45"/>
  <c r="AU51" i="45"/>
  <c r="AY51" i="45" s="1"/>
  <c r="BG51" i="45" s="1"/>
  <c r="J23" i="36"/>
  <c r="F43" i="45"/>
  <c r="P50" i="45"/>
  <c r="Z49" i="45"/>
  <c r="S63" i="45"/>
  <c r="W63" i="45" s="1"/>
  <c r="AC63" i="45"/>
  <c r="Q50" i="45"/>
  <c r="AA49" i="45"/>
  <c r="R2" i="45"/>
  <c r="V2" i="45" s="1"/>
  <c r="AB2" i="45"/>
  <c r="S64" i="45"/>
  <c r="W64" i="45" s="1"/>
  <c r="AC64" i="45"/>
  <c r="AG64" i="45" s="1"/>
  <c r="AK64" i="45" s="1"/>
  <c r="AQ64" i="45" s="1"/>
  <c r="Q57" i="45"/>
  <c r="AA56" i="45"/>
  <c r="M72" i="45"/>
  <c r="O5" i="45"/>
  <c r="J52" i="45"/>
  <c r="L52" i="59" s="1"/>
  <c r="K52" i="45"/>
  <c r="M52" i="59" s="1"/>
  <c r="Q72" i="45"/>
  <c r="N51" i="45"/>
  <c r="I61" i="45"/>
  <c r="K53" i="59" s="1"/>
  <c r="Q61" i="45"/>
  <c r="S53" i="59" s="1"/>
  <c r="J59" i="45"/>
  <c r="N59" i="45" s="1"/>
  <c r="J58" i="45"/>
  <c r="N58" i="45" s="1"/>
  <c r="J60" i="45"/>
  <c r="N60" i="45" s="1"/>
  <c r="K59" i="45"/>
  <c r="K58" i="45"/>
  <c r="O2" i="45"/>
  <c r="K60" i="45"/>
  <c r="G75" i="45"/>
  <c r="G61" i="45"/>
  <c r="I53" i="59" s="1"/>
  <c r="G76" i="45"/>
  <c r="G67" i="45"/>
  <c r="M61" i="45"/>
  <c r="O53" i="59" s="1"/>
  <c r="F61" i="45"/>
  <c r="H53" i="59" s="1"/>
  <c r="K54" i="45"/>
  <c r="O53" i="45"/>
  <c r="AC53" i="45" s="1"/>
  <c r="AG53" i="45" s="1"/>
  <c r="AK53" i="45" s="1"/>
  <c r="AQ53" i="45" s="1"/>
  <c r="K56" i="45"/>
  <c r="K71" i="45"/>
  <c r="K55" i="45"/>
  <c r="M76" i="45"/>
  <c r="J49" i="45"/>
  <c r="O65" i="45"/>
  <c r="G72" i="45"/>
  <c r="G66" i="45"/>
  <c r="K49" i="45"/>
  <c r="S51" i="45"/>
  <c r="W51" i="45" s="1"/>
  <c r="I72" i="45"/>
  <c r="J54" i="45"/>
  <c r="N53" i="45"/>
  <c r="AB53" i="45" s="1"/>
  <c r="AF53" i="45" s="1"/>
  <c r="AJ53" i="45" s="1"/>
  <c r="AP53" i="45" s="1"/>
  <c r="K65" i="45"/>
  <c r="O68" i="45"/>
  <c r="AC68" i="45" s="1"/>
  <c r="AC5" i="45" l="1"/>
  <c r="AC71" i="45" s="1"/>
  <c r="O45" i="45"/>
  <c r="Q51" i="59" s="1"/>
  <c r="J43" i="45"/>
  <c r="N43" i="45"/>
  <c r="N46" i="45" s="1"/>
  <c r="F45" i="45"/>
  <c r="AB42" i="45"/>
  <c r="R42" i="45"/>
  <c r="V42" i="45" s="1"/>
  <c r="AU53" i="45"/>
  <c r="AU54" i="45" s="1"/>
  <c r="AF2" i="45"/>
  <c r="AJ2" i="45" s="1"/>
  <c r="AP2" i="45" s="1"/>
  <c r="AT2" i="45" s="1"/>
  <c r="AX2" i="45" s="1"/>
  <c r="BF2" i="45" s="1"/>
  <c r="AT53" i="45"/>
  <c r="AX53" i="45" s="1"/>
  <c r="BF53" i="45" s="1"/>
  <c r="AU64" i="45"/>
  <c r="AY64" i="45" s="1"/>
  <c r="BG64" i="45" s="1"/>
  <c r="AY53" i="45"/>
  <c r="S65" i="45"/>
  <c r="S72" i="45" s="1"/>
  <c r="AQ52" i="45"/>
  <c r="AS52" i="59" s="1"/>
  <c r="AQ54" i="45"/>
  <c r="AK52" i="45"/>
  <c r="AM52" i="59" s="1"/>
  <c r="AK54" i="45"/>
  <c r="G79" i="45"/>
  <c r="AC65" i="45"/>
  <c r="AC72" i="45" s="1"/>
  <c r="AG63" i="45"/>
  <c r="AC73" i="45"/>
  <c r="AG68" i="45"/>
  <c r="AG54" i="45"/>
  <c r="AG52" i="45"/>
  <c r="AI52" i="59" s="1"/>
  <c r="E23" i="36"/>
  <c r="H51" i="59"/>
  <c r="S2" i="45"/>
  <c r="W2" i="45" s="1"/>
  <c r="AC2" i="45"/>
  <c r="R58" i="45"/>
  <c r="V58" i="45" s="1"/>
  <c r="AB58" i="45"/>
  <c r="R51" i="45"/>
  <c r="V51" i="45" s="1"/>
  <c r="AB51" i="45"/>
  <c r="AA50" i="45"/>
  <c r="Z50" i="45"/>
  <c r="R59" i="45"/>
  <c r="V59" i="45" s="1"/>
  <c r="AB59" i="45"/>
  <c r="AF59" i="45" s="1"/>
  <c r="AJ59" i="45" s="1"/>
  <c r="AP59" i="45" s="1"/>
  <c r="AA57" i="45"/>
  <c r="AC54" i="45"/>
  <c r="AC52" i="45"/>
  <c r="AE52" i="59" s="1"/>
  <c r="O55" i="45"/>
  <c r="AC55" i="45" s="1"/>
  <c r="R60" i="45"/>
  <c r="V60" i="45" s="1"/>
  <c r="AB60" i="45"/>
  <c r="AF60" i="45" s="1"/>
  <c r="AJ60" i="45" s="1"/>
  <c r="AP60" i="45" s="1"/>
  <c r="W65" i="45"/>
  <c r="W72" i="45" s="1"/>
  <c r="O71" i="45"/>
  <c r="S5" i="45"/>
  <c r="O60" i="45"/>
  <c r="O58" i="45"/>
  <c r="O59" i="45"/>
  <c r="J50" i="45"/>
  <c r="N49" i="45"/>
  <c r="AB49" i="45" s="1"/>
  <c r="AF49" i="45" s="1"/>
  <c r="AJ49" i="45" s="1"/>
  <c r="AP49" i="45" s="1"/>
  <c r="K57" i="45"/>
  <c r="O56" i="45"/>
  <c r="AC56" i="45" s="1"/>
  <c r="Q75" i="45"/>
  <c r="Q79" i="45" s="1"/>
  <c r="O6" i="45"/>
  <c r="O73" i="45"/>
  <c r="S68" i="45"/>
  <c r="W68" i="45" s="1"/>
  <c r="W73" i="45" s="1"/>
  <c r="K72" i="45"/>
  <c r="K66" i="45"/>
  <c r="O54" i="45"/>
  <c r="S53" i="45"/>
  <c r="W53" i="45" s="1"/>
  <c r="O52" i="45"/>
  <c r="Q52" i="59" s="1"/>
  <c r="K50" i="45"/>
  <c r="O49" i="45"/>
  <c r="AC49" i="45" s="1"/>
  <c r="AG49" i="45" s="1"/>
  <c r="AK49" i="45" s="1"/>
  <c r="O72" i="45"/>
  <c r="O66" i="45"/>
  <c r="M75" i="45"/>
  <c r="M79" i="45" s="1"/>
  <c r="N54" i="45"/>
  <c r="R53" i="45"/>
  <c r="V53" i="45" s="1"/>
  <c r="N52" i="45"/>
  <c r="P52" i="59" s="1"/>
  <c r="K76" i="45"/>
  <c r="K67" i="45"/>
  <c r="N55" i="45"/>
  <c r="G77" i="45"/>
  <c r="I75" i="45"/>
  <c r="I79" i="45" s="1"/>
  <c r="AF58" i="45" l="1"/>
  <c r="AJ58" i="45" s="1"/>
  <c r="AP58" i="45" s="1"/>
  <c r="AG5" i="45"/>
  <c r="AK5" i="45" s="1"/>
  <c r="J45" i="45"/>
  <c r="L51" i="59" s="1"/>
  <c r="J46" i="45"/>
  <c r="AU52" i="45"/>
  <c r="AW52" i="59" s="1"/>
  <c r="AF42" i="45"/>
  <c r="AJ42" i="45" s="1"/>
  <c r="AP42" i="45" s="1"/>
  <c r="AT42" i="45" s="1"/>
  <c r="AX42" i="45" s="1"/>
  <c r="BF42" i="45"/>
  <c r="BF61" i="45" s="1"/>
  <c r="BH53" i="59" s="1"/>
  <c r="W5" i="45"/>
  <c r="S45" i="45"/>
  <c r="U51" i="59" s="1"/>
  <c r="AY54" i="45"/>
  <c r="BG53" i="45"/>
  <c r="AB43" i="45"/>
  <c r="AB46" i="45" s="1"/>
  <c r="R43" i="45"/>
  <c r="R46" i="45" s="1"/>
  <c r="N45" i="45"/>
  <c r="P51" i="59" s="1"/>
  <c r="AC6" i="45"/>
  <c r="O47" i="45"/>
  <c r="AT59" i="45"/>
  <c r="AX59" i="45" s="1"/>
  <c r="BF59" i="45" s="1"/>
  <c r="AG2" i="45"/>
  <c r="AK2" i="45" s="1"/>
  <c r="AQ2" i="45" s="1"/>
  <c r="AU2" i="45" s="1"/>
  <c r="AY2" i="45" s="1"/>
  <c r="BG2" i="45" s="1"/>
  <c r="AT49" i="45"/>
  <c r="AX49" i="45" s="1"/>
  <c r="BF49" i="45" s="1"/>
  <c r="AT60" i="45"/>
  <c r="AX60" i="45" s="1"/>
  <c r="BF60" i="45" s="1"/>
  <c r="AT58" i="45"/>
  <c r="AX58" i="45" s="1"/>
  <c r="BF58" i="45" s="1"/>
  <c r="AY52" i="45"/>
  <c r="BA52" i="59" s="1"/>
  <c r="AC66" i="45"/>
  <c r="AK71" i="45"/>
  <c r="AQ5" i="45"/>
  <c r="AG73" i="45"/>
  <c r="AK68" i="45"/>
  <c r="AK50" i="45"/>
  <c r="AQ49" i="45"/>
  <c r="AG65" i="45"/>
  <c r="AG72" i="45" s="1"/>
  <c r="AK63" i="45"/>
  <c r="AB52" i="45"/>
  <c r="AD52" i="59" s="1"/>
  <c r="AF51" i="45"/>
  <c r="AC50" i="45"/>
  <c r="AG50" i="45"/>
  <c r="AC57" i="45"/>
  <c r="AG56" i="45"/>
  <c r="AG55" i="45"/>
  <c r="AK55" i="45" s="1"/>
  <c r="AG71" i="45"/>
  <c r="AB54" i="45"/>
  <c r="R55" i="45"/>
  <c r="V55" i="45" s="1"/>
  <c r="AB55" i="45"/>
  <c r="AF55" i="45" s="1"/>
  <c r="AJ55" i="45" s="1"/>
  <c r="AP55" i="45" s="1"/>
  <c r="S58" i="45"/>
  <c r="W58" i="45" s="1"/>
  <c r="AC58" i="45"/>
  <c r="AG58" i="45" s="1"/>
  <c r="AK58" i="45" s="1"/>
  <c r="AQ58" i="45" s="1"/>
  <c r="S59" i="45"/>
  <c r="W59" i="45" s="1"/>
  <c r="AC59" i="45"/>
  <c r="AG59" i="45" s="1"/>
  <c r="AK59" i="45" s="1"/>
  <c r="AQ59" i="45" s="1"/>
  <c r="V54" i="45"/>
  <c r="S60" i="45"/>
  <c r="W60" i="45" s="1"/>
  <c r="AC60" i="45"/>
  <c r="AG60" i="45" s="1"/>
  <c r="AK60" i="45" s="1"/>
  <c r="AQ60" i="45" s="1"/>
  <c r="AB50" i="45"/>
  <c r="W54" i="45"/>
  <c r="W52" i="45"/>
  <c r="Y52" i="59" s="1"/>
  <c r="W71" i="45"/>
  <c r="W66" i="45"/>
  <c r="V52" i="45"/>
  <c r="X52" i="59" s="1"/>
  <c r="S6" i="45"/>
  <c r="W6" i="45" s="1"/>
  <c r="S66" i="45"/>
  <c r="S71" i="45"/>
  <c r="S55" i="45"/>
  <c r="W55" i="45" s="1"/>
  <c r="R54" i="45"/>
  <c r="R52" i="45"/>
  <c r="T52" i="59" s="1"/>
  <c r="M77" i="45"/>
  <c r="S49" i="45"/>
  <c r="W49" i="45" s="1"/>
  <c r="W50" i="45" s="1"/>
  <c r="O50" i="45"/>
  <c r="K61" i="45"/>
  <c r="M53" i="59" s="1"/>
  <c r="K75" i="45"/>
  <c r="Q77" i="45"/>
  <c r="O57" i="45"/>
  <c r="S56" i="45"/>
  <c r="W56" i="45" s="1"/>
  <c r="W57" i="45" s="1"/>
  <c r="O76" i="45"/>
  <c r="O67" i="45"/>
  <c r="S73" i="45"/>
  <c r="R49" i="45"/>
  <c r="V49" i="45" s="1"/>
  <c r="V50" i="45" s="1"/>
  <c r="N50" i="45"/>
  <c r="I77" i="45"/>
  <c r="S76" i="45"/>
  <c r="S67" i="45"/>
  <c r="S54" i="45"/>
  <c r="S52" i="45"/>
  <c r="U52" i="59" s="1"/>
  <c r="AQ55" i="45" l="1"/>
  <c r="AG66" i="45"/>
  <c r="AG6" i="45"/>
  <c r="BG54" i="45"/>
  <c r="BG52" i="45"/>
  <c r="BI52" i="59" s="1"/>
  <c r="V43" i="45"/>
  <c r="R45" i="45"/>
  <c r="T51" i="59" s="1"/>
  <c r="AF43" i="45"/>
  <c r="AF46" i="45" s="1"/>
  <c r="AB45" i="45"/>
  <c r="AD51" i="59" s="1"/>
  <c r="BF43" i="45"/>
  <c r="AU61" i="45"/>
  <c r="AW53" i="59" s="1"/>
  <c r="AU58" i="45"/>
  <c r="AY58" i="45" s="1"/>
  <c r="BG58" i="45" s="1"/>
  <c r="AU60" i="45"/>
  <c r="AY60" i="45" s="1"/>
  <c r="BG60" i="45" s="1"/>
  <c r="AU59" i="45"/>
  <c r="AY59" i="45" s="1"/>
  <c r="BG59" i="45" s="1"/>
  <c r="AT55" i="45"/>
  <c r="AX55" i="45" s="1"/>
  <c r="BF55" i="45" s="1"/>
  <c r="AQ50" i="45"/>
  <c r="AU49" i="45"/>
  <c r="AQ71" i="45"/>
  <c r="AU5" i="45"/>
  <c r="AQ63" i="45"/>
  <c r="AK65" i="45"/>
  <c r="AK73" i="45"/>
  <c r="AQ68" i="45"/>
  <c r="AQ45" i="45"/>
  <c r="AS51" i="59" s="1"/>
  <c r="AQ61" i="45"/>
  <c r="AS53" i="59" s="1"/>
  <c r="AQ75" i="45"/>
  <c r="AF50" i="45"/>
  <c r="AJ51" i="45"/>
  <c r="AP51" i="45" s="1"/>
  <c r="AG57" i="45"/>
  <c r="AK56" i="45"/>
  <c r="AK75" i="45"/>
  <c r="AK61" i="45"/>
  <c r="AM53" i="59" s="1"/>
  <c r="AK45" i="45"/>
  <c r="AM51" i="59" s="1"/>
  <c r="AF54" i="45"/>
  <c r="AF52" i="45"/>
  <c r="AH52" i="59" s="1"/>
  <c r="AG45" i="45"/>
  <c r="AI51" i="59" s="1"/>
  <c r="AG61" i="45"/>
  <c r="AI53" i="59" s="1"/>
  <c r="AG75" i="45"/>
  <c r="AG77" i="45" s="1"/>
  <c r="AC61" i="45"/>
  <c r="AE53" i="59" s="1"/>
  <c r="AC75" i="45"/>
  <c r="AC79" i="45" s="1"/>
  <c r="R50" i="45"/>
  <c r="K77" i="45"/>
  <c r="K79" i="45"/>
  <c r="S57" i="45"/>
  <c r="O75" i="45"/>
  <c r="O79" i="45" s="1"/>
  <c r="O61" i="45"/>
  <c r="Q53" i="59" s="1"/>
  <c r="S50" i="45"/>
  <c r="BF45" i="45" l="1"/>
  <c r="BF46" i="45"/>
  <c r="V45" i="45"/>
  <c r="X51" i="59" s="1"/>
  <c r="V46" i="45"/>
  <c r="AJ43" i="45"/>
  <c r="AJ46" i="45" s="1"/>
  <c r="AF45" i="45"/>
  <c r="AH51" i="59" s="1"/>
  <c r="BH51" i="59"/>
  <c r="BE23" i="36"/>
  <c r="AK6" i="45"/>
  <c r="AU75" i="45"/>
  <c r="AC45" i="45"/>
  <c r="AE51" i="59" s="1"/>
  <c r="AC47" i="45"/>
  <c r="AY61" i="45"/>
  <c r="BA53" i="59" s="1"/>
  <c r="AY75" i="45"/>
  <c r="AY77" i="45" s="1"/>
  <c r="AU45" i="45"/>
  <c r="AW51" i="59" s="1"/>
  <c r="BG75" i="45"/>
  <c r="BG61" i="45"/>
  <c r="BI53" i="59" s="1"/>
  <c r="AT51" i="45"/>
  <c r="AX51" i="45" s="1"/>
  <c r="BF51" i="45" s="1"/>
  <c r="AQ73" i="45"/>
  <c r="AU68" i="45"/>
  <c r="AY49" i="45"/>
  <c r="AU50" i="45"/>
  <c r="AU71" i="45"/>
  <c r="AY5" i="45"/>
  <c r="AT52" i="45"/>
  <c r="AV52" i="59" s="1"/>
  <c r="AQ65" i="45"/>
  <c r="AQ72" i="45" s="1"/>
  <c r="AU63" i="45"/>
  <c r="AU55" i="45"/>
  <c r="AU77" i="45"/>
  <c r="N23" i="36"/>
  <c r="AK72" i="45"/>
  <c r="AK66" i="45"/>
  <c r="AP52" i="45"/>
  <c r="AR52" i="59" s="1"/>
  <c r="AP54" i="45"/>
  <c r="AP50" i="45"/>
  <c r="AQ77" i="45"/>
  <c r="AK57" i="45"/>
  <c r="AQ56" i="45"/>
  <c r="AJ52" i="45"/>
  <c r="AL52" i="59" s="1"/>
  <c r="AJ54" i="45"/>
  <c r="AJ50" i="45"/>
  <c r="AG47" i="45"/>
  <c r="AK79" i="45"/>
  <c r="AK77" i="45"/>
  <c r="AG79" i="45"/>
  <c r="AC77" i="45"/>
  <c r="W61" i="45"/>
  <c r="Y53" i="59" s="1"/>
  <c r="W75" i="45"/>
  <c r="S61" i="45"/>
  <c r="U53" i="59" s="1"/>
  <c r="S75" i="45"/>
  <c r="O77" i="45"/>
  <c r="S47" i="45"/>
  <c r="AQ79" i="45" l="1"/>
  <c r="AQ66" i="45"/>
  <c r="AT50" i="45"/>
  <c r="AY55" i="45"/>
  <c r="AB23" i="36"/>
  <c r="BF50" i="45"/>
  <c r="BF54" i="45"/>
  <c r="BF52" i="45"/>
  <c r="BH52" i="59" s="1"/>
  <c r="AT54" i="45"/>
  <c r="AY50" i="45"/>
  <c r="BG49" i="45"/>
  <c r="BG50" i="45" s="1"/>
  <c r="AY71" i="45"/>
  <c r="BG5" i="45"/>
  <c r="AY45" i="45"/>
  <c r="BA51" i="59" s="1"/>
  <c r="AQ6" i="45"/>
  <c r="AK47" i="45"/>
  <c r="AP43" i="45"/>
  <c r="AP46" i="45" s="1"/>
  <c r="AJ45" i="45"/>
  <c r="AL51" i="59" s="1"/>
  <c r="W45" i="45"/>
  <c r="Y51" i="59" s="1"/>
  <c r="W47" i="45"/>
  <c r="AP23" i="36"/>
  <c r="BG77" i="45"/>
  <c r="AU65" i="45"/>
  <c r="AY63" i="45"/>
  <c r="AX50" i="45"/>
  <c r="AX54" i="45"/>
  <c r="AX52" i="45"/>
  <c r="AZ52" i="59" s="1"/>
  <c r="AU73" i="45"/>
  <c r="AY68" i="45"/>
  <c r="AT23" i="36"/>
  <c r="AQ57" i="45"/>
  <c r="AU56" i="45"/>
  <c r="AJ23" i="36"/>
  <c r="AF23" i="36"/>
  <c r="R23" i="36"/>
  <c r="W77" i="45"/>
  <c r="W79" i="45"/>
  <c r="S77" i="45"/>
  <c r="S79" i="45"/>
  <c r="AT43" i="45" l="1"/>
  <c r="AT46" i="45" s="1"/>
  <c r="AP45" i="45"/>
  <c r="AR51" i="59" s="1"/>
  <c r="BG55" i="45"/>
  <c r="BG71" i="45"/>
  <c r="AY65" i="45"/>
  <c r="AY72" i="45" s="1"/>
  <c r="BG63" i="45"/>
  <c r="BG65" i="45" s="1"/>
  <c r="BG45" i="45"/>
  <c r="BI51" i="59" s="1"/>
  <c r="AU6" i="45"/>
  <c r="AQ47" i="45"/>
  <c r="AY73" i="45"/>
  <c r="BG68" i="45"/>
  <c r="BG73" i="45" s="1"/>
  <c r="V23" i="36"/>
  <c r="AX23" i="36"/>
  <c r="AY66" i="45"/>
  <c r="AU72" i="45"/>
  <c r="AU79" i="45" s="1"/>
  <c r="AU66" i="45"/>
  <c r="AU57" i="45"/>
  <c r="AY56" i="45"/>
  <c r="AC40" i="48"/>
  <c r="AC26" i="48"/>
  <c r="AC28" i="48" s="1"/>
  <c r="AC37" i="48"/>
  <c r="AC21" i="48"/>
  <c r="AC23" i="48" s="1"/>
  <c r="AH94" i="38"/>
  <c r="AH93" i="38"/>
  <c r="AH92" i="38"/>
  <c r="AH91" i="38"/>
  <c r="AG90" i="38"/>
  <c r="AH89" i="38"/>
  <c r="AG88" i="38"/>
  <c r="AH86" i="38"/>
  <c r="AH85" i="38"/>
  <c r="AH84" i="38"/>
  <c r="AH83" i="38"/>
  <c r="AG82" i="38"/>
  <c r="AH80" i="38"/>
  <c r="AH79" i="38"/>
  <c r="AH78" i="38"/>
  <c r="AH77" i="38"/>
  <c r="AH76" i="38"/>
  <c r="AH75" i="38"/>
  <c r="AH74" i="38"/>
  <c r="AH73" i="38"/>
  <c r="AH72" i="38"/>
  <c r="AH71" i="38"/>
  <c r="AH70" i="38"/>
  <c r="AH69" i="38"/>
  <c r="AH68" i="38"/>
  <c r="AH67" i="38"/>
  <c r="AG66" i="38"/>
  <c r="AH62" i="38"/>
  <c r="AH61" i="38"/>
  <c r="AG60" i="38"/>
  <c r="AH59" i="38"/>
  <c r="AH58" i="38"/>
  <c r="AH57" i="38"/>
  <c r="AH56" i="38"/>
  <c r="AH55" i="38"/>
  <c r="AG54" i="38"/>
  <c r="AG52" i="38"/>
  <c r="AH51" i="38"/>
  <c r="AG51" i="38"/>
  <c r="AG46" i="38"/>
  <c r="AG45" i="38"/>
  <c r="AG44" i="38"/>
  <c r="AG43" i="38"/>
  <c r="AH42" i="38"/>
  <c r="AG41" i="38"/>
  <c r="AH40" i="38"/>
  <c r="AG38" i="38"/>
  <c r="AG37" i="38"/>
  <c r="AG36" i="38"/>
  <c r="AG35" i="38"/>
  <c r="AC130" i="6" s="1"/>
  <c r="AH34" i="38"/>
  <c r="AG32" i="38"/>
  <c r="AG31" i="38"/>
  <c r="AG30" i="38"/>
  <c r="AG29" i="38"/>
  <c r="AG28" i="38"/>
  <c r="AQ28" i="38" s="1"/>
  <c r="AG27" i="38"/>
  <c r="AD56" i="45" s="1"/>
  <c r="AG26" i="38"/>
  <c r="AC66" i="11" s="1"/>
  <c r="AG25" i="38"/>
  <c r="AC129" i="10" s="1"/>
  <c r="AG24" i="38"/>
  <c r="AG23" i="38"/>
  <c r="AC94" i="9" s="1"/>
  <c r="AM94" i="9" s="1"/>
  <c r="AG22" i="38"/>
  <c r="AC77" i="8" s="1"/>
  <c r="AG21" i="38"/>
  <c r="AG20" i="38"/>
  <c r="AG19" i="38"/>
  <c r="AC156" i="6" s="1"/>
  <c r="AH18" i="38"/>
  <c r="AG14" i="38"/>
  <c r="AG13" i="38"/>
  <c r="AH12" i="38"/>
  <c r="AG11" i="38"/>
  <c r="AG10" i="38"/>
  <c r="AG9" i="38"/>
  <c r="AG8" i="38"/>
  <c r="AG7" i="38"/>
  <c r="AQ7" i="38" s="1"/>
  <c r="AH6" i="38"/>
  <c r="AY79" i="45" l="1"/>
  <c r="BF23" i="36"/>
  <c r="AY6" i="45"/>
  <c r="AU47" i="45"/>
  <c r="BG72" i="45"/>
  <c r="BG79" i="45" s="1"/>
  <c r="BG66" i="45"/>
  <c r="AX43" i="45"/>
  <c r="AT45" i="45"/>
  <c r="AV51" i="59" s="1"/>
  <c r="AY57" i="45"/>
  <c r="BG56" i="45"/>
  <c r="BG57" i="45" s="1"/>
  <c r="AM95" i="9"/>
  <c r="BC94" i="9"/>
  <c r="BC95" i="9" s="1"/>
  <c r="AD57" i="45"/>
  <c r="AN56" i="45"/>
  <c r="AC67" i="11"/>
  <c r="AM66" i="11"/>
  <c r="AC130" i="10"/>
  <c r="AM129" i="10"/>
  <c r="AC131" i="6"/>
  <c r="AQ21" i="38"/>
  <c r="AQ69" i="38" s="1"/>
  <c r="AC69" i="7"/>
  <c r="AC78" i="8"/>
  <c r="AC95" i="9"/>
  <c r="AC157" i="6"/>
  <c r="AG87" i="38"/>
  <c r="AG64" i="38" s="1"/>
  <c r="AQ76" i="38"/>
  <c r="AQ55" i="38"/>
  <c r="AQ14" i="38"/>
  <c r="AQ29" i="38"/>
  <c r="AQ31" i="38"/>
  <c r="AH82" i="38"/>
  <c r="AR34" i="38"/>
  <c r="AH90" i="38"/>
  <c r="AR42" i="38"/>
  <c r="AH54" i="38"/>
  <c r="AR6" i="38"/>
  <c r="AQ8" i="38"/>
  <c r="AQ10" i="38"/>
  <c r="AH60" i="38"/>
  <c r="AR12" i="38"/>
  <c r="AQ20" i="38"/>
  <c r="AQ22" i="38"/>
  <c r="AQ24" i="38"/>
  <c r="AQ26" i="38"/>
  <c r="AQ35" i="38"/>
  <c r="AQ37" i="38"/>
  <c r="AR40" i="38"/>
  <c r="AQ43" i="38"/>
  <c r="AQ45" i="38"/>
  <c r="AQ13" i="38"/>
  <c r="AH66" i="38"/>
  <c r="AR18" i="38"/>
  <c r="AQ30" i="38"/>
  <c r="AQ32" i="38"/>
  <c r="AQ41" i="38"/>
  <c r="AQ9" i="38"/>
  <c r="AQ11" i="38"/>
  <c r="AQ19" i="38"/>
  <c r="AQ23" i="38"/>
  <c r="AQ25" i="38"/>
  <c r="AQ27" i="38"/>
  <c r="AQ36" i="38"/>
  <c r="AQ38" i="38"/>
  <c r="AQ44" i="38"/>
  <c r="AQ46" i="38"/>
  <c r="AH88" i="38"/>
  <c r="AL11" i="15"/>
  <c r="AL12" i="15" s="1"/>
  <c r="AL13" i="15" s="1"/>
  <c r="AG40" i="38"/>
  <c r="AH15" i="38"/>
  <c r="AG18" i="38"/>
  <c r="AG63" i="38"/>
  <c r="AH17" i="38"/>
  <c r="AG42" i="38"/>
  <c r="AQ42" i="38" s="1"/>
  <c r="AG6" i="38"/>
  <c r="AQ6" i="38" s="1"/>
  <c r="AH39" i="38"/>
  <c r="AR39" i="38" s="1"/>
  <c r="AG12" i="38"/>
  <c r="AG34" i="38"/>
  <c r="AN80" i="8"/>
  <c r="BD80" i="8" s="1"/>
  <c r="AN77" i="8"/>
  <c r="BD77" i="8" s="1"/>
  <c r="AN58" i="8"/>
  <c r="AN54" i="8"/>
  <c r="BD54" i="8" s="1"/>
  <c r="AN52" i="8"/>
  <c r="BD52" i="8" s="1"/>
  <c r="AN20" i="8"/>
  <c r="BD20" i="8" s="1"/>
  <c r="AN16" i="8"/>
  <c r="BD16" i="8" s="1"/>
  <c r="AN14" i="8"/>
  <c r="BD14" i="8" s="1"/>
  <c r="AN13" i="8"/>
  <c r="BD13" i="8" s="1"/>
  <c r="AN12" i="8"/>
  <c r="BD12" i="8" s="1"/>
  <c r="BD15" i="8" s="1"/>
  <c r="AN30" i="7"/>
  <c r="BD30" i="7" s="1"/>
  <c r="AD1" i="7"/>
  <c r="AC1" i="7"/>
  <c r="AC67" i="7" s="1"/>
  <c r="AE196" i="6"/>
  <c r="AC196" i="6"/>
  <c r="AE195" i="6"/>
  <c r="AC195" i="6"/>
  <c r="AE194" i="6"/>
  <c r="AC194" i="6"/>
  <c r="AE190" i="6"/>
  <c r="AC190" i="6"/>
  <c r="AE188" i="6"/>
  <c r="AC188" i="6"/>
  <c r="AE187" i="6"/>
  <c r="AC187" i="6"/>
  <c r="AE186" i="6"/>
  <c r="AC186" i="6"/>
  <c r="AE185" i="6"/>
  <c r="AC185" i="6"/>
  <c r="AE184" i="6"/>
  <c r="AC184" i="6"/>
  <c r="AE183" i="6"/>
  <c r="AC183" i="6"/>
  <c r="AE182" i="6"/>
  <c r="AC182" i="6"/>
  <c r="AD195" i="6"/>
  <c r="AF194" i="6"/>
  <c r="AD194" i="6"/>
  <c r="AD196" i="6"/>
  <c r="AD190" i="6"/>
  <c r="AD186" i="6"/>
  <c r="AD188" i="6"/>
  <c r="AD187" i="6"/>
  <c r="AD184" i="6"/>
  <c r="AD185" i="6"/>
  <c r="AD183" i="6"/>
  <c r="AD182" i="6"/>
  <c r="AN130" i="6"/>
  <c r="BD130" i="6" s="1"/>
  <c r="AN100" i="6"/>
  <c r="BD100" i="6" s="1"/>
  <c r="AM100" i="6"/>
  <c r="BC100" i="6" s="1"/>
  <c r="AN99" i="6"/>
  <c r="BD99" i="6" s="1"/>
  <c r="AM99" i="6"/>
  <c r="BC99" i="6" s="1"/>
  <c r="AN97" i="6"/>
  <c r="BD97" i="6" s="1"/>
  <c r="AM97" i="6"/>
  <c r="BC97" i="6" s="1"/>
  <c r="AN95" i="6"/>
  <c r="BD95" i="6" s="1"/>
  <c r="AM95" i="6"/>
  <c r="BC95" i="6" s="1"/>
  <c r="AM94" i="6"/>
  <c r="BC94" i="6" s="1"/>
  <c r="AX45" i="45" l="1"/>
  <c r="AZ51" i="59" s="1"/>
  <c r="AX46" i="45"/>
  <c r="BG6" i="45"/>
  <c r="BG47" i="45" s="1"/>
  <c r="AY47" i="45"/>
  <c r="AM67" i="11"/>
  <c r="BC66" i="11"/>
  <c r="BC67" i="11" s="1"/>
  <c r="AM130" i="10"/>
  <c r="BC129" i="10"/>
  <c r="AN57" i="45"/>
  <c r="BD56" i="45"/>
  <c r="BD57" i="45" s="1"/>
  <c r="BC101" i="6"/>
  <c r="BD101" i="6"/>
  <c r="AN9" i="49"/>
  <c r="AN11" i="49" s="1"/>
  <c r="AN13" i="49" s="1"/>
  <c r="BD58" i="8"/>
  <c r="BC98" i="6"/>
  <c r="AN101" i="6"/>
  <c r="AM101" i="6"/>
  <c r="AM98" i="6"/>
  <c r="AR17" i="38"/>
  <c r="AR65" i="38" s="1"/>
  <c r="AD25" i="36"/>
  <c r="AG55" i="59" s="1"/>
  <c r="AD26" i="36"/>
  <c r="AC70" i="7"/>
  <c r="AF26" i="59" s="1"/>
  <c r="AN1" i="7"/>
  <c r="AD67" i="7"/>
  <c r="BD41" i="7"/>
  <c r="BD39" i="7"/>
  <c r="AN63" i="8"/>
  <c r="AR87" i="38"/>
  <c r="AQ92" i="38"/>
  <c r="AQ75" i="38"/>
  <c r="AQ59" i="38"/>
  <c r="AR66" i="38"/>
  <c r="AQ91" i="38"/>
  <c r="AQ74" i="38"/>
  <c r="AR60" i="38"/>
  <c r="AR54" i="38"/>
  <c r="AQ54" i="38"/>
  <c r="AQ86" i="38"/>
  <c r="AQ73" i="38"/>
  <c r="AQ57" i="38"/>
  <c r="AQ89" i="38"/>
  <c r="AR88" i="38"/>
  <c r="AQ72" i="38"/>
  <c r="AR90" i="38"/>
  <c r="AQ79" i="38"/>
  <c r="AQ84" i="38"/>
  <c r="AQ71" i="38"/>
  <c r="AQ80" i="38"/>
  <c r="AQ61" i="38"/>
  <c r="AQ85" i="38"/>
  <c r="AQ70" i="38"/>
  <c r="AQ58" i="38"/>
  <c r="AQ77" i="38"/>
  <c r="AQ90" i="38"/>
  <c r="AQ94" i="38"/>
  <c r="AQ67" i="38"/>
  <c r="AQ78" i="38"/>
  <c r="AQ93" i="38"/>
  <c r="AQ83" i="38"/>
  <c r="AQ68" i="38"/>
  <c r="AQ56" i="38"/>
  <c r="AR82" i="38"/>
  <c r="AQ62" i="38"/>
  <c r="AQ12" i="38"/>
  <c r="AQ34" i="38"/>
  <c r="AQ18" i="38"/>
  <c r="AQ40" i="38"/>
  <c r="AH63" i="38"/>
  <c r="AR15" i="38"/>
  <c r="AM1" i="7"/>
  <c r="AN39" i="7"/>
  <c r="AN41" i="7"/>
  <c r="AM58" i="7"/>
  <c r="AM72" i="7"/>
  <c r="AN58" i="7"/>
  <c r="AD104" i="7"/>
  <c r="AD105" i="7" s="1"/>
  <c r="AN94" i="7"/>
  <c r="BD94" i="7" s="1"/>
  <c r="AN87" i="7"/>
  <c r="BD87" i="7" s="1"/>
  <c r="AN88" i="7"/>
  <c r="BD88" i="7" s="1"/>
  <c r="AN92" i="7"/>
  <c r="BD92" i="7" s="1"/>
  <c r="AN93" i="7"/>
  <c r="BD93" i="7" s="1"/>
  <c r="AN89" i="7"/>
  <c r="BD89" i="7" s="1"/>
  <c r="AN90" i="7"/>
  <c r="BD90" i="7" s="1"/>
  <c r="AN72" i="7"/>
  <c r="BD72" i="7" s="1"/>
  <c r="AN91" i="7"/>
  <c r="BD91" i="7" s="1"/>
  <c r="AM69" i="7"/>
  <c r="AN69" i="7"/>
  <c r="AL18" i="15"/>
  <c r="AM18" i="8"/>
  <c r="BC18" i="8" s="1"/>
  <c r="AM77" i="8"/>
  <c r="BC77" i="8" s="1"/>
  <c r="AN55" i="8"/>
  <c r="BD55" i="8" s="1"/>
  <c r="AN60" i="8"/>
  <c r="BD60" i="8" s="1"/>
  <c r="BD64" i="8" s="1"/>
  <c r="AM5" i="8"/>
  <c r="AN5" i="8"/>
  <c r="AM12" i="8"/>
  <c r="BC12" i="8" s="1"/>
  <c r="BC15" i="8" s="1"/>
  <c r="AN94" i="6"/>
  <c r="BD94" i="6" s="1"/>
  <c r="AM156" i="6"/>
  <c r="BC156" i="6" s="1"/>
  <c r="AN30" i="6"/>
  <c r="BD30" i="6" s="1"/>
  <c r="AN18" i="6"/>
  <c r="BD18" i="6" s="1"/>
  <c r="AM130" i="6"/>
  <c r="BC130" i="6" s="1"/>
  <c r="AN156" i="6"/>
  <c r="BD156" i="6" s="1"/>
  <c r="AN29" i="6"/>
  <c r="BD29" i="6" s="1"/>
  <c r="BD31" i="6" s="1"/>
  <c r="AN17" i="6"/>
  <c r="BD17" i="6" s="1"/>
  <c r="AM14" i="6"/>
  <c r="AG39" i="38"/>
  <c r="AH16" i="38"/>
  <c r="AR16" i="38" s="1"/>
  <c r="AH65" i="38"/>
  <c r="AH87" i="38"/>
  <c r="AG15" i="38"/>
  <c r="AG17" i="38"/>
  <c r="AQ17" i="38" s="1"/>
  <c r="AC16" i="49"/>
  <c r="AC17" i="49" s="1"/>
  <c r="AM29" i="8"/>
  <c r="BC29" i="8" s="1"/>
  <c r="AC8" i="49"/>
  <c r="AM28" i="8"/>
  <c r="BC28" i="8" s="1"/>
  <c r="AC7" i="49"/>
  <c r="AM27" i="8"/>
  <c r="BC27" i="8" s="1"/>
  <c r="AM36" i="7"/>
  <c r="BC36" i="7" s="1"/>
  <c r="AM151" i="6"/>
  <c r="BC151" i="6" s="1"/>
  <c r="AM27" i="6"/>
  <c r="BC27" i="6" s="1"/>
  <c r="AM21" i="6"/>
  <c r="BC21" i="6" s="1"/>
  <c r="AM24" i="6"/>
  <c r="BC24" i="6" s="1"/>
  <c r="AM429" i="28"/>
  <c r="BC429" i="28" s="1"/>
  <c r="AN65" i="28"/>
  <c r="AN64" i="28"/>
  <c r="BD64" i="28" s="1"/>
  <c r="AN37" i="28"/>
  <c r="BD37" i="28" s="1"/>
  <c r="AN36" i="28"/>
  <c r="BD36" i="28" s="1"/>
  <c r="AN35" i="28"/>
  <c r="BD35" i="28" s="1"/>
  <c r="AN34" i="28"/>
  <c r="BD34" i="28" s="1"/>
  <c r="AN33" i="28"/>
  <c r="AN44" i="28"/>
  <c r="BD44" i="28" s="1"/>
  <c r="AN43" i="28"/>
  <c r="BD43" i="28" s="1"/>
  <c r="AN42" i="28"/>
  <c r="BD42" i="28" s="1"/>
  <c r="AN41" i="28"/>
  <c r="BD41" i="28" s="1"/>
  <c r="AN15" i="21"/>
  <c r="BD15" i="21" s="1"/>
  <c r="AM35" i="21"/>
  <c r="BC35" i="21" s="1"/>
  <c r="AN18" i="21"/>
  <c r="AM15" i="21"/>
  <c r="BC15" i="21" s="1"/>
  <c r="AM39" i="35"/>
  <c r="BC39" i="35" s="1"/>
  <c r="AM10" i="35"/>
  <c r="AM5" i="36" s="1"/>
  <c r="AP6" i="59" s="1"/>
  <c r="AM9" i="35"/>
  <c r="BC9" i="35" s="1"/>
  <c r="AN7" i="35"/>
  <c r="BD7" i="35" s="1"/>
  <c r="BD6" i="6" s="1"/>
  <c r="BD12" i="6" s="1"/>
  <c r="BD63" i="8" l="1"/>
  <c r="BD9" i="49"/>
  <c r="BD11" i="49" s="1"/>
  <c r="BD13" i="49" s="1"/>
  <c r="BD19" i="6"/>
  <c r="AM67" i="7"/>
  <c r="BC1" i="7"/>
  <c r="BD33" i="28"/>
  <c r="AM5" i="49"/>
  <c r="BC5" i="8"/>
  <c r="BC5" i="49" s="1"/>
  <c r="AN5" i="49"/>
  <c r="BD5" i="8"/>
  <c r="BD5" i="49" s="1"/>
  <c r="AN20" i="21"/>
  <c r="BD18" i="21"/>
  <c r="BD20" i="21" s="1"/>
  <c r="BC14" i="6"/>
  <c r="BD98" i="6"/>
  <c r="BD102" i="6" s="1"/>
  <c r="AN67" i="7"/>
  <c r="BD1" i="7"/>
  <c r="BC102" i="6"/>
  <c r="AN98" i="6"/>
  <c r="AN102" i="6" s="1"/>
  <c r="AM102" i="6"/>
  <c r="AM106" i="6" s="1"/>
  <c r="BD65" i="28"/>
  <c r="AM12" i="49"/>
  <c r="AM26" i="36"/>
  <c r="AM25" i="36"/>
  <c r="AP55" i="59" s="1"/>
  <c r="AN26" i="36"/>
  <c r="AN25" i="36"/>
  <c r="AQ55" i="59" s="1"/>
  <c r="AM23" i="8"/>
  <c r="BC23" i="8" s="1"/>
  <c r="BC8" i="49" s="1"/>
  <c r="AM22" i="8"/>
  <c r="BC22" i="8" s="1"/>
  <c r="AM24" i="8"/>
  <c r="BC24" i="8" s="1"/>
  <c r="BC16" i="49" s="1"/>
  <c r="BC17" i="49" s="1"/>
  <c r="BC47" i="7"/>
  <c r="BC65" i="7"/>
  <c r="AN64" i="8"/>
  <c r="AQ66" i="38"/>
  <c r="AQ60" i="38"/>
  <c r="AN78" i="8"/>
  <c r="AN60" i="7"/>
  <c r="BD58" i="7"/>
  <c r="BD60" i="7" s="1"/>
  <c r="AQ82" i="38"/>
  <c r="BD50" i="7"/>
  <c r="BD64" i="7"/>
  <c r="AN121" i="6"/>
  <c r="AN149" i="6"/>
  <c r="AM76" i="8"/>
  <c r="BC76" i="8" s="1"/>
  <c r="AM60" i="7"/>
  <c r="BC58" i="7"/>
  <c r="BC60" i="7" s="1"/>
  <c r="BC10" i="35"/>
  <c r="BC5" i="36" s="1"/>
  <c r="AQ65" i="38"/>
  <c r="AR64" i="38"/>
  <c r="AR63" i="38"/>
  <c r="AQ88" i="38"/>
  <c r="AM176" i="28"/>
  <c r="AM70" i="7"/>
  <c r="AP26" i="59" s="1"/>
  <c r="BC69" i="7"/>
  <c r="BC70" i="7" s="1"/>
  <c r="BF26" i="59" s="1"/>
  <c r="AN70" i="7"/>
  <c r="AQ26" i="59" s="1"/>
  <c r="BD69" i="7"/>
  <c r="BD70" i="7" s="1"/>
  <c r="BG26" i="59" s="1"/>
  <c r="AQ15" i="38"/>
  <c r="AQ39" i="38"/>
  <c r="AM11" i="35"/>
  <c r="BD6" i="35"/>
  <c r="BD5" i="6" s="1"/>
  <c r="AM37" i="35"/>
  <c r="BC37" i="35" s="1"/>
  <c r="AP6" i="6"/>
  <c r="AN6" i="6"/>
  <c r="AN12" i="6" s="1"/>
  <c r="AM40" i="35"/>
  <c r="BC40" i="35" s="1"/>
  <c r="AM32" i="7"/>
  <c r="AM55" i="7"/>
  <c r="AM65" i="7"/>
  <c r="AM47" i="7"/>
  <c r="AM35" i="7"/>
  <c r="AM31" i="7"/>
  <c r="AD106" i="7"/>
  <c r="AD107" i="7"/>
  <c r="AD108" i="7" s="1"/>
  <c r="AM38" i="7"/>
  <c r="AM33" i="7"/>
  <c r="AM37" i="7"/>
  <c r="AN50" i="7"/>
  <c r="AN64" i="7"/>
  <c r="AM34" i="7"/>
  <c r="AM41" i="8"/>
  <c r="AM43" i="8"/>
  <c r="AM42" i="8"/>
  <c r="AN69" i="8"/>
  <c r="BD69" i="8" s="1"/>
  <c r="AN70" i="8"/>
  <c r="AN76" i="8"/>
  <c r="AM78" i="8"/>
  <c r="AN32" i="8"/>
  <c r="BD32" i="8" s="1"/>
  <c r="AN34" i="8"/>
  <c r="BD34" i="8" s="1"/>
  <c r="AN46" i="8"/>
  <c r="BD14" i="36" s="1"/>
  <c r="BG31" i="59" s="1"/>
  <c r="AM46" i="8"/>
  <c r="BC14" i="36" s="1"/>
  <c r="BF31" i="59" s="1"/>
  <c r="AM36" i="8"/>
  <c r="AN56" i="8"/>
  <c r="BD56" i="8" s="1"/>
  <c r="AM26" i="8"/>
  <c r="BC26" i="8" s="1"/>
  <c r="BC40" i="8" s="1"/>
  <c r="AN36" i="8"/>
  <c r="AN40" i="8"/>
  <c r="AN41" i="8"/>
  <c r="AN68" i="8"/>
  <c r="AQ33" i="59" s="1"/>
  <c r="AN72" i="8"/>
  <c r="AN38" i="8"/>
  <c r="AN37" i="8"/>
  <c r="AN43" i="8"/>
  <c r="AN45" i="8"/>
  <c r="AN42" i="8"/>
  <c r="AM68" i="8"/>
  <c r="AP33" i="59" s="1"/>
  <c r="AM45" i="8"/>
  <c r="AM55" i="6"/>
  <c r="AN45" i="28"/>
  <c r="AN38" i="28"/>
  <c r="AN459" i="28" s="1"/>
  <c r="AN66" i="28"/>
  <c r="AN67" i="28" s="1"/>
  <c r="AM42" i="28"/>
  <c r="BC42" i="28" s="1"/>
  <c r="AM43" i="28"/>
  <c r="BC43" i="28" s="1"/>
  <c r="AN115" i="6"/>
  <c r="BD115" i="6" s="1"/>
  <c r="AN116" i="6"/>
  <c r="BD116" i="6" s="1"/>
  <c r="AN117" i="6"/>
  <c r="BD117" i="6" s="1"/>
  <c r="AM58" i="6"/>
  <c r="BC58" i="6" s="1"/>
  <c r="AM152" i="6"/>
  <c r="AN148" i="6"/>
  <c r="AQ19" i="59" s="1"/>
  <c r="AN122" i="6"/>
  <c r="AM158" i="6"/>
  <c r="AN124" i="6"/>
  <c r="AQ15" i="59" s="1"/>
  <c r="AN19" i="6"/>
  <c r="AN146" i="6"/>
  <c r="AM18" i="6"/>
  <c r="BC18" i="6" s="1"/>
  <c r="AN123" i="6"/>
  <c r="AN31" i="6"/>
  <c r="AN147" i="6"/>
  <c r="AN144" i="6"/>
  <c r="BD144" i="6" s="1"/>
  <c r="AM157" i="6"/>
  <c r="AM13" i="6"/>
  <c r="AN120" i="6"/>
  <c r="BD120" i="6" s="1"/>
  <c r="AN119" i="6"/>
  <c r="BD119" i="6" s="1"/>
  <c r="AN145" i="6"/>
  <c r="BD145" i="6" s="1"/>
  <c r="AH64" i="38"/>
  <c r="AG16" i="38"/>
  <c r="AC9" i="49"/>
  <c r="AC11" i="49" s="1"/>
  <c r="AC13" i="49" s="1"/>
  <c r="AC14" i="49" s="1"/>
  <c r="AC15" i="49" s="1"/>
  <c r="AC18" i="49" s="1"/>
  <c r="AC19" i="49" s="1"/>
  <c r="AM60" i="8"/>
  <c r="AM30" i="6"/>
  <c r="BC30" i="6" s="1"/>
  <c r="AM126" i="6"/>
  <c r="BC126" i="6" s="1"/>
  <c r="AM20" i="6"/>
  <c r="BC20" i="6" s="1"/>
  <c r="BC22" i="6" s="1"/>
  <c r="AM23" i="6"/>
  <c r="BC23" i="6" s="1"/>
  <c r="BC25" i="6" s="1"/>
  <c r="AM26" i="6"/>
  <c r="BC26" i="6" s="1"/>
  <c r="BC28" i="6" s="1"/>
  <c r="BC43" i="8" l="1"/>
  <c r="BF6" i="59"/>
  <c r="BC12" i="49"/>
  <c r="BC41" i="8"/>
  <c r="BC47" i="8" s="1"/>
  <c r="BD161" i="6"/>
  <c r="BC10" i="36"/>
  <c r="BF27" i="59" s="1"/>
  <c r="BC7" i="49"/>
  <c r="BC37" i="8"/>
  <c r="BC11" i="36"/>
  <c r="BF28" i="59" s="1"/>
  <c r="BC38" i="8"/>
  <c r="BC12" i="36"/>
  <c r="BF29" i="59" s="1"/>
  <c r="AM38" i="8"/>
  <c r="BD76" i="8"/>
  <c r="BD70" i="8"/>
  <c r="BD106" i="6"/>
  <c r="BD162" i="6" s="1"/>
  <c r="BD45" i="28"/>
  <c r="BD460" i="28" s="1"/>
  <c r="AN460" i="28"/>
  <c r="AQ20" i="59"/>
  <c r="BD149" i="6"/>
  <c r="BG20" i="59" s="1"/>
  <c r="BC25" i="8"/>
  <c r="BC36" i="8"/>
  <c r="BC39" i="8" s="1"/>
  <c r="BC106" i="6"/>
  <c r="BC162" i="6" s="1"/>
  <c r="AQ18" i="59"/>
  <c r="BD147" i="6"/>
  <c r="BG18" i="59" s="1"/>
  <c r="AQ17" i="59"/>
  <c r="BD146" i="6"/>
  <c r="BG17" i="59" s="1"/>
  <c r="AQ13" i="59"/>
  <c r="BD122" i="6"/>
  <c r="BG13" i="59" s="1"/>
  <c r="BC46" i="8"/>
  <c r="BC66" i="8" s="1"/>
  <c r="AQ12" i="59"/>
  <c r="BD121" i="6"/>
  <c r="BG12" i="59" s="1"/>
  <c r="BD45" i="8"/>
  <c r="BD37" i="8"/>
  <c r="BD72" i="8"/>
  <c r="BD41" i="8"/>
  <c r="BD42" i="8"/>
  <c r="BD38" i="8"/>
  <c r="BD43" i="8"/>
  <c r="BD40" i="8"/>
  <c r="BD47" i="8" s="1"/>
  <c r="BD36" i="8"/>
  <c r="BD68" i="8"/>
  <c r="BG33" i="59" s="1"/>
  <c r="BD78" i="8"/>
  <c r="BC45" i="8"/>
  <c r="BC68" i="8"/>
  <c r="BF33" i="59" s="1"/>
  <c r="BC78" i="8"/>
  <c r="BD124" i="6"/>
  <c r="BG15" i="59" s="1"/>
  <c r="BC13" i="6"/>
  <c r="AM5" i="26"/>
  <c r="BD46" i="8"/>
  <c r="AN39" i="28"/>
  <c r="BD38" i="28"/>
  <c r="BD39" i="28" s="1"/>
  <c r="AM64" i="8"/>
  <c r="BC60" i="8"/>
  <c r="BC64" i="8" s="1"/>
  <c r="AQ14" i="59"/>
  <c r="BD123" i="6"/>
  <c r="BG14" i="59" s="1"/>
  <c r="BD61" i="8"/>
  <c r="BD62" i="8"/>
  <c r="BD7" i="6"/>
  <c r="BD11" i="6"/>
  <c r="BC158" i="6"/>
  <c r="BC55" i="6"/>
  <c r="BC152" i="6"/>
  <c r="BC157" i="6"/>
  <c r="BD148" i="6"/>
  <c r="BG19" i="59" s="1"/>
  <c r="BC42" i="8"/>
  <c r="AM444" i="28"/>
  <c r="AN106" i="6"/>
  <c r="AM175" i="6"/>
  <c r="AM178" i="6" s="1"/>
  <c r="AM171" i="6"/>
  <c r="AM168" i="6"/>
  <c r="AM172" i="6"/>
  <c r="AM169" i="6"/>
  <c r="AM167" i="6"/>
  <c r="AM166" i="6"/>
  <c r="AM162" i="6"/>
  <c r="AM16" i="49"/>
  <c r="AM17" i="49" s="1"/>
  <c r="AM12" i="36"/>
  <c r="AP29" i="59" s="1"/>
  <c r="AM7" i="49"/>
  <c r="AM10" i="36"/>
  <c r="AP27" i="59" s="1"/>
  <c r="AM8" i="49"/>
  <c r="AM11" i="36"/>
  <c r="AP28" i="59" s="1"/>
  <c r="AM25" i="8"/>
  <c r="AM37" i="8"/>
  <c r="AM39" i="8" s="1"/>
  <c r="AM58" i="8"/>
  <c r="BC58" i="8" s="1"/>
  <c r="AM426" i="28"/>
  <c r="AM430" i="28" s="1"/>
  <c r="AM40" i="8"/>
  <c r="AM47" i="8" s="1"/>
  <c r="AM48" i="7"/>
  <c r="BC37" i="7"/>
  <c r="BC48" i="7" s="1"/>
  <c r="AL6" i="15"/>
  <c r="AQ87" i="38"/>
  <c r="AM45" i="7"/>
  <c r="AM84" i="7" s="1"/>
  <c r="AP25" i="59" s="1"/>
  <c r="BC34" i="7"/>
  <c r="BC45" i="7" s="1"/>
  <c r="BC84" i="7" s="1"/>
  <c r="BF25" i="59" s="1"/>
  <c r="AM44" i="7"/>
  <c r="AM82" i="7" s="1"/>
  <c r="BC33" i="7"/>
  <c r="BC44" i="7" s="1"/>
  <c r="BC82" i="7" s="1"/>
  <c r="AM42" i="7"/>
  <c r="AM75" i="7" s="1"/>
  <c r="AP23" i="59" s="1"/>
  <c r="BC31" i="7"/>
  <c r="BC42" i="7" s="1"/>
  <c r="BC75" i="7" s="1"/>
  <c r="BF23" i="59" s="1"/>
  <c r="AM56" i="7"/>
  <c r="BC55" i="7"/>
  <c r="BC56" i="7" s="1"/>
  <c r="AL7" i="15"/>
  <c r="AQ63" i="38"/>
  <c r="AM49" i="7"/>
  <c r="BC38" i="7"/>
  <c r="BC49" i="7" s="1"/>
  <c r="AM46" i="7"/>
  <c r="BC35" i="7"/>
  <c r="BC46" i="7" s="1"/>
  <c r="AM43" i="7"/>
  <c r="BC32" i="7"/>
  <c r="BC43" i="7" s="1"/>
  <c r="BD66" i="28"/>
  <c r="BD67" i="28" s="1"/>
  <c r="AM66" i="8"/>
  <c r="AL5" i="15"/>
  <c r="BD8" i="35"/>
  <c r="AM261" i="28"/>
  <c r="AM420" i="28"/>
  <c r="BC420" i="28" s="1"/>
  <c r="AM22" i="6"/>
  <c r="AM28" i="6"/>
  <c r="AM25" i="6"/>
  <c r="AM148" i="6"/>
  <c r="AQ16" i="38"/>
  <c r="AN13" i="6"/>
  <c r="BD13" i="6" s="1"/>
  <c r="AD225" i="6"/>
  <c r="AM44" i="35"/>
  <c r="BC44" i="35" s="1"/>
  <c r="AN5" i="6"/>
  <c r="AP5" i="6"/>
  <c r="AP7" i="6" s="1"/>
  <c r="AN8" i="35"/>
  <c r="AD109" i="7"/>
  <c r="AN47" i="8"/>
  <c r="AN39" i="8"/>
  <c r="AN62" i="8"/>
  <c r="AN61" i="8"/>
  <c r="AN66" i="8"/>
  <c r="AN33" i="8"/>
  <c r="BD33" i="8" s="1"/>
  <c r="AM52" i="8"/>
  <c r="BC52" i="8" s="1"/>
  <c r="AM115" i="6"/>
  <c r="BC115" i="6" s="1"/>
  <c r="AM422" i="28"/>
  <c r="BC422" i="28" s="1"/>
  <c r="AM60" i="28"/>
  <c r="AM44" i="28"/>
  <c r="BC44" i="28" s="1"/>
  <c r="AM56" i="28"/>
  <c r="AM141" i="6"/>
  <c r="BC141" i="6" s="1"/>
  <c r="AM140" i="6"/>
  <c r="BC140" i="6" s="1"/>
  <c r="AM142" i="6"/>
  <c r="BC142" i="6" s="1"/>
  <c r="AN141" i="6"/>
  <c r="BD141" i="6" s="1"/>
  <c r="AN142" i="6"/>
  <c r="BD142" i="6" s="1"/>
  <c r="AN140" i="6"/>
  <c r="BD140" i="6" s="1"/>
  <c r="BD160" i="6" s="1"/>
  <c r="BD14" i="49" s="1"/>
  <c r="AM116" i="6"/>
  <c r="BC116" i="6" s="1"/>
  <c r="AM117" i="6"/>
  <c r="BC117" i="6" s="1"/>
  <c r="AM146" i="6"/>
  <c r="AP17" i="59" s="1"/>
  <c r="AM149" i="6"/>
  <c r="AM144" i="6"/>
  <c r="BC144" i="6" s="1"/>
  <c r="AM57" i="6"/>
  <c r="BC57" i="6" s="1"/>
  <c r="AM15" i="6"/>
  <c r="AM54" i="6"/>
  <c r="AM17" i="6"/>
  <c r="BC17" i="6" s="1"/>
  <c r="AM127" i="6"/>
  <c r="AM131" i="6"/>
  <c r="AN161" i="6"/>
  <c r="AM132" i="6"/>
  <c r="BC132" i="6" s="1"/>
  <c r="AM147" i="6"/>
  <c r="AM34" i="8"/>
  <c r="BC34" i="8" s="1"/>
  <c r="AM32" i="8"/>
  <c r="BC32" i="8" s="1"/>
  <c r="AM29" i="6"/>
  <c r="BC29" i="6" s="1"/>
  <c r="BC31" i="6" s="1"/>
  <c r="AD228" i="6"/>
  <c r="AM41" i="28"/>
  <c r="BC41" i="28" s="1"/>
  <c r="AM52" i="28"/>
  <c r="BD459" i="28" l="1"/>
  <c r="BD15" i="49"/>
  <c r="BD18" i="49" s="1"/>
  <c r="BD19" i="49" s="1"/>
  <c r="BD15" i="36" s="1"/>
  <c r="BC13" i="36"/>
  <c r="BF30" i="59" s="1"/>
  <c r="BC63" i="8"/>
  <c r="BC9" i="49"/>
  <c r="BC11" i="49" s="1"/>
  <c r="BC13" i="49" s="1"/>
  <c r="BD39" i="8"/>
  <c r="BD66" i="8"/>
  <c r="BC5" i="26"/>
  <c r="BC56" i="28"/>
  <c r="AM450" i="28"/>
  <c r="AM451" i="28"/>
  <c r="AP19" i="59"/>
  <c r="BC148" i="6"/>
  <c r="BF19" i="59" s="1"/>
  <c r="BC146" i="6"/>
  <c r="BF17" i="59" s="1"/>
  <c r="BC52" i="28"/>
  <c r="AM446" i="28"/>
  <c r="AP20" i="59"/>
  <c r="BC149" i="6"/>
  <c r="BF20" i="59" s="1"/>
  <c r="BC60" i="28"/>
  <c r="BC454" i="28" s="1"/>
  <c r="AM454" i="28"/>
  <c r="AM455" i="28"/>
  <c r="BD242" i="6"/>
  <c r="BD228" i="6"/>
  <c r="BD60" i="6"/>
  <c r="BD54" i="6"/>
  <c r="BD127" i="6"/>
  <c r="BD131" i="6"/>
  <c r="BC166" i="6"/>
  <c r="BC168" i="6"/>
  <c r="BC175" i="6"/>
  <c r="BC178" i="6" s="1"/>
  <c r="BC197" i="6" s="1"/>
  <c r="BC167" i="6"/>
  <c r="BC172" i="6"/>
  <c r="BC171" i="6"/>
  <c r="BC169" i="6"/>
  <c r="AP18" i="59"/>
  <c r="BC147" i="6"/>
  <c r="BF18" i="59" s="1"/>
  <c r="BC19" i="6"/>
  <c r="BC127" i="6"/>
  <c r="BC15" i="6"/>
  <c r="BC54" i="6"/>
  <c r="BC131" i="6"/>
  <c r="BD168" i="6"/>
  <c r="BD175" i="6"/>
  <c r="BD176" i="6"/>
  <c r="BD177" i="6"/>
  <c r="BD167" i="6"/>
  <c r="BD169" i="6"/>
  <c r="BD171" i="6"/>
  <c r="BD172" i="6"/>
  <c r="BD166" i="6"/>
  <c r="BC160" i="6"/>
  <c r="AM448" i="28"/>
  <c r="AM447" i="28"/>
  <c r="BC415" i="28"/>
  <c r="BC176" i="28"/>
  <c r="AN168" i="6"/>
  <c r="AN169" i="6"/>
  <c r="AN177" i="6"/>
  <c r="AN172" i="6"/>
  <c r="AN167" i="6"/>
  <c r="AN175" i="6"/>
  <c r="AN176" i="6"/>
  <c r="AN171" i="6"/>
  <c r="AN173" i="6" s="1"/>
  <c r="AN166" i="6"/>
  <c r="AN162" i="6"/>
  <c r="AM170" i="6"/>
  <c r="AM173" i="6"/>
  <c r="AM434" i="28"/>
  <c r="AM433" i="28"/>
  <c r="AM63" i="8"/>
  <c r="AM9" i="49"/>
  <c r="AM11" i="49" s="1"/>
  <c r="AM13" i="49" s="1"/>
  <c r="AM13" i="36"/>
  <c r="AP30" i="59" s="1"/>
  <c r="BC426" i="28"/>
  <c r="BC430" i="28" s="1"/>
  <c r="AN225" i="6"/>
  <c r="AQ64" i="38"/>
  <c r="AM36" i="6"/>
  <c r="AM31" i="6"/>
  <c r="AM119" i="6"/>
  <c r="AN242" i="6"/>
  <c r="AN244" i="6" s="1"/>
  <c r="AN127" i="6"/>
  <c r="AN131" i="6"/>
  <c r="AN132" i="6"/>
  <c r="BD132" i="6" s="1"/>
  <c r="AN228" i="6"/>
  <c r="AN60" i="6"/>
  <c r="AN54" i="6"/>
  <c r="AN57" i="6"/>
  <c r="BD57" i="6" s="1"/>
  <c r="AC192" i="6"/>
  <c r="AD229" i="6"/>
  <c r="AD230" i="6"/>
  <c r="AD231" i="6" s="1"/>
  <c r="AD242" i="6"/>
  <c r="AN7" i="6"/>
  <c r="AN11" i="6"/>
  <c r="AD248" i="6"/>
  <c r="AD234" i="6"/>
  <c r="AD226" i="6"/>
  <c r="AC16" i="48"/>
  <c r="AC18" i="48" s="1"/>
  <c r="AD116" i="7"/>
  <c r="AM56" i="8"/>
  <c r="AM33" i="8"/>
  <c r="BC33" i="8" s="1"/>
  <c r="AM160" i="6"/>
  <c r="AD197" i="6"/>
  <c r="AM124" i="6"/>
  <c r="AM35" i="6"/>
  <c r="AM45" i="28"/>
  <c r="AM120" i="6"/>
  <c r="BC120" i="6" s="1"/>
  <c r="AM122" i="6"/>
  <c r="AP13" i="59" s="1"/>
  <c r="AM34" i="6"/>
  <c r="AM121" i="6"/>
  <c r="AM56" i="6"/>
  <c r="AM123" i="6"/>
  <c r="AM19" i="6"/>
  <c r="AN14" i="6"/>
  <c r="AM59" i="6"/>
  <c r="AD192" i="6"/>
  <c r="AD189" i="6"/>
  <c r="AM48" i="28"/>
  <c r="BD65" i="8" l="1"/>
  <c r="BG34" i="59"/>
  <c r="BC455" i="28"/>
  <c r="BD178" i="6"/>
  <c r="BD197" i="6" s="1"/>
  <c r="BC14" i="49"/>
  <c r="BC15" i="49" s="1"/>
  <c r="BC18" i="49" s="1"/>
  <c r="BC19" i="49" s="1"/>
  <c r="BC173" i="6"/>
  <c r="BC192" i="6" s="1"/>
  <c r="BC36" i="6"/>
  <c r="BC34" i="6"/>
  <c r="BC35" i="6"/>
  <c r="BC170" i="6"/>
  <c r="AP15" i="59"/>
  <c r="BC124" i="6"/>
  <c r="BF15" i="59" s="1"/>
  <c r="AM62" i="8"/>
  <c r="BC56" i="8"/>
  <c r="BC62" i="8" s="1"/>
  <c r="AM161" i="6"/>
  <c r="BC119" i="6"/>
  <c r="BC161" i="6" s="1"/>
  <c r="BD170" i="6"/>
  <c r="BD230" i="6"/>
  <c r="BD232" i="6"/>
  <c r="AP14" i="59"/>
  <c r="BC123" i="6"/>
  <c r="BF14" i="59" s="1"/>
  <c r="BC33" i="6"/>
  <c r="BD244" i="6"/>
  <c r="BD246" i="6"/>
  <c r="BC48" i="28"/>
  <c r="BC442" i="28" s="1"/>
  <c r="AM442" i="28"/>
  <c r="AM443" i="28"/>
  <c r="BD14" i="6"/>
  <c r="AP12" i="59"/>
  <c r="BC121" i="6"/>
  <c r="BF12" i="59" s="1"/>
  <c r="BC45" i="28"/>
  <c r="BC460" i="28" s="1"/>
  <c r="AM460" i="28"/>
  <c r="BD173" i="6"/>
  <c r="BD192" i="6" s="1"/>
  <c r="BC56" i="6"/>
  <c r="BC122" i="6"/>
  <c r="BF13" i="59" s="1"/>
  <c r="BC59" i="6"/>
  <c r="BC456" i="28"/>
  <c r="BC444" i="28"/>
  <c r="BC319" i="28"/>
  <c r="BC451" i="28" s="1"/>
  <c r="BC450" i="28"/>
  <c r="BC261" i="28"/>
  <c r="BC448" i="28" s="1"/>
  <c r="BC446" i="28"/>
  <c r="AN178" i="6"/>
  <c r="AN170" i="6"/>
  <c r="AN174" i="6" s="1"/>
  <c r="AM174" i="6"/>
  <c r="AM179" i="6" s="1"/>
  <c r="AM439" i="28"/>
  <c r="AM440" i="28"/>
  <c r="BC434" i="28"/>
  <c r="BC433" i="28"/>
  <c r="AM14" i="49"/>
  <c r="AM15" i="49" s="1"/>
  <c r="AM18" i="49" s="1"/>
  <c r="AM19" i="49" s="1"/>
  <c r="AN160" i="6"/>
  <c r="AN14" i="49" s="1"/>
  <c r="AN15" i="49" s="1"/>
  <c r="AN18" i="49" s="1"/>
  <c r="AN19" i="49" s="1"/>
  <c r="AN15" i="36" s="1"/>
  <c r="AQ34" i="59" s="1"/>
  <c r="AN243" i="6"/>
  <c r="AN229" i="6"/>
  <c r="AN245" i="6"/>
  <c r="BC459" i="28"/>
  <c r="AM33" i="6"/>
  <c r="AN230" i="6"/>
  <c r="AN231" i="6" s="1"/>
  <c r="AD232" i="6"/>
  <c r="AD243" i="6"/>
  <c r="AD244" i="6"/>
  <c r="AD245" i="6" s="1"/>
  <c r="AD250" i="6"/>
  <c r="AD251" i="6" s="1"/>
  <c r="AD249" i="6"/>
  <c r="AN234" i="6"/>
  <c r="AN248" i="6"/>
  <c r="AN226" i="6"/>
  <c r="AD236" i="6"/>
  <c r="AD237" i="6" s="1"/>
  <c r="AD235" i="6"/>
  <c r="AM192" i="6"/>
  <c r="AC189" i="6"/>
  <c r="AM197" i="6"/>
  <c r="AM189" i="6"/>
  <c r="AN58" i="6"/>
  <c r="AC197" i="6"/>
  <c r="AN55" i="6"/>
  <c r="AN152" i="6"/>
  <c r="AN157" i="6"/>
  <c r="AN15" i="6"/>
  <c r="AN158" i="6"/>
  <c r="AM64" i="28"/>
  <c r="BC64" i="28" s="1"/>
  <c r="P261" i="28"/>
  <c r="P175" i="28"/>
  <c r="P176" i="28" s="1"/>
  <c r="P318" i="28"/>
  <c r="P319" i="28" s="1"/>
  <c r="BC37" i="6" l="1"/>
  <c r="BD58" i="6"/>
  <c r="BC443" i="28"/>
  <c r="BD158" i="6"/>
  <c r="BD234" i="6"/>
  <c r="BD248" i="6"/>
  <c r="BD55" i="6"/>
  <c r="BD152" i="6"/>
  <c r="BD157" i="6"/>
  <c r="BD15" i="6"/>
  <c r="BD189" i="6"/>
  <c r="BD193" i="6" s="1"/>
  <c r="BD174" i="6"/>
  <c r="BD9" i="36" s="1"/>
  <c r="BG10" i="59" s="1"/>
  <c r="BC189" i="6"/>
  <c r="BC174" i="6"/>
  <c r="AN246" i="6"/>
  <c r="AN179" i="6"/>
  <c r="BC452" i="28"/>
  <c r="BC447" i="28"/>
  <c r="BC439" i="28"/>
  <c r="BC440" i="28"/>
  <c r="AN65" i="8"/>
  <c r="AN192" i="6"/>
  <c r="R175" i="28"/>
  <c r="V175" i="28" s="1"/>
  <c r="AN197" i="6"/>
  <c r="AN189" i="6"/>
  <c r="AM37" i="6"/>
  <c r="AN232" i="6"/>
  <c r="AD246" i="6"/>
  <c r="AD252" i="6"/>
  <c r="AD238" i="6"/>
  <c r="AD239" i="6" s="1"/>
  <c r="AC6" i="48" s="1"/>
  <c r="AN236" i="6"/>
  <c r="AN237" i="6" s="1"/>
  <c r="AN235" i="6"/>
  <c r="AN250" i="6"/>
  <c r="AN251" i="6" s="1"/>
  <c r="AN249" i="6"/>
  <c r="AN59" i="6"/>
  <c r="AN36" i="6"/>
  <c r="AN34" i="6"/>
  <c r="AN35" i="6"/>
  <c r="AN33" i="6"/>
  <c r="AN56" i="6"/>
  <c r="AD193" i="6"/>
  <c r="Z387" i="28"/>
  <c r="Z413" i="28" s="1"/>
  <c r="Z218" i="28"/>
  <c r="Y418" i="28"/>
  <c r="Y419" i="28"/>
  <c r="Z429" i="28"/>
  <c r="Z423" i="28"/>
  <c r="Z422" i="28"/>
  <c r="Z418" i="28"/>
  <c r="Z419" i="28"/>
  <c r="Z337" i="28"/>
  <c r="Z384" i="28" s="1"/>
  <c r="Z269" i="28"/>
  <c r="Z263" i="28"/>
  <c r="Z266" i="28" s="1"/>
  <c r="Z69" i="28"/>
  <c r="AB69" i="28" s="1"/>
  <c r="BF69" i="28" s="1"/>
  <c r="Z60" i="28"/>
  <c r="Z56" i="28"/>
  <c r="Z53" i="28"/>
  <c r="Z52" i="28"/>
  <c r="Z49" i="28"/>
  <c r="Z48" i="28"/>
  <c r="Z27" i="28"/>
  <c r="Z28" i="28"/>
  <c r="Z29" i="28"/>
  <c r="Z30" i="28"/>
  <c r="Z26" i="28"/>
  <c r="Z21" i="28"/>
  <c r="Z22" i="28"/>
  <c r="Z453" i="28" s="1"/>
  <c r="Z23" i="28"/>
  <c r="Z20" i="28"/>
  <c r="Z318" i="28" s="1"/>
  <c r="Z15" i="28"/>
  <c r="Z16" i="28"/>
  <c r="Z449" i="28" s="1"/>
  <c r="Z17" i="28"/>
  <c r="Z13" i="28"/>
  <c r="Z260" i="28" s="1"/>
  <c r="Z7" i="28"/>
  <c r="Z175" i="28" s="1"/>
  <c r="Y263" i="28"/>
  <c r="Y178" i="28"/>
  <c r="Y30" i="28"/>
  <c r="Y26" i="28"/>
  <c r="Y20" i="28"/>
  <c r="Y13" i="28"/>
  <c r="Y260" i="28" s="1"/>
  <c r="Y7" i="28"/>
  <c r="Z319" i="28" l="1"/>
  <c r="Z176" i="28"/>
  <c r="BD35" i="6"/>
  <c r="BD34" i="6"/>
  <c r="BD36" i="6"/>
  <c r="BD33" i="6"/>
  <c r="BD250" i="6"/>
  <c r="BD252" i="6"/>
  <c r="BD253" i="6" s="1"/>
  <c r="BD179" i="6"/>
  <c r="BD198" i="6" s="1"/>
  <c r="BD238" i="6"/>
  <c r="BD239" i="6" s="1"/>
  <c r="BD236" i="6"/>
  <c r="Z415" i="28"/>
  <c r="BC193" i="6"/>
  <c r="BC179" i="6"/>
  <c r="BD56" i="6"/>
  <c r="BD59" i="6"/>
  <c r="Z261" i="28"/>
  <c r="AN193" i="6"/>
  <c r="AC193" i="6"/>
  <c r="AC198" i="6" s="1"/>
  <c r="AM193" i="6"/>
  <c r="AM198" i="6" s="1"/>
  <c r="AD253" i="6"/>
  <c r="AC7" i="48" s="1"/>
  <c r="AC8" i="48" s="1"/>
  <c r="AN238" i="6"/>
  <c r="AN239" i="6" s="1"/>
  <c r="AM6" i="48" s="1"/>
  <c r="AN252" i="6"/>
  <c r="AN253" i="6" s="1"/>
  <c r="AN37" i="6"/>
  <c r="Z57" i="28"/>
  <c r="Z58" i="28" s="1"/>
  <c r="Z50" i="28"/>
  <c r="AD198" i="6"/>
  <c r="Z420" i="28"/>
  <c r="Z11" i="28"/>
  <c r="Z54" i="28"/>
  <c r="Z24" i="28"/>
  <c r="Z424" i="28"/>
  <c r="Z31" i="28"/>
  <c r="Z18" i="28"/>
  <c r="BC198" i="6" l="1"/>
  <c r="Z451" i="28"/>
  <c r="Z447" i="28"/>
  <c r="Z443" i="28"/>
  <c r="Z444" i="28"/>
  <c r="BD255" i="6"/>
  <c r="Z452" i="28"/>
  <c r="Z450" i="28"/>
  <c r="BD37" i="6"/>
  <c r="Z448" i="28"/>
  <c r="Z446" i="28"/>
  <c r="Z442" i="28"/>
  <c r="Z456" i="28"/>
  <c r="AN198" i="6"/>
  <c r="AN9" i="36"/>
  <c r="AQ10" i="59" s="1"/>
  <c r="AD255" i="6"/>
  <c r="AN255" i="6"/>
  <c r="AM7" i="48"/>
  <c r="AM8" i="48" s="1"/>
  <c r="Z27" i="22"/>
  <c r="Z25" i="22"/>
  <c r="Z22" i="22"/>
  <c r="Z52" i="22" s="1"/>
  <c r="Z21" i="22"/>
  <c r="Z13" i="22"/>
  <c r="Z11" i="22"/>
  <c r="Z18" i="22" s="1"/>
  <c r="Z8" i="22"/>
  <c r="Z44" i="22" s="1"/>
  <c r="Z7" i="22"/>
  <c r="Z3" i="22"/>
  <c r="Y3" i="22"/>
  <c r="X33" i="22"/>
  <c r="W33" i="22"/>
  <c r="X28" i="22"/>
  <c r="X64" i="22" s="1"/>
  <c r="X65" i="22" s="1"/>
  <c r="X66" i="22" s="1"/>
  <c r="W40" i="48" s="1"/>
  <c r="X24" i="22"/>
  <c r="X26" i="22" s="1"/>
  <c r="X23" i="22"/>
  <c r="X51" i="22" s="1"/>
  <c r="X53" i="22" s="1"/>
  <c r="X55" i="22" s="1"/>
  <c r="X56" i="22" s="1"/>
  <c r="W26" i="48" s="1"/>
  <c r="W28" i="48" s="1"/>
  <c r="X14" i="22"/>
  <c r="X59" i="22" s="1"/>
  <c r="X60" i="22" s="1"/>
  <c r="X61" i="22" s="1"/>
  <c r="W37" i="48" s="1"/>
  <c r="X10" i="22"/>
  <c r="X9" i="22"/>
  <c r="X43" i="22" s="1"/>
  <c r="X45" i="22" s="1"/>
  <c r="X47" i="22" s="1"/>
  <c r="X48" i="22" s="1"/>
  <c r="W21" i="48" s="1"/>
  <c r="W23" i="48" s="1"/>
  <c r="J3" i="22"/>
  <c r="N3" i="22" s="1"/>
  <c r="R3" i="22" s="1"/>
  <c r="V3" i="22" s="1"/>
  <c r="AB3" i="22" s="1"/>
  <c r="AF3" i="22" s="1"/>
  <c r="AJ3" i="22" s="1"/>
  <c r="AP3" i="22" s="1"/>
  <c r="AT3" i="22" s="1"/>
  <c r="AX3" i="22" s="1"/>
  <c r="BF3" i="22" s="1"/>
  <c r="I3" i="22"/>
  <c r="M3" i="22" s="1"/>
  <c r="Q3" i="22" s="1"/>
  <c r="U3" i="22" s="1"/>
  <c r="AA3" i="22" s="1"/>
  <c r="AE3" i="22" s="1"/>
  <c r="AI3" i="22" s="1"/>
  <c r="AO3" i="22" s="1"/>
  <c r="AS3" i="22" s="1"/>
  <c r="AW3" i="22" s="1"/>
  <c r="BE3" i="22" s="1"/>
  <c r="Z17" i="22" l="1"/>
  <c r="W21" i="22"/>
  <c r="W22" i="22" s="1"/>
  <c r="W7" i="22"/>
  <c r="W8" i="22" s="1"/>
  <c r="Z28" i="22"/>
  <c r="Z64" i="22" s="1"/>
  <c r="Z30" i="22"/>
  <c r="Z31" i="22"/>
  <c r="Z16" i="22"/>
  <c r="Z19" i="22"/>
  <c r="X12" i="22"/>
  <c r="Z9" i="22"/>
  <c r="Z43" i="22" s="1"/>
  <c r="Z45" i="22" s="1"/>
  <c r="Z47" i="22" s="1"/>
  <c r="Z48" i="22" s="1"/>
  <c r="Y21" i="48" s="1"/>
  <c r="Z23" i="22"/>
  <c r="Z51" i="22" s="1"/>
  <c r="Z53" i="22" s="1"/>
  <c r="Z55" i="22" s="1"/>
  <c r="Z56" i="22" s="1"/>
  <c r="Y26" i="48" s="1"/>
  <c r="Z14" i="22"/>
  <c r="Z59" i="22" s="1"/>
  <c r="W10" i="22" l="1"/>
  <c r="W24" i="22"/>
  <c r="W25" i="22" l="1"/>
  <c r="W11" i="22"/>
  <c r="W13" i="22" l="1"/>
  <c r="W27" i="22"/>
  <c r="Y39" i="27" l="1"/>
  <c r="X39" i="27"/>
  <c r="W29" i="27"/>
  <c r="X12" i="27"/>
  <c r="Y24" i="27" l="1"/>
  <c r="X24" i="27"/>
  <c r="X7" i="27"/>
  <c r="Y7" i="27"/>
  <c r="X8" i="27"/>
  <c r="Y8" i="27"/>
  <c r="X9" i="27"/>
  <c r="Y9" i="27"/>
  <c r="X10" i="27"/>
  <c r="Y10" i="27"/>
  <c r="X11" i="27"/>
  <c r="Y11" i="27"/>
  <c r="Y12" i="27"/>
  <c r="X13" i="27"/>
  <c r="Y13" i="27"/>
  <c r="X14" i="27"/>
  <c r="Y14" i="27"/>
  <c r="X15" i="27"/>
  <c r="Y15" i="27"/>
  <c r="Y6" i="27"/>
  <c r="X6" i="27"/>
  <c r="Y2" i="27"/>
  <c r="X2" i="27"/>
  <c r="X32" i="27" s="1"/>
  <c r="W37" i="27"/>
  <c r="W40" i="27" s="1"/>
  <c r="W31" i="27"/>
  <c r="W27" i="27"/>
  <c r="W22" i="27"/>
  <c r="W21" i="27"/>
  <c r="E14" i="15"/>
  <c r="W25" i="27" l="1"/>
  <c r="W34" i="27"/>
  <c r="Y32" i="27"/>
  <c r="Y30" i="27"/>
  <c r="X19" i="27"/>
  <c r="X23" i="27"/>
  <c r="X18" i="27"/>
  <c r="X20" i="27"/>
  <c r="X28" i="27"/>
  <c r="X31" i="27"/>
  <c r="X36" i="27"/>
  <c r="X38" i="27"/>
  <c r="X22" i="27"/>
  <c r="X27" i="27"/>
  <c r="X29" i="27"/>
  <c r="X37" i="27"/>
  <c r="X21" i="27"/>
  <c r="X30" i="27"/>
  <c r="F18" i="15"/>
  <c r="J18" i="15"/>
  <c r="D18" i="15"/>
  <c r="X34" i="27" l="1"/>
  <c r="X40" i="27"/>
  <c r="X25" i="27"/>
  <c r="Y53" i="26"/>
  <c r="Y36" i="26"/>
  <c r="Y20" i="26"/>
  <c r="Y14" i="26"/>
  <c r="AA14" i="26" s="1"/>
  <c r="AE14" i="26" s="1"/>
  <c r="AI14" i="26" s="1"/>
  <c r="Y10" i="26"/>
  <c r="Y8" i="26"/>
  <c r="X2" i="26"/>
  <c r="Y2" i="26"/>
  <c r="Y92" i="17"/>
  <c r="Y93" i="17"/>
  <c r="Y94" i="17"/>
  <c r="Y95" i="17"/>
  <c r="Y96" i="17"/>
  <c r="Y97" i="17"/>
  <c r="Y98" i="17"/>
  <c r="Y99" i="17"/>
  <c r="Y100" i="17"/>
  <c r="Y101" i="17"/>
  <c r="Y102" i="17"/>
  <c r="Y103" i="17"/>
  <c r="Y104" i="17"/>
  <c r="Y105" i="17"/>
  <c r="Y106" i="17"/>
  <c r="Y91" i="17"/>
  <c r="Y88" i="17"/>
  <c r="Y60" i="17"/>
  <c r="X60" i="17"/>
  <c r="Y57" i="17"/>
  <c r="Y56" i="17"/>
  <c r="Y47" i="17"/>
  <c r="Y45" i="17"/>
  <c r="Y41" i="17"/>
  <c r="Y39" i="17"/>
  <c r="Y37" i="17"/>
  <c r="Y26" i="17"/>
  <c r="X26" i="17"/>
  <c r="Y25" i="17"/>
  <c r="Y24" i="17"/>
  <c r="X24" i="17"/>
  <c r="Y23" i="17"/>
  <c r="X23" i="17"/>
  <c r="Y19" i="17"/>
  <c r="Y18" i="17"/>
  <c r="Y20" i="17"/>
  <c r="X20" i="17"/>
  <c r="Y17" i="17"/>
  <c r="X9" i="17"/>
  <c r="Y7" i="17"/>
  <c r="X7" i="17"/>
  <c r="Y2" i="17"/>
  <c r="X2" i="17"/>
  <c r="AA34" i="39"/>
  <c r="AA33" i="39"/>
  <c r="AA32" i="39"/>
  <c r="AA31" i="39"/>
  <c r="AA30" i="39"/>
  <c r="AA29" i="39"/>
  <c r="AA28" i="39"/>
  <c r="AA24" i="39"/>
  <c r="AA23" i="39"/>
  <c r="AA22" i="39"/>
  <c r="AA19" i="39"/>
  <c r="AA17" i="39"/>
  <c r="AA5" i="39"/>
  <c r="AA6" i="39"/>
  <c r="AA7" i="39"/>
  <c r="AA8" i="39"/>
  <c r="AA9" i="39"/>
  <c r="AA10" i="39"/>
  <c r="AA11" i="39"/>
  <c r="AA12" i="39"/>
  <c r="AA13" i="39"/>
  <c r="Y14" i="39"/>
  <c r="E7" i="9"/>
  <c r="E83" i="9" s="1"/>
  <c r="G7" i="9"/>
  <c r="K7" i="9"/>
  <c r="O7" i="9"/>
  <c r="Z120" i="9"/>
  <c r="Z119" i="9"/>
  <c r="Z117" i="9"/>
  <c r="Z115" i="9"/>
  <c r="Y54" i="48"/>
  <c r="Y50" i="48"/>
  <c r="Y48" i="48"/>
  <c r="Y55" i="48"/>
  <c r="Y53" i="48"/>
  <c r="Y47" i="48"/>
  <c r="Y49" i="48"/>
  <c r="Z102" i="9"/>
  <c r="Y52" i="48" s="1"/>
  <c r="Z83" i="9"/>
  <c r="Z87" i="9"/>
  <c r="Y14" i="15" s="1"/>
  <c r="Y16" i="15" s="1"/>
  <c r="Z67" i="9"/>
  <c r="Z58" i="22" s="1"/>
  <c r="Z60" i="22" s="1"/>
  <c r="Z61" i="22" s="1"/>
  <c r="Y37" i="48" s="1"/>
  <c r="Z66" i="9"/>
  <c r="Z133" i="9" s="1"/>
  <c r="Z135" i="9" s="1"/>
  <c r="Z65" i="9"/>
  <c r="Z64" i="9"/>
  <c r="Z63" i="9"/>
  <c r="Y51" i="48" s="1"/>
  <c r="Z62" i="9"/>
  <c r="Z63" i="22" s="1"/>
  <c r="Z65" i="22" s="1"/>
  <c r="Z66" i="22" s="1"/>
  <c r="Y40" i="48" s="1"/>
  <c r="Z60" i="9"/>
  <c r="Y46" i="48" s="1"/>
  <c r="Z59" i="9"/>
  <c r="Y59" i="9"/>
  <c r="Z58" i="9"/>
  <c r="Y43" i="48" s="1"/>
  <c r="Z57" i="9"/>
  <c r="Y44" i="48" s="1"/>
  <c r="Z54" i="9"/>
  <c r="Z56" i="9" s="1"/>
  <c r="Y42" i="48" s="1"/>
  <c r="Y41" i="9"/>
  <c r="Z44" i="9"/>
  <c r="Z43" i="9"/>
  <c r="Z42" i="9"/>
  <c r="Z41" i="9"/>
  <c r="Y32" i="9"/>
  <c r="Z36" i="9"/>
  <c r="Z35" i="9"/>
  <c r="Z33" i="9"/>
  <c r="Z32" i="9"/>
  <c r="Z27" i="9"/>
  <c r="Z128" i="9" s="1"/>
  <c r="Z26" i="9"/>
  <c r="Z127" i="9" s="1"/>
  <c r="Z25" i="9"/>
  <c r="Z126" i="9" s="1"/>
  <c r="Y23" i="9"/>
  <c r="Y96" i="9" s="1"/>
  <c r="Z19" i="9"/>
  <c r="Z23" i="9"/>
  <c r="Z96" i="9" s="1"/>
  <c r="Z50" i="9"/>
  <c r="Z13" i="9"/>
  <c r="Z12" i="9"/>
  <c r="Z11" i="9"/>
  <c r="Z124" i="9"/>
  <c r="Z9" i="9"/>
  <c r="Z125" i="9" s="1"/>
  <c r="Z123" i="9"/>
  <c r="J109" i="9"/>
  <c r="N109" i="9" s="1"/>
  <c r="R109" i="9" s="1"/>
  <c r="V109" i="9" s="1"/>
  <c r="W45" i="48"/>
  <c r="Y83" i="17" l="1"/>
  <c r="Y85" i="17"/>
  <c r="Y84" i="17"/>
  <c r="Y82" i="17"/>
  <c r="X83" i="17"/>
  <c r="X85" i="17"/>
  <c r="X82" i="17"/>
  <c r="AO14" i="26"/>
  <c r="Y11" i="26"/>
  <c r="Y18" i="26" s="1"/>
  <c r="Y80" i="17"/>
  <c r="Y79" i="17"/>
  <c r="X80" i="17"/>
  <c r="X79" i="17"/>
  <c r="Y46" i="17"/>
  <c r="Y48" i="17"/>
  <c r="X13" i="17"/>
  <c r="X12" i="26"/>
  <c r="Y76" i="17"/>
  <c r="Y64" i="17"/>
  <c r="X71" i="17"/>
  <c r="X73" i="17"/>
  <c r="X75" i="17"/>
  <c r="X64" i="17"/>
  <c r="Y67" i="17"/>
  <c r="Y71" i="17"/>
  <c r="Y73" i="17"/>
  <c r="Y75" i="17"/>
  <c r="X12" i="17"/>
  <c r="X65" i="17"/>
  <c r="X70" i="17"/>
  <c r="X72" i="17"/>
  <c r="X74" i="17"/>
  <c r="X76" i="17"/>
  <c r="Z136" i="9"/>
  <c r="Z110" i="7"/>
  <c r="Y65" i="17"/>
  <c r="Y70" i="17"/>
  <c r="Y72" i="17"/>
  <c r="Y74" i="17"/>
  <c r="Y74" i="26"/>
  <c r="Y61" i="26"/>
  <c r="Y32" i="26"/>
  <c r="Y37" i="26"/>
  <c r="Y40" i="26"/>
  <c r="Y58" i="17"/>
  <c r="Y59" i="17" s="1"/>
  <c r="Y21" i="17"/>
  <c r="Y38" i="17"/>
  <c r="Y42" i="17"/>
  <c r="Y11" i="17"/>
  <c r="Y40" i="17"/>
  <c r="AA14" i="39"/>
  <c r="AS14" i="26" l="1"/>
  <c r="AW14" i="26" s="1"/>
  <c r="BE14" i="26" s="1"/>
  <c r="Y66" i="17"/>
  <c r="Y68" i="17" s="1"/>
  <c r="Y61" i="17"/>
  <c r="Y81" i="17"/>
  <c r="Y17" i="26"/>
  <c r="X66" i="17"/>
  <c r="X68" i="17" s="1"/>
  <c r="Z138" i="9"/>
  <c r="Z140" i="9"/>
  <c r="Z141" i="9" s="1"/>
  <c r="Z112" i="7"/>
  <c r="Z113" i="7" s="1"/>
  <c r="Z111" i="7"/>
  <c r="X77" i="17"/>
  <c r="Y12" i="26"/>
  <c r="Y77" i="17"/>
  <c r="X14" i="17"/>
  <c r="Z45" i="9"/>
  <c r="Z38" i="9"/>
  <c r="Z10" i="9"/>
  <c r="Z114" i="7" l="1"/>
  <c r="Y17" i="48" s="1"/>
  <c r="Z142" i="9"/>
  <c r="Y12" i="48" s="1"/>
  <c r="Y13" i="48" s="1"/>
  <c r="Z39" i="9"/>
  <c r="Z37" i="9"/>
  <c r="Z28" i="9"/>
  <c r="Z88" i="9"/>
  <c r="Z34" i="9"/>
  <c r="Z40" i="9" l="1"/>
  <c r="Z61" i="7"/>
  <c r="Y61" i="7"/>
  <c r="Z59" i="7"/>
  <c r="Y59" i="7"/>
  <c r="Z55" i="7"/>
  <c r="Z53" i="7"/>
  <c r="Y53" i="7"/>
  <c r="Z52" i="7"/>
  <c r="Y52" i="7"/>
  <c r="Z38" i="7"/>
  <c r="Z37" i="7"/>
  <c r="Z36" i="7"/>
  <c r="Z35" i="7"/>
  <c r="Z34" i="7"/>
  <c r="Z33" i="7"/>
  <c r="Z32" i="7"/>
  <c r="Z31" i="7"/>
  <c r="Z2" i="7"/>
  <c r="Z71" i="7" s="1"/>
  <c r="Y2" i="7"/>
  <c r="Y71" i="7" s="1"/>
  <c r="X1" i="7"/>
  <c r="X67" i="7" s="1"/>
  <c r="W1" i="7"/>
  <c r="W67" i="7" s="1"/>
  <c r="Z125" i="7" l="1"/>
  <c r="Z127" i="7" s="1"/>
  <c r="Z128" i="7" s="1"/>
  <c r="Y27" i="48" s="1"/>
  <c r="Y28" i="48" s="1"/>
  <c r="Y54" i="7"/>
  <c r="Z119" i="7"/>
  <c r="Z121" i="7" s="1"/>
  <c r="Z122" i="7" s="1"/>
  <c r="Y22" i="48" s="1"/>
  <c r="Y23" i="48" s="1"/>
  <c r="Z54" i="7"/>
  <c r="Z42" i="7" s="1"/>
  <c r="Z62" i="7"/>
  <c r="Y62" i="7"/>
  <c r="X104" i="7"/>
  <c r="X105" i="7" s="1"/>
  <c r="Y16" i="7"/>
  <c r="Z16" i="7"/>
  <c r="Z24" i="7" l="1"/>
  <c r="Z79" i="7" s="1"/>
  <c r="Z22" i="7"/>
  <c r="Z23" i="7"/>
  <c r="Z78" i="7" s="1"/>
  <c r="Y25" i="7"/>
  <c r="Y80" i="7" s="1"/>
  <c r="Y22" i="7"/>
  <c r="Z68" i="7"/>
  <c r="AC21" i="59" s="1"/>
  <c r="Z18" i="7"/>
  <c r="Z74" i="7" s="1"/>
  <c r="AC22" i="59" s="1"/>
  <c r="Y26" i="7"/>
  <c r="Y83" i="7" s="1"/>
  <c r="Z45" i="7"/>
  <c r="Y24" i="7"/>
  <c r="Y79" i="7" s="1"/>
  <c r="Y68" i="7"/>
  <c r="AB21" i="59" s="1"/>
  <c r="Y18" i="7"/>
  <c r="Y74" i="7" s="1"/>
  <c r="AB22" i="59" s="1"/>
  <c r="Y20" i="7"/>
  <c r="Y19" i="7"/>
  <c r="Y21" i="7"/>
  <c r="Y63" i="7"/>
  <c r="Y27" i="7"/>
  <c r="Y77" i="7" s="1"/>
  <c r="Z19" i="7"/>
  <c r="Z75" i="7" s="1"/>
  <c r="AC23" i="59" s="1"/>
  <c r="Z27" i="7"/>
  <c r="Z77" i="7" s="1"/>
  <c r="Z48" i="7"/>
  <c r="Z65" i="7"/>
  <c r="Z56" i="7"/>
  <c r="Z25" i="7"/>
  <c r="Z80" i="7" s="1"/>
  <c r="Z20" i="7"/>
  <c r="Z44" i="7"/>
  <c r="Z82" i="7" s="1"/>
  <c r="Z49" i="7"/>
  <c r="Z21" i="7"/>
  <c r="Z63" i="7"/>
  <c r="Z26" i="7"/>
  <c r="Z83" i="7" s="1"/>
  <c r="Z43" i="7"/>
  <c r="Y23" i="7"/>
  <c r="Y78" i="7" s="1"/>
  <c r="Z104" i="7"/>
  <c r="Z105" i="7" s="1"/>
  <c r="Z106" i="7" s="1"/>
  <c r="Z46" i="7"/>
  <c r="Z47" i="7"/>
  <c r="X106" i="7"/>
  <c r="X107" i="7"/>
  <c r="X108" i="7" s="1"/>
  <c r="Z76" i="7" l="1"/>
  <c r="AC24" i="59" s="1"/>
  <c r="Z84" i="7"/>
  <c r="AC25" i="59" s="1"/>
  <c r="Z107" i="7"/>
  <c r="Z108" i="7" s="1"/>
  <c r="X109" i="7"/>
  <c r="Z109" i="7" l="1"/>
  <c r="Y16" i="48" s="1"/>
  <c r="Y18" i="48" s="1"/>
  <c r="W16" i="48"/>
  <c r="W18" i="48" s="1"/>
  <c r="X116" i="7"/>
  <c r="K51" i="38"/>
  <c r="L51" i="38"/>
  <c r="O51" i="38"/>
  <c r="P51" i="38"/>
  <c r="S51" i="38"/>
  <c r="T51" i="38"/>
  <c r="W51" i="38"/>
  <c r="X51" i="38"/>
  <c r="AA51" i="38"/>
  <c r="AB51" i="38"/>
  <c r="J51" i="38"/>
  <c r="AD46" i="38"/>
  <c r="AD45" i="38"/>
  <c r="AD44" i="38"/>
  <c r="AD43" i="38"/>
  <c r="AD41" i="38"/>
  <c r="AD38" i="38"/>
  <c r="AD37" i="38"/>
  <c r="AD36" i="38"/>
  <c r="AD35" i="38"/>
  <c r="AD32" i="38"/>
  <c r="AD31" i="38"/>
  <c r="AD30" i="38"/>
  <c r="AD29" i="38"/>
  <c r="AD28" i="38"/>
  <c r="AD27" i="38"/>
  <c r="AD26" i="38"/>
  <c r="AD25" i="38"/>
  <c r="AD24" i="38"/>
  <c r="AD23" i="38"/>
  <c r="AD22" i="38"/>
  <c r="Z77" i="8" s="1"/>
  <c r="AD21" i="38"/>
  <c r="AD20" i="38"/>
  <c r="AD19" i="38"/>
  <c r="AD14" i="38"/>
  <c r="AD13" i="38"/>
  <c r="AD11" i="38"/>
  <c r="AD10" i="38"/>
  <c r="AD9" i="38"/>
  <c r="AD8" i="38"/>
  <c r="AD7" i="38"/>
  <c r="AD3" i="38"/>
  <c r="AD51" i="38" s="1"/>
  <c r="AC3" i="38"/>
  <c r="AC51" i="38" s="1"/>
  <c r="AC52" i="38"/>
  <c r="Z116" i="7" l="1"/>
  <c r="AD59" i="38"/>
  <c r="AD61" i="38"/>
  <c r="AD56" i="38"/>
  <c r="AD70" i="38"/>
  <c r="AD76" i="38"/>
  <c r="AD80" i="38"/>
  <c r="AD85" i="38"/>
  <c r="AD89" i="38"/>
  <c r="AD93" i="38"/>
  <c r="AD57" i="38"/>
  <c r="AD69" i="38"/>
  <c r="AD94" i="38"/>
  <c r="AD55" i="38"/>
  <c r="AD67" i="38"/>
  <c r="AD58" i="38"/>
  <c r="AD62" i="38"/>
  <c r="AD68" i="38"/>
  <c r="AD72" i="38"/>
  <c r="AD74" i="38"/>
  <c r="AD78" i="38"/>
  <c r="AD83" i="38"/>
  <c r="AD91" i="38"/>
  <c r="AD71" i="38"/>
  <c r="AD73" i="38"/>
  <c r="AD75" i="38"/>
  <c r="AD77" i="38"/>
  <c r="AD79" i="38"/>
  <c r="AD84" i="38"/>
  <c r="AD86" i="38"/>
  <c r="AD92" i="38"/>
  <c r="Y8" i="8"/>
  <c r="P20" i="8"/>
  <c r="L20" i="8"/>
  <c r="F20" i="8"/>
  <c r="P16" i="8"/>
  <c r="L16" i="8"/>
  <c r="H16" i="8"/>
  <c r="P13" i="8"/>
  <c r="P12" i="8"/>
  <c r="L14" i="8"/>
  <c r="L13" i="8"/>
  <c r="L12" i="8"/>
  <c r="H13" i="8"/>
  <c r="H12" i="8"/>
  <c r="F13" i="8"/>
  <c r="F12" i="8"/>
  <c r="AA90" i="38"/>
  <c r="AA88" i="38"/>
  <c r="AA82" i="38"/>
  <c r="AA66" i="38"/>
  <c r="AA60" i="38"/>
  <c r="AA54" i="38"/>
  <c r="AA52" i="38"/>
  <c r="AA46" i="38"/>
  <c r="AA45" i="38"/>
  <c r="AA44" i="38"/>
  <c r="AA43" i="38"/>
  <c r="AB42" i="38"/>
  <c r="AB90" i="38" s="1"/>
  <c r="AA41" i="38"/>
  <c r="AB40" i="38"/>
  <c r="AB88" i="38" s="1"/>
  <c r="AA38" i="38"/>
  <c r="AA37" i="38"/>
  <c r="AA36" i="38"/>
  <c r="AA35" i="38"/>
  <c r="W130" i="6" s="1"/>
  <c r="W131" i="6" s="1"/>
  <c r="AB34" i="38"/>
  <c r="AB82" i="38" s="1"/>
  <c r="AA32" i="38"/>
  <c r="AA31" i="38"/>
  <c r="AA30" i="38"/>
  <c r="AA29" i="38"/>
  <c r="AA28" i="38"/>
  <c r="AA27" i="38"/>
  <c r="X56" i="45" s="1"/>
  <c r="AA26" i="38"/>
  <c r="W66" i="11" s="1"/>
  <c r="AA25" i="38"/>
  <c r="W129" i="10" s="1"/>
  <c r="AA24" i="38"/>
  <c r="AA23" i="38"/>
  <c r="W94" i="9" s="1"/>
  <c r="W95" i="9" s="1"/>
  <c r="AA22" i="38"/>
  <c r="W77" i="8" s="1"/>
  <c r="W78" i="8" s="1"/>
  <c r="AA21" i="38"/>
  <c r="W69" i="7" s="1"/>
  <c r="W70" i="7" s="1"/>
  <c r="Z26" i="59" s="1"/>
  <c r="AA20" i="38"/>
  <c r="AA19" i="38"/>
  <c r="W156" i="6" s="1"/>
  <c r="W157" i="6" s="1"/>
  <c r="AB18" i="38"/>
  <c r="AB66" i="38" s="1"/>
  <c r="AA14" i="38"/>
  <c r="AA13" i="38"/>
  <c r="AB12" i="38"/>
  <c r="AB60" i="38" s="1"/>
  <c r="AA11" i="38"/>
  <c r="AA10" i="38"/>
  <c r="AA9" i="38"/>
  <c r="AA8" i="38"/>
  <c r="AA7" i="38"/>
  <c r="AB6" i="38"/>
  <c r="AB54" i="38" s="1"/>
  <c r="AA67" i="8"/>
  <c r="AD32" i="59" l="1"/>
  <c r="BE67" i="8"/>
  <c r="BH32" i="59" s="1"/>
  <c r="W130" i="10"/>
  <c r="W67" i="11"/>
  <c r="X57" i="45"/>
  <c r="AA63" i="38"/>
  <c r="AA87" i="38"/>
  <c r="AA64" i="38" s="1"/>
  <c r="AB39" i="38"/>
  <c r="AB87" i="38" s="1"/>
  <c r="AA6" i="38"/>
  <c r="AA12" i="38"/>
  <c r="AA34" i="38"/>
  <c r="AA40" i="38"/>
  <c r="AA18" i="38"/>
  <c r="AB15" i="38"/>
  <c r="AB63" i="38" s="1"/>
  <c r="AB17" i="38"/>
  <c r="AB65" i="38" s="1"/>
  <c r="AA42" i="38"/>
  <c r="X26" i="36" l="1"/>
  <c r="X25" i="36"/>
  <c r="AA55" i="59" s="1"/>
  <c r="AA15" i="38"/>
  <c r="AA17" i="38"/>
  <c r="AB16" i="38"/>
  <c r="AB64" i="38" s="1"/>
  <c r="AA39" i="38"/>
  <c r="AA16" i="38" l="1"/>
  <c r="O38" i="8" l="1"/>
  <c r="O37" i="8"/>
  <c r="O36" i="8"/>
  <c r="K38" i="8"/>
  <c r="K37" i="8"/>
  <c r="K36" i="8"/>
  <c r="G38" i="8"/>
  <c r="G37" i="8"/>
  <c r="G36" i="8"/>
  <c r="Y67" i="8"/>
  <c r="AB32" i="59" s="1"/>
  <c r="K39" i="8" l="1"/>
  <c r="O39" i="8"/>
  <c r="G39" i="8"/>
  <c r="Z71" i="8" l="1"/>
  <c r="Z73" i="8" s="1"/>
  <c r="Z59" i="8"/>
  <c r="Z50" i="8" s="1"/>
  <c r="Z57" i="8"/>
  <c r="Z49" i="8" s="1"/>
  <c r="Z53" i="8"/>
  <c r="Z51" i="8"/>
  <c r="Z48" i="8" s="1"/>
  <c r="Y54" i="8"/>
  <c r="Z31" i="8"/>
  <c r="Z10" i="49" s="1"/>
  <c r="Y31" i="8"/>
  <c r="Y10" i="49" s="1"/>
  <c r="Z29" i="8"/>
  <c r="Z28" i="8"/>
  <c r="Z27" i="8"/>
  <c r="Z26" i="8"/>
  <c r="Z24" i="8"/>
  <c r="Z23" i="8"/>
  <c r="Z22" i="8"/>
  <c r="Z20" i="8"/>
  <c r="Y20" i="8"/>
  <c r="Z19" i="8"/>
  <c r="Y19" i="8"/>
  <c r="Z18" i="8"/>
  <c r="Z17" i="8"/>
  <c r="Y8" i="15" s="1"/>
  <c r="Y13" i="15" s="1"/>
  <c r="Y17" i="8"/>
  <c r="X8" i="15" s="1"/>
  <c r="Z16" i="8"/>
  <c r="Y16" i="8"/>
  <c r="Y14" i="8"/>
  <c r="Z13" i="8"/>
  <c r="Y13" i="8"/>
  <c r="Z12" i="8"/>
  <c r="Z10" i="8"/>
  <c r="Y10" i="8"/>
  <c r="Z9" i="8"/>
  <c r="Y9" i="8"/>
  <c r="Z8" i="8"/>
  <c r="Z7" i="8"/>
  <c r="Y7" i="8"/>
  <c r="Z2" i="8"/>
  <c r="Y2" i="8"/>
  <c r="Z67" i="8" l="1"/>
  <c r="AC32" i="59" s="1"/>
  <c r="Z74" i="8"/>
  <c r="Z75" i="8"/>
  <c r="Z7" i="49"/>
  <c r="Z8" i="49"/>
  <c r="Z25" i="8"/>
  <c r="Z151" i="6" l="1"/>
  <c r="Z153" i="6" s="1"/>
  <c r="Z126" i="6"/>
  <c r="Z128" i="6" s="1"/>
  <c r="Z91" i="6"/>
  <c r="Z86" i="6"/>
  <c r="Y86" i="6"/>
  <c r="Z85" i="6"/>
  <c r="Y85" i="6"/>
  <c r="Y82" i="6"/>
  <c r="Y95" i="6" s="1"/>
  <c r="Y81" i="6"/>
  <c r="Y97" i="6" s="1"/>
  <c r="Z80" i="6"/>
  <c r="Y80" i="6"/>
  <c r="Z72" i="6"/>
  <c r="Y72" i="6"/>
  <c r="Z71" i="6"/>
  <c r="Y71" i="6"/>
  <c r="Y66" i="6"/>
  <c r="Y70" i="6" s="1"/>
  <c r="Z63" i="6"/>
  <c r="Y63" i="6"/>
  <c r="Z62" i="6"/>
  <c r="Y62" i="6"/>
  <c r="Z61" i="6"/>
  <c r="Y61" i="6"/>
  <c r="Z51" i="6"/>
  <c r="Y51" i="6"/>
  <c r="Z50" i="6"/>
  <c r="Y50" i="6"/>
  <c r="Z49" i="6"/>
  <c r="Y49" i="6"/>
  <c r="Z48" i="6"/>
  <c r="Y48" i="6"/>
  <c r="Z47" i="6"/>
  <c r="Y47" i="6"/>
  <c r="Z45" i="6"/>
  <c r="Y45" i="6"/>
  <c r="Z43" i="6"/>
  <c r="Y43" i="6"/>
  <c r="Z42" i="6"/>
  <c r="Y42" i="6"/>
  <c r="Z40" i="6"/>
  <c r="Y40" i="6"/>
  <c r="Z39" i="6"/>
  <c r="Y39" i="6"/>
  <c r="Z27" i="6"/>
  <c r="Z26" i="6"/>
  <c r="Z24" i="6"/>
  <c r="Z23" i="6"/>
  <c r="Z21" i="6"/>
  <c r="Z20" i="6"/>
  <c r="Z73" i="6" l="1"/>
  <c r="Y73" i="6"/>
  <c r="Y94" i="6"/>
  <c r="Y84" i="6"/>
  <c r="Y99" i="6"/>
  <c r="Y87" i="6"/>
  <c r="Z74" i="6"/>
  <c r="Z78" i="6" s="1"/>
  <c r="Z94" i="6"/>
  <c r="Z84" i="6"/>
  <c r="Z87" i="6"/>
  <c r="Z99" i="6"/>
  <c r="Z105" i="6"/>
  <c r="Y100" i="6"/>
  <c r="Y74" i="6"/>
  <c r="Y78" i="6" s="1"/>
  <c r="Y113" i="6" s="1"/>
  <c r="Z100" i="6"/>
  <c r="Z2" i="6"/>
  <c r="Y2" i="6"/>
  <c r="Y196" i="6"/>
  <c r="Y195" i="6"/>
  <c r="Y194" i="6"/>
  <c r="Y190" i="6"/>
  <c r="Y188" i="6"/>
  <c r="Y187" i="6"/>
  <c r="Y186" i="6"/>
  <c r="Y185" i="6"/>
  <c r="Y184" i="6"/>
  <c r="Y183" i="6"/>
  <c r="Y182" i="6"/>
  <c r="Z195" i="6"/>
  <c r="Z194" i="6"/>
  <c r="Z196" i="6"/>
  <c r="Z190" i="6"/>
  <c r="Z186" i="6"/>
  <c r="Z188" i="6"/>
  <c r="Z187" i="6"/>
  <c r="Z184" i="6"/>
  <c r="Z185" i="6"/>
  <c r="Z183" i="6"/>
  <c r="Z182" i="6"/>
  <c r="Z25" i="6"/>
  <c r="Z22" i="6"/>
  <c r="AA196" i="6"/>
  <c r="AA195" i="6"/>
  <c r="AA194" i="6"/>
  <c r="AA190" i="6"/>
  <c r="AA188" i="6"/>
  <c r="AA187" i="6"/>
  <c r="AA186" i="6"/>
  <c r="AA185" i="6"/>
  <c r="AA184" i="6"/>
  <c r="AA183" i="6"/>
  <c r="AA182" i="6"/>
  <c r="AB195" i="6"/>
  <c r="AB194" i="6"/>
  <c r="AB196" i="6"/>
  <c r="AB190" i="6"/>
  <c r="AB186" i="6"/>
  <c r="AB188" i="6"/>
  <c r="AB187" i="6"/>
  <c r="AB184" i="6"/>
  <c r="AB185" i="6"/>
  <c r="AB183" i="6"/>
  <c r="AB182" i="6"/>
  <c r="Y110" i="6" l="1"/>
  <c r="Z101" i="6"/>
  <c r="Z113" i="6"/>
  <c r="Z110" i="6"/>
  <c r="Y101" i="6"/>
  <c r="Z88" i="6"/>
  <c r="Z92" i="6" s="1"/>
  <c r="Z138" i="6" s="1"/>
  <c r="Z111" i="6"/>
  <c r="Y88" i="6"/>
  <c r="Y92" i="6" s="1"/>
  <c r="Y138" i="6" s="1"/>
  <c r="Y98" i="6"/>
  <c r="Y102" i="6" s="1"/>
  <c r="Y106" i="6" s="1"/>
  <c r="Z98" i="6"/>
  <c r="Z102" i="6" s="1"/>
  <c r="Y111" i="6"/>
  <c r="Z9" i="6"/>
  <c r="Z8" i="6"/>
  <c r="Y155" i="6"/>
  <c r="Y8" i="6"/>
  <c r="Y9" i="6"/>
  <c r="Y154" i="6"/>
  <c r="Y129" i="6"/>
  <c r="Z52" i="6"/>
  <c r="Z44" i="6"/>
  <c r="Z41" i="6"/>
  <c r="Z28" i="6"/>
  <c r="Y112" i="6" l="1"/>
  <c r="Y136" i="6"/>
  <c r="Z136" i="6"/>
  <c r="Z135" i="6"/>
  <c r="Y135" i="6"/>
  <c r="Y168" i="6"/>
  <c r="Y175" i="6"/>
  <c r="Y178" i="6" s="1"/>
  <c r="Y169" i="6"/>
  <c r="Y167" i="6"/>
  <c r="Y171" i="6"/>
  <c r="Z106" i="6"/>
  <c r="Z162" i="6" s="1"/>
  <c r="Z112" i="6"/>
  <c r="Y172" i="6"/>
  <c r="Y166" i="6"/>
  <c r="F10" i="36"/>
  <c r="I27" i="59" s="1"/>
  <c r="H10" i="36"/>
  <c r="K27" i="59" s="1"/>
  <c r="L10" i="36"/>
  <c r="O27" i="59" s="1"/>
  <c r="F11" i="36"/>
  <c r="I28" i="59" s="1"/>
  <c r="H11" i="36"/>
  <c r="K28" i="59" s="1"/>
  <c r="L11" i="36"/>
  <c r="O28" i="59" s="1"/>
  <c r="F12" i="36"/>
  <c r="I29" i="59" s="1"/>
  <c r="H12" i="36"/>
  <c r="K29" i="59" s="1"/>
  <c r="L12" i="36"/>
  <c r="O29" i="59" s="1"/>
  <c r="G13" i="36"/>
  <c r="J30" i="59" s="1"/>
  <c r="K13" i="36"/>
  <c r="N30" i="59" s="1"/>
  <c r="L5" i="36"/>
  <c r="O6" i="59" s="1"/>
  <c r="H5" i="36"/>
  <c r="K6" i="59" s="1"/>
  <c r="F5" i="36"/>
  <c r="I6" i="59" s="1"/>
  <c r="Z2" i="36"/>
  <c r="Y2" i="36"/>
  <c r="Z23" i="21"/>
  <c r="Z39" i="21"/>
  <c r="Y39" i="21"/>
  <c r="Z38" i="21"/>
  <c r="Y38" i="21"/>
  <c r="Z36" i="21"/>
  <c r="Z35" i="21"/>
  <c r="Z32" i="21"/>
  <c r="Z31" i="21"/>
  <c r="Y33" i="21"/>
  <c r="X11" i="15" s="1"/>
  <c r="Z28" i="21"/>
  <c r="Y28" i="21"/>
  <c r="Z27" i="21"/>
  <c r="Y27" i="21"/>
  <c r="Z26" i="21"/>
  <c r="Y26" i="21"/>
  <c r="Z22" i="21"/>
  <c r="Z16" i="21"/>
  <c r="Z17" i="21"/>
  <c r="Z19" i="21"/>
  <c r="Z8" i="21"/>
  <c r="Z9" i="21"/>
  <c r="Z10" i="21"/>
  <c r="Z11" i="21"/>
  <c r="Z6" i="21"/>
  <c r="Y7" i="21"/>
  <c r="Y8" i="21"/>
  <c r="Y9" i="21"/>
  <c r="Y10" i="21"/>
  <c r="Y11" i="21"/>
  <c r="Z2" i="21"/>
  <c r="Y2" i="21"/>
  <c r="Y48" i="35"/>
  <c r="Y46" i="35"/>
  <c r="Y45" i="35"/>
  <c r="Y42" i="35"/>
  <c r="Y41" i="35"/>
  <c r="Z40" i="35"/>
  <c r="Z42" i="35"/>
  <c r="Z41" i="35"/>
  <c r="Z39" i="35"/>
  <c r="Z38" i="35"/>
  <c r="Z37" i="35"/>
  <c r="Z33" i="35"/>
  <c r="Y33" i="35"/>
  <c r="Y32" i="35"/>
  <c r="Z30" i="35"/>
  <c r="Y30" i="35"/>
  <c r="Z29" i="35"/>
  <c r="Y29" i="35"/>
  <c r="Y52" i="11" s="1"/>
  <c r="Y53" i="11" s="1"/>
  <c r="Y55" i="11" s="1"/>
  <c r="AB47" i="59" s="1"/>
  <c r="Y28" i="35"/>
  <c r="Y115" i="10" s="1"/>
  <c r="Z26" i="35"/>
  <c r="Y9" i="15" s="1"/>
  <c r="Y26" i="35"/>
  <c r="X9" i="15" s="1"/>
  <c r="Z25" i="35"/>
  <c r="Y25" i="35"/>
  <c r="Z21" i="35"/>
  <c r="Y23" i="35"/>
  <c r="Z22" i="35"/>
  <c r="Y22" i="35"/>
  <c r="Y21" i="35"/>
  <c r="F19" i="35"/>
  <c r="G19" i="35"/>
  <c r="P19" i="35"/>
  <c r="T19" i="35"/>
  <c r="Y16" i="35"/>
  <c r="Z18" i="35"/>
  <c r="Y17" i="15" s="1"/>
  <c r="Y18" i="35"/>
  <c r="Z17" i="35"/>
  <c r="Y17" i="35"/>
  <c r="Z16" i="35"/>
  <c r="Z14" i="35"/>
  <c r="Y14" i="35"/>
  <c r="Z13" i="35"/>
  <c r="H11" i="35"/>
  <c r="L11" i="35"/>
  <c r="P11" i="35"/>
  <c r="T11" i="35"/>
  <c r="Z9" i="35"/>
  <c r="Z10" i="35"/>
  <c r="Y1" i="35"/>
  <c r="Z48" i="35"/>
  <c r="Z137" i="6" l="1"/>
  <c r="Y22" i="36"/>
  <c r="Y23" i="36"/>
  <c r="Y137" i="6"/>
  <c r="L12" i="49"/>
  <c r="L13" i="49" s="1"/>
  <c r="Y15" i="36"/>
  <c r="AB34" i="59" s="1"/>
  <c r="Y71" i="11"/>
  <c r="AB49" i="59" s="1"/>
  <c r="Y6" i="35"/>
  <c r="Y7" i="35"/>
  <c r="AA6" i="6" s="1"/>
  <c r="Y52" i="36"/>
  <c r="Y16" i="36"/>
  <c r="AB35" i="59" s="1"/>
  <c r="Y54" i="36"/>
  <c r="Y55" i="36"/>
  <c r="Y17" i="36"/>
  <c r="AB36" i="59" s="1"/>
  <c r="Y51" i="36"/>
  <c r="Y116" i="10"/>
  <c r="Y118" i="10" s="1"/>
  <c r="AB43" i="59" s="1"/>
  <c r="Y134" i="10"/>
  <c r="AB45" i="59" s="1"/>
  <c r="Z61" i="45"/>
  <c r="AB53" i="59" s="1"/>
  <c r="Z17" i="36"/>
  <c r="AC36" i="59" s="1"/>
  <c r="Z51" i="36"/>
  <c r="Z52" i="36"/>
  <c r="Z55" i="36"/>
  <c r="Z16" i="36"/>
  <c r="AC35" i="59" s="1"/>
  <c r="Z54" i="36"/>
  <c r="Z12" i="36"/>
  <c r="AC29" i="59" s="1"/>
  <c r="Z11" i="36"/>
  <c r="AC28" i="59" s="1"/>
  <c r="Z10" i="36"/>
  <c r="AC27" i="59" s="1"/>
  <c r="Z5" i="36"/>
  <c r="AC6" i="59" s="1"/>
  <c r="Y170" i="6"/>
  <c r="Z167" i="6"/>
  <c r="Z168" i="6"/>
  <c r="Z169" i="6"/>
  <c r="Z176" i="6"/>
  <c r="Z175" i="6"/>
  <c r="Z172" i="6"/>
  <c r="Z177" i="6"/>
  <c r="Z171" i="6"/>
  <c r="Z166" i="6"/>
  <c r="Y173" i="6"/>
  <c r="Y5" i="9"/>
  <c r="Z5" i="9"/>
  <c r="H12" i="49"/>
  <c r="F12" i="49"/>
  <c r="Z11" i="35"/>
  <c r="Y6" i="6"/>
  <c r="X17" i="15"/>
  <c r="Y19" i="35"/>
  <c r="Z33" i="21"/>
  <c r="L13" i="36"/>
  <c r="O30" i="59" s="1"/>
  <c r="H13" i="36"/>
  <c r="K30" i="59" s="1"/>
  <c r="F13" i="36"/>
  <c r="I30" i="59" s="1"/>
  <c r="Z7" i="21"/>
  <c r="Z12" i="21" s="1"/>
  <c r="Z37" i="21"/>
  <c r="Y29" i="21"/>
  <c r="Z29" i="21"/>
  <c r="Z24" i="21"/>
  <c r="Z25" i="21" s="1"/>
  <c r="Y12" i="21"/>
  <c r="Y22" i="21" l="1"/>
  <c r="Y21" i="36"/>
  <c r="Z12" i="49"/>
  <c r="Y65" i="8"/>
  <c r="Z18" i="36"/>
  <c r="AC37" i="59" s="1"/>
  <c r="Y18" i="36"/>
  <c r="AB37" i="59" s="1"/>
  <c r="Y53" i="36"/>
  <c r="Y19" i="36" s="1"/>
  <c r="AB38" i="59" s="1"/>
  <c r="Y5" i="6"/>
  <c r="Y7" i="6" s="1"/>
  <c r="Y8" i="35"/>
  <c r="Z53" i="36"/>
  <c r="Z19" i="36" s="1"/>
  <c r="AC38" i="59" s="1"/>
  <c r="Z13" i="36"/>
  <c r="AC30" i="59" s="1"/>
  <c r="Z178" i="6"/>
  <c r="Z170" i="6"/>
  <c r="Z173" i="6"/>
  <c r="Y174" i="6"/>
  <c r="Y179" i="6" s="1"/>
  <c r="Z33" i="22"/>
  <c r="Y90" i="26"/>
  <c r="Z97" i="9"/>
  <c r="Z99" i="9"/>
  <c r="Z89" i="9"/>
  <c r="Y18" i="15" s="1"/>
  <c r="Z84" i="9"/>
  <c r="Y33" i="22"/>
  <c r="Y99" i="9"/>
  <c r="Y97" i="9"/>
  <c r="X90" i="26"/>
  <c r="AA5" i="6"/>
  <c r="AA7" i="6" s="1"/>
  <c r="Z174" i="6" l="1"/>
  <c r="Z179" i="6" s="1"/>
  <c r="Z1" i="35"/>
  <c r="Z19" i="35" s="1"/>
  <c r="Z2" i="35"/>
  <c r="Y2" i="35"/>
  <c r="Z31" i="35" l="1"/>
  <c r="Z15" i="35"/>
  <c r="E10" i="35"/>
  <c r="E9" i="35"/>
  <c r="E13" i="35" s="1"/>
  <c r="E37" i="35"/>
  <c r="E14" i="35" l="1"/>
  <c r="E5" i="36" s="1"/>
  <c r="E12" i="49" l="1"/>
  <c r="H6" i="59"/>
  <c r="BI31" i="35"/>
  <c r="BJ31" i="35"/>
  <c r="BI34" i="35"/>
  <c r="BJ34" i="35"/>
  <c r="BJ43" i="35" s="1"/>
  <c r="BJ44" i="35" s="1"/>
  <c r="BI37" i="35"/>
  <c r="BI39" i="35"/>
  <c r="BI40" i="35"/>
  <c r="BI35" i="35" l="1"/>
  <c r="BJ35" i="35"/>
  <c r="BI43" i="35"/>
  <c r="BI44" i="35" s="1"/>
  <c r="S45" i="48" l="1"/>
  <c r="Z20" i="9"/>
  <c r="E84" i="9"/>
  <c r="G84" i="9"/>
  <c r="K84" i="9"/>
  <c r="W7" i="48" l="1"/>
  <c r="W6" i="48"/>
  <c r="AB109" i="9"/>
  <c r="AF109" i="9" l="1"/>
  <c r="AJ109" i="9" s="1"/>
  <c r="AP109" i="9" s="1"/>
  <c r="AT109" i="9" s="1"/>
  <c r="AX109" i="9" s="1"/>
  <c r="BF109" i="9" s="1"/>
  <c r="W8" i="48"/>
  <c r="BI35" i="21" l="1"/>
  <c r="S35" i="21"/>
  <c r="O35" i="21"/>
  <c r="K35" i="21"/>
  <c r="G35" i="21"/>
  <c r="E35" i="21"/>
  <c r="I33" i="21"/>
  <c r="O71" i="11"/>
  <c r="R49" i="59" s="1"/>
  <c r="M33" i="21" l="1"/>
  <c r="AA33" i="21" s="1"/>
  <c r="H11" i="15"/>
  <c r="X12" i="15"/>
  <c r="X13" i="15" s="1"/>
  <c r="Y35" i="21"/>
  <c r="Q33" i="21" l="1"/>
  <c r="L11" i="15"/>
  <c r="U33" i="21" l="1"/>
  <c r="P11" i="15"/>
  <c r="U14" i="39"/>
  <c r="T11" i="15" l="1"/>
  <c r="AB387" i="28"/>
  <c r="AB413" i="28" s="1"/>
  <c r="Z11" i="15" l="1"/>
  <c r="AE33" i="21"/>
  <c r="AF387" i="28"/>
  <c r="AF413" i="28" s="1"/>
  <c r="T15" i="21"/>
  <c r="Z15" i="21" s="1"/>
  <c r="T18" i="21"/>
  <c r="Z18" i="21" l="1"/>
  <c r="Z20" i="21" s="1"/>
  <c r="AJ387" i="28"/>
  <c r="AJ413" i="28" s="1"/>
  <c r="AD11" i="15"/>
  <c r="AD12" i="15" s="1"/>
  <c r="AI33" i="21"/>
  <c r="AP387" i="28" l="1"/>
  <c r="AP413" i="28" s="1"/>
  <c r="AO33" i="21"/>
  <c r="AS33" i="21" s="1"/>
  <c r="AH11" i="15"/>
  <c r="S40" i="48"/>
  <c r="S37" i="48"/>
  <c r="AW33" i="21" l="1"/>
  <c r="BE33" i="21" s="1"/>
  <c r="BD11" i="15" s="1"/>
  <c r="AR11" i="15"/>
  <c r="AT387" i="28"/>
  <c r="AH12" i="15"/>
  <c r="AN11" i="15"/>
  <c r="S26" i="48"/>
  <c r="S28" i="48" s="1"/>
  <c r="S21" i="48"/>
  <c r="S23" i="48" s="1"/>
  <c r="AX387" i="28" l="1"/>
  <c r="AT413" i="28"/>
  <c r="AV11" i="15"/>
  <c r="BF387" i="28" l="1"/>
  <c r="BF413" i="28" s="1"/>
  <c r="AX413" i="28"/>
  <c r="X94" i="38"/>
  <c r="X93" i="38"/>
  <c r="X92" i="38"/>
  <c r="X91" i="38"/>
  <c r="W90" i="38"/>
  <c r="X89" i="38"/>
  <c r="W88" i="38"/>
  <c r="X86" i="38"/>
  <c r="X85" i="38"/>
  <c r="X84" i="38"/>
  <c r="X83" i="38"/>
  <c r="W82" i="38"/>
  <c r="X80" i="38"/>
  <c r="X79" i="38"/>
  <c r="X78" i="38"/>
  <c r="X77" i="38"/>
  <c r="X76" i="38"/>
  <c r="X75" i="38"/>
  <c r="X74" i="38"/>
  <c r="X73" i="38"/>
  <c r="X72" i="38"/>
  <c r="X71" i="38"/>
  <c r="X70" i="38"/>
  <c r="X69" i="38"/>
  <c r="X68" i="38"/>
  <c r="X67" i="38"/>
  <c r="W66" i="38"/>
  <c r="X62" i="38"/>
  <c r="X61" i="38"/>
  <c r="W60" i="38"/>
  <c r="X59" i="38"/>
  <c r="X58" i="38"/>
  <c r="X57" i="38"/>
  <c r="X56" i="38"/>
  <c r="X55" i="38"/>
  <c r="W54" i="38"/>
  <c r="W52" i="38"/>
  <c r="W46" i="38"/>
  <c r="W45" i="38"/>
  <c r="W44" i="38"/>
  <c r="W43" i="38"/>
  <c r="X42" i="38"/>
  <c r="X90" i="38" s="1"/>
  <c r="W41" i="38"/>
  <c r="X40" i="38"/>
  <c r="X88" i="38" s="1"/>
  <c r="W38" i="38"/>
  <c r="W37" i="38"/>
  <c r="W36" i="38"/>
  <c r="W35" i="38"/>
  <c r="S130" i="6" s="1"/>
  <c r="X34" i="38"/>
  <c r="X82" i="38" s="1"/>
  <c r="W32" i="38"/>
  <c r="W31" i="38"/>
  <c r="W30" i="38"/>
  <c r="W29" i="38"/>
  <c r="W28" i="38"/>
  <c r="W27" i="38"/>
  <c r="T56" i="45" s="1"/>
  <c r="T57" i="45" s="1"/>
  <c r="W26" i="38"/>
  <c r="S66" i="11" s="1"/>
  <c r="S67" i="11" s="1"/>
  <c r="W25" i="38"/>
  <c r="S129" i="10" s="1"/>
  <c r="S130" i="10" s="1"/>
  <c r="W24" i="38"/>
  <c r="W23" i="38"/>
  <c r="S94" i="9" s="1"/>
  <c r="S95" i="9" s="1"/>
  <c r="W22" i="38"/>
  <c r="S77" i="8" s="1"/>
  <c r="S78" i="8" s="1"/>
  <c r="W21" i="38"/>
  <c r="S69" i="7" s="1"/>
  <c r="S70" i="7" s="1"/>
  <c r="V26" i="59" s="1"/>
  <c r="W20" i="38"/>
  <c r="W19" i="38"/>
  <c r="S156" i="6" s="1"/>
  <c r="S157" i="6" s="1"/>
  <c r="X18" i="38"/>
  <c r="X66" i="38" s="1"/>
  <c r="W14" i="38"/>
  <c r="W13" i="38"/>
  <c r="X12" i="38"/>
  <c r="X60" i="38" s="1"/>
  <c r="W11" i="38"/>
  <c r="W10" i="38"/>
  <c r="W9" i="38"/>
  <c r="W8" i="38"/>
  <c r="W7" i="38"/>
  <c r="X6" i="38"/>
  <c r="S131" i="6" l="1"/>
  <c r="W63" i="38"/>
  <c r="X39" i="38"/>
  <c r="X87" i="38" s="1"/>
  <c r="W87" i="38"/>
  <c r="W64" i="38" s="1"/>
  <c r="W40" i="38"/>
  <c r="X15" i="38"/>
  <c r="X17" i="38"/>
  <c r="W42" i="38"/>
  <c r="X54" i="38"/>
  <c r="W12" i="38"/>
  <c r="W34" i="38"/>
  <c r="W6" i="38"/>
  <c r="W18" i="38"/>
  <c r="T26" i="36" l="1"/>
  <c r="X63" i="38"/>
  <c r="W17" i="38"/>
  <c r="W15" i="38"/>
  <c r="W39" i="38"/>
  <c r="X65" i="38"/>
  <c r="X16" i="38"/>
  <c r="X64" i="38" l="1"/>
  <c r="W16" i="38"/>
  <c r="T5" i="49" l="1"/>
  <c r="T19" i="49" s="1"/>
  <c r="T15" i="36" s="1"/>
  <c r="W34" i="59" s="1"/>
  <c r="S5" i="49"/>
  <c r="T65" i="8" l="1"/>
  <c r="T1" i="7"/>
  <c r="T67" i="7" s="1"/>
  <c r="S1" i="7"/>
  <c r="S67" i="7" s="1"/>
  <c r="S16" i="48" l="1"/>
  <c r="S18" i="48" s="1"/>
  <c r="H12" i="44" l="1"/>
  <c r="G12" i="44"/>
  <c r="S33" i="44"/>
  <c r="R32" i="44"/>
  <c r="Q32" i="44"/>
  <c r="P32" i="44"/>
  <c r="O32" i="44"/>
  <c r="N32" i="44"/>
  <c r="M32" i="44"/>
  <c r="L32" i="44"/>
  <c r="K32" i="44"/>
  <c r="J32" i="44"/>
  <c r="I32" i="44"/>
  <c r="H32" i="44"/>
  <c r="G32" i="44"/>
  <c r="S31" i="44"/>
  <c r="S30" i="44"/>
  <c r="S28" i="44"/>
  <c r="R27" i="44"/>
  <c r="Q27" i="44"/>
  <c r="P27" i="44"/>
  <c r="O27" i="44"/>
  <c r="N27" i="44"/>
  <c r="M27" i="44"/>
  <c r="L27" i="44"/>
  <c r="K27" i="44"/>
  <c r="J27" i="44"/>
  <c r="I27" i="44"/>
  <c r="H27" i="44"/>
  <c r="G27" i="44"/>
  <c r="S26" i="44"/>
  <c r="S25" i="44"/>
  <c r="S23" i="44"/>
  <c r="R22" i="44"/>
  <c r="Q22" i="44"/>
  <c r="P22" i="44"/>
  <c r="O22" i="44"/>
  <c r="N22" i="44"/>
  <c r="M22" i="44"/>
  <c r="L22" i="44"/>
  <c r="K22" i="44"/>
  <c r="J22" i="44"/>
  <c r="I22" i="44"/>
  <c r="H22" i="44"/>
  <c r="G22" i="44"/>
  <c r="S21" i="44"/>
  <c r="S20" i="44"/>
  <c r="S17" i="44"/>
  <c r="S16" i="44"/>
  <c r="S15" i="44"/>
  <c r="S13" i="44"/>
  <c r="S11" i="44"/>
  <c r="S9" i="44"/>
  <c r="S8" i="44"/>
  <c r="S7" i="44"/>
  <c r="S6" i="44"/>
  <c r="S5" i="44"/>
  <c r="S27" i="44" l="1"/>
  <c r="S12" i="44"/>
  <c r="S32" i="44"/>
  <c r="S22" i="44"/>
  <c r="L18" i="6" l="1"/>
  <c r="L30" i="6" s="1"/>
  <c r="L17" i="6"/>
  <c r="L29" i="6" s="1"/>
  <c r="H18" i="6"/>
  <c r="H17" i="6"/>
  <c r="F18" i="6"/>
  <c r="F17" i="6"/>
  <c r="O6" i="6"/>
  <c r="K6" i="6"/>
  <c r="G6" i="6"/>
  <c r="O5" i="6"/>
  <c r="K5" i="6"/>
  <c r="G5" i="6"/>
  <c r="E6" i="6"/>
  <c r="E5" i="6"/>
  <c r="K48" i="36"/>
  <c r="K49" i="36"/>
  <c r="K45" i="36"/>
  <c r="K47" i="36" s="1"/>
  <c r="G48" i="36"/>
  <c r="G49" i="36"/>
  <c r="G45" i="36"/>
  <c r="G47" i="36" s="1"/>
  <c r="E48" i="36"/>
  <c r="E49" i="36"/>
  <c r="E45" i="36"/>
  <c r="E47" i="36" s="1"/>
  <c r="T37" i="21"/>
  <c r="T33" i="21"/>
  <c r="T29" i="21"/>
  <c r="S29" i="21"/>
  <c r="T24" i="21"/>
  <c r="T25" i="21" s="1"/>
  <c r="T12" i="21"/>
  <c r="S12" i="21"/>
  <c r="S40" i="35"/>
  <c r="S39" i="35"/>
  <c r="S37" i="35"/>
  <c r="S43" i="35"/>
  <c r="T31" i="35"/>
  <c r="T34" i="35" s="1"/>
  <c r="T43" i="35" s="1"/>
  <c r="T44" i="35" s="1"/>
  <c r="S31" i="35"/>
  <c r="S35" i="35" s="1"/>
  <c r="T74" i="50" s="1"/>
  <c r="T24" i="35"/>
  <c r="S24" i="35"/>
  <c r="S34" i="36" s="1"/>
  <c r="T15" i="35"/>
  <c r="S15" i="35"/>
  <c r="S10" i="35"/>
  <c r="S5" i="36" s="1"/>
  <c r="V6" i="59" s="1"/>
  <c r="S9" i="35"/>
  <c r="S8" i="35"/>
  <c r="T7" i="35"/>
  <c r="T6" i="6" s="1"/>
  <c r="T6" i="35"/>
  <c r="T5" i="6" s="1"/>
  <c r="T20" i="21" l="1"/>
  <c r="T460" i="28"/>
  <c r="T459" i="28"/>
  <c r="S22" i="21"/>
  <c r="S460" i="28"/>
  <c r="S459" i="28"/>
  <c r="S12" i="49"/>
  <c r="T14" i="6"/>
  <c r="T12" i="6"/>
  <c r="T13" i="6"/>
  <c r="T7" i="6"/>
  <c r="T11" i="6"/>
  <c r="S35" i="36"/>
  <c r="T34" i="36"/>
  <c r="S11" i="35"/>
  <c r="S44" i="35"/>
  <c r="Z17" i="6"/>
  <c r="Z123" i="6" s="1"/>
  <c r="AC14" i="59" s="1"/>
  <c r="Z18" i="6"/>
  <c r="Z148" i="6" s="1"/>
  <c r="AC19" i="59" s="1"/>
  <c r="Y12" i="6"/>
  <c r="Y11" i="6"/>
  <c r="S15" i="21"/>
  <c r="T35" i="35"/>
  <c r="T8" i="35"/>
  <c r="U74" i="50" l="1"/>
  <c r="U72" i="50" s="1"/>
  <c r="T127" i="6"/>
  <c r="T15" i="6"/>
  <c r="T59" i="6" s="1"/>
  <c r="T131" i="6"/>
  <c r="T60" i="6"/>
  <c r="T225" i="6"/>
  <c r="T228" i="6"/>
  <c r="T242" i="6"/>
  <c r="T152" i="6"/>
  <c r="T157" i="6"/>
  <c r="T226" i="6"/>
  <c r="T234" i="6"/>
  <c r="T248" i="6"/>
  <c r="S36" i="36"/>
  <c r="T25" i="36"/>
  <c r="W55" i="59" s="1"/>
  <c r="T35" i="36"/>
  <c r="Z119" i="6"/>
  <c r="Z145" i="6"/>
  <c r="Z147" i="6"/>
  <c r="AC18" i="59" s="1"/>
  <c r="Z19" i="6"/>
  <c r="Z144" i="6"/>
  <c r="Z146" i="6"/>
  <c r="AC17" i="59" s="1"/>
  <c r="Z121" i="6"/>
  <c r="AC12" i="59" s="1"/>
  <c r="Z124" i="6"/>
  <c r="AC15" i="59" s="1"/>
  <c r="Z149" i="6"/>
  <c r="AC20" i="59" s="1"/>
  <c r="Z120" i="6"/>
  <c r="Z122" i="6"/>
  <c r="AC13" i="59" s="1"/>
  <c r="P80" i="8"/>
  <c r="Z80" i="8" s="1"/>
  <c r="H80" i="8"/>
  <c r="F80" i="8"/>
  <c r="Z161" i="6" l="1"/>
  <c r="T249" i="6"/>
  <c r="T250" i="6"/>
  <c r="T251" i="6" s="1"/>
  <c r="T236" i="6"/>
  <c r="T237" i="6" s="1"/>
  <c r="T235" i="6"/>
  <c r="T244" i="6"/>
  <c r="T245" i="6" s="1"/>
  <c r="T243" i="6"/>
  <c r="T34" i="6"/>
  <c r="T35" i="6"/>
  <c r="T36" i="6"/>
  <c r="T33" i="6"/>
  <c r="T56" i="6"/>
  <c r="T229" i="6"/>
  <c r="T230" i="6"/>
  <c r="T231" i="6" s="1"/>
  <c r="S39" i="36"/>
  <c r="S30" i="36" s="1"/>
  <c r="V59" i="59" s="1"/>
  <c r="T36" i="36"/>
  <c r="T238" i="6" l="1"/>
  <c r="T246" i="6"/>
  <c r="T252" i="6"/>
  <c r="T232" i="6"/>
  <c r="T37" i="6"/>
  <c r="T39" i="36"/>
  <c r="T30" i="36" s="1"/>
  <c r="W59" i="59" s="1"/>
  <c r="J17" i="35"/>
  <c r="N17" i="35" s="1"/>
  <c r="T239" i="6" l="1"/>
  <c r="T253" i="6"/>
  <c r="R17" i="35"/>
  <c r="V17" i="35" s="1"/>
  <c r="T255" i="6" l="1"/>
  <c r="AB17" i="35"/>
  <c r="P83" i="11"/>
  <c r="P81" i="11"/>
  <c r="L83" i="11"/>
  <c r="L81" i="11"/>
  <c r="H83" i="11"/>
  <c r="H81" i="11"/>
  <c r="L146" i="10"/>
  <c r="L144" i="10"/>
  <c r="H146" i="10"/>
  <c r="H144" i="10"/>
  <c r="F83" i="11"/>
  <c r="F81" i="11"/>
  <c r="P75" i="11"/>
  <c r="P82" i="11" s="1"/>
  <c r="L75" i="11"/>
  <c r="L82" i="11" s="1"/>
  <c r="H75" i="11"/>
  <c r="H82" i="11" s="1"/>
  <c r="F82" i="11"/>
  <c r="F54" i="11"/>
  <c r="F146" i="10"/>
  <c r="F144" i="10"/>
  <c r="L148" i="10"/>
  <c r="L138" i="10"/>
  <c r="L145" i="10" s="1"/>
  <c r="H138" i="10"/>
  <c r="H139" i="10" s="1"/>
  <c r="F145" i="10"/>
  <c r="AF17" i="35" l="1"/>
  <c r="S6" i="48"/>
  <c r="S7" i="48"/>
  <c r="P85" i="11"/>
  <c r="H85" i="11"/>
  <c r="F85" i="11"/>
  <c r="L85" i="11"/>
  <c r="L139" i="10"/>
  <c r="F148" i="10"/>
  <c r="H140" i="10"/>
  <c r="L140" i="10"/>
  <c r="H148" i="10"/>
  <c r="H145" i="10"/>
  <c r="P76" i="11"/>
  <c r="F76" i="11"/>
  <c r="H76" i="11"/>
  <c r="L76" i="11"/>
  <c r="F139" i="10"/>
  <c r="F140" i="10"/>
  <c r="L77" i="11"/>
  <c r="P77" i="11"/>
  <c r="F77" i="11"/>
  <c r="H77" i="11"/>
  <c r="AJ17" i="35" l="1"/>
  <c r="S8" i="48"/>
  <c r="Y9" i="17"/>
  <c r="Y13" i="17" s="1"/>
  <c r="Y8" i="17"/>
  <c r="I88" i="17"/>
  <c r="I87" i="17"/>
  <c r="AP17" i="35" l="1"/>
  <c r="AT17" i="35" s="1"/>
  <c r="M88" i="17"/>
  <c r="M87" i="17"/>
  <c r="Y12" i="17"/>
  <c r="Y10" i="17"/>
  <c r="AX17" i="35" l="1"/>
  <c r="Q87" i="17"/>
  <c r="AA87" i="17"/>
  <c r="AE87" i="17" s="1"/>
  <c r="AI87" i="17" s="1"/>
  <c r="AO87" i="17" s="1"/>
  <c r="AS87" i="17" s="1"/>
  <c r="AW87" i="17" s="1"/>
  <c r="BE87" i="17" s="1"/>
  <c r="Q88" i="17"/>
  <c r="U88" i="17" s="1"/>
  <c r="AA88" i="17"/>
  <c r="AE88" i="17" s="1"/>
  <c r="AI88" i="17" s="1"/>
  <c r="AO88" i="17" s="1"/>
  <c r="AS88" i="17" s="1"/>
  <c r="U87" i="17"/>
  <c r="Y14" i="17"/>
  <c r="Y86" i="17"/>
  <c r="K42" i="17"/>
  <c r="K40" i="17"/>
  <c r="G42" i="17"/>
  <c r="G40" i="17"/>
  <c r="K52" i="17"/>
  <c r="G52" i="17"/>
  <c r="E52" i="17"/>
  <c r="K48" i="17"/>
  <c r="G48" i="17"/>
  <c r="E48" i="17"/>
  <c r="K46" i="17"/>
  <c r="G46" i="17"/>
  <c r="E46" i="17"/>
  <c r="E42" i="17"/>
  <c r="E40" i="17"/>
  <c r="I51" i="17"/>
  <c r="I47" i="17"/>
  <c r="M47" i="17" s="1"/>
  <c r="Q47" i="17" s="1"/>
  <c r="U47" i="17" s="1"/>
  <c r="I45" i="17"/>
  <c r="I41" i="17"/>
  <c r="I39" i="17"/>
  <c r="M39" i="17" s="1"/>
  <c r="Q39" i="17" s="1"/>
  <c r="U39" i="17" s="1"/>
  <c r="K38" i="17"/>
  <c r="G38" i="17"/>
  <c r="E38" i="17"/>
  <c r="I37" i="17"/>
  <c r="M37" i="17" s="1"/>
  <c r="Q37" i="17" s="1"/>
  <c r="U37" i="17" s="1"/>
  <c r="J9" i="15"/>
  <c r="F9" i="15"/>
  <c r="E9" i="15"/>
  <c r="J8" i="15"/>
  <c r="F8" i="15"/>
  <c r="E8" i="15"/>
  <c r="J7" i="15"/>
  <c r="F7" i="15"/>
  <c r="E7" i="15"/>
  <c r="J6" i="15"/>
  <c r="F6" i="15"/>
  <c r="E6" i="15"/>
  <c r="J5" i="15"/>
  <c r="F5" i="15"/>
  <c r="E5" i="15"/>
  <c r="D7" i="15"/>
  <c r="D6" i="15"/>
  <c r="D5" i="15"/>
  <c r="K1" i="7"/>
  <c r="L1" i="7"/>
  <c r="O1" i="7"/>
  <c r="Y1" i="7" s="1"/>
  <c r="Y67" i="7" s="1"/>
  <c r="P1" i="7"/>
  <c r="Z1" i="7" s="1"/>
  <c r="Z67" i="7" s="1"/>
  <c r="F1" i="7"/>
  <c r="G1" i="7"/>
  <c r="H1" i="7"/>
  <c r="E1" i="7"/>
  <c r="BF17" i="35" l="1"/>
  <c r="BK17" i="35" s="1"/>
  <c r="Y51" i="17"/>
  <c r="M51" i="17"/>
  <c r="Q51" i="17" s="1"/>
  <c r="U51" i="17" s="1"/>
  <c r="M45" i="17"/>
  <c r="Q45" i="17" s="1"/>
  <c r="U45" i="17" s="1"/>
  <c r="M41" i="17"/>
  <c r="Q41" i="17" s="1"/>
  <c r="U41" i="17" s="1"/>
  <c r="BL9" i="35" l="1"/>
  <c r="BL17" i="35"/>
  <c r="AA39" i="17"/>
  <c r="AE39" i="17" s="1"/>
  <c r="AI39" i="17" s="1"/>
  <c r="AO39" i="17" s="1"/>
  <c r="Y52" i="17"/>
  <c r="Y113" i="17" s="1"/>
  <c r="Y112" i="17"/>
  <c r="AA37" i="17"/>
  <c r="AE37" i="17" s="1"/>
  <c r="AI37" i="17" s="1"/>
  <c r="AO37" i="17" s="1"/>
  <c r="AA47" i="17"/>
  <c r="AE47" i="17" s="1"/>
  <c r="AI47" i="17" s="1"/>
  <c r="AO47" i="17" s="1"/>
  <c r="AS37" i="17" l="1"/>
  <c r="AW37" i="17" s="1"/>
  <c r="BE37" i="17" s="1"/>
  <c r="AS47" i="17"/>
  <c r="AW47" i="17" s="1"/>
  <c r="BE47" i="17" s="1"/>
  <c r="AS39" i="17"/>
  <c r="AW39" i="17" s="1"/>
  <c r="BE39" i="17" s="1"/>
  <c r="AA45" i="17"/>
  <c r="AE45" i="17" s="1"/>
  <c r="AI45" i="17" s="1"/>
  <c r="AO45" i="17" s="1"/>
  <c r="AA41" i="17"/>
  <c r="AE41" i="17" s="1"/>
  <c r="AI41" i="17" s="1"/>
  <c r="AO41" i="17" s="1"/>
  <c r="AA51" i="17"/>
  <c r="AE51" i="17" s="1"/>
  <c r="AI51" i="17" s="1"/>
  <c r="AO51" i="17" s="1"/>
  <c r="AS51" i="17" s="1"/>
  <c r="AW51" i="17" s="1"/>
  <c r="BE51" i="17" s="1"/>
  <c r="L84" i="9"/>
  <c r="H84" i="9"/>
  <c r="F84" i="9"/>
  <c r="L94" i="9"/>
  <c r="L95" i="9" s="1"/>
  <c r="F94" i="9"/>
  <c r="F95" i="9" s="1"/>
  <c r="L91" i="9"/>
  <c r="H91" i="9"/>
  <c r="F91" i="9"/>
  <c r="L89" i="9"/>
  <c r="K18" i="15" s="1"/>
  <c r="L88" i="9"/>
  <c r="H89" i="9"/>
  <c r="G18" i="15" s="1"/>
  <c r="H88" i="9"/>
  <c r="F89" i="9"/>
  <c r="E18" i="15" s="1"/>
  <c r="F88" i="9"/>
  <c r="L39" i="9"/>
  <c r="L38" i="9"/>
  <c r="L37" i="9"/>
  <c r="H39" i="9"/>
  <c r="H47" i="9" s="1"/>
  <c r="H38" i="9"/>
  <c r="H37" i="9"/>
  <c r="F39" i="9"/>
  <c r="F47" i="9" s="1"/>
  <c r="F38" i="9"/>
  <c r="F37" i="9"/>
  <c r="L28" i="9"/>
  <c r="L29" i="9" s="1"/>
  <c r="H28" i="9"/>
  <c r="H29" i="9" s="1"/>
  <c r="F28" i="9"/>
  <c r="F29" i="9" s="1"/>
  <c r="L85" i="9"/>
  <c r="H85" i="9"/>
  <c r="F85" i="9"/>
  <c r="AS41" i="17" l="1"/>
  <c r="AW41" i="17" s="1"/>
  <c r="BE41" i="17" s="1"/>
  <c r="AS45" i="17"/>
  <c r="AW45" i="17" s="1"/>
  <c r="BE45" i="17" s="1"/>
  <c r="Z90" i="9"/>
  <c r="Z91" i="9" s="1"/>
  <c r="Z30" i="9"/>
  <c r="P37" i="9"/>
  <c r="P38" i="9"/>
  <c r="P46" i="9" s="1"/>
  <c r="P28" i="9"/>
  <c r="P29" i="9" s="1"/>
  <c r="P85" i="9"/>
  <c r="P10" i="9"/>
  <c r="Y90" i="9"/>
  <c r="Y87" i="9"/>
  <c r="O67" i="9"/>
  <c r="Y67" i="9" s="1"/>
  <c r="O66" i="9"/>
  <c r="Y66" i="9" s="1"/>
  <c r="O65" i="9"/>
  <c r="Y65" i="9" s="1"/>
  <c r="O64" i="9"/>
  <c r="Y64" i="9" s="1"/>
  <c r="O63" i="9"/>
  <c r="Y63" i="9" s="1"/>
  <c r="O62" i="9"/>
  <c r="Y62" i="9" s="1"/>
  <c r="O60" i="9"/>
  <c r="Y60" i="9" s="1"/>
  <c r="O58" i="9"/>
  <c r="Y58" i="9" s="1"/>
  <c r="O57" i="9"/>
  <c r="Y57" i="9" s="1"/>
  <c r="O54" i="9"/>
  <c r="O46" i="9"/>
  <c r="Y46" i="9" s="1"/>
  <c r="Y70" i="9" s="1"/>
  <c r="O30" i="9"/>
  <c r="Y30" i="9" s="1"/>
  <c r="O27" i="9"/>
  <c r="Y27" i="9" s="1"/>
  <c r="O25" i="9"/>
  <c r="Y25" i="9" s="1"/>
  <c r="O65" i="8"/>
  <c r="E65" i="8"/>
  <c r="L77" i="8"/>
  <c r="F77" i="8"/>
  <c r="L60" i="8"/>
  <c r="L64" i="8" s="1"/>
  <c r="H60" i="8"/>
  <c r="H64" i="8" s="1"/>
  <c r="F60" i="8"/>
  <c r="H58" i="8"/>
  <c r="F58" i="8"/>
  <c r="L55" i="8"/>
  <c r="L54" i="8"/>
  <c r="H55" i="8"/>
  <c r="H54" i="8"/>
  <c r="F55" i="8"/>
  <c r="F54" i="8"/>
  <c r="L52" i="8"/>
  <c r="H52" i="8"/>
  <c r="F52" i="8"/>
  <c r="L45" i="8"/>
  <c r="H45" i="8"/>
  <c r="L5" i="8"/>
  <c r="L5" i="49" s="1"/>
  <c r="H5" i="8"/>
  <c r="F5" i="8"/>
  <c r="F5" i="49" s="1"/>
  <c r="P77" i="8"/>
  <c r="J80" i="8"/>
  <c r="P60" i="8"/>
  <c r="P34" i="8" s="1"/>
  <c r="P58" i="8"/>
  <c r="P55" i="8"/>
  <c r="Z55" i="8" s="1"/>
  <c r="P54" i="8"/>
  <c r="Z54" i="8" s="1"/>
  <c r="P52" i="8"/>
  <c r="Z52" i="8" s="1"/>
  <c r="Z46" i="9" l="1"/>
  <c r="P32" i="8"/>
  <c r="P9" i="49"/>
  <c r="P11" i="49" s="1"/>
  <c r="P13" i="49" s="1"/>
  <c r="F63" i="8"/>
  <c r="F32" i="8"/>
  <c r="F9" i="49"/>
  <c r="F11" i="49" s="1"/>
  <c r="F13" i="49" s="1"/>
  <c r="H72" i="8"/>
  <c r="H5" i="49"/>
  <c r="H78" i="8"/>
  <c r="F64" i="8"/>
  <c r="F34" i="8"/>
  <c r="H63" i="8"/>
  <c r="H32" i="8"/>
  <c r="H9" i="49"/>
  <c r="H11" i="49" s="1"/>
  <c r="H13" i="49" s="1"/>
  <c r="F56" i="8"/>
  <c r="F61" i="8" s="1"/>
  <c r="Z61" i="9"/>
  <c r="Y45" i="48" s="1"/>
  <c r="O45" i="48"/>
  <c r="L32" i="8"/>
  <c r="L63" i="8"/>
  <c r="P63" i="8"/>
  <c r="Z58" i="8"/>
  <c r="P64" i="8"/>
  <c r="Z60" i="8"/>
  <c r="Z64" i="8" s="1"/>
  <c r="O56" i="9"/>
  <c r="Y54" i="9"/>
  <c r="Y56" i="9" s="1"/>
  <c r="Y71" i="9" s="1"/>
  <c r="Z22" i="9"/>
  <c r="Z85" i="9" s="1"/>
  <c r="Z94" i="9"/>
  <c r="Z95" i="9" s="1"/>
  <c r="H41" i="8"/>
  <c r="H36" i="8"/>
  <c r="H40" i="8"/>
  <c r="H43" i="8"/>
  <c r="H38" i="8"/>
  <c r="H42" i="8"/>
  <c r="H37" i="8"/>
  <c r="L42" i="8"/>
  <c r="L37" i="8"/>
  <c r="L41" i="8"/>
  <c r="L36" i="8"/>
  <c r="L40" i="8"/>
  <c r="L43" i="8"/>
  <c r="L38" i="8"/>
  <c r="H56" i="8"/>
  <c r="H61" i="8" s="1"/>
  <c r="P56" i="8"/>
  <c r="L56" i="8"/>
  <c r="L62" i="8" s="1"/>
  <c r="H46" i="8"/>
  <c r="F68" i="8"/>
  <c r="I33" i="59" s="1"/>
  <c r="F46" i="8"/>
  <c r="F72" i="8"/>
  <c r="L46" i="8"/>
  <c r="H68" i="8"/>
  <c r="K33" i="59" s="1"/>
  <c r="L72" i="8"/>
  <c r="N80" i="8"/>
  <c r="R80" i="8" s="1"/>
  <c r="P14" i="9"/>
  <c r="Z14" i="9" s="1"/>
  <c r="P45" i="9"/>
  <c r="P34" i="9"/>
  <c r="P40" i="9" s="1"/>
  <c r="P39" i="9"/>
  <c r="P47" i="9" s="1"/>
  <c r="P48" i="9" s="1"/>
  <c r="O28" i="9"/>
  <c r="O83" i="9" s="1"/>
  <c r="Z63" i="8" l="1"/>
  <c r="Z9" i="49"/>
  <c r="Z11" i="49" s="1"/>
  <c r="Z13" i="49" s="1"/>
  <c r="V80" i="8"/>
  <c r="AB80" i="8" s="1"/>
  <c r="P79" i="9"/>
  <c r="P72" i="9"/>
  <c r="P69" i="9"/>
  <c r="P82" i="9"/>
  <c r="S40" i="59" s="1"/>
  <c r="P78" i="9"/>
  <c r="P75" i="9"/>
  <c r="P81" i="9"/>
  <c r="P77" i="9"/>
  <c r="S41" i="59" s="1"/>
  <c r="P74" i="9"/>
  <c r="P80" i="9"/>
  <c r="P76" i="9"/>
  <c r="P73" i="9"/>
  <c r="P70" i="9"/>
  <c r="P71" i="9"/>
  <c r="P61" i="8"/>
  <c r="P33" i="8"/>
  <c r="L47" i="8"/>
  <c r="F62" i="8"/>
  <c r="F33" i="8"/>
  <c r="H62" i="8"/>
  <c r="P62" i="8"/>
  <c r="Z56" i="8"/>
  <c r="P52" i="9"/>
  <c r="Z47" i="9"/>
  <c r="Z48" i="9" s="1"/>
  <c r="Z70" i="9" s="1"/>
  <c r="L39" i="8"/>
  <c r="H39" i="8"/>
  <c r="L61" i="8"/>
  <c r="O29" i="9"/>
  <c r="AF80" i="8" l="1"/>
  <c r="P51" i="9"/>
  <c r="S39" i="59" s="1"/>
  <c r="Z61" i="8"/>
  <c r="Z62" i="8"/>
  <c r="Z77" i="9"/>
  <c r="AC41" i="59" s="1"/>
  <c r="Z71" i="9"/>
  <c r="Z51" i="9"/>
  <c r="AC39" i="59" s="1"/>
  <c r="Z75" i="9"/>
  <c r="Z74" i="9"/>
  <c r="Z72" i="9"/>
  <c r="Z52" i="9"/>
  <c r="Z78" i="9"/>
  <c r="Z79" i="9"/>
  <c r="Z73" i="9"/>
  <c r="Z80" i="9"/>
  <c r="Z81" i="9"/>
  <c r="Z69" i="9"/>
  <c r="Z82" i="9"/>
  <c r="AC40" i="59" s="1"/>
  <c r="Z76" i="9"/>
  <c r="Z155" i="6"/>
  <c r="Z154" i="6"/>
  <c r="Z129" i="6"/>
  <c r="AJ80" i="8" l="1"/>
  <c r="AP80" i="8" s="1"/>
  <c r="S34" i="50"/>
  <c r="W34" i="50" s="1"/>
  <c r="AT80" i="8" l="1"/>
  <c r="AX80" i="8" s="1"/>
  <c r="BF80" i="8" s="1"/>
  <c r="S36" i="50"/>
  <c r="W36" i="50" s="1"/>
  <c r="Q41" i="50" l="1"/>
  <c r="S41" i="50" s="1"/>
  <c r="W41" i="50" s="1"/>
  <c r="P84" i="11"/>
  <c r="J63" i="11"/>
  <c r="N63" i="11" s="1"/>
  <c r="J61" i="11"/>
  <c r="N61" i="11" s="1"/>
  <c r="AB61" i="11" s="1"/>
  <c r="AF61" i="11" s="1"/>
  <c r="AJ61" i="11" s="1"/>
  <c r="AP61" i="11" s="1"/>
  <c r="L62" i="11"/>
  <c r="O48" i="59" s="1"/>
  <c r="H62" i="11"/>
  <c r="K48" i="59" s="1"/>
  <c r="P59" i="11"/>
  <c r="Z59" i="11" s="1"/>
  <c r="Z60" i="11" s="1"/>
  <c r="L59" i="11"/>
  <c r="L60" i="11" s="1"/>
  <c r="H59" i="11"/>
  <c r="H60" i="11" s="1"/>
  <c r="F60" i="11"/>
  <c r="F62" i="11"/>
  <c r="I48" i="59" s="1"/>
  <c r="AT61" i="11" l="1"/>
  <c r="R63" i="11"/>
  <c r="V63" i="11" s="1"/>
  <c r="V71" i="11" s="1"/>
  <c r="Y49" i="59" s="1"/>
  <c r="AB63" i="11"/>
  <c r="AF63" i="11" s="1"/>
  <c r="AJ63" i="11" s="1"/>
  <c r="AP63" i="11" s="1"/>
  <c r="Q71" i="50"/>
  <c r="AA71" i="50" s="1"/>
  <c r="P60" i="11"/>
  <c r="P88" i="11"/>
  <c r="P86" i="11"/>
  <c r="J59" i="11"/>
  <c r="R61" i="11"/>
  <c r="V61" i="11" s="1"/>
  <c r="J62" i="11"/>
  <c r="M48" i="59" s="1"/>
  <c r="N62" i="11"/>
  <c r="Q48" i="59" s="1"/>
  <c r="N64" i="11"/>
  <c r="AX61" i="11" l="1"/>
  <c r="BF61" i="11" s="1"/>
  <c r="AT63" i="11"/>
  <c r="AP64" i="11"/>
  <c r="AP62" i="11"/>
  <c r="AS48" i="59" s="1"/>
  <c r="AP71" i="11"/>
  <c r="AS49" i="59" s="1"/>
  <c r="AJ64" i="11"/>
  <c r="AJ71" i="11"/>
  <c r="AM49" i="59" s="1"/>
  <c r="AJ62" i="11"/>
  <c r="AM48" i="59" s="1"/>
  <c r="AF64" i="11"/>
  <c r="AF71" i="11"/>
  <c r="AI49" i="59" s="1"/>
  <c r="AF62" i="11"/>
  <c r="AI48" i="59" s="1"/>
  <c r="AB62" i="11"/>
  <c r="AE48" i="59" s="1"/>
  <c r="AB64" i="11"/>
  <c r="AB71" i="11"/>
  <c r="AE49" i="59" s="1"/>
  <c r="V64" i="11"/>
  <c r="V62" i="11"/>
  <c r="Y48" i="59" s="1"/>
  <c r="R64" i="11"/>
  <c r="R62" i="11"/>
  <c r="U48" i="59" s="1"/>
  <c r="J60" i="11"/>
  <c r="N59" i="11"/>
  <c r="AB59" i="11" s="1"/>
  <c r="AX63" i="11" l="1"/>
  <c r="BF63" i="11" s="1"/>
  <c r="AT64" i="11"/>
  <c r="AT62" i="11"/>
  <c r="AW48" i="59" s="1"/>
  <c r="AT71" i="11"/>
  <c r="AW49" i="59" s="1"/>
  <c r="AB60" i="11"/>
  <c r="AF59" i="11"/>
  <c r="R59" i="11"/>
  <c r="V59" i="11" s="1"/>
  <c r="V60" i="11" s="1"/>
  <c r="N60" i="11"/>
  <c r="L123" i="10"/>
  <c r="J126" i="10"/>
  <c r="N126" i="10" s="1"/>
  <c r="J124" i="10"/>
  <c r="N124" i="10" s="1"/>
  <c r="AB124" i="10" s="1"/>
  <c r="AF124" i="10" s="1"/>
  <c r="AJ124" i="10" s="1"/>
  <c r="AP124" i="10" s="1"/>
  <c r="J122" i="10"/>
  <c r="H123" i="10"/>
  <c r="F123" i="10"/>
  <c r="BF64" i="11" l="1"/>
  <c r="BF62" i="11"/>
  <c r="BI48" i="59" s="1"/>
  <c r="BF71" i="11"/>
  <c r="BI49" i="59" s="1"/>
  <c r="AT124" i="10"/>
  <c r="AX124" i="10" s="1"/>
  <c r="BF124" i="10" s="1"/>
  <c r="AX62" i="11"/>
  <c r="BA48" i="59" s="1"/>
  <c r="AX64" i="11"/>
  <c r="AX71" i="11"/>
  <c r="BA49" i="59" s="1"/>
  <c r="AF60" i="11"/>
  <c r="AJ59" i="11"/>
  <c r="R126" i="10"/>
  <c r="V126" i="10" s="1"/>
  <c r="V134" i="10" s="1"/>
  <c r="Y45" i="59" s="1"/>
  <c r="AB126" i="10"/>
  <c r="AF126" i="10" s="1"/>
  <c r="AJ126" i="10" s="1"/>
  <c r="AP126" i="10" s="1"/>
  <c r="R124" i="10"/>
  <c r="V124" i="10" s="1"/>
  <c r="R60" i="11"/>
  <c r="N125" i="10"/>
  <c r="Q44" i="59" s="1"/>
  <c r="N122" i="10"/>
  <c r="J123" i="10"/>
  <c r="J125" i="10"/>
  <c r="M44" i="59" s="1"/>
  <c r="N127" i="10"/>
  <c r="AT126" i="10" l="1"/>
  <c r="AX126" i="10" s="1"/>
  <c r="BF126" i="10" s="1"/>
  <c r="AJ60" i="11"/>
  <c r="AP59" i="11"/>
  <c r="AP127" i="10"/>
  <c r="AP125" i="10"/>
  <c r="AS44" i="59" s="1"/>
  <c r="AP134" i="10"/>
  <c r="AS45" i="59" s="1"/>
  <c r="AJ127" i="10"/>
  <c r="AJ125" i="10"/>
  <c r="AM44" i="59" s="1"/>
  <c r="AJ134" i="10"/>
  <c r="AM45" i="59" s="1"/>
  <c r="V127" i="10"/>
  <c r="AF127" i="10"/>
  <c r="AF125" i="10"/>
  <c r="AI44" i="59" s="1"/>
  <c r="AF134" i="10"/>
  <c r="AI45" i="59" s="1"/>
  <c r="R122" i="10"/>
  <c r="V122" i="10" s="1"/>
  <c r="V123" i="10" s="1"/>
  <c r="AB122" i="10"/>
  <c r="AB125" i="10"/>
  <c r="AE44" i="59" s="1"/>
  <c r="AB127" i="10"/>
  <c r="AB134" i="10"/>
  <c r="AE45" i="59" s="1"/>
  <c r="V125" i="10"/>
  <c r="Y44" i="59" s="1"/>
  <c r="R125" i="10"/>
  <c r="U44" i="59" s="1"/>
  <c r="R127" i="10"/>
  <c r="N123" i="10"/>
  <c r="AT125" i="10" l="1"/>
  <c r="AW44" i="59" s="1"/>
  <c r="AT127" i="10"/>
  <c r="AX127" i="10"/>
  <c r="AX125" i="10"/>
  <c r="BA44" i="59" s="1"/>
  <c r="AP60" i="11"/>
  <c r="AT59" i="11"/>
  <c r="BD127" i="10"/>
  <c r="BD125" i="10"/>
  <c r="BG44" i="59" s="1"/>
  <c r="BD134" i="10"/>
  <c r="BG45" i="59" s="1"/>
  <c r="BF125" i="10"/>
  <c r="BI44" i="59" s="1"/>
  <c r="BF127" i="10"/>
  <c r="BF134" i="10"/>
  <c r="BI45" i="59" s="1"/>
  <c r="AT134" i="10"/>
  <c r="AW45" i="59" s="1"/>
  <c r="AX134" i="10"/>
  <c r="BA45" i="59" s="1"/>
  <c r="R123" i="10"/>
  <c r="AB123" i="10"/>
  <c r="AF122" i="10"/>
  <c r="F215" i="28"/>
  <c r="F445" i="28" s="1"/>
  <c r="AX59" i="11" l="1"/>
  <c r="AT60" i="11"/>
  <c r="AF123" i="10"/>
  <c r="AJ122" i="10"/>
  <c r="AX60" i="11" l="1"/>
  <c r="BF59" i="11"/>
  <c r="BF60" i="11" s="1"/>
  <c r="AJ123" i="10"/>
  <c r="AP122" i="10"/>
  <c r="BD123" i="10" s="1"/>
  <c r="I39" i="27"/>
  <c r="M39" i="27" s="1"/>
  <c r="Q39" i="27" s="1"/>
  <c r="H39" i="27"/>
  <c r="L39" i="27" s="1"/>
  <c r="P39" i="27" s="1"/>
  <c r="I24" i="27"/>
  <c r="M24" i="27" s="1"/>
  <c r="Q24" i="27" s="1"/>
  <c r="H24" i="27"/>
  <c r="L24" i="27" s="1"/>
  <c r="P24" i="27" s="1"/>
  <c r="K37" i="27"/>
  <c r="K40" i="27" s="1"/>
  <c r="K32" i="27"/>
  <c r="K27" i="27"/>
  <c r="AP123" i="10" l="1"/>
  <c r="AT122" i="10"/>
  <c r="K34" i="27"/>
  <c r="T39" i="27"/>
  <c r="Z39" i="27" s="1"/>
  <c r="U24" i="27"/>
  <c r="AA24" i="27" s="1"/>
  <c r="U39" i="27"/>
  <c r="AA39" i="27" s="1"/>
  <c r="T24" i="27"/>
  <c r="Z24" i="27" s="1"/>
  <c r="AT123" i="10" l="1"/>
  <c r="AX122" i="10"/>
  <c r="AE39" i="27"/>
  <c r="AI39" i="27" s="1"/>
  <c r="AO39" i="27" s="1"/>
  <c r="AS39" i="27" s="1"/>
  <c r="AW39" i="27" s="1"/>
  <c r="BE39" i="27" s="1"/>
  <c r="AD24" i="27"/>
  <c r="AH24" i="27" s="1"/>
  <c r="AN24" i="27" s="1"/>
  <c r="AR24" i="27" s="1"/>
  <c r="AV24" i="27" s="1"/>
  <c r="BD24" i="27" s="1"/>
  <c r="AE24" i="27"/>
  <c r="AI24" i="27" s="1"/>
  <c r="AO24" i="27" s="1"/>
  <c r="AS24" i="27" s="1"/>
  <c r="AW24" i="27" s="1"/>
  <c r="BE24" i="27" s="1"/>
  <c r="AD39" i="27"/>
  <c r="AH39" i="27" s="1"/>
  <c r="AN39" i="27" s="1"/>
  <c r="AR39" i="27" s="1"/>
  <c r="AV39" i="27" s="1"/>
  <c r="BD39" i="27" s="1"/>
  <c r="K21" i="27"/>
  <c r="K25" i="27" s="1"/>
  <c r="AX123" i="10" l="1"/>
  <c r="BF122" i="10"/>
  <c r="BF123" i="10" s="1"/>
  <c r="Y38" i="27"/>
  <c r="O37" i="27"/>
  <c r="O40" i="27" s="1"/>
  <c r="Y28" i="27"/>
  <c r="O27" i="27"/>
  <c r="O34" i="27" s="1"/>
  <c r="Y23" i="27"/>
  <c r="Y22" i="27"/>
  <c r="O21" i="27"/>
  <c r="O25" i="27" s="1"/>
  <c r="Y20" i="27"/>
  <c r="Y19" i="27"/>
  <c r="Y37" i="27" l="1"/>
  <c r="Y21" i="27"/>
  <c r="Y29" i="27"/>
  <c r="Y18" i="27"/>
  <c r="Y25" i="27" s="1"/>
  <c r="Y27" i="27"/>
  <c r="Y36" i="27"/>
  <c r="J19" i="9"/>
  <c r="N19" i="9" s="1"/>
  <c r="R19" i="9" s="1"/>
  <c r="J20" i="9"/>
  <c r="N20" i="9" s="1"/>
  <c r="R20" i="9" s="1"/>
  <c r="Y40" i="27" l="1"/>
  <c r="Y34" i="27"/>
  <c r="V19" i="9"/>
  <c r="AB19" i="9" s="1"/>
  <c r="V20" i="9"/>
  <c r="AB20" i="9" s="1"/>
  <c r="Z61" i="28"/>
  <c r="Z62" i="28" s="1"/>
  <c r="P31" i="28"/>
  <c r="Z455" i="28" l="1"/>
  <c r="Z454" i="28"/>
  <c r="P456" i="28"/>
  <c r="AF19" i="9"/>
  <c r="AF20" i="9"/>
  <c r="P69" i="7"/>
  <c r="Z69" i="7" s="1"/>
  <c r="Z70" i="7" s="1"/>
  <c r="AC26" i="59" s="1"/>
  <c r="S52" i="38"/>
  <c r="T94" i="38"/>
  <c r="T93" i="38"/>
  <c r="T92" i="38"/>
  <c r="T91" i="38"/>
  <c r="S90" i="38"/>
  <c r="T89" i="38"/>
  <c r="S88" i="38"/>
  <c r="T86" i="38"/>
  <c r="T85" i="38"/>
  <c r="T84" i="38"/>
  <c r="T83" i="38"/>
  <c r="S82" i="38"/>
  <c r="T80" i="38"/>
  <c r="T79" i="38"/>
  <c r="T78" i="38"/>
  <c r="T77" i="38"/>
  <c r="T76" i="38"/>
  <c r="T75" i="38"/>
  <c r="T74" i="38"/>
  <c r="T73" i="38"/>
  <c r="T72" i="38"/>
  <c r="T71" i="38"/>
  <c r="T70" i="38"/>
  <c r="T69" i="38"/>
  <c r="T68" i="38"/>
  <c r="T67" i="38"/>
  <c r="S66" i="38"/>
  <c r="T62" i="38"/>
  <c r="T61" i="38"/>
  <c r="S60" i="38"/>
  <c r="T59" i="38"/>
  <c r="T58" i="38"/>
  <c r="T57" i="38"/>
  <c r="T56" i="38"/>
  <c r="T55" i="38"/>
  <c r="S54" i="38"/>
  <c r="S46" i="38"/>
  <c r="AC46" i="38" s="1"/>
  <c r="AC94" i="38" s="1"/>
  <c r="S45" i="38"/>
  <c r="AC45" i="38" s="1"/>
  <c r="AC93" i="38" s="1"/>
  <c r="S44" i="38"/>
  <c r="AC44" i="38" s="1"/>
  <c r="AC92" i="38" s="1"/>
  <c r="S43" i="38"/>
  <c r="AC43" i="38" s="1"/>
  <c r="AC91" i="38" s="1"/>
  <c r="T42" i="38"/>
  <c r="S41" i="38"/>
  <c r="AC41" i="38" s="1"/>
  <c r="AC89" i="38" s="1"/>
  <c r="T40" i="38"/>
  <c r="S38" i="38"/>
  <c r="AC38" i="38" s="1"/>
  <c r="AC86" i="38" s="1"/>
  <c r="S37" i="38"/>
  <c r="AC37" i="38" s="1"/>
  <c r="AC85" i="38" s="1"/>
  <c r="S36" i="38"/>
  <c r="AC36" i="38" s="1"/>
  <c r="AC84" i="38" s="1"/>
  <c r="S35" i="38"/>
  <c r="AC35" i="38" s="1"/>
  <c r="AC83" i="38" s="1"/>
  <c r="T34" i="38"/>
  <c r="S32" i="38"/>
  <c r="AC32" i="38" s="1"/>
  <c r="AC80" i="38" s="1"/>
  <c r="S31" i="38"/>
  <c r="AC31" i="38" s="1"/>
  <c r="AC79" i="38" s="1"/>
  <c r="S30" i="38"/>
  <c r="AC30" i="38" s="1"/>
  <c r="AC78" i="38" s="1"/>
  <c r="S29" i="38"/>
  <c r="AC29" i="38" s="1"/>
  <c r="AC77" i="38" s="1"/>
  <c r="S28" i="38"/>
  <c r="AC28" i="38" s="1"/>
  <c r="AC76" i="38" s="1"/>
  <c r="S27" i="38"/>
  <c r="S26" i="38"/>
  <c r="AC26" i="38" s="1"/>
  <c r="AC74" i="38" s="1"/>
  <c r="S25" i="38"/>
  <c r="S24" i="38"/>
  <c r="AC24" i="38" s="1"/>
  <c r="AC72" i="38" s="1"/>
  <c r="S23" i="38"/>
  <c r="O94" i="9" s="1"/>
  <c r="O95" i="9" s="1"/>
  <c r="S22" i="38"/>
  <c r="AC22" i="38" s="1"/>
  <c r="S21" i="38"/>
  <c r="AC21" i="38" s="1"/>
  <c r="AC69" i="38" s="1"/>
  <c r="S20" i="38"/>
  <c r="AC20" i="38" s="1"/>
  <c r="AC68" i="38" s="1"/>
  <c r="S19" i="38"/>
  <c r="AC19" i="38" s="1"/>
  <c r="AC67" i="38" s="1"/>
  <c r="T18" i="38"/>
  <c r="AD18" i="38" s="1"/>
  <c r="AD66" i="38" s="1"/>
  <c r="S14" i="38"/>
  <c r="AC14" i="38" s="1"/>
  <c r="AC62" i="38" s="1"/>
  <c r="S13" i="38"/>
  <c r="AC13" i="38" s="1"/>
  <c r="AC61" i="38" s="1"/>
  <c r="T12" i="38"/>
  <c r="S11" i="38"/>
  <c r="AC11" i="38" s="1"/>
  <c r="AC59" i="38" s="1"/>
  <c r="S10" i="38"/>
  <c r="AC10" i="38" s="1"/>
  <c r="AC58" i="38" s="1"/>
  <c r="S9" i="38"/>
  <c r="AC9" i="38" s="1"/>
  <c r="AC57" i="38" s="1"/>
  <c r="S8" i="38"/>
  <c r="AC8" i="38" s="1"/>
  <c r="AC56" i="38" s="1"/>
  <c r="S7" i="38"/>
  <c r="AC7" i="38" s="1"/>
  <c r="AC55" i="38" s="1"/>
  <c r="T6" i="38"/>
  <c r="P66" i="11"/>
  <c r="Z66" i="11" s="1"/>
  <c r="Z67" i="11" s="1"/>
  <c r="P64" i="11"/>
  <c r="AJ20" i="9" l="1"/>
  <c r="AP20" i="9" s="1"/>
  <c r="AT20" i="9" s="1"/>
  <c r="AX20" i="9" s="1"/>
  <c r="BF20" i="9" s="1"/>
  <c r="AJ19" i="9"/>
  <c r="AP19" i="9" s="1"/>
  <c r="AT19" i="9" s="1"/>
  <c r="AX19" i="9" s="1"/>
  <c r="BF19" i="9" s="1"/>
  <c r="AC70" i="38"/>
  <c r="Y77" i="8"/>
  <c r="AC25" i="38"/>
  <c r="AC73" i="38" s="1"/>
  <c r="O129" i="10"/>
  <c r="T60" i="38"/>
  <c r="AD12" i="38"/>
  <c r="AD60" i="38" s="1"/>
  <c r="AC27" i="38"/>
  <c r="AC75" i="38" s="1"/>
  <c r="P56" i="45"/>
  <c r="Z56" i="45" s="1"/>
  <c r="Z57" i="45" s="1"/>
  <c r="T90" i="38"/>
  <c r="AD42" i="38"/>
  <c r="AD90" i="38" s="1"/>
  <c r="T15" i="38"/>
  <c r="AD15" i="38" s="1"/>
  <c r="AD63" i="38" s="1"/>
  <c r="AD6" i="38"/>
  <c r="AD54" i="38" s="1"/>
  <c r="T82" i="38"/>
  <c r="AD34" i="38"/>
  <c r="AD82" i="38" s="1"/>
  <c r="T88" i="38"/>
  <c r="AD40" i="38"/>
  <c r="AD88" i="38" s="1"/>
  <c r="AC23" i="38"/>
  <c r="AC71" i="38" s="1"/>
  <c r="S40" i="38"/>
  <c r="AC40" i="38" s="1"/>
  <c r="AC88" i="38" s="1"/>
  <c r="T39" i="38"/>
  <c r="AD39" i="38" s="1"/>
  <c r="AD87" i="38" s="1"/>
  <c r="P67" i="11"/>
  <c r="T66" i="38"/>
  <c r="S87" i="38"/>
  <c r="S64" i="38" s="1"/>
  <c r="S63" i="38"/>
  <c r="S6" i="38"/>
  <c r="AC6" i="38" s="1"/>
  <c r="AC54" i="38" s="1"/>
  <c r="S18" i="38"/>
  <c r="AC18" i="38" s="1"/>
  <c r="AC66" i="38" s="1"/>
  <c r="T63" i="38"/>
  <c r="S42" i="38"/>
  <c r="AC42" i="38" s="1"/>
  <c r="AC90" i="38" s="1"/>
  <c r="O66" i="11"/>
  <c r="Y66" i="11" s="1"/>
  <c r="Y67" i="11" s="1"/>
  <c r="S12" i="38"/>
  <c r="AC12" i="38" s="1"/>
  <c r="AC60" i="38" s="1"/>
  <c r="S34" i="38"/>
  <c r="AC34" i="38" s="1"/>
  <c r="AC82" i="38" s="1"/>
  <c r="T54" i="38"/>
  <c r="T17" i="38"/>
  <c r="O130" i="10" l="1"/>
  <c r="Y129" i="10"/>
  <c r="Y130" i="10" s="1"/>
  <c r="AD17" i="38"/>
  <c r="P26" i="36"/>
  <c r="P57" i="45"/>
  <c r="Y94" i="9"/>
  <c r="Y95" i="9" s="1"/>
  <c r="T87" i="38"/>
  <c r="O67" i="11"/>
  <c r="S17" i="38"/>
  <c r="AC17" i="38" s="1"/>
  <c r="T16" i="38"/>
  <c r="AD16" i="38" s="1"/>
  <c r="AD64" i="38" s="1"/>
  <c r="T65" i="38"/>
  <c r="S39" i="38"/>
  <c r="AC39" i="38" s="1"/>
  <c r="AC87" i="38" s="1"/>
  <c r="S15" i="38"/>
  <c r="AC15" i="38" s="1"/>
  <c r="AC63" i="38" s="1"/>
  <c r="AD65" i="38" l="1"/>
  <c r="Z26" i="36"/>
  <c r="AC65" i="38"/>
  <c r="Y26" i="36"/>
  <c r="S16" i="38"/>
  <c r="AC16" i="38" s="1"/>
  <c r="AC64" i="38" s="1"/>
  <c r="T64" i="38"/>
  <c r="O14" i="6" l="1"/>
  <c r="O13" i="6"/>
  <c r="Y13" i="6" l="1"/>
  <c r="Y132" i="6" s="1"/>
  <c r="Y14" i="6"/>
  <c r="Y58" i="6" s="1"/>
  <c r="O23" i="6"/>
  <c r="Y23" i="6" s="1"/>
  <c r="O17" i="6"/>
  <c r="O26" i="6"/>
  <c r="Y26" i="6" s="1"/>
  <c r="O20" i="6"/>
  <c r="Y20" i="6" s="1"/>
  <c r="O27" i="6"/>
  <c r="Y27" i="6" s="1"/>
  <c r="O21" i="6"/>
  <c r="Y21" i="6" s="1"/>
  <c r="O24" i="6"/>
  <c r="Y24" i="6" s="1"/>
  <c r="O18" i="6"/>
  <c r="Y57" i="6" l="1"/>
  <c r="Y158" i="6"/>
  <c r="Y18" i="6"/>
  <c r="Y148" i="6" s="1"/>
  <c r="AB19" i="59" s="1"/>
  <c r="Y17" i="6"/>
  <c r="Y124" i="6" s="1"/>
  <c r="AB15" i="59" s="1"/>
  <c r="Y15" i="6"/>
  <c r="O22" i="6"/>
  <c r="O28" i="6"/>
  <c r="O29" i="6"/>
  <c r="Y29" i="6" s="1"/>
  <c r="O19" i="6"/>
  <c r="O30" i="6"/>
  <c r="Y30" i="6" s="1"/>
  <c r="O25" i="6"/>
  <c r="O77" i="8"/>
  <c r="Z32" i="8"/>
  <c r="P45" i="8"/>
  <c r="O45" i="8"/>
  <c r="P25" i="8"/>
  <c r="O18" i="8"/>
  <c r="Y18" i="8" s="1"/>
  <c r="P5" i="8"/>
  <c r="O5" i="8"/>
  <c r="Y5" i="8" s="1"/>
  <c r="Y78" i="8" s="1"/>
  <c r="E5" i="8"/>
  <c r="G5" i="8"/>
  <c r="K5" i="8"/>
  <c r="K5" i="49" s="1"/>
  <c r="O5" i="49" l="1"/>
  <c r="Y5" i="49"/>
  <c r="P5" i="49"/>
  <c r="Z5" i="8"/>
  <c r="G5" i="49"/>
  <c r="E5" i="49"/>
  <c r="Y59" i="6"/>
  <c r="Y122" i="6"/>
  <c r="AB13" i="59" s="1"/>
  <c r="Y149" i="6"/>
  <c r="AB20" i="59" s="1"/>
  <c r="Y119" i="6"/>
  <c r="Y120" i="6"/>
  <c r="Y121" i="6"/>
  <c r="AB12" i="59" s="1"/>
  <c r="Y123" i="6"/>
  <c r="AB14" i="59" s="1"/>
  <c r="Y144" i="6"/>
  <c r="O28" i="8"/>
  <c r="Y28" i="8" s="1"/>
  <c r="Y146" i="6"/>
  <c r="AB17" i="59" s="1"/>
  <c r="P43" i="8"/>
  <c r="P38" i="8"/>
  <c r="P42" i="8"/>
  <c r="P37" i="8"/>
  <c r="P41" i="8"/>
  <c r="P36" i="8"/>
  <c r="P40" i="8"/>
  <c r="Y147" i="6"/>
  <c r="AB18" i="59" s="1"/>
  <c r="O15" i="8"/>
  <c r="Y12" i="8"/>
  <c r="O31" i="6"/>
  <c r="P78" i="8"/>
  <c r="P68" i="8"/>
  <c r="S33" i="59" s="1"/>
  <c r="O78" i="8"/>
  <c r="P72" i="8"/>
  <c r="Z34" i="8"/>
  <c r="O46" i="8"/>
  <c r="Y14" i="36" s="1"/>
  <c r="AB31" i="59" s="1"/>
  <c r="O27" i="8"/>
  <c r="O29" i="8"/>
  <c r="Y29" i="8" s="1"/>
  <c r="P46" i="8"/>
  <c r="Z14" i="36" s="1"/>
  <c r="AC31" i="59" s="1"/>
  <c r="O71" i="8"/>
  <c r="Y71" i="8" s="1"/>
  <c r="O26" i="8"/>
  <c r="Z5" i="49" l="1"/>
  <c r="Z78" i="8"/>
  <c r="O66" i="8"/>
  <c r="Y72" i="8"/>
  <c r="Y43" i="8"/>
  <c r="Z38" i="8"/>
  <c r="Z37" i="8"/>
  <c r="Z36" i="8"/>
  <c r="Z68" i="8"/>
  <c r="AC33" i="59" s="1"/>
  <c r="Z41" i="8"/>
  <c r="Z43" i="8"/>
  <c r="Z40" i="8"/>
  <c r="Z42" i="8"/>
  <c r="Z72" i="8"/>
  <c r="Z45" i="8"/>
  <c r="P39" i="8"/>
  <c r="Y45" i="8"/>
  <c r="Y68" i="8"/>
  <c r="AB33" i="59" s="1"/>
  <c r="Y46" i="8"/>
  <c r="Z69" i="8"/>
  <c r="Z70" i="8"/>
  <c r="Y76" i="8"/>
  <c r="Z46" i="8"/>
  <c r="O52" i="8"/>
  <c r="Y52" i="8" s="1"/>
  <c r="Y26" i="8"/>
  <c r="Y40" i="8" s="1"/>
  <c r="O60" i="8"/>
  <c r="Y60" i="8" s="1"/>
  <c r="Y27" i="8"/>
  <c r="Y41" i="8" s="1"/>
  <c r="Z76" i="8"/>
  <c r="Y42" i="8"/>
  <c r="P47" i="8"/>
  <c r="Y66" i="8" l="1"/>
  <c r="Y5" i="26"/>
  <c r="Z66" i="8"/>
  <c r="Z47" i="8"/>
  <c r="Y64" i="8"/>
  <c r="O34" i="8"/>
  <c r="Y34" i="8" s="1"/>
  <c r="Z39" i="8"/>
  <c r="O56" i="8"/>
  <c r="Y47" i="8"/>
  <c r="Z46" i="35"/>
  <c r="Z45" i="35"/>
  <c r="O33" i="8" l="1"/>
  <c r="Y33" i="8" s="1"/>
  <c r="Y56" i="8"/>
  <c r="Y62" i="8" s="1"/>
  <c r="E17" i="15"/>
  <c r="F17" i="15"/>
  <c r="J17" i="15"/>
  <c r="P64" i="22" l="1"/>
  <c r="P65" i="22" s="1"/>
  <c r="P66" i="22" s="1"/>
  <c r="O40" i="48" s="1"/>
  <c r="P51" i="22"/>
  <c r="P53" i="22" s="1"/>
  <c r="P55" i="22" s="1"/>
  <c r="P56" i="22" s="1"/>
  <c r="O26" i="48" s="1"/>
  <c r="O28" i="48" s="1"/>
  <c r="P59" i="22"/>
  <c r="P60" i="22" s="1"/>
  <c r="P61" i="22" s="1"/>
  <c r="O37" i="48" s="1"/>
  <c r="Z10" i="22"/>
  <c r="Z12" i="22" s="1"/>
  <c r="P43" i="22"/>
  <c r="P45" i="22" s="1"/>
  <c r="P47" i="22" s="1"/>
  <c r="P48" i="22" s="1"/>
  <c r="O21" i="48" s="1"/>
  <c r="O23" i="48" s="1"/>
  <c r="Z24" i="22" l="1"/>
  <c r="Z26" i="22" s="1"/>
  <c r="F62" i="7"/>
  <c r="Y8" i="22" l="1"/>
  <c r="Y7" i="22"/>
  <c r="Y22" i="22"/>
  <c r="Y21" i="22"/>
  <c r="Y23" i="22" l="1"/>
  <c r="Y9" i="22"/>
  <c r="O54" i="7"/>
  <c r="O62" i="7"/>
  <c r="O58" i="7"/>
  <c r="O69" i="7"/>
  <c r="Y69" i="7" s="1"/>
  <c r="Y70" i="7" s="1"/>
  <c r="AB26" i="59" s="1"/>
  <c r="P30" i="6"/>
  <c r="Z30" i="6" s="1"/>
  <c r="P156" i="6"/>
  <c r="Z156" i="6" s="1"/>
  <c r="O156" i="6"/>
  <c r="Y156" i="6" s="1"/>
  <c r="Y157" i="6" s="1"/>
  <c r="P130" i="6"/>
  <c r="Z130" i="6" s="1"/>
  <c r="O130" i="6"/>
  <c r="Y130" i="6" s="1"/>
  <c r="Y131" i="6" s="1"/>
  <c r="O52" i="6"/>
  <c r="O44" i="6"/>
  <c r="P44" i="6"/>
  <c r="O41" i="6"/>
  <c r="O37" i="6"/>
  <c r="P28" i="6"/>
  <c r="P25" i="6"/>
  <c r="P22" i="6"/>
  <c r="P29" i="6"/>
  <c r="Z29" i="6" s="1"/>
  <c r="O12" i="6"/>
  <c r="O11" i="6"/>
  <c r="O7" i="6"/>
  <c r="O65" i="7" l="1"/>
  <c r="O22" i="7"/>
  <c r="Y24" i="22"/>
  <c r="O20" i="7"/>
  <c r="O76" i="7" s="1"/>
  <c r="R24" i="59" s="1"/>
  <c r="Y72" i="7"/>
  <c r="O60" i="7"/>
  <c r="Y58" i="7"/>
  <c r="Y60" i="7" s="1"/>
  <c r="Z31" i="6"/>
  <c r="Y10" i="22"/>
  <c r="Y27" i="22"/>
  <c r="Y25" i="22"/>
  <c r="O70" i="7"/>
  <c r="R26" i="59" s="1"/>
  <c r="Y33" i="7"/>
  <c r="Y44" i="7" s="1"/>
  <c r="Y82" i="7" s="1"/>
  <c r="Y37" i="7"/>
  <c r="Y48" i="7" s="1"/>
  <c r="O55" i="7"/>
  <c r="Y55" i="7" s="1"/>
  <c r="Y56" i="7" s="1"/>
  <c r="O24" i="7"/>
  <c r="Y34" i="7"/>
  <c r="Y45" i="7" s="1"/>
  <c r="Y84" i="7" s="1"/>
  <c r="AB25" i="59" s="1"/>
  <c r="Y38" i="7"/>
  <c r="Y49" i="7" s="1"/>
  <c r="O21" i="7"/>
  <c r="O25" i="7"/>
  <c r="Y31" i="7"/>
  <c r="Y42" i="7" s="1"/>
  <c r="Y75" i="7" s="1"/>
  <c r="AB23" i="59" s="1"/>
  <c r="Y35" i="7"/>
  <c r="Y46" i="7" s="1"/>
  <c r="O18" i="7"/>
  <c r="O26" i="7"/>
  <c r="Y32" i="7"/>
  <c r="Y43" i="7" s="1"/>
  <c r="Y76" i="7" s="1"/>
  <c r="AB24" i="59" s="1"/>
  <c r="Y36" i="7"/>
  <c r="O19" i="7"/>
  <c r="O23" i="7"/>
  <c r="O27" i="7"/>
  <c r="O126" i="6"/>
  <c r="Y126" i="6" s="1"/>
  <c r="Y127" i="6" s="1"/>
  <c r="O157" i="6"/>
  <c r="O151" i="6"/>
  <c r="Y151" i="6" s="1"/>
  <c r="O68" i="7"/>
  <c r="R21" i="59" s="1"/>
  <c r="O67" i="7"/>
  <c r="O63" i="7"/>
  <c r="O131" i="6"/>
  <c r="P31" i="6"/>
  <c r="P19" i="6"/>
  <c r="O15" i="6"/>
  <c r="O56" i="6" s="1"/>
  <c r="P41" i="6"/>
  <c r="P52" i="6"/>
  <c r="Y65" i="7" l="1"/>
  <c r="Y47" i="7"/>
  <c r="Y28" i="22"/>
  <c r="Y29" i="22"/>
  <c r="Y26" i="22"/>
  <c r="Y13" i="22"/>
  <c r="Y11" i="22"/>
  <c r="O59" i="6"/>
  <c r="Y15" i="22" l="1"/>
  <c r="Y12" i="22"/>
  <c r="Y14" i="22"/>
  <c r="P8" i="36"/>
  <c r="S9" i="59" s="1"/>
  <c r="P7" i="36"/>
  <c r="S8" i="59" s="1"/>
  <c r="P14" i="49" l="1"/>
  <c r="P15" i="49" s="1"/>
  <c r="P18" i="49" s="1"/>
  <c r="P19" i="49" s="1"/>
  <c r="P15" i="36" s="1"/>
  <c r="S34" i="59" s="1"/>
  <c r="P65" i="8" l="1"/>
  <c r="P433" i="28" l="1"/>
  <c r="P9" i="36"/>
  <c r="S10" i="59" s="1"/>
  <c r="Y429" i="28"/>
  <c r="P424" i="28"/>
  <c r="P426" i="28" s="1"/>
  <c r="P420" i="28"/>
  <c r="P266" i="28"/>
  <c r="P449" i="28" s="1"/>
  <c r="P65" i="28"/>
  <c r="P64" i="28"/>
  <c r="Z64" i="28" s="1"/>
  <c r="P62" i="28"/>
  <c r="P58" i="28"/>
  <c r="P451" i="28" s="1"/>
  <c r="P54" i="28"/>
  <c r="P447" i="28" s="1"/>
  <c r="P50" i="28"/>
  <c r="P443" i="28" s="1"/>
  <c r="Z37" i="28"/>
  <c r="P36" i="28"/>
  <c r="Z36" i="28" s="1"/>
  <c r="P35" i="28"/>
  <c r="Z35" i="28" s="1"/>
  <c r="P34" i="28"/>
  <c r="Z34" i="28" s="1"/>
  <c r="P33" i="28"/>
  <c r="Y33" i="28"/>
  <c r="P44" i="28"/>
  <c r="Z44" i="28" s="1"/>
  <c r="O27" i="28"/>
  <c r="P24" i="28"/>
  <c r="O21" i="28"/>
  <c r="P18" i="28"/>
  <c r="O15" i="28"/>
  <c r="Y15" i="28" s="1"/>
  <c r="Y18" i="28" s="1"/>
  <c r="P11" i="28"/>
  <c r="O8" i="28"/>
  <c r="P42" i="28" l="1"/>
  <c r="Z42" i="28" s="1"/>
  <c r="P448" i="28"/>
  <c r="P446" i="28"/>
  <c r="Z65" i="28"/>
  <c r="Z66" i="28" s="1"/>
  <c r="Y261" i="28"/>
  <c r="Y448" i="28" s="1"/>
  <c r="P41" i="28"/>
  <c r="Z41" i="28" s="1"/>
  <c r="P444" i="28"/>
  <c r="P442" i="28"/>
  <c r="P43" i="28"/>
  <c r="Z43" i="28" s="1"/>
  <c r="P452" i="28"/>
  <c r="P450" i="28"/>
  <c r="P434" i="28"/>
  <c r="P455" i="28"/>
  <c r="P454" i="28"/>
  <c r="P440" i="28"/>
  <c r="P439" i="28"/>
  <c r="Y440" i="28"/>
  <c r="Z33" i="28"/>
  <c r="Z426" i="28"/>
  <c r="Z427" i="28" s="1"/>
  <c r="P430" i="28"/>
  <c r="P427" i="28"/>
  <c r="O34" i="28"/>
  <c r="Y420" i="28"/>
  <c r="O31" i="28"/>
  <c r="Y27" i="28"/>
  <c r="Y31" i="28" s="1"/>
  <c r="O11" i="28"/>
  <c r="Y8" i="28"/>
  <c r="Y11" i="28" s="1"/>
  <c r="O24" i="28"/>
  <c r="Y21" i="28"/>
  <c r="Y24" i="28" s="1"/>
  <c r="P66" i="28"/>
  <c r="P67" i="28" s="1"/>
  <c r="O18" i="28"/>
  <c r="P38" i="28"/>
  <c r="P39" i="28" s="1"/>
  <c r="Z45" i="28" l="1"/>
  <c r="Z460" i="28" s="1"/>
  <c r="P45" i="28"/>
  <c r="O176" i="28"/>
  <c r="O444" i="28" s="1"/>
  <c r="Z67" i="28"/>
  <c r="Y319" i="28"/>
  <c r="Y452" i="28" s="1"/>
  <c r="O43" i="28"/>
  <c r="O56" i="28" s="1"/>
  <c r="O450" i="28" s="1"/>
  <c r="O319" i="28"/>
  <c r="O452" i="28" s="1"/>
  <c r="O415" i="28"/>
  <c r="O433" i="28" s="1"/>
  <c r="Z38" i="28"/>
  <c r="Z459" i="28" s="1"/>
  <c r="Y415" i="28"/>
  <c r="Y433" i="28" s="1"/>
  <c r="O261" i="28"/>
  <c r="O448" i="28" s="1"/>
  <c r="Y176" i="28"/>
  <c r="Y444" i="28" s="1"/>
  <c r="Z430" i="28"/>
  <c r="Y426" i="28"/>
  <c r="Y430" i="28" s="1"/>
  <c r="O41" i="28"/>
  <c r="Y41" i="28" s="1"/>
  <c r="O44" i="28"/>
  <c r="O60" i="28" s="1"/>
  <c r="Y422" i="28"/>
  <c r="O42" i="28"/>
  <c r="Y42" i="28" s="1"/>
  <c r="Y43" i="28" l="1"/>
  <c r="Y456" i="28"/>
  <c r="O456" i="28"/>
  <c r="Y56" i="28"/>
  <c r="O451" i="28"/>
  <c r="Y60" i="28"/>
  <c r="O455" i="28"/>
  <c r="Z39" i="28"/>
  <c r="O454" i="28"/>
  <c r="O434" i="28"/>
  <c r="O440" i="28"/>
  <c r="O48" i="28"/>
  <c r="Y44" i="28"/>
  <c r="Y45" i="28" s="1"/>
  <c r="Y460" i="28" s="1"/>
  <c r="O38" i="28"/>
  <c r="Y34" i="28"/>
  <c r="Y38" i="28" s="1"/>
  <c r="Y459" i="28" s="1"/>
  <c r="O52" i="28"/>
  <c r="O45" i="28"/>
  <c r="Y434" i="28" l="1"/>
  <c r="Y455" i="28"/>
  <c r="Y454" i="28"/>
  <c r="Y52" i="28"/>
  <c r="O447" i="28"/>
  <c r="O446" i="28"/>
  <c r="Y48" i="28"/>
  <c r="Y442" i="28" s="1"/>
  <c r="O443" i="28"/>
  <c r="O442" i="28"/>
  <c r="Y451" i="28"/>
  <c r="Y450" i="28"/>
  <c r="O439" i="28"/>
  <c r="O64" i="28"/>
  <c r="Y64" i="28" s="1"/>
  <c r="Y443" i="28" l="1"/>
  <c r="Y439" i="28"/>
  <c r="Y447" i="28"/>
  <c r="Y446" i="28"/>
  <c r="X6" i="15"/>
  <c r="X7" i="15"/>
  <c r="X5" i="15"/>
  <c r="J38" i="35" l="1"/>
  <c r="O40" i="35"/>
  <c r="Y40" i="35" s="1"/>
  <c r="O39" i="35"/>
  <c r="Y39" i="35" s="1"/>
  <c r="O37" i="35"/>
  <c r="Y37" i="35" s="1"/>
  <c r="O34" i="35"/>
  <c r="O43" i="35" s="1"/>
  <c r="P31" i="35"/>
  <c r="Z32" i="35" s="1"/>
  <c r="Z34" i="35" s="1"/>
  <c r="O31" i="35"/>
  <c r="O24" i="35"/>
  <c r="O34" i="36" s="1"/>
  <c r="P15" i="35"/>
  <c r="O15" i="35"/>
  <c r="O10" i="35"/>
  <c r="O9" i="35"/>
  <c r="Y9" i="35" s="1"/>
  <c r="O8" i="35"/>
  <c r="P7" i="35"/>
  <c r="P6" i="35"/>
  <c r="Z6" i="35" s="1"/>
  <c r="Z43" i="35" l="1"/>
  <c r="Z44" i="35" s="1"/>
  <c r="Z35" i="35"/>
  <c r="AA74" i="50" s="1"/>
  <c r="AA72" i="50" s="1"/>
  <c r="P34" i="35"/>
  <c r="P43" i="35" s="1"/>
  <c r="P44" i="35" s="1"/>
  <c r="O5" i="36"/>
  <c r="R6" i="59" s="1"/>
  <c r="Y10" i="35"/>
  <c r="Y5" i="36" s="1"/>
  <c r="AB6" i="59" s="1"/>
  <c r="O35" i="36"/>
  <c r="O36" i="36" s="1"/>
  <c r="Y34" i="36"/>
  <c r="P5" i="6"/>
  <c r="P6" i="6"/>
  <c r="P14" i="6" s="1"/>
  <c r="Z7" i="35"/>
  <c r="O11" i="35"/>
  <c r="P24" i="35"/>
  <c r="P34" i="36" s="1"/>
  <c r="P14" i="8"/>
  <c r="Z23" i="35"/>
  <c r="Z24" i="35" s="1"/>
  <c r="Z25" i="36" s="1"/>
  <c r="AC55" i="59" s="1"/>
  <c r="O44" i="35"/>
  <c r="P8" i="35"/>
  <c r="O35" i="35"/>
  <c r="P74" i="50" s="1"/>
  <c r="Y11" i="35" l="1"/>
  <c r="P35" i="35"/>
  <c r="Q74" i="50" s="1"/>
  <c r="Q72" i="50" s="1"/>
  <c r="Y12" i="49"/>
  <c r="O12" i="49"/>
  <c r="P35" i="36"/>
  <c r="P36" i="36" s="1"/>
  <c r="Z34" i="36"/>
  <c r="Y35" i="36"/>
  <c r="O39" i="36"/>
  <c r="O30" i="36" s="1"/>
  <c r="R59" i="59" s="1"/>
  <c r="Y36" i="36"/>
  <c r="Y39" i="36" s="1"/>
  <c r="Y30" i="36" s="1"/>
  <c r="AB59" i="59" s="1"/>
  <c r="P25" i="36"/>
  <c r="S55" i="59" s="1"/>
  <c r="P12" i="6"/>
  <c r="AB5" i="6"/>
  <c r="Z5" i="6"/>
  <c r="Z8" i="35"/>
  <c r="Z14" i="8"/>
  <c r="P15" i="8"/>
  <c r="AB6" i="6"/>
  <c r="Z6" i="6"/>
  <c r="Z12" i="6" s="1"/>
  <c r="P234" i="6"/>
  <c r="P226" i="6"/>
  <c r="P248" i="6"/>
  <c r="Z14" i="6"/>
  <c r="P152" i="6"/>
  <c r="P157" i="6"/>
  <c r="P13" i="6"/>
  <c r="P7" i="6"/>
  <c r="P11" i="6"/>
  <c r="Z35" i="36" l="1"/>
  <c r="P39" i="36"/>
  <c r="P30" i="36" s="1"/>
  <c r="S59" i="59" s="1"/>
  <c r="Z36" i="36"/>
  <c r="Z39" i="36" s="1"/>
  <c r="Z30" i="36" s="1"/>
  <c r="AC59" i="59" s="1"/>
  <c r="AB7" i="6"/>
  <c r="Z7" i="6"/>
  <c r="Z11" i="6"/>
  <c r="P250" i="6"/>
  <c r="P251" i="6" s="1"/>
  <c r="P249" i="6"/>
  <c r="Z226" i="6"/>
  <c r="P228" i="6"/>
  <c r="P225" i="6"/>
  <c r="P242" i="6"/>
  <c r="P235" i="6"/>
  <c r="P236" i="6"/>
  <c r="P237" i="6" s="1"/>
  <c r="Z152" i="6"/>
  <c r="Z55" i="6"/>
  <c r="Z157" i="6"/>
  <c r="Z158" i="6"/>
  <c r="Z58" i="6"/>
  <c r="Z13" i="6"/>
  <c r="P60" i="6"/>
  <c r="P15" i="6"/>
  <c r="P59" i="6" s="1"/>
  <c r="P127" i="6"/>
  <c r="P131" i="6"/>
  <c r="P238" i="6" l="1"/>
  <c r="P252" i="6"/>
  <c r="P230" i="6"/>
  <c r="P231" i="6" s="1"/>
  <c r="P229" i="6"/>
  <c r="Z132" i="6"/>
  <c r="Z225" i="6"/>
  <c r="P244" i="6"/>
  <c r="P245" i="6" s="1"/>
  <c r="P243" i="6"/>
  <c r="Z15" i="6"/>
  <c r="Z60" i="6"/>
  <c r="Z54" i="6"/>
  <c r="Z131" i="6"/>
  <c r="Z57" i="6"/>
  <c r="P56" i="6"/>
  <c r="P34" i="6"/>
  <c r="P33" i="6"/>
  <c r="P36" i="6"/>
  <c r="P35" i="6"/>
  <c r="Z56" i="6" l="1"/>
  <c r="Z33" i="8"/>
  <c r="P246" i="6"/>
  <c r="P253" i="6" s="1"/>
  <c r="O7" i="48" s="1"/>
  <c r="P232" i="6"/>
  <c r="P239" i="6" s="1"/>
  <c r="Z59" i="6"/>
  <c r="Z35" i="6"/>
  <c r="Z36" i="6"/>
  <c r="Z34" i="6"/>
  <c r="Z33" i="6"/>
  <c r="P37" i="6"/>
  <c r="G34" i="35"/>
  <c r="G43" i="35" s="1"/>
  <c r="K34" i="35"/>
  <c r="K43" i="35" s="1"/>
  <c r="G31" i="35"/>
  <c r="H31" i="35"/>
  <c r="H34" i="35" s="1"/>
  <c r="H43" i="35" s="1"/>
  <c r="H44" i="35" s="1"/>
  <c r="K31" i="35"/>
  <c r="L31" i="35"/>
  <c r="L34" i="35" s="1"/>
  <c r="L43" i="35" s="1"/>
  <c r="L44" i="35" s="1"/>
  <c r="P255" i="6" l="1"/>
  <c r="O6" i="48"/>
  <c r="O8" i="48" s="1"/>
  <c r="Z37" i="6"/>
  <c r="L35" i="35"/>
  <c r="M74" i="50" s="1"/>
  <c r="G35" i="35"/>
  <c r="H74" i="50" s="1"/>
  <c r="H35" i="35"/>
  <c r="I74" i="50" s="1"/>
  <c r="I72" i="50" s="1"/>
  <c r="K35" i="35"/>
  <c r="L74" i="50" s="1"/>
  <c r="J73" i="11" l="1"/>
  <c r="J78" i="11"/>
  <c r="J83" i="11" s="1"/>
  <c r="J74" i="11"/>
  <c r="N74" i="11" s="1"/>
  <c r="J137" i="10"/>
  <c r="N137" i="10" s="1"/>
  <c r="AB137" i="10" s="1"/>
  <c r="AF137" i="10" s="1"/>
  <c r="AJ137" i="10" s="1"/>
  <c r="AP137" i="10" s="1"/>
  <c r="J141" i="10"/>
  <c r="J146" i="10" s="1"/>
  <c r="J136" i="10"/>
  <c r="AT137" i="10" l="1"/>
  <c r="AX137" i="10" s="1"/>
  <c r="BF137" i="10" s="1"/>
  <c r="R74" i="11"/>
  <c r="V74" i="11" s="1"/>
  <c r="AB74" i="11"/>
  <c r="AF74" i="11" s="1"/>
  <c r="AJ74" i="11" s="1"/>
  <c r="R137" i="10"/>
  <c r="V137" i="10" s="1"/>
  <c r="N73" i="11"/>
  <c r="J75" i="11"/>
  <c r="J82" i="11" s="1"/>
  <c r="N136" i="10"/>
  <c r="J138" i="10"/>
  <c r="J145" i="10" s="1"/>
  <c r="N78" i="11"/>
  <c r="AB78" i="11" s="1"/>
  <c r="N141" i="10"/>
  <c r="AB141" i="10" s="1"/>
  <c r="AP74" i="11" l="1"/>
  <c r="AB83" i="11"/>
  <c r="AF78" i="11"/>
  <c r="AB146" i="10"/>
  <c r="AF141" i="10"/>
  <c r="R73" i="11"/>
  <c r="V73" i="11" s="1"/>
  <c r="V75" i="11" s="1"/>
  <c r="V82" i="11" s="1"/>
  <c r="AB73" i="11"/>
  <c r="AF73" i="11" s="1"/>
  <c r="R136" i="10"/>
  <c r="V136" i="10" s="1"/>
  <c r="V138" i="10" s="1"/>
  <c r="AB136" i="10"/>
  <c r="N146" i="10"/>
  <c r="R141" i="10"/>
  <c r="V141" i="10" s="1"/>
  <c r="V146" i="10" s="1"/>
  <c r="N83" i="11"/>
  <c r="R78" i="11"/>
  <c r="V78" i="11" s="1"/>
  <c r="V83" i="11" s="1"/>
  <c r="N75" i="11"/>
  <c r="N82" i="11" s="1"/>
  <c r="N138" i="10"/>
  <c r="N145" i="10" s="1"/>
  <c r="AT74" i="11" l="1"/>
  <c r="AX74" i="11" s="1"/>
  <c r="BF74" i="11" s="1"/>
  <c r="AF83" i="11"/>
  <c r="AJ78" i="11"/>
  <c r="AF75" i="11"/>
  <c r="AF82" i="11" s="1"/>
  <c r="AJ73" i="11"/>
  <c r="AF146" i="10"/>
  <c r="AJ141" i="10"/>
  <c r="AB75" i="11"/>
  <c r="AB82" i="11" s="1"/>
  <c r="R75" i="11"/>
  <c r="R82" i="11" s="1"/>
  <c r="AB138" i="10"/>
  <c r="AB145" i="10" s="1"/>
  <c r="AF136" i="10"/>
  <c r="R138" i="10"/>
  <c r="R145" i="10" s="1"/>
  <c r="V145" i="10"/>
  <c r="R146" i="10"/>
  <c r="R83" i="11"/>
  <c r="AP73" i="11" l="1"/>
  <c r="AJ75" i="11"/>
  <c r="AP78" i="11"/>
  <c r="AJ83" i="11"/>
  <c r="AJ146" i="10"/>
  <c r="AP141" i="10"/>
  <c r="BD146" i="10" s="1"/>
  <c r="AF138" i="10"/>
  <c r="AF145" i="10" s="1"/>
  <c r="AJ136" i="10"/>
  <c r="J103" i="9"/>
  <c r="N103" i="9" s="1"/>
  <c r="R103" i="9" s="1"/>
  <c r="V103" i="9" s="1"/>
  <c r="J104" i="9"/>
  <c r="J105" i="9"/>
  <c r="J106" i="9"/>
  <c r="J107" i="9"/>
  <c r="J108" i="9"/>
  <c r="J110" i="9"/>
  <c r="J111" i="9"/>
  <c r="N111" i="9" s="1"/>
  <c r="R111" i="9" s="1"/>
  <c r="V111" i="9" s="1"/>
  <c r="J112" i="9"/>
  <c r="J115" i="9"/>
  <c r="N115" i="9" s="1"/>
  <c r="R115" i="9" s="1"/>
  <c r="V115" i="9" s="1"/>
  <c r="J117" i="9"/>
  <c r="N117" i="9" s="1"/>
  <c r="R117" i="9" s="1"/>
  <c r="V117" i="9" s="1"/>
  <c r="J119" i="9"/>
  <c r="N119" i="9" s="1"/>
  <c r="R119" i="9" s="1"/>
  <c r="V119" i="9" s="1"/>
  <c r="J120" i="9"/>
  <c r="N120" i="9" s="1"/>
  <c r="R120" i="9" s="1"/>
  <c r="V120" i="9" s="1"/>
  <c r="AP83" i="11" l="1"/>
  <c r="AT78" i="11"/>
  <c r="AP75" i="11"/>
  <c r="AP82" i="11" s="1"/>
  <c r="AT73" i="11"/>
  <c r="AP146" i="10"/>
  <c r="AT141" i="10"/>
  <c r="AJ82" i="11"/>
  <c r="AJ138" i="10"/>
  <c r="AJ145" i="10" s="1"/>
  <c r="AP136" i="10"/>
  <c r="BD138" i="10" s="1"/>
  <c r="AB111" i="9"/>
  <c r="AB117" i="9"/>
  <c r="AB119" i="9"/>
  <c r="AB115" i="9"/>
  <c r="AB120" i="9"/>
  <c r="AB103" i="9"/>
  <c r="N106" i="9"/>
  <c r="I53" i="48"/>
  <c r="N110" i="9"/>
  <c r="I50" i="48"/>
  <c r="N105" i="9"/>
  <c r="I47" i="48"/>
  <c r="N108" i="9"/>
  <c r="I48" i="48"/>
  <c r="N104" i="9"/>
  <c r="I49" i="48"/>
  <c r="N112" i="9"/>
  <c r="I54" i="48"/>
  <c r="N107" i="9"/>
  <c r="I55" i="48"/>
  <c r="L28" i="22"/>
  <c r="L64" i="22" s="1"/>
  <c r="L65" i="22" s="1"/>
  <c r="L66" i="22" s="1"/>
  <c r="K40" i="48" s="1"/>
  <c r="L24" i="22"/>
  <c r="L26" i="22" s="1"/>
  <c r="L23" i="22"/>
  <c r="L51" i="22" s="1"/>
  <c r="L53" i="22" s="1"/>
  <c r="L55" i="22" s="1"/>
  <c r="L56" i="22" s="1"/>
  <c r="K26" i="48" s="1"/>
  <c r="K28" i="48" s="1"/>
  <c r="L14" i="22"/>
  <c r="L59" i="22" s="1"/>
  <c r="L60" i="22" s="1"/>
  <c r="L61" i="22" s="1"/>
  <c r="K37" i="48" s="1"/>
  <c r="L10" i="22"/>
  <c r="L12" i="22" s="1"/>
  <c r="L9" i="22"/>
  <c r="L43" i="22" s="1"/>
  <c r="L45" i="22" s="1"/>
  <c r="L47" i="22" s="1"/>
  <c r="L48" i="22" s="1"/>
  <c r="K21" i="48" s="1"/>
  <c r="K23" i="48" s="1"/>
  <c r="AT83" i="11" l="1"/>
  <c r="AX78" i="11"/>
  <c r="AT75" i="11"/>
  <c r="AX73" i="11"/>
  <c r="BD145" i="10"/>
  <c r="BD151" i="10" s="1"/>
  <c r="BD139" i="10"/>
  <c r="AP138" i="10"/>
  <c r="AT136" i="10"/>
  <c r="AT146" i="10"/>
  <c r="AX141" i="10"/>
  <c r="AP145" i="10"/>
  <c r="AF103" i="9"/>
  <c r="AJ103" i="9" s="1"/>
  <c r="AP103" i="9" s="1"/>
  <c r="AT103" i="9" s="1"/>
  <c r="AX103" i="9" s="1"/>
  <c r="BF103" i="9" s="1"/>
  <c r="AF115" i="9"/>
  <c r="AJ115" i="9" s="1"/>
  <c r="AP115" i="9" s="1"/>
  <c r="AT115" i="9" s="1"/>
  <c r="AX115" i="9" s="1"/>
  <c r="BF115" i="9" s="1"/>
  <c r="AF117" i="9"/>
  <c r="AJ117" i="9" s="1"/>
  <c r="AP117" i="9" s="1"/>
  <c r="AT117" i="9" s="1"/>
  <c r="AX117" i="9" s="1"/>
  <c r="BF117" i="9" s="1"/>
  <c r="AF120" i="9"/>
  <c r="AJ120" i="9" s="1"/>
  <c r="AP120" i="9" s="1"/>
  <c r="AT120" i="9" s="1"/>
  <c r="AX120" i="9" s="1"/>
  <c r="BF120" i="9" s="1"/>
  <c r="AF119" i="9"/>
  <c r="AJ119" i="9" s="1"/>
  <c r="AP119" i="9" s="1"/>
  <c r="AT119" i="9" s="1"/>
  <c r="AX119" i="9" s="1"/>
  <c r="BF119" i="9" s="1"/>
  <c r="AF111" i="9"/>
  <c r="AJ111" i="9" s="1"/>
  <c r="AP111" i="9" s="1"/>
  <c r="AT111" i="9" s="1"/>
  <c r="AX111" i="9" s="1"/>
  <c r="BF111" i="9" s="1"/>
  <c r="R112" i="9"/>
  <c r="V112" i="9" s="1"/>
  <c r="M54" i="48"/>
  <c r="R108" i="9"/>
  <c r="V108" i="9" s="1"/>
  <c r="M48" i="48"/>
  <c r="R110" i="9"/>
  <c r="V110" i="9" s="1"/>
  <c r="M50" i="48"/>
  <c r="R107" i="9"/>
  <c r="V107" i="9" s="1"/>
  <c r="M55" i="48"/>
  <c r="R104" i="9"/>
  <c r="V104" i="9" s="1"/>
  <c r="M49" i="48"/>
  <c r="R105" i="9"/>
  <c r="V105" i="9" s="1"/>
  <c r="M47" i="48"/>
  <c r="R106" i="9"/>
  <c r="V106" i="9" s="1"/>
  <c r="M53" i="48"/>
  <c r="D9" i="15"/>
  <c r="D8" i="15"/>
  <c r="AX75" i="11" l="1"/>
  <c r="AX82" i="11" s="1"/>
  <c r="BF73" i="11"/>
  <c r="BF75" i="11" s="1"/>
  <c r="AX83" i="11"/>
  <c r="BF78" i="11"/>
  <c r="BF83" i="11" s="1"/>
  <c r="AT82" i="11"/>
  <c r="AX146" i="10"/>
  <c r="BF141" i="10"/>
  <c r="BF146" i="10" s="1"/>
  <c r="AX136" i="10"/>
  <c r="AT138" i="10"/>
  <c r="AT145" i="10" s="1"/>
  <c r="Q53" i="48"/>
  <c r="Q49" i="48"/>
  <c r="Q55" i="48"/>
  <c r="Q48" i="48"/>
  <c r="Q47" i="48"/>
  <c r="Q50" i="48"/>
  <c r="Q54" i="48"/>
  <c r="J14" i="15"/>
  <c r="J15" i="15" s="1"/>
  <c r="J12" i="15"/>
  <c r="J13" i="15" s="1"/>
  <c r="J113" i="17"/>
  <c r="J81" i="17"/>
  <c r="J77" i="17"/>
  <c r="J66" i="17"/>
  <c r="J68" i="17" s="1"/>
  <c r="J60" i="17"/>
  <c r="J57" i="17"/>
  <c r="J56" i="17"/>
  <c r="J51" i="17"/>
  <c r="J111" i="17"/>
  <c r="J47" i="17"/>
  <c r="J45" i="17"/>
  <c r="J43" i="17"/>
  <c r="J18" i="17"/>
  <c r="J17" i="17"/>
  <c r="J15" i="17"/>
  <c r="J29" i="17" s="1"/>
  <c r="J14" i="17"/>
  <c r="J8" i="17"/>
  <c r="K90" i="9"/>
  <c r="K87" i="9"/>
  <c r="K67" i="9"/>
  <c r="K66" i="9"/>
  <c r="K65" i="9"/>
  <c r="K64" i="9"/>
  <c r="K63" i="9"/>
  <c r="K62" i="9"/>
  <c r="K60" i="9"/>
  <c r="K58" i="9"/>
  <c r="K57" i="9"/>
  <c r="K54" i="9"/>
  <c r="K56" i="9" s="1"/>
  <c r="K46" i="9"/>
  <c r="K30" i="9"/>
  <c r="K27" i="9"/>
  <c r="K25" i="9"/>
  <c r="K71" i="8"/>
  <c r="K45" i="8"/>
  <c r="K46" i="8" s="1"/>
  <c r="K66" i="8" s="1"/>
  <c r="K29" i="8"/>
  <c r="K28" i="8"/>
  <c r="K27" i="8"/>
  <c r="K60" i="8" s="1"/>
  <c r="K26" i="8"/>
  <c r="K52" i="8" s="1"/>
  <c r="K56" i="8" s="1"/>
  <c r="K15" i="8"/>
  <c r="BF82" i="11" l="1"/>
  <c r="AX138" i="10"/>
  <c r="AX145" i="10" s="1"/>
  <c r="BF136" i="10"/>
  <c r="BF138" i="10" s="1"/>
  <c r="J112" i="17"/>
  <c r="AB112" i="9"/>
  <c r="AF112" i="9" s="1"/>
  <c r="AJ112" i="9" s="1"/>
  <c r="AP112" i="9" s="1"/>
  <c r="AT112" i="9" s="1"/>
  <c r="AX112" i="9" s="1"/>
  <c r="BF112" i="9" s="1"/>
  <c r="U54" i="48"/>
  <c r="AB105" i="9"/>
  <c r="AF105" i="9" s="1"/>
  <c r="AJ105" i="9" s="1"/>
  <c r="AP105" i="9" s="1"/>
  <c r="AT105" i="9" s="1"/>
  <c r="AX105" i="9" s="1"/>
  <c r="BF105" i="9" s="1"/>
  <c r="U47" i="48"/>
  <c r="AB108" i="9"/>
  <c r="AF108" i="9" s="1"/>
  <c r="AJ108" i="9" s="1"/>
  <c r="AP108" i="9" s="1"/>
  <c r="AT108" i="9" s="1"/>
  <c r="AX108" i="9" s="1"/>
  <c r="BF108" i="9" s="1"/>
  <c r="U48" i="48"/>
  <c r="AB104" i="9"/>
  <c r="AF104" i="9" s="1"/>
  <c r="AJ104" i="9" s="1"/>
  <c r="AP104" i="9" s="1"/>
  <c r="AT104" i="9" s="1"/>
  <c r="AX104" i="9" s="1"/>
  <c r="BF104" i="9" s="1"/>
  <c r="U49" i="48"/>
  <c r="J49" i="17"/>
  <c r="J53" i="17" s="1"/>
  <c r="AB110" i="9"/>
  <c r="AF110" i="9" s="1"/>
  <c r="AJ110" i="9" s="1"/>
  <c r="AP110" i="9" s="1"/>
  <c r="AT110" i="9" s="1"/>
  <c r="AX110" i="9" s="1"/>
  <c r="BF110" i="9" s="1"/>
  <c r="U50" i="48"/>
  <c r="AB107" i="9"/>
  <c r="AF107" i="9" s="1"/>
  <c r="AJ107" i="9" s="1"/>
  <c r="AP107" i="9" s="1"/>
  <c r="AT107" i="9" s="1"/>
  <c r="AX107" i="9" s="1"/>
  <c r="BF107" i="9" s="1"/>
  <c r="U55" i="48"/>
  <c r="AB106" i="9"/>
  <c r="AF106" i="9" s="1"/>
  <c r="AJ106" i="9" s="1"/>
  <c r="AP106" i="9" s="1"/>
  <c r="AT106" i="9" s="1"/>
  <c r="AX106" i="9" s="1"/>
  <c r="BF106" i="9" s="1"/>
  <c r="U53" i="48"/>
  <c r="J10" i="17"/>
  <c r="J21" i="17"/>
  <c r="J32" i="17" s="1"/>
  <c r="J58" i="17"/>
  <c r="J61" i="17" s="1"/>
  <c r="L34" i="9"/>
  <c r="L40" i="9" s="1"/>
  <c r="J115" i="17"/>
  <c r="L10" i="9"/>
  <c r="L45" i="9"/>
  <c r="J54" i="17"/>
  <c r="K28" i="9"/>
  <c r="K83" i="9" s="1"/>
  <c r="K33" i="8"/>
  <c r="K34" i="8"/>
  <c r="BF145" i="10" l="1"/>
  <c r="J110" i="17"/>
  <c r="J114" i="17" s="1"/>
  <c r="AA50" i="48"/>
  <c r="AA55" i="48"/>
  <c r="AA48" i="48"/>
  <c r="AA53" i="48"/>
  <c r="AA49" i="48"/>
  <c r="AA47" i="48"/>
  <c r="AA54" i="48"/>
  <c r="J59" i="17"/>
  <c r="J33" i="17"/>
  <c r="J30" i="17"/>
  <c r="J31" i="17"/>
  <c r="L14" i="9"/>
  <c r="K29" i="9"/>
  <c r="AE47" i="48" l="1"/>
  <c r="AE53" i="48"/>
  <c r="AE48" i="48"/>
  <c r="AE55" i="48"/>
  <c r="AE54" i="48"/>
  <c r="AE49" i="48"/>
  <c r="AE50" i="48"/>
  <c r="M14" i="39"/>
  <c r="AI49" i="48" l="1"/>
  <c r="AI55" i="48"/>
  <c r="AI53" i="48"/>
  <c r="AI50" i="48"/>
  <c r="AI54" i="48"/>
  <c r="AI48" i="48"/>
  <c r="AI47" i="48"/>
  <c r="L69" i="7"/>
  <c r="L58" i="7"/>
  <c r="K58" i="7"/>
  <c r="K60" i="7" s="1"/>
  <c r="L156" i="6"/>
  <c r="L130" i="6"/>
  <c r="AO48" i="48" l="1"/>
  <c r="AO50" i="48"/>
  <c r="AO55" i="48"/>
  <c r="AO47" i="48"/>
  <c r="AO54" i="48"/>
  <c r="AO53" i="48"/>
  <c r="AO49" i="48"/>
  <c r="L60" i="7"/>
  <c r="L62" i="7"/>
  <c r="AS47" i="48" l="1"/>
  <c r="AS53" i="48"/>
  <c r="AS50" i="48"/>
  <c r="AS49" i="48"/>
  <c r="AS54" i="48"/>
  <c r="AS55" i="48"/>
  <c r="AS48" i="48"/>
  <c r="Q52" i="38"/>
  <c r="O52" i="38"/>
  <c r="L66" i="11"/>
  <c r="L67" i="11" s="1"/>
  <c r="L64" i="11"/>
  <c r="K64" i="11"/>
  <c r="K62" i="11"/>
  <c r="N48" i="59" s="1"/>
  <c r="K59" i="11"/>
  <c r="K60" i="11" s="1"/>
  <c r="S32" i="50" l="1"/>
  <c r="W32" i="50" s="1"/>
  <c r="L84" i="11"/>
  <c r="J85" i="11"/>
  <c r="M33" i="50" l="1"/>
  <c r="L134" i="10"/>
  <c r="O45" i="59" s="1"/>
  <c r="L86" i="11"/>
  <c r="L88" i="11"/>
  <c r="J77" i="11"/>
  <c r="R54" i="11"/>
  <c r="N85" i="11"/>
  <c r="L129" i="10"/>
  <c r="L130" i="10" s="1"/>
  <c r="L127" i="10"/>
  <c r="K127" i="10"/>
  <c r="K125" i="10"/>
  <c r="N44" i="59" s="1"/>
  <c r="K122" i="10"/>
  <c r="K123" i="10" s="1"/>
  <c r="O33" i="50" l="1"/>
  <c r="S33" i="50" s="1"/>
  <c r="L119" i="10"/>
  <c r="L120" i="10" s="1"/>
  <c r="M71" i="50"/>
  <c r="R85" i="11"/>
  <c r="R77" i="11"/>
  <c r="N77" i="11"/>
  <c r="J148" i="10"/>
  <c r="L71" i="11"/>
  <c r="O49" i="59" s="1"/>
  <c r="K71" i="11"/>
  <c r="N49" i="59" s="1"/>
  <c r="K134" i="10"/>
  <c r="N45" i="59" s="1"/>
  <c r="E115" i="10"/>
  <c r="AC33" i="50" l="1"/>
  <c r="N119" i="10"/>
  <c r="N120" i="10" s="1"/>
  <c r="W33" i="50"/>
  <c r="V119" i="10" s="1"/>
  <c r="V120" i="10" s="1"/>
  <c r="R119" i="10"/>
  <c r="R120" i="10" s="1"/>
  <c r="M72" i="50"/>
  <c r="O71" i="50"/>
  <c r="AC71" i="50" s="1"/>
  <c r="AG71" i="50" s="1"/>
  <c r="AK71" i="50" s="1"/>
  <c r="E116" i="10"/>
  <c r="E118" i="10" s="1"/>
  <c r="J140" i="10"/>
  <c r="N148" i="10"/>
  <c r="L19" i="35"/>
  <c r="F413" i="28"/>
  <c r="AB119" i="10" l="1"/>
  <c r="AB120" i="10" s="1"/>
  <c r="AG33" i="50"/>
  <c r="E21" i="36"/>
  <c r="H43" i="59"/>
  <c r="S71" i="50"/>
  <c r="N140" i="10"/>
  <c r="AF119" i="10" l="1"/>
  <c r="AF120" i="10" s="1"/>
  <c r="AK33" i="50"/>
  <c r="W71" i="50"/>
  <c r="P94" i="38"/>
  <c r="P93" i="38"/>
  <c r="P92" i="38"/>
  <c r="P91" i="38"/>
  <c r="O90" i="38"/>
  <c r="P89" i="38"/>
  <c r="O88" i="38"/>
  <c r="P86" i="38"/>
  <c r="P85" i="38"/>
  <c r="P84" i="38"/>
  <c r="P83" i="38"/>
  <c r="O82" i="38"/>
  <c r="P80" i="38"/>
  <c r="P79" i="38"/>
  <c r="P78" i="38"/>
  <c r="P77" i="38"/>
  <c r="P76" i="38"/>
  <c r="P75" i="38"/>
  <c r="P74" i="38"/>
  <c r="P73" i="38"/>
  <c r="P72" i="38"/>
  <c r="P71" i="38"/>
  <c r="P70" i="38"/>
  <c r="P69" i="38"/>
  <c r="P68" i="38"/>
  <c r="P67" i="38"/>
  <c r="O66" i="38"/>
  <c r="P62" i="38"/>
  <c r="P61" i="38"/>
  <c r="O60" i="38"/>
  <c r="P59" i="38"/>
  <c r="P58" i="38"/>
  <c r="P57" i="38"/>
  <c r="P56" i="38"/>
  <c r="P55" i="38"/>
  <c r="O54" i="38"/>
  <c r="O46" i="38"/>
  <c r="O45" i="38"/>
  <c r="O44" i="38"/>
  <c r="O43" i="38"/>
  <c r="P42" i="38"/>
  <c r="O41" i="38"/>
  <c r="P40" i="38"/>
  <c r="O38" i="38"/>
  <c r="O37" i="38"/>
  <c r="O36" i="38"/>
  <c r="O35" i="38"/>
  <c r="P34" i="38"/>
  <c r="O32" i="38"/>
  <c r="O31" i="38"/>
  <c r="O30" i="38"/>
  <c r="O29" i="38"/>
  <c r="O28" i="38"/>
  <c r="O27" i="38"/>
  <c r="L56" i="45" s="1"/>
  <c r="L57" i="45" s="1"/>
  <c r="O26" i="38"/>
  <c r="O25" i="38"/>
  <c r="O24" i="38"/>
  <c r="O23" i="38"/>
  <c r="O22" i="38"/>
  <c r="O21" i="38"/>
  <c r="K69" i="7" s="1"/>
  <c r="O20" i="38"/>
  <c r="O19" i="38"/>
  <c r="P18" i="38"/>
  <c r="O14" i="38"/>
  <c r="O13" i="38"/>
  <c r="P12" i="38"/>
  <c r="O11" i="38"/>
  <c r="O10" i="38"/>
  <c r="O9" i="38"/>
  <c r="O8" i="38"/>
  <c r="O7" i="38"/>
  <c r="P6" i="38"/>
  <c r="AJ119" i="10" l="1"/>
  <c r="AJ120" i="10" s="1"/>
  <c r="AP119" i="10"/>
  <c r="AP120" i="10" s="1"/>
  <c r="K77" i="8"/>
  <c r="K78" i="8" s="1"/>
  <c r="K130" i="6"/>
  <c r="K156" i="6"/>
  <c r="K94" i="9"/>
  <c r="K95" i="9" s="1"/>
  <c r="P90" i="38"/>
  <c r="P39" i="38"/>
  <c r="P82" i="38"/>
  <c r="P17" i="38"/>
  <c r="P60" i="38"/>
  <c r="P15" i="38"/>
  <c r="O34" i="38"/>
  <c r="O87" i="38"/>
  <c r="O64" i="38" s="1"/>
  <c r="O42" i="38"/>
  <c r="O40" i="38"/>
  <c r="O18" i="38"/>
  <c r="K129" i="10"/>
  <c r="K130" i="10" s="1"/>
  <c r="K66" i="11"/>
  <c r="K67" i="11" s="1"/>
  <c r="O12" i="38"/>
  <c r="O6" i="38"/>
  <c r="O63" i="38"/>
  <c r="P54" i="38"/>
  <c r="P66" i="38"/>
  <c r="P88" i="38"/>
  <c r="R218" i="28"/>
  <c r="V218" i="28" l="1"/>
  <c r="L26" i="36"/>
  <c r="P16" i="38"/>
  <c r="P64" i="38" s="1"/>
  <c r="P87" i="38"/>
  <c r="P65" i="38"/>
  <c r="P63" i="38"/>
  <c r="O15" i="38"/>
  <c r="O39" i="38"/>
  <c r="O17" i="38"/>
  <c r="L427" i="28"/>
  <c r="L424" i="28"/>
  <c r="L420" i="28"/>
  <c r="L64" i="28"/>
  <c r="L65" i="28"/>
  <c r="L58" i="28"/>
  <c r="L451" i="28" s="1"/>
  <c r="L54" i="28"/>
  <c r="L447" i="28" s="1"/>
  <c r="L50" i="28"/>
  <c r="L443" i="28" s="1"/>
  <c r="L36" i="28"/>
  <c r="L35" i="28"/>
  <c r="L34" i="28"/>
  <c r="L33" i="28"/>
  <c r="L31" i="28"/>
  <c r="L24" i="28"/>
  <c r="L18" i="28"/>
  <c r="L11" i="28"/>
  <c r="G45" i="8"/>
  <c r="E45" i="8"/>
  <c r="L44" i="28" l="1"/>
  <c r="L456" i="28"/>
  <c r="L41" i="28"/>
  <c r="L444" i="28"/>
  <c r="L442" i="28"/>
  <c r="L42" i="28"/>
  <c r="L446" i="28"/>
  <c r="L448" i="28"/>
  <c r="L43" i="28"/>
  <c r="L452" i="28"/>
  <c r="L450" i="28"/>
  <c r="AB218" i="28"/>
  <c r="L433" i="28"/>
  <c r="L440" i="28"/>
  <c r="L439" i="28"/>
  <c r="O16" i="38"/>
  <c r="L66" i="28"/>
  <c r="L67" i="28" s="1"/>
  <c r="L62" i="28"/>
  <c r="L454" i="28" s="1"/>
  <c r="L38" i="28"/>
  <c r="L459" i="28" s="1"/>
  <c r="L45" i="28" l="1"/>
  <c r="L460" i="28" s="1"/>
  <c r="L39" i="28"/>
  <c r="L434" i="28"/>
  <c r="L455" i="28"/>
  <c r="AF218" i="28"/>
  <c r="J31" i="8"/>
  <c r="I31" i="8"/>
  <c r="AJ218" i="28" l="1"/>
  <c r="K168" i="6"/>
  <c r="K167" i="6"/>
  <c r="K169" i="6"/>
  <c r="K166" i="6"/>
  <c r="L168" i="6"/>
  <c r="L169" i="6"/>
  <c r="L166" i="6"/>
  <c r="L167" i="6"/>
  <c r="L162" i="6"/>
  <c r="N31" i="8"/>
  <c r="J10" i="49"/>
  <c r="M31" i="8"/>
  <c r="I10" i="49"/>
  <c r="K175" i="6"/>
  <c r="K171" i="6"/>
  <c r="L177" i="6"/>
  <c r="L176" i="6"/>
  <c r="L175" i="6"/>
  <c r="K172" i="6"/>
  <c r="AP218" i="28" l="1"/>
  <c r="Q31" i="8"/>
  <c r="U31" i="8" s="1"/>
  <c r="M10" i="49"/>
  <c r="R31" i="8"/>
  <c r="N10" i="49"/>
  <c r="K173" i="6"/>
  <c r="L178" i="6"/>
  <c r="K178" i="6"/>
  <c r="K170" i="6"/>
  <c r="AT218" i="28" l="1"/>
  <c r="V31" i="8"/>
  <c r="V10" i="49" s="1"/>
  <c r="R10" i="49"/>
  <c r="AB31" i="8"/>
  <c r="AF31" i="8" s="1"/>
  <c r="Q10" i="49"/>
  <c r="K174" i="6"/>
  <c r="K179" i="6" s="1"/>
  <c r="BF215" i="28"/>
  <c r="AF10" i="49" l="1"/>
  <c r="AJ31" i="8"/>
  <c r="AJ10" i="49" s="1"/>
  <c r="AX218" i="28"/>
  <c r="BF218" i="28" s="1"/>
  <c r="AP31" i="8"/>
  <c r="AT31" i="8" s="1"/>
  <c r="AX31" i="8" s="1"/>
  <c r="AX10" i="49" s="1"/>
  <c r="AB10" i="49"/>
  <c r="AA31" i="8"/>
  <c r="AE31" i="8" s="1"/>
  <c r="U10" i="49"/>
  <c r="L48" i="9"/>
  <c r="AE10" i="49" l="1"/>
  <c r="AI31" i="8"/>
  <c r="AI10" i="49" s="1"/>
  <c r="AP10" i="49"/>
  <c r="AO31" i="8"/>
  <c r="AS31" i="8" s="1"/>
  <c r="AW31" i="8" s="1"/>
  <c r="AW10" i="49" s="1"/>
  <c r="AA10" i="49"/>
  <c r="L70" i="9"/>
  <c r="L71" i="9"/>
  <c r="L81" i="9"/>
  <c r="L77" i="9"/>
  <c r="O41" i="59" s="1"/>
  <c r="L73" i="9"/>
  <c r="L80" i="9"/>
  <c r="L76" i="9"/>
  <c r="L72" i="9"/>
  <c r="L82" i="9"/>
  <c r="O40" i="59" s="1"/>
  <c r="L74" i="9"/>
  <c r="L79" i="9"/>
  <c r="L75" i="9"/>
  <c r="L69" i="9"/>
  <c r="L78" i="9"/>
  <c r="L52" i="9"/>
  <c r="L51" i="9"/>
  <c r="O39" i="59" s="1"/>
  <c r="N31" i="36"/>
  <c r="AB31" i="36" s="1"/>
  <c r="M31" i="36"/>
  <c r="AA31" i="36" s="1"/>
  <c r="BF31" i="8" l="1"/>
  <c r="BF10" i="49" s="1"/>
  <c r="AT10" i="49"/>
  <c r="AO10" i="49"/>
  <c r="N44" i="36"/>
  <c r="AB44" i="36" s="1"/>
  <c r="N45" i="36"/>
  <c r="AB45" i="36" s="1"/>
  <c r="N48" i="36"/>
  <c r="AB48" i="36" s="1"/>
  <c r="N49" i="36"/>
  <c r="AB49" i="36" s="1"/>
  <c r="M43" i="36"/>
  <c r="AA43" i="36" s="1"/>
  <c r="N43" i="36"/>
  <c r="AB43" i="36" s="1"/>
  <c r="F55" i="36"/>
  <c r="F54" i="36"/>
  <c r="F51" i="36"/>
  <c r="F53" i="36" s="1"/>
  <c r="L33" i="36"/>
  <c r="K33" i="36"/>
  <c r="L17" i="36"/>
  <c r="O36" i="59" s="1"/>
  <c r="L16" i="36"/>
  <c r="O35" i="59" s="1"/>
  <c r="K29" i="21"/>
  <c r="K12" i="21"/>
  <c r="K22" i="21" s="1"/>
  <c r="K37" i="35"/>
  <c r="K40" i="35"/>
  <c r="K39" i="35"/>
  <c r="L24" i="35"/>
  <c r="K24" i="35"/>
  <c r="L15" i="35"/>
  <c r="K15" i="35"/>
  <c r="K10" i="35"/>
  <c r="K5" i="36" s="1"/>
  <c r="N6" i="59" s="1"/>
  <c r="K9" i="35"/>
  <c r="K8" i="35"/>
  <c r="L7" i="35"/>
  <c r="L6" i="6" s="1"/>
  <c r="L6" i="35"/>
  <c r="L5" i="6" s="1"/>
  <c r="AB47" i="36" l="1"/>
  <c r="BE31" i="8"/>
  <c r="BE10" i="49" s="1"/>
  <c r="AS10" i="49"/>
  <c r="K12" i="49"/>
  <c r="R49" i="36"/>
  <c r="V49" i="36" s="1"/>
  <c r="AF49" i="36"/>
  <c r="AJ49" i="36" s="1"/>
  <c r="R48" i="36"/>
  <c r="V48" i="36" s="1"/>
  <c r="AF48" i="36"/>
  <c r="AJ48" i="36" s="1"/>
  <c r="R45" i="36"/>
  <c r="V45" i="36" s="1"/>
  <c r="AF45" i="36"/>
  <c r="AJ45" i="36" s="1"/>
  <c r="R43" i="36"/>
  <c r="V43" i="36" s="1"/>
  <c r="AF43" i="36"/>
  <c r="AJ43" i="36" s="1"/>
  <c r="Q43" i="36"/>
  <c r="U43" i="36" s="1"/>
  <c r="AE43" i="36"/>
  <c r="AI43" i="36" s="1"/>
  <c r="R44" i="36"/>
  <c r="V44" i="36" s="1"/>
  <c r="AF44" i="36"/>
  <c r="AJ44" i="36" s="1"/>
  <c r="R47" i="36"/>
  <c r="K85" i="9"/>
  <c r="K22" i="9" s="1"/>
  <c r="K44" i="36"/>
  <c r="F19" i="36"/>
  <c r="I38" i="59" s="1"/>
  <c r="K34" i="36"/>
  <c r="K35" i="36" s="1"/>
  <c r="K36" i="36" s="1"/>
  <c r="K39" i="36" s="1"/>
  <c r="L34" i="36"/>
  <c r="L35" i="36" s="1"/>
  <c r="L36" i="36" s="1"/>
  <c r="L25" i="36"/>
  <c r="O55" i="59" s="1"/>
  <c r="K11" i="35"/>
  <c r="K44" i="35"/>
  <c r="L19" i="36"/>
  <c r="O38" i="59" s="1"/>
  <c r="N47" i="36"/>
  <c r="H19" i="36"/>
  <c r="K38" i="59" s="1"/>
  <c r="K18" i="36"/>
  <c r="N37" i="59" s="1"/>
  <c r="AP49" i="36"/>
  <c r="L18" i="36"/>
  <c r="O37" i="59" s="1"/>
  <c r="K15" i="21"/>
  <c r="L8" i="35"/>
  <c r="AT49" i="36" l="1"/>
  <c r="AX49" i="36" s="1"/>
  <c r="BF49" i="36" s="1"/>
  <c r="AJ47" i="36"/>
  <c r="AF47" i="36"/>
  <c r="AP48" i="36"/>
  <c r="K86" i="9"/>
  <c r="V47" i="36"/>
  <c r="L39" i="36"/>
  <c r="L30" i="36" s="1"/>
  <c r="O59" i="59" s="1"/>
  <c r="AP43" i="36"/>
  <c r="K30" i="36"/>
  <c r="N59" i="59" s="1"/>
  <c r="AT48" i="36" l="1"/>
  <c r="AX48" i="36" s="1"/>
  <c r="BF48" i="36" s="1"/>
  <c r="AT43" i="36"/>
  <c r="AX43" i="36" s="1"/>
  <c r="AP45" i="36"/>
  <c r="AP44" i="36"/>
  <c r="AO43" i="36"/>
  <c r="BF43" i="36" l="1"/>
  <c r="AT45" i="36"/>
  <c r="AT47" i="36" s="1"/>
  <c r="AS43" i="36"/>
  <c r="AW43" i="36" s="1"/>
  <c r="BE43" i="36" s="1"/>
  <c r="AT44" i="36"/>
  <c r="AX44" i="36" s="1"/>
  <c r="BF44" i="36" s="1"/>
  <c r="AP47" i="36"/>
  <c r="AX45" i="36" l="1"/>
  <c r="BF45" i="36" s="1"/>
  <c r="R6" i="40"/>
  <c r="AX47" i="36" l="1"/>
  <c r="BF47" i="36"/>
  <c r="Q8" i="40"/>
  <c r="P8" i="40"/>
  <c r="Q2" i="40"/>
  <c r="S2" i="40"/>
  <c r="F14" i="22" l="1"/>
  <c r="F59" i="22" s="1"/>
  <c r="F60" i="22" s="1"/>
  <c r="F61" i="22" s="1"/>
  <c r="E37" i="48" s="1"/>
  <c r="F10" i="22"/>
  <c r="K34" i="39" l="1"/>
  <c r="O34" i="39" s="1"/>
  <c r="S34" i="39" s="1"/>
  <c r="W34" i="39" s="1"/>
  <c r="AC34" i="39" s="1"/>
  <c r="AG34" i="39" s="1"/>
  <c r="AK34" i="39" s="1"/>
  <c r="AQ34" i="39" s="1"/>
  <c r="AU34" i="39" s="1"/>
  <c r="AY34" i="39" s="1"/>
  <c r="BG34" i="39" s="1"/>
  <c r="K33" i="39"/>
  <c r="O33" i="39" s="1"/>
  <c r="S33" i="39" s="1"/>
  <c r="W33" i="39" s="1"/>
  <c r="AC33" i="39" s="1"/>
  <c r="AG33" i="39" s="1"/>
  <c r="AK33" i="39" s="1"/>
  <c r="AQ33" i="39" s="1"/>
  <c r="AU33" i="39" s="1"/>
  <c r="AY33" i="39" s="1"/>
  <c r="BG33" i="39" s="1"/>
  <c r="K32" i="39"/>
  <c r="O32" i="39" s="1"/>
  <c r="S32" i="39" s="1"/>
  <c r="W32" i="39" s="1"/>
  <c r="AC32" i="39" s="1"/>
  <c r="AG32" i="39" s="1"/>
  <c r="AK32" i="39" s="1"/>
  <c r="AQ32" i="39" s="1"/>
  <c r="AU32" i="39" s="1"/>
  <c r="AY32" i="39" s="1"/>
  <c r="BG32" i="39" s="1"/>
  <c r="K31" i="39"/>
  <c r="O31" i="39" s="1"/>
  <c r="S31" i="39" s="1"/>
  <c r="W31" i="39" s="1"/>
  <c r="AC31" i="39" s="1"/>
  <c r="AG31" i="39" s="1"/>
  <c r="AK31" i="39" s="1"/>
  <c r="AQ31" i="39" s="1"/>
  <c r="AU31" i="39" s="1"/>
  <c r="AY31" i="39" s="1"/>
  <c r="BG31" i="39" s="1"/>
  <c r="K30" i="39"/>
  <c r="O30" i="39" s="1"/>
  <c r="S30" i="39" s="1"/>
  <c r="W30" i="39" s="1"/>
  <c r="AC30" i="39" s="1"/>
  <c r="AG30" i="39" s="1"/>
  <c r="AK30" i="39" s="1"/>
  <c r="AQ30" i="39" s="1"/>
  <c r="AU30" i="39" s="1"/>
  <c r="AY30" i="39" s="1"/>
  <c r="BG30" i="39" s="1"/>
  <c r="K29" i="39"/>
  <c r="O29" i="39" s="1"/>
  <c r="S29" i="39" s="1"/>
  <c r="W29" i="39" s="1"/>
  <c r="AC29" i="39" s="1"/>
  <c r="AG29" i="39" s="1"/>
  <c r="AK29" i="39" s="1"/>
  <c r="AQ29" i="39" s="1"/>
  <c r="AU29" i="39" s="1"/>
  <c r="AY29" i="39" s="1"/>
  <c r="BG29" i="39" s="1"/>
  <c r="K28" i="39"/>
  <c r="O28" i="39" s="1"/>
  <c r="S28" i="39" s="1"/>
  <c r="W28" i="39" s="1"/>
  <c r="AC28" i="39" s="1"/>
  <c r="AG28" i="39" s="1"/>
  <c r="AK28" i="39" s="1"/>
  <c r="AQ28" i="39" s="1"/>
  <c r="AU28" i="39" s="1"/>
  <c r="AY28" i="39" s="1"/>
  <c r="BG28" i="39" s="1"/>
  <c r="K24" i="39"/>
  <c r="O24" i="39" s="1"/>
  <c r="S24" i="39" s="1"/>
  <c r="W24" i="39" s="1"/>
  <c r="AC24" i="39" s="1"/>
  <c r="AG24" i="39" s="1"/>
  <c r="AK24" i="39" s="1"/>
  <c r="AQ24" i="39" s="1"/>
  <c r="AU24" i="39" s="1"/>
  <c r="AY24" i="39" s="1"/>
  <c r="BG24" i="39" s="1"/>
  <c r="K23" i="39"/>
  <c r="O23" i="39" s="1"/>
  <c r="S23" i="39" s="1"/>
  <c r="W23" i="39" s="1"/>
  <c r="AC23" i="39" s="1"/>
  <c r="AG23" i="39" s="1"/>
  <c r="AK23" i="39" s="1"/>
  <c r="AQ23" i="39" s="1"/>
  <c r="AU23" i="39" s="1"/>
  <c r="AY23" i="39" s="1"/>
  <c r="BG23" i="39" s="1"/>
  <c r="K22" i="39"/>
  <c r="O22" i="39" s="1"/>
  <c r="S22" i="39" s="1"/>
  <c r="W22" i="39" s="1"/>
  <c r="AC22" i="39" s="1"/>
  <c r="AG22" i="39" s="1"/>
  <c r="AK22" i="39" s="1"/>
  <c r="AQ22" i="39" s="1"/>
  <c r="AU22" i="39" s="1"/>
  <c r="AY22" i="39" s="1"/>
  <c r="BG22" i="39" s="1"/>
  <c r="K17" i="39"/>
  <c r="O17" i="39" s="1"/>
  <c r="S17" i="39" s="1"/>
  <c r="W17" i="39" s="1"/>
  <c r="AC17" i="39" s="1"/>
  <c r="AG17" i="39" s="1"/>
  <c r="AK17" i="39" s="1"/>
  <c r="AQ17" i="39" s="1"/>
  <c r="AU17" i="39" s="1"/>
  <c r="AY17" i="39" s="1"/>
  <c r="BG17" i="39" s="1"/>
  <c r="K19" i="39"/>
  <c r="O19" i="39" s="1"/>
  <c r="S19" i="39" s="1"/>
  <c r="W19" i="39" s="1"/>
  <c r="AC19" i="39" s="1"/>
  <c r="AG19" i="39" s="1"/>
  <c r="AK19" i="39" s="1"/>
  <c r="AQ19" i="39" s="1"/>
  <c r="AU19" i="39" s="1"/>
  <c r="AY19" i="39" s="1"/>
  <c r="BG19" i="39" s="1"/>
  <c r="K12" i="39"/>
  <c r="O12" i="39" s="1"/>
  <c r="S12" i="39" s="1"/>
  <c r="W12" i="39" s="1"/>
  <c r="AC12" i="39" s="1"/>
  <c r="AG12" i="39" s="1"/>
  <c r="AK12" i="39" s="1"/>
  <c r="AQ12" i="39" s="1"/>
  <c r="AU12" i="39" s="1"/>
  <c r="AY12" i="39" s="1"/>
  <c r="BG12" i="39" s="1"/>
  <c r="K5" i="39" l="1"/>
  <c r="O5" i="39" s="1"/>
  <c r="S5" i="39" s="1"/>
  <c r="W5" i="39" s="1"/>
  <c r="K6" i="39"/>
  <c r="O6" i="39" s="1"/>
  <c r="S6" i="39" s="1"/>
  <c r="W6" i="39" s="1"/>
  <c r="AC6" i="39" s="1"/>
  <c r="AG6" i="39" s="1"/>
  <c r="AK6" i="39" s="1"/>
  <c r="AQ6" i="39" s="1"/>
  <c r="AU6" i="39" s="1"/>
  <c r="AY6" i="39" s="1"/>
  <c r="BG6" i="39" s="1"/>
  <c r="BJ6" i="39" s="1"/>
  <c r="K7" i="39"/>
  <c r="O7" i="39" s="1"/>
  <c r="S7" i="39" s="1"/>
  <c r="W7" i="39" s="1"/>
  <c r="AC7" i="39" s="1"/>
  <c r="AG7" i="39" s="1"/>
  <c r="AK7" i="39" s="1"/>
  <c r="AQ7" i="39" s="1"/>
  <c r="AU7" i="39" s="1"/>
  <c r="AY7" i="39" s="1"/>
  <c r="BG7" i="39" s="1"/>
  <c r="K8" i="39"/>
  <c r="O8" i="39" s="1"/>
  <c r="S8" i="39" s="1"/>
  <c r="W8" i="39" s="1"/>
  <c r="AC8" i="39" s="1"/>
  <c r="AG8" i="39" s="1"/>
  <c r="AK8" i="39" s="1"/>
  <c r="AQ8" i="39" s="1"/>
  <c r="AU8" i="39" s="1"/>
  <c r="AY8" i="39" s="1"/>
  <c r="BG8" i="39" s="1"/>
  <c r="K9" i="39"/>
  <c r="O9" i="39" s="1"/>
  <c r="S9" i="39" s="1"/>
  <c r="W9" i="39" s="1"/>
  <c r="AC9" i="39" s="1"/>
  <c r="AG9" i="39" s="1"/>
  <c r="AK9" i="39" s="1"/>
  <c r="AQ9" i="39" s="1"/>
  <c r="AU9" i="39" s="1"/>
  <c r="AY9" i="39" s="1"/>
  <c r="BG9" i="39" s="1"/>
  <c r="K10" i="39"/>
  <c r="O10" i="39" s="1"/>
  <c r="S10" i="39" s="1"/>
  <c r="W10" i="39" s="1"/>
  <c r="AC10" i="39" s="1"/>
  <c r="AG10" i="39" s="1"/>
  <c r="AK10" i="39" s="1"/>
  <c r="AQ10" i="39" s="1"/>
  <c r="AU10" i="39" s="1"/>
  <c r="AY10" i="39" s="1"/>
  <c r="BG10" i="39" s="1"/>
  <c r="K11" i="39"/>
  <c r="O11" i="39" s="1"/>
  <c r="S11" i="39" s="1"/>
  <c r="W11" i="39" s="1"/>
  <c r="AC11" i="39" s="1"/>
  <c r="AG11" i="39" s="1"/>
  <c r="AK11" i="39" s="1"/>
  <c r="AQ11" i="39" s="1"/>
  <c r="AU11" i="39" s="1"/>
  <c r="AY11" i="39" s="1"/>
  <c r="BG11" i="39" s="1"/>
  <c r="K13" i="39"/>
  <c r="O13" i="39" s="1"/>
  <c r="S13" i="39" s="1"/>
  <c r="W13" i="39" s="1"/>
  <c r="AC13" i="39" s="1"/>
  <c r="AG13" i="39" s="1"/>
  <c r="AK13" i="39" s="1"/>
  <c r="AQ13" i="39" s="1"/>
  <c r="AU13" i="39" s="1"/>
  <c r="AY13" i="39" s="1"/>
  <c r="BG13" i="39" s="1"/>
  <c r="K4" i="39"/>
  <c r="O4" i="39" s="1"/>
  <c r="S4" i="39" s="1"/>
  <c r="W4" i="39" s="1"/>
  <c r="I14" i="39"/>
  <c r="G14" i="39"/>
  <c r="J102" i="9"/>
  <c r="G67" i="9"/>
  <c r="G66" i="9"/>
  <c r="G65" i="9"/>
  <c r="G64" i="9"/>
  <c r="G63" i="9"/>
  <c r="G62" i="9"/>
  <c r="G61" i="9"/>
  <c r="G60" i="9"/>
  <c r="G58" i="9"/>
  <c r="G57" i="9"/>
  <c r="G54" i="9"/>
  <c r="G56" i="9" s="1"/>
  <c r="E67" i="9"/>
  <c r="E66" i="9"/>
  <c r="E65" i="9"/>
  <c r="E64" i="9"/>
  <c r="E63" i="9"/>
  <c r="E62" i="9"/>
  <c r="E61" i="9"/>
  <c r="E60" i="9"/>
  <c r="E58" i="9"/>
  <c r="E57" i="9"/>
  <c r="E54" i="9"/>
  <c r="E56" i="9" s="1"/>
  <c r="G90" i="9"/>
  <c r="G87" i="9"/>
  <c r="G46" i="9"/>
  <c r="G30" i="9"/>
  <c r="AC4" i="39" l="1"/>
  <c r="AG4" i="39" s="1"/>
  <c r="N102" i="9"/>
  <c r="I52" i="48"/>
  <c r="AC5" i="39"/>
  <c r="AG5" i="39" s="1"/>
  <c r="AK5" i="39" s="1"/>
  <c r="AQ5" i="39" s="1"/>
  <c r="AU5" i="39" s="1"/>
  <c r="AY5" i="39" s="1"/>
  <c r="BG5" i="39" s="1"/>
  <c r="BJ5" i="39" s="1"/>
  <c r="W14" i="39"/>
  <c r="S14" i="39"/>
  <c r="O14" i="39"/>
  <c r="K14" i="39"/>
  <c r="G28" i="9"/>
  <c r="AG14" i="39" l="1"/>
  <c r="AK4" i="39"/>
  <c r="R102" i="9"/>
  <c r="V102" i="9" s="1"/>
  <c r="M52" i="48"/>
  <c r="AC14" i="39"/>
  <c r="G83" i="9"/>
  <c r="G29" i="9"/>
  <c r="G52" i="6"/>
  <c r="G44" i="6"/>
  <c r="G41" i="6"/>
  <c r="G14" i="6"/>
  <c r="G13" i="6"/>
  <c r="G12" i="6"/>
  <c r="G11" i="6"/>
  <c r="G7" i="6"/>
  <c r="G29" i="8"/>
  <c r="G28" i="8"/>
  <c r="G27" i="8"/>
  <c r="G60" i="8" s="1"/>
  <c r="G26" i="8"/>
  <c r="G52" i="8" s="1"/>
  <c r="G56" i="8" s="1"/>
  <c r="G33" i="8" s="1"/>
  <c r="E27" i="8"/>
  <c r="E60" i="8" s="1"/>
  <c r="E28" i="8"/>
  <c r="E29" i="8"/>
  <c r="E26" i="8"/>
  <c r="E52" i="8" s="1"/>
  <c r="E56" i="8" s="1"/>
  <c r="G71" i="8"/>
  <c r="G46" i="8"/>
  <c r="G66" i="8" s="1"/>
  <c r="AK14" i="39" l="1"/>
  <c r="AQ4" i="39"/>
  <c r="G55" i="6"/>
  <c r="G126" i="6"/>
  <c r="G54" i="6"/>
  <c r="Q52" i="48"/>
  <c r="G24" i="6"/>
  <c r="G18" i="6"/>
  <c r="G27" i="6"/>
  <c r="G21" i="6"/>
  <c r="G26" i="6"/>
  <c r="G20" i="6"/>
  <c r="G23" i="6"/>
  <c r="G17" i="6"/>
  <c r="G151" i="6"/>
  <c r="G15" i="6"/>
  <c r="G34" i="8"/>
  <c r="F156" i="6"/>
  <c r="F130" i="6"/>
  <c r="F69" i="7"/>
  <c r="AU4" i="39" l="1"/>
  <c r="AQ14" i="39"/>
  <c r="G56" i="6"/>
  <c r="G113" i="6"/>
  <c r="AB102" i="9"/>
  <c r="AF102" i="9" s="1"/>
  <c r="AJ102" i="9" s="1"/>
  <c r="U52" i="48"/>
  <c r="G28" i="6"/>
  <c r="G29" i="6"/>
  <c r="G25" i="6"/>
  <c r="G22" i="6"/>
  <c r="G19" i="6"/>
  <c r="G30" i="6"/>
  <c r="G59" i="6"/>
  <c r="AU14" i="39" l="1"/>
  <c r="AY4" i="39"/>
  <c r="G110" i="6"/>
  <c r="G111" i="6"/>
  <c r="G135" i="6"/>
  <c r="G138" i="6"/>
  <c r="AA52" i="48"/>
  <c r="G136" i="6"/>
  <c r="H84" i="11"/>
  <c r="G31" i="6"/>
  <c r="H66" i="11"/>
  <c r="H67" i="11" s="1"/>
  <c r="G71" i="11"/>
  <c r="J49" i="59" s="1"/>
  <c r="F129" i="10"/>
  <c r="H129" i="10"/>
  <c r="I90" i="38"/>
  <c r="I88" i="38"/>
  <c r="I82" i="38"/>
  <c r="I60" i="38"/>
  <c r="I54" i="38"/>
  <c r="I66" i="38"/>
  <c r="K46" i="38"/>
  <c r="K45" i="38"/>
  <c r="K44" i="38"/>
  <c r="K43" i="38"/>
  <c r="K41" i="38"/>
  <c r="K40" i="38" s="1"/>
  <c r="K38" i="38"/>
  <c r="K37" i="38"/>
  <c r="K36" i="38"/>
  <c r="K35" i="38"/>
  <c r="G130" i="6" s="1"/>
  <c r="G131" i="6" s="1"/>
  <c r="K32" i="38"/>
  <c r="K31" i="38"/>
  <c r="K30" i="38"/>
  <c r="K29" i="38"/>
  <c r="K28" i="38"/>
  <c r="K27" i="38"/>
  <c r="H56" i="45" s="1"/>
  <c r="H57" i="45" s="1"/>
  <c r="K26" i="38"/>
  <c r="G66" i="11" s="1"/>
  <c r="G67" i="11" s="1"/>
  <c r="K25" i="38"/>
  <c r="G129" i="10" s="1"/>
  <c r="K24" i="38"/>
  <c r="K23" i="38"/>
  <c r="G94" i="9" s="1"/>
  <c r="G95" i="9" s="1"/>
  <c r="K22" i="38"/>
  <c r="G77" i="8" s="1"/>
  <c r="G78" i="8" s="1"/>
  <c r="K21" i="38"/>
  <c r="G69" i="7" s="1"/>
  <c r="K20" i="38"/>
  <c r="K19" i="38"/>
  <c r="K14" i="38"/>
  <c r="K13" i="38"/>
  <c r="K11" i="38"/>
  <c r="K10" i="38"/>
  <c r="K9" i="38"/>
  <c r="K8" i="38"/>
  <c r="K7" i="38"/>
  <c r="I46" i="38"/>
  <c r="I45" i="38"/>
  <c r="I44" i="38"/>
  <c r="I43" i="38"/>
  <c r="I41" i="38"/>
  <c r="I40" i="38" s="1"/>
  <c r="I38" i="38"/>
  <c r="I37" i="38"/>
  <c r="I36" i="38"/>
  <c r="E130" i="6"/>
  <c r="I32" i="38"/>
  <c r="I31" i="38"/>
  <c r="I30" i="38"/>
  <c r="I29" i="38"/>
  <c r="I28" i="38"/>
  <c r="I27" i="38"/>
  <c r="F56" i="45" s="1"/>
  <c r="I26" i="38"/>
  <c r="I25" i="38"/>
  <c r="I24" i="38"/>
  <c r="I23" i="38"/>
  <c r="I22" i="38"/>
  <c r="I21" i="38"/>
  <c r="E69" i="7" s="1"/>
  <c r="I20" i="38"/>
  <c r="I19" i="38"/>
  <c r="E156" i="6" s="1"/>
  <c r="I14" i="38"/>
  <c r="I13" i="38"/>
  <c r="I8" i="38"/>
  <c r="I9" i="38"/>
  <c r="I10" i="38"/>
  <c r="I11" i="38"/>
  <c r="I7" i="38"/>
  <c r="M3" i="38"/>
  <c r="N7" i="38"/>
  <c r="R7" i="38" s="1"/>
  <c r="V7" i="38" s="1"/>
  <c r="N8" i="38"/>
  <c r="R8" i="38" s="1"/>
  <c r="V8" i="38" s="1"/>
  <c r="N9" i="38"/>
  <c r="R9" i="38" s="1"/>
  <c r="V9" i="38" s="1"/>
  <c r="N10" i="38"/>
  <c r="R10" i="38" s="1"/>
  <c r="V10" i="38" s="1"/>
  <c r="N11" i="38"/>
  <c r="R11" i="38" s="1"/>
  <c r="V11" i="38" s="1"/>
  <c r="N13" i="38"/>
  <c r="R13" i="38" s="1"/>
  <c r="V13" i="38" s="1"/>
  <c r="N14" i="38"/>
  <c r="R14" i="38" s="1"/>
  <c r="V14" i="38" s="1"/>
  <c r="N19" i="38"/>
  <c r="N20" i="38"/>
  <c r="R20" i="38" s="1"/>
  <c r="V20" i="38" s="1"/>
  <c r="N21" i="38"/>
  <c r="R21" i="38" s="1"/>
  <c r="V21" i="38" s="1"/>
  <c r="N22" i="38"/>
  <c r="N23" i="38"/>
  <c r="R23" i="38" s="1"/>
  <c r="V23" i="38" s="1"/>
  <c r="N24" i="38"/>
  <c r="R24" i="38" s="1"/>
  <c r="V24" i="38" s="1"/>
  <c r="N25" i="38"/>
  <c r="R25" i="38" s="1"/>
  <c r="V25" i="38" s="1"/>
  <c r="N26" i="38"/>
  <c r="R26" i="38" s="1"/>
  <c r="V26" i="38" s="1"/>
  <c r="N27" i="38"/>
  <c r="R27" i="38" s="1"/>
  <c r="V27" i="38" s="1"/>
  <c r="N28" i="38"/>
  <c r="R28" i="38" s="1"/>
  <c r="V28" i="38" s="1"/>
  <c r="N29" i="38"/>
  <c r="R29" i="38" s="1"/>
  <c r="V29" i="38" s="1"/>
  <c r="N30" i="38"/>
  <c r="R30" i="38" s="1"/>
  <c r="V30" i="38" s="1"/>
  <c r="N31" i="38"/>
  <c r="R31" i="38" s="1"/>
  <c r="V31" i="38" s="1"/>
  <c r="N32" i="38"/>
  <c r="R32" i="38" s="1"/>
  <c r="V32" i="38" s="1"/>
  <c r="N35" i="38"/>
  <c r="N36" i="38"/>
  <c r="R36" i="38" s="1"/>
  <c r="V36" i="38" s="1"/>
  <c r="N37" i="38"/>
  <c r="R37" i="38" s="1"/>
  <c r="V37" i="38" s="1"/>
  <c r="N38" i="38"/>
  <c r="R38" i="38" s="1"/>
  <c r="V38" i="38" s="1"/>
  <c r="N41" i="38"/>
  <c r="R41" i="38" s="1"/>
  <c r="V41" i="38" s="1"/>
  <c r="N43" i="38"/>
  <c r="R43" i="38" s="1"/>
  <c r="V43" i="38" s="1"/>
  <c r="N44" i="38"/>
  <c r="R44" i="38" s="1"/>
  <c r="V44" i="38" s="1"/>
  <c r="N45" i="38"/>
  <c r="R45" i="38" s="1"/>
  <c r="V45" i="38" s="1"/>
  <c r="N46" i="38"/>
  <c r="R46" i="38" s="1"/>
  <c r="V46" i="38" s="1"/>
  <c r="BG4" i="39" l="1"/>
  <c r="AY14" i="39"/>
  <c r="G112" i="6"/>
  <c r="M43" i="38"/>
  <c r="G171" i="6"/>
  <c r="G168" i="6"/>
  <c r="G169" i="6"/>
  <c r="G166" i="6"/>
  <c r="G167" i="6"/>
  <c r="G137" i="6"/>
  <c r="G156" i="6"/>
  <c r="G157" i="6" s="1"/>
  <c r="G162" i="6"/>
  <c r="R35" i="38"/>
  <c r="V35" i="38" s="1"/>
  <c r="J130" i="6"/>
  <c r="R19" i="38"/>
  <c r="V19" i="38" s="1"/>
  <c r="J156" i="6"/>
  <c r="R22" i="38"/>
  <c r="V22" i="38" s="1"/>
  <c r="Z22" i="38" s="1"/>
  <c r="J77" i="8"/>
  <c r="M36" i="38"/>
  <c r="M11" i="38"/>
  <c r="Q11" i="38" s="1"/>
  <c r="U11" i="38" s="1"/>
  <c r="M25" i="38"/>
  <c r="Q25" i="38" s="1"/>
  <c r="M29" i="38"/>
  <c r="M77" i="38" s="1"/>
  <c r="K42" i="38"/>
  <c r="AE52" i="48"/>
  <c r="Q3" i="38"/>
  <c r="M51" i="38"/>
  <c r="F57" i="45"/>
  <c r="J56" i="45"/>
  <c r="G175" i="6"/>
  <c r="G172" i="6"/>
  <c r="M44" i="38"/>
  <c r="M92" i="38" s="1"/>
  <c r="M45" i="38"/>
  <c r="M93" i="38" s="1"/>
  <c r="I63" i="38"/>
  <c r="M20" i="38"/>
  <c r="M68" i="38" s="1"/>
  <c r="M24" i="38"/>
  <c r="Q24" i="38" s="1"/>
  <c r="M28" i="38"/>
  <c r="M76" i="38" s="1"/>
  <c r="Z38" i="38"/>
  <c r="Z28" i="38"/>
  <c r="Z11" i="38"/>
  <c r="Z37" i="38"/>
  <c r="Z31" i="38"/>
  <c r="Z27" i="38"/>
  <c r="Z23" i="38"/>
  <c r="Z19" i="38"/>
  <c r="Z10" i="38"/>
  <c r="M10" i="38"/>
  <c r="M58" i="38" s="1"/>
  <c r="Z24" i="38"/>
  <c r="Z7" i="38"/>
  <c r="Z44" i="38"/>
  <c r="Z43" i="38"/>
  <c r="Z36" i="38"/>
  <c r="Z30" i="38"/>
  <c r="Z26" i="38"/>
  <c r="Z14" i="38"/>
  <c r="Z9" i="38"/>
  <c r="Z45" i="38"/>
  <c r="Z32" i="38"/>
  <c r="Z20" i="38"/>
  <c r="Z46" i="38"/>
  <c r="Z41" i="38"/>
  <c r="Z35" i="38"/>
  <c r="Z29" i="38"/>
  <c r="Z25" i="38"/>
  <c r="Z21" i="38"/>
  <c r="Z13" i="38"/>
  <c r="Z8" i="38"/>
  <c r="I6" i="38"/>
  <c r="M14" i="38"/>
  <c r="M62" i="38" s="1"/>
  <c r="H88" i="11"/>
  <c r="H86" i="11"/>
  <c r="F130" i="10"/>
  <c r="J129" i="10"/>
  <c r="M73" i="38"/>
  <c r="E129" i="10"/>
  <c r="M91" i="38"/>
  <c r="Q43" i="38"/>
  <c r="M22" i="38"/>
  <c r="I77" i="8" s="1"/>
  <c r="E77" i="8"/>
  <c r="M26" i="38"/>
  <c r="M84" i="38"/>
  <c r="Q36" i="38"/>
  <c r="M32" i="38"/>
  <c r="Q45" i="38"/>
  <c r="Q44" i="38"/>
  <c r="M35" i="38"/>
  <c r="I130" i="6" s="1"/>
  <c r="M23" i="38"/>
  <c r="E94" i="9"/>
  <c r="K12" i="38"/>
  <c r="K34" i="38"/>
  <c r="M38" i="38"/>
  <c r="E66" i="11"/>
  <c r="H71" i="11"/>
  <c r="K49" i="59" s="1"/>
  <c r="M31" i="38"/>
  <c r="I87" i="38"/>
  <c r="I64" i="38" s="1"/>
  <c r="I34" i="38"/>
  <c r="I12" i="38"/>
  <c r="M30" i="38"/>
  <c r="M8" i="38"/>
  <c r="K6" i="38"/>
  <c r="K39" i="38"/>
  <c r="M46" i="38"/>
  <c r="M27" i="38"/>
  <c r="M21" i="38"/>
  <c r="M19" i="38"/>
  <c r="I156" i="6" s="1"/>
  <c r="I18" i="38"/>
  <c r="K18" i="38"/>
  <c r="M13" i="38"/>
  <c r="M9" i="38"/>
  <c r="M7" i="38"/>
  <c r="I42" i="38"/>
  <c r="I39" i="38" s="1"/>
  <c r="M41" i="38"/>
  <c r="M37" i="38"/>
  <c r="M40" i="38"/>
  <c r="N3" i="38"/>
  <c r="N51" i="38" s="1"/>
  <c r="J67" i="38"/>
  <c r="J62" i="38"/>
  <c r="J61" i="38"/>
  <c r="J59" i="38"/>
  <c r="J58" i="38"/>
  <c r="J57" i="38"/>
  <c r="J56" i="38"/>
  <c r="J55" i="38"/>
  <c r="J94" i="38"/>
  <c r="L93" i="38"/>
  <c r="J92" i="38"/>
  <c r="L91" i="38"/>
  <c r="L89" i="38"/>
  <c r="J40" i="38"/>
  <c r="L40" i="38"/>
  <c r="L86" i="38"/>
  <c r="J86" i="38"/>
  <c r="L85" i="38"/>
  <c r="J85" i="38"/>
  <c r="L84" i="38"/>
  <c r="J84" i="38"/>
  <c r="L83" i="38"/>
  <c r="J83" i="38"/>
  <c r="J34" i="38"/>
  <c r="J82" i="38" s="1"/>
  <c r="L80" i="38"/>
  <c r="J80" i="38"/>
  <c r="L79" i="38"/>
  <c r="J18" i="38"/>
  <c r="L78" i="38"/>
  <c r="L77" i="38"/>
  <c r="L76" i="38"/>
  <c r="L75" i="38"/>
  <c r="L74" i="38"/>
  <c r="L73" i="38"/>
  <c r="L72" i="38"/>
  <c r="L71" i="38"/>
  <c r="L70" i="38"/>
  <c r="L69" i="38"/>
  <c r="L68" i="38"/>
  <c r="L67" i="38"/>
  <c r="L18" i="38"/>
  <c r="L62" i="38"/>
  <c r="L61" i="38"/>
  <c r="L12" i="38"/>
  <c r="L60" i="38" s="1"/>
  <c r="L59" i="38"/>
  <c r="L58" i="38"/>
  <c r="L57" i="38"/>
  <c r="L56" i="38"/>
  <c r="L94" i="38"/>
  <c r="J93" i="38"/>
  <c r="E50" i="38"/>
  <c r="D50" i="38"/>
  <c r="BG14" i="39" l="1"/>
  <c r="BJ14" i="39" s="1"/>
  <c r="BJ4" i="39"/>
  <c r="Q20" i="38"/>
  <c r="M34" i="38"/>
  <c r="M82" i="38" s="1"/>
  <c r="Q10" i="38"/>
  <c r="N79" i="38"/>
  <c r="N67" i="38"/>
  <c r="N56" i="38"/>
  <c r="K17" i="38"/>
  <c r="G26" i="36" s="1"/>
  <c r="N68" i="38"/>
  <c r="N80" i="38"/>
  <c r="N57" i="38"/>
  <c r="N71" i="38"/>
  <c r="N86" i="38"/>
  <c r="N61" i="38"/>
  <c r="N72" i="38"/>
  <c r="N91" i="38"/>
  <c r="M59" i="38"/>
  <c r="G173" i="6"/>
  <c r="N76" i="38"/>
  <c r="N89" i="38"/>
  <c r="Q29" i="38"/>
  <c r="Q77" i="38" s="1"/>
  <c r="E52" i="38"/>
  <c r="E61" i="38"/>
  <c r="E64" i="38"/>
  <c r="E68" i="38"/>
  <c r="E72" i="38"/>
  <c r="G170" i="6"/>
  <c r="AP102" i="9"/>
  <c r="AT102" i="9" s="1"/>
  <c r="AX102" i="9" s="1"/>
  <c r="BF102" i="9" s="1"/>
  <c r="AI52" i="48"/>
  <c r="N75" i="38"/>
  <c r="N85" i="38"/>
  <c r="N94" i="38"/>
  <c r="Q51" i="38"/>
  <c r="U3" i="38"/>
  <c r="U59" i="38" s="1"/>
  <c r="J57" i="45"/>
  <c r="N56" i="45"/>
  <c r="AB56" i="45" s="1"/>
  <c r="G178" i="6"/>
  <c r="E80" i="38"/>
  <c r="M72" i="38"/>
  <c r="Q14" i="38"/>
  <c r="Q62" i="38" s="1"/>
  <c r="Q59" i="38"/>
  <c r="E51" i="38"/>
  <c r="E54" i="38"/>
  <c r="E56" i="38"/>
  <c r="E57" i="38"/>
  <c r="E60" i="38"/>
  <c r="Q28" i="38"/>
  <c r="U28" i="38" s="1"/>
  <c r="Q93" i="38"/>
  <c r="U45" i="38"/>
  <c r="Q91" i="38"/>
  <c r="U43" i="38"/>
  <c r="Q68" i="38"/>
  <c r="U20" i="38"/>
  <c r="AF8" i="38"/>
  <c r="AF21" i="38"/>
  <c r="AF29" i="38"/>
  <c r="AF41" i="38"/>
  <c r="AF20" i="38"/>
  <c r="AF45" i="38"/>
  <c r="AF14" i="38"/>
  <c r="AF26" i="38"/>
  <c r="AF36" i="38"/>
  <c r="AF24" i="38"/>
  <c r="Q84" i="38"/>
  <c r="U36" i="38"/>
  <c r="AF44" i="38"/>
  <c r="AF19" i="38"/>
  <c r="AF27" i="38"/>
  <c r="AF37" i="38"/>
  <c r="AF28" i="38"/>
  <c r="K15" i="38"/>
  <c r="Q92" i="38"/>
  <c r="U44" i="38"/>
  <c r="Q72" i="38"/>
  <c r="U24" i="38"/>
  <c r="Q58" i="38"/>
  <c r="U10" i="38"/>
  <c r="Y10" i="38" s="1"/>
  <c r="Q73" i="38"/>
  <c r="U25" i="38"/>
  <c r="Y11" i="38"/>
  <c r="AF13" i="38"/>
  <c r="AF25" i="38"/>
  <c r="AF35" i="38"/>
  <c r="AF46" i="38"/>
  <c r="AF32" i="38"/>
  <c r="AF9" i="38"/>
  <c r="AF22" i="38"/>
  <c r="AB77" i="8" s="1"/>
  <c r="AF77" i="8" s="1"/>
  <c r="AJ77" i="8" s="1"/>
  <c r="AF30" i="38"/>
  <c r="AF43" i="38"/>
  <c r="AF7" i="38"/>
  <c r="AF10" i="38"/>
  <c r="AF23" i="38"/>
  <c r="AF31" i="38"/>
  <c r="AF11" i="38"/>
  <c r="AF38" i="38"/>
  <c r="N129" i="10"/>
  <c r="AB129" i="10" s="1"/>
  <c r="AF129" i="10" s="1"/>
  <c r="AJ129" i="10" s="1"/>
  <c r="AP129" i="10" s="1"/>
  <c r="M75" i="38"/>
  <c r="Q27" i="38"/>
  <c r="M56" i="38"/>
  <c r="Q8" i="38"/>
  <c r="M74" i="38"/>
  <c r="Q26" i="38"/>
  <c r="M88" i="38"/>
  <c r="Q40" i="38"/>
  <c r="M55" i="38"/>
  <c r="Q7" i="38"/>
  <c r="M85" i="38"/>
  <c r="Q37" i="38"/>
  <c r="M57" i="38"/>
  <c r="Q9" i="38"/>
  <c r="M94" i="38"/>
  <c r="Q46" i="38"/>
  <c r="M78" i="38"/>
  <c r="Q30" i="38"/>
  <c r="M80" i="38"/>
  <c r="Q32" i="38"/>
  <c r="J60" i="38"/>
  <c r="N12" i="38"/>
  <c r="M89" i="38"/>
  <c r="Q41" i="38"/>
  <c r="M61" i="38"/>
  <c r="Q13" i="38"/>
  <c r="M67" i="38"/>
  <c r="Q19" i="38"/>
  <c r="M12" i="38"/>
  <c r="M79" i="38"/>
  <c r="Q31" i="38"/>
  <c r="M86" i="38"/>
  <c r="Q38" i="38"/>
  <c r="M71" i="38"/>
  <c r="Q23" i="38"/>
  <c r="M70" i="38"/>
  <c r="Q22" i="38"/>
  <c r="N93" i="38"/>
  <c r="R3" i="38"/>
  <c r="M69" i="38"/>
  <c r="Q21" i="38"/>
  <c r="Q34" i="38"/>
  <c r="M83" i="38"/>
  <c r="Q35" i="38"/>
  <c r="L88" i="38"/>
  <c r="N40" i="38"/>
  <c r="R40" i="38" s="1"/>
  <c r="L66" i="38"/>
  <c r="N18" i="38"/>
  <c r="R18" i="38" s="1"/>
  <c r="V18" i="38" s="1"/>
  <c r="I17" i="38"/>
  <c r="I15" i="38"/>
  <c r="K16" i="38"/>
  <c r="M42" i="38"/>
  <c r="M18" i="38"/>
  <c r="M39" i="38"/>
  <c r="M6" i="38"/>
  <c r="D83" i="38"/>
  <c r="D54" i="38"/>
  <c r="D56" i="38"/>
  <c r="D57" i="38"/>
  <c r="D40" i="38"/>
  <c r="D81" i="38" s="1"/>
  <c r="D62" i="38"/>
  <c r="E63" i="38"/>
  <c r="D66" i="38"/>
  <c r="E67" i="38"/>
  <c r="D70" i="38"/>
  <c r="E71" i="38"/>
  <c r="D74" i="38"/>
  <c r="D77" i="38"/>
  <c r="D78" i="38"/>
  <c r="D79" i="38"/>
  <c r="E83" i="38"/>
  <c r="D63" i="38"/>
  <c r="D71" i="38"/>
  <c r="D53" i="38"/>
  <c r="E62" i="38"/>
  <c r="D65" i="38"/>
  <c r="E66" i="38"/>
  <c r="D69" i="38"/>
  <c r="E70" i="38"/>
  <c r="D73" i="38"/>
  <c r="E74" i="38"/>
  <c r="D75" i="38"/>
  <c r="D76" i="38"/>
  <c r="E77" i="38"/>
  <c r="E78" i="38"/>
  <c r="E79" i="38"/>
  <c r="D67" i="38"/>
  <c r="D52" i="38"/>
  <c r="E53" i="38"/>
  <c r="D61" i="38"/>
  <c r="D64" i="38"/>
  <c r="E65" i="38"/>
  <c r="D68" i="38"/>
  <c r="E69" i="38"/>
  <c r="D72" i="38"/>
  <c r="E73" i="38"/>
  <c r="E75" i="38"/>
  <c r="E76" i="38"/>
  <c r="D80" i="38"/>
  <c r="N58" i="38"/>
  <c r="N62" i="38"/>
  <c r="N69" i="38"/>
  <c r="N73" i="38"/>
  <c r="N77" i="38"/>
  <c r="N83" i="38"/>
  <c r="N92" i="38"/>
  <c r="N55" i="38"/>
  <c r="N59" i="38"/>
  <c r="N70" i="38"/>
  <c r="N74" i="38"/>
  <c r="N78" i="38"/>
  <c r="N84" i="38"/>
  <c r="J15" i="38"/>
  <c r="J63" i="38" s="1"/>
  <c r="J17" i="38"/>
  <c r="J66" i="38"/>
  <c r="J88" i="38"/>
  <c r="D11" i="38"/>
  <c r="J68" i="38"/>
  <c r="J69" i="38"/>
  <c r="J70" i="38"/>
  <c r="J71" i="38"/>
  <c r="J72" i="38"/>
  <c r="J73" i="38"/>
  <c r="J74" i="38"/>
  <c r="J75" i="38"/>
  <c r="J76" i="38"/>
  <c r="J77" i="38"/>
  <c r="J78" i="38"/>
  <c r="J79" i="38"/>
  <c r="J89" i="38"/>
  <c r="J91" i="38"/>
  <c r="L6" i="38"/>
  <c r="N6" i="38" s="1"/>
  <c r="R6" i="38" s="1"/>
  <c r="E11" i="38"/>
  <c r="E14" i="38"/>
  <c r="E58" i="38" s="1"/>
  <c r="L34" i="38"/>
  <c r="N34" i="38" s="1"/>
  <c r="R34" i="38" s="1"/>
  <c r="V34" i="38" s="1"/>
  <c r="E40" i="38"/>
  <c r="E81" i="38" s="1"/>
  <c r="L42" i="38"/>
  <c r="L55" i="38"/>
  <c r="D14" i="38"/>
  <c r="D58" i="38" s="1"/>
  <c r="J42" i="38"/>
  <c r="J90" i="38" s="1"/>
  <c r="D51" i="38"/>
  <c r="J54" i="38"/>
  <c r="D60" i="38"/>
  <c r="L92" i="38"/>
  <c r="N88" i="38" l="1"/>
  <c r="AT129" i="10"/>
  <c r="AX129" i="10" s="1"/>
  <c r="BF129" i="10" s="1"/>
  <c r="BD130" i="10"/>
  <c r="AB57" i="45"/>
  <c r="AF56" i="45"/>
  <c r="R129" i="10"/>
  <c r="V129" i="10" s="1"/>
  <c r="I16" i="38"/>
  <c r="E26" i="36"/>
  <c r="F26" i="36"/>
  <c r="G174" i="6"/>
  <c r="G179" i="6" s="1"/>
  <c r="U29" i="38"/>
  <c r="Q76" i="38"/>
  <c r="U14" i="38"/>
  <c r="Y14" i="38" s="1"/>
  <c r="R54" i="38"/>
  <c r="V6" i="38"/>
  <c r="R51" i="38"/>
  <c r="V3" i="38"/>
  <c r="AJ38" i="38"/>
  <c r="AJ10" i="38"/>
  <c r="AJ22" i="38"/>
  <c r="AJ32" i="38"/>
  <c r="AJ35" i="38"/>
  <c r="AJ13" i="38"/>
  <c r="AJ19" i="38"/>
  <c r="AJ14" i="38"/>
  <c r="AJ29" i="38"/>
  <c r="N57" i="45"/>
  <c r="R56" i="45"/>
  <c r="V56" i="45" s="1"/>
  <c r="V57" i="45" s="1"/>
  <c r="AJ31" i="38"/>
  <c r="AJ43" i="38"/>
  <c r="AJ37" i="38"/>
  <c r="AJ36" i="38"/>
  <c r="AJ20" i="38"/>
  <c r="AJ8" i="38"/>
  <c r="AJ11" i="38"/>
  <c r="AJ7" i="38"/>
  <c r="AJ30" i="38"/>
  <c r="AJ9" i="38"/>
  <c r="AJ25" i="38"/>
  <c r="AJ27" i="38"/>
  <c r="AJ24" i="38"/>
  <c r="AJ26" i="38"/>
  <c r="AJ45" i="38"/>
  <c r="AJ21" i="38"/>
  <c r="N42" i="38"/>
  <c r="R42" i="38" s="1"/>
  <c r="AJ23" i="38"/>
  <c r="AJ46" i="38"/>
  <c r="AJ28" i="38"/>
  <c r="AJ44" i="38"/>
  <c r="AJ41" i="38"/>
  <c r="AN41" i="38" s="1"/>
  <c r="U51" i="38"/>
  <c r="Y3" i="38"/>
  <c r="AO52" i="48"/>
  <c r="M15" i="38"/>
  <c r="Q15" i="38" s="1"/>
  <c r="Q57" i="38"/>
  <c r="U9" i="38"/>
  <c r="Q74" i="38"/>
  <c r="U26" i="38"/>
  <c r="U84" i="38"/>
  <c r="Y36" i="38"/>
  <c r="U76" i="38"/>
  <c r="Y28" i="38"/>
  <c r="U72" i="38"/>
  <c r="Y24" i="38"/>
  <c r="V82" i="38"/>
  <c r="Z34" i="38"/>
  <c r="N66" i="38"/>
  <c r="Q67" i="38"/>
  <c r="U19" i="38"/>
  <c r="Q89" i="38"/>
  <c r="U41" i="38"/>
  <c r="Q80" i="38"/>
  <c r="U32" i="38"/>
  <c r="Q94" i="38"/>
  <c r="U46" i="38"/>
  <c r="Q85" i="38"/>
  <c r="U37" i="38"/>
  <c r="Q88" i="38"/>
  <c r="U40" i="38"/>
  <c r="Q56" i="38"/>
  <c r="U8" i="38"/>
  <c r="U68" i="38"/>
  <c r="Y20" i="38"/>
  <c r="U77" i="38"/>
  <c r="Y29" i="38"/>
  <c r="U93" i="38"/>
  <c r="Y45" i="38"/>
  <c r="Q61" i="38"/>
  <c r="U13" i="38"/>
  <c r="Q78" i="38"/>
  <c r="U30" i="38"/>
  <c r="Q55" i="38"/>
  <c r="U7" i="38"/>
  <c r="Q75" i="38"/>
  <c r="U27" i="38"/>
  <c r="U91" i="38"/>
  <c r="Y43" i="38"/>
  <c r="V66" i="38"/>
  <c r="Z18" i="38"/>
  <c r="Q83" i="38"/>
  <c r="U35" i="38"/>
  <c r="Q69" i="38"/>
  <c r="U21" i="38"/>
  <c r="Q70" i="38"/>
  <c r="U22" i="38"/>
  <c r="Q86" i="38"/>
  <c r="U38" i="38"/>
  <c r="U73" i="38"/>
  <c r="Y25" i="38"/>
  <c r="R88" i="38"/>
  <c r="V40" i="38"/>
  <c r="Q82" i="38"/>
  <c r="U34" i="38"/>
  <c r="Q71" i="38"/>
  <c r="U23" i="38"/>
  <c r="Q79" i="38"/>
  <c r="U31" i="38"/>
  <c r="AE11" i="38"/>
  <c r="Y59" i="38"/>
  <c r="U58" i="38"/>
  <c r="U92" i="38"/>
  <c r="Y44" i="38"/>
  <c r="R12" i="38"/>
  <c r="N60" i="38"/>
  <c r="M66" i="38"/>
  <c r="Q18" i="38"/>
  <c r="M60" i="38"/>
  <c r="Q12" i="38"/>
  <c r="M17" i="38"/>
  <c r="M54" i="38"/>
  <c r="Q6" i="38"/>
  <c r="M90" i="38"/>
  <c r="Q42" i="38"/>
  <c r="R67" i="38"/>
  <c r="R86" i="38"/>
  <c r="R79" i="38"/>
  <c r="R78" i="38"/>
  <c r="R58" i="38"/>
  <c r="R80" i="38"/>
  <c r="R83" i="38"/>
  <c r="R61" i="38"/>
  <c r="R59" i="38"/>
  <c r="R68" i="38"/>
  <c r="R75" i="38"/>
  <c r="R74" i="38"/>
  <c r="R72" i="38"/>
  <c r="R77" i="38"/>
  <c r="R57" i="38"/>
  <c r="R76" i="38"/>
  <c r="R85" i="38"/>
  <c r="R55" i="38"/>
  <c r="R91" i="38"/>
  <c r="R70" i="38"/>
  <c r="R94" i="38"/>
  <c r="R73" i="38"/>
  <c r="R56" i="38"/>
  <c r="R92" i="38"/>
  <c r="R62" i="38"/>
  <c r="R93" i="38"/>
  <c r="R71" i="38"/>
  <c r="R84" i="38"/>
  <c r="R89" i="38"/>
  <c r="R69" i="38"/>
  <c r="M87" i="38"/>
  <c r="Q39" i="38"/>
  <c r="R82" i="38"/>
  <c r="R66" i="38"/>
  <c r="N82" i="38"/>
  <c r="N54" i="38"/>
  <c r="M16" i="38"/>
  <c r="L15" i="38"/>
  <c r="L54" i="38"/>
  <c r="J39" i="38"/>
  <c r="J87" i="38" s="1"/>
  <c r="N17" i="38"/>
  <c r="L82" i="38"/>
  <c r="L90" i="38"/>
  <c r="L39" i="38"/>
  <c r="E55" i="38"/>
  <c r="E15" i="38"/>
  <c r="E59" i="38" s="1"/>
  <c r="D15" i="38"/>
  <c r="D59" i="38" s="1"/>
  <c r="D55" i="38"/>
  <c r="J65" i="38"/>
  <c r="AF57" i="45" l="1"/>
  <c r="AJ56" i="45"/>
  <c r="R17" i="38"/>
  <c r="V17" i="38" s="1"/>
  <c r="U62" i="38"/>
  <c r="M63" i="38"/>
  <c r="N90" i="38"/>
  <c r="AI11" i="38"/>
  <c r="Y51" i="38"/>
  <c r="AE3" i="38"/>
  <c r="AN44" i="38"/>
  <c r="AN46" i="38"/>
  <c r="AN8" i="38"/>
  <c r="AN36" i="38"/>
  <c r="AN43" i="38"/>
  <c r="R57" i="45"/>
  <c r="AN14" i="38"/>
  <c r="AN13" i="38"/>
  <c r="AN32" i="38"/>
  <c r="AN10" i="38"/>
  <c r="V51" i="38"/>
  <c r="Z3" i="38"/>
  <c r="Z66" i="38" s="1"/>
  <c r="V86" i="38"/>
  <c r="V59" i="38"/>
  <c r="V79" i="38"/>
  <c r="V71" i="38"/>
  <c r="V58" i="38"/>
  <c r="V92" i="38"/>
  <c r="V55" i="38"/>
  <c r="V91" i="38"/>
  <c r="V78" i="38"/>
  <c r="V70" i="38"/>
  <c r="V57" i="38"/>
  <c r="V80" i="38"/>
  <c r="V94" i="38"/>
  <c r="V83" i="38"/>
  <c r="V73" i="38"/>
  <c r="V61" i="38"/>
  <c r="V76" i="38"/>
  <c r="V85" i="38"/>
  <c r="V75" i="38"/>
  <c r="V67" i="38"/>
  <c r="V72" i="38"/>
  <c r="V84" i="38"/>
  <c r="V74" i="38"/>
  <c r="V62" i="38"/>
  <c r="V93" i="38"/>
  <c r="V68" i="38"/>
  <c r="V89" i="38"/>
  <c r="V77" i="38"/>
  <c r="V69" i="38"/>
  <c r="V56" i="38"/>
  <c r="AN21" i="38"/>
  <c r="AN26" i="38"/>
  <c r="AN27" i="38"/>
  <c r="AN9" i="38"/>
  <c r="AN7" i="38"/>
  <c r="AT41" i="38"/>
  <c r="AN28" i="38"/>
  <c r="AN23" i="38"/>
  <c r="AN20" i="38"/>
  <c r="AN37" i="38"/>
  <c r="AN31" i="38"/>
  <c r="AN29" i="38"/>
  <c r="AN19" i="38"/>
  <c r="AN35" i="38"/>
  <c r="AN22" i="38"/>
  <c r="AN38" i="38"/>
  <c r="V54" i="38"/>
  <c r="Z6" i="38"/>
  <c r="AS52" i="48"/>
  <c r="AN45" i="38"/>
  <c r="AN24" i="38"/>
  <c r="AN25" i="38"/>
  <c r="AN30" i="38"/>
  <c r="AN11" i="38"/>
  <c r="Q54" i="38"/>
  <c r="U6" i="38"/>
  <c r="R60" i="38"/>
  <c r="V12" i="38"/>
  <c r="AE14" i="38"/>
  <c r="Y62" i="38"/>
  <c r="Q66" i="38"/>
  <c r="U18" i="38"/>
  <c r="AF18" i="38"/>
  <c r="U75" i="38"/>
  <c r="Y27" i="38"/>
  <c r="U78" i="38"/>
  <c r="Y30" i="38"/>
  <c r="AE45" i="38"/>
  <c r="Y93" i="38"/>
  <c r="AE20" i="38"/>
  <c r="Y68" i="38"/>
  <c r="U88" i="38"/>
  <c r="Y40" i="38"/>
  <c r="U94" i="38"/>
  <c r="Y46" i="38"/>
  <c r="U89" i="38"/>
  <c r="Y41" i="38"/>
  <c r="Q87" i="38"/>
  <c r="U39" i="38"/>
  <c r="Q90" i="38"/>
  <c r="U42" i="38"/>
  <c r="Z82" i="38"/>
  <c r="AF34" i="38"/>
  <c r="AE28" i="38"/>
  <c r="Y76" i="38"/>
  <c r="AE36" i="38"/>
  <c r="Y84" i="38"/>
  <c r="U57" i="38"/>
  <c r="Y9" i="38"/>
  <c r="Y72" i="38"/>
  <c r="AE24" i="38"/>
  <c r="U74" i="38"/>
  <c r="Y26" i="38"/>
  <c r="Q63" i="38"/>
  <c r="U15" i="38"/>
  <c r="Y92" i="38"/>
  <c r="AE44" i="38"/>
  <c r="U71" i="38"/>
  <c r="Y23" i="38"/>
  <c r="V88" i="38"/>
  <c r="Z40" i="38"/>
  <c r="U86" i="38"/>
  <c r="Y38" i="38"/>
  <c r="U69" i="38"/>
  <c r="Y21" i="38"/>
  <c r="R65" i="38"/>
  <c r="R90" i="38"/>
  <c r="V42" i="38"/>
  <c r="Q60" i="38"/>
  <c r="U12" i="38"/>
  <c r="Y58" i="38"/>
  <c r="AE10" i="38"/>
  <c r="U79" i="38"/>
  <c r="Y31" i="38"/>
  <c r="U82" i="38"/>
  <c r="Y34" i="38"/>
  <c r="Y73" i="38"/>
  <c r="AE25" i="38"/>
  <c r="U70" i="38"/>
  <c r="Y22" i="38"/>
  <c r="U83" i="38"/>
  <c r="Y35" i="38"/>
  <c r="AE43" i="38"/>
  <c r="Y91" i="38"/>
  <c r="U55" i="38"/>
  <c r="Y7" i="38"/>
  <c r="U61" i="38"/>
  <c r="Y13" i="38"/>
  <c r="Y77" i="38"/>
  <c r="AE29" i="38"/>
  <c r="U56" i="38"/>
  <c r="Y8" i="38"/>
  <c r="U85" i="38"/>
  <c r="Y37" i="38"/>
  <c r="U80" i="38"/>
  <c r="Y32" i="38"/>
  <c r="U67" i="38"/>
  <c r="Y19" i="38"/>
  <c r="M64" i="38"/>
  <c r="Q16" i="38"/>
  <c r="M65" i="38"/>
  <c r="Q17" i="38"/>
  <c r="L87" i="38"/>
  <c r="N39" i="38"/>
  <c r="N65" i="38"/>
  <c r="L63" i="38"/>
  <c r="N15" i="38"/>
  <c r="L16" i="38"/>
  <c r="L65" i="38"/>
  <c r="J16" i="38"/>
  <c r="J64" i="38" s="1"/>
  <c r="AJ57" i="45" l="1"/>
  <c r="AP56" i="45"/>
  <c r="AE84" i="38"/>
  <c r="AI36" i="38"/>
  <c r="AE77" i="38"/>
  <c r="AI29" i="38"/>
  <c r="AE73" i="38"/>
  <c r="AI25" i="38"/>
  <c r="AE72" i="38"/>
  <c r="AI24" i="38"/>
  <c r="AJ34" i="38"/>
  <c r="AJ18" i="38"/>
  <c r="AT30" i="38"/>
  <c r="AT38" i="38"/>
  <c r="AT29" i="38"/>
  <c r="AT37" i="38"/>
  <c r="AT23" i="38"/>
  <c r="AT9" i="38"/>
  <c r="AT13" i="38"/>
  <c r="AT46" i="38"/>
  <c r="AI3" i="38"/>
  <c r="AI59" i="38" s="1"/>
  <c r="AE51" i="38"/>
  <c r="AE68" i="38"/>
  <c r="AI20" i="38"/>
  <c r="AE62" i="38"/>
  <c r="AI14" i="38"/>
  <c r="AT11" i="38"/>
  <c r="AT25" i="38"/>
  <c r="AT45" i="38"/>
  <c r="AT35" i="38"/>
  <c r="AX41" i="38"/>
  <c r="AT26" i="38"/>
  <c r="AT10" i="38"/>
  <c r="AT36" i="38"/>
  <c r="AE58" i="38"/>
  <c r="AI10" i="38"/>
  <c r="AM10" i="38" s="1"/>
  <c r="AE92" i="38"/>
  <c r="AI44" i="38"/>
  <c r="Z54" i="38"/>
  <c r="AF6" i="38"/>
  <c r="AT19" i="38"/>
  <c r="AT31" i="38"/>
  <c r="AT20" i="38"/>
  <c r="AT28" i="38"/>
  <c r="AT7" i="38"/>
  <c r="AT27" i="38"/>
  <c r="AX27" i="38" s="1"/>
  <c r="AT21" i="38"/>
  <c r="Z51" i="38"/>
  <c r="AF3" i="38"/>
  <c r="Z69" i="38"/>
  <c r="Z93" i="38"/>
  <c r="Z74" i="38"/>
  <c r="Z72" i="38"/>
  <c r="Z75" i="38"/>
  <c r="Z73" i="38"/>
  <c r="Z57" i="38"/>
  <c r="Z78" i="38"/>
  <c r="Z55" i="38"/>
  <c r="Z59" i="38"/>
  <c r="Z89" i="38"/>
  <c r="Z92" i="38"/>
  <c r="Z76" i="38"/>
  <c r="Z94" i="38"/>
  <c r="Z71" i="38"/>
  <c r="Z77" i="38"/>
  <c r="Z62" i="38"/>
  <c r="Z67" i="38"/>
  <c r="Z61" i="38"/>
  <c r="Z83" i="38"/>
  <c r="Z80" i="38"/>
  <c r="Z70" i="38"/>
  <c r="Z58" i="38"/>
  <c r="Z86" i="38"/>
  <c r="Z56" i="38"/>
  <c r="Z68" i="38"/>
  <c r="Z84" i="38"/>
  <c r="Z85" i="38"/>
  <c r="Z91" i="38"/>
  <c r="Z79" i="38"/>
  <c r="AT32" i="38"/>
  <c r="AT14" i="38"/>
  <c r="AT8" i="38"/>
  <c r="AT44" i="38"/>
  <c r="AM11" i="38"/>
  <c r="AE91" i="38"/>
  <c r="AI43" i="38"/>
  <c r="AE76" i="38"/>
  <c r="AI28" i="38"/>
  <c r="AE93" i="38"/>
  <c r="AI45" i="38"/>
  <c r="AT24" i="38"/>
  <c r="AT22" i="38"/>
  <c r="AT43" i="38"/>
  <c r="AE59" i="38"/>
  <c r="Q64" i="38"/>
  <c r="U16" i="38"/>
  <c r="Y56" i="38"/>
  <c r="AE8" i="38"/>
  <c r="Y69" i="38"/>
  <c r="AE21" i="38"/>
  <c r="Y57" i="38"/>
  <c r="AE9" i="38"/>
  <c r="U90" i="38"/>
  <c r="Y42" i="38"/>
  <c r="Y88" i="38"/>
  <c r="AE40" i="38"/>
  <c r="Y75" i="38"/>
  <c r="AE27" i="38"/>
  <c r="V60" i="38"/>
  <c r="Z12" i="38"/>
  <c r="Q65" i="38"/>
  <c r="U17" i="38"/>
  <c r="Y67" i="38"/>
  <c r="AE19" i="38"/>
  <c r="Y85" i="38"/>
  <c r="AE37" i="38"/>
  <c r="AE7" i="38"/>
  <c r="Y55" i="38"/>
  <c r="Y83" i="38"/>
  <c r="AE35" i="38"/>
  <c r="Y79" i="38"/>
  <c r="AE31" i="38"/>
  <c r="U60" i="38"/>
  <c r="Y12" i="38"/>
  <c r="V65" i="38"/>
  <c r="Z17" i="38"/>
  <c r="AE38" i="38"/>
  <c r="Y86" i="38"/>
  <c r="Y71" i="38"/>
  <c r="AE23" i="38"/>
  <c r="U63" i="38"/>
  <c r="Y15" i="38"/>
  <c r="U87" i="38"/>
  <c r="Y39" i="38"/>
  <c r="Y94" i="38"/>
  <c r="AE46" i="38"/>
  <c r="AE30" i="38"/>
  <c r="Y78" i="38"/>
  <c r="U54" i="38"/>
  <c r="Y6" i="38"/>
  <c r="AE6" i="38" s="1"/>
  <c r="AI6" i="38" s="1"/>
  <c r="Y80" i="38"/>
  <c r="AE32" i="38"/>
  <c r="Y61" i="38"/>
  <c r="AE13" i="38"/>
  <c r="AE22" i="38"/>
  <c r="AA77" i="8" s="1"/>
  <c r="AE77" i="8" s="1"/>
  <c r="AI77" i="8" s="1"/>
  <c r="Y70" i="38"/>
  <c r="Y82" i="38"/>
  <c r="AE34" i="38"/>
  <c r="V90" i="38"/>
  <c r="Z42" i="38"/>
  <c r="Z88" i="38"/>
  <c r="AF40" i="38"/>
  <c r="AE26" i="38"/>
  <c r="Y74" i="38"/>
  <c r="Y89" i="38"/>
  <c r="AE41" i="38"/>
  <c r="U66" i="38"/>
  <c r="Y18" i="38"/>
  <c r="R39" i="38"/>
  <c r="N87" i="38"/>
  <c r="L64" i="38"/>
  <c r="N16" i="38"/>
  <c r="R15" i="38"/>
  <c r="N63" i="38"/>
  <c r="F113" i="17"/>
  <c r="F81" i="17"/>
  <c r="F77" i="17"/>
  <c r="F66" i="17"/>
  <c r="F68" i="17" s="1"/>
  <c r="F60" i="17"/>
  <c r="F57" i="17"/>
  <c r="F56" i="17"/>
  <c r="F51" i="17"/>
  <c r="F112" i="17" s="1"/>
  <c r="F50" i="17"/>
  <c r="F54" i="17" s="1"/>
  <c r="F47" i="17"/>
  <c r="F45" i="17"/>
  <c r="F43" i="17"/>
  <c r="F18" i="17"/>
  <c r="F17" i="17"/>
  <c r="F15" i="17"/>
  <c r="F14" i="17"/>
  <c r="F14" i="15"/>
  <c r="F15" i="15" s="1"/>
  <c r="F12" i="15"/>
  <c r="F13" i="15" s="1"/>
  <c r="BB41" i="38" l="1"/>
  <c r="BJ41" i="38" s="1"/>
  <c r="BB27" i="38"/>
  <c r="BJ27" i="38" s="1"/>
  <c r="AP57" i="45"/>
  <c r="AT56" i="45"/>
  <c r="F21" i="17"/>
  <c r="F32" i="17" s="1"/>
  <c r="AE89" i="38"/>
  <c r="AI41" i="38"/>
  <c r="AF88" i="38"/>
  <c r="AJ40" i="38"/>
  <c r="AE82" i="38"/>
  <c r="AI34" i="38"/>
  <c r="AE61" i="38"/>
  <c r="AI13" i="38"/>
  <c r="AI54" i="38"/>
  <c r="AM6" i="38"/>
  <c r="AE94" i="38"/>
  <c r="AI46" i="38"/>
  <c r="AE83" i="38"/>
  <c r="AI35" i="38"/>
  <c r="AE85" i="38"/>
  <c r="AI37" i="38"/>
  <c r="AE75" i="38"/>
  <c r="AI27" i="38"/>
  <c r="AE69" i="38"/>
  <c r="AI21" i="38"/>
  <c r="AX44" i="38"/>
  <c r="AX14" i="38"/>
  <c r="AX21" i="38"/>
  <c r="AX7" i="38"/>
  <c r="AX20" i="38"/>
  <c r="AX19" i="38"/>
  <c r="AI92" i="38"/>
  <c r="AM44" i="38"/>
  <c r="AI62" i="38"/>
  <c r="AM14" i="38"/>
  <c r="AN18" i="38"/>
  <c r="AI72" i="38"/>
  <c r="AM24" i="38"/>
  <c r="AI77" i="38"/>
  <c r="AM29" i="38"/>
  <c r="AE86" i="38"/>
  <c r="AI38" i="38"/>
  <c r="AX43" i="38"/>
  <c r="AX24" i="38"/>
  <c r="AI76" i="38"/>
  <c r="AM28" i="38"/>
  <c r="AS11" i="38"/>
  <c r="AJ3" i="38"/>
  <c r="AF51" i="38"/>
  <c r="AF86" i="38"/>
  <c r="AF70" i="38"/>
  <c r="AF83" i="38"/>
  <c r="AF67" i="38"/>
  <c r="AF77" i="38"/>
  <c r="AF79" i="38"/>
  <c r="AF85" i="38"/>
  <c r="AF68" i="38"/>
  <c r="AF71" i="38"/>
  <c r="AF76" i="38"/>
  <c r="AF89" i="38"/>
  <c r="AF55" i="38"/>
  <c r="AF57" i="38"/>
  <c r="AF75" i="38"/>
  <c r="AF74" i="38"/>
  <c r="AF69" i="38"/>
  <c r="AF58" i="38"/>
  <c r="AF80" i="38"/>
  <c r="AF61" i="38"/>
  <c r="AF62" i="38"/>
  <c r="AF91" i="38"/>
  <c r="AF84" i="38"/>
  <c r="AF56" i="38"/>
  <c r="AF94" i="38"/>
  <c r="AF92" i="38"/>
  <c r="AF59" i="38"/>
  <c r="AF78" i="38"/>
  <c r="AF73" i="38"/>
  <c r="AF72" i="38"/>
  <c r="AF93" i="38"/>
  <c r="AF54" i="38"/>
  <c r="AJ6" i="38"/>
  <c r="AX36" i="38"/>
  <c r="AX26" i="38"/>
  <c r="AX35" i="38"/>
  <c r="AX25" i="38"/>
  <c r="AM3" i="38"/>
  <c r="AI51" i="38"/>
  <c r="AX9" i="38"/>
  <c r="AX37" i="38"/>
  <c r="AX38" i="38"/>
  <c r="AF66" i="38"/>
  <c r="AE80" i="38"/>
  <c r="AI32" i="38"/>
  <c r="AE71" i="38"/>
  <c r="AI23" i="38"/>
  <c r="AE79" i="38"/>
  <c r="AI31" i="38"/>
  <c r="AE67" i="38"/>
  <c r="AI19" i="38"/>
  <c r="AE88" i="38"/>
  <c r="AI40" i="38"/>
  <c r="AE57" i="38"/>
  <c r="AI9" i="38"/>
  <c r="AE56" i="38"/>
  <c r="AI8" i="38"/>
  <c r="AX8" i="38"/>
  <c r="AX32" i="38"/>
  <c r="AX28" i="38"/>
  <c r="AX31" i="38"/>
  <c r="AI58" i="38"/>
  <c r="AI68" i="38"/>
  <c r="AM20" i="38"/>
  <c r="AJ82" i="38"/>
  <c r="AN34" i="38"/>
  <c r="AI73" i="38"/>
  <c r="AM25" i="38"/>
  <c r="AI84" i="38"/>
  <c r="AM36" i="38"/>
  <c r="F49" i="17"/>
  <c r="F53" i="17" s="1"/>
  <c r="AE74" i="38"/>
  <c r="AI26" i="38"/>
  <c r="AE70" i="38"/>
  <c r="AI22" i="38"/>
  <c r="AE78" i="38"/>
  <c r="AI30" i="38"/>
  <c r="AE55" i="38"/>
  <c r="AI7" i="38"/>
  <c r="AX22" i="38"/>
  <c r="AI93" i="38"/>
  <c r="AM45" i="38"/>
  <c r="AI91" i="38"/>
  <c r="AM43" i="38"/>
  <c r="AX10" i="38"/>
  <c r="AX45" i="38"/>
  <c r="AX11" i="38"/>
  <c r="AX46" i="38"/>
  <c r="AX13" i="38"/>
  <c r="AX23" i="38"/>
  <c r="AX29" i="38"/>
  <c r="AX30" i="38"/>
  <c r="AF82" i="38"/>
  <c r="Y66" i="38"/>
  <c r="AE18" i="38"/>
  <c r="Z90" i="38"/>
  <c r="AF42" i="38"/>
  <c r="Y87" i="38"/>
  <c r="AE39" i="38"/>
  <c r="Z65" i="38"/>
  <c r="AF17" i="38"/>
  <c r="Z60" i="38"/>
  <c r="AF12" i="38"/>
  <c r="Y54" i="38"/>
  <c r="AE54" i="38"/>
  <c r="Y63" i="38"/>
  <c r="AE15" i="38"/>
  <c r="Y60" i="38"/>
  <c r="AE12" i="38"/>
  <c r="U65" i="38"/>
  <c r="Y17" i="38"/>
  <c r="Y90" i="38"/>
  <c r="AE42" i="38"/>
  <c r="U64" i="38"/>
  <c r="Y16" i="38"/>
  <c r="R63" i="38"/>
  <c r="V15" i="38"/>
  <c r="R87" i="38"/>
  <c r="V39" i="38"/>
  <c r="F111" i="17"/>
  <c r="F115" i="17" s="1"/>
  <c r="R16" i="38"/>
  <c r="N64" i="38"/>
  <c r="F58" i="17"/>
  <c r="F61" i="17" s="1"/>
  <c r="F10" i="17"/>
  <c r="BB23" i="38" l="1"/>
  <c r="BJ23" i="38" s="1"/>
  <c r="BB45" i="38"/>
  <c r="BJ45" i="38" s="1"/>
  <c r="BB8" i="38"/>
  <c r="BJ8" i="38" s="1"/>
  <c r="BB38" i="38"/>
  <c r="BJ38" i="38" s="1"/>
  <c r="BB36" i="38"/>
  <c r="BJ36" i="38" s="1"/>
  <c r="BB20" i="38"/>
  <c r="BJ20" i="38" s="1"/>
  <c r="BB44" i="38"/>
  <c r="BJ44" i="38" s="1"/>
  <c r="BB10" i="38"/>
  <c r="BJ10" i="38" s="1"/>
  <c r="BB31" i="38"/>
  <c r="BJ31" i="38" s="1"/>
  <c r="BB37" i="38"/>
  <c r="BJ37" i="38" s="1"/>
  <c r="BB25" i="38"/>
  <c r="BJ25" i="38" s="1"/>
  <c r="BB7" i="38"/>
  <c r="BJ7" i="38" s="1"/>
  <c r="BB30" i="38"/>
  <c r="BJ30" i="38" s="1"/>
  <c r="BB46" i="38"/>
  <c r="BJ46" i="38" s="1"/>
  <c r="BB22" i="38"/>
  <c r="BJ22" i="38" s="1"/>
  <c r="BB28" i="38"/>
  <c r="BJ28" i="38" s="1"/>
  <c r="BB9" i="38"/>
  <c r="BJ9" i="38" s="1"/>
  <c r="BB35" i="38"/>
  <c r="BJ35" i="38" s="1"/>
  <c r="BB24" i="38"/>
  <c r="BJ24" i="38" s="1"/>
  <c r="BB21" i="38"/>
  <c r="BJ21" i="38" s="1"/>
  <c r="BB13" i="38"/>
  <c r="BJ13" i="38" s="1"/>
  <c r="BB29" i="38"/>
  <c r="BJ29" i="38" s="1"/>
  <c r="BB11" i="38"/>
  <c r="BJ11" i="38" s="1"/>
  <c r="BB32" i="38"/>
  <c r="BJ32" i="38" s="1"/>
  <c r="BB26" i="38"/>
  <c r="BJ26" i="38" s="1"/>
  <c r="BB43" i="38"/>
  <c r="BJ43" i="38" s="1"/>
  <c r="BB19" i="38"/>
  <c r="BJ19" i="38" s="1"/>
  <c r="BB14" i="38"/>
  <c r="BJ14" i="38" s="1"/>
  <c r="AT57" i="45"/>
  <c r="AX56" i="45"/>
  <c r="AF90" i="38"/>
  <c r="AJ42" i="38"/>
  <c r="AM84" i="38"/>
  <c r="AS36" i="38"/>
  <c r="AM51" i="38"/>
  <c r="AS3" i="38"/>
  <c r="AM93" i="38"/>
  <c r="AS45" i="38"/>
  <c r="AI55" i="38"/>
  <c r="AM7" i="38"/>
  <c r="AI70" i="38"/>
  <c r="AM22" i="38"/>
  <c r="AW11" i="38"/>
  <c r="AM38" i="38"/>
  <c r="AI86" i="38"/>
  <c r="AM72" i="38"/>
  <c r="AS24" i="38"/>
  <c r="AM62" i="38"/>
  <c r="AS14" i="38"/>
  <c r="AI69" i="38"/>
  <c r="AM21" i="38"/>
  <c r="AI85" i="38"/>
  <c r="AM37" i="38"/>
  <c r="AI94" i="38"/>
  <c r="AM46" i="38"/>
  <c r="AI61" i="38"/>
  <c r="AM13" i="38"/>
  <c r="AJ88" i="38"/>
  <c r="AN40" i="38"/>
  <c r="AE60" i="38"/>
  <c r="AI12" i="38"/>
  <c r="AM58" i="38"/>
  <c r="AS10" i="38"/>
  <c r="AI56" i="38"/>
  <c r="AM8" i="38"/>
  <c r="AI79" i="38"/>
  <c r="AM31" i="38"/>
  <c r="AM32" i="38"/>
  <c r="AI80" i="38"/>
  <c r="AM59" i="38"/>
  <c r="AT34" i="38"/>
  <c r="AI88" i="38"/>
  <c r="AM40" i="38"/>
  <c r="AM91" i="38"/>
  <c r="AS43" i="38"/>
  <c r="AI78" i="38"/>
  <c r="AM30" i="38"/>
  <c r="AI74" i="38"/>
  <c r="AM26" i="38"/>
  <c r="AN6" i="38"/>
  <c r="AJ54" i="38"/>
  <c r="AS28" i="38"/>
  <c r="AM76" i="38"/>
  <c r="AM77" i="38"/>
  <c r="AS29" i="38"/>
  <c r="AT18" i="38"/>
  <c r="AM92" i="38"/>
  <c r="AS44" i="38"/>
  <c r="AI75" i="38"/>
  <c r="AM27" i="38"/>
  <c r="AI83" i="38"/>
  <c r="AM35" i="38"/>
  <c r="AM54" i="38"/>
  <c r="AS6" i="38"/>
  <c r="AI82" i="38"/>
  <c r="AM34" i="38"/>
  <c r="AI89" i="38"/>
  <c r="AM41" i="38"/>
  <c r="AE90" i="38"/>
  <c r="AI42" i="38"/>
  <c r="AF65" i="38"/>
  <c r="AJ17" i="38"/>
  <c r="AE63" i="38"/>
  <c r="AI15" i="38"/>
  <c r="AF60" i="38"/>
  <c r="AJ12" i="38"/>
  <c r="AE87" i="38"/>
  <c r="AI39" i="38"/>
  <c r="AE66" i="38"/>
  <c r="AI18" i="38"/>
  <c r="AM73" i="38"/>
  <c r="AS25" i="38"/>
  <c r="AM68" i="38"/>
  <c r="AS20" i="38"/>
  <c r="AI57" i="38"/>
  <c r="AM9" i="38"/>
  <c r="AI67" i="38"/>
  <c r="AM19" i="38"/>
  <c r="AI71" i="38"/>
  <c r="AM23" i="38"/>
  <c r="AJ89" i="38"/>
  <c r="AN3" i="38"/>
  <c r="AJ51" i="38"/>
  <c r="AJ92" i="38"/>
  <c r="AJ56" i="38"/>
  <c r="AJ62" i="38"/>
  <c r="AJ80" i="38"/>
  <c r="AJ69" i="38"/>
  <c r="AJ75" i="38"/>
  <c r="AJ55" i="38"/>
  <c r="AJ76" i="38"/>
  <c r="AJ68" i="38"/>
  <c r="AJ79" i="38"/>
  <c r="AJ67" i="38"/>
  <c r="AJ78" i="38"/>
  <c r="AJ91" i="38"/>
  <c r="AJ70" i="38"/>
  <c r="AJ93" i="38"/>
  <c r="AJ73" i="38"/>
  <c r="AJ59" i="38"/>
  <c r="AJ94" i="38"/>
  <c r="AJ61" i="38"/>
  <c r="AJ57" i="38"/>
  <c r="AJ71" i="38"/>
  <c r="AJ85" i="38"/>
  <c r="AJ77" i="38"/>
  <c r="AJ86" i="38"/>
  <c r="AJ84" i="38"/>
  <c r="AJ58" i="38"/>
  <c r="AJ74" i="38"/>
  <c r="AJ83" i="38"/>
  <c r="AJ72" i="38"/>
  <c r="AJ66" i="38"/>
  <c r="V63" i="38"/>
  <c r="Z15" i="38"/>
  <c r="R64" i="38"/>
  <c r="V16" i="38"/>
  <c r="V87" i="38"/>
  <c r="Z39" i="38"/>
  <c r="Y64" i="38"/>
  <c r="AE16" i="38"/>
  <c r="Y65" i="38"/>
  <c r="AE17" i="38"/>
  <c r="F110" i="17"/>
  <c r="F114" i="17" s="1"/>
  <c r="F59" i="17"/>
  <c r="J19" i="22"/>
  <c r="J18" i="22"/>
  <c r="J17" i="22"/>
  <c r="J16" i="22"/>
  <c r="J30" i="22"/>
  <c r="J31" i="22"/>
  <c r="G33" i="22"/>
  <c r="G21" i="22" s="1"/>
  <c r="H28" i="22"/>
  <c r="H64" i="22" s="1"/>
  <c r="H65" i="22" s="1"/>
  <c r="H66" i="22" s="1"/>
  <c r="G40" i="48" s="1"/>
  <c r="H24" i="22"/>
  <c r="H26" i="22" s="1"/>
  <c r="H23" i="22"/>
  <c r="H51" i="22" s="1"/>
  <c r="H53" i="22" s="1"/>
  <c r="H55" i="22" s="1"/>
  <c r="H56" i="22" s="1"/>
  <c r="G26" i="48" s="1"/>
  <c r="G28" i="48" s="1"/>
  <c r="H14" i="22"/>
  <c r="H59" i="22" s="1"/>
  <c r="H60" i="22" s="1"/>
  <c r="H61" i="22" s="1"/>
  <c r="G37" i="48" s="1"/>
  <c r="H10" i="22"/>
  <c r="H12" i="22" s="1"/>
  <c r="H9" i="22"/>
  <c r="H43" i="22" s="1"/>
  <c r="H45" i="22" s="1"/>
  <c r="H47" i="22" s="1"/>
  <c r="H48" i="22" s="1"/>
  <c r="G21" i="48" s="1"/>
  <c r="G23" i="48" s="1"/>
  <c r="BA11" i="38" l="1"/>
  <c r="BI11" i="38" s="1"/>
  <c r="AX57" i="45"/>
  <c r="BF56" i="45"/>
  <c r="BF57" i="45" s="1"/>
  <c r="AN51" i="38"/>
  <c r="AT3" i="38"/>
  <c r="AT82" i="38" s="1"/>
  <c r="AN89" i="38"/>
  <c r="AN67" i="38"/>
  <c r="AN68" i="38"/>
  <c r="AN55" i="38"/>
  <c r="AN69" i="38"/>
  <c r="AN62" i="38"/>
  <c r="AN92" i="38"/>
  <c r="AN78" i="38"/>
  <c r="AN77" i="38"/>
  <c r="AN71" i="38"/>
  <c r="AN61" i="38"/>
  <c r="AN94" i="38"/>
  <c r="AN59" i="38"/>
  <c r="AN93" i="38"/>
  <c r="AN58" i="38"/>
  <c r="AN70" i="38"/>
  <c r="AN79" i="38"/>
  <c r="AN76" i="38"/>
  <c r="AN75" i="38"/>
  <c r="AN80" i="38"/>
  <c r="AN56" i="38"/>
  <c r="AN86" i="38"/>
  <c r="AN85" i="38"/>
  <c r="AN57" i="38"/>
  <c r="AN73" i="38"/>
  <c r="AN83" i="38"/>
  <c r="AN74" i="38"/>
  <c r="AN84" i="38"/>
  <c r="AN72" i="38"/>
  <c r="AN91" i="38"/>
  <c r="AS73" i="38"/>
  <c r="AW25" i="38"/>
  <c r="AI87" i="38"/>
  <c r="AM39" i="38"/>
  <c r="AI63" i="38"/>
  <c r="AM15" i="38"/>
  <c r="AJ65" i="38"/>
  <c r="AN17" i="38"/>
  <c r="AM89" i="38"/>
  <c r="AS41" i="38"/>
  <c r="AS54" i="38"/>
  <c r="AW6" i="38"/>
  <c r="AM75" i="38"/>
  <c r="AS27" i="38"/>
  <c r="AX18" i="38"/>
  <c r="AM78" i="38"/>
  <c r="AS30" i="38"/>
  <c r="AM79" i="38"/>
  <c r="AS31" i="38"/>
  <c r="AS58" i="38"/>
  <c r="AW10" i="38"/>
  <c r="AI60" i="38"/>
  <c r="AM12" i="38"/>
  <c r="AM61" i="38"/>
  <c r="AS13" i="38"/>
  <c r="AM85" i="38"/>
  <c r="AS37" i="38"/>
  <c r="AS62" i="38"/>
  <c r="AW14" i="38"/>
  <c r="AM70" i="38"/>
  <c r="AS22" i="38"/>
  <c r="AS93" i="38"/>
  <c r="AW45" i="38"/>
  <c r="AS51" i="38"/>
  <c r="AW3" i="38"/>
  <c r="AW59" i="38" s="1"/>
  <c r="AM67" i="38"/>
  <c r="AS19" i="38"/>
  <c r="AN66" i="38"/>
  <c r="AW28" i="38"/>
  <c r="AS76" i="38"/>
  <c r="AX34" i="38"/>
  <c r="AM86" i="38"/>
  <c r="AS38" i="38"/>
  <c r="AE64" i="38"/>
  <c r="AI16" i="38"/>
  <c r="AW20" i="38"/>
  <c r="AS68" i="38"/>
  <c r="AI66" i="38"/>
  <c r="AM18" i="38"/>
  <c r="AJ60" i="38"/>
  <c r="AN12" i="38"/>
  <c r="AI90" i="38"/>
  <c r="AM42" i="38"/>
  <c r="AM82" i="38"/>
  <c r="AS34" i="38"/>
  <c r="AM83" i="38"/>
  <c r="AS35" i="38"/>
  <c r="AS92" i="38"/>
  <c r="AW44" i="38"/>
  <c r="AS77" i="38"/>
  <c r="AW29" i="38"/>
  <c r="AM74" i="38"/>
  <c r="AS26" i="38"/>
  <c r="AS91" i="38"/>
  <c r="AW43" i="38"/>
  <c r="AN82" i="38"/>
  <c r="AM56" i="38"/>
  <c r="AS8" i="38"/>
  <c r="AN88" i="38"/>
  <c r="AT40" i="38"/>
  <c r="AM94" i="38"/>
  <c r="AS46" i="38"/>
  <c r="AM69" i="38"/>
  <c r="AS21" i="38"/>
  <c r="AS72" i="38"/>
  <c r="AW24" i="38"/>
  <c r="AM55" i="38"/>
  <c r="AS7" i="38"/>
  <c r="AW36" i="38"/>
  <c r="AS84" i="38"/>
  <c r="AJ90" i="38"/>
  <c r="AN42" i="38"/>
  <c r="AE65" i="38"/>
  <c r="AI17" i="38"/>
  <c r="AM71" i="38"/>
  <c r="AS23" i="38"/>
  <c r="AM57" i="38"/>
  <c r="AS9" i="38"/>
  <c r="AT6" i="38"/>
  <c r="AN54" i="38"/>
  <c r="AM88" i="38"/>
  <c r="AS40" i="38"/>
  <c r="AM80" i="38"/>
  <c r="AS32" i="38"/>
  <c r="AS59" i="38"/>
  <c r="V64" i="38"/>
  <c r="Z16" i="38"/>
  <c r="Z63" i="38"/>
  <c r="AF15" i="38"/>
  <c r="Z87" i="38"/>
  <c r="AF39" i="38"/>
  <c r="G22" i="22"/>
  <c r="G24" i="22" s="1"/>
  <c r="G25" i="22" s="1"/>
  <c r="G27" i="22" s="1"/>
  <c r="G7" i="22"/>
  <c r="H130" i="10"/>
  <c r="AT66" i="38" l="1"/>
  <c r="BA20" i="38"/>
  <c r="BI20" i="38" s="1"/>
  <c r="BA28" i="38"/>
  <c r="BI28" i="38" s="1"/>
  <c r="BA6" i="38"/>
  <c r="BI6" i="38" s="1"/>
  <c r="BA29" i="38"/>
  <c r="BI29" i="38" s="1"/>
  <c r="BB18" i="38"/>
  <c r="BJ18" i="38" s="1"/>
  <c r="BA24" i="38"/>
  <c r="BI24" i="38" s="1"/>
  <c r="BB34" i="38"/>
  <c r="BJ34" i="38" s="1"/>
  <c r="BA45" i="38"/>
  <c r="BI45" i="38" s="1"/>
  <c r="BA14" i="38"/>
  <c r="BI14" i="38" s="1"/>
  <c r="BA10" i="38"/>
  <c r="BI10" i="38" s="1"/>
  <c r="BA25" i="38"/>
  <c r="BI25" i="38" s="1"/>
  <c r="BA36" i="38"/>
  <c r="BI36" i="38" s="1"/>
  <c r="BA44" i="38"/>
  <c r="BI44" i="38" s="1"/>
  <c r="BA43" i="38"/>
  <c r="BI43" i="38" s="1"/>
  <c r="AW9" i="38"/>
  <c r="AS57" i="38"/>
  <c r="AS55" i="38"/>
  <c r="AW7" i="38"/>
  <c r="AW26" i="38"/>
  <c r="AS74" i="38"/>
  <c r="AF87" i="38"/>
  <c r="AJ39" i="38"/>
  <c r="AS80" i="38"/>
  <c r="AW32" i="38"/>
  <c r="AT54" i="38"/>
  <c r="AX6" i="38"/>
  <c r="BB6" i="38" s="1"/>
  <c r="BJ6" i="38" s="1"/>
  <c r="AI65" i="38"/>
  <c r="AM17" i="38"/>
  <c r="AN90" i="38"/>
  <c r="AT42" i="38"/>
  <c r="AS69" i="38"/>
  <c r="AW21" i="38"/>
  <c r="AX40" i="38"/>
  <c r="AT88" i="38"/>
  <c r="AW62" i="38"/>
  <c r="AS61" i="38"/>
  <c r="AW13" i="38"/>
  <c r="AW58" i="38"/>
  <c r="AW54" i="38"/>
  <c r="AN65" i="38"/>
  <c r="AT17" i="38"/>
  <c r="AS88" i="38"/>
  <c r="AW40" i="38"/>
  <c r="AI64" i="38"/>
  <c r="AM16" i="38"/>
  <c r="AS67" i="38"/>
  <c r="AW19" i="38"/>
  <c r="AS70" i="38"/>
  <c r="AW22" i="38"/>
  <c r="AS78" i="38"/>
  <c r="AW30" i="38"/>
  <c r="AM87" i="38"/>
  <c r="AS39" i="38"/>
  <c r="AW73" i="38"/>
  <c r="AS82" i="38"/>
  <c r="AW34" i="38"/>
  <c r="AM66" i="38"/>
  <c r="AS18" i="38"/>
  <c r="AW91" i="38"/>
  <c r="BA3" i="38"/>
  <c r="AW51" i="38"/>
  <c r="AF63" i="38"/>
  <c r="AJ15" i="38"/>
  <c r="AW72" i="38"/>
  <c r="AS94" i="38"/>
  <c r="AW46" i="38"/>
  <c r="AW68" i="38"/>
  <c r="AS85" i="38"/>
  <c r="AW37" i="38"/>
  <c r="AM60" i="38"/>
  <c r="AS12" i="38"/>
  <c r="AS79" i="38"/>
  <c r="AW31" i="38"/>
  <c r="AS75" i="38"/>
  <c r="AW27" i="38"/>
  <c r="AS89" i="38"/>
  <c r="AW41" i="38"/>
  <c r="AT75" i="38"/>
  <c r="AX3" i="38"/>
  <c r="AT51" i="38"/>
  <c r="AT89" i="38"/>
  <c r="AT56" i="38"/>
  <c r="AT79" i="38"/>
  <c r="AT92" i="38"/>
  <c r="AT69" i="38"/>
  <c r="AT68" i="38"/>
  <c r="AT91" i="38"/>
  <c r="AT74" i="38"/>
  <c r="AT73" i="38"/>
  <c r="AT85" i="38"/>
  <c r="AT76" i="38"/>
  <c r="AT70" i="38"/>
  <c r="AT59" i="38"/>
  <c r="AT61" i="38"/>
  <c r="AT77" i="38"/>
  <c r="AT62" i="38"/>
  <c r="AT55" i="38"/>
  <c r="AT67" i="38"/>
  <c r="AT72" i="38"/>
  <c r="AT84" i="38"/>
  <c r="AT83" i="38"/>
  <c r="AT57" i="38"/>
  <c r="AT86" i="38"/>
  <c r="AT93" i="38"/>
  <c r="AT94" i="38"/>
  <c r="AT71" i="38"/>
  <c r="AT78" i="38"/>
  <c r="AT80" i="38"/>
  <c r="AT58" i="38"/>
  <c r="AW92" i="38"/>
  <c r="AS71" i="38"/>
  <c r="AW23" i="38"/>
  <c r="AW84" i="38"/>
  <c r="AS56" i="38"/>
  <c r="AW8" i="38"/>
  <c r="AW77" i="38"/>
  <c r="AS83" i="38"/>
  <c r="AW35" i="38"/>
  <c r="AM90" i="38"/>
  <c r="AS42" i="38"/>
  <c r="AN60" i="38"/>
  <c r="AT12" i="38"/>
  <c r="AS86" i="38"/>
  <c r="AW38" i="38"/>
  <c r="AW76" i="38"/>
  <c r="AW93" i="38"/>
  <c r="AM63" i="38"/>
  <c r="AS15" i="38"/>
  <c r="Z64" i="38"/>
  <c r="AF16" i="38"/>
  <c r="G8" i="22"/>
  <c r="G10" i="22" s="1"/>
  <c r="G11" i="22" s="1"/>
  <c r="G13" i="22" s="1"/>
  <c r="BA59" i="38" l="1"/>
  <c r="BI3" i="38"/>
  <c r="BI54" i="38" s="1"/>
  <c r="BA35" i="38"/>
  <c r="BA46" i="38"/>
  <c r="BA7" i="38"/>
  <c r="BI7" i="38" s="1"/>
  <c r="BA41" i="38"/>
  <c r="BA31" i="38"/>
  <c r="BA37" i="38"/>
  <c r="BA22" i="38"/>
  <c r="BI22" i="38" s="1"/>
  <c r="BA13" i="38"/>
  <c r="BI13" i="38" s="1"/>
  <c r="BI61" i="38" s="1"/>
  <c r="BB40" i="38"/>
  <c r="BJ40" i="38" s="1"/>
  <c r="BA34" i="38"/>
  <c r="BI34" i="38" s="1"/>
  <c r="BI82" i="38" s="1"/>
  <c r="BA21" i="38"/>
  <c r="BI21" i="38" s="1"/>
  <c r="BA32" i="38"/>
  <c r="BI32" i="38" s="1"/>
  <c r="BI80" i="38" s="1"/>
  <c r="BA38" i="38"/>
  <c r="BA23" i="38"/>
  <c r="BA8" i="38"/>
  <c r="BA27" i="38"/>
  <c r="BI27" i="38" s="1"/>
  <c r="BI75" i="38" s="1"/>
  <c r="BA30" i="38"/>
  <c r="BA19" i="38"/>
  <c r="BA40" i="38"/>
  <c r="BI40" i="38" s="1"/>
  <c r="BA26" i="38"/>
  <c r="BI26" i="38" s="1"/>
  <c r="BI74" i="38" s="1"/>
  <c r="BA9" i="38"/>
  <c r="BI9" i="38" s="1"/>
  <c r="BI57" i="38" s="1"/>
  <c r="BA93" i="38"/>
  <c r="BA77" i="38"/>
  <c r="BA74" i="38"/>
  <c r="BA76" i="38"/>
  <c r="BA73" i="38"/>
  <c r="BA91" i="38"/>
  <c r="BA68" i="38"/>
  <c r="BA58" i="38"/>
  <c r="BA72" i="38"/>
  <c r="BA84" i="38"/>
  <c r="BA75" i="38"/>
  <c r="BA69" i="38"/>
  <c r="BA80" i="38"/>
  <c r="BA62" i="38"/>
  <c r="BA54" i="38"/>
  <c r="BA92" i="38"/>
  <c r="BA51" i="38"/>
  <c r="AF64" i="38"/>
  <c r="AJ16" i="38"/>
  <c r="AW86" i="38"/>
  <c r="AS90" i="38"/>
  <c r="AW42" i="38"/>
  <c r="AW82" i="38"/>
  <c r="AS87" i="38"/>
  <c r="AW39" i="38"/>
  <c r="AW78" i="38"/>
  <c r="AW67" i="38"/>
  <c r="AW88" i="38"/>
  <c r="AW61" i="38"/>
  <c r="AW69" i="38"/>
  <c r="AW55" i="38"/>
  <c r="AX51" i="38"/>
  <c r="BB3" i="38"/>
  <c r="AX89" i="38"/>
  <c r="AX75" i="38"/>
  <c r="AX58" i="38"/>
  <c r="AX79" i="38"/>
  <c r="AX78" i="38"/>
  <c r="AX84" i="38"/>
  <c r="AX93" i="38"/>
  <c r="AX86" i="38"/>
  <c r="AX61" i="38"/>
  <c r="AX70" i="38"/>
  <c r="AX68" i="38"/>
  <c r="AX92" i="38"/>
  <c r="AX67" i="38"/>
  <c r="AX62" i="38"/>
  <c r="AX83" i="38"/>
  <c r="AX85" i="38"/>
  <c r="AX73" i="38"/>
  <c r="AX91" i="38"/>
  <c r="AX71" i="38"/>
  <c r="AX56" i="38"/>
  <c r="AX57" i="38"/>
  <c r="AX80" i="38"/>
  <c r="AX76" i="38"/>
  <c r="AX77" i="38"/>
  <c r="AX59" i="38"/>
  <c r="AX72" i="38"/>
  <c r="AX55" i="38"/>
  <c r="AX94" i="38"/>
  <c r="AX74" i="38"/>
  <c r="AX69" i="38"/>
  <c r="AW75" i="38"/>
  <c r="AS60" i="38"/>
  <c r="AW12" i="38"/>
  <c r="AJ63" i="38"/>
  <c r="AN15" i="38"/>
  <c r="AX82" i="38"/>
  <c r="AM65" i="38"/>
  <c r="AS17" i="38"/>
  <c r="AW80" i="38"/>
  <c r="AS63" i="38"/>
  <c r="AW15" i="38"/>
  <c r="AT60" i="38"/>
  <c r="AX12" i="38"/>
  <c r="AW83" i="38"/>
  <c r="AS66" i="38"/>
  <c r="AW18" i="38"/>
  <c r="AW70" i="38"/>
  <c r="AM64" i="38"/>
  <c r="AS16" i="38"/>
  <c r="AT65" i="38"/>
  <c r="AX17" i="38"/>
  <c r="AW56" i="38"/>
  <c r="AW71" i="38"/>
  <c r="AW89" i="38"/>
  <c r="AW79" i="38"/>
  <c r="AW85" i="38"/>
  <c r="AW94" i="38"/>
  <c r="AX66" i="38"/>
  <c r="AX88" i="38"/>
  <c r="AT90" i="38"/>
  <c r="AX42" i="38"/>
  <c r="AX54" i="38"/>
  <c r="AJ87" i="38"/>
  <c r="AN39" i="38"/>
  <c r="AW74" i="38"/>
  <c r="AW57" i="38"/>
  <c r="BI93" i="38" l="1"/>
  <c r="BI68" i="38"/>
  <c r="BI88" i="38"/>
  <c r="BI69" i="38"/>
  <c r="BI70" i="38"/>
  <c r="BI55" i="38"/>
  <c r="BI84" i="38"/>
  <c r="BI72" i="38"/>
  <c r="BA61" i="38"/>
  <c r="BA70" i="38"/>
  <c r="BI76" i="38"/>
  <c r="BI51" i="38"/>
  <c r="BI59" i="38"/>
  <c r="BI62" i="38"/>
  <c r="BI58" i="38"/>
  <c r="BB88" i="38"/>
  <c r="BJ3" i="38"/>
  <c r="BI77" i="38"/>
  <c r="BI92" i="38"/>
  <c r="BI91" i="38"/>
  <c r="BI73" i="38"/>
  <c r="BA82" i="38"/>
  <c r="BA55" i="38"/>
  <c r="BA57" i="38"/>
  <c r="BB17" i="38"/>
  <c r="BB12" i="38"/>
  <c r="BA78" i="38"/>
  <c r="BI30" i="38"/>
  <c r="BI78" i="38" s="1"/>
  <c r="BA56" i="38"/>
  <c r="BI8" i="38"/>
  <c r="BI56" i="38" s="1"/>
  <c r="BA86" i="38"/>
  <c r="BI38" i="38"/>
  <c r="BI86" i="38" s="1"/>
  <c r="BA85" i="38"/>
  <c r="BI37" i="38"/>
  <c r="BI85" i="38" s="1"/>
  <c r="BA89" i="38"/>
  <c r="BI41" i="38"/>
  <c r="BI89" i="38" s="1"/>
  <c r="BA94" i="38"/>
  <c r="BI46" i="38"/>
  <c r="BA18" i="38"/>
  <c r="BA15" i="38"/>
  <c r="BA12" i="38"/>
  <c r="BA42" i="38"/>
  <c r="BA67" i="38"/>
  <c r="BI19" i="38"/>
  <c r="BA71" i="38"/>
  <c r="BI23" i="38"/>
  <c r="BA79" i="38"/>
  <c r="BI31" i="38"/>
  <c r="BB42" i="38"/>
  <c r="BA39" i="38"/>
  <c r="BA88" i="38"/>
  <c r="BA83" i="38"/>
  <c r="BI35" i="38"/>
  <c r="BB54" i="38"/>
  <c r="BB51" i="38"/>
  <c r="BB89" i="38"/>
  <c r="BB75" i="38"/>
  <c r="BB78" i="38"/>
  <c r="BB84" i="38"/>
  <c r="BB77" i="38"/>
  <c r="BB85" i="38"/>
  <c r="BB57" i="38"/>
  <c r="BB71" i="38"/>
  <c r="BB80" i="38"/>
  <c r="BB62" i="38"/>
  <c r="BB79" i="38"/>
  <c r="BB68" i="38"/>
  <c r="BB59" i="38"/>
  <c r="BB73" i="38"/>
  <c r="BB83" i="38"/>
  <c r="BB93" i="38"/>
  <c r="BB74" i="38"/>
  <c r="BB56" i="38"/>
  <c r="BB92" i="38"/>
  <c r="BB70" i="38"/>
  <c r="BB55" i="38"/>
  <c r="BB72" i="38"/>
  <c r="BB91" i="38"/>
  <c r="BB86" i="38"/>
  <c r="BB94" i="38"/>
  <c r="BB76" i="38"/>
  <c r="BB58" i="38"/>
  <c r="BB69" i="38"/>
  <c r="BB61" i="38"/>
  <c r="BB67" i="38"/>
  <c r="BB66" i="38"/>
  <c r="BB82" i="38"/>
  <c r="AN87" i="38"/>
  <c r="AT39" i="38"/>
  <c r="AX90" i="38"/>
  <c r="AS64" i="38"/>
  <c r="AW16" i="38"/>
  <c r="AW63" i="38"/>
  <c r="AS65" i="38"/>
  <c r="AW17" i="38"/>
  <c r="AX65" i="38"/>
  <c r="AW66" i="38"/>
  <c r="AX60" i="38"/>
  <c r="AW87" i="38"/>
  <c r="AW90" i="38"/>
  <c r="AJ64" i="38"/>
  <c r="AN16" i="38"/>
  <c r="AW60" i="38"/>
  <c r="AN63" i="38"/>
  <c r="AT15" i="38"/>
  <c r="BJ51" i="38" l="1"/>
  <c r="BJ75" i="38"/>
  <c r="BJ89" i="38"/>
  <c r="BJ91" i="38"/>
  <c r="BJ85" i="38"/>
  <c r="BJ61" i="38"/>
  <c r="BJ84" i="38"/>
  <c r="BJ69" i="38"/>
  <c r="BJ86" i="38"/>
  <c r="BJ70" i="38"/>
  <c r="BJ77" i="38"/>
  <c r="BJ68" i="38"/>
  <c r="BJ57" i="38"/>
  <c r="BJ71" i="38"/>
  <c r="BJ76" i="38"/>
  <c r="BJ67" i="38"/>
  <c r="BJ73" i="38"/>
  <c r="BJ83" i="38"/>
  <c r="BJ93" i="38"/>
  <c r="BJ78" i="38"/>
  <c r="BJ62" i="38"/>
  <c r="BJ55" i="38"/>
  <c r="BJ59" i="38"/>
  <c r="BJ92" i="38"/>
  <c r="BJ94" i="38"/>
  <c r="BJ74" i="38"/>
  <c r="BJ79" i="38"/>
  <c r="BJ80" i="38"/>
  <c r="BJ58" i="38"/>
  <c r="BJ72" i="38"/>
  <c r="BJ56" i="38"/>
  <c r="BJ82" i="38"/>
  <c r="BJ66" i="38"/>
  <c r="BJ54" i="38"/>
  <c r="BJ88" i="38"/>
  <c r="BA16" i="38"/>
  <c r="BI71" i="38"/>
  <c r="BI94" i="38"/>
  <c r="BA17" i="38"/>
  <c r="BB90" i="38"/>
  <c r="BJ42" i="38"/>
  <c r="BJ90" i="38" s="1"/>
  <c r="BA90" i="38"/>
  <c r="BI42" i="38"/>
  <c r="BI90" i="38" s="1"/>
  <c r="BA63" i="38"/>
  <c r="BI15" i="38"/>
  <c r="BI63" i="38" s="1"/>
  <c r="BB60" i="38"/>
  <c r="BJ12" i="38"/>
  <c r="BJ60" i="38" s="1"/>
  <c r="BI79" i="38"/>
  <c r="BI67" i="38"/>
  <c r="BI83" i="38"/>
  <c r="BA87" i="38"/>
  <c r="BI39" i="38"/>
  <c r="BA60" i="38"/>
  <c r="BI12" i="38"/>
  <c r="BA66" i="38"/>
  <c r="BI18" i="38"/>
  <c r="BB65" i="38"/>
  <c r="BJ17" i="38"/>
  <c r="AT63" i="38"/>
  <c r="AX15" i="38"/>
  <c r="AN64" i="38"/>
  <c r="AT16" i="38"/>
  <c r="AW65" i="38"/>
  <c r="AW64" i="38"/>
  <c r="AT87" i="38"/>
  <c r="AX39" i="38"/>
  <c r="BA65" i="38" l="1"/>
  <c r="BI17" i="38"/>
  <c r="BB39" i="38"/>
  <c r="BJ65" i="38"/>
  <c r="BI60" i="38"/>
  <c r="BB15" i="38"/>
  <c r="BI66" i="38"/>
  <c r="BI87" i="38"/>
  <c r="BA64" i="38"/>
  <c r="BI16" i="38"/>
  <c r="AT64" i="38"/>
  <c r="AX16" i="38"/>
  <c r="AX63" i="38"/>
  <c r="AX87" i="38"/>
  <c r="BI65" i="38" l="1"/>
  <c r="BB87" i="38"/>
  <c r="BJ39" i="38"/>
  <c r="BJ87" i="38" s="1"/>
  <c r="BI64" i="38"/>
  <c r="BB63" i="38"/>
  <c r="BJ15" i="38"/>
  <c r="BB16" i="38"/>
  <c r="AX64" i="38"/>
  <c r="BB64" i="38" l="1"/>
  <c r="BJ16" i="38"/>
  <c r="BJ63" i="38"/>
  <c r="J326" i="28"/>
  <c r="J329" i="28"/>
  <c r="J331" i="28"/>
  <c r="BJ64" i="38" l="1"/>
  <c r="N331" i="28"/>
  <c r="N329" i="28"/>
  <c r="N326" i="28"/>
  <c r="R329" i="28" l="1"/>
  <c r="V329" i="28" s="1"/>
  <c r="R326" i="28"/>
  <c r="V326" i="28" s="1"/>
  <c r="R331" i="28"/>
  <c r="V331" i="28" s="1"/>
  <c r="G33" i="28"/>
  <c r="AB326" i="28" l="1"/>
  <c r="AF326" i="28" s="1"/>
  <c r="AJ326" i="28" s="1"/>
  <c r="AP326" i="28" s="1"/>
  <c r="AT326" i="28" s="1"/>
  <c r="AX326" i="28" s="1"/>
  <c r="BF326" i="28" s="1"/>
  <c r="AB329" i="28"/>
  <c r="AF329" i="28" s="1"/>
  <c r="AJ329" i="28" s="1"/>
  <c r="AP329" i="28" s="1"/>
  <c r="AT329" i="28" s="1"/>
  <c r="AX329" i="28" s="1"/>
  <c r="BF329" i="28" s="1"/>
  <c r="AB331" i="28"/>
  <c r="AF331" i="28" s="1"/>
  <c r="AJ331" i="28" s="1"/>
  <c r="AP331" i="28" s="1"/>
  <c r="AT331" i="28" s="1"/>
  <c r="AX331" i="28" s="1"/>
  <c r="BF331" i="28" s="1"/>
  <c r="E52" i="11" l="1"/>
  <c r="F125" i="10"/>
  <c r="I44" i="59" s="1"/>
  <c r="H125" i="10"/>
  <c r="K44" i="59" s="1"/>
  <c r="E53" i="11" l="1"/>
  <c r="E55" i="11" s="1"/>
  <c r="F37" i="8"/>
  <c r="F36" i="8"/>
  <c r="F38" i="8"/>
  <c r="H19" i="35" l="1"/>
  <c r="H46" i="35"/>
  <c r="H45" i="35"/>
  <c r="J324" i="28" l="1"/>
  <c r="N324" i="28" l="1"/>
  <c r="H427" i="28"/>
  <c r="H424" i="28"/>
  <c r="H420" i="28"/>
  <c r="H58" i="28"/>
  <c r="H451" i="28" s="1"/>
  <c r="H54" i="28"/>
  <c r="H50" i="28"/>
  <c r="H36" i="28"/>
  <c r="H35" i="28"/>
  <c r="H34" i="28"/>
  <c r="H33" i="28"/>
  <c r="H31" i="28"/>
  <c r="G27" i="28"/>
  <c r="G31" i="28" s="1"/>
  <c r="H24" i="28"/>
  <c r="G21" i="28"/>
  <c r="H18" i="28"/>
  <c r="G15" i="28"/>
  <c r="G18" i="28" s="1"/>
  <c r="H11" i="28"/>
  <c r="G8" i="28"/>
  <c r="J31" i="36"/>
  <c r="I31" i="36"/>
  <c r="J44" i="36"/>
  <c r="J45" i="36"/>
  <c r="J47" i="36" s="1"/>
  <c r="J48" i="36"/>
  <c r="J49" i="36"/>
  <c r="H444" i="28" l="1"/>
  <c r="H442" i="28"/>
  <c r="H43" i="28"/>
  <c r="H450" i="28"/>
  <c r="H452" i="28"/>
  <c r="H436" i="28"/>
  <c r="H443" i="28"/>
  <c r="G261" i="28"/>
  <c r="G448" i="28" s="1"/>
  <c r="G415" i="28"/>
  <c r="G456" i="28" s="1"/>
  <c r="H439" i="28"/>
  <c r="H447" i="28"/>
  <c r="H448" i="28"/>
  <c r="H446" i="28"/>
  <c r="H456" i="28"/>
  <c r="H41" i="28"/>
  <c r="H437" i="28"/>
  <c r="H42" i="28"/>
  <c r="H440" i="28"/>
  <c r="H44" i="28"/>
  <c r="H433" i="28"/>
  <c r="R324" i="28"/>
  <c r="V324" i="28" s="1"/>
  <c r="G34" i="28"/>
  <c r="G38" i="28" s="1"/>
  <c r="H61" i="28"/>
  <c r="H65" i="28" s="1"/>
  <c r="H60" i="28"/>
  <c r="M45" i="36"/>
  <c r="M49" i="36"/>
  <c r="AA49" i="36" s="1"/>
  <c r="I48" i="36"/>
  <c r="M48" i="36"/>
  <c r="AA48" i="36" s="1"/>
  <c r="I45" i="36"/>
  <c r="I47" i="36" s="1"/>
  <c r="G44" i="28"/>
  <c r="G60" i="28" s="1"/>
  <c r="G11" i="28"/>
  <c r="I49" i="36"/>
  <c r="G24" i="28"/>
  <c r="H38" i="28"/>
  <c r="G42" i="28"/>
  <c r="G52" i="28" s="1"/>
  <c r="G440" i="28" l="1"/>
  <c r="G433" i="28"/>
  <c r="G439" i="28"/>
  <c r="G447" i="28"/>
  <c r="G176" i="28"/>
  <c r="G437" i="28" s="1"/>
  <c r="G446" i="28"/>
  <c r="G434" i="28"/>
  <c r="G455" i="28"/>
  <c r="G454" i="28"/>
  <c r="G319" i="28"/>
  <c r="G452" i="28" s="1"/>
  <c r="H39" i="28"/>
  <c r="AA45" i="36"/>
  <c r="AE45" i="36" s="1"/>
  <c r="AI45" i="36" s="1"/>
  <c r="AI47" i="36" s="1"/>
  <c r="H45" i="28"/>
  <c r="AB324" i="28"/>
  <c r="AF324" i="28" s="1"/>
  <c r="Q49" i="36"/>
  <c r="U49" i="36" s="1"/>
  <c r="AE49" i="36"/>
  <c r="AI49" i="36" s="1"/>
  <c r="Q48" i="36"/>
  <c r="U48" i="36" s="1"/>
  <c r="AE48" i="36"/>
  <c r="AI48" i="36" s="1"/>
  <c r="M47" i="36"/>
  <c r="Q45" i="36"/>
  <c r="H62" i="28"/>
  <c r="H64" i="28"/>
  <c r="H66" i="28" s="1"/>
  <c r="H67" i="28" s="1"/>
  <c r="G41" i="28"/>
  <c r="G48" i="28" s="1"/>
  <c r="G442" i="28" s="1"/>
  <c r="G43" i="28"/>
  <c r="G56" i="28" s="1"/>
  <c r="G444" i="28" l="1"/>
  <c r="G451" i="28"/>
  <c r="H434" i="28"/>
  <c r="H455" i="28"/>
  <c r="H454" i="28"/>
  <c r="G436" i="28"/>
  <c r="G443" i="28"/>
  <c r="G450" i="28"/>
  <c r="AE47" i="36"/>
  <c r="AA47" i="36"/>
  <c r="AJ324" i="28"/>
  <c r="Q47" i="36"/>
  <c r="U45" i="36"/>
  <c r="AO48" i="36"/>
  <c r="AO49" i="36"/>
  <c r="G45" i="28"/>
  <c r="G64" i="28"/>
  <c r="H17" i="36"/>
  <c r="K36" i="59" s="1"/>
  <c r="H16" i="36"/>
  <c r="K35" i="59" s="1"/>
  <c r="AS48" i="36" l="1"/>
  <c r="AW48" i="36" s="1"/>
  <c r="BE48" i="36" s="1"/>
  <c r="AS49" i="36"/>
  <c r="AW49" i="36" s="1"/>
  <c r="BE49" i="36" s="1"/>
  <c r="AP324" i="28"/>
  <c r="U47" i="36"/>
  <c r="F17" i="36"/>
  <c r="I36" i="59" s="1"/>
  <c r="F16" i="36"/>
  <c r="I35" i="59" s="1"/>
  <c r="J43" i="36"/>
  <c r="I43" i="36"/>
  <c r="AT324" i="28" l="1"/>
  <c r="AX324" i="28" s="1"/>
  <c r="BF324" i="28" s="1"/>
  <c r="AO45" i="36"/>
  <c r="H33" i="36"/>
  <c r="G33" i="36"/>
  <c r="H18" i="36"/>
  <c r="K37" i="59" s="1"/>
  <c r="AS45" i="36" l="1"/>
  <c r="AW45" i="36" s="1"/>
  <c r="BE45" i="36" s="1"/>
  <c r="G85" i="9"/>
  <c r="G22" i="9" s="1"/>
  <c r="G44" i="36"/>
  <c r="AO47" i="36"/>
  <c r="G18" i="36"/>
  <c r="J37" i="59" s="1"/>
  <c r="BJ37" i="21"/>
  <c r="BJ33" i="21"/>
  <c r="BJ29" i="21"/>
  <c r="BI29" i="21"/>
  <c r="BJ24" i="21"/>
  <c r="BJ25" i="21" s="1"/>
  <c r="BI22" i="21"/>
  <c r="BI15" i="21"/>
  <c r="BE47" i="36" l="1"/>
  <c r="AS47" i="36"/>
  <c r="AW47" i="36"/>
  <c r="G86" i="9"/>
  <c r="H37" i="21"/>
  <c r="H33" i="21"/>
  <c r="H29" i="21"/>
  <c r="G29" i="21"/>
  <c r="H12" i="21"/>
  <c r="G12" i="21"/>
  <c r="H20" i="21" l="1"/>
  <c r="H459" i="28"/>
  <c r="H460" i="28"/>
  <c r="G22" i="21"/>
  <c r="G460" i="28"/>
  <c r="G459" i="28"/>
  <c r="H24" i="21"/>
  <c r="H23" i="21" s="1"/>
  <c r="G15" i="21"/>
  <c r="J23" i="21" l="1"/>
  <c r="H25" i="21"/>
  <c r="I45" i="35"/>
  <c r="I46" i="35"/>
  <c r="J40" i="35"/>
  <c r="N40" i="35" s="1"/>
  <c r="R40" i="35" s="1"/>
  <c r="V40" i="35" s="1"/>
  <c r="AB40" i="35" s="1"/>
  <c r="I41" i="35"/>
  <c r="M41" i="35" s="1"/>
  <c r="Q41" i="35" s="1"/>
  <c r="U41" i="35" s="1"/>
  <c r="AA41" i="35" s="1"/>
  <c r="J41" i="35"/>
  <c r="N41" i="35" s="1"/>
  <c r="R41" i="35" s="1"/>
  <c r="V41" i="35" s="1"/>
  <c r="AB41" i="35" s="1"/>
  <c r="I42" i="35"/>
  <c r="M42" i="35" s="1"/>
  <c r="Q42" i="35" s="1"/>
  <c r="U42" i="35" s="1"/>
  <c r="AA42" i="35" s="1"/>
  <c r="J42" i="35"/>
  <c r="N42" i="35" s="1"/>
  <c r="R42" i="35" s="1"/>
  <c r="V42" i="35" s="1"/>
  <c r="AB42" i="35" s="1"/>
  <c r="I32" i="35"/>
  <c r="I33" i="35"/>
  <c r="M33" i="35" s="1"/>
  <c r="Q33" i="35" s="1"/>
  <c r="U33" i="35" s="1"/>
  <c r="J33" i="35"/>
  <c r="N33" i="35" s="1"/>
  <c r="R33" i="35" s="1"/>
  <c r="V33" i="35" s="1"/>
  <c r="AB33" i="35" s="1"/>
  <c r="J1" i="35"/>
  <c r="N1" i="35" s="1"/>
  <c r="R1" i="35" s="1"/>
  <c r="V1" i="35" s="1"/>
  <c r="AB1" i="35" s="1"/>
  <c r="AF1" i="35" s="1"/>
  <c r="AJ1" i="35" s="1"/>
  <c r="AP1" i="35" s="1"/>
  <c r="AT1" i="35" s="1"/>
  <c r="AX1" i="35" s="1"/>
  <c r="I1" i="35"/>
  <c r="M1" i="35" s="1"/>
  <c r="Q1" i="35" s="1"/>
  <c r="U1" i="35" s="1"/>
  <c r="AA1" i="35" s="1"/>
  <c r="E19" i="35"/>
  <c r="AE42" i="35" l="1"/>
  <c r="AE41" i="35"/>
  <c r="AI41" i="35" s="1"/>
  <c r="AO41" i="35" s="1"/>
  <c r="AS41" i="35" s="1"/>
  <c r="AE1" i="35"/>
  <c r="AI1" i="35" s="1"/>
  <c r="AO1" i="35" s="1"/>
  <c r="AS1" i="35" s="1"/>
  <c r="AW1" i="35" s="1"/>
  <c r="BE1" i="35" s="1"/>
  <c r="AF33" i="35"/>
  <c r="AF42" i="35"/>
  <c r="AF41" i="35"/>
  <c r="AF40" i="35"/>
  <c r="BF1" i="35"/>
  <c r="AA33" i="35"/>
  <c r="M32" i="35"/>
  <c r="I34" i="35"/>
  <c r="I43" i="35" s="1"/>
  <c r="AW41" i="35" l="1"/>
  <c r="BE41" i="35" s="1"/>
  <c r="AJ42" i="35"/>
  <c r="AP42" i="35" s="1"/>
  <c r="AT42" i="35" s="1"/>
  <c r="AJ33" i="35"/>
  <c r="AJ41" i="35"/>
  <c r="AP41" i="35" s="1"/>
  <c r="AT41" i="35" s="1"/>
  <c r="AJ40" i="35"/>
  <c r="AP40" i="35" s="1"/>
  <c r="AT40" i="35" s="1"/>
  <c r="AI42" i="35"/>
  <c r="AO42" i="35" s="1"/>
  <c r="AS42" i="35" s="1"/>
  <c r="AE33" i="35"/>
  <c r="M34" i="35"/>
  <c r="M43" i="35" s="1"/>
  <c r="Q32" i="35"/>
  <c r="J48" i="35"/>
  <c r="I48" i="35"/>
  <c r="I19" i="35" s="1"/>
  <c r="AX42" i="35" l="1"/>
  <c r="BF42" i="35" s="1"/>
  <c r="AW42" i="35"/>
  <c r="BE42" i="35" s="1"/>
  <c r="AX40" i="35"/>
  <c r="BF40" i="35" s="1"/>
  <c r="AX41" i="35"/>
  <c r="BF41" i="35" s="1"/>
  <c r="AI33" i="35"/>
  <c r="AO33" i="35" s="1"/>
  <c r="AS33" i="35" s="1"/>
  <c r="AP33" i="35"/>
  <c r="AT33" i="35" s="1"/>
  <c r="N48" i="35"/>
  <c r="J19" i="35"/>
  <c r="Q34" i="35"/>
  <c r="Q43" i="35" s="1"/>
  <c r="U32" i="35"/>
  <c r="M48" i="35"/>
  <c r="M19" i="35" s="1"/>
  <c r="J10" i="35"/>
  <c r="N10" i="35" s="1"/>
  <c r="J9" i="35"/>
  <c r="G40" i="35"/>
  <c r="G39" i="35"/>
  <c r="G37" i="35"/>
  <c r="G24" i="35"/>
  <c r="H15" i="35"/>
  <c r="G10" i="35"/>
  <c r="G9" i="35"/>
  <c r="G13" i="35" s="1"/>
  <c r="G8" i="35"/>
  <c r="H7" i="35"/>
  <c r="H6" i="6" s="1"/>
  <c r="H6" i="35"/>
  <c r="H5" i="6" s="1"/>
  <c r="AX33" i="35" l="1"/>
  <c r="BF33" i="35" s="1"/>
  <c r="AW33" i="35"/>
  <c r="BE33" i="35" s="1"/>
  <c r="Y34" i="35"/>
  <c r="Y43" i="35" s="1"/>
  <c r="Y44" i="35" s="1"/>
  <c r="AA32" i="35"/>
  <c r="AE32" i="35" s="1"/>
  <c r="G34" i="36"/>
  <c r="G35" i="36" s="1"/>
  <c r="G36" i="36" s="1"/>
  <c r="G39" i="36" s="1"/>
  <c r="G30" i="36" s="1"/>
  <c r="J59" i="59" s="1"/>
  <c r="G25" i="36"/>
  <c r="J55" i="59" s="1"/>
  <c r="G14" i="35"/>
  <c r="G15" i="35" s="1"/>
  <c r="G44" i="35"/>
  <c r="G11" i="35"/>
  <c r="H24" i="35"/>
  <c r="H14" i="8"/>
  <c r="N9" i="35"/>
  <c r="R9" i="35" s="1"/>
  <c r="J11" i="35"/>
  <c r="R48" i="35"/>
  <c r="N19" i="35"/>
  <c r="R10" i="35"/>
  <c r="U34" i="35"/>
  <c r="U43" i="35" s="1"/>
  <c r="Q48" i="35"/>
  <c r="Q19" i="35" s="1"/>
  <c r="H8" i="35"/>
  <c r="AE34" i="35" l="1"/>
  <c r="AE43" i="35" s="1"/>
  <c r="AI32" i="35"/>
  <c r="AI34" i="35" s="1"/>
  <c r="AI43" i="35" s="1"/>
  <c r="G5" i="36"/>
  <c r="J6" i="59" s="1"/>
  <c r="H34" i="36"/>
  <c r="H35" i="36" s="1"/>
  <c r="H36" i="36" s="1"/>
  <c r="H39" i="36" s="1"/>
  <c r="H30" i="36" s="1"/>
  <c r="K59" i="59" s="1"/>
  <c r="H25" i="36"/>
  <c r="K55" i="59" s="1"/>
  <c r="N11" i="35"/>
  <c r="AA34" i="35"/>
  <c r="AA43" i="35" s="1"/>
  <c r="V48" i="35"/>
  <c r="R19" i="35"/>
  <c r="V10" i="35"/>
  <c r="V9" i="35"/>
  <c r="AB9" i="35" s="1"/>
  <c r="AF9" i="35" s="1"/>
  <c r="AJ9" i="35" s="1"/>
  <c r="R11" i="35"/>
  <c r="U48" i="35"/>
  <c r="U19" i="35" s="1"/>
  <c r="G12" i="49" l="1"/>
  <c r="V19" i="35"/>
  <c r="AB48" i="35"/>
  <c r="AF48" i="35" s="1"/>
  <c r="AP9" i="35"/>
  <c r="AT9" i="35" s="1"/>
  <c r="V11" i="35"/>
  <c r="AB10" i="35"/>
  <c r="AF10" i="35" s="1"/>
  <c r="AA48" i="35"/>
  <c r="E78" i="8"/>
  <c r="AX9" i="35" l="1"/>
  <c r="AF11" i="35"/>
  <c r="AJ10" i="35"/>
  <c r="AJ11" i="35" s="1"/>
  <c r="AF19" i="35"/>
  <c r="AJ48" i="35"/>
  <c r="AJ19" i="35" s="1"/>
  <c r="AE48" i="35"/>
  <c r="AO32" i="35"/>
  <c r="AA19" i="35"/>
  <c r="AB19" i="35"/>
  <c r="AB11" i="35"/>
  <c r="D17" i="15"/>
  <c r="D14" i="15" s="1"/>
  <c r="BF9" i="35" l="1"/>
  <c r="AE19" i="35"/>
  <c r="AI48" i="35"/>
  <c r="AI19" i="35" s="1"/>
  <c r="AO34" i="35"/>
  <c r="AO43" i="35" s="1"/>
  <c r="AS32" i="35"/>
  <c r="AW32" i="35" s="1"/>
  <c r="AW34" i="35" s="1"/>
  <c r="AW43" i="35" s="1"/>
  <c r="AP10" i="35"/>
  <c r="AT10" i="35" s="1"/>
  <c r="AX10" i="35" s="1"/>
  <c r="AX11" i="35" s="1"/>
  <c r="AO48" i="35" l="1"/>
  <c r="BF10" i="35"/>
  <c r="AS34" i="35"/>
  <c r="AS43" i="35" s="1"/>
  <c r="AT11" i="35"/>
  <c r="AP11" i="35"/>
  <c r="AP48" i="35"/>
  <c r="D12" i="15"/>
  <c r="D13" i="15" s="1"/>
  <c r="BF11" i="35" l="1"/>
  <c r="AS48" i="35"/>
  <c r="AW48" i="35" s="1"/>
  <c r="AW19" i="35" s="1"/>
  <c r="AO19" i="35"/>
  <c r="BE32" i="35"/>
  <c r="BE34" i="35" s="1"/>
  <c r="BE43" i="35" s="1"/>
  <c r="AP19" i="35"/>
  <c r="AT48" i="35"/>
  <c r="AX48" i="35" s="1"/>
  <c r="AX19" i="35" s="1"/>
  <c r="E33" i="22"/>
  <c r="AS19" i="35" l="1"/>
  <c r="AT19" i="35"/>
  <c r="BE48" i="35" l="1"/>
  <c r="BE19" i="35" s="1"/>
  <c r="BF48" i="35"/>
  <c r="BF19" i="35" s="1"/>
  <c r="J37" i="7" l="1"/>
  <c r="N37" i="7" s="1"/>
  <c r="F33" i="36"/>
  <c r="E33" i="36"/>
  <c r="F18" i="36"/>
  <c r="I37" i="59" s="1"/>
  <c r="J2" i="36"/>
  <c r="I2" i="36"/>
  <c r="M46" i="35"/>
  <c r="Q46" i="35" s="1"/>
  <c r="U46" i="35" s="1"/>
  <c r="J46" i="35"/>
  <c r="M45" i="35"/>
  <c r="Q45" i="35" s="1"/>
  <c r="U45" i="35" s="1"/>
  <c r="J45" i="35"/>
  <c r="E40" i="35"/>
  <c r="I40" i="35" s="1"/>
  <c r="M40" i="35" s="1"/>
  <c r="Q40" i="35" s="1"/>
  <c r="U40" i="35" s="1"/>
  <c r="AA40" i="35" s="1"/>
  <c r="E39" i="35"/>
  <c r="J37" i="35"/>
  <c r="E34" i="35"/>
  <c r="E31" i="35"/>
  <c r="I30" i="35"/>
  <c r="J30" i="35"/>
  <c r="I29" i="35"/>
  <c r="I52" i="11" s="1"/>
  <c r="I28" i="35"/>
  <c r="I115" i="10" s="1"/>
  <c r="I26" i="35"/>
  <c r="J26" i="35"/>
  <c r="I9" i="15" s="1"/>
  <c r="I25" i="35"/>
  <c r="M25" i="35" s="1"/>
  <c r="Q25" i="35" s="1"/>
  <c r="U25" i="35" s="1"/>
  <c r="J25" i="35"/>
  <c r="E24" i="35"/>
  <c r="E34" i="36" s="1"/>
  <c r="E35" i="36" s="1"/>
  <c r="I23" i="35"/>
  <c r="M23" i="35" s="1"/>
  <c r="Q23" i="35" s="1"/>
  <c r="U23" i="35" s="1"/>
  <c r="F14" i="8"/>
  <c r="J22" i="35"/>
  <c r="I21" i="35"/>
  <c r="M21" i="35" s="1"/>
  <c r="Q21" i="35" s="1"/>
  <c r="U21" i="35" s="1"/>
  <c r="J18" i="35"/>
  <c r="I18" i="35"/>
  <c r="I5" i="9" s="1"/>
  <c r="I17" i="35"/>
  <c r="J16" i="35"/>
  <c r="N16" i="35" s="1"/>
  <c r="R16" i="35" s="1"/>
  <c r="V16" i="35" s="1"/>
  <c r="AB16" i="35" s="1"/>
  <c r="I16" i="35"/>
  <c r="M16" i="35" s="1"/>
  <c r="Q16" i="35" s="1"/>
  <c r="U16" i="35" s="1"/>
  <c r="F15" i="35"/>
  <c r="E15" i="35"/>
  <c r="J14" i="35"/>
  <c r="J5" i="36" s="1"/>
  <c r="M6" i="59" s="1"/>
  <c r="I14" i="35"/>
  <c r="J13" i="35"/>
  <c r="I13" i="35"/>
  <c r="F11" i="35"/>
  <c r="E8" i="35"/>
  <c r="F7" i="35"/>
  <c r="F6" i="35"/>
  <c r="J2" i="35"/>
  <c r="I2" i="35"/>
  <c r="J5" i="9" l="1"/>
  <c r="I17" i="15"/>
  <c r="AF16" i="35"/>
  <c r="AE40" i="35"/>
  <c r="I116" i="10"/>
  <c r="E85" i="9"/>
  <c r="E22" i="9" s="1"/>
  <c r="E44" i="36"/>
  <c r="J12" i="49"/>
  <c r="I52" i="36"/>
  <c r="I26" i="36"/>
  <c r="J52" i="36"/>
  <c r="J26" i="36"/>
  <c r="J15" i="35"/>
  <c r="R37" i="7"/>
  <c r="V37" i="7" s="1"/>
  <c r="M30" i="35"/>
  <c r="E18" i="36"/>
  <c r="H37" i="59" s="1"/>
  <c r="AA46" i="35"/>
  <c r="AA45" i="35"/>
  <c r="AA25" i="35"/>
  <c r="AA23" i="35"/>
  <c r="AA21" i="35"/>
  <c r="AA16" i="35"/>
  <c r="I15" i="35"/>
  <c r="M26" i="35"/>
  <c r="H9" i="15"/>
  <c r="I54" i="36"/>
  <c r="I55" i="36"/>
  <c r="I51" i="36"/>
  <c r="H17" i="15"/>
  <c r="M29" i="35"/>
  <c r="M52" i="11" s="1"/>
  <c r="J17" i="36"/>
  <c r="M36" i="59" s="1"/>
  <c r="J16" i="36"/>
  <c r="M35" i="59" s="1"/>
  <c r="M14" i="35"/>
  <c r="Q100" i="6"/>
  <c r="U100" i="6" s="1"/>
  <c r="I39" i="35"/>
  <c r="M39" i="35" s="1"/>
  <c r="Q39" i="35" s="1"/>
  <c r="U39" i="35" s="1"/>
  <c r="I37" i="35"/>
  <c r="E35" i="35"/>
  <c r="M28" i="35"/>
  <c r="M115" i="10" s="1"/>
  <c r="I31" i="35"/>
  <c r="I35" i="35" s="1"/>
  <c r="J74" i="50" s="1"/>
  <c r="M17" i="35"/>
  <c r="N18" i="35"/>
  <c r="J51" i="36"/>
  <c r="J55" i="36"/>
  <c r="J54" i="36"/>
  <c r="N14" i="35"/>
  <c r="N5" i="36" s="1"/>
  <c r="Q6" i="59" s="1"/>
  <c r="N2" i="35"/>
  <c r="E43" i="35"/>
  <c r="E44" i="35" s="1"/>
  <c r="J6" i="35"/>
  <c r="J5" i="6" s="1"/>
  <c r="F5" i="6"/>
  <c r="M2" i="35"/>
  <c r="Q2" i="35" s="1"/>
  <c r="U2" i="35" s="1"/>
  <c r="AA2" i="35" s="1"/>
  <c r="AE2" i="35" s="1"/>
  <c r="I7" i="35"/>
  <c r="I6" i="6" s="1"/>
  <c r="I6" i="35"/>
  <c r="I5" i="6" s="1"/>
  <c r="J7" i="35"/>
  <c r="J6" i="6" s="1"/>
  <c r="F6" i="6"/>
  <c r="N22" i="35"/>
  <c r="R22" i="35" s="1"/>
  <c r="V22" i="35" s="1"/>
  <c r="N25" i="35"/>
  <c r="R25" i="35" s="1"/>
  <c r="V25" i="35" s="1"/>
  <c r="AB25" i="35" s="1"/>
  <c r="N26" i="35"/>
  <c r="M9" i="15" s="1"/>
  <c r="N37" i="35"/>
  <c r="I35" i="36"/>
  <c r="M35" i="36" s="1"/>
  <c r="AA35" i="36" s="1"/>
  <c r="E11" i="35"/>
  <c r="N30" i="35"/>
  <c r="N38" i="35"/>
  <c r="R38" i="35" s="1"/>
  <c r="V38" i="35" s="1"/>
  <c r="AB38" i="35" s="1"/>
  <c r="N46" i="35"/>
  <c r="R46" i="35" s="1"/>
  <c r="V46" i="35" s="1"/>
  <c r="AB46" i="35" s="1"/>
  <c r="N45" i="35"/>
  <c r="R45" i="35" s="1"/>
  <c r="V45" i="35" s="1"/>
  <c r="AB45" i="35" s="1"/>
  <c r="E36" i="36"/>
  <c r="E39" i="36" s="1"/>
  <c r="M2" i="36"/>
  <c r="I33" i="36"/>
  <c r="N2" i="36"/>
  <c r="I34" i="36"/>
  <c r="M34" i="36" s="1"/>
  <c r="AA34" i="36" s="1"/>
  <c r="J33" i="36"/>
  <c r="J24" i="36" s="1"/>
  <c r="M54" i="59" s="1"/>
  <c r="F8" i="35"/>
  <c r="M13" i="35"/>
  <c r="Q13" i="35" s="1"/>
  <c r="U13" i="35" s="1"/>
  <c r="J21" i="35"/>
  <c r="F24" i="35"/>
  <c r="J23" i="35"/>
  <c r="N23" i="35" s="1"/>
  <c r="R23" i="35" s="1"/>
  <c r="V23" i="35" s="1"/>
  <c r="AB23" i="35" s="1"/>
  <c r="M18" i="35"/>
  <c r="M5" i="9" s="1"/>
  <c r="I22" i="35"/>
  <c r="J28" i="35"/>
  <c r="N28" i="35" s="1"/>
  <c r="N13" i="35"/>
  <c r="R13" i="35" s="1"/>
  <c r="V13" i="35" s="1"/>
  <c r="I120" i="10" l="1"/>
  <c r="N5" i="9"/>
  <c r="M17" i="15"/>
  <c r="AI40" i="35"/>
  <c r="AO40" i="35" s="1"/>
  <c r="AS40" i="35" s="1"/>
  <c r="AJ16" i="35"/>
  <c r="AP16" i="35" s="1"/>
  <c r="AT16" i="35" s="1"/>
  <c r="AF23" i="35"/>
  <c r="AF46" i="35"/>
  <c r="AF25" i="35"/>
  <c r="AE21" i="35"/>
  <c r="AE25" i="35"/>
  <c r="AE46" i="35"/>
  <c r="AF45" i="35"/>
  <c r="AF38" i="35"/>
  <c r="AE16" i="35"/>
  <c r="AE23" i="35"/>
  <c r="AE45" i="35"/>
  <c r="M116" i="10"/>
  <c r="M53" i="11"/>
  <c r="AB22" i="35"/>
  <c r="Q35" i="36"/>
  <c r="U35" i="36" s="1"/>
  <c r="AE35" i="36"/>
  <c r="AI35" i="36" s="1"/>
  <c r="Q34" i="36"/>
  <c r="U34" i="36" s="1"/>
  <c r="AE34" i="36"/>
  <c r="AI34" i="36" s="1"/>
  <c r="E25" i="36"/>
  <c r="H55" i="59" s="1"/>
  <c r="F74" i="50"/>
  <c r="I53" i="36"/>
  <c r="I19" i="36" s="1"/>
  <c r="L38" i="59" s="1"/>
  <c r="R2" i="36"/>
  <c r="V2" i="36" s="1"/>
  <c r="Q2" i="36"/>
  <c r="U2" i="36" s="1"/>
  <c r="J53" i="36"/>
  <c r="J19" i="36" s="1"/>
  <c r="M38" i="59" s="1"/>
  <c r="N61" i="45"/>
  <c r="P53" i="59" s="1"/>
  <c r="J61" i="45"/>
  <c r="L53" i="59" s="1"/>
  <c r="N12" i="49"/>
  <c r="F34" i="36"/>
  <c r="F35" i="36" s="1"/>
  <c r="N52" i="36"/>
  <c r="N26" i="36"/>
  <c r="M52" i="36"/>
  <c r="M26" i="36"/>
  <c r="AI2" i="35"/>
  <c r="AO2" i="35" s="1"/>
  <c r="I44" i="35"/>
  <c r="AB37" i="7"/>
  <c r="AF37" i="7" s="1"/>
  <c r="AJ37" i="7" s="1"/>
  <c r="AP37" i="7" s="1"/>
  <c r="Q28" i="35"/>
  <c r="Q115" i="10" s="1"/>
  <c r="Q30" i="35"/>
  <c r="N16" i="36"/>
  <c r="Q35" i="59" s="1"/>
  <c r="N17" i="36"/>
  <c r="Q36" i="59" s="1"/>
  <c r="L17" i="15"/>
  <c r="M16" i="36"/>
  <c r="P35" i="59" s="1"/>
  <c r="AB13" i="35"/>
  <c r="AF13" i="35" s="1"/>
  <c r="AJ13" i="35" s="1"/>
  <c r="R26" i="35"/>
  <c r="Q9" i="15" s="1"/>
  <c r="AA39" i="35"/>
  <c r="AE39" i="35" s="1"/>
  <c r="AI39" i="35" s="1"/>
  <c r="Q26" i="35"/>
  <c r="P9" i="15" s="1"/>
  <c r="L9" i="15"/>
  <c r="AA13" i="35"/>
  <c r="M51" i="36"/>
  <c r="M54" i="36"/>
  <c r="M55" i="36"/>
  <c r="N7" i="35"/>
  <c r="Q29" i="35"/>
  <c r="Q52" i="11" s="1"/>
  <c r="Q14" i="35"/>
  <c r="Q18" i="35"/>
  <c r="M31" i="35"/>
  <c r="M35" i="35" s="1"/>
  <c r="N74" i="50" s="1"/>
  <c r="M33" i="36"/>
  <c r="AA33" i="36" s="1"/>
  <c r="I28" i="36"/>
  <c r="L57" i="59" s="1"/>
  <c r="I29" i="36"/>
  <c r="L58" i="59" s="1"/>
  <c r="I27" i="36"/>
  <c r="L56" i="59" s="1"/>
  <c r="I24" i="36"/>
  <c r="L54" i="59" s="1"/>
  <c r="M7" i="35"/>
  <c r="M37" i="35"/>
  <c r="M6" i="35"/>
  <c r="R37" i="35"/>
  <c r="N6" i="35"/>
  <c r="R2" i="35"/>
  <c r="V2" i="35" s="1"/>
  <c r="N33" i="36"/>
  <c r="Q17" i="35"/>
  <c r="R14" i="35"/>
  <c r="R5" i="36" s="1"/>
  <c r="U6" i="59" s="1"/>
  <c r="R18" i="35"/>
  <c r="Q17" i="15" s="1"/>
  <c r="N55" i="36"/>
  <c r="N54" i="36"/>
  <c r="N51" i="36"/>
  <c r="R30" i="35"/>
  <c r="I44" i="36"/>
  <c r="I18" i="36" s="1"/>
  <c r="L37" i="59" s="1"/>
  <c r="M44" i="36"/>
  <c r="I10" i="35"/>
  <c r="I5" i="36" s="1"/>
  <c r="L6" i="59" s="1"/>
  <c r="J18" i="36"/>
  <c r="M37" i="59" s="1"/>
  <c r="J29" i="36"/>
  <c r="J28" i="36"/>
  <c r="J27" i="36"/>
  <c r="I9" i="35"/>
  <c r="I8" i="35"/>
  <c r="I36" i="36"/>
  <c r="E30" i="36"/>
  <c r="H59" i="59" s="1"/>
  <c r="N15" i="35"/>
  <c r="J8" i="35"/>
  <c r="I24" i="35"/>
  <c r="I25" i="36" s="1"/>
  <c r="L55" i="59" s="1"/>
  <c r="M22" i="35"/>
  <c r="J24" i="35"/>
  <c r="N21" i="35"/>
  <c r="M15" i="35"/>
  <c r="J34" i="36" l="1"/>
  <c r="N34" i="36" s="1"/>
  <c r="AB34" i="36" s="1"/>
  <c r="AF34" i="36" s="1"/>
  <c r="AJ34" i="36" s="1"/>
  <c r="AX16" i="35"/>
  <c r="BF16" i="35" s="1"/>
  <c r="AA44" i="36"/>
  <c r="AA2" i="36"/>
  <c r="AE2" i="36" s="1"/>
  <c r="AI2" i="36" s="1"/>
  <c r="AO2" i="36" s="1"/>
  <c r="AS2" i="36" s="1"/>
  <c r="AW2" i="36" s="1"/>
  <c r="BE2" i="36" s="1"/>
  <c r="AW40" i="35"/>
  <c r="BE40" i="35" s="1"/>
  <c r="AB33" i="36"/>
  <c r="AS2" i="35"/>
  <c r="AW2" i="35" s="1"/>
  <c r="BE2" i="35" s="1"/>
  <c r="AB2" i="36"/>
  <c r="AF2" i="36" s="1"/>
  <c r="AJ2" i="36" s="1"/>
  <c r="AP2" i="36" s="1"/>
  <c r="AT2" i="36" s="1"/>
  <c r="AX2" i="36" s="1"/>
  <c r="BF2" i="36" s="1"/>
  <c r="AT37" i="7"/>
  <c r="AX37" i="7" s="1"/>
  <c r="I6" i="15"/>
  <c r="M57" i="59"/>
  <c r="I5" i="15"/>
  <c r="M56" i="59"/>
  <c r="I7" i="15"/>
  <c r="M58" i="59"/>
  <c r="M23" i="36"/>
  <c r="I23" i="36"/>
  <c r="AJ38" i="35"/>
  <c r="AP38" i="35" s="1"/>
  <c r="AT38" i="35" s="1"/>
  <c r="AI21" i="35"/>
  <c r="AO21" i="35" s="1"/>
  <c r="AS21" i="35" s="1"/>
  <c r="AI45" i="35"/>
  <c r="AO45" i="35" s="1"/>
  <c r="AS45" i="35" s="1"/>
  <c r="AJ45" i="35"/>
  <c r="AP45" i="35" s="1"/>
  <c r="AT45" i="35" s="1"/>
  <c r="AJ25" i="35"/>
  <c r="AP25" i="35" s="1"/>
  <c r="AT25" i="35" s="1"/>
  <c r="AI23" i="35"/>
  <c r="AO23" i="35" s="1"/>
  <c r="AI46" i="35"/>
  <c r="AO46" i="35" s="1"/>
  <c r="AS46" i="35" s="1"/>
  <c r="AJ46" i="35"/>
  <c r="AP46" i="35" s="1"/>
  <c r="AT46" i="35" s="1"/>
  <c r="AI16" i="35"/>
  <c r="AO16" i="35" s="1"/>
  <c r="AS16" i="35" s="1"/>
  <c r="AI25" i="35"/>
  <c r="AO25" i="35" s="1"/>
  <c r="AS25" i="35" s="1"/>
  <c r="AJ23" i="35"/>
  <c r="AP23" i="35" s="1"/>
  <c r="AT23" i="35" s="1"/>
  <c r="I12" i="49"/>
  <c r="R12" i="49"/>
  <c r="AF22" i="35"/>
  <c r="AE13" i="35"/>
  <c r="Q116" i="10"/>
  <c r="H7" i="15"/>
  <c r="H6" i="15"/>
  <c r="R5" i="9"/>
  <c r="P17" i="15"/>
  <c r="Q5" i="9"/>
  <c r="M53" i="36"/>
  <c r="M19" i="36" s="1"/>
  <c r="P38" i="59" s="1"/>
  <c r="U17" i="35"/>
  <c r="U14" i="35"/>
  <c r="AA14" i="35" s="1"/>
  <c r="Q52" i="36"/>
  <c r="Q26" i="36"/>
  <c r="Q55" i="36"/>
  <c r="Q54" i="36"/>
  <c r="Q51" i="36"/>
  <c r="Q53" i="36" s="1"/>
  <c r="Q16" i="36"/>
  <c r="T35" i="59" s="1"/>
  <c r="R26" i="36"/>
  <c r="R55" i="36"/>
  <c r="R54" i="36"/>
  <c r="R52" i="36"/>
  <c r="R51" i="36"/>
  <c r="R16" i="36"/>
  <c r="U35" i="59" s="1"/>
  <c r="R17" i="36"/>
  <c r="U36" i="59" s="1"/>
  <c r="M17" i="36"/>
  <c r="P36" i="59" s="1"/>
  <c r="Q44" i="36"/>
  <c r="R33" i="36"/>
  <c r="Q33" i="36"/>
  <c r="N53" i="36"/>
  <c r="N19" i="36" s="1"/>
  <c r="Q38" i="59" s="1"/>
  <c r="M24" i="36"/>
  <c r="P54" i="59" s="1"/>
  <c r="V14" i="35"/>
  <c r="V5" i="36" s="1"/>
  <c r="Y6" i="59" s="1"/>
  <c r="M9" i="35"/>
  <c r="Q9" i="35" s="1"/>
  <c r="U9" i="35" s="1"/>
  <c r="I11" i="35"/>
  <c r="U30" i="35"/>
  <c r="U28" i="35"/>
  <c r="U115" i="10" s="1"/>
  <c r="I39" i="36"/>
  <c r="I30" i="36" s="1"/>
  <c r="L59" i="59" s="1"/>
  <c r="V30" i="35"/>
  <c r="Q37" i="35"/>
  <c r="M44" i="35"/>
  <c r="Y15" i="35"/>
  <c r="V26" i="35"/>
  <c r="U9" i="15" s="1"/>
  <c r="N5" i="6"/>
  <c r="R6" i="35"/>
  <c r="AB2" i="35"/>
  <c r="AF2" i="35" s="1"/>
  <c r="AJ2" i="35" s="1"/>
  <c r="AP2" i="35" s="1"/>
  <c r="AT2" i="35" s="1"/>
  <c r="AX2" i="35" s="1"/>
  <c r="R7" i="35"/>
  <c r="N6" i="6"/>
  <c r="U26" i="35"/>
  <c r="T9" i="15" s="1"/>
  <c r="V18" i="35"/>
  <c r="U17" i="15" s="1"/>
  <c r="V37" i="35"/>
  <c r="U18" i="35"/>
  <c r="U5" i="9" s="1"/>
  <c r="U33" i="22" s="1"/>
  <c r="Q31" i="35"/>
  <c r="Q35" i="35" s="1"/>
  <c r="R74" i="50" s="1"/>
  <c r="U29" i="35"/>
  <c r="U52" i="11" s="1"/>
  <c r="M5" i="6"/>
  <c r="Q6" i="35"/>
  <c r="M6" i="6"/>
  <c r="Q7" i="35"/>
  <c r="M28" i="36"/>
  <c r="M27" i="36"/>
  <c r="H5" i="15"/>
  <c r="N27" i="36"/>
  <c r="M29" i="36"/>
  <c r="M10" i="35"/>
  <c r="N28" i="36"/>
  <c r="N29" i="36"/>
  <c r="M8" i="35"/>
  <c r="N24" i="36"/>
  <c r="Q54" i="59" s="1"/>
  <c r="N18" i="36"/>
  <c r="Q37" i="59" s="1"/>
  <c r="M36" i="36"/>
  <c r="AA36" i="36" s="1"/>
  <c r="AA39" i="36" s="1"/>
  <c r="AA30" i="36" s="1"/>
  <c r="J35" i="36"/>
  <c r="N35" i="36" s="1"/>
  <c r="AB35" i="36" s="1"/>
  <c r="F36" i="36"/>
  <c r="F39" i="36" s="1"/>
  <c r="N8" i="35"/>
  <c r="Q15" i="35"/>
  <c r="N24" i="35"/>
  <c r="R21" i="35"/>
  <c r="V21" i="35" s="1"/>
  <c r="Q22" i="35"/>
  <c r="U22" i="35" s="1"/>
  <c r="M24" i="35"/>
  <c r="M25" i="36" s="1"/>
  <c r="P55" i="59" s="1"/>
  <c r="R28" i="35"/>
  <c r="R15" i="35"/>
  <c r="M18" i="36" l="1"/>
  <c r="P37" i="59" s="1"/>
  <c r="BK16" i="35"/>
  <c r="BL16" i="35" s="1"/>
  <c r="Q120" i="10"/>
  <c r="AB29" i="36"/>
  <c r="R34" i="36"/>
  <c r="V34" i="36" s="1"/>
  <c r="AW16" i="35"/>
  <c r="BE16" i="35" s="1"/>
  <c r="AS23" i="35"/>
  <c r="AW23" i="35" s="1"/>
  <c r="BE23" i="35" s="1"/>
  <c r="AW21" i="35"/>
  <c r="P56" i="59"/>
  <c r="AA27" i="36"/>
  <c r="AD56" i="59" s="1"/>
  <c r="AX25" i="35"/>
  <c r="BF25" i="35" s="1"/>
  <c r="AX38" i="35"/>
  <c r="BF38" i="35" s="1"/>
  <c r="AA24" i="36"/>
  <c r="AD54" i="59" s="1"/>
  <c r="AE44" i="36"/>
  <c r="AI44" i="36" s="1"/>
  <c r="P58" i="59"/>
  <c r="AA29" i="36"/>
  <c r="AD58" i="59" s="1"/>
  <c r="P57" i="59"/>
  <c r="AA28" i="36"/>
  <c r="AD57" i="59" s="1"/>
  <c r="AE14" i="35"/>
  <c r="AI14" i="35" s="1"/>
  <c r="AX23" i="35"/>
  <c r="BF23" i="35" s="1"/>
  <c r="AX46" i="35"/>
  <c r="BF46" i="35" s="1"/>
  <c r="AX45" i="35"/>
  <c r="BF45" i="35" s="1"/>
  <c r="AB24" i="36"/>
  <c r="AE54" i="59" s="1"/>
  <c r="AW25" i="35"/>
  <c r="BE25" i="35" s="1"/>
  <c r="AW46" i="35"/>
  <c r="BE46" i="35" s="1"/>
  <c r="AW45" i="35"/>
  <c r="BE45" i="35" s="1"/>
  <c r="AB27" i="36"/>
  <c r="M7" i="15"/>
  <c r="Q58" i="59"/>
  <c r="M6" i="15"/>
  <c r="Q57" i="59"/>
  <c r="M5" i="15"/>
  <c r="Q56" i="59"/>
  <c r="AI13" i="35"/>
  <c r="AI15" i="35" s="1"/>
  <c r="AJ22" i="35"/>
  <c r="AP22" i="35" s="1"/>
  <c r="AT22" i="35" s="1"/>
  <c r="V12" i="49"/>
  <c r="AE15" i="35"/>
  <c r="U116" i="10"/>
  <c r="U53" i="11"/>
  <c r="AE33" i="36"/>
  <c r="AF33" i="36"/>
  <c r="Q24" i="36"/>
  <c r="T54" i="59" s="1"/>
  <c r="V5" i="9"/>
  <c r="V33" i="22" s="1"/>
  <c r="AB18" i="35"/>
  <c r="Q36" i="36"/>
  <c r="U36" i="36" s="1"/>
  <c r="U39" i="36" s="1"/>
  <c r="U30" i="36" s="1"/>
  <c r="X59" i="59" s="1"/>
  <c r="R35" i="36"/>
  <c r="V35" i="36" s="1"/>
  <c r="AF35" i="36"/>
  <c r="AJ35" i="36" s="1"/>
  <c r="V61" i="45"/>
  <c r="X53" i="59" s="1"/>
  <c r="R53" i="36"/>
  <c r="R19" i="36" s="1"/>
  <c r="U38" i="59" s="1"/>
  <c r="U33" i="36"/>
  <c r="V33" i="36"/>
  <c r="T17" i="15"/>
  <c r="U52" i="36"/>
  <c r="U16" i="36"/>
  <c r="X35" i="59" s="1"/>
  <c r="U26" i="36"/>
  <c r="U54" i="36"/>
  <c r="U55" i="36"/>
  <c r="U51" i="36"/>
  <c r="V52" i="36"/>
  <c r="V54" i="36"/>
  <c r="V16" i="36"/>
  <c r="Y35" i="59" s="1"/>
  <c r="V17" i="36"/>
  <c r="Y36" i="59" s="1"/>
  <c r="V55" i="36"/>
  <c r="V51" i="36"/>
  <c r="V26" i="36"/>
  <c r="AA17" i="35"/>
  <c r="Q17" i="36"/>
  <c r="T36" i="59" s="1"/>
  <c r="U44" i="36"/>
  <c r="U17" i="36" s="1"/>
  <c r="X36" i="59" s="1"/>
  <c r="R24" i="36"/>
  <c r="U54" i="59" s="1"/>
  <c r="U15" i="35"/>
  <c r="R61" i="45"/>
  <c r="T53" i="59" s="1"/>
  <c r="R18" i="36"/>
  <c r="U37" i="59" s="1"/>
  <c r="Q19" i="36"/>
  <c r="T38" i="59" s="1"/>
  <c r="L6" i="15"/>
  <c r="Q28" i="36"/>
  <c r="T57" i="59" s="1"/>
  <c r="R27" i="36"/>
  <c r="L7" i="15"/>
  <c r="Q29" i="36"/>
  <c r="T58" i="59" s="1"/>
  <c r="L5" i="15"/>
  <c r="Q27" i="36"/>
  <c r="T56" i="59" s="1"/>
  <c r="V15" i="35"/>
  <c r="R8" i="35"/>
  <c r="AB14" i="35"/>
  <c r="AA15" i="35"/>
  <c r="BF2" i="35"/>
  <c r="AB26" i="35"/>
  <c r="AP13" i="35"/>
  <c r="AT13" i="35" s="1"/>
  <c r="AO39" i="35"/>
  <c r="AS39" i="35" s="1"/>
  <c r="AA30" i="35"/>
  <c r="AE30" i="35" s="1"/>
  <c r="V28" i="35"/>
  <c r="AB28" i="35" s="1"/>
  <c r="AF28" i="35" s="1"/>
  <c r="AJ28" i="35" s="1"/>
  <c r="AA28" i="35"/>
  <c r="M39" i="36"/>
  <c r="M30" i="36" s="1"/>
  <c r="P59" i="59" s="1"/>
  <c r="AB30" i="35"/>
  <c r="AF30" i="35" s="1"/>
  <c r="AJ30" i="35" s="1"/>
  <c r="M5" i="36"/>
  <c r="P6" i="59" s="1"/>
  <c r="M11" i="35"/>
  <c r="AA9" i="35"/>
  <c r="Y24" i="35"/>
  <c r="AA22" i="35"/>
  <c r="AE22" i="35" s="1"/>
  <c r="U37" i="35"/>
  <c r="Q44" i="35"/>
  <c r="AA29" i="35"/>
  <c r="Y31" i="35"/>
  <c r="Y35" i="35" s="1"/>
  <c r="AA26" i="35"/>
  <c r="AE26" i="35" s="1"/>
  <c r="AA18" i="35"/>
  <c r="AA17" i="36" s="1"/>
  <c r="AB5" i="9"/>
  <c r="R5" i="6"/>
  <c r="V6" i="35"/>
  <c r="V5" i="6" s="1"/>
  <c r="R6" i="6"/>
  <c r="V7" i="35"/>
  <c r="V6" i="6" s="1"/>
  <c r="AB37" i="35"/>
  <c r="AF37" i="35" s="1"/>
  <c r="V24" i="35"/>
  <c r="AB21" i="35"/>
  <c r="AF21" i="35" s="1"/>
  <c r="U24" i="35"/>
  <c r="U31" i="35"/>
  <c r="U35" i="35" s="1"/>
  <c r="V74" i="50" s="1"/>
  <c r="Q5" i="6"/>
  <c r="U6" i="35"/>
  <c r="AA6" i="35" s="1"/>
  <c r="AE6" i="35" s="1"/>
  <c r="AI6" i="35" s="1"/>
  <c r="Q6" i="6"/>
  <c r="U7" i="35"/>
  <c r="U6" i="6" s="1"/>
  <c r="Q8" i="35"/>
  <c r="Q10" i="35"/>
  <c r="Q5" i="36" s="1"/>
  <c r="T6" i="59" s="1"/>
  <c r="F30" i="36"/>
  <c r="I59" i="59" s="1"/>
  <c r="J36" i="36"/>
  <c r="R24" i="35"/>
  <c r="Q24" i="35"/>
  <c r="Q25" i="36" s="1"/>
  <c r="T55" i="59" s="1"/>
  <c r="U57" i="11" l="1"/>
  <c r="U120" i="10"/>
  <c r="AF26" i="35"/>
  <c r="AE9" i="15" s="1"/>
  <c r="AA9" i="15"/>
  <c r="AI5" i="6"/>
  <c r="AO6" i="35"/>
  <c r="AS6" i="35" s="1"/>
  <c r="AA52" i="36"/>
  <c r="AA16" i="36"/>
  <c r="AA18" i="36" s="1"/>
  <c r="AA26" i="36"/>
  <c r="AA54" i="36"/>
  <c r="AA55" i="36"/>
  <c r="AA51" i="36"/>
  <c r="AW39" i="35"/>
  <c r="BE39" i="35" s="1"/>
  <c r="AA17" i="15"/>
  <c r="AB52" i="36"/>
  <c r="AB16" i="36"/>
  <c r="AB17" i="36"/>
  <c r="AE36" i="59" s="1"/>
  <c r="AB51" i="36"/>
  <c r="AB55" i="36"/>
  <c r="AB54" i="36"/>
  <c r="AB26" i="36"/>
  <c r="AX13" i="35"/>
  <c r="AF14" i="35"/>
  <c r="AJ14" i="35" s="1"/>
  <c r="AP14" i="35" s="1"/>
  <c r="AT14" i="35" s="1"/>
  <c r="AX14" i="35" s="1"/>
  <c r="AX5" i="36" s="1"/>
  <c r="AB5" i="36"/>
  <c r="AE6" i="59" s="1"/>
  <c r="AX22" i="35"/>
  <c r="BF22" i="35" s="1"/>
  <c r="BE21" i="35"/>
  <c r="Q5" i="15"/>
  <c r="U56" i="59"/>
  <c r="AA5" i="15"/>
  <c r="AE56" i="59"/>
  <c r="AA7" i="15"/>
  <c r="AE58" i="59"/>
  <c r="Q23" i="36"/>
  <c r="U23" i="36"/>
  <c r="AJ26" i="35"/>
  <c r="AI9" i="15" s="1"/>
  <c r="AI30" i="35"/>
  <c r="AF24" i="35"/>
  <c r="AJ21" i="35"/>
  <c r="AJ24" i="35" s="1"/>
  <c r="AD9" i="15"/>
  <c r="AI26" i="35"/>
  <c r="AH9" i="15" s="1"/>
  <c r="AO13" i="35"/>
  <c r="AS13" i="35" s="1"/>
  <c r="AE24" i="35"/>
  <c r="AI22" i="35"/>
  <c r="AI24" i="35" s="1"/>
  <c r="AJ37" i="35"/>
  <c r="AI33" i="36"/>
  <c r="AF28" i="36"/>
  <c r="AJ33" i="36"/>
  <c r="Q12" i="49"/>
  <c r="AA52" i="11"/>
  <c r="AA53" i="11" s="1"/>
  <c r="AE29" i="35"/>
  <c r="AE9" i="35"/>
  <c r="M12" i="49"/>
  <c r="AF18" i="35"/>
  <c r="AE5" i="6"/>
  <c r="AE18" i="35"/>
  <c r="AI18" i="35" s="1"/>
  <c r="AH17" i="15" s="1"/>
  <c r="Z17" i="15"/>
  <c r="AA115" i="10"/>
  <c r="AA116" i="10" s="1"/>
  <c r="AE28" i="35"/>
  <c r="AI28" i="35" s="1"/>
  <c r="AI115" i="10" s="1"/>
  <c r="AI116" i="10" s="1"/>
  <c r="AE17" i="35"/>
  <c r="AE28" i="36"/>
  <c r="AH57" i="59" s="1"/>
  <c r="AF29" i="36"/>
  <c r="AE29" i="36"/>
  <c r="AH58" i="59" s="1"/>
  <c r="AF24" i="36"/>
  <c r="AI54" i="59" s="1"/>
  <c r="AE27" i="36"/>
  <c r="AH56" i="59" s="1"/>
  <c r="AF27" i="36"/>
  <c r="P6" i="15"/>
  <c r="U24" i="36"/>
  <c r="X54" i="59" s="1"/>
  <c r="AD59" i="59"/>
  <c r="AE36" i="36"/>
  <c r="Q18" i="36"/>
  <c r="T37" i="59" s="1"/>
  <c r="AE24" i="36"/>
  <c r="AH54" i="59" s="1"/>
  <c r="AA5" i="9"/>
  <c r="AD36" i="59"/>
  <c r="AA23" i="36"/>
  <c r="Z74" i="50"/>
  <c r="Y25" i="36"/>
  <c r="AB55" i="59" s="1"/>
  <c r="Q39" i="36"/>
  <c r="Q30" i="36" s="1"/>
  <c r="T59" i="59" s="1"/>
  <c r="AB15" i="35"/>
  <c r="V24" i="36"/>
  <c r="Y54" i="59" s="1"/>
  <c r="U53" i="36"/>
  <c r="U19" i="36" s="1"/>
  <c r="X38" i="59" s="1"/>
  <c r="U18" i="36"/>
  <c r="X37" i="59" s="1"/>
  <c r="V7" i="6"/>
  <c r="V27" i="36"/>
  <c r="U5" i="6"/>
  <c r="P5" i="15"/>
  <c r="U27" i="36"/>
  <c r="X56" i="59" s="1"/>
  <c r="U28" i="36"/>
  <c r="X57" i="59" s="1"/>
  <c r="P7" i="15"/>
  <c r="U29" i="36"/>
  <c r="X58" i="59" s="1"/>
  <c r="V53" i="36"/>
  <c r="V19" i="36" s="1"/>
  <c r="Y38" i="59" s="1"/>
  <c r="U25" i="36"/>
  <c r="X55" i="59" s="1"/>
  <c r="V18" i="36"/>
  <c r="Y37" i="59" s="1"/>
  <c r="AO14" i="35"/>
  <c r="Z9" i="15"/>
  <c r="AA24" i="35"/>
  <c r="AB24" i="35"/>
  <c r="J39" i="36"/>
  <c r="J30" i="36" s="1"/>
  <c r="M59" i="59" s="1"/>
  <c r="AA31" i="35"/>
  <c r="AA35" i="35" s="1"/>
  <c r="Q11" i="35"/>
  <c r="U44" i="35"/>
  <c r="AA37" i="35"/>
  <c r="AE37" i="35" s="1"/>
  <c r="AB7" i="35"/>
  <c r="AF7" i="35" s="1"/>
  <c r="AJ7" i="35" s="1"/>
  <c r="AJ6" i="6" s="1"/>
  <c r="AB6" i="35"/>
  <c r="AF6" i="35" s="1"/>
  <c r="V8" i="35"/>
  <c r="AA7" i="35"/>
  <c r="AE7" i="35" s="1"/>
  <c r="U8" i="35"/>
  <c r="U10" i="35"/>
  <c r="U5" i="36" s="1"/>
  <c r="X6" i="59" s="1"/>
  <c r="R7" i="6"/>
  <c r="N36" i="36"/>
  <c r="AB36" i="36" s="1"/>
  <c r="AB39" i="36" s="1"/>
  <c r="AB30" i="36" s="1"/>
  <c r="AJ5" i="36" l="1"/>
  <c r="AM6" i="59" s="1"/>
  <c r="AF5" i="36"/>
  <c r="AI6" i="59" s="1"/>
  <c r="AF15" i="35"/>
  <c r="AJ15" i="35"/>
  <c r="AA25" i="36"/>
  <c r="AD55" i="59" s="1"/>
  <c r="AX15" i="35"/>
  <c r="AI120" i="10"/>
  <c r="AD35" i="59"/>
  <c r="AB18" i="36"/>
  <c r="AE37" i="59" s="1"/>
  <c r="AA53" i="36"/>
  <c r="AA19" i="36" s="1"/>
  <c r="AD38" i="59" s="1"/>
  <c r="AE35" i="59"/>
  <c r="AW6" i="35"/>
  <c r="AS5" i="6"/>
  <c r="AW13" i="35"/>
  <c r="BF13" i="35"/>
  <c r="AJ18" i="35"/>
  <c r="AI17" i="15" s="1"/>
  <c r="AE17" i="15"/>
  <c r="AB53" i="36"/>
  <c r="AB19" i="36" s="1"/>
  <c r="AE38" i="59" s="1"/>
  <c r="AX12" i="49"/>
  <c r="BA6" i="59"/>
  <c r="U5" i="15"/>
  <c r="Y56" i="59"/>
  <c r="AE5" i="15"/>
  <c r="AI56" i="59"/>
  <c r="AE7" i="15"/>
  <c r="AI58" i="59"/>
  <c r="AE6" i="15"/>
  <c r="AI57" i="59"/>
  <c r="AE23" i="36"/>
  <c r="AJ28" i="36"/>
  <c r="AJ61" i="45"/>
  <c r="AL53" i="59" s="1"/>
  <c r="AF61" i="45"/>
  <c r="AH53" i="59" s="1"/>
  <c r="AJ27" i="36"/>
  <c r="AJ29" i="36"/>
  <c r="AJ26" i="36"/>
  <c r="AJ52" i="36"/>
  <c r="AJ51" i="36"/>
  <c r="AJ55" i="36"/>
  <c r="AJ16" i="36"/>
  <c r="AM35" i="59" s="1"/>
  <c r="AE6" i="6"/>
  <c r="AI7" i="35"/>
  <c r="AE44" i="35"/>
  <c r="AI37" i="35"/>
  <c r="AI44" i="35" s="1"/>
  <c r="AI5" i="9"/>
  <c r="AI26" i="36"/>
  <c r="AI52" i="36"/>
  <c r="AI16" i="36"/>
  <c r="AL35" i="59" s="1"/>
  <c r="AI51" i="36"/>
  <c r="AI54" i="36"/>
  <c r="AI55" i="36"/>
  <c r="AI17" i="36"/>
  <c r="AL36" i="59" s="1"/>
  <c r="AI9" i="35"/>
  <c r="AO9" i="35" s="1"/>
  <c r="AS9" i="35" s="1"/>
  <c r="AJ12" i="49"/>
  <c r="AE52" i="11"/>
  <c r="AE53" i="11" s="1"/>
  <c r="AI29" i="35"/>
  <c r="AF5" i="6"/>
  <c r="AJ6" i="35"/>
  <c r="AI17" i="35"/>
  <c r="AO17" i="35" s="1"/>
  <c r="AS17" i="35" s="1"/>
  <c r="AJ24" i="36"/>
  <c r="AM54" i="59" s="1"/>
  <c r="AI28" i="36"/>
  <c r="AL57" i="59" s="1"/>
  <c r="AI27" i="36"/>
  <c r="AL56" i="59" s="1"/>
  <c r="AE39" i="36"/>
  <c r="AE30" i="36" s="1"/>
  <c r="AH59" i="59" s="1"/>
  <c r="AI36" i="36"/>
  <c r="AI39" i="36" s="1"/>
  <c r="AI30" i="36" s="1"/>
  <c r="AL59" i="59" s="1"/>
  <c r="AI24" i="36"/>
  <c r="AL54" i="59" s="1"/>
  <c r="AI29" i="36"/>
  <c r="AL58" i="59" s="1"/>
  <c r="AF8" i="35"/>
  <c r="AF6" i="6"/>
  <c r="AO28" i="35"/>
  <c r="AO115" i="10" s="1"/>
  <c r="AO116" i="10" s="1"/>
  <c r="AB12" i="49"/>
  <c r="AD5" i="15"/>
  <c r="AD6" i="15"/>
  <c r="AD17" i="15"/>
  <c r="AE5" i="9"/>
  <c r="AE52" i="36"/>
  <c r="AE16" i="36"/>
  <c r="AH35" i="59" s="1"/>
  <c r="AE26" i="36"/>
  <c r="AE51" i="36"/>
  <c r="AE55" i="36"/>
  <c r="AE54" i="36"/>
  <c r="AE17" i="36"/>
  <c r="AH36" i="59" s="1"/>
  <c r="AE7" i="6"/>
  <c r="AF5" i="9"/>
  <c r="AF52" i="36"/>
  <c r="AF17" i="36"/>
  <c r="AI36" i="59" s="1"/>
  <c r="AF16" i="36"/>
  <c r="AI35" i="59" s="1"/>
  <c r="AF55" i="36"/>
  <c r="AF54" i="36"/>
  <c r="AF51" i="36"/>
  <c r="AF26" i="36"/>
  <c r="U12" i="49"/>
  <c r="AD7" i="15"/>
  <c r="AF12" i="49"/>
  <c r="AE31" i="35"/>
  <c r="AE35" i="35" s="1"/>
  <c r="AE115" i="10"/>
  <c r="AE116" i="10" s="1"/>
  <c r="AE8" i="35"/>
  <c r="T5" i="15"/>
  <c r="T6" i="15"/>
  <c r="T7" i="15"/>
  <c r="AB61" i="45"/>
  <c r="AD53" i="59" s="1"/>
  <c r="AB74" i="50"/>
  <c r="AD37" i="59"/>
  <c r="R36" i="36"/>
  <c r="R39" i="36" s="1"/>
  <c r="R30" i="36" s="1"/>
  <c r="U59" i="59" s="1"/>
  <c r="U7" i="6"/>
  <c r="BF14" i="35"/>
  <c r="BF5" i="36" s="1"/>
  <c r="BF37" i="7"/>
  <c r="AO15" i="35"/>
  <c r="AS14" i="35"/>
  <c r="AW14" i="35" s="1"/>
  <c r="AA8" i="35"/>
  <c r="BE6" i="35"/>
  <c r="BE5" i="6" s="1"/>
  <c r="AA44" i="35"/>
  <c r="AO22" i="35"/>
  <c r="AO30" i="35"/>
  <c r="AO44" i="36"/>
  <c r="N39" i="36"/>
  <c r="N30" i="36" s="1"/>
  <c r="Q59" i="59" s="1"/>
  <c r="U11" i="35"/>
  <c r="AB8" i="35"/>
  <c r="AA10" i="35"/>
  <c r="AJ54" i="36" l="1"/>
  <c r="AE57" i="11"/>
  <c r="BF12" i="49"/>
  <c r="BI6" i="59"/>
  <c r="AJ17" i="36"/>
  <c r="AM36" i="59" s="1"/>
  <c r="AJ5" i="9"/>
  <c r="AJ33" i="22" s="1"/>
  <c r="AE120" i="10"/>
  <c r="AO120" i="10"/>
  <c r="AW9" i="35"/>
  <c r="AW15" i="35"/>
  <c r="AE10" i="35"/>
  <c r="AE5" i="36" s="1"/>
  <c r="AH6" i="59" s="1"/>
  <c r="AA5" i="36"/>
  <c r="AD6" i="59" s="1"/>
  <c r="AP61" i="45"/>
  <c r="AR53" i="59" s="1"/>
  <c r="BF15" i="35"/>
  <c r="AW17" i="35"/>
  <c r="BE13" i="35"/>
  <c r="AW5" i="6"/>
  <c r="AI33" i="22"/>
  <c r="AH90" i="26"/>
  <c r="AI90" i="26"/>
  <c r="AI7" i="15"/>
  <c r="AM58" i="59"/>
  <c r="AI5" i="15"/>
  <c r="AM56" i="59"/>
  <c r="AI6" i="15"/>
  <c r="AM57" i="59"/>
  <c r="AI23" i="36"/>
  <c r="AJ53" i="36"/>
  <c r="AJ19" i="36" s="1"/>
  <c r="AM38" i="59" s="1"/>
  <c r="AI53" i="36"/>
  <c r="AI19" i="36" s="1"/>
  <c r="AL38" i="59" s="1"/>
  <c r="AH6" i="15"/>
  <c r="AI31" i="35"/>
  <c r="AI35" i="35" s="1"/>
  <c r="AI52" i="11"/>
  <c r="AH7" i="15"/>
  <c r="AH5" i="15"/>
  <c r="AF7" i="6"/>
  <c r="AJ18" i="36"/>
  <c r="AM37" i="59" s="1"/>
  <c r="AJ8" i="35"/>
  <c r="AJ5" i="6"/>
  <c r="AI8" i="35"/>
  <c r="AI6" i="6"/>
  <c r="AI18" i="36"/>
  <c r="AL37" i="59" s="1"/>
  <c r="AI10" i="35"/>
  <c r="AI5" i="36" s="1"/>
  <c r="AL6" i="59" s="1"/>
  <c r="V36" i="36"/>
  <c r="V39" i="36" s="1"/>
  <c r="V30" i="36" s="1"/>
  <c r="Y59" i="59" s="1"/>
  <c r="AF53" i="36"/>
  <c r="AF19" i="36" s="1"/>
  <c r="AI38" i="59" s="1"/>
  <c r="AF74" i="50"/>
  <c r="AE25" i="36"/>
  <c r="AH55" i="59" s="1"/>
  <c r="AF18" i="36"/>
  <c r="AI37" i="59" s="1"/>
  <c r="AE53" i="36"/>
  <c r="AE19" i="36" s="1"/>
  <c r="AH38" i="59" s="1"/>
  <c r="AE18" i="36"/>
  <c r="AH37" i="59" s="1"/>
  <c r="AE33" i="22"/>
  <c r="AD90" i="26"/>
  <c r="AS28" i="35"/>
  <c r="AE90" i="26"/>
  <c r="AF33" i="22"/>
  <c r="AP28" i="35"/>
  <c r="AE59" i="59"/>
  <c r="AF36" i="36"/>
  <c r="AP18" i="35"/>
  <c r="AO17" i="15" s="1"/>
  <c r="AO18" i="35"/>
  <c r="AO17" i="36" s="1"/>
  <c r="AR36" i="59" s="1"/>
  <c r="AS15" i="35"/>
  <c r="BE14" i="35"/>
  <c r="AO24" i="35"/>
  <c r="AO34" i="36" s="1"/>
  <c r="AS22" i="35"/>
  <c r="AW22" i="35" s="1"/>
  <c r="AW24" i="35" s="1"/>
  <c r="AS30" i="35"/>
  <c r="AT5" i="36"/>
  <c r="AT15" i="35"/>
  <c r="AS44" i="36"/>
  <c r="AW44" i="36" s="1"/>
  <c r="BE44" i="36" s="1"/>
  <c r="AP26" i="35"/>
  <c r="AO9" i="15" s="1"/>
  <c r="AP7" i="35"/>
  <c r="AT7" i="35" s="1"/>
  <c r="AO26" i="35"/>
  <c r="AP6" i="35"/>
  <c r="AT6" i="35" s="1"/>
  <c r="AP5" i="36"/>
  <c r="AS6" i="59" s="1"/>
  <c r="AP15" i="35"/>
  <c r="AP30" i="35"/>
  <c r="AP37" i="35"/>
  <c r="AP21" i="35"/>
  <c r="AO29" i="35"/>
  <c r="Z7" i="15"/>
  <c r="Z6" i="15"/>
  <c r="Z5" i="15"/>
  <c r="AA11" i="35"/>
  <c r="AE11" i="35" l="1"/>
  <c r="AO10" i="35"/>
  <c r="AS10" i="35" s="1"/>
  <c r="BE15" i="35"/>
  <c r="AX6" i="35"/>
  <c r="BF6" i="35" s="1"/>
  <c r="BF5" i="6" s="1"/>
  <c r="AT5" i="6"/>
  <c r="AS29" i="35"/>
  <c r="AO52" i="11"/>
  <c r="AO53" i="11" s="1"/>
  <c r="AI25" i="36"/>
  <c r="AL55" i="59" s="1"/>
  <c r="AJ74" i="50"/>
  <c r="AW10" i="35"/>
  <c r="AW5" i="36" s="1"/>
  <c r="AW28" i="35"/>
  <c r="AW115" i="10" s="1"/>
  <c r="AW116" i="10" s="1"/>
  <c r="AS115" i="10"/>
  <c r="AS116" i="10" s="1"/>
  <c r="BE17" i="35"/>
  <c r="AO23" i="36"/>
  <c r="AO35" i="36"/>
  <c r="AX7" i="35"/>
  <c r="AX6" i="6" s="1"/>
  <c r="AT6" i="6"/>
  <c r="AW30" i="35"/>
  <c r="BE9" i="35"/>
  <c r="AW6" i="59"/>
  <c r="AT12" i="49"/>
  <c r="AP12" i="49"/>
  <c r="AI53" i="11"/>
  <c r="AE12" i="49"/>
  <c r="AI7" i="6"/>
  <c r="AI11" i="35"/>
  <c r="AI12" i="49"/>
  <c r="AJ7" i="6"/>
  <c r="AF39" i="36"/>
  <c r="AF30" i="36" s="1"/>
  <c r="AI59" i="59" s="1"/>
  <c r="AJ36" i="36"/>
  <c r="AJ39" i="36" s="1"/>
  <c r="AJ30" i="36" s="1"/>
  <c r="AM59" i="59" s="1"/>
  <c r="AA12" i="49"/>
  <c r="AT30" i="35"/>
  <c r="AX30" i="35" s="1"/>
  <c r="AT28" i="35"/>
  <c r="AX28" i="35" s="1"/>
  <c r="AO11" i="35"/>
  <c r="AS5" i="36"/>
  <c r="AO5" i="36"/>
  <c r="AR6" i="59" s="1"/>
  <c r="AS11" i="35"/>
  <c r="AT18" i="35"/>
  <c r="AP5" i="9"/>
  <c r="AP54" i="36"/>
  <c r="AP51" i="36"/>
  <c r="AP33" i="36"/>
  <c r="AP55" i="36"/>
  <c r="AP16" i="36"/>
  <c r="AS35" i="59" s="1"/>
  <c r="AP52" i="36"/>
  <c r="AP17" i="36"/>
  <c r="AS36" i="59" s="1"/>
  <c r="AS18" i="35"/>
  <c r="AO5" i="9"/>
  <c r="AN17" i="15"/>
  <c r="AO16" i="36"/>
  <c r="AR35" i="59" s="1"/>
  <c r="AO55" i="36"/>
  <c r="AO33" i="36"/>
  <c r="AO28" i="36" s="1"/>
  <c r="AO52" i="36"/>
  <c r="AO54" i="36"/>
  <c r="AO51" i="36"/>
  <c r="AO24" i="36"/>
  <c r="AS24" i="35"/>
  <c r="AS34" i="36" s="1"/>
  <c r="AS31" i="35"/>
  <c r="AS35" i="35" s="1"/>
  <c r="AT74" i="50" s="1"/>
  <c r="AP24" i="35"/>
  <c r="AP34" i="36" s="1"/>
  <c r="AT21" i="35"/>
  <c r="AX21" i="35" s="1"/>
  <c r="AX24" i="35" s="1"/>
  <c r="AP8" i="35"/>
  <c r="AT37" i="35"/>
  <c r="AX37" i="35" s="1"/>
  <c r="AN9" i="15"/>
  <c r="AT26" i="35"/>
  <c r="AO7" i="35"/>
  <c r="AO37" i="35"/>
  <c r="AO31" i="35"/>
  <c r="AO35" i="35" s="1"/>
  <c r="AP74" i="50" s="1"/>
  <c r="AO57" i="11" l="1"/>
  <c r="BE10" i="35"/>
  <c r="BE5" i="36" s="1"/>
  <c r="AI57" i="11"/>
  <c r="AW11" i="35"/>
  <c r="AS120" i="10"/>
  <c r="AW120" i="10"/>
  <c r="AO26" i="36"/>
  <c r="AX61" i="45"/>
  <c r="AZ53" i="59" s="1"/>
  <c r="AO27" i="36"/>
  <c r="AR56" i="59" s="1"/>
  <c r="AX26" i="35"/>
  <c r="AW9" i="15" s="1"/>
  <c r="AS9" i="15"/>
  <c r="AP35" i="36"/>
  <c r="AP36" i="36" s="1"/>
  <c r="AS17" i="36"/>
  <c r="AV36" i="59" s="1"/>
  <c r="AW18" i="35"/>
  <c r="AR17" i="15"/>
  <c r="AS5" i="9"/>
  <c r="AW29" i="35"/>
  <c r="BE29" i="35" s="1"/>
  <c r="BE52" i="11" s="1"/>
  <c r="BE53" i="11" s="1"/>
  <c r="AS52" i="11"/>
  <c r="AX18" i="35"/>
  <c r="AS17" i="15"/>
  <c r="AT5" i="9"/>
  <c r="AT7" i="6"/>
  <c r="AS35" i="36"/>
  <c r="AW35" i="36" s="1"/>
  <c r="BE35" i="36" s="1"/>
  <c r="AW34" i="36"/>
  <c r="BE34" i="36" s="1"/>
  <c r="AT61" i="45"/>
  <c r="AV53" i="59" s="1"/>
  <c r="AW12" i="49"/>
  <c r="AZ6" i="59"/>
  <c r="AX5" i="6"/>
  <c r="AX7" i="6" s="1"/>
  <c r="AX8" i="35"/>
  <c r="AN90" i="26"/>
  <c r="AO33" i="22"/>
  <c r="AO90" i="26"/>
  <c r="AP33" i="22"/>
  <c r="AR54" i="59"/>
  <c r="AR57" i="59"/>
  <c r="AS12" i="49"/>
  <c r="AV6" i="59"/>
  <c r="AO12" i="49"/>
  <c r="AO18" i="36"/>
  <c r="AR37" i="59" s="1"/>
  <c r="AO29" i="36"/>
  <c r="AP29" i="36"/>
  <c r="BE28" i="35"/>
  <c r="BE115" i="10" s="1"/>
  <c r="BE116" i="10" s="1"/>
  <c r="AP26" i="36"/>
  <c r="AP28" i="36"/>
  <c r="AP27" i="36"/>
  <c r="AO36" i="36"/>
  <c r="AT52" i="36"/>
  <c r="AT17" i="36"/>
  <c r="AW36" i="59" s="1"/>
  <c r="AT54" i="36"/>
  <c r="AT51" i="36"/>
  <c r="AT55" i="36"/>
  <c r="AT33" i="36"/>
  <c r="AX33" i="36" s="1"/>
  <c r="AT16" i="36"/>
  <c r="AW35" i="59" s="1"/>
  <c r="AP18" i="36"/>
  <c r="AS37" i="59" s="1"/>
  <c r="AP53" i="36"/>
  <c r="AP19" i="36" s="1"/>
  <c r="AS38" i="59" s="1"/>
  <c r="AP24" i="36"/>
  <c r="AO53" i="36"/>
  <c r="AO19" i="36" s="1"/>
  <c r="AR38" i="59" s="1"/>
  <c r="AS33" i="36"/>
  <c r="AS16" i="36"/>
  <c r="AS55" i="36"/>
  <c r="AS52" i="36"/>
  <c r="AS54" i="36"/>
  <c r="AS51" i="36"/>
  <c r="BE22" i="35"/>
  <c r="BE24" i="35" s="1"/>
  <c r="BE30" i="35"/>
  <c r="BF7" i="35"/>
  <c r="BF6" i="6" s="1"/>
  <c r="BF7" i="6" s="1"/>
  <c r="AT24" i="35"/>
  <c r="AT34" i="36" s="1"/>
  <c r="AT8" i="35"/>
  <c r="AO8" i="35"/>
  <c r="AS7" i="35"/>
  <c r="AO44" i="35"/>
  <c r="AS37" i="35"/>
  <c r="AW37" i="35" s="1"/>
  <c r="AW44" i="35" s="1"/>
  <c r="AN7" i="15"/>
  <c r="AN6" i="15"/>
  <c r="AN5" i="15"/>
  <c r="AO25" i="36"/>
  <c r="AR55" i="59" s="1"/>
  <c r="AS27" i="36" l="1"/>
  <c r="BH6" i="59"/>
  <c r="BE12" i="49"/>
  <c r="BE11" i="35"/>
  <c r="BF33" i="36"/>
  <c r="AT35" i="36"/>
  <c r="AX35" i="36" s="1"/>
  <c r="BF35" i="36" s="1"/>
  <c r="AX34" i="36"/>
  <c r="BF34" i="36" s="1"/>
  <c r="AW31" i="35"/>
  <c r="AW35" i="35" s="1"/>
  <c r="AW52" i="11"/>
  <c r="AV17" i="15"/>
  <c r="AW5" i="9"/>
  <c r="AW52" i="36"/>
  <c r="AW16" i="36"/>
  <c r="AW26" i="36"/>
  <c r="AW54" i="36"/>
  <c r="AW55" i="36"/>
  <c r="AW51" i="36"/>
  <c r="AW17" i="36"/>
  <c r="AZ36" i="59" s="1"/>
  <c r="AW7" i="35"/>
  <c r="AS6" i="6"/>
  <c r="AS7" i="6" s="1"/>
  <c r="AW17" i="15"/>
  <c r="AX5" i="9"/>
  <c r="AX52" i="36"/>
  <c r="AX55" i="36"/>
  <c r="AX16" i="36"/>
  <c r="AX54" i="36"/>
  <c r="AX51" i="36"/>
  <c r="AX53" i="36" s="1"/>
  <c r="AX17" i="36"/>
  <c r="BA36" i="59" s="1"/>
  <c r="AX26" i="36"/>
  <c r="AW23" i="36"/>
  <c r="AS33" i="22"/>
  <c r="AR90" i="26"/>
  <c r="AS24" i="36"/>
  <c r="AV54" i="59" s="1"/>
  <c r="AW33" i="36"/>
  <c r="AS23" i="36"/>
  <c r="AT33" i="22"/>
  <c r="AS90" i="26"/>
  <c r="AS53" i="11"/>
  <c r="AO39" i="36"/>
  <c r="AO30" i="36" s="1"/>
  <c r="AR59" i="59" s="1"/>
  <c r="AP39" i="36"/>
  <c r="AP30" i="36" s="1"/>
  <c r="AS59" i="59" s="1"/>
  <c r="AS54" i="59"/>
  <c r="AR58" i="59"/>
  <c r="AV56" i="59"/>
  <c r="AR5" i="15"/>
  <c r="AO6" i="15"/>
  <c r="AS57" i="59"/>
  <c r="AO7" i="15"/>
  <c r="AS58" i="59"/>
  <c r="AO5" i="15"/>
  <c r="AS56" i="59"/>
  <c r="AS18" i="36"/>
  <c r="AV37" i="59" s="1"/>
  <c r="AV35" i="59"/>
  <c r="AS25" i="36"/>
  <c r="BF30" i="35"/>
  <c r="BN30" i="35" s="1"/>
  <c r="BF28" i="35"/>
  <c r="BN28" i="35" s="1"/>
  <c r="AS29" i="36"/>
  <c r="AT27" i="36"/>
  <c r="AX27" i="36" s="1"/>
  <c r="BF27" i="36" s="1"/>
  <c r="AT53" i="36"/>
  <c r="AT19" i="36" s="1"/>
  <c r="AW38" i="59" s="1"/>
  <c r="AT18" i="36"/>
  <c r="AW37" i="59" s="1"/>
  <c r="AT24" i="36"/>
  <c r="AT29" i="36"/>
  <c r="AX29" i="36" s="1"/>
  <c r="BF29" i="36" s="1"/>
  <c r="AS28" i="36"/>
  <c r="AW28" i="36" s="1"/>
  <c r="AT28" i="36"/>
  <c r="AS26" i="36"/>
  <c r="AS36" i="36"/>
  <c r="BF18" i="35"/>
  <c r="BK18" i="35" s="1"/>
  <c r="AS53" i="36"/>
  <c r="AS19" i="36" s="1"/>
  <c r="AV38" i="59" s="1"/>
  <c r="AT26" i="36"/>
  <c r="BE18" i="35"/>
  <c r="BE31" i="35"/>
  <c r="BE35" i="35" s="1"/>
  <c r="BE25" i="36" s="1"/>
  <c r="BH55" i="59" s="1"/>
  <c r="BF8" i="35"/>
  <c r="BF26" i="35"/>
  <c r="BE9" i="15" s="1"/>
  <c r="BF37" i="35"/>
  <c r="BE26" i="35"/>
  <c r="BD9" i="15" s="1"/>
  <c r="BF21" i="35"/>
  <c r="BF24" i="35" s="1"/>
  <c r="AS44" i="35"/>
  <c r="AS8" i="35"/>
  <c r="AS57" i="11" l="1"/>
  <c r="BF5" i="9"/>
  <c r="BM13" i="35"/>
  <c r="BF52" i="36"/>
  <c r="BF55" i="36"/>
  <c r="BF54" i="36"/>
  <c r="BF17" i="36"/>
  <c r="BF16" i="36"/>
  <c r="BI35" i="59" s="1"/>
  <c r="BF51" i="36"/>
  <c r="BF26" i="36"/>
  <c r="BE5" i="9"/>
  <c r="BD17" i="15"/>
  <c r="BE52" i="36"/>
  <c r="BE16" i="36"/>
  <c r="BH35" i="59" s="1"/>
  <c r="BE26" i="36"/>
  <c r="BE55" i="36"/>
  <c r="BE54" i="36"/>
  <c r="BE51" i="36"/>
  <c r="BE17" i="36"/>
  <c r="BE7" i="15"/>
  <c r="BI58" i="59"/>
  <c r="BE5" i="15"/>
  <c r="BI56" i="59"/>
  <c r="BE33" i="36"/>
  <c r="AW29" i="36"/>
  <c r="AZ58" i="59" s="1"/>
  <c r="AW53" i="36"/>
  <c r="AW19" i="36" s="1"/>
  <c r="AZ38" i="59" s="1"/>
  <c r="AT36" i="36"/>
  <c r="AX36" i="36" s="1"/>
  <c r="AX19" i="36"/>
  <c r="BA38" i="59" s="1"/>
  <c r="BE17" i="15"/>
  <c r="BL18" i="35"/>
  <c r="AW24" i="36"/>
  <c r="AZ54" i="59" s="1"/>
  <c r="AZ35" i="59"/>
  <c r="AW18" i="36"/>
  <c r="AZ37" i="59" s="1"/>
  <c r="AW53" i="11"/>
  <c r="AX33" i="22"/>
  <c r="AW90" i="26"/>
  <c r="AW6" i="6"/>
  <c r="AW7" i="6" s="1"/>
  <c r="AW8" i="35"/>
  <c r="AX74" i="50"/>
  <c r="AW25" i="36"/>
  <c r="AZ55" i="59" s="1"/>
  <c r="BA35" i="59"/>
  <c r="AX18" i="36"/>
  <c r="BA37" i="59" s="1"/>
  <c r="BE7" i="35"/>
  <c r="AV90" i="26"/>
  <c r="AW33" i="22"/>
  <c r="AW27" i="36"/>
  <c r="BE27" i="36" s="1"/>
  <c r="AZ57" i="59"/>
  <c r="AV6" i="15"/>
  <c r="BA58" i="59"/>
  <c r="AW7" i="15"/>
  <c r="BA56" i="59"/>
  <c r="AW5" i="15"/>
  <c r="AV7" i="15"/>
  <c r="AX28" i="36"/>
  <c r="BF28" i="36" s="1"/>
  <c r="AW54" i="59"/>
  <c r="AX24" i="36"/>
  <c r="BI54" i="59" s="1"/>
  <c r="AS39" i="36"/>
  <c r="AS30" i="36" s="1"/>
  <c r="AV59" i="59" s="1"/>
  <c r="AW36" i="36"/>
  <c r="AT39" i="36"/>
  <c r="AT30" i="36" s="1"/>
  <c r="AW59" i="59" s="1"/>
  <c r="AV58" i="59"/>
  <c r="AR7" i="15"/>
  <c r="AW57" i="59"/>
  <c r="AS6" i="15"/>
  <c r="AV57" i="59"/>
  <c r="AR6" i="15"/>
  <c r="AW58" i="59"/>
  <c r="AS7" i="15"/>
  <c r="AW56" i="59"/>
  <c r="AS5" i="15"/>
  <c r="AV55" i="59"/>
  <c r="BE37" i="35"/>
  <c r="BE44" i="35" s="1"/>
  <c r="BF53" i="36" l="1"/>
  <c r="BF19" i="36" s="1"/>
  <c r="BI38" i="59" s="1"/>
  <c r="BF33" i="22"/>
  <c r="BE90" i="26"/>
  <c r="BE8" i="35"/>
  <c r="BE6" i="6"/>
  <c r="BE7" i="6" s="1"/>
  <c r="BE18" i="36"/>
  <c r="BH37" i="59" s="1"/>
  <c r="BH36" i="59"/>
  <c r="BE33" i="22"/>
  <c r="BD90" i="26"/>
  <c r="BD5" i="15"/>
  <c r="BH56" i="59"/>
  <c r="AW57" i="11"/>
  <c r="BE53" i="36"/>
  <c r="BE19" i="36" s="1"/>
  <c r="BH38" i="59" s="1"/>
  <c r="BF18" i="36"/>
  <c r="BI37" i="59" s="1"/>
  <c r="BI36" i="59"/>
  <c r="BE6" i="15"/>
  <c r="BI57" i="59"/>
  <c r="BE29" i="36"/>
  <c r="AX39" i="36"/>
  <c r="AX30" i="36" s="1"/>
  <c r="BA59" i="59" s="1"/>
  <c r="BF36" i="36"/>
  <c r="BF39" i="36" s="1"/>
  <c r="BF30" i="36" s="1"/>
  <c r="BI59" i="59" s="1"/>
  <c r="BE24" i="36"/>
  <c r="BH54" i="59" s="1"/>
  <c r="AW39" i="36"/>
  <c r="AW30" i="36" s="1"/>
  <c r="AZ59" i="59" s="1"/>
  <c r="BE36" i="36"/>
  <c r="BE39" i="36" s="1"/>
  <c r="BE30" i="36" s="1"/>
  <c r="BH59" i="59" s="1"/>
  <c r="BE28" i="36"/>
  <c r="AZ56" i="59"/>
  <c r="AV5" i="15"/>
  <c r="BA54" i="59"/>
  <c r="BA57" i="59"/>
  <c r="AW6" i="15"/>
  <c r="BD7" i="15" l="1"/>
  <c r="BH58" i="59"/>
  <c r="BD6" i="15"/>
  <c r="BH57" i="59"/>
  <c r="AO81" i="6"/>
  <c r="AS81" i="6" s="1"/>
  <c r="AW81" i="6" s="1"/>
  <c r="BE81" i="6" s="1"/>
  <c r="AP81" i="6" l="1"/>
  <c r="AT81" i="6" s="1"/>
  <c r="AX81" i="6" s="1"/>
  <c r="BF81" i="6" s="1"/>
  <c r="F332" i="28"/>
  <c r="F453" i="28" s="1"/>
  <c r="J321" i="28"/>
  <c r="I321" i="28"/>
  <c r="N321" i="28" l="1"/>
  <c r="J332" i="28"/>
  <c r="M321" i="28"/>
  <c r="R321" i="28" l="1"/>
  <c r="N332" i="28"/>
  <c r="Q321" i="28"/>
  <c r="U321" i="28" s="1"/>
  <c r="V321" i="28" l="1"/>
  <c r="V332" i="28" s="1"/>
  <c r="R332" i="28"/>
  <c r="AA321" i="28"/>
  <c r="AB321" i="28" l="1"/>
  <c r="AF321" i="28" s="1"/>
  <c r="AE321" i="28"/>
  <c r="AI321" i="28" s="1"/>
  <c r="AO321" i="28" s="1"/>
  <c r="AB332" i="28" l="1"/>
  <c r="AJ321" i="28"/>
  <c r="AF332" i="28"/>
  <c r="AS321" i="28"/>
  <c r="AP321" i="28" l="1"/>
  <c r="AJ332" i="28"/>
  <c r="AW321" i="28"/>
  <c r="BC321" i="28" s="1"/>
  <c r="BE321" i="28" l="1"/>
  <c r="AP332" i="28"/>
  <c r="AT321" i="28"/>
  <c r="BD321" i="28"/>
  <c r="BD332" i="28" s="1"/>
  <c r="BD453" i="28" s="1"/>
  <c r="AX321" i="28" l="1"/>
  <c r="AT332" i="28"/>
  <c r="Q67" i="8"/>
  <c r="T32" i="59" s="1"/>
  <c r="M67" i="8"/>
  <c r="P32" i="59" s="1"/>
  <c r="I67" i="8"/>
  <c r="L32" i="59" s="1"/>
  <c r="BF321" i="28" l="1"/>
  <c r="BF332" i="28" s="1"/>
  <c r="AX332" i="28"/>
  <c r="U67" i="8"/>
  <c r="AV32" i="59"/>
  <c r="AO67" i="8" l="1"/>
  <c r="AR32" i="59" s="1"/>
  <c r="X32" i="59"/>
  <c r="X25" i="17" l="1"/>
  <c r="X18" i="17"/>
  <c r="X17" i="17"/>
  <c r="D18" i="17"/>
  <c r="D17" i="17"/>
  <c r="D15" i="17"/>
  <c r="D29" i="17" s="1"/>
  <c r="D14" i="17"/>
  <c r="D8" i="17"/>
  <c r="D10" i="17" s="1"/>
  <c r="X15" i="17" l="1"/>
  <c r="X29" i="17" s="1"/>
  <c r="X8" i="17"/>
  <c r="X21" i="17"/>
  <c r="X32" i="17" s="1"/>
  <c r="D21" i="17"/>
  <c r="D32" i="17" s="1"/>
  <c r="D33" i="17" l="1"/>
  <c r="X34" i="17"/>
  <c r="X10" i="17"/>
  <c r="X30" i="17"/>
  <c r="X31" i="17"/>
  <c r="X33" i="17"/>
  <c r="D31" i="17"/>
  <c r="D30" i="17"/>
  <c r="Z434" i="28" l="1"/>
  <c r="Z433" i="28"/>
  <c r="AN433" i="28" l="1"/>
  <c r="AN434" i="28"/>
  <c r="P86" i="9" l="1"/>
  <c r="BD434" i="28" l="1"/>
  <c r="BD433" i="28"/>
  <c r="N59" i="26" l="1"/>
  <c r="X59" i="26" l="1"/>
  <c r="X84" i="17" s="1"/>
  <c r="N84" i="17"/>
  <c r="I30" i="28"/>
  <c r="M30" i="28" s="1"/>
  <c r="Q30" i="28" l="1"/>
  <c r="N32" i="26"/>
  <c r="U30" i="28" l="1"/>
  <c r="AA30" i="28" s="1"/>
  <c r="AE30" i="28" s="1"/>
  <c r="AI30" i="28" s="1"/>
  <c r="AO30" i="28" s="1"/>
  <c r="AS30" i="28" l="1"/>
  <c r="AW30" i="28" s="1"/>
  <c r="BE30" i="28" s="1"/>
  <c r="J59" i="26"/>
  <c r="J84" i="17" s="1"/>
  <c r="D59" i="26"/>
  <c r="D84" i="17" s="1"/>
  <c r="F59" i="26"/>
  <c r="F84" i="17" s="1"/>
  <c r="D60" i="17"/>
  <c r="D56" i="17"/>
  <c r="O64" i="11" l="1"/>
  <c r="O62" i="11"/>
  <c r="R48" i="59" s="1"/>
  <c r="O59" i="11"/>
  <c r="Y59" i="11" s="1"/>
  <c r="Y60" i="11" s="1"/>
  <c r="O60" i="11" l="1"/>
  <c r="K14" i="6"/>
  <c r="K13" i="6"/>
  <c r="K7" i="6"/>
  <c r="K126" i="6" l="1"/>
  <c r="K54" i="6"/>
  <c r="K20" i="6"/>
  <c r="K21" i="6"/>
  <c r="K55" i="6"/>
  <c r="K23" i="6"/>
  <c r="K17" i="6"/>
  <c r="K26" i="6"/>
  <c r="K18" i="6"/>
  <c r="K27" i="6"/>
  <c r="K24" i="6"/>
  <c r="K131" i="6"/>
  <c r="K151" i="6"/>
  <c r="K157" i="6"/>
  <c r="I7" i="21"/>
  <c r="M7" i="21" s="1"/>
  <c r="Q7" i="21" l="1"/>
  <c r="U7" i="21" s="1"/>
  <c r="AA7" i="21"/>
  <c r="AE7" i="21" s="1"/>
  <c r="K22" i="6"/>
  <c r="AA86" i="6"/>
  <c r="AE86" i="6" s="1"/>
  <c r="AI86" i="6" s="1"/>
  <c r="AA72" i="6"/>
  <c r="K28" i="6"/>
  <c r="K30" i="6"/>
  <c r="K25" i="6"/>
  <c r="K29" i="6"/>
  <c r="K19" i="6"/>
  <c r="AI7" i="21" l="1"/>
  <c r="AO7" i="21" s="1"/>
  <c r="AS7" i="21" s="1"/>
  <c r="AE72" i="6"/>
  <c r="AO86" i="6"/>
  <c r="AS86" i="6" s="1"/>
  <c r="AW86" i="6" s="1"/>
  <c r="BE86" i="6" s="1"/>
  <c r="AA100" i="6"/>
  <c r="AE100" i="6" s="1"/>
  <c r="AI100" i="6" s="1"/>
  <c r="K31" i="6"/>
  <c r="AW7" i="21" l="1"/>
  <c r="BE7" i="21" s="1"/>
  <c r="AI72" i="6"/>
  <c r="AO72" i="6" s="1"/>
  <c r="AS72" i="6" s="1"/>
  <c r="AW72" i="6" s="1"/>
  <c r="BE72" i="6" s="1"/>
  <c r="AO100" i="6"/>
  <c r="AS100" i="6" s="1"/>
  <c r="AW100" i="6" l="1"/>
  <c r="BE100" i="6" s="1"/>
  <c r="J7" i="21"/>
  <c r="N7" i="21" s="1"/>
  <c r="R7" i="21" l="1"/>
  <c r="V7" i="21" s="1"/>
  <c r="AB7" i="21"/>
  <c r="AF7" i="21"/>
  <c r="AJ7" i="21" s="1"/>
  <c r="AP7" i="21" s="1"/>
  <c r="AT7" i="21" s="1"/>
  <c r="E429" i="28"/>
  <c r="I178" i="28"/>
  <c r="M178" i="28" s="1"/>
  <c r="Q178" i="28" s="1"/>
  <c r="U178" i="28" s="1"/>
  <c r="I263" i="28"/>
  <c r="M263" i="28" s="1"/>
  <c r="Q263" i="28" s="1"/>
  <c r="U263" i="28" s="1"/>
  <c r="J263" i="28"/>
  <c r="N263" i="28" l="1"/>
  <c r="N266" i="28" s="1"/>
  <c r="J266" i="28"/>
  <c r="AX7" i="21"/>
  <c r="BF7" i="21" s="1"/>
  <c r="AA263" i="28"/>
  <c r="AA178" i="28"/>
  <c r="R263" i="28" l="1"/>
  <c r="V263" i="28" s="1"/>
  <c r="V266" i="28" s="1"/>
  <c r="AE178" i="28"/>
  <c r="AE263" i="28"/>
  <c r="R266" i="28" l="1"/>
  <c r="AI263" i="28"/>
  <c r="AI178" i="28"/>
  <c r="AB263" i="28"/>
  <c r="AF263" i="28" l="1"/>
  <c r="AF266" i="28" s="1"/>
  <c r="AB266" i="28"/>
  <c r="AO178" i="28"/>
  <c r="AS178" i="28" s="1"/>
  <c r="AO263" i="28"/>
  <c r="AS263" i="28" s="1"/>
  <c r="AJ263" i="28"/>
  <c r="AJ266" i="28" s="1"/>
  <c r="AW263" i="28" l="1"/>
  <c r="BE263" i="28" s="1"/>
  <c r="AW178" i="28"/>
  <c r="BE178" i="28" s="1"/>
  <c r="AP263" i="28"/>
  <c r="AP266" i="28" s="1"/>
  <c r="AT263" i="28" l="1"/>
  <c r="D90" i="26"/>
  <c r="D88" i="26"/>
  <c r="D60" i="26"/>
  <c r="D56" i="26"/>
  <c r="D36" i="26"/>
  <c r="D40" i="26" l="1"/>
  <c r="D128" i="26"/>
  <c r="AX263" i="28"/>
  <c r="AT266" i="28"/>
  <c r="D74" i="26"/>
  <c r="D17" i="26"/>
  <c r="D32" i="26"/>
  <c r="D51" i="26"/>
  <c r="D133" i="26" s="1"/>
  <c r="D61" i="26"/>
  <c r="D37" i="26"/>
  <c r="D41" i="26"/>
  <c r="D57" i="26"/>
  <c r="D132" i="26" l="1"/>
  <c r="D125" i="26"/>
  <c r="BF263" i="28"/>
  <c r="BF266" i="28" s="1"/>
  <c r="AX266" i="28"/>
  <c r="D12" i="26"/>
  <c r="E14" i="6" l="1"/>
  <c r="E13" i="6"/>
  <c r="E7" i="6"/>
  <c r="E21" i="28"/>
  <c r="E126" i="6" l="1"/>
  <c r="I126" i="6" s="1"/>
  <c r="E54" i="6"/>
  <c r="E55" i="6"/>
  <c r="E20" i="6"/>
  <c r="E23" i="6"/>
  <c r="E17" i="6"/>
  <c r="E26" i="6"/>
  <c r="E24" i="6"/>
  <c r="E18" i="6"/>
  <c r="E27" i="6"/>
  <c r="E21" i="6"/>
  <c r="E131" i="6"/>
  <c r="E157" i="6"/>
  <c r="E151" i="6"/>
  <c r="E29" i="21"/>
  <c r="E28" i="6" l="1"/>
  <c r="E29" i="6"/>
  <c r="E19" i="6"/>
  <c r="E30" i="6"/>
  <c r="E25" i="6"/>
  <c r="E22" i="6"/>
  <c r="E31" i="6" l="1"/>
  <c r="I59" i="9" l="1"/>
  <c r="M59" i="9" l="1"/>
  <c r="Q59" i="9" l="1"/>
  <c r="U59" i="9" s="1"/>
  <c r="AA59" i="9" l="1"/>
  <c r="AE59" i="9" l="1"/>
  <c r="AI59" i="9" s="1"/>
  <c r="AO59" i="9" l="1"/>
  <c r="AS59" i="9" l="1"/>
  <c r="Q87" i="6"/>
  <c r="M87" i="6"/>
  <c r="U87" i="6"/>
  <c r="U97" i="6"/>
  <c r="AW59" i="9" l="1"/>
  <c r="BE59" i="9" s="1"/>
  <c r="Q99" i="6"/>
  <c r="M101" i="6"/>
  <c r="AA85" i="6"/>
  <c r="AE85" i="6" s="1"/>
  <c r="U94" i="6"/>
  <c r="V184" i="6"/>
  <c r="V188" i="6"/>
  <c r="AE87" i="6" l="1"/>
  <c r="AI85" i="6"/>
  <c r="AI87" i="6" s="1"/>
  <c r="AA87" i="6"/>
  <c r="Q101" i="6"/>
  <c r="U99" i="6"/>
  <c r="V97" i="6"/>
  <c r="V187" i="6"/>
  <c r="U101" i="6" l="1"/>
  <c r="T184" i="6"/>
  <c r="AO85" i="6" l="1"/>
  <c r="T188" i="6"/>
  <c r="AO87" i="6" l="1"/>
  <c r="AS85" i="6"/>
  <c r="T187" i="6"/>
  <c r="AW85" i="6" l="1"/>
  <c r="AS87" i="6"/>
  <c r="AF184" i="6"/>
  <c r="AW87" i="6" l="1"/>
  <c r="BE85" i="6"/>
  <c r="BE87" i="6" s="1"/>
  <c r="AF187" i="6"/>
  <c r="AF188" i="6" l="1"/>
  <c r="Q73" i="6" l="1"/>
  <c r="M73" i="6"/>
  <c r="U73" i="6"/>
  <c r="AA71" i="6" l="1"/>
  <c r="AE71" i="6" s="1"/>
  <c r="AE73" i="6" l="1"/>
  <c r="AI71" i="6"/>
  <c r="AI73" i="6" s="1"/>
  <c r="AA73" i="6"/>
  <c r="AA99" i="6"/>
  <c r="AE99" i="6" s="1"/>
  <c r="AI99" i="6" s="1"/>
  <c r="AI101" i="6" s="1"/>
  <c r="V185" i="6"/>
  <c r="AE101" i="6" l="1"/>
  <c r="AA101" i="6"/>
  <c r="AO71" i="6"/>
  <c r="AS71" i="6" s="1"/>
  <c r="R100" i="6"/>
  <c r="V100" i="6" s="1"/>
  <c r="AW71" i="6" l="1"/>
  <c r="AS73" i="6"/>
  <c r="AB72" i="6"/>
  <c r="AW73" i="6" l="1"/>
  <c r="BE71" i="6"/>
  <c r="BE73" i="6" s="1"/>
  <c r="AF72" i="6"/>
  <c r="AO99" i="6"/>
  <c r="T185" i="6"/>
  <c r="AO101" i="6" l="1"/>
  <c r="AS99" i="6"/>
  <c r="AJ72" i="6"/>
  <c r="AP72" i="6" s="1"/>
  <c r="AT72" i="6" s="1"/>
  <c r="AX72" i="6" s="1"/>
  <c r="BF72" i="6" s="1"/>
  <c r="AF185" i="6"/>
  <c r="AW99" i="6" l="1"/>
  <c r="BE99" i="6" s="1"/>
  <c r="AS101" i="6"/>
  <c r="D51" i="17"/>
  <c r="BE101" i="6" l="1"/>
  <c r="AW101" i="6"/>
  <c r="D112" i="17"/>
  <c r="N2" i="21" l="1"/>
  <c r="M2" i="21"/>
  <c r="AA2" i="21" s="1"/>
  <c r="J2" i="21"/>
  <c r="I2" i="21"/>
  <c r="R2" i="21" l="1"/>
  <c r="V2" i="21" s="1"/>
  <c r="AB2" i="21"/>
  <c r="AF2" i="21" s="1"/>
  <c r="AJ2" i="21" s="1"/>
  <c r="AP2" i="21" s="1"/>
  <c r="AT2" i="21" s="1"/>
  <c r="AX2" i="21" s="1"/>
  <c r="BF2" i="21" s="1"/>
  <c r="Q2" i="21"/>
  <c r="U2" i="21" s="1"/>
  <c r="AE2" i="21" l="1"/>
  <c r="AI2" i="21" s="1"/>
  <c r="AO2" i="21" s="1"/>
  <c r="AS2" i="21" s="1"/>
  <c r="AW2" i="21" s="1"/>
  <c r="BE2" i="21" s="1"/>
  <c r="D113" i="17"/>
  <c r="K27" i="28" l="1"/>
  <c r="K31" i="28" s="1"/>
  <c r="E27" i="28"/>
  <c r="K21" i="28"/>
  <c r="K15" i="28"/>
  <c r="E15" i="28"/>
  <c r="K8" i="28"/>
  <c r="E8" i="28"/>
  <c r="N90" i="26"/>
  <c r="J90" i="26"/>
  <c r="F90" i="26"/>
  <c r="K415" i="28" l="1"/>
  <c r="K456" i="28" s="1"/>
  <c r="X78" i="26"/>
  <c r="X80" i="26"/>
  <c r="X82" i="26"/>
  <c r="X84" i="26"/>
  <c r="X86" i="26"/>
  <c r="X76" i="26"/>
  <c r="X77" i="26"/>
  <c r="X79" i="26"/>
  <c r="X81" i="26"/>
  <c r="X83" i="26"/>
  <c r="X85" i="26"/>
  <c r="X87" i="26"/>
  <c r="E31" i="28"/>
  <c r="I27" i="28"/>
  <c r="M27" i="28" s="1"/>
  <c r="Q27" i="28" s="1"/>
  <c r="U27" i="28" s="1"/>
  <c r="E34" i="28"/>
  <c r="K34" i="28"/>
  <c r="F384" i="28"/>
  <c r="F415" i="28" s="1"/>
  <c r="K433" i="28" l="1"/>
  <c r="E415" i="28"/>
  <c r="E433" i="28" s="1"/>
  <c r="J57" i="26"/>
  <c r="J36" i="26"/>
  <c r="I429" i="28"/>
  <c r="J423" i="28"/>
  <c r="F424" i="28"/>
  <c r="F426" i="28" s="1"/>
  <c r="I419" i="28"/>
  <c r="J419" i="28"/>
  <c r="I418" i="28"/>
  <c r="J418" i="28"/>
  <c r="E420" i="28"/>
  <c r="K33" i="28"/>
  <c r="E33" i="28"/>
  <c r="J37" i="28"/>
  <c r="N37" i="28" s="1"/>
  <c r="R37" i="28" s="1"/>
  <c r="I26" i="28"/>
  <c r="M26" i="28" s="1"/>
  <c r="Q26" i="28" s="1"/>
  <c r="Q31" i="28" s="1"/>
  <c r="Q415" i="28" s="1"/>
  <c r="J26" i="28"/>
  <c r="N26" i="28" s="1"/>
  <c r="R26" i="28" s="1"/>
  <c r="J22" i="28"/>
  <c r="N22" i="28" s="1"/>
  <c r="E24" i="28"/>
  <c r="I20" i="28"/>
  <c r="M20" i="28" s="1"/>
  <c r="Q20" i="28" s="1"/>
  <c r="F18" i="28"/>
  <c r="K18" i="28"/>
  <c r="J15" i="28"/>
  <c r="E18" i="28"/>
  <c r="I13" i="28"/>
  <c r="K11" i="28"/>
  <c r="I7" i="28"/>
  <c r="M7" i="28" s="1"/>
  <c r="Q7" i="28" s="1"/>
  <c r="H15" i="27"/>
  <c r="L15" i="27" s="1"/>
  <c r="P15" i="27" s="1"/>
  <c r="H14" i="27"/>
  <c r="L14" i="27" s="1"/>
  <c r="P14" i="27" s="1"/>
  <c r="I14" i="27"/>
  <c r="H13" i="27"/>
  <c r="L13" i="27" s="1"/>
  <c r="P13" i="27" s="1"/>
  <c r="H12" i="27"/>
  <c r="L12" i="27" s="1"/>
  <c r="P12" i="27" s="1"/>
  <c r="I12" i="27"/>
  <c r="M12" i="27" s="1"/>
  <c r="Q12" i="27" s="1"/>
  <c r="H11" i="27"/>
  <c r="L11" i="27" s="1"/>
  <c r="P11" i="27" s="1"/>
  <c r="H10" i="27"/>
  <c r="L10" i="27" s="1"/>
  <c r="P10" i="27" s="1"/>
  <c r="I10" i="27"/>
  <c r="H9" i="27"/>
  <c r="L9" i="27" s="1"/>
  <c r="P9" i="27" s="1"/>
  <c r="H8" i="27"/>
  <c r="L8" i="27" s="1"/>
  <c r="P8" i="27" s="1"/>
  <c r="I8" i="27"/>
  <c r="M8" i="27" s="1"/>
  <c r="Q8" i="27" s="1"/>
  <c r="H7" i="27"/>
  <c r="L7" i="27" s="1"/>
  <c r="P7" i="27" s="1"/>
  <c r="H6" i="27"/>
  <c r="L6" i="27" s="1"/>
  <c r="P6" i="27" s="1"/>
  <c r="I6" i="27"/>
  <c r="I2" i="27"/>
  <c r="H2" i="27"/>
  <c r="N88" i="26"/>
  <c r="J88" i="26"/>
  <c r="K88" i="26"/>
  <c r="I73" i="26"/>
  <c r="M73" i="26" s="1"/>
  <c r="I72" i="26"/>
  <c r="M72" i="26" s="1"/>
  <c r="I69" i="26"/>
  <c r="M69" i="26" s="1"/>
  <c r="I68" i="26"/>
  <c r="M68" i="26" s="1"/>
  <c r="O74" i="26"/>
  <c r="Y63" i="26" s="1"/>
  <c r="H65" i="26"/>
  <c r="H60" i="26"/>
  <c r="I60" i="26"/>
  <c r="M60" i="26" s="1"/>
  <c r="O61" i="26"/>
  <c r="N61" i="26"/>
  <c r="F61" i="26"/>
  <c r="K56" i="26"/>
  <c r="H55" i="26"/>
  <c r="L55" i="26" s="1"/>
  <c r="Z55" i="26" s="1"/>
  <c r="AD55" i="26" s="1"/>
  <c r="AH55" i="26" s="1"/>
  <c r="AN55" i="26" s="1"/>
  <c r="O57" i="26"/>
  <c r="N57" i="26"/>
  <c r="G57" i="26"/>
  <c r="F57" i="26"/>
  <c r="E57" i="26"/>
  <c r="I49" i="26"/>
  <c r="M49" i="26" s="1"/>
  <c r="I48" i="26"/>
  <c r="M48" i="26" s="1"/>
  <c r="I46" i="26"/>
  <c r="M46" i="26" s="1"/>
  <c r="I44" i="26"/>
  <c r="I43" i="26"/>
  <c r="I39" i="26"/>
  <c r="I38" i="26"/>
  <c r="M38" i="26" s="1"/>
  <c r="O36" i="26"/>
  <c r="O40" i="26" s="1"/>
  <c r="N36" i="26"/>
  <c r="K36" i="26"/>
  <c r="K40" i="26" s="1"/>
  <c r="G36" i="26"/>
  <c r="G40" i="26" s="1"/>
  <c r="F36" i="26"/>
  <c r="E36" i="26"/>
  <c r="E40" i="26" s="1"/>
  <c r="I31" i="26"/>
  <c r="I30" i="26"/>
  <c r="M30" i="26" s="1"/>
  <c r="I27" i="26"/>
  <c r="M27" i="26" s="1"/>
  <c r="I26" i="26"/>
  <c r="M26" i="26" s="1"/>
  <c r="I23" i="26"/>
  <c r="M23" i="26" s="1"/>
  <c r="I22" i="26"/>
  <c r="M22" i="26" s="1"/>
  <c r="K32" i="26"/>
  <c r="E32" i="26"/>
  <c r="I10" i="26"/>
  <c r="M10" i="26" s="1"/>
  <c r="AA10" i="26" s="1"/>
  <c r="I8" i="26"/>
  <c r="I2" i="26"/>
  <c r="M2" i="26" s="1"/>
  <c r="Q2" i="26" s="1"/>
  <c r="U2" i="26" s="1"/>
  <c r="AA2" i="26" s="1"/>
  <c r="AE2" i="26" s="1"/>
  <c r="AI2" i="26" s="1"/>
  <c r="H2" i="26"/>
  <c r="J40" i="26" l="1"/>
  <c r="J128" i="26"/>
  <c r="N40" i="26"/>
  <c r="N128" i="26"/>
  <c r="F40" i="26"/>
  <c r="F128" i="26"/>
  <c r="M13" i="28"/>
  <c r="I260" i="28"/>
  <c r="E456" i="28"/>
  <c r="K176" i="28"/>
  <c r="K444" i="28" s="1"/>
  <c r="K261" i="28"/>
  <c r="K448" i="28" s="1"/>
  <c r="R22" i="28"/>
  <c r="V22" i="28" s="1"/>
  <c r="AB22" i="28" s="1"/>
  <c r="N453" i="28"/>
  <c r="AO2" i="26"/>
  <c r="AS2" i="26" s="1"/>
  <c r="AW2" i="26" s="1"/>
  <c r="BE2" i="26" s="1"/>
  <c r="L65" i="26"/>
  <c r="H85" i="17"/>
  <c r="F448" i="28"/>
  <c r="AR55" i="26"/>
  <c r="F42" i="28"/>
  <c r="J42" i="28" s="1"/>
  <c r="F440" i="28"/>
  <c r="AE10" i="26"/>
  <c r="AI10" i="26" s="1"/>
  <c r="Q23" i="26"/>
  <c r="U23" i="26" s="1"/>
  <c r="AA23" i="26"/>
  <c r="AE23" i="26" s="1"/>
  <c r="AI23" i="26" s="1"/>
  <c r="Q38" i="26"/>
  <c r="AA38" i="26"/>
  <c r="AE38" i="26" s="1"/>
  <c r="AI38" i="26" s="1"/>
  <c r="Q46" i="26"/>
  <c r="U46" i="26" s="1"/>
  <c r="AA46" i="26"/>
  <c r="AE46" i="26" s="1"/>
  <c r="AI46" i="26" s="1"/>
  <c r="Q73" i="26"/>
  <c r="U73" i="26" s="1"/>
  <c r="AA73" i="26"/>
  <c r="AE73" i="26" s="1"/>
  <c r="AI73" i="26" s="1"/>
  <c r="Q26" i="26"/>
  <c r="U26" i="26" s="1"/>
  <c r="AA26" i="26"/>
  <c r="AE26" i="26" s="1"/>
  <c r="AI26" i="26" s="1"/>
  <c r="Q48" i="26"/>
  <c r="U48" i="26" s="1"/>
  <c r="AA48" i="26"/>
  <c r="AE48" i="26" s="1"/>
  <c r="AI48" i="26" s="1"/>
  <c r="Q60" i="26"/>
  <c r="U60" i="26" s="1"/>
  <c r="AA60" i="26"/>
  <c r="AE60" i="26" s="1"/>
  <c r="AI60" i="26" s="1"/>
  <c r="AO60" i="26" s="1"/>
  <c r="AS60" i="26" s="1"/>
  <c r="AW60" i="26" s="1"/>
  <c r="BE60" i="26" s="1"/>
  <c r="Q68" i="26"/>
  <c r="U68" i="26" s="1"/>
  <c r="AA68" i="26"/>
  <c r="AE68" i="26" s="1"/>
  <c r="AI68" i="26" s="1"/>
  <c r="Q27" i="26"/>
  <c r="U27" i="26" s="1"/>
  <c r="AA27" i="26"/>
  <c r="AE27" i="26" s="1"/>
  <c r="AI27" i="26" s="1"/>
  <c r="Q49" i="26"/>
  <c r="U49" i="26" s="1"/>
  <c r="AA49" i="26"/>
  <c r="AE49" i="26" s="1"/>
  <c r="AI49" i="26" s="1"/>
  <c r="Q69" i="26"/>
  <c r="U69" i="26" s="1"/>
  <c r="AA69" i="26"/>
  <c r="AE69" i="26" s="1"/>
  <c r="AI69" i="26" s="1"/>
  <c r="Q22" i="26"/>
  <c r="U22" i="26" s="1"/>
  <c r="AA22" i="26"/>
  <c r="AE22" i="26" s="1"/>
  <c r="AI22" i="26" s="1"/>
  <c r="Q30" i="26"/>
  <c r="U30" i="26" s="1"/>
  <c r="AA30" i="26"/>
  <c r="AE30" i="26" s="1"/>
  <c r="AI30" i="26" s="1"/>
  <c r="Q72" i="26"/>
  <c r="U72" i="26" s="1"/>
  <c r="AA72" i="26"/>
  <c r="AE72" i="26" s="1"/>
  <c r="AI72" i="26" s="1"/>
  <c r="T12" i="27"/>
  <c r="Z12" i="27" s="1"/>
  <c r="I32" i="27"/>
  <c r="I27" i="27"/>
  <c r="I29" i="27"/>
  <c r="I28" i="27"/>
  <c r="I30" i="27"/>
  <c r="U8" i="27"/>
  <c r="AA8" i="27" s="1"/>
  <c r="T10" i="27"/>
  <c r="Z10" i="27" s="1"/>
  <c r="T13" i="27"/>
  <c r="Z13" i="27" s="1"/>
  <c r="T8" i="27"/>
  <c r="Z8" i="27" s="1"/>
  <c r="T11" i="27"/>
  <c r="Z11" i="27" s="1"/>
  <c r="T7" i="27"/>
  <c r="Z7" i="27" s="1"/>
  <c r="T15" i="27"/>
  <c r="Z15" i="27" s="1"/>
  <c r="T6" i="27"/>
  <c r="Z6" i="27" s="1"/>
  <c r="T9" i="27"/>
  <c r="Z9" i="27" s="1"/>
  <c r="U12" i="27"/>
  <c r="AA12" i="27" s="1"/>
  <c r="T14" i="27"/>
  <c r="Z14" i="27" s="1"/>
  <c r="U7" i="28"/>
  <c r="V37" i="28"/>
  <c r="AB37" i="28" s="1"/>
  <c r="AF37" i="28" s="1"/>
  <c r="AJ37" i="28" s="1"/>
  <c r="V26" i="28"/>
  <c r="F427" i="28"/>
  <c r="F430" i="28"/>
  <c r="U20" i="28"/>
  <c r="U26" i="28"/>
  <c r="U31" i="28" s="1"/>
  <c r="U415" i="28" s="1"/>
  <c r="U38" i="26"/>
  <c r="Q10" i="26"/>
  <c r="U10" i="26" s="1"/>
  <c r="L2" i="26"/>
  <c r="P2" i="26" s="1"/>
  <c r="H12" i="26"/>
  <c r="M31" i="26"/>
  <c r="AA31" i="26" s="1"/>
  <c r="AE31" i="26" s="1"/>
  <c r="AI31" i="26" s="1"/>
  <c r="M8" i="26"/>
  <c r="I11" i="26"/>
  <c r="K17" i="26"/>
  <c r="M44" i="26"/>
  <c r="M43" i="26"/>
  <c r="H30" i="27"/>
  <c r="H36" i="27"/>
  <c r="H19" i="27"/>
  <c r="H32" i="27"/>
  <c r="H28" i="27"/>
  <c r="H21" i="27"/>
  <c r="H38" i="27"/>
  <c r="H31" i="27"/>
  <c r="H27" i="27"/>
  <c r="H22" i="27"/>
  <c r="H37" i="27"/>
  <c r="H20" i="27"/>
  <c r="H23" i="27"/>
  <c r="H29" i="27"/>
  <c r="H18" i="27"/>
  <c r="M2" i="27"/>
  <c r="Q2" i="27" s="1"/>
  <c r="U2" i="27" s="1"/>
  <c r="AA2" i="27" s="1"/>
  <c r="AE2" i="27" s="1"/>
  <c r="AI2" i="27" s="1"/>
  <c r="AO2" i="27" s="1"/>
  <c r="AS2" i="27" s="1"/>
  <c r="I22" i="27"/>
  <c r="I38" i="27"/>
  <c r="I18" i="27"/>
  <c r="I36" i="27"/>
  <c r="I20" i="27"/>
  <c r="I19" i="27"/>
  <c r="I21" i="27"/>
  <c r="I23" i="27"/>
  <c r="I37" i="27"/>
  <c r="M419" i="28"/>
  <c r="N418" i="28"/>
  <c r="N423" i="28"/>
  <c r="M418" i="28"/>
  <c r="N419" i="28"/>
  <c r="M429" i="28"/>
  <c r="N15" i="28"/>
  <c r="K44" i="28"/>
  <c r="K60" i="28" s="1"/>
  <c r="K41" i="28"/>
  <c r="K48" i="28" s="1"/>
  <c r="K42" i="28"/>
  <c r="K52" i="28" s="1"/>
  <c r="K447" i="28" s="1"/>
  <c r="E43" i="28"/>
  <c r="E56" i="28" s="1"/>
  <c r="E319" i="28"/>
  <c r="E452" i="28" s="1"/>
  <c r="E44" i="28"/>
  <c r="E60" i="28" s="1"/>
  <c r="E42" i="28"/>
  <c r="E52" i="28" s="1"/>
  <c r="E261" i="28"/>
  <c r="E448" i="28" s="1"/>
  <c r="H46" i="26"/>
  <c r="L46" i="26" s="1"/>
  <c r="H69" i="26"/>
  <c r="L69" i="26" s="1"/>
  <c r="H23" i="26"/>
  <c r="L23" i="26" s="1"/>
  <c r="H27" i="26"/>
  <c r="L27" i="26" s="1"/>
  <c r="H38" i="26"/>
  <c r="H44" i="26"/>
  <c r="H49" i="26"/>
  <c r="L49" i="26" s="1"/>
  <c r="F74" i="26"/>
  <c r="H70" i="26"/>
  <c r="L70" i="26" s="1"/>
  <c r="H20" i="26"/>
  <c r="H24" i="26"/>
  <c r="J32" i="26"/>
  <c r="H28" i="26"/>
  <c r="L28" i="26" s="1"/>
  <c r="H50" i="26"/>
  <c r="L50" i="26" s="1"/>
  <c r="G32" i="26"/>
  <c r="O32" i="26"/>
  <c r="I21" i="26"/>
  <c r="H22" i="26"/>
  <c r="L22" i="26" s="1"/>
  <c r="I25" i="26"/>
  <c r="M25" i="26" s="1"/>
  <c r="H26" i="26"/>
  <c r="L26" i="26" s="1"/>
  <c r="I29" i="26"/>
  <c r="M29" i="26" s="1"/>
  <c r="H30" i="26"/>
  <c r="L30" i="26" s="1"/>
  <c r="E51" i="26"/>
  <c r="K51" i="26"/>
  <c r="F51" i="26"/>
  <c r="F133" i="26" s="1"/>
  <c r="N51" i="26"/>
  <c r="N133" i="26" s="1"/>
  <c r="F32" i="26"/>
  <c r="I20" i="26"/>
  <c r="H21" i="26"/>
  <c r="I24" i="26"/>
  <c r="H25" i="26"/>
  <c r="L25" i="26" s="1"/>
  <c r="I28" i="26"/>
  <c r="M28" i="26" s="1"/>
  <c r="H29" i="26"/>
  <c r="L29" i="26" s="1"/>
  <c r="J74" i="26"/>
  <c r="G88" i="26"/>
  <c r="I9" i="27"/>
  <c r="M9" i="27" s="1"/>
  <c r="Q9" i="27" s="1"/>
  <c r="I13" i="27"/>
  <c r="M13" i="27" s="1"/>
  <c r="Q13" i="27" s="1"/>
  <c r="F34" i="28"/>
  <c r="F35" i="28"/>
  <c r="J35" i="28" s="1"/>
  <c r="N35" i="28" s="1"/>
  <c r="R35" i="28" s="1"/>
  <c r="K38" i="28"/>
  <c r="K459" i="28" s="1"/>
  <c r="J56" i="28"/>
  <c r="N56" i="28" s="1"/>
  <c r="R56" i="28" s="1"/>
  <c r="F58" i="28"/>
  <c r="G51" i="26"/>
  <c r="H45" i="26"/>
  <c r="H47" i="26"/>
  <c r="L47" i="26" s="1"/>
  <c r="I50" i="26"/>
  <c r="M50" i="26" s="1"/>
  <c r="K57" i="26"/>
  <c r="O56" i="26"/>
  <c r="J61" i="26"/>
  <c r="E74" i="26"/>
  <c r="H67" i="26"/>
  <c r="L67" i="26" s="1"/>
  <c r="I70" i="26"/>
  <c r="M70" i="26" s="1"/>
  <c r="H71" i="26"/>
  <c r="L71" i="26" s="1"/>
  <c r="O88" i="26"/>
  <c r="M6" i="27"/>
  <c r="Q6" i="27" s="1"/>
  <c r="M10" i="27"/>
  <c r="Q10" i="27" s="1"/>
  <c r="M14" i="27"/>
  <c r="Q14" i="27" s="1"/>
  <c r="H31" i="26"/>
  <c r="J51" i="26"/>
  <c r="J133" i="26" s="1"/>
  <c r="H43" i="26"/>
  <c r="I45" i="26"/>
  <c r="I47" i="26"/>
  <c r="M47" i="26" s="1"/>
  <c r="AA47" i="26" s="1"/>
  <c r="AE47" i="26" s="1"/>
  <c r="AI47" i="26" s="1"/>
  <c r="H48" i="26"/>
  <c r="L48" i="26" s="1"/>
  <c r="G56" i="26"/>
  <c r="K61" i="26"/>
  <c r="L60" i="26"/>
  <c r="G74" i="26"/>
  <c r="I66" i="26"/>
  <c r="M66" i="26" s="1"/>
  <c r="I67" i="26"/>
  <c r="M67" i="26" s="1"/>
  <c r="H68" i="26"/>
  <c r="L68" i="26" s="1"/>
  <c r="I71" i="26"/>
  <c r="M71" i="26" s="1"/>
  <c r="H72" i="26"/>
  <c r="L72" i="26" s="1"/>
  <c r="H73" i="26"/>
  <c r="L73" i="26" s="1"/>
  <c r="I7" i="27"/>
  <c r="M7" i="27" s="1"/>
  <c r="Q7" i="27" s="1"/>
  <c r="I11" i="27"/>
  <c r="M11" i="27" s="1"/>
  <c r="Q11" i="27" s="1"/>
  <c r="I15" i="27"/>
  <c r="M15" i="27" s="1"/>
  <c r="Q15" i="27" s="1"/>
  <c r="J21" i="28"/>
  <c r="J28" i="28"/>
  <c r="J23" i="28"/>
  <c r="J27" i="28"/>
  <c r="I33" i="28"/>
  <c r="F64" i="28"/>
  <c r="J52" i="28"/>
  <c r="N52" i="28" s="1"/>
  <c r="R52" i="28" s="1"/>
  <c r="F319" i="28"/>
  <c r="F420" i="28"/>
  <c r="F24" i="28"/>
  <c r="J20" i="28"/>
  <c r="J7" i="28"/>
  <c r="J17" i="28"/>
  <c r="K24" i="28"/>
  <c r="J30" i="28"/>
  <c r="F31" i="28"/>
  <c r="F33" i="28"/>
  <c r="J8" i="28"/>
  <c r="J10" i="28"/>
  <c r="F11" i="28"/>
  <c r="J13" i="28"/>
  <c r="J260" i="28" s="1"/>
  <c r="J261" i="28" s="1"/>
  <c r="J16" i="28"/>
  <c r="I21" i="28"/>
  <c r="J29" i="28"/>
  <c r="J48" i="28"/>
  <c r="N48" i="28" s="1"/>
  <c r="R48" i="28" s="1"/>
  <c r="J69" i="28"/>
  <c r="I8" i="28"/>
  <c r="M8" i="28" s="1"/>
  <c r="F36" i="28"/>
  <c r="J36" i="28" s="1"/>
  <c r="N36" i="28" s="1"/>
  <c r="R36" i="28" s="1"/>
  <c r="J9" i="28"/>
  <c r="E11" i="28"/>
  <c r="I15" i="28"/>
  <c r="J57" i="28"/>
  <c r="F176" i="28"/>
  <c r="J60" i="28"/>
  <c r="N60" i="28" s="1"/>
  <c r="R60" i="28" s="1"/>
  <c r="E426" i="28"/>
  <c r="E430" i="28" s="1"/>
  <c r="E422" i="28"/>
  <c r="J269" i="28"/>
  <c r="J337" i="28"/>
  <c r="J384" i="28" s="1"/>
  <c r="J415" i="28" s="1"/>
  <c r="J422" i="28"/>
  <c r="N422" i="28" s="1"/>
  <c r="R422" i="28" s="1"/>
  <c r="J426" i="28"/>
  <c r="L2" i="27"/>
  <c r="P2" i="27" s="1"/>
  <c r="T2" i="27" s="1"/>
  <c r="Z2" i="27" s="1"/>
  <c r="AD2" i="27" s="1"/>
  <c r="AH2" i="27" s="1"/>
  <c r="AN2" i="27" s="1"/>
  <c r="AR2" i="27" s="1"/>
  <c r="I33" i="27"/>
  <c r="M33" i="27" s="1"/>
  <c r="AA33" i="27" s="1"/>
  <c r="Y6" i="26"/>
  <c r="G12" i="26"/>
  <c r="K12" i="26"/>
  <c r="E41" i="26"/>
  <c r="E37" i="26"/>
  <c r="G41" i="26"/>
  <c r="G37" i="26"/>
  <c r="K41" i="26"/>
  <c r="K37" i="26"/>
  <c r="O41" i="26"/>
  <c r="Y41" i="26" s="1"/>
  <c r="O37" i="26"/>
  <c r="P55" i="26"/>
  <c r="T55" i="26" s="1"/>
  <c r="F41" i="26"/>
  <c r="F37" i="26"/>
  <c r="J41" i="26"/>
  <c r="J37" i="26"/>
  <c r="N41" i="26"/>
  <c r="N37" i="26"/>
  <c r="M39" i="26"/>
  <c r="AA39" i="26" s="1"/>
  <c r="AE39" i="26" s="1"/>
  <c r="AI39" i="26" s="1"/>
  <c r="AO39" i="26" s="1"/>
  <c r="P65" i="26"/>
  <c r="I35" i="26"/>
  <c r="H54" i="26"/>
  <c r="H56" i="26" s="1"/>
  <c r="F56" i="26"/>
  <c r="J56" i="26"/>
  <c r="N56" i="26"/>
  <c r="H59" i="26"/>
  <c r="H84" i="17" s="1"/>
  <c r="H35" i="26"/>
  <c r="I54" i="26"/>
  <c r="I53" i="26" s="1"/>
  <c r="I55" i="26"/>
  <c r="I65" i="26"/>
  <c r="I85" i="17" s="1"/>
  <c r="H66" i="26"/>
  <c r="L66" i="26" s="1"/>
  <c r="N74" i="26"/>
  <c r="X41" i="26" l="1"/>
  <c r="N132" i="26"/>
  <c r="N125" i="26"/>
  <c r="F132" i="26"/>
  <c r="F125" i="26"/>
  <c r="Q13" i="28"/>
  <c r="M260" i="28"/>
  <c r="J132" i="26"/>
  <c r="J125" i="26"/>
  <c r="K443" i="28"/>
  <c r="E451" i="28"/>
  <c r="F444" i="28"/>
  <c r="F456" i="28"/>
  <c r="L45" i="26"/>
  <c r="L83" i="17" s="1"/>
  <c r="H83" i="17"/>
  <c r="AW2" i="27"/>
  <c r="BE2" i="27" s="1"/>
  <c r="AA7" i="28"/>
  <c r="AV55" i="26"/>
  <c r="BD55" i="26" s="1"/>
  <c r="L24" i="26"/>
  <c r="L82" i="17" s="1"/>
  <c r="H82" i="17"/>
  <c r="E447" i="28"/>
  <c r="H25" i="27"/>
  <c r="AA20" i="28"/>
  <c r="E450" i="28"/>
  <c r="E446" i="28"/>
  <c r="Z65" i="26"/>
  <c r="L85" i="17"/>
  <c r="K442" i="28"/>
  <c r="T65" i="26"/>
  <c r="P85" i="17"/>
  <c r="K319" i="28"/>
  <c r="K452" i="28" s="1"/>
  <c r="F43" i="28"/>
  <c r="J43" i="28" s="1"/>
  <c r="N43" i="28" s="1"/>
  <c r="R43" i="28" s="1"/>
  <c r="F450" i="28"/>
  <c r="F452" i="28"/>
  <c r="F451" i="28"/>
  <c r="M24" i="26"/>
  <c r="M82" i="17" s="1"/>
  <c r="I82" i="17"/>
  <c r="E434" i="28"/>
  <c r="E455" i="28"/>
  <c r="E454" i="28"/>
  <c r="AF22" i="28"/>
  <c r="AJ22" i="28" s="1"/>
  <c r="AB453" i="28"/>
  <c r="AO38" i="26"/>
  <c r="AS38" i="26" s="1"/>
  <c r="AW38" i="26" s="1"/>
  <c r="BE38" i="26" s="1"/>
  <c r="K446" i="28"/>
  <c r="AS39" i="26"/>
  <c r="AV2" i="27"/>
  <c r="BD2" i="27" s="1"/>
  <c r="N269" i="28"/>
  <c r="R269" i="28" s="1"/>
  <c r="M33" i="28"/>
  <c r="Q33" i="28" s="1"/>
  <c r="M45" i="26"/>
  <c r="M83" i="17" s="1"/>
  <c r="I83" i="17"/>
  <c r="K434" i="28"/>
  <c r="K455" i="28"/>
  <c r="K454" i="28"/>
  <c r="N176" i="28"/>
  <c r="J176" i="28"/>
  <c r="AO47" i="26"/>
  <c r="AO72" i="26"/>
  <c r="AO22" i="26"/>
  <c r="AO49" i="26"/>
  <c r="AO68" i="26"/>
  <c r="AS68" i="26" s="1"/>
  <c r="AW68" i="26" s="1"/>
  <c r="BE68" i="26" s="1"/>
  <c r="AO48" i="26"/>
  <c r="AO73" i="26"/>
  <c r="AO10" i="26"/>
  <c r="AS10" i="26" s="1"/>
  <c r="AW10" i="26" s="1"/>
  <c r="BE10" i="26" s="1"/>
  <c r="AO31" i="26"/>
  <c r="AO30" i="26"/>
  <c r="AO69" i="26"/>
  <c r="AO27" i="26"/>
  <c r="AO26" i="26"/>
  <c r="AO46" i="26"/>
  <c r="AO23" i="26"/>
  <c r="I40" i="27"/>
  <c r="I25" i="27"/>
  <c r="H40" i="27"/>
  <c r="I34" i="27"/>
  <c r="H34" i="27"/>
  <c r="F437" i="28"/>
  <c r="E440" i="28"/>
  <c r="E439" i="28"/>
  <c r="F44" i="28"/>
  <c r="J44" i="28" s="1"/>
  <c r="N44" i="28" s="1"/>
  <c r="R44" i="28" s="1"/>
  <c r="V44" i="28" s="1"/>
  <c r="AB44" i="28" s="1"/>
  <c r="F433" i="28"/>
  <c r="U433" i="28"/>
  <c r="K440" i="28"/>
  <c r="K439" i="28"/>
  <c r="F61" i="28"/>
  <c r="AE8" i="27"/>
  <c r="AI8" i="27" s="1"/>
  <c r="AO8" i="27" s="1"/>
  <c r="AS8" i="27" s="1"/>
  <c r="AW8" i="27" s="1"/>
  <c r="BE8" i="27" s="1"/>
  <c r="AD14" i="27"/>
  <c r="AH14" i="27" s="1"/>
  <c r="AN14" i="27" s="1"/>
  <c r="AR14" i="27" s="1"/>
  <c r="AV14" i="27" s="1"/>
  <c r="BD14" i="27" s="1"/>
  <c r="AD6" i="27"/>
  <c r="AH6" i="27" s="1"/>
  <c r="AN6" i="27" s="1"/>
  <c r="AR6" i="27" s="1"/>
  <c r="AV6" i="27" s="1"/>
  <c r="BD6" i="27" s="1"/>
  <c r="AD7" i="27"/>
  <c r="AH7" i="27" s="1"/>
  <c r="AN7" i="27" s="1"/>
  <c r="AR7" i="27" s="1"/>
  <c r="AV7" i="27" s="1"/>
  <c r="BD7" i="27" s="1"/>
  <c r="AD8" i="27"/>
  <c r="AH8" i="27" s="1"/>
  <c r="AN8" i="27" s="1"/>
  <c r="AR8" i="27" s="1"/>
  <c r="AV8" i="27" s="1"/>
  <c r="BD8" i="27" s="1"/>
  <c r="AD10" i="27"/>
  <c r="AH10" i="27" s="1"/>
  <c r="AN10" i="27" s="1"/>
  <c r="AR10" i="27" s="1"/>
  <c r="AV10" i="27" s="1"/>
  <c r="BD10" i="27" s="1"/>
  <c r="AD12" i="27"/>
  <c r="AH12" i="27" s="1"/>
  <c r="AN12" i="27" s="1"/>
  <c r="AR12" i="27" s="1"/>
  <c r="AV12" i="27" s="1"/>
  <c r="BD12" i="27" s="1"/>
  <c r="AE33" i="27"/>
  <c r="AI33" i="27" s="1"/>
  <c r="AO33" i="27" s="1"/>
  <c r="AS33" i="27" s="1"/>
  <c r="AW33" i="27" s="1"/>
  <c r="BE33" i="27" s="1"/>
  <c r="AE12" i="27"/>
  <c r="AI12" i="27" s="1"/>
  <c r="AO12" i="27" s="1"/>
  <c r="AS12" i="27" s="1"/>
  <c r="AW12" i="27" s="1"/>
  <c r="BE12" i="27" s="1"/>
  <c r="AD9" i="27"/>
  <c r="AH9" i="27" s="1"/>
  <c r="AN9" i="27" s="1"/>
  <c r="AR9" i="27" s="1"/>
  <c r="AV9" i="27" s="1"/>
  <c r="BD9" i="27" s="1"/>
  <c r="AD15" i="27"/>
  <c r="AH15" i="27" s="1"/>
  <c r="AN15" i="27" s="1"/>
  <c r="AR15" i="27" s="1"/>
  <c r="AV15" i="27" s="1"/>
  <c r="BD15" i="27" s="1"/>
  <c r="AD11" i="27"/>
  <c r="AH11" i="27" s="1"/>
  <c r="AN11" i="27" s="1"/>
  <c r="AR11" i="27" s="1"/>
  <c r="AV11" i="27" s="1"/>
  <c r="BD11" i="27" s="1"/>
  <c r="AD13" i="27"/>
  <c r="AH13" i="27" s="1"/>
  <c r="AN13" i="27" s="1"/>
  <c r="AR13" i="27" s="1"/>
  <c r="AV13" i="27" s="1"/>
  <c r="BD13" i="27" s="1"/>
  <c r="P68" i="26"/>
  <c r="T68" i="26" s="1"/>
  <c r="Z68" i="26"/>
  <c r="AD68" i="26" s="1"/>
  <c r="AH68" i="26" s="1"/>
  <c r="AN68" i="26" s="1"/>
  <c r="AR68" i="26" s="1"/>
  <c r="AV68" i="26" s="1"/>
  <c r="BD68" i="26" s="1"/>
  <c r="P60" i="26"/>
  <c r="T60" i="26" s="1"/>
  <c r="Z60" i="26"/>
  <c r="AD60" i="26" s="1"/>
  <c r="AH60" i="26" s="1"/>
  <c r="AN60" i="26" s="1"/>
  <c r="AR60" i="26" s="1"/>
  <c r="AV60" i="26" s="1"/>
  <c r="BD60" i="26" s="1"/>
  <c r="Q50" i="26"/>
  <c r="U50" i="26" s="1"/>
  <c r="AA50" i="26"/>
  <c r="AE50" i="26" s="1"/>
  <c r="AI50" i="26" s="1"/>
  <c r="AO50" i="26" s="1"/>
  <c r="AS50" i="26" s="1"/>
  <c r="AW50" i="26" s="1"/>
  <c r="BE50" i="26" s="1"/>
  <c r="Q24" i="26"/>
  <c r="P30" i="26"/>
  <c r="T30" i="26" s="1"/>
  <c r="Z30" i="26"/>
  <c r="AD30" i="26" s="1"/>
  <c r="AH30" i="26" s="1"/>
  <c r="AN30" i="26" s="1"/>
  <c r="AR30" i="26" s="1"/>
  <c r="AV30" i="26" s="1"/>
  <c r="BD30" i="26" s="1"/>
  <c r="P22" i="26"/>
  <c r="T22" i="26" s="1"/>
  <c r="Z22" i="26"/>
  <c r="AD22" i="26" s="1"/>
  <c r="AH22" i="26" s="1"/>
  <c r="AN22" i="26" s="1"/>
  <c r="AR22" i="26" s="1"/>
  <c r="AV22" i="26" s="1"/>
  <c r="BD22" i="26" s="1"/>
  <c r="P50" i="26"/>
  <c r="T50" i="26" s="1"/>
  <c r="Z50" i="26"/>
  <c r="AD50" i="26" s="1"/>
  <c r="AH50" i="26" s="1"/>
  <c r="AN50" i="26" s="1"/>
  <c r="AR50" i="26" s="1"/>
  <c r="AV50" i="26" s="1"/>
  <c r="BD50" i="26" s="1"/>
  <c r="P69" i="26"/>
  <c r="T69" i="26" s="1"/>
  <c r="Z69" i="26"/>
  <c r="AD69" i="26" s="1"/>
  <c r="AH69" i="26" s="1"/>
  <c r="AN69" i="26" s="1"/>
  <c r="AR69" i="26" s="1"/>
  <c r="AV69" i="26" s="1"/>
  <c r="BD69" i="26" s="1"/>
  <c r="P73" i="26"/>
  <c r="T73" i="26" s="1"/>
  <c r="Z73" i="26"/>
  <c r="AD73" i="26" s="1"/>
  <c r="AH73" i="26" s="1"/>
  <c r="AN73" i="26" s="1"/>
  <c r="AR73" i="26" s="1"/>
  <c r="AV73" i="26" s="1"/>
  <c r="BD73" i="26" s="1"/>
  <c r="Q67" i="26"/>
  <c r="AA67" i="26"/>
  <c r="AE67" i="26" s="1"/>
  <c r="AI67" i="26" s="1"/>
  <c r="Q45" i="26"/>
  <c r="AA45" i="26"/>
  <c r="P71" i="26"/>
  <c r="T71" i="26" s="1"/>
  <c r="Z71" i="26"/>
  <c r="AD71" i="26" s="1"/>
  <c r="AH71" i="26" s="1"/>
  <c r="AN71" i="26" s="1"/>
  <c r="AR71" i="26" s="1"/>
  <c r="AV71" i="26" s="1"/>
  <c r="BD71" i="26" s="1"/>
  <c r="P47" i="26"/>
  <c r="T47" i="26" s="1"/>
  <c r="Z47" i="26"/>
  <c r="AD47" i="26" s="1"/>
  <c r="AH47" i="26" s="1"/>
  <c r="AN47" i="26" s="1"/>
  <c r="AR47" i="26" s="1"/>
  <c r="AV47" i="26" s="1"/>
  <c r="BD47" i="26" s="1"/>
  <c r="P29" i="26"/>
  <c r="T29" i="26" s="1"/>
  <c r="Z29" i="26"/>
  <c r="AD29" i="26" s="1"/>
  <c r="AH29" i="26" s="1"/>
  <c r="AN29" i="26" s="1"/>
  <c r="AR29" i="26" s="1"/>
  <c r="AV29" i="26" s="1"/>
  <c r="BD29" i="26" s="1"/>
  <c r="Q29" i="26"/>
  <c r="U29" i="26" s="1"/>
  <c r="AA29" i="26"/>
  <c r="AE29" i="26" s="1"/>
  <c r="AI29" i="26" s="1"/>
  <c r="P28" i="26"/>
  <c r="T28" i="26" s="1"/>
  <c r="Z28" i="26"/>
  <c r="AD28" i="26" s="1"/>
  <c r="AH28" i="26" s="1"/>
  <c r="AN28" i="26" s="1"/>
  <c r="AR28" i="26" s="1"/>
  <c r="AV28" i="26" s="1"/>
  <c r="BD28" i="26" s="1"/>
  <c r="P70" i="26"/>
  <c r="T70" i="26" s="1"/>
  <c r="Z70" i="26"/>
  <c r="AD70" i="26" s="1"/>
  <c r="AH70" i="26" s="1"/>
  <c r="AN70" i="26" s="1"/>
  <c r="AR70" i="26" s="1"/>
  <c r="AV70" i="26" s="1"/>
  <c r="BD70" i="26" s="1"/>
  <c r="P46" i="26"/>
  <c r="T46" i="26" s="1"/>
  <c r="Z46" i="26"/>
  <c r="AD46" i="26" s="1"/>
  <c r="AH46" i="26" s="1"/>
  <c r="AN46" i="26" s="1"/>
  <c r="AR46" i="26" s="1"/>
  <c r="AV46" i="26" s="1"/>
  <c r="BD46" i="26" s="1"/>
  <c r="Q43" i="26"/>
  <c r="U43" i="26" s="1"/>
  <c r="AA43" i="26"/>
  <c r="AE43" i="26" s="1"/>
  <c r="AI43" i="26" s="1"/>
  <c r="AO43" i="26" s="1"/>
  <c r="AS43" i="26" s="1"/>
  <c r="Q8" i="26"/>
  <c r="Q11" i="26" s="1"/>
  <c r="AA8" i="26"/>
  <c r="P66" i="26"/>
  <c r="T66" i="26" s="1"/>
  <c r="Z66" i="26"/>
  <c r="AD66" i="26" s="1"/>
  <c r="AH66" i="26" s="1"/>
  <c r="AN66" i="26" s="1"/>
  <c r="AR66" i="26" s="1"/>
  <c r="AV66" i="26" s="1"/>
  <c r="BD66" i="26" s="1"/>
  <c r="P72" i="26"/>
  <c r="T72" i="26" s="1"/>
  <c r="Z72" i="26"/>
  <c r="AD72" i="26" s="1"/>
  <c r="AH72" i="26" s="1"/>
  <c r="AN72" i="26" s="1"/>
  <c r="AR72" i="26" s="1"/>
  <c r="AV72" i="26" s="1"/>
  <c r="BD72" i="26" s="1"/>
  <c r="Q66" i="26"/>
  <c r="AA66" i="26"/>
  <c r="AE66" i="26" s="1"/>
  <c r="AI66" i="26" s="1"/>
  <c r="Q70" i="26"/>
  <c r="U70" i="26" s="1"/>
  <c r="AA70" i="26"/>
  <c r="AE70" i="26" s="1"/>
  <c r="AI70" i="26" s="1"/>
  <c r="P45" i="26"/>
  <c r="Z45" i="26"/>
  <c r="Q28" i="26"/>
  <c r="U28" i="26" s="1"/>
  <c r="AA28" i="26"/>
  <c r="AE28" i="26" s="1"/>
  <c r="AI28" i="26" s="1"/>
  <c r="P26" i="26"/>
  <c r="T26" i="26" s="1"/>
  <c r="Z26" i="26"/>
  <c r="AD26" i="26" s="1"/>
  <c r="AH26" i="26" s="1"/>
  <c r="AN26" i="26" s="1"/>
  <c r="AR26" i="26" s="1"/>
  <c r="AV26" i="26" s="1"/>
  <c r="BD26" i="26" s="1"/>
  <c r="P27" i="26"/>
  <c r="T27" i="26" s="1"/>
  <c r="Z27" i="26"/>
  <c r="AD27" i="26" s="1"/>
  <c r="AH27" i="26" s="1"/>
  <c r="AN27" i="26" s="1"/>
  <c r="AR27" i="26" s="1"/>
  <c r="AV27" i="26" s="1"/>
  <c r="BD27" i="26" s="1"/>
  <c r="Q44" i="26"/>
  <c r="U44" i="26" s="1"/>
  <c r="AA44" i="26"/>
  <c r="AE44" i="26" s="1"/>
  <c r="Q71" i="26"/>
  <c r="U71" i="26" s="1"/>
  <c r="AA71" i="26"/>
  <c r="AE71" i="26" s="1"/>
  <c r="AI71" i="26" s="1"/>
  <c r="P48" i="26"/>
  <c r="T48" i="26" s="1"/>
  <c r="Z48" i="26"/>
  <c r="AD48" i="26" s="1"/>
  <c r="AH48" i="26" s="1"/>
  <c r="AN48" i="26" s="1"/>
  <c r="AR48" i="26" s="1"/>
  <c r="AV48" i="26" s="1"/>
  <c r="BD48" i="26" s="1"/>
  <c r="P67" i="26"/>
  <c r="T67" i="26" s="1"/>
  <c r="Z67" i="26"/>
  <c r="AD67" i="26" s="1"/>
  <c r="AH67" i="26" s="1"/>
  <c r="AN67" i="26" s="1"/>
  <c r="P25" i="26"/>
  <c r="T25" i="26" s="1"/>
  <c r="Z25" i="26"/>
  <c r="AD25" i="26" s="1"/>
  <c r="AH25" i="26" s="1"/>
  <c r="AN25" i="26" s="1"/>
  <c r="AR25" i="26" s="1"/>
  <c r="AV25" i="26" s="1"/>
  <c r="BD25" i="26" s="1"/>
  <c r="Q25" i="26"/>
  <c r="U25" i="26" s="1"/>
  <c r="AA25" i="26"/>
  <c r="AE25" i="26" s="1"/>
  <c r="AI25" i="26" s="1"/>
  <c r="P24" i="26"/>
  <c r="P49" i="26"/>
  <c r="T49" i="26" s="1"/>
  <c r="Z49" i="26"/>
  <c r="AD49" i="26" s="1"/>
  <c r="AH49" i="26" s="1"/>
  <c r="AN49" i="26" s="1"/>
  <c r="AR49" i="26" s="1"/>
  <c r="AV49" i="26" s="1"/>
  <c r="BD49" i="26" s="1"/>
  <c r="P23" i="26"/>
  <c r="T23" i="26" s="1"/>
  <c r="Z23" i="26"/>
  <c r="AD23" i="26" s="1"/>
  <c r="AH23" i="26" s="1"/>
  <c r="AN23" i="26" s="1"/>
  <c r="AR23" i="26" s="1"/>
  <c r="AV23" i="26" s="1"/>
  <c r="BD23" i="26" s="1"/>
  <c r="M27" i="27"/>
  <c r="U15" i="27"/>
  <c r="AA15" i="27" s="1"/>
  <c r="U10" i="27"/>
  <c r="AA10" i="27" s="1"/>
  <c r="U9" i="27"/>
  <c r="AA9" i="27" s="1"/>
  <c r="M30" i="27"/>
  <c r="M32" i="27"/>
  <c r="Q32" i="27" s="1"/>
  <c r="U11" i="27"/>
  <c r="AA11" i="27" s="1"/>
  <c r="U6" i="27"/>
  <c r="AA6" i="27" s="1"/>
  <c r="M28" i="27"/>
  <c r="Q28" i="27" s="1"/>
  <c r="U14" i="27"/>
  <c r="AA14" i="27" s="1"/>
  <c r="U13" i="27"/>
  <c r="AA13" i="27" s="1"/>
  <c r="U7" i="27"/>
  <c r="AA7" i="27" s="1"/>
  <c r="M29" i="27"/>
  <c r="Q29" i="27" s="1"/>
  <c r="U29" i="27" s="1"/>
  <c r="AA29" i="27" s="1"/>
  <c r="T2" i="26"/>
  <c r="P12" i="26"/>
  <c r="N426" i="28"/>
  <c r="R426" i="28" s="1"/>
  <c r="V426" i="28" s="1"/>
  <c r="V60" i="28"/>
  <c r="V43" i="28"/>
  <c r="AB43" i="28" s="1"/>
  <c r="V52" i="28"/>
  <c r="V35" i="28"/>
  <c r="AB35" i="28" s="1"/>
  <c r="AF35" i="28" s="1"/>
  <c r="V48" i="28"/>
  <c r="AB48" i="28" s="1"/>
  <c r="AA26" i="28"/>
  <c r="V36" i="28"/>
  <c r="AB36" i="28" s="1"/>
  <c r="AF36" i="28" s="1"/>
  <c r="AJ36" i="28" s="1"/>
  <c r="V56" i="28"/>
  <c r="V422" i="28"/>
  <c r="AB26" i="28"/>
  <c r="AF26" i="28" s="1"/>
  <c r="U66" i="26"/>
  <c r="L38" i="26"/>
  <c r="Z38" i="26" s="1"/>
  <c r="AD38" i="26" s="1"/>
  <c r="AH38" i="26" s="1"/>
  <c r="AN38" i="26" s="1"/>
  <c r="U67" i="26"/>
  <c r="Y34" i="26"/>
  <c r="M11" i="26"/>
  <c r="M17" i="26" s="1"/>
  <c r="Q31" i="26"/>
  <c r="L31" i="26"/>
  <c r="Z31" i="26" s="1"/>
  <c r="AD31" i="26" s="1"/>
  <c r="AH31" i="26" s="1"/>
  <c r="AN31" i="26" s="1"/>
  <c r="AR31" i="26" s="1"/>
  <c r="AV31" i="26" s="1"/>
  <c r="BD31" i="26" s="1"/>
  <c r="I12" i="26"/>
  <c r="I18" i="26"/>
  <c r="I17" i="26"/>
  <c r="Q8" i="28"/>
  <c r="Q11" i="28" s="1"/>
  <c r="J17" i="26"/>
  <c r="F17" i="26"/>
  <c r="M37" i="27"/>
  <c r="Q37" i="27" s="1"/>
  <c r="M21" i="27"/>
  <c r="Q21" i="27" s="1"/>
  <c r="M21" i="26"/>
  <c r="M20" i="26"/>
  <c r="AA20" i="26" s="1"/>
  <c r="AE20" i="26" s="1"/>
  <c r="AI20" i="26" s="1"/>
  <c r="AO20" i="26" s="1"/>
  <c r="AS20" i="26" s="1"/>
  <c r="L43" i="26"/>
  <c r="L44" i="26"/>
  <c r="L21" i="26"/>
  <c r="L20" i="26"/>
  <c r="Z20" i="26" s="1"/>
  <c r="AD20" i="26" s="1"/>
  <c r="AH20" i="26" s="1"/>
  <c r="AN20" i="26" s="1"/>
  <c r="AR20" i="26" s="1"/>
  <c r="E12" i="26"/>
  <c r="M18" i="27"/>
  <c r="Y74" i="8"/>
  <c r="N7" i="28"/>
  <c r="N20" i="28"/>
  <c r="J318" i="28"/>
  <c r="J319" i="28" s="1"/>
  <c r="N13" i="28"/>
  <c r="N260" i="28" s="1"/>
  <c r="N261" i="28" s="1"/>
  <c r="M19" i="27"/>
  <c r="Q19" i="27" s="1"/>
  <c r="M38" i="27"/>
  <c r="Q38" i="27" s="1"/>
  <c r="M20" i="27"/>
  <c r="Q20" i="27" s="1"/>
  <c r="M22" i="27"/>
  <c r="Q22" i="27" s="1"/>
  <c r="M23" i="27"/>
  <c r="Q23" i="27" s="1"/>
  <c r="M36" i="27"/>
  <c r="L20" i="27"/>
  <c r="P20" i="27" s="1"/>
  <c r="L31" i="27"/>
  <c r="L32" i="27"/>
  <c r="P32" i="27" s="1"/>
  <c r="L18" i="27"/>
  <c r="L37" i="27"/>
  <c r="P37" i="27" s="1"/>
  <c r="L38" i="27"/>
  <c r="P38" i="27" s="1"/>
  <c r="L19" i="27"/>
  <c r="P19" i="27" s="1"/>
  <c r="L29" i="27"/>
  <c r="P29" i="27" s="1"/>
  <c r="L22" i="27"/>
  <c r="P22" i="27" s="1"/>
  <c r="L21" i="27"/>
  <c r="P21" i="27" s="1"/>
  <c r="L36" i="27"/>
  <c r="L23" i="27"/>
  <c r="P23" i="27" s="1"/>
  <c r="L27" i="27"/>
  <c r="L28" i="27"/>
  <c r="P28" i="27" s="1"/>
  <c r="L30" i="27"/>
  <c r="P30" i="27" s="1"/>
  <c r="R419" i="28"/>
  <c r="R15" i="28"/>
  <c r="Q418" i="28"/>
  <c r="Q419" i="28"/>
  <c r="R423" i="28"/>
  <c r="V423" i="28" s="1"/>
  <c r="R418" i="28"/>
  <c r="M420" i="28"/>
  <c r="Q429" i="28"/>
  <c r="N424" i="28"/>
  <c r="N420" i="28"/>
  <c r="N10" i="28"/>
  <c r="N337" i="28"/>
  <c r="N384" i="28" s="1"/>
  <c r="N415" i="28" s="1"/>
  <c r="N9" i="28"/>
  <c r="N445" i="28" s="1"/>
  <c r="N8" i="28"/>
  <c r="N29" i="28"/>
  <c r="N27" i="28"/>
  <c r="M15" i="28"/>
  <c r="M11" i="28"/>
  <c r="N16" i="28"/>
  <c r="N449" i="28" s="1"/>
  <c r="N30" i="28"/>
  <c r="M21" i="28"/>
  <c r="N42" i="28"/>
  <c r="N21" i="28"/>
  <c r="N57" i="28"/>
  <c r="N17" i="28"/>
  <c r="N23" i="28"/>
  <c r="N28" i="28"/>
  <c r="I56" i="28"/>
  <c r="I52" i="28"/>
  <c r="M52" i="28" s="1"/>
  <c r="I31" i="28"/>
  <c r="I415" i="28" s="1"/>
  <c r="K43" i="28"/>
  <c r="K56" i="28" s="1"/>
  <c r="I60" i="28"/>
  <c r="I44" i="28"/>
  <c r="E41" i="28"/>
  <c r="I41" i="28" s="1"/>
  <c r="M41" i="28" s="1"/>
  <c r="Q41" i="28" s="1"/>
  <c r="E176" i="28"/>
  <c r="E444" i="28" s="1"/>
  <c r="I43" i="28"/>
  <c r="I42" i="28"/>
  <c r="F41" i="28"/>
  <c r="F12" i="26"/>
  <c r="J12" i="26"/>
  <c r="H74" i="26"/>
  <c r="J34" i="28"/>
  <c r="I24" i="28"/>
  <c r="I319" i="28" s="1"/>
  <c r="J427" i="28"/>
  <c r="J424" i="28"/>
  <c r="J420" i="28"/>
  <c r="I420" i="28"/>
  <c r="J11" i="28"/>
  <c r="J24" i="28"/>
  <c r="I422" i="28"/>
  <c r="I11" i="28"/>
  <c r="I176" i="28" s="1"/>
  <c r="J64" i="28"/>
  <c r="N64" i="28" s="1"/>
  <c r="R64" i="28" s="1"/>
  <c r="J31" i="28"/>
  <c r="J58" i="28"/>
  <c r="I426" i="28"/>
  <c r="I430" i="28" s="1"/>
  <c r="J18" i="28"/>
  <c r="E38" i="28"/>
  <c r="F38" i="28"/>
  <c r="J33" i="28"/>
  <c r="I18" i="28"/>
  <c r="I261" i="28" s="1"/>
  <c r="I74" i="26"/>
  <c r="I63" i="26" s="1"/>
  <c r="I56" i="26"/>
  <c r="M55" i="26"/>
  <c r="AA55" i="26" s="1"/>
  <c r="I57" i="26"/>
  <c r="M54" i="26"/>
  <c r="H51" i="26"/>
  <c r="H36" i="26"/>
  <c r="Z35" i="26"/>
  <c r="AD35" i="26" s="1"/>
  <c r="H61" i="26"/>
  <c r="L59" i="26"/>
  <c r="I36" i="26"/>
  <c r="AA35" i="26"/>
  <c r="AE35" i="26" s="1"/>
  <c r="H32" i="26"/>
  <c r="Q39" i="26"/>
  <c r="I32" i="26"/>
  <c r="H41" i="26"/>
  <c r="H57" i="26"/>
  <c r="L54" i="26"/>
  <c r="Z54" i="26" s="1"/>
  <c r="I51" i="26"/>
  <c r="L74" i="26"/>
  <c r="L41" i="26" l="1"/>
  <c r="H125" i="26"/>
  <c r="I40" i="26"/>
  <c r="I128" i="26"/>
  <c r="H37" i="26"/>
  <c r="H128" i="26"/>
  <c r="Q260" i="28"/>
  <c r="U13" i="28"/>
  <c r="R69" i="28"/>
  <c r="V69" i="28" s="1"/>
  <c r="K451" i="28"/>
  <c r="F45" i="28"/>
  <c r="U8" i="26"/>
  <c r="U11" i="26" s="1"/>
  <c r="U18" i="26" s="1"/>
  <c r="AA24" i="26"/>
  <c r="AE24" i="26" s="1"/>
  <c r="Z24" i="26"/>
  <c r="AD24" i="26" s="1"/>
  <c r="M176" i="28"/>
  <c r="M444" i="28" s="1"/>
  <c r="AR38" i="26"/>
  <c r="U24" i="26"/>
  <c r="U82" i="17" s="1"/>
  <c r="Q82" i="17"/>
  <c r="AS23" i="26"/>
  <c r="AW23" i="26" s="1"/>
  <c r="BE23" i="26" s="1"/>
  <c r="AS69" i="26"/>
  <c r="AW69" i="26" s="1"/>
  <c r="BE69" i="26" s="1"/>
  <c r="AS73" i="26"/>
  <c r="AW73" i="26" s="1"/>
  <c r="BE73" i="26" s="1"/>
  <c r="AS22" i="26"/>
  <c r="AW22" i="26" s="1"/>
  <c r="BE22" i="26" s="1"/>
  <c r="K450" i="28"/>
  <c r="AV20" i="26"/>
  <c r="BD20" i="26" s="1"/>
  <c r="AW20" i="26"/>
  <c r="BE20" i="26" s="1"/>
  <c r="AJ35" i="28"/>
  <c r="AD45" i="26"/>
  <c r="AO66" i="26"/>
  <c r="AS66" i="26" s="1"/>
  <c r="AW66" i="26" s="1"/>
  <c r="BE66" i="26" s="1"/>
  <c r="AW43" i="26"/>
  <c r="BE43" i="26" s="1"/>
  <c r="AE45" i="26"/>
  <c r="AE51" i="26" s="1"/>
  <c r="AA83" i="17"/>
  <c r="AS46" i="26"/>
  <c r="AW46" i="26" s="1"/>
  <c r="BE46" i="26" s="1"/>
  <c r="AS30" i="26"/>
  <c r="AW30" i="26" s="1"/>
  <c r="BE30" i="26" s="1"/>
  <c r="AS48" i="26"/>
  <c r="AW48" i="26" s="1"/>
  <c r="BE48" i="26" s="1"/>
  <c r="AS72" i="26"/>
  <c r="AW72" i="26" s="1"/>
  <c r="BE72" i="26" s="1"/>
  <c r="AW39" i="26"/>
  <c r="BE39" i="26" s="1"/>
  <c r="AD65" i="26"/>
  <c r="AD74" i="26" s="1"/>
  <c r="Z59" i="26"/>
  <c r="L84" i="17"/>
  <c r="F39" i="28"/>
  <c r="Q52" i="28"/>
  <c r="U52" i="28" s="1"/>
  <c r="AA52" i="28" s="1"/>
  <c r="V269" i="28"/>
  <c r="T24" i="26"/>
  <c r="T82" i="17" s="1"/>
  <c r="P82" i="17"/>
  <c r="T45" i="26"/>
  <c r="T83" i="17" s="1"/>
  <c r="P83" i="17"/>
  <c r="U45" i="26"/>
  <c r="U83" i="17" s="1"/>
  <c r="Q83" i="17"/>
  <c r="AS26" i="26"/>
  <c r="AW26" i="26" s="1"/>
  <c r="BE26" i="26" s="1"/>
  <c r="AS31" i="26"/>
  <c r="AW31" i="26" s="1"/>
  <c r="BE31" i="26" s="1"/>
  <c r="AS47" i="26"/>
  <c r="AW47" i="26" s="1"/>
  <c r="BE47" i="26" s="1"/>
  <c r="T85" i="17"/>
  <c r="AE20" i="28"/>
  <c r="AI20" i="28" s="1"/>
  <c r="AO20" i="28" s="1"/>
  <c r="AS20" i="28" s="1"/>
  <c r="AW20" i="28" s="1"/>
  <c r="BE20" i="28" s="1"/>
  <c r="AE7" i="28"/>
  <c r="AI7" i="28" s="1"/>
  <c r="AO7" i="28" s="1"/>
  <c r="AJ26" i="28"/>
  <c r="AE26" i="28"/>
  <c r="AR67" i="26"/>
  <c r="AV67" i="26" s="1"/>
  <c r="BD67" i="26" s="1"/>
  <c r="AS27" i="26"/>
  <c r="AW27" i="26" s="1"/>
  <c r="BE27" i="26" s="1"/>
  <c r="AS49" i="26"/>
  <c r="AW49" i="26" s="1"/>
  <c r="BE49" i="26" s="1"/>
  <c r="U33" i="28"/>
  <c r="AA33" i="28" s="1"/>
  <c r="J440" i="28"/>
  <c r="AO67" i="26"/>
  <c r="T74" i="26"/>
  <c r="AO25" i="26"/>
  <c r="AO71" i="26"/>
  <c r="AO28" i="26"/>
  <c r="AO70" i="26"/>
  <c r="P74" i="26"/>
  <c r="AO29" i="26"/>
  <c r="M18" i="26"/>
  <c r="L34" i="27"/>
  <c r="M40" i="27"/>
  <c r="M25" i="27"/>
  <c r="L25" i="27"/>
  <c r="M34" i="27"/>
  <c r="L40" i="27"/>
  <c r="I439" i="28"/>
  <c r="I440" i="28"/>
  <c r="E437" i="28"/>
  <c r="I434" i="28"/>
  <c r="I433" i="28"/>
  <c r="AE36" i="26"/>
  <c r="AI35" i="26"/>
  <c r="AO35" i="26" s="1"/>
  <c r="AD36" i="26"/>
  <c r="AH35" i="26"/>
  <c r="AN35" i="26" s="1"/>
  <c r="AI44" i="26"/>
  <c r="AO44" i="26" s="1"/>
  <c r="AS44" i="26" s="1"/>
  <c r="AW44" i="26" s="1"/>
  <c r="BE44" i="26" s="1"/>
  <c r="P27" i="27"/>
  <c r="AE13" i="27"/>
  <c r="AI13" i="27" s="1"/>
  <c r="AO13" i="27" s="1"/>
  <c r="AS13" i="27" s="1"/>
  <c r="AW13" i="27" s="1"/>
  <c r="BE13" i="27" s="1"/>
  <c r="AE11" i="27"/>
  <c r="AI11" i="27" s="1"/>
  <c r="AO11" i="27" s="1"/>
  <c r="AS11" i="27" s="1"/>
  <c r="AW11" i="27" s="1"/>
  <c r="BE11" i="27" s="1"/>
  <c r="Q30" i="27"/>
  <c r="U30" i="27" s="1"/>
  <c r="AA30" i="27"/>
  <c r="AE30" i="27" s="1"/>
  <c r="AI30" i="27" s="1"/>
  <c r="AO30" i="27" s="1"/>
  <c r="AS30" i="27" s="1"/>
  <c r="AW30" i="27" s="1"/>
  <c r="BE30" i="27" s="1"/>
  <c r="AE10" i="27"/>
  <c r="AI10" i="27" s="1"/>
  <c r="AO10" i="27" s="1"/>
  <c r="AS10" i="27" s="1"/>
  <c r="AW10" i="27" s="1"/>
  <c r="BE10" i="27" s="1"/>
  <c r="AE29" i="27"/>
  <c r="AI29" i="27" s="1"/>
  <c r="AO29" i="27" s="1"/>
  <c r="AS29" i="27" s="1"/>
  <c r="AW29" i="27" s="1"/>
  <c r="BE29" i="27" s="1"/>
  <c r="AE7" i="27"/>
  <c r="AI7" i="27" s="1"/>
  <c r="AO7" i="27" s="1"/>
  <c r="AS7" i="27" s="1"/>
  <c r="AW7" i="27" s="1"/>
  <c r="BE7" i="27" s="1"/>
  <c r="AE14" i="27"/>
  <c r="AI14" i="27" s="1"/>
  <c r="AO14" i="27" s="1"/>
  <c r="AS14" i="27" s="1"/>
  <c r="AW14" i="27" s="1"/>
  <c r="BE14" i="27" s="1"/>
  <c r="AE6" i="27"/>
  <c r="AI6" i="27" s="1"/>
  <c r="AO6" i="27" s="1"/>
  <c r="AS6" i="27" s="1"/>
  <c r="AW6" i="27" s="1"/>
  <c r="BE6" i="27" s="1"/>
  <c r="AE9" i="27"/>
  <c r="AI9" i="27" s="1"/>
  <c r="AO9" i="27" s="1"/>
  <c r="AS9" i="27" s="1"/>
  <c r="AW9" i="27" s="1"/>
  <c r="BE9" i="27" s="1"/>
  <c r="AE15" i="27"/>
  <c r="AI15" i="27" s="1"/>
  <c r="AO15" i="27" s="1"/>
  <c r="AS15" i="27" s="1"/>
  <c r="AW15" i="27" s="1"/>
  <c r="BE15" i="27" s="1"/>
  <c r="Q27" i="27"/>
  <c r="Q34" i="27" s="1"/>
  <c r="Z56" i="26"/>
  <c r="AD54" i="26"/>
  <c r="AH54" i="26" s="1"/>
  <c r="AN54" i="26" s="1"/>
  <c r="M53" i="26"/>
  <c r="AA54" i="26"/>
  <c r="AE54" i="26" s="1"/>
  <c r="AI54" i="26" s="1"/>
  <c r="AO54" i="26" s="1"/>
  <c r="P43" i="26"/>
  <c r="T43" i="26" s="1"/>
  <c r="Y75" i="8" s="1"/>
  <c r="Z43" i="26"/>
  <c r="AD43" i="26" s="1"/>
  <c r="AH43" i="26" s="1"/>
  <c r="AN43" i="26" s="1"/>
  <c r="AR43" i="26" s="1"/>
  <c r="AE55" i="26"/>
  <c r="AI55" i="26" s="1"/>
  <c r="AO55" i="26" s="1"/>
  <c r="P21" i="26"/>
  <c r="T21" i="26" s="1"/>
  <c r="Z21" i="26"/>
  <c r="AD21" i="26" s="1"/>
  <c r="Q21" i="26"/>
  <c r="U21" i="26" s="1"/>
  <c r="AA21" i="26"/>
  <c r="AE21" i="26" s="1"/>
  <c r="AE41" i="26"/>
  <c r="AE125" i="26" s="1"/>
  <c r="P44" i="26"/>
  <c r="T44" i="26" s="1"/>
  <c r="Z44" i="26"/>
  <c r="AD44" i="26" s="1"/>
  <c r="AH44" i="26" s="1"/>
  <c r="AN44" i="26" s="1"/>
  <c r="AR44" i="26" s="1"/>
  <c r="AV44" i="26" s="1"/>
  <c r="BD44" i="26" s="1"/>
  <c r="AE8" i="26"/>
  <c r="AA11" i="26"/>
  <c r="AA18" i="26" s="1"/>
  <c r="Z41" i="26"/>
  <c r="AP26" i="28"/>
  <c r="AT26" i="28" s="1"/>
  <c r="AF48" i="28"/>
  <c r="AF44" i="28"/>
  <c r="AF43" i="28"/>
  <c r="T29" i="27"/>
  <c r="Z29" i="27" s="1"/>
  <c r="U20" i="27"/>
  <c r="AA20" i="27" s="1"/>
  <c r="H40" i="26"/>
  <c r="T23" i="27"/>
  <c r="Z23" i="27" s="1"/>
  <c r="T30" i="27"/>
  <c r="Z30" i="27" s="1"/>
  <c r="T19" i="27"/>
  <c r="Z19" i="27" s="1"/>
  <c r="T32" i="27"/>
  <c r="Z32" i="27" s="1"/>
  <c r="U23" i="27"/>
  <c r="AA23" i="27" s="1"/>
  <c r="U28" i="27"/>
  <c r="AA28" i="27" s="1"/>
  <c r="U21" i="27"/>
  <c r="AA21" i="27" s="1"/>
  <c r="T28" i="27"/>
  <c r="Z28" i="27" s="1"/>
  <c r="T21" i="27"/>
  <c r="Z21" i="27" s="1"/>
  <c r="T38" i="27"/>
  <c r="Z38" i="27" s="1"/>
  <c r="U32" i="27"/>
  <c r="AA32" i="27" s="1"/>
  <c r="U38" i="27"/>
  <c r="AA38" i="27" s="1"/>
  <c r="U37" i="27"/>
  <c r="AA37" i="27" s="1"/>
  <c r="T22" i="27"/>
  <c r="Z22" i="27" s="1"/>
  <c r="T37" i="27"/>
  <c r="Z37" i="27" s="1"/>
  <c r="T20" i="27"/>
  <c r="Z20" i="27" s="1"/>
  <c r="U22" i="27"/>
  <c r="AA22" i="27" s="1"/>
  <c r="U19" i="27"/>
  <c r="AA19" i="27" s="1"/>
  <c r="N427" i="28"/>
  <c r="T12" i="26"/>
  <c r="Z2" i="26"/>
  <c r="U429" i="28"/>
  <c r="AA429" i="28" s="1"/>
  <c r="V15" i="28"/>
  <c r="AB15" i="28" s="1"/>
  <c r="AF15" i="28" s="1"/>
  <c r="AJ15" i="28" s="1"/>
  <c r="U8" i="28"/>
  <c r="R9" i="28"/>
  <c r="V9" i="28" s="1"/>
  <c r="AB9" i="28" s="1"/>
  <c r="V424" i="28"/>
  <c r="AB52" i="28"/>
  <c r="AB60" i="28"/>
  <c r="V64" i="28"/>
  <c r="V418" i="28"/>
  <c r="U419" i="28"/>
  <c r="AA419" i="28" s="1"/>
  <c r="AB422" i="28"/>
  <c r="AB56" i="28"/>
  <c r="U41" i="28"/>
  <c r="V427" i="28"/>
  <c r="U418" i="28"/>
  <c r="V419" i="28"/>
  <c r="AB419" i="28" s="1"/>
  <c r="Z74" i="26"/>
  <c r="U31" i="26"/>
  <c r="Q18" i="26"/>
  <c r="Q12" i="26"/>
  <c r="Q17" i="26"/>
  <c r="X74" i="26"/>
  <c r="P38" i="26"/>
  <c r="U39" i="26"/>
  <c r="P31" i="26"/>
  <c r="T31" i="26" s="1"/>
  <c r="R337" i="28"/>
  <c r="Q176" i="28"/>
  <c r="M34" i="28"/>
  <c r="Q34" i="28" s="1"/>
  <c r="U34" i="28" s="1"/>
  <c r="N318" i="28"/>
  <c r="N319" i="28" s="1"/>
  <c r="P20" i="26"/>
  <c r="T20" i="26" s="1"/>
  <c r="Q20" i="26"/>
  <c r="N33" i="28"/>
  <c r="Q18" i="27"/>
  <c r="Q25" i="27" s="1"/>
  <c r="R13" i="28"/>
  <c r="R7" i="28"/>
  <c r="V7" i="28" s="1"/>
  <c r="AB7" i="28" s="1"/>
  <c r="R20" i="28"/>
  <c r="V20" i="28" s="1"/>
  <c r="P31" i="27"/>
  <c r="T31" i="27" s="1"/>
  <c r="P18" i="27"/>
  <c r="P25" i="27" s="1"/>
  <c r="Q36" i="27"/>
  <c r="Q40" i="27" s="1"/>
  <c r="P36" i="27"/>
  <c r="P40" i="27" s="1"/>
  <c r="R427" i="28"/>
  <c r="R424" i="28"/>
  <c r="R420" i="28"/>
  <c r="R17" i="28"/>
  <c r="R42" i="28"/>
  <c r="R16" i="28"/>
  <c r="R29" i="28"/>
  <c r="N58" i="28"/>
  <c r="R57" i="28"/>
  <c r="V57" i="28" s="1"/>
  <c r="V58" i="28" s="1"/>
  <c r="M24" i="28"/>
  <c r="Q21" i="28"/>
  <c r="R10" i="28"/>
  <c r="Q420" i="28"/>
  <c r="R28" i="28"/>
  <c r="R21" i="28"/>
  <c r="M31" i="28"/>
  <c r="M18" i="28"/>
  <c r="Q15" i="28"/>
  <c r="Q18" i="28" s="1"/>
  <c r="R23" i="28"/>
  <c r="R30" i="28"/>
  <c r="R27" i="28"/>
  <c r="N11" i="28"/>
  <c r="R8" i="28"/>
  <c r="V8" i="28" s="1"/>
  <c r="AB8" i="28" s="1"/>
  <c r="AF8" i="28" s="1"/>
  <c r="AJ8" i="28" s="1"/>
  <c r="J433" i="28"/>
  <c r="N18" i="28"/>
  <c r="N24" i="28"/>
  <c r="M56" i="28"/>
  <c r="M426" i="28"/>
  <c r="M430" i="28" s="1"/>
  <c r="M44" i="28"/>
  <c r="M43" i="28"/>
  <c r="M60" i="28"/>
  <c r="N31" i="28"/>
  <c r="N34" i="28"/>
  <c r="M42" i="28"/>
  <c r="M422" i="28"/>
  <c r="I34" i="28"/>
  <c r="K45" i="28"/>
  <c r="K460" i="28" s="1"/>
  <c r="K64" i="28"/>
  <c r="E45" i="28"/>
  <c r="E48" i="28"/>
  <c r="J41" i="28"/>
  <c r="N41" i="28" s="1"/>
  <c r="J38" i="28"/>
  <c r="I45" i="28"/>
  <c r="I6" i="26"/>
  <c r="M51" i="26"/>
  <c r="L57" i="26"/>
  <c r="P54" i="26"/>
  <c r="T54" i="26" s="1"/>
  <c r="T57" i="26" s="1"/>
  <c r="L56" i="26"/>
  <c r="L12" i="26"/>
  <c r="M32" i="26"/>
  <c r="L32" i="26"/>
  <c r="M36" i="26"/>
  <c r="Q35" i="26"/>
  <c r="U35" i="26" s="1"/>
  <c r="U36" i="26" s="1"/>
  <c r="U128" i="26" s="1"/>
  <c r="L61" i="26"/>
  <c r="P59" i="26"/>
  <c r="P84" i="17" s="1"/>
  <c r="L36" i="26"/>
  <c r="P35" i="26"/>
  <c r="T35" i="26" s="1"/>
  <c r="T36" i="26" s="1"/>
  <c r="L51" i="26"/>
  <c r="M57" i="26"/>
  <c r="Q54" i="26"/>
  <c r="U54" i="26" s="1"/>
  <c r="I41" i="26"/>
  <c r="I125" i="26" s="1"/>
  <c r="I37" i="26"/>
  <c r="I34" i="26" s="1"/>
  <c r="M56" i="26"/>
  <c r="Q55" i="26"/>
  <c r="U55" i="26" s="1"/>
  <c r="U17" i="26" l="1"/>
  <c r="U12" i="26"/>
  <c r="U260" i="28"/>
  <c r="AA13" i="28"/>
  <c r="V13" i="28"/>
  <c r="V260" i="28" s="1"/>
  <c r="R260" i="28"/>
  <c r="AD41" i="26"/>
  <c r="P41" i="26"/>
  <c r="L125" i="26"/>
  <c r="AH41" i="26"/>
  <c r="T37" i="26"/>
  <c r="T128" i="26"/>
  <c r="AE40" i="26"/>
  <c r="AE128" i="26"/>
  <c r="M40" i="26"/>
  <c r="L37" i="26"/>
  <c r="L128" i="26"/>
  <c r="AD40" i="26"/>
  <c r="AD128" i="26"/>
  <c r="AA82" i="17"/>
  <c r="R176" i="28"/>
  <c r="Z82" i="17"/>
  <c r="AE37" i="26"/>
  <c r="N444" i="28"/>
  <c r="M450" i="28"/>
  <c r="M319" i="28"/>
  <c r="M452" i="28" s="1"/>
  <c r="V337" i="28"/>
  <c r="V384" i="28" s="1"/>
  <c r="V415" i="28" s="1"/>
  <c r="R384" i="28"/>
  <c r="R415" i="28" s="1"/>
  <c r="AV43" i="26"/>
  <c r="BD43" i="26" s="1"/>
  <c r="AR54" i="26"/>
  <c r="AN57" i="26"/>
  <c r="AN56" i="26"/>
  <c r="AS71" i="26"/>
  <c r="AW71" i="26" s="1"/>
  <c r="BE71" i="26" s="1"/>
  <c r="AE33" i="28"/>
  <c r="AS7" i="28"/>
  <c r="AW7" i="28" s="1"/>
  <c r="BE7" i="28" s="1"/>
  <c r="Z83" i="17"/>
  <c r="AF9" i="28"/>
  <c r="AJ9" i="28" s="1"/>
  <c r="AB445" i="28"/>
  <c r="AX26" i="28"/>
  <c r="AS55" i="26"/>
  <c r="AO56" i="26"/>
  <c r="AO36" i="26"/>
  <c r="AO128" i="26" s="1"/>
  <c r="AS35" i="26"/>
  <c r="AS25" i="26"/>
  <c r="AW25" i="26" s="1"/>
  <c r="BE25" i="26" s="1"/>
  <c r="AD59" i="26"/>
  <c r="Z84" i="17"/>
  <c r="Z85" i="17"/>
  <c r="AH45" i="26"/>
  <c r="AH51" i="26" s="1"/>
  <c r="N452" i="28"/>
  <c r="N450" i="28"/>
  <c r="I48" i="28"/>
  <c r="M48" i="28" s="1"/>
  <c r="E443" i="28"/>
  <c r="E442" i="28"/>
  <c r="N456" i="28"/>
  <c r="N451" i="28"/>
  <c r="U38" i="28"/>
  <c r="AA34" i="28"/>
  <c r="AE34" i="28" s="1"/>
  <c r="AI34" i="28" s="1"/>
  <c r="AO34" i="28" s="1"/>
  <c r="AS34" i="28" s="1"/>
  <c r="AW34" i="28" s="1"/>
  <c r="BE34" i="28" s="1"/>
  <c r="AS54" i="26"/>
  <c r="AO57" i="26"/>
  <c r="AS29" i="26"/>
  <c r="AW29" i="26" s="1"/>
  <c r="BE29" i="26" s="1"/>
  <c r="AS70" i="26"/>
  <c r="AW70" i="26" s="1"/>
  <c r="BE70" i="26" s="1"/>
  <c r="J39" i="28"/>
  <c r="AH65" i="26"/>
  <c r="N448" i="28"/>
  <c r="M261" i="28"/>
  <c r="M447" i="28" s="1"/>
  <c r="M446" i="28"/>
  <c r="I38" i="28"/>
  <c r="I39" i="28" s="1"/>
  <c r="M454" i="28"/>
  <c r="M415" i="28"/>
  <c r="M456" i="28" s="1"/>
  <c r="U21" i="28"/>
  <c r="Q24" i="28"/>
  <c r="Q319" i="28" s="1"/>
  <c r="AF7" i="28"/>
  <c r="AA8" i="28"/>
  <c r="U11" i="28"/>
  <c r="AN36" i="26"/>
  <c r="AN128" i="26" s="1"/>
  <c r="AR35" i="26"/>
  <c r="AS28" i="26"/>
  <c r="AW28" i="26" s="1"/>
  <c r="BE28" i="26" s="1"/>
  <c r="AS67" i="26"/>
  <c r="AW67" i="26" s="1"/>
  <c r="BE67" i="26" s="1"/>
  <c r="Q38" i="28"/>
  <c r="AI24" i="26"/>
  <c r="AE82" i="17"/>
  <c r="AI26" i="28"/>
  <c r="AI45" i="26"/>
  <c r="AI51" i="26" s="1"/>
  <c r="AE83" i="17"/>
  <c r="AH24" i="26"/>
  <c r="AV38" i="26"/>
  <c r="BD38" i="26" s="1"/>
  <c r="V176" i="28"/>
  <c r="N440" i="28"/>
  <c r="AH36" i="26"/>
  <c r="AI36" i="26"/>
  <c r="P34" i="27"/>
  <c r="E436" i="28"/>
  <c r="AP22" i="28"/>
  <c r="AT22" i="28" s="1"/>
  <c r="AX22" i="28" s="1"/>
  <c r="BF22" i="28" s="1"/>
  <c r="AP37" i="28"/>
  <c r="AT37" i="28" s="1"/>
  <c r="AX37" i="28" s="1"/>
  <c r="BF37" i="28" s="1"/>
  <c r="AI56" i="26"/>
  <c r="AE11" i="26"/>
  <c r="AE12" i="26" s="1"/>
  <c r="AI8" i="26"/>
  <c r="AO8" i="26" s="1"/>
  <c r="AH57" i="26"/>
  <c r="AH56" i="26"/>
  <c r="AE32" i="26"/>
  <c r="AI21" i="26"/>
  <c r="AO21" i="26" s="1"/>
  <c r="AI57" i="26"/>
  <c r="AD32" i="26"/>
  <c r="AH21" i="26"/>
  <c r="AN21" i="26" s="1"/>
  <c r="AA53" i="26"/>
  <c r="AE53" i="26" s="1"/>
  <c r="AI53" i="26" s="1"/>
  <c r="AO53" i="26" s="1"/>
  <c r="AJ43" i="28"/>
  <c r="AJ44" i="28"/>
  <c r="R33" i="28"/>
  <c r="AJ48" i="28"/>
  <c r="AP48" i="28" s="1"/>
  <c r="AT48" i="28" s="1"/>
  <c r="AX48" i="28" s="1"/>
  <c r="U18" i="27"/>
  <c r="U25" i="27" s="1"/>
  <c r="AE22" i="27"/>
  <c r="AI22" i="27" s="1"/>
  <c r="AO22" i="27" s="1"/>
  <c r="AS22" i="27" s="1"/>
  <c r="AW22" i="27" s="1"/>
  <c r="BE22" i="27" s="1"/>
  <c r="AD37" i="27"/>
  <c r="AH37" i="27" s="1"/>
  <c r="AN37" i="27" s="1"/>
  <c r="AR37" i="27" s="1"/>
  <c r="AV37" i="27" s="1"/>
  <c r="BD37" i="27" s="1"/>
  <c r="AE37" i="27"/>
  <c r="AI37" i="27" s="1"/>
  <c r="AO37" i="27" s="1"/>
  <c r="AS37" i="27" s="1"/>
  <c r="AW37" i="27" s="1"/>
  <c r="BE37" i="27" s="1"/>
  <c r="AE32" i="27"/>
  <c r="AI32" i="27" s="1"/>
  <c r="AO32" i="27" s="1"/>
  <c r="AS32" i="27" s="1"/>
  <c r="AW32" i="27" s="1"/>
  <c r="BE32" i="27" s="1"/>
  <c r="AD21" i="27"/>
  <c r="AH21" i="27" s="1"/>
  <c r="AN21" i="27" s="1"/>
  <c r="AR21" i="27" s="1"/>
  <c r="AV21" i="27" s="1"/>
  <c r="BD21" i="27" s="1"/>
  <c r="AE21" i="27"/>
  <c r="AI21" i="27" s="1"/>
  <c r="AO21" i="27" s="1"/>
  <c r="AS21" i="27" s="1"/>
  <c r="AW21" i="27" s="1"/>
  <c r="BE21" i="27" s="1"/>
  <c r="AE23" i="27"/>
  <c r="AI23" i="27" s="1"/>
  <c r="AO23" i="27" s="1"/>
  <c r="AS23" i="27" s="1"/>
  <c r="AW23" i="27" s="1"/>
  <c r="BE23" i="27" s="1"/>
  <c r="AD19" i="27"/>
  <c r="AH19" i="27" s="1"/>
  <c r="AN19" i="27" s="1"/>
  <c r="AR19" i="27" s="1"/>
  <c r="AV19" i="27" s="1"/>
  <c r="BD19" i="27" s="1"/>
  <c r="AD23" i="27"/>
  <c r="AH23" i="27" s="1"/>
  <c r="AN23" i="27" s="1"/>
  <c r="AR23" i="27" s="1"/>
  <c r="AV23" i="27" s="1"/>
  <c r="BD23" i="27" s="1"/>
  <c r="AE20" i="27"/>
  <c r="AI20" i="27" s="1"/>
  <c r="AO20" i="27" s="1"/>
  <c r="AS20" i="27" s="1"/>
  <c r="AW20" i="27" s="1"/>
  <c r="BE20" i="27" s="1"/>
  <c r="AE57" i="26"/>
  <c r="U27" i="27"/>
  <c r="U34" i="27" s="1"/>
  <c r="T36" i="27"/>
  <c r="T40" i="27" s="1"/>
  <c r="AE19" i="27"/>
  <c r="AI19" i="27" s="1"/>
  <c r="AO19" i="27" s="1"/>
  <c r="AS19" i="27" s="1"/>
  <c r="AW19" i="27" s="1"/>
  <c r="BE19" i="27" s="1"/>
  <c r="AD20" i="27"/>
  <c r="AH20" i="27" s="1"/>
  <c r="AN20" i="27" s="1"/>
  <c r="AR20" i="27" s="1"/>
  <c r="AV20" i="27" s="1"/>
  <c r="BD20" i="27" s="1"/>
  <c r="AD22" i="27"/>
  <c r="AH22" i="27" s="1"/>
  <c r="AN22" i="27" s="1"/>
  <c r="AR22" i="27" s="1"/>
  <c r="AV22" i="27" s="1"/>
  <c r="BD22" i="27" s="1"/>
  <c r="AE38" i="27"/>
  <c r="AI38" i="27" s="1"/>
  <c r="AO38" i="27" s="1"/>
  <c r="AS38" i="27" s="1"/>
  <c r="AW38" i="27" s="1"/>
  <c r="BE38" i="27" s="1"/>
  <c r="AD38" i="27"/>
  <c r="AH38" i="27" s="1"/>
  <c r="AN38" i="27" s="1"/>
  <c r="AR38" i="27" s="1"/>
  <c r="AV38" i="27" s="1"/>
  <c r="BD38" i="27" s="1"/>
  <c r="AD28" i="27"/>
  <c r="AH28" i="27" s="1"/>
  <c r="AN28" i="27" s="1"/>
  <c r="AR28" i="27" s="1"/>
  <c r="AV28" i="27" s="1"/>
  <c r="BD28" i="27" s="1"/>
  <c r="AE28" i="27"/>
  <c r="AI28" i="27" s="1"/>
  <c r="AO28" i="27" s="1"/>
  <c r="AS28" i="27" s="1"/>
  <c r="AW28" i="27" s="1"/>
  <c r="BE28" i="27" s="1"/>
  <c r="AD32" i="27"/>
  <c r="AH32" i="27" s="1"/>
  <c r="AN32" i="27" s="1"/>
  <c r="AR32" i="27" s="1"/>
  <c r="AV32" i="27" s="1"/>
  <c r="BD32" i="27" s="1"/>
  <c r="AD30" i="27"/>
  <c r="AH30" i="27" s="1"/>
  <c r="AN30" i="27" s="1"/>
  <c r="AR30" i="27" s="1"/>
  <c r="AV30" i="27" s="1"/>
  <c r="BD30" i="27" s="1"/>
  <c r="AD29" i="27"/>
  <c r="AH29" i="27" s="1"/>
  <c r="AN29" i="27" s="1"/>
  <c r="AR29" i="27" s="1"/>
  <c r="AV29" i="27" s="1"/>
  <c r="BD29" i="27" s="1"/>
  <c r="T27" i="27"/>
  <c r="T34" i="27" s="1"/>
  <c r="AA56" i="26"/>
  <c r="AE17" i="26"/>
  <c r="AE56" i="26"/>
  <c r="AD51" i="26"/>
  <c r="AD125" i="26" s="1"/>
  <c r="AD57" i="26"/>
  <c r="AD56" i="26"/>
  <c r="AF419" i="28"/>
  <c r="AF56" i="28"/>
  <c r="AJ56" i="28" s="1"/>
  <c r="AP56" i="28" s="1"/>
  <c r="AT56" i="28" s="1"/>
  <c r="AX56" i="28" s="1"/>
  <c r="AE429" i="28"/>
  <c r="AF422" i="28"/>
  <c r="AJ422" i="28" s="1"/>
  <c r="AP422" i="28" s="1"/>
  <c r="AT422" i="28" s="1"/>
  <c r="AX422" i="28" s="1"/>
  <c r="AF60" i="28"/>
  <c r="AJ60" i="28" s="1"/>
  <c r="AP60" i="28" s="1"/>
  <c r="AT60" i="28" s="1"/>
  <c r="AX60" i="28" s="1"/>
  <c r="AE52" i="28"/>
  <c r="AE419" i="28"/>
  <c r="AF52" i="28"/>
  <c r="AJ52" i="28" s="1"/>
  <c r="AP52" i="28" s="1"/>
  <c r="AT52" i="28" s="1"/>
  <c r="AX52" i="28" s="1"/>
  <c r="T18" i="27"/>
  <c r="T25" i="27" s="1"/>
  <c r="U36" i="27"/>
  <c r="U40" i="27" s="1"/>
  <c r="Z12" i="26"/>
  <c r="AD2" i="26"/>
  <c r="AD83" i="17" s="1"/>
  <c r="T59" i="26"/>
  <c r="T84" i="17" s="1"/>
  <c r="U420" i="28"/>
  <c r="V21" i="28"/>
  <c r="AB21" i="28" s="1"/>
  <c r="AF21" i="28" s="1"/>
  <c r="AJ21" i="28" s="1"/>
  <c r="V29" i="28"/>
  <c r="AB29" i="28" s="1"/>
  <c r="AF29" i="28" s="1"/>
  <c r="AJ29" i="28" s="1"/>
  <c r="V420" i="28"/>
  <c r="V23" i="28"/>
  <c r="AB23" i="28" s="1"/>
  <c r="AF23" i="28" s="1"/>
  <c r="AJ23" i="28" s="1"/>
  <c r="U15" i="28"/>
  <c r="V28" i="28"/>
  <c r="AB28" i="28" s="1"/>
  <c r="V16" i="28"/>
  <c r="V261" i="28"/>
  <c r="AB418" i="28"/>
  <c r="AF418" i="28" s="1"/>
  <c r="AJ418" i="28" s="1"/>
  <c r="AP418" i="28" s="1"/>
  <c r="AT418" i="28" s="1"/>
  <c r="AX418" i="28" s="1"/>
  <c r="V30" i="28"/>
  <c r="AB30" i="28" s="1"/>
  <c r="AF30" i="28" s="1"/>
  <c r="AJ30" i="28" s="1"/>
  <c r="V42" i="28"/>
  <c r="AB42" i="28" s="1"/>
  <c r="U176" i="28"/>
  <c r="V27" i="28"/>
  <c r="AB27" i="28" s="1"/>
  <c r="V10" i="28"/>
  <c r="AB10" i="28" s="1"/>
  <c r="AF10" i="28" s="1"/>
  <c r="AJ10" i="28" s="1"/>
  <c r="V17" i="28"/>
  <c r="AB17" i="28" s="1"/>
  <c r="AF17" i="28" s="1"/>
  <c r="AJ17" i="28" s="1"/>
  <c r="AA418" i="28"/>
  <c r="AA41" i="28"/>
  <c r="AB64" i="28"/>
  <c r="U57" i="26"/>
  <c r="U56" i="26"/>
  <c r="T56" i="26"/>
  <c r="U41" i="26"/>
  <c r="U37" i="26"/>
  <c r="T32" i="26"/>
  <c r="T51" i="26"/>
  <c r="T38" i="26"/>
  <c r="U20" i="26"/>
  <c r="U40" i="26"/>
  <c r="L40" i="26"/>
  <c r="R318" i="28"/>
  <c r="AA12" i="26"/>
  <c r="AA6" i="26" s="1"/>
  <c r="Q53" i="26"/>
  <c r="U53" i="26" s="1"/>
  <c r="X61" i="26"/>
  <c r="X36" i="26"/>
  <c r="X128" i="26" s="1"/>
  <c r="X51" i="26"/>
  <c r="X125" i="26" s="1"/>
  <c r="AB423" i="28"/>
  <c r="AF423" i="28" s="1"/>
  <c r="AJ423" i="28" s="1"/>
  <c r="AP423" i="28" s="1"/>
  <c r="AT423" i="28" s="1"/>
  <c r="AX423" i="28" s="1"/>
  <c r="R261" i="28"/>
  <c r="AB426" i="28"/>
  <c r="AF426" i="28" s="1"/>
  <c r="AJ426" i="28" s="1"/>
  <c r="AP426" i="28" s="1"/>
  <c r="AT426" i="28" s="1"/>
  <c r="AX426" i="28" s="1"/>
  <c r="AB269" i="28"/>
  <c r="Z31" i="27"/>
  <c r="AD31" i="27" s="1"/>
  <c r="AH31" i="27" s="1"/>
  <c r="AN31" i="27" s="1"/>
  <c r="AR31" i="27" s="1"/>
  <c r="AV31" i="27" s="1"/>
  <c r="BD31" i="27" s="1"/>
  <c r="R58" i="28"/>
  <c r="N433" i="28"/>
  <c r="R31" i="28"/>
  <c r="M38" i="28"/>
  <c r="R18" i="28"/>
  <c r="N45" i="28"/>
  <c r="R41" i="28"/>
  <c r="V41" i="28" s="1"/>
  <c r="Q42" i="28"/>
  <c r="Q44" i="28"/>
  <c r="Q56" i="28"/>
  <c r="Q60" i="28"/>
  <c r="R11" i="28"/>
  <c r="Q261" i="28"/>
  <c r="R24" i="28"/>
  <c r="N38" i="28"/>
  <c r="N39" i="28" s="1"/>
  <c r="R34" i="28"/>
  <c r="V34" i="28" s="1"/>
  <c r="Q43" i="28"/>
  <c r="Q426" i="28"/>
  <c r="Q422" i="28"/>
  <c r="M45" i="28"/>
  <c r="E64" i="28"/>
  <c r="I64" i="28" s="1"/>
  <c r="J45" i="28"/>
  <c r="Q56" i="26"/>
  <c r="Q57" i="26"/>
  <c r="P51" i="26"/>
  <c r="P36" i="26"/>
  <c r="P61" i="26"/>
  <c r="Q36" i="26"/>
  <c r="P32" i="26"/>
  <c r="Q32" i="26"/>
  <c r="M12" i="26"/>
  <c r="M6" i="26" s="1"/>
  <c r="Q6" i="26" s="1"/>
  <c r="U6" i="26" s="1"/>
  <c r="M41" i="26"/>
  <c r="M37" i="26"/>
  <c r="M34" i="26" s="1"/>
  <c r="P57" i="26"/>
  <c r="P56" i="26"/>
  <c r="T41" i="26" l="1"/>
  <c r="T125" i="26" s="1"/>
  <c r="P125" i="26"/>
  <c r="AA260" i="28"/>
  <c r="AE13" i="28"/>
  <c r="AN41" i="26"/>
  <c r="AH125" i="26"/>
  <c r="AH40" i="26"/>
  <c r="AH128" i="26"/>
  <c r="P37" i="26"/>
  <c r="P128" i="26"/>
  <c r="AA41" i="26"/>
  <c r="Q40" i="26"/>
  <c r="Q128" i="26"/>
  <c r="AI40" i="26"/>
  <c r="AI128" i="26"/>
  <c r="M434" i="28"/>
  <c r="M455" i="28"/>
  <c r="M440" i="28"/>
  <c r="M451" i="28"/>
  <c r="M433" i="28"/>
  <c r="V318" i="28"/>
  <c r="V319" i="28" s="1"/>
  <c r="R319" i="28"/>
  <c r="AF28" i="28"/>
  <c r="AJ28" i="28" s="1"/>
  <c r="AP28" i="28" s="1"/>
  <c r="AT28" i="28" s="1"/>
  <c r="AX28" i="28" s="1"/>
  <c r="BF28" i="28" s="1"/>
  <c r="V33" i="28"/>
  <c r="V38" i="28" s="1"/>
  <c r="AR21" i="26"/>
  <c r="AN24" i="26"/>
  <c r="AN32" i="26" s="1"/>
  <c r="AR36" i="26"/>
  <c r="AR128" i="26" s="1"/>
  <c r="AV35" i="26"/>
  <c r="AB11" i="28"/>
  <c r="AN45" i="26"/>
  <c r="AD84" i="17"/>
  <c r="AH59" i="26"/>
  <c r="AD61" i="26"/>
  <c r="AS36" i="26"/>
  <c r="AS128" i="26" s="1"/>
  <c r="AW35" i="26"/>
  <c r="BF26" i="28"/>
  <c r="AA38" i="28"/>
  <c r="M443" i="28"/>
  <c r="M442" i="28"/>
  <c r="AF27" i="28"/>
  <c r="AA15" i="28"/>
  <c r="U18" i="28"/>
  <c r="U261" i="28" s="1"/>
  <c r="M439" i="28"/>
  <c r="AN40" i="26"/>
  <c r="AF11" i="28"/>
  <c r="AJ7" i="28"/>
  <c r="AJ11" i="28" s="1"/>
  <c r="M448" i="28"/>
  <c r="AD85" i="17"/>
  <c r="AO37" i="26"/>
  <c r="AO41" i="26"/>
  <c r="AO40" i="26"/>
  <c r="AR57" i="26"/>
  <c r="AV54" i="26"/>
  <c r="BD54" i="26" s="1"/>
  <c r="AR56" i="26"/>
  <c r="AI83" i="17"/>
  <c r="AO45" i="26"/>
  <c r="AI82" i="17"/>
  <c r="AO24" i="26"/>
  <c r="AO32" i="26" s="1"/>
  <c r="AN65" i="26"/>
  <c r="AH74" i="26"/>
  <c r="AS53" i="26"/>
  <c r="AW54" i="26"/>
  <c r="BE54" i="26" s="1"/>
  <c r="AS57" i="26"/>
  <c r="AF269" i="28"/>
  <c r="AS21" i="26"/>
  <c r="AO11" i="26"/>
  <c r="AO17" i="26" s="1"/>
  <c r="AS8" i="26"/>
  <c r="AD82" i="17"/>
  <c r="AO26" i="28"/>
  <c r="AE8" i="28"/>
  <c r="AA11" i="28"/>
  <c r="AA176" i="28" s="1"/>
  <c r="AA444" i="28" s="1"/>
  <c r="AA21" i="28"/>
  <c r="U24" i="28"/>
  <c r="U319" i="28" s="1"/>
  <c r="AW55" i="26"/>
  <c r="BE55" i="26" s="1"/>
  <c r="BE56" i="26" s="1"/>
  <c r="AS56" i="26"/>
  <c r="AE38" i="28"/>
  <c r="AI33" i="28"/>
  <c r="AF69" i="28"/>
  <c r="AX424" i="28"/>
  <c r="AX427" i="28"/>
  <c r="BF453" i="28"/>
  <c r="AE18" i="26"/>
  <c r="AI37" i="26"/>
  <c r="AI32" i="26"/>
  <c r="AI11" i="26"/>
  <c r="AI17" i="26" s="1"/>
  <c r="AI41" i="26"/>
  <c r="AI125" i="26" s="1"/>
  <c r="AH32" i="26"/>
  <c r="AP424" i="28"/>
  <c r="R433" i="28"/>
  <c r="Z439" i="28"/>
  <c r="Z440" i="28"/>
  <c r="Q440" i="28"/>
  <c r="Q439" i="28"/>
  <c r="Q434" i="28"/>
  <c r="Q433" i="28"/>
  <c r="AP36" i="28"/>
  <c r="AT36" i="28" s="1"/>
  <c r="AX36" i="28" s="1"/>
  <c r="BF36" i="28" s="1"/>
  <c r="AP44" i="28"/>
  <c r="AP427" i="28"/>
  <c r="AP43" i="28"/>
  <c r="AP35" i="28"/>
  <c r="AT35" i="28" s="1"/>
  <c r="AX35" i="28" s="1"/>
  <c r="BF35" i="28" s="1"/>
  <c r="R440" i="28"/>
  <c r="AJ419" i="28"/>
  <c r="AJ424" i="28"/>
  <c r="AI419" i="28"/>
  <c r="AJ427" i="28"/>
  <c r="AI52" i="28"/>
  <c r="BF48" i="28"/>
  <c r="AI429" i="28"/>
  <c r="AD12" i="26"/>
  <c r="AD37" i="26"/>
  <c r="AE6" i="26"/>
  <c r="AE418" i="28"/>
  <c r="AF42" i="28"/>
  <c r="BF60" i="28"/>
  <c r="AF427" i="28"/>
  <c r="AF64" i="28"/>
  <c r="AP30" i="28"/>
  <c r="AT30" i="28" s="1"/>
  <c r="AX30" i="28" s="1"/>
  <c r="BF30" i="28" s="1"/>
  <c r="BF52" i="28"/>
  <c r="AF424" i="28"/>
  <c r="AE41" i="28"/>
  <c r="AF420" i="28"/>
  <c r="BF422" i="28"/>
  <c r="BF56" i="28"/>
  <c r="X37" i="26"/>
  <c r="X40" i="26"/>
  <c r="V45" i="28"/>
  <c r="X32" i="26"/>
  <c r="T61" i="26"/>
  <c r="P40" i="26"/>
  <c r="AH2" i="26"/>
  <c r="AN2" i="26" s="1"/>
  <c r="AN12" i="26" s="1"/>
  <c r="AA420" i="28"/>
  <c r="V11" i="28"/>
  <c r="V18" i="28"/>
  <c r="V440" i="28" s="1"/>
  <c r="AB16" i="28"/>
  <c r="AB31" i="28"/>
  <c r="U44" i="28"/>
  <c r="AA44" i="28" s="1"/>
  <c r="U43" i="28"/>
  <c r="AA43" i="28" s="1"/>
  <c r="AB420" i="28"/>
  <c r="U42" i="28"/>
  <c r="U422" i="28"/>
  <c r="AA422" i="28" s="1"/>
  <c r="U60" i="28"/>
  <c r="Q430" i="28"/>
  <c r="U426" i="28"/>
  <c r="U430" i="28" s="1"/>
  <c r="U56" i="28"/>
  <c r="AA56" i="28" s="1"/>
  <c r="V31" i="28"/>
  <c r="V433" i="28" s="1"/>
  <c r="V24" i="28"/>
  <c r="T40" i="26"/>
  <c r="U32" i="26"/>
  <c r="Z36" i="27"/>
  <c r="Z40" i="27" s="1"/>
  <c r="AA17" i="26"/>
  <c r="AA27" i="27"/>
  <c r="AA18" i="27"/>
  <c r="AA25" i="27" s="1"/>
  <c r="Z51" i="26"/>
  <c r="Z125" i="26" s="1"/>
  <c r="Z57" i="26"/>
  <c r="Z61" i="26"/>
  <c r="AA32" i="26"/>
  <c r="Z32" i="26"/>
  <c r="Z27" i="27"/>
  <c r="Z34" i="27" s="1"/>
  <c r="X57" i="26"/>
  <c r="Z36" i="26"/>
  <c r="Z128" i="26" s="1"/>
  <c r="AA36" i="26"/>
  <c r="AB427" i="28"/>
  <c r="AB424" i="28"/>
  <c r="AB13" i="28"/>
  <c r="AB260" i="28" s="1"/>
  <c r="AB20" i="28"/>
  <c r="AB57" i="28"/>
  <c r="AF57" i="28" s="1"/>
  <c r="AB337" i="28"/>
  <c r="AB384" i="28" s="1"/>
  <c r="AB415" i="28" s="1"/>
  <c r="AA27" i="28"/>
  <c r="Z18" i="27"/>
  <c r="Z25" i="27" s="1"/>
  <c r="AA36" i="27"/>
  <c r="AA40" i="27" s="1"/>
  <c r="R45" i="28"/>
  <c r="R38" i="28"/>
  <c r="R39" i="28" s="1"/>
  <c r="Q45" i="28"/>
  <c r="Q48" i="28"/>
  <c r="M64" i="28"/>
  <c r="Q41" i="26"/>
  <c r="Q37" i="26"/>
  <c r="Q34" i="26" s="1"/>
  <c r="U34" i="26" s="1"/>
  <c r="E12" i="17"/>
  <c r="AW53" i="26" l="1"/>
  <c r="AI13" i="28"/>
  <c r="AE260" i="28"/>
  <c r="BE53" i="26"/>
  <c r="AR41" i="26"/>
  <c r="AV36" i="26"/>
  <c r="BD35" i="26"/>
  <c r="BD36" i="26" s="1"/>
  <c r="AW36" i="26"/>
  <c r="BE35" i="26"/>
  <c r="BE36" i="26" s="1"/>
  <c r="BD57" i="26"/>
  <c r="BD56" i="26"/>
  <c r="BE57" i="26"/>
  <c r="AB33" i="28"/>
  <c r="AF33" i="28" s="1"/>
  <c r="U440" i="28"/>
  <c r="U439" i="28"/>
  <c r="AO12" i="26"/>
  <c r="AO18" i="26"/>
  <c r="AI12" i="26"/>
  <c r="AI6" i="26" s="1"/>
  <c r="AW56" i="26"/>
  <c r="AB456" i="28"/>
  <c r="AO33" i="28"/>
  <c r="AI38" i="28"/>
  <c r="AE11" i="28"/>
  <c r="AE176" i="28" s="1"/>
  <c r="AI8" i="28"/>
  <c r="AW8" i="26"/>
  <c r="AS11" i="26"/>
  <c r="AN85" i="17"/>
  <c r="AR65" i="26"/>
  <c r="AN74" i="26"/>
  <c r="AO83" i="17"/>
  <c r="AS45" i="26"/>
  <c r="AO51" i="26"/>
  <c r="AO125" i="26" s="1"/>
  <c r="AS37" i="26"/>
  <c r="AS41" i="26"/>
  <c r="AS40" i="26"/>
  <c r="AH83" i="17"/>
  <c r="AR40" i="26"/>
  <c r="AF16" i="28"/>
  <c r="AJ16" i="28" s="1"/>
  <c r="AB449" i="28"/>
  <c r="AS26" i="28"/>
  <c r="AJ269" i="28"/>
  <c r="AW57" i="26"/>
  <c r="AH85" i="17"/>
  <c r="AN37" i="26"/>
  <c r="AE15" i="28"/>
  <c r="AA18" i="28"/>
  <c r="AA446" i="28" s="1"/>
  <c r="AN83" i="17"/>
  <c r="AR45" i="26"/>
  <c r="AN51" i="26"/>
  <c r="AN125" i="26" s="1"/>
  <c r="AH82" i="17"/>
  <c r="AF20" i="28"/>
  <c r="AE21" i="28"/>
  <c r="AA24" i="28"/>
  <c r="AW21" i="26"/>
  <c r="BE21" i="26" s="1"/>
  <c r="AO82" i="17"/>
  <c r="AS24" i="26"/>
  <c r="AH84" i="17"/>
  <c r="AN59" i="26"/>
  <c r="AH61" i="26"/>
  <c r="AN82" i="17"/>
  <c r="AR24" i="26"/>
  <c r="V39" i="28"/>
  <c r="AE27" i="28"/>
  <c r="AA31" i="28"/>
  <c r="AF13" i="28"/>
  <c r="AV57" i="26"/>
  <c r="AV56" i="26"/>
  <c r="AJ27" i="28"/>
  <c r="AF31" i="28"/>
  <c r="AV21" i="26"/>
  <c r="BD21" i="26" s="1"/>
  <c r="AJ69" i="28"/>
  <c r="AT43" i="28"/>
  <c r="AX43" i="28" s="1"/>
  <c r="BF43" i="28" s="1"/>
  <c r="AT44" i="28"/>
  <c r="AX44" i="28" s="1"/>
  <c r="BF44" i="28" s="1"/>
  <c r="AI18" i="26"/>
  <c r="AR2" i="26"/>
  <c r="AR12" i="26" s="1"/>
  <c r="AH12" i="26"/>
  <c r="AH37" i="26"/>
  <c r="AE27" i="27"/>
  <c r="AA34" i="27"/>
  <c r="AJ420" i="28"/>
  <c r="AP419" i="28"/>
  <c r="AO419" i="28"/>
  <c r="AS419" i="28" s="1"/>
  <c r="AP29" i="28"/>
  <c r="AT29" i="28" s="1"/>
  <c r="AX29" i="28" s="1"/>
  <c r="BF29" i="28" s="1"/>
  <c r="AP15" i="28"/>
  <c r="AT15" i="28" s="1"/>
  <c r="AX15" i="28" s="1"/>
  <c r="BF15" i="28" s="1"/>
  <c r="AO429" i="28"/>
  <c r="AS429" i="28" s="1"/>
  <c r="AA60" i="28"/>
  <c r="U434" i="28"/>
  <c r="AO52" i="28"/>
  <c r="AS52" i="28" s="1"/>
  <c r="AI41" i="28"/>
  <c r="AO41" i="28" s="1"/>
  <c r="AP21" i="28"/>
  <c r="AT21" i="28" s="1"/>
  <c r="AX21" i="28" s="1"/>
  <c r="BF21" i="28" s="1"/>
  <c r="AJ64" i="28"/>
  <c r="AJ42" i="28"/>
  <c r="AF58" i="28"/>
  <c r="AJ57" i="28"/>
  <c r="AE420" i="28"/>
  <c r="AI418" i="28"/>
  <c r="AE18" i="27"/>
  <c r="AD18" i="27"/>
  <c r="AD36" i="27"/>
  <c r="AE36" i="27"/>
  <c r="AD27" i="27"/>
  <c r="AF337" i="28"/>
  <c r="AE422" i="28"/>
  <c r="AB175" i="28"/>
  <c r="BF175" i="28" s="1"/>
  <c r="AE56" i="28"/>
  <c r="AE43" i="28"/>
  <c r="AE44" i="28"/>
  <c r="Z37" i="26"/>
  <c r="Z40" i="26"/>
  <c r="U45" i="28"/>
  <c r="U48" i="28"/>
  <c r="AA48" i="28" s="1"/>
  <c r="AA42" i="28"/>
  <c r="AE42" i="28" s="1"/>
  <c r="AI42" i="28" s="1"/>
  <c r="AO42" i="28" s="1"/>
  <c r="AA37" i="26"/>
  <c r="AA34" i="26" s="1"/>
  <c r="AE34" i="26" s="1"/>
  <c r="AI34" i="26" s="1"/>
  <c r="AO34" i="26" s="1"/>
  <c r="AA40" i="26"/>
  <c r="AB433" i="28"/>
  <c r="AB318" i="28"/>
  <c r="AB24" i="28"/>
  <c r="AB261" i="28"/>
  <c r="AB18" i="28"/>
  <c r="AB58" i="28"/>
  <c r="AB34" i="28"/>
  <c r="AB41" i="28"/>
  <c r="AF41" i="28" s="1"/>
  <c r="AA426" i="28"/>
  <c r="Q64" i="28"/>
  <c r="AO13" i="28" l="1"/>
  <c r="AI260" i="28"/>
  <c r="AF260" i="28"/>
  <c r="AF261" i="28" s="1"/>
  <c r="AA261" i="28"/>
  <c r="AV41" i="26"/>
  <c r="BD41" i="26" s="1"/>
  <c r="AW41" i="26"/>
  <c r="AW128" i="26"/>
  <c r="AW40" i="26"/>
  <c r="AV40" i="26"/>
  <c r="AV128" i="26"/>
  <c r="BE37" i="26"/>
  <c r="BE41" i="26"/>
  <c r="BE40" i="26"/>
  <c r="AW37" i="26"/>
  <c r="BD40" i="26"/>
  <c r="AB38" i="28"/>
  <c r="AO6" i="26"/>
  <c r="AW11" i="26"/>
  <c r="AW12" i="26" s="1"/>
  <c r="BE8" i="26"/>
  <c r="BE11" i="26" s="1"/>
  <c r="AS34" i="26"/>
  <c r="AF18" i="28"/>
  <c r="AJ13" i="28"/>
  <c r="AJ260" i="28" s="1"/>
  <c r="AS82" i="17"/>
  <c r="AW24" i="26"/>
  <c r="BE24" i="26" s="1"/>
  <c r="AA450" i="28"/>
  <c r="AA319" i="28"/>
  <c r="AA451" i="28" s="1"/>
  <c r="AR85" i="17"/>
  <c r="AV65" i="26"/>
  <c r="BD65" i="26" s="1"/>
  <c r="AR74" i="26"/>
  <c r="AI11" i="28"/>
  <c r="AI176" i="28" s="1"/>
  <c r="AO8" i="28"/>
  <c r="AB39" i="28"/>
  <c r="AE24" i="28"/>
  <c r="AE319" i="28" s="1"/>
  <c r="AI21" i="28"/>
  <c r="AW26" i="28"/>
  <c r="AS83" i="17"/>
  <c r="AW45" i="26"/>
  <c r="BE45" i="26" s="1"/>
  <c r="AS51" i="26"/>
  <c r="AS125" i="26" s="1"/>
  <c r="AJ31" i="28"/>
  <c r="AP27" i="28"/>
  <c r="AT27" i="28" s="1"/>
  <c r="AA454" i="28"/>
  <c r="AA415" i="28"/>
  <c r="AA456" i="28" s="1"/>
  <c r="AR82" i="17"/>
  <c r="AV24" i="26"/>
  <c r="AN61" i="26"/>
  <c r="AN84" i="17"/>
  <c r="AR59" i="26"/>
  <c r="AS32" i="26"/>
  <c r="AF24" i="28"/>
  <c r="AJ20" i="28"/>
  <c r="AR83" i="17"/>
  <c r="AV45" i="26"/>
  <c r="BD45" i="26" s="1"/>
  <c r="AR51" i="26"/>
  <c r="AR125" i="26" s="1"/>
  <c r="AE18" i="28"/>
  <c r="AE261" i="28" s="1"/>
  <c r="AE440" i="28" s="1"/>
  <c r="AI15" i="28"/>
  <c r="AS18" i="26"/>
  <c r="AS12" i="26"/>
  <c r="AS17" i="26"/>
  <c r="AB448" i="28"/>
  <c r="AF34" i="28"/>
  <c r="AJ34" i="28" s="1"/>
  <c r="AB450" i="28"/>
  <c r="AF318" i="28"/>
  <c r="AB319" i="28"/>
  <c r="AB452" i="28" s="1"/>
  <c r="AJ337" i="28"/>
  <c r="AF384" i="28"/>
  <c r="AF415" i="28" s="1"/>
  <c r="AF433" i="28" s="1"/>
  <c r="AE60" i="28"/>
  <c r="AR32" i="26"/>
  <c r="AJ33" i="28"/>
  <c r="AI27" i="28"/>
  <c r="AE31" i="28"/>
  <c r="AE415" i="28" s="1"/>
  <c r="AE433" i="28" s="1"/>
  <c r="AP269" i="28"/>
  <c r="AT269" i="28" s="1"/>
  <c r="AX269" i="28" s="1"/>
  <c r="BF269" i="28" s="1"/>
  <c r="AR37" i="26"/>
  <c r="AO38" i="28"/>
  <c r="AS33" i="28"/>
  <c r="AA447" i="28"/>
  <c r="AA448" i="28"/>
  <c r="AA443" i="28"/>
  <c r="AA442" i="28"/>
  <c r="AF175" i="28"/>
  <c r="AB176" i="28"/>
  <c r="AP69" i="28"/>
  <c r="AW419" i="28"/>
  <c r="BE419" i="28" s="1"/>
  <c r="AP420" i="28"/>
  <c r="AT419" i="28"/>
  <c r="AX419" i="28" s="1"/>
  <c r="AX420" i="28" s="1"/>
  <c r="AW429" i="28"/>
  <c r="BE429" i="28" s="1"/>
  <c r="AW52" i="28"/>
  <c r="BE52" i="28" s="1"/>
  <c r="AP31" i="28"/>
  <c r="AV2" i="26"/>
  <c r="BD2" i="26" s="1"/>
  <c r="BD12" i="26" s="1"/>
  <c r="AH18" i="27"/>
  <c r="AD25" i="27"/>
  <c r="AH27" i="27"/>
  <c r="AD34" i="27"/>
  <c r="AE25" i="27"/>
  <c r="AI18" i="27"/>
  <c r="AE40" i="27"/>
  <c r="AI36" i="27"/>
  <c r="AE34" i="27"/>
  <c r="AI27" i="27"/>
  <c r="AD40" i="27"/>
  <c r="AH36" i="27"/>
  <c r="AP10" i="28"/>
  <c r="AT10" i="28" s="1"/>
  <c r="AX10" i="28" s="1"/>
  <c r="BF10" i="28" s="1"/>
  <c r="AP8" i="28"/>
  <c r="AT8" i="28" s="1"/>
  <c r="AX8" i="28" s="1"/>
  <c r="BF8" i="28" s="1"/>
  <c r="AP9" i="28"/>
  <c r="AT9" i="28" s="1"/>
  <c r="AX9" i="28" s="1"/>
  <c r="BF9" i="28" s="1"/>
  <c r="AJ58" i="28"/>
  <c r="AP57" i="28"/>
  <c r="AP42" i="28"/>
  <c r="AP23" i="28"/>
  <c r="AT23" i="28" s="1"/>
  <c r="AX23" i="28" s="1"/>
  <c r="BF23" i="28" s="1"/>
  <c r="AP64" i="28"/>
  <c r="AT64" i="28" s="1"/>
  <c r="AX64" i="28" s="1"/>
  <c r="AA439" i="28"/>
  <c r="AA440" i="28"/>
  <c r="AI420" i="28"/>
  <c r="AO418" i="28"/>
  <c r="AP17" i="28"/>
  <c r="AT17" i="28" s="1"/>
  <c r="AX17" i="28" s="1"/>
  <c r="BF17" i="28" s="1"/>
  <c r="AI43" i="28"/>
  <c r="AI56" i="28"/>
  <c r="AF45" i="28"/>
  <c r="AJ41" i="28"/>
  <c r="AI44" i="28"/>
  <c r="AS41" i="28"/>
  <c r="AI422" i="28"/>
  <c r="AE45" i="28"/>
  <c r="AE48" i="28"/>
  <c r="AA430" i="28"/>
  <c r="AE426" i="28"/>
  <c r="AA45" i="28"/>
  <c r="U64" i="28"/>
  <c r="AA64" i="28" s="1"/>
  <c r="AB45" i="28"/>
  <c r="G64" i="11"/>
  <c r="G62" i="11"/>
  <c r="J48" i="59" s="1"/>
  <c r="G59" i="11"/>
  <c r="G60" i="11" s="1"/>
  <c r="AF440" i="28" l="1"/>
  <c r="BE51" i="26"/>
  <c r="BE83" i="17"/>
  <c r="BD51" i="26"/>
  <c r="BD125" i="26" s="1"/>
  <c r="BD83" i="17"/>
  <c r="BD74" i="26"/>
  <c r="BD85" i="17"/>
  <c r="BE32" i="26"/>
  <c r="BE82" i="17"/>
  <c r="AS13" i="28"/>
  <c r="AO260" i="28"/>
  <c r="AW34" i="26"/>
  <c r="BE34" i="26" s="1"/>
  <c r="BD37" i="26"/>
  <c r="AA433" i="28"/>
  <c r="AA434" i="28"/>
  <c r="AA452" i="28"/>
  <c r="BF419" i="28"/>
  <c r="AB451" i="28"/>
  <c r="AE439" i="28"/>
  <c r="AE434" i="28"/>
  <c r="AJ38" i="28"/>
  <c r="AI60" i="28"/>
  <c r="AO60" i="28" s="1"/>
  <c r="AW18" i="26"/>
  <c r="AS6" i="26"/>
  <c r="AW6" i="26" s="1"/>
  <c r="AW17" i="26"/>
  <c r="AW32" i="26"/>
  <c r="AV32" i="26"/>
  <c r="BD24" i="26"/>
  <c r="BE17" i="26"/>
  <c r="BE12" i="26"/>
  <c r="BE18" i="26"/>
  <c r="AV12" i="26"/>
  <c r="AV37" i="26"/>
  <c r="AS38" i="28"/>
  <c r="AW33" i="28"/>
  <c r="AJ318" i="28"/>
  <c r="AJ319" i="28" s="1"/>
  <c r="AF319" i="28"/>
  <c r="AJ24" i="28"/>
  <c r="AP20" i="28"/>
  <c r="AP24" i="28" s="1"/>
  <c r="AS8" i="28"/>
  <c r="AO11" i="28"/>
  <c r="AO176" i="28" s="1"/>
  <c r="AW82" i="17"/>
  <c r="AH25" i="27"/>
  <c r="AN18" i="27"/>
  <c r="AJ39" i="28"/>
  <c r="AP34" i="28"/>
  <c r="AT34" i="28" s="1"/>
  <c r="AW83" i="17"/>
  <c r="AW51" i="26"/>
  <c r="AW125" i="26" s="1"/>
  <c r="AI24" i="28"/>
  <c r="AI319" i="28" s="1"/>
  <c r="AO21" i="28"/>
  <c r="AO27" i="28"/>
  <c r="AI31" i="28"/>
  <c r="AI415" i="28" s="1"/>
  <c r="AI433" i="28" s="1"/>
  <c r="AP337" i="28"/>
  <c r="AJ384" i="28"/>
  <c r="AJ415" i="28" s="1"/>
  <c r="AJ433" i="28" s="1"/>
  <c r="AV83" i="17"/>
  <c r="AV51" i="26"/>
  <c r="AV125" i="26" s="1"/>
  <c r="AV82" i="17"/>
  <c r="AX27" i="28"/>
  <c r="AT31" i="28"/>
  <c r="AJ18" i="28"/>
  <c r="AP13" i="28"/>
  <c r="AP260" i="28" s="1"/>
  <c r="AJ261" i="28"/>
  <c r="AI25" i="27"/>
  <c r="AO18" i="27"/>
  <c r="AF38" i="28"/>
  <c r="AA455" i="28"/>
  <c r="AI18" i="28"/>
  <c r="AI261" i="28" s="1"/>
  <c r="AI440" i="28" s="1"/>
  <c r="AO15" i="28"/>
  <c r="AV59" i="26"/>
  <c r="BD59" i="26" s="1"/>
  <c r="AR84" i="17"/>
  <c r="AR61" i="26"/>
  <c r="BE26" i="28"/>
  <c r="AV85" i="17"/>
  <c r="AV74" i="26"/>
  <c r="AB444" i="28"/>
  <c r="AT69" i="28"/>
  <c r="AJ175" i="28"/>
  <c r="AF176" i="28"/>
  <c r="BF445" i="28"/>
  <c r="AT42" i="28"/>
  <c r="AX42" i="28" s="1"/>
  <c r="BF42" i="28" s="1"/>
  <c r="AW41" i="28"/>
  <c r="AP58" i="28"/>
  <c r="AT57" i="28"/>
  <c r="AX57" i="28" s="1"/>
  <c r="AX58" i="28" s="1"/>
  <c r="AI34" i="27"/>
  <c r="AO27" i="27"/>
  <c r="AH40" i="27"/>
  <c r="AN36" i="27"/>
  <c r="AI40" i="27"/>
  <c r="AO36" i="27"/>
  <c r="AH34" i="27"/>
  <c r="AN27" i="27"/>
  <c r="AP7" i="28"/>
  <c r="AT7" i="28" s="1"/>
  <c r="BF64" i="28"/>
  <c r="AO420" i="28"/>
  <c r="AS418" i="28"/>
  <c r="AB440" i="28"/>
  <c r="AO44" i="28"/>
  <c r="AS44" i="28" s="1"/>
  <c r="AP16" i="28"/>
  <c r="AT16" i="28" s="1"/>
  <c r="AX16" i="28" s="1"/>
  <c r="BF16" i="28" s="1"/>
  <c r="AP33" i="28"/>
  <c r="AT33" i="28" s="1"/>
  <c r="AJ45" i="28"/>
  <c r="AP41" i="28"/>
  <c r="AO422" i="28"/>
  <c r="AS422" i="28" s="1"/>
  <c r="AO56" i="28"/>
  <c r="AS56" i="28" s="1"/>
  <c r="AO43" i="28"/>
  <c r="AI45" i="28"/>
  <c r="AI48" i="28"/>
  <c r="AE430" i="28"/>
  <c r="AI426" i="28"/>
  <c r="AE64" i="28"/>
  <c r="G127" i="10"/>
  <c r="G122" i="10"/>
  <c r="G123" i="10" s="1"/>
  <c r="BD32" i="26" l="1"/>
  <c r="BD82" i="17"/>
  <c r="AW13" i="28"/>
  <c r="AS260" i="28"/>
  <c r="BD61" i="26"/>
  <c r="BD84" i="17"/>
  <c r="AJ176" i="28"/>
  <c r="AP175" i="28"/>
  <c r="AI434" i="28"/>
  <c r="AJ440" i="28"/>
  <c r="AI439" i="28"/>
  <c r="BF27" i="28"/>
  <c r="BF31" i="28" s="1"/>
  <c r="AX31" i="28"/>
  <c r="AT20" i="28"/>
  <c r="AP318" i="28"/>
  <c r="BE33" i="28"/>
  <c r="BE38" i="28" s="1"/>
  <c r="AW38" i="28"/>
  <c r="AO40" i="27"/>
  <c r="AS36" i="27"/>
  <c r="AO34" i="27"/>
  <c r="AS27" i="27"/>
  <c r="AS18" i="27"/>
  <c r="AO25" i="27"/>
  <c r="AT13" i="28"/>
  <c r="AT260" i="28" s="1"/>
  <c r="AP384" i="28"/>
  <c r="AP415" i="28" s="1"/>
  <c r="AT337" i="28"/>
  <c r="AR18" i="27"/>
  <c r="AN25" i="27"/>
  <c r="AV84" i="17"/>
  <c r="AV61" i="26"/>
  <c r="AF39" i="28"/>
  <c r="AO24" i="28"/>
  <c r="AO319" i="28" s="1"/>
  <c r="AS21" i="28"/>
  <c r="AX33" i="28"/>
  <c r="AT11" i="28"/>
  <c r="AX7" i="28"/>
  <c r="AN34" i="27"/>
  <c r="AR27" i="27"/>
  <c r="AN40" i="27"/>
  <c r="AR36" i="27"/>
  <c r="AO18" i="28"/>
  <c r="AO261" i="28" s="1"/>
  <c r="AO440" i="28" s="1"/>
  <c r="AS15" i="28"/>
  <c r="AS27" i="28"/>
  <c r="AO31" i="28"/>
  <c r="AO415" i="28" s="1"/>
  <c r="AO433" i="28" s="1"/>
  <c r="AT38" i="28"/>
  <c r="AT39" i="28" s="1"/>
  <c r="AX34" i="28"/>
  <c r="AS11" i="28"/>
  <c r="AS176" i="28" s="1"/>
  <c r="AW8" i="28"/>
  <c r="AX69" i="28"/>
  <c r="BE41" i="28"/>
  <c r="AP38" i="28"/>
  <c r="AW44" i="28"/>
  <c r="BE44" i="28" s="1"/>
  <c r="AP45" i="28"/>
  <c r="AT41" i="28"/>
  <c r="AX41" i="28" s="1"/>
  <c r="AX45" i="28" s="1"/>
  <c r="AW56" i="28"/>
  <c r="BE56" i="28" s="1"/>
  <c r="AW418" i="28"/>
  <c r="AW420" i="28" s="1"/>
  <c r="AW422" i="28"/>
  <c r="BE422" i="28" s="1"/>
  <c r="AP18" i="28"/>
  <c r="AP11" i="28"/>
  <c r="AP176" i="28"/>
  <c r="AS420" i="28"/>
  <c r="AI430" i="28"/>
  <c r="AO426" i="28"/>
  <c r="AO430" i="28" s="1"/>
  <c r="AS60" i="28"/>
  <c r="AO45" i="28"/>
  <c r="AO48" i="28"/>
  <c r="AS48" i="28" s="1"/>
  <c r="AS43" i="28"/>
  <c r="AI64" i="28"/>
  <c r="AT420" i="28"/>
  <c r="AT424" i="28"/>
  <c r="AT427" i="28"/>
  <c r="BE13" i="28" l="1"/>
  <c r="BE260" i="28" s="1"/>
  <c r="AW260" i="28"/>
  <c r="AO439" i="28"/>
  <c r="AX38" i="28"/>
  <c r="AX39" i="28" s="1"/>
  <c r="BF34" i="28"/>
  <c r="AS18" i="28"/>
  <c r="AS261" i="28" s="1"/>
  <c r="AW15" i="28"/>
  <c r="BJ413" i="28"/>
  <c r="AP433" i="28"/>
  <c r="AT18" i="28"/>
  <c r="AX13" i="28"/>
  <c r="AX260" i="28" s="1"/>
  <c r="AV36" i="27"/>
  <c r="AR40" i="27"/>
  <c r="AX11" i="28"/>
  <c r="BF7" i="28"/>
  <c r="BF11" i="28" s="1"/>
  <c r="AS24" i="28"/>
  <c r="AS319" i="28" s="1"/>
  <c r="AW21" i="28"/>
  <c r="AV18" i="27"/>
  <c r="AR25" i="27"/>
  <c r="AW36" i="27"/>
  <c r="AS40" i="27"/>
  <c r="AW11" i="28"/>
  <c r="AW176" i="28" s="1"/>
  <c r="BE8" i="28"/>
  <c r="BE11" i="28" s="1"/>
  <c r="AW18" i="27"/>
  <c r="AS25" i="27"/>
  <c r="AP319" i="28"/>
  <c r="AT318" i="28"/>
  <c r="AW27" i="28"/>
  <c r="AS31" i="28"/>
  <c r="AV27" i="27"/>
  <c r="AR34" i="27"/>
  <c r="BF33" i="28"/>
  <c r="AX337" i="28"/>
  <c r="AT384" i="28"/>
  <c r="AT415" i="28" s="1"/>
  <c r="AT433" i="28" s="1"/>
  <c r="AP261" i="28"/>
  <c r="AP440" i="28" s="1"/>
  <c r="AW27" i="27"/>
  <c r="AS34" i="27"/>
  <c r="AT24" i="28"/>
  <c r="AX20" i="28"/>
  <c r="AO434" i="28"/>
  <c r="AP39" i="28"/>
  <c r="AT175" i="28"/>
  <c r="AW48" i="28"/>
  <c r="BE48" i="28" s="1"/>
  <c r="AW43" i="28"/>
  <c r="BE43" i="28" s="1"/>
  <c r="AW60" i="28"/>
  <c r="BE418" i="28"/>
  <c r="BE420" i="28" s="1"/>
  <c r="AO64" i="28"/>
  <c r="AS64" i="28" s="1"/>
  <c r="BF418" i="28"/>
  <c r="BF420" i="28" s="1"/>
  <c r="AS42" i="28"/>
  <c r="AW42" i="28" s="1"/>
  <c r="BF426" i="28"/>
  <c r="BF427" i="28" s="1"/>
  <c r="BF423" i="28"/>
  <c r="BF424" i="28" s="1"/>
  <c r="AT58" i="28"/>
  <c r="AS426" i="28"/>
  <c r="AW25" i="27" l="1"/>
  <c r="BE18" i="27"/>
  <c r="BE25" i="27" s="1"/>
  <c r="AV25" i="27"/>
  <c r="BD18" i="27"/>
  <c r="BD25" i="27" s="1"/>
  <c r="AW34" i="27"/>
  <c r="BE27" i="27"/>
  <c r="BE34" i="27" s="1"/>
  <c r="AV34" i="27"/>
  <c r="BD27" i="27"/>
  <c r="BD34" i="27" s="1"/>
  <c r="AW40" i="27"/>
  <c r="BE36" i="27"/>
  <c r="BE40" i="27" s="1"/>
  <c r="AV40" i="27"/>
  <c r="BD36" i="27"/>
  <c r="BD40" i="27" s="1"/>
  <c r="AT176" i="28"/>
  <c r="AX175" i="28"/>
  <c r="BF38" i="28"/>
  <c r="BF39" i="28" s="1"/>
  <c r="AW24" i="28"/>
  <c r="AW319" i="28" s="1"/>
  <c r="BE21" i="28"/>
  <c r="BE24" i="28" s="1"/>
  <c r="BF337" i="28"/>
  <c r="BF384" i="28" s="1"/>
  <c r="BF415" i="28" s="1"/>
  <c r="BF456" i="28" s="1"/>
  <c r="AX384" i="28"/>
  <c r="AX415" i="28" s="1"/>
  <c r="AX433" i="28" s="1"/>
  <c r="BE27" i="28"/>
  <c r="BE31" i="28" s="1"/>
  <c r="AW31" i="28"/>
  <c r="AW415" i="28" s="1"/>
  <c r="AW433" i="28" s="1"/>
  <c r="AX318" i="28"/>
  <c r="BF318" i="28" s="1"/>
  <c r="AT319" i="28"/>
  <c r="AX24" i="28"/>
  <c r="BF20" i="28"/>
  <c r="BF24" i="28" s="1"/>
  <c r="AT261" i="28"/>
  <c r="AT440" i="28" s="1"/>
  <c r="AX18" i="28"/>
  <c r="BF13" i="28"/>
  <c r="AW18" i="28"/>
  <c r="AW261" i="28" s="1"/>
  <c r="BE15" i="28"/>
  <c r="BE18" i="28" s="1"/>
  <c r="AS415" i="28"/>
  <c r="BF449" i="28"/>
  <c r="BE176" i="28"/>
  <c r="BE443" i="28" s="1"/>
  <c r="BE442" i="28"/>
  <c r="BE60" i="28"/>
  <c r="AW64" i="28"/>
  <c r="BE64" i="28" s="1"/>
  <c r="AW45" i="28"/>
  <c r="AS430" i="28"/>
  <c r="AW426" i="28"/>
  <c r="AW430" i="28" s="1"/>
  <c r="AS440" i="28"/>
  <c r="AS439" i="28"/>
  <c r="AS45" i="28"/>
  <c r="BF57" i="28"/>
  <c r="BF58" i="28" s="1"/>
  <c r="AT45" i="28"/>
  <c r="BF18" i="28" l="1"/>
  <c r="BF260" i="28"/>
  <c r="BF433" i="28"/>
  <c r="AW434" i="28"/>
  <c r="AX261" i="28"/>
  <c r="AX440" i="28" s="1"/>
  <c r="BF261" i="28"/>
  <c r="BF440" i="28" s="1"/>
  <c r="BF319" i="28"/>
  <c r="BF451" i="28" s="1"/>
  <c r="AX319" i="28"/>
  <c r="AW440" i="28"/>
  <c r="AW439" i="28"/>
  <c r="BF450" i="28"/>
  <c r="BE454" i="28"/>
  <c r="BE415" i="28"/>
  <c r="BE455" i="28" s="1"/>
  <c r="BE444" i="28"/>
  <c r="BE261" i="28"/>
  <c r="BE448" i="28" s="1"/>
  <c r="BE446" i="28"/>
  <c r="BE450" i="28"/>
  <c r="BE319" i="28"/>
  <c r="BE451" i="28" s="1"/>
  <c r="AX176" i="28"/>
  <c r="BF176" i="28"/>
  <c r="AS434" i="28"/>
  <c r="AS433" i="28"/>
  <c r="BE42" i="28"/>
  <c r="BE45" i="28" s="1"/>
  <c r="BE426" i="28"/>
  <c r="BE430" i="28" s="1"/>
  <c r="BF41" i="28"/>
  <c r="BF45" i="28" s="1"/>
  <c r="BF448" i="28" l="1"/>
  <c r="BF452" i="28"/>
  <c r="BF444" i="28"/>
  <c r="BE456" i="28"/>
  <c r="BE440" i="28"/>
  <c r="BE439" i="28"/>
  <c r="BE447" i="28"/>
  <c r="BE452" i="28"/>
  <c r="BE434" i="28"/>
  <c r="BE433" i="28"/>
  <c r="G130" i="10"/>
  <c r="E87" i="9" l="1"/>
  <c r="K11" i="6" l="1"/>
  <c r="J61" i="28" l="1"/>
  <c r="N61" i="28" s="1"/>
  <c r="F62" i="28"/>
  <c r="F65" i="28"/>
  <c r="J49" i="28"/>
  <c r="N49" i="28" s="1"/>
  <c r="F50" i="28"/>
  <c r="F54" i="28"/>
  <c r="J53" i="28"/>
  <c r="N53" i="28" s="1"/>
  <c r="F434" i="28" l="1"/>
  <c r="F455" i="28"/>
  <c r="F454" i="28"/>
  <c r="F439" i="28"/>
  <c r="F447" i="28"/>
  <c r="F446" i="28"/>
  <c r="F436" i="28"/>
  <c r="F443" i="28"/>
  <c r="F442" i="28"/>
  <c r="N50" i="28"/>
  <c r="R49" i="28"/>
  <c r="V49" i="28" s="1"/>
  <c r="V50" i="28" s="1"/>
  <c r="N54" i="28"/>
  <c r="R53" i="28"/>
  <c r="V53" i="28" s="1"/>
  <c r="V54" i="28" s="1"/>
  <c r="V439" i="28" s="1"/>
  <c r="N62" i="28"/>
  <c r="R61" i="28"/>
  <c r="V61" i="28" s="1"/>
  <c r="V62" i="28" s="1"/>
  <c r="V434" i="28" s="1"/>
  <c r="J50" i="28"/>
  <c r="F66" i="28"/>
  <c r="F67" i="28" s="1"/>
  <c r="J65" i="28"/>
  <c r="N65" i="28" s="1"/>
  <c r="J54" i="28"/>
  <c r="J439" i="28" s="1"/>
  <c r="J62" i="28"/>
  <c r="J434" i="28" s="1"/>
  <c r="R65" i="28" l="1"/>
  <c r="V65" i="28" s="1"/>
  <c r="V66" i="28" s="1"/>
  <c r="V67" i="28" s="1"/>
  <c r="N434" i="28"/>
  <c r="N455" i="28"/>
  <c r="N454" i="28"/>
  <c r="N443" i="28"/>
  <c r="N442" i="28"/>
  <c r="N439" i="28"/>
  <c r="N447" i="28"/>
  <c r="N446" i="28"/>
  <c r="R54" i="28"/>
  <c r="R439" i="28" s="1"/>
  <c r="R62" i="28"/>
  <c r="R434" i="28" s="1"/>
  <c r="R50" i="28"/>
  <c r="R66" i="28"/>
  <c r="R67" i="28" s="1"/>
  <c r="N66" i="28"/>
  <c r="N67" i="28" s="1"/>
  <c r="J66" i="28"/>
  <c r="J67" i="28" s="1"/>
  <c r="AB65" i="28" l="1"/>
  <c r="AF65" i="28" s="1"/>
  <c r="AB53" i="28"/>
  <c r="AF53" i="28" s="1"/>
  <c r="AB61" i="28"/>
  <c r="AF61" i="28" s="1"/>
  <c r="AJ61" i="28" s="1"/>
  <c r="AP61" i="28" s="1"/>
  <c r="AB49" i="28"/>
  <c r="AF49" i="28" s="1"/>
  <c r="E95" i="9"/>
  <c r="AJ65" i="28" l="1"/>
  <c r="AF66" i="28"/>
  <c r="AF67" i="28" s="1"/>
  <c r="AB66" i="28"/>
  <c r="AB67" i="28" s="1"/>
  <c r="AP62" i="28"/>
  <c r="AP434" i="28" s="1"/>
  <c r="AT61" i="28"/>
  <c r="AX61" i="28" s="1"/>
  <c r="AX62" i="28" s="1"/>
  <c r="AX434" i="28" s="1"/>
  <c r="AF62" i="28"/>
  <c r="AF434" i="28" s="1"/>
  <c r="AJ62" i="28"/>
  <c r="AJ434" i="28" s="1"/>
  <c r="AF54" i="28"/>
  <c r="AF439" i="28" s="1"/>
  <c r="AJ53" i="28"/>
  <c r="AF50" i="28"/>
  <c r="AJ49" i="28"/>
  <c r="AB62" i="28"/>
  <c r="AB50" i="28"/>
  <c r="AB54" i="28"/>
  <c r="E15" i="8"/>
  <c r="AJ66" i="28" l="1"/>
  <c r="AJ67" i="28" s="1"/>
  <c r="AP65" i="28"/>
  <c r="AB434" i="28"/>
  <c r="AB455" i="28"/>
  <c r="AB454" i="28"/>
  <c r="AB439" i="28"/>
  <c r="AB447" i="28"/>
  <c r="AB446" i="28"/>
  <c r="AB442" i="28"/>
  <c r="AB443" i="28"/>
  <c r="AJ54" i="28"/>
  <c r="AJ439" i="28" s="1"/>
  <c r="AP53" i="28"/>
  <c r="AJ50" i="28"/>
  <c r="AP49" i="28"/>
  <c r="AT65" i="28" l="1"/>
  <c r="AP66" i="28"/>
  <c r="AP67" i="28" s="1"/>
  <c r="AP50" i="28"/>
  <c r="AT49" i="28"/>
  <c r="AX49" i="28" s="1"/>
  <c r="AX50" i="28" s="1"/>
  <c r="AP54" i="28"/>
  <c r="AP439" i="28" s="1"/>
  <c r="AT53" i="28"/>
  <c r="AX53" i="28" s="1"/>
  <c r="AX54" i="28" s="1"/>
  <c r="AX439" i="28" s="1"/>
  <c r="AT62" i="28"/>
  <c r="AT434" i="28" s="1"/>
  <c r="AX65" i="28" l="1"/>
  <c r="AT66" i="28"/>
  <c r="AT67" i="28" s="1"/>
  <c r="AT50" i="28"/>
  <c r="AT54" i="28"/>
  <c r="AT439" i="28" s="1"/>
  <c r="BF61" i="28"/>
  <c r="BF62" i="28" s="1"/>
  <c r="BF53" i="28"/>
  <c r="BF54" i="28" s="1"/>
  <c r="BF49" i="28"/>
  <c r="BF50" i="28" s="1"/>
  <c r="BF443" i="28" s="1"/>
  <c r="AX66" i="28" l="1"/>
  <c r="AX67" i="28" s="1"/>
  <c r="BF65" i="28"/>
  <c r="BF447" i="28"/>
  <c r="BF446" i="28"/>
  <c r="BF439" i="28"/>
  <c r="BF434" i="28"/>
  <c r="BF455" i="28"/>
  <c r="BF454" i="28"/>
  <c r="BF442" i="28"/>
  <c r="BB6" i="24"/>
  <c r="BB8" i="24"/>
  <c r="BA8" i="24"/>
  <c r="BB7" i="24"/>
  <c r="BA7" i="24"/>
  <c r="BF66" i="28" l="1"/>
  <c r="BF67" i="28" s="1"/>
  <c r="J27" i="22"/>
  <c r="N27" i="22" s="1"/>
  <c r="F28" i="22"/>
  <c r="F64" i="22" s="1"/>
  <c r="F65" i="22" s="1"/>
  <c r="F66" i="22" s="1"/>
  <c r="E40" i="48" s="1"/>
  <c r="J13" i="22"/>
  <c r="R27" i="22" l="1"/>
  <c r="V27" i="22" s="1"/>
  <c r="N13" i="22"/>
  <c r="R13" i="22" l="1"/>
  <c r="V13" i="22" s="1"/>
  <c r="AB27" i="22"/>
  <c r="AF27" i="22" s="1"/>
  <c r="AJ27" i="22" s="1"/>
  <c r="AP27" i="22" s="1"/>
  <c r="AT27" i="22" l="1"/>
  <c r="AB13" i="22"/>
  <c r="AX27" i="22" l="1"/>
  <c r="BF27" i="22" s="1"/>
  <c r="AF13" i="22"/>
  <c r="AJ13" i="22" s="1"/>
  <c r="AP13" i="22" s="1"/>
  <c r="AT13" i="22" l="1"/>
  <c r="AN8" i="24"/>
  <c r="BD8" i="24" s="1"/>
  <c r="AM8" i="24"/>
  <c r="BC8" i="24" s="1"/>
  <c r="AN7" i="24"/>
  <c r="BD7" i="24" s="1"/>
  <c r="AM7" i="24"/>
  <c r="BC7" i="24" s="1"/>
  <c r="AN6" i="24"/>
  <c r="BD6" i="24" s="1"/>
  <c r="AX13" i="22" l="1"/>
  <c r="BF13" i="22" s="1"/>
  <c r="AO82" i="6"/>
  <c r="AS82" i="6" s="1"/>
  <c r="AW82" i="6" s="1"/>
  <c r="BE82" i="6" s="1"/>
  <c r="U95" i="6"/>
  <c r="AP82" i="6" l="1"/>
  <c r="AT82" i="6" s="1"/>
  <c r="AX82" i="6" s="1"/>
  <c r="BF82" i="6" s="1"/>
  <c r="AA67" i="6"/>
  <c r="AE67" i="6" s="1"/>
  <c r="AI67" i="6" s="1"/>
  <c r="AO67" i="6" l="1"/>
  <c r="AS67" i="6" s="1"/>
  <c r="AW67" i="6" s="1"/>
  <c r="BE67" i="6" s="1"/>
  <c r="AA95" i="6"/>
  <c r="AE95" i="6" s="1"/>
  <c r="AI95" i="6" s="1"/>
  <c r="AB67" i="6"/>
  <c r="AF67" i="6" s="1"/>
  <c r="AJ67" i="6" s="1"/>
  <c r="V95" i="6"/>
  <c r="AP67" i="6" l="1"/>
  <c r="AT67" i="6" s="1"/>
  <c r="AX67" i="6" s="1"/>
  <c r="BF67" i="6" s="1"/>
  <c r="AB95" i="6"/>
  <c r="AO95" i="6"/>
  <c r="AS95" i="6" s="1"/>
  <c r="V183" i="6"/>
  <c r="T183" i="6"/>
  <c r="AW95" i="6" l="1"/>
  <c r="BE95" i="6" s="1"/>
  <c r="AF95" i="6"/>
  <c r="Z7" i="24"/>
  <c r="Z8" i="24"/>
  <c r="Y7" i="24"/>
  <c r="Y8" i="24"/>
  <c r="Z6" i="24"/>
  <c r="Y6" i="24"/>
  <c r="AJ95" i="6" l="1"/>
  <c r="AF183" i="6"/>
  <c r="AP95" i="6" l="1"/>
  <c r="AT95" i="6" s="1"/>
  <c r="X57" i="17"/>
  <c r="X56" i="17"/>
  <c r="AX95" i="6" l="1"/>
  <c r="BF95" i="6" s="1"/>
  <c r="X58" i="17"/>
  <c r="X89" i="17" s="1"/>
  <c r="G196" i="6"/>
  <c r="I196" i="6"/>
  <c r="K196" i="6"/>
  <c r="M196" i="6"/>
  <c r="O196" i="6"/>
  <c r="Q196" i="6"/>
  <c r="E196" i="6"/>
  <c r="G195" i="6"/>
  <c r="I195" i="6"/>
  <c r="K195" i="6"/>
  <c r="M195" i="6"/>
  <c r="O195" i="6"/>
  <c r="Q195" i="6"/>
  <c r="E195" i="6"/>
  <c r="G194" i="6"/>
  <c r="I194" i="6"/>
  <c r="K194" i="6"/>
  <c r="M194" i="6"/>
  <c r="O194" i="6"/>
  <c r="Q194" i="6"/>
  <c r="E194" i="6"/>
  <c r="G190" i="6"/>
  <c r="I190" i="6"/>
  <c r="K190" i="6"/>
  <c r="M190" i="6"/>
  <c r="O190" i="6"/>
  <c r="Q190" i="6"/>
  <c r="E190" i="6"/>
  <c r="G188" i="6"/>
  <c r="I188" i="6"/>
  <c r="K188" i="6"/>
  <c r="M188" i="6"/>
  <c r="O188" i="6"/>
  <c r="Q188" i="6"/>
  <c r="E188" i="6"/>
  <c r="G187" i="6"/>
  <c r="I187" i="6"/>
  <c r="K187" i="6"/>
  <c r="M187" i="6"/>
  <c r="O187" i="6"/>
  <c r="Q187" i="6"/>
  <c r="E187" i="6"/>
  <c r="G186" i="6"/>
  <c r="I186" i="6"/>
  <c r="K186" i="6"/>
  <c r="M186" i="6"/>
  <c r="O186" i="6"/>
  <c r="Q186" i="6"/>
  <c r="E186" i="6"/>
  <c r="G185" i="6"/>
  <c r="I185" i="6"/>
  <c r="K185" i="6"/>
  <c r="M185" i="6"/>
  <c r="O185" i="6"/>
  <c r="Q185" i="6"/>
  <c r="E185" i="6"/>
  <c r="G184" i="6"/>
  <c r="I184" i="6"/>
  <c r="K184" i="6"/>
  <c r="M184" i="6"/>
  <c r="O184" i="6"/>
  <c r="Q184" i="6"/>
  <c r="E184" i="6"/>
  <c r="G183" i="6"/>
  <c r="I183" i="6"/>
  <c r="K183" i="6"/>
  <c r="M183" i="6"/>
  <c r="O183" i="6"/>
  <c r="Q183" i="6"/>
  <c r="E183" i="6"/>
  <c r="G182" i="6"/>
  <c r="I182" i="6"/>
  <c r="K182" i="6"/>
  <c r="M182" i="6"/>
  <c r="O182" i="6"/>
  <c r="Q182" i="6"/>
  <c r="E182" i="6"/>
  <c r="X59" i="17" l="1"/>
  <c r="X61" i="17"/>
  <c r="P185" i="6"/>
  <c r="O192" i="6" l="1"/>
  <c r="O197" i="6"/>
  <c r="O189" i="6" l="1"/>
  <c r="O12" i="21"/>
  <c r="O460" i="28" l="1"/>
  <c r="O459" i="28"/>
  <c r="O193" i="6"/>
  <c r="O198" i="6" s="1"/>
  <c r="H14" i="15" l="1"/>
  <c r="L14" i="15" s="1"/>
  <c r="P12" i="15" l="1"/>
  <c r="T12" i="15"/>
  <c r="P14" i="15"/>
  <c r="T14" i="15" s="1"/>
  <c r="L12" i="15"/>
  <c r="H12" i="15"/>
  <c r="Z14" i="15" l="1"/>
  <c r="AD14" i="15" l="1"/>
  <c r="AH14" i="15" s="1"/>
  <c r="AL14" i="15" l="1"/>
  <c r="BB14" i="15" s="1"/>
  <c r="AN14" i="15"/>
  <c r="AR14" i="15" s="1"/>
  <c r="AV14" i="15" s="1"/>
  <c r="BD14" i="15" s="1"/>
  <c r="Z12" i="15"/>
  <c r="AN10" i="15" l="1"/>
  <c r="AR10" i="15" s="1"/>
  <c r="AR12" i="15" l="1"/>
  <c r="AV10" i="15"/>
  <c r="AN12" i="15"/>
  <c r="I14" i="7"/>
  <c r="AV12" i="15" l="1"/>
  <c r="BD10" i="15"/>
  <c r="BD12" i="15" s="1"/>
  <c r="M14" i="7"/>
  <c r="J14" i="7"/>
  <c r="Q14" i="7" l="1"/>
  <c r="N14" i="7"/>
  <c r="U14" i="7" l="1"/>
  <c r="AA14" i="7" s="1"/>
  <c r="AE14" i="7" s="1"/>
  <c r="AI14" i="7" s="1"/>
  <c r="AO14" i="7" s="1"/>
  <c r="R14" i="7"/>
  <c r="V14" i="7" s="1"/>
  <c r="AB14" i="7" s="1"/>
  <c r="AF14" i="7" s="1"/>
  <c r="AJ14" i="7" s="1"/>
  <c r="AP14" i="7" s="1"/>
  <c r="AT14" i="7" l="1"/>
  <c r="AX14" i="7" s="1"/>
  <c r="AS14" i="7"/>
  <c r="AW14" i="7" s="1"/>
  <c r="BE14" i="7" l="1"/>
  <c r="I54" i="8"/>
  <c r="M54" i="8" s="1"/>
  <c r="Q54" i="8" s="1"/>
  <c r="U54" i="8" l="1"/>
  <c r="AA54" i="8" s="1"/>
  <c r="AE54" i="8" l="1"/>
  <c r="BF14" i="7"/>
  <c r="J60" i="8"/>
  <c r="AI54" i="8" l="1"/>
  <c r="AO54" i="8" s="1"/>
  <c r="AS54" i="8" s="1"/>
  <c r="AW54" i="8" s="1"/>
  <c r="BE54" i="8" s="1"/>
  <c r="N60" i="8"/>
  <c r="L185" i="6"/>
  <c r="R60" i="8" l="1"/>
  <c r="V60" i="8" s="1"/>
  <c r="AB60" i="8" l="1"/>
  <c r="AF60" i="8" s="1"/>
  <c r="AJ60" i="8" s="1"/>
  <c r="I8" i="24" l="1"/>
  <c r="M8" i="24" s="1"/>
  <c r="Q8" i="24" s="1"/>
  <c r="U8" i="24" s="1"/>
  <c r="AA8" i="24" s="1"/>
  <c r="AE8" i="24" s="1"/>
  <c r="AI8" i="24" s="1"/>
  <c r="AO8" i="24" s="1"/>
  <c r="AS8" i="24" s="1"/>
  <c r="AW8" i="24" s="1"/>
  <c r="BE8" i="24" s="1"/>
  <c r="I7" i="24"/>
  <c r="M7" i="24" s="1"/>
  <c r="Q7" i="24" s="1"/>
  <c r="U7" i="24" s="1"/>
  <c r="AA7" i="24" s="1"/>
  <c r="AE7" i="24" s="1"/>
  <c r="AI7" i="24" s="1"/>
  <c r="AO7" i="24" s="1"/>
  <c r="AS7" i="24" s="1"/>
  <c r="AW7" i="24" s="1"/>
  <c r="BE7" i="24" s="1"/>
  <c r="I6" i="24"/>
  <c r="M6" i="24" s="1"/>
  <c r="Q6" i="24" s="1"/>
  <c r="U6" i="24" s="1"/>
  <c r="AP60" i="8" l="1"/>
  <c r="AT60" i="8" s="1"/>
  <c r="AA6" i="24"/>
  <c r="AE6" i="24" s="1"/>
  <c r="AI6" i="24" s="1"/>
  <c r="AO6" i="24" s="1"/>
  <c r="AS6" i="24" s="1"/>
  <c r="AW6" i="24" s="1"/>
  <c r="BE6" i="24" s="1"/>
  <c r="J7" i="24"/>
  <c r="N7" i="24" s="1"/>
  <c r="R7" i="24" s="1"/>
  <c r="V7" i="24" s="1"/>
  <c r="AB7" i="24" s="1"/>
  <c r="AF7" i="24" s="1"/>
  <c r="AJ7" i="24" s="1"/>
  <c r="AP7" i="24" s="1"/>
  <c r="AT7" i="24" s="1"/>
  <c r="AX7" i="24" s="1"/>
  <c r="BF7" i="24" s="1"/>
  <c r="J8" i="24"/>
  <c r="N8" i="24" s="1"/>
  <c r="R8" i="24" s="1"/>
  <c r="V8" i="24" s="1"/>
  <c r="AB8" i="24" s="1"/>
  <c r="AF8" i="24" s="1"/>
  <c r="AJ8" i="24" s="1"/>
  <c r="AP8" i="24" s="1"/>
  <c r="AT8" i="24" s="1"/>
  <c r="AX8" i="24" s="1"/>
  <c r="BF8" i="24" s="1"/>
  <c r="J6" i="24"/>
  <c r="N6" i="24" s="1"/>
  <c r="R6" i="24" s="1"/>
  <c r="V6" i="24" s="1"/>
  <c r="AB6" i="24" s="1"/>
  <c r="AF6" i="24" s="1"/>
  <c r="AJ6" i="24" s="1"/>
  <c r="AP6" i="24" s="1"/>
  <c r="AT6" i="24" s="1"/>
  <c r="AX6" i="24" s="1"/>
  <c r="BF6" i="24" s="1"/>
  <c r="AX60" i="8" l="1"/>
  <c r="BF60" i="8" s="1"/>
  <c r="H185" i="6" l="1"/>
  <c r="F185" i="6"/>
  <c r="H196" i="6"/>
  <c r="N185" i="6" l="1"/>
  <c r="J185" i="6"/>
  <c r="R185" i="6" l="1"/>
  <c r="J54" i="8"/>
  <c r="N54" i="8" l="1"/>
  <c r="R54" i="8" l="1"/>
  <c r="V54" i="8" s="1"/>
  <c r="AB54" i="8" l="1"/>
  <c r="AF54" i="8" s="1"/>
  <c r="AJ54" i="8" s="1"/>
  <c r="I11" i="7" l="1"/>
  <c r="M11" i="7" l="1"/>
  <c r="AP54" i="8" l="1"/>
  <c r="AT54" i="8" s="1"/>
  <c r="AX54" i="8" s="1"/>
  <c r="Q11" i="7"/>
  <c r="U11" i="7" s="1"/>
  <c r="AA11" i="7" s="1"/>
  <c r="AE11" i="7" s="1"/>
  <c r="AI11" i="7" s="1"/>
  <c r="AO11" i="7" s="1"/>
  <c r="AS11" i="7" l="1"/>
  <c r="AW11" i="7" s="1"/>
  <c r="BF54" i="8"/>
  <c r="BE11" i="7" l="1"/>
  <c r="J6" i="21" l="1"/>
  <c r="N6" i="21" s="1"/>
  <c r="AB6" i="21" s="1"/>
  <c r="I6" i="21"/>
  <c r="M6" i="21" s="1"/>
  <c r="Q6" i="21" l="1"/>
  <c r="U6" i="21" s="1"/>
  <c r="AA6" i="21"/>
  <c r="R6" i="21"/>
  <c r="V6" i="21" s="1"/>
  <c r="J18" i="21"/>
  <c r="N18" i="21" s="1"/>
  <c r="E12" i="21"/>
  <c r="R18" i="21" l="1"/>
  <c r="V18" i="21" s="1"/>
  <c r="AB18" i="21"/>
  <c r="E15" i="21"/>
  <c r="E459" i="28"/>
  <c r="E460" i="28"/>
  <c r="AF18" i="21"/>
  <c r="AJ18" i="21" s="1"/>
  <c r="AP18" i="21" s="1"/>
  <c r="AE6" i="21"/>
  <c r="AI6" i="21" s="1"/>
  <c r="J53" i="8"/>
  <c r="N53" i="8" s="1"/>
  <c r="R53" i="8" s="1"/>
  <c r="AO6" i="21" l="1"/>
  <c r="AS6" i="21" s="1"/>
  <c r="AT18" i="21"/>
  <c r="AX18" i="21" s="1"/>
  <c r="BF18" i="21" s="1"/>
  <c r="AF6" i="21"/>
  <c r="AJ6" i="21" s="1"/>
  <c r="AP6" i="21" s="1"/>
  <c r="AT6" i="21" s="1"/>
  <c r="V53" i="8"/>
  <c r="AB53" i="8" s="1"/>
  <c r="J32" i="7"/>
  <c r="J55" i="8"/>
  <c r="N55" i="8" s="1"/>
  <c r="R55" i="8" s="1"/>
  <c r="J52" i="8"/>
  <c r="AX6" i="21" l="1"/>
  <c r="BF6" i="21" s="1"/>
  <c r="AW6" i="21"/>
  <c r="BE6" i="21" s="1"/>
  <c r="AF53" i="8"/>
  <c r="AJ53" i="8" s="1"/>
  <c r="AP53" i="8" s="1"/>
  <c r="V55" i="8"/>
  <c r="AB55" i="8" s="1"/>
  <c r="N52" i="8"/>
  <c r="N32" i="7"/>
  <c r="J56" i="8"/>
  <c r="AT53" i="8" l="1"/>
  <c r="AX53" i="8" s="1"/>
  <c r="BF53" i="8" s="1"/>
  <c r="AF55" i="8"/>
  <c r="N56" i="8"/>
  <c r="R52" i="8"/>
  <c r="V52" i="8" s="1"/>
  <c r="R32" i="7"/>
  <c r="V32" i="7" s="1"/>
  <c r="AJ55" i="8" l="1"/>
  <c r="AP55" i="8" s="1"/>
  <c r="AB32" i="7"/>
  <c r="AF32" i="7" s="1"/>
  <c r="AJ32" i="7" s="1"/>
  <c r="AP32" i="7" s="1"/>
  <c r="AB52" i="8"/>
  <c r="AF52" i="8" s="1"/>
  <c r="AJ52" i="8" s="1"/>
  <c r="R56" i="8"/>
  <c r="V56" i="8" s="1"/>
  <c r="AT55" i="8" l="1"/>
  <c r="AX55" i="8" s="1"/>
  <c r="BF55" i="8" s="1"/>
  <c r="AT32" i="7"/>
  <c r="AX32" i="7" s="1"/>
  <c r="AB56" i="8"/>
  <c r="AF56" i="8" s="1"/>
  <c r="AJ56" i="8" s="1"/>
  <c r="D57" i="17"/>
  <c r="AP52" i="8" l="1"/>
  <c r="AT52" i="8" s="1"/>
  <c r="J11" i="7"/>
  <c r="AX52" i="8" l="1"/>
  <c r="BF52" i="8" s="1"/>
  <c r="BF32" i="7"/>
  <c r="AP56" i="8"/>
  <c r="AT56" i="8" s="1"/>
  <c r="N11" i="7"/>
  <c r="AX56" i="8" l="1"/>
  <c r="BF56" i="8" s="1"/>
  <c r="R11" i="7"/>
  <c r="V11" i="7" s="1"/>
  <c r="AB11" i="7" s="1"/>
  <c r="AF11" i="7" s="1"/>
  <c r="AJ11" i="7" s="1"/>
  <c r="AP11" i="7" s="1"/>
  <c r="AT11" i="7" l="1"/>
  <c r="AX11" i="7" s="1"/>
  <c r="K33" i="22"/>
  <c r="BF11" i="7" l="1"/>
  <c r="E21" i="22"/>
  <c r="E22" i="22" s="1"/>
  <c r="E24" i="22" s="1"/>
  <c r="E25" i="22" s="1"/>
  <c r="E7" i="22"/>
  <c r="E8" i="22" s="1"/>
  <c r="E10" i="22" s="1"/>
  <c r="E11" i="22" s="1"/>
  <c r="E13" i="22" s="1"/>
  <c r="E27" i="22" l="1"/>
  <c r="R187" i="6" l="1"/>
  <c r="P188" i="6"/>
  <c r="P187" i="6"/>
  <c r="N187" i="6"/>
  <c r="J187" i="6"/>
  <c r="L188" i="6"/>
  <c r="L187" i="6"/>
  <c r="H188" i="6"/>
  <c r="H187" i="6"/>
  <c r="F188" i="6"/>
  <c r="F187" i="6"/>
  <c r="AA69" i="6" l="1"/>
  <c r="AE69" i="6" s="1"/>
  <c r="AI69" i="6" s="1"/>
  <c r="AO69" i="6" l="1"/>
  <c r="AS69" i="6" s="1"/>
  <c r="AW69" i="6" s="1"/>
  <c r="BE69" i="6" s="1"/>
  <c r="AA96" i="6"/>
  <c r="AE96" i="6" s="1"/>
  <c r="AI96" i="6" s="1"/>
  <c r="AO96" i="6" s="1"/>
  <c r="AS96" i="6" s="1"/>
  <c r="AB69" i="6"/>
  <c r="AF69" i="6" s="1"/>
  <c r="AJ69" i="6" s="1"/>
  <c r="J188" i="6"/>
  <c r="AW96" i="6" l="1"/>
  <c r="BE96" i="6" s="1"/>
  <c r="AP69" i="6"/>
  <c r="AT69" i="6" s="1"/>
  <c r="AX69" i="6" s="1"/>
  <c r="BF69" i="6" s="1"/>
  <c r="AB96" i="6"/>
  <c r="AF96" i="6" s="1"/>
  <c r="AJ96" i="6" s="1"/>
  <c r="AP96" i="6" s="1"/>
  <c r="AT96" i="6" s="1"/>
  <c r="N188" i="6"/>
  <c r="AX96" i="6" l="1"/>
  <c r="BF96" i="6" s="1"/>
  <c r="R188" i="6"/>
  <c r="I63" i="9" l="1"/>
  <c r="J63" i="9"/>
  <c r="I51" i="48" s="1"/>
  <c r="M63" i="9" l="1"/>
  <c r="N63" i="9"/>
  <c r="M51" i="48" s="1"/>
  <c r="Q63" i="9" l="1"/>
  <c r="U63" i="9" s="1"/>
  <c r="R63" i="9"/>
  <c r="Q51" i="48" l="1"/>
  <c r="V63" i="9"/>
  <c r="AB63" i="9" s="1"/>
  <c r="AA63" i="9"/>
  <c r="AE63" i="9" l="1"/>
  <c r="AA51" i="48"/>
  <c r="AF63" i="9"/>
  <c r="AJ63" i="9" s="1"/>
  <c r="U51" i="48"/>
  <c r="AI63" i="9" l="1"/>
  <c r="AI51" i="48"/>
  <c r="AP63" i="9"/>
  <c r="AE51" i="48"/>
  <c r="AO51" i="48" l="1"/>
  <c r="AT63" i="9"/>
  <c r="AO63" i="9"/>
  <c r="AS63" i="9" s="1"/>
  <c r="AX63" i="9" l="1"/>
  <c r="BF63" i="9" s="1"/>
  <c r="AW63" i="9"/>
  <c r="BE63" i="9" s="1"/>
  <c r="AS51" i="48"/>
  <c r="P184" i="6" l="1"/>
  <c r="L184" i="6"/>
  <c r="J184" i="6"/>
  <c r="H184" i="6"/>
  <c r="F184" i="6"/>
  <c r="N184" i="6" l="1"/>
  <c r="R184" i="6" l="1"/>
  <c r="J25" i="22" l="1"/>
  <c r="F24" i="22"/>
  <c r="F23" i="22"/>
  <c r="F51" i="22" s="1"/>
  <c r="F53" i="22" s="1"/>
  <c r="F55" i="22" s="1"/>
  <c r="F56" i="22" s="1"/>
  <c r="E26" i="48" s="1"/>
  <c r="E28" i="48" s="1"/>
  <c r="J22" i="22"/>
  <c r="K21" i="22"/>
  <c r="J21" i="22"/>
  <c r="J11" i="22"/>
  <c r="N11" i="22" s="1"/>
  <c r="F9" i="22"/>
  <c r="F43" i="22" s="1"/>
  <c r="F45" i="22" s="1"/>
  <c r="F47" i="22" s="1"/>
  <c r="F48" i="22" s="1"/>
  <c r="E21" i="48" s="1"/>
  <c r="E23" i="48" s="1"/>
  <c r="J8" i="22"/>
  <c r="N8" i="22" s="1"/>
  <c r="K7" i="22"/>
  <c r="K8" i="22" s="1"/>
  <c r="K10" i="22" s="1"/>
  <c r="K11" i="22" s="1"/>
  <c r="J7" i="22"/>
  <c r="N7" i="22" s="1"/>
  <c r="R7" i="22" s="1"/>
  <c r="V7" i="22" s="1"/>
  <c r="N9" i="22" l="1"/>
  <c r="N22" i="22"/>
  <c r="R22" i="22" s="1"/>
  <c r="V22" i="22" s="1"/>
  <c r="J52" i="22"/>
  <c r="N21" i="22"/>
  <c r="R21" i="22" s="1"/>
  <c r="V21" i="22" s="1"/>
  <c r="R8" i="22"/>
  <c r="J44" i="22"/>
  <c r="N30" i="22"/>
  <c r="N31" i="22"/>
  <c r="N18" i="22"/>
  <c r="N17" i="22"/>
  <c r="R17" i="22" s="1"/>
  <c r="N19" i="22"/>
  <c r="R19" i="22" s="1"/>
  <c r="N16" i="22"/>
  <c r="R16" i="22" s="1"/>
  <c r="K13" i="22"/>
  <c r="J14" i="22"/>
  <c r="J59" i="22" s="1"/>
  <c r="J28" i="22"/>
  <c r="J64" i="22" s="1"/>
  <c r="I7" i="22"/>
  <c r="M7" i="22" s="1"/>
  <c r="Q7" i="22" s="1"/>
  <c r="U7" i="22" s="1"/>
  <c r="J9" i="22"/>
  <c r="J43" i="22" s="1"/>
  <c r="F12" i="22"/>
  <c r="F26" i="22"/>
  <c r="I22" i="22"/>
  <c r="K22" i="22"/>
  <c r="K24" i="22" s="1"/>
  <c r="K25" i="22" s="1"/>
  <c r="K27" i="22" s="1"/>
  <c r="I21" i="22"/>
  <c r="M21" i="22" s="1"/>
  <c r="Q21" i="22" s="1"/>
  <c r="U21" i="22" s="1"/>
  <c r="J23" i="22"/>
  <c r="J51" i="22" s="1"/>
  <c r="J10" i="22"/>
  <c r="N10" i="22" s="1"/>
  <c r="R10" i="22" s="1"/>
  <c r="V10" i="22" s="1"/>
  <c r="N25" i="22"/>
  <c r="R25" i="22" s="1"/>
  <c r="V25" i="22" s="1"/>
  <c r="J24" i="22"/>
  <c r="R9" i="22" l="1"/>
  <c r="V8" i="22"/>
  <c r="V52" i="22"/>
  <c r="V23" i="22"/>
  <c r="V51" i="22" s="1"/>
  <c r="V28" i="22"/>
  <c r="V64" i="22" s="1"/>
  <c r="R31" i="22"/>
  <c r="V31" i="22" s="1"/>
  <c r="R30" i="22"/>
  <c r="V30" i="22" s="1"/>
  <c r="R23" i="22"/>
  <c r="AB10" i="22"/>
  <c r="J12" i="22"/>
  <c r="R28" i="22"/>
  <c r="R64" i="22" s="1"/>
  <c r="R11" i="22"/>
  <c r="V16" i="22" s="1"/>
  <c r="R18" i="22"/>
  <c r="N23" i="22"/>
  <c r="N51" i="22" s="1"/>
  <c r="J53" i="22"/>
  <c r="J55" i="22" s="1"/>
  <c r="J56" i="22" s="1"/>
  <c r="I26" i="48" s="1"/>
  <c r="J45" i="22"/>
  <c r="J47" i="22" s="1"/>
  <c r="J48" i="22" s="1"/>
  <c r="I21" i="48" s="1"/>
  <c r="N44" i="22"/>
  <c r="N43" i="22"/>
  <c r="N52" i="22"/>
  <c r="AA7" i="22"/>
  <c r="AA21" i="22"/>
  <c r="I27" i="22"/>
  <c r="I15" i="22"/>
  <c r="I8" i="22"/>
  <c r="M8" i="22" s="1"/>
  <c r="N14" i="22"/>
  <c r="N59" i="22" s="1"/>
  <c r="N28" i="22"/>
  <c r="N64" i="22" s="1"/>
  <c r="J26" i="22"/>
  <c r="N24" i="22"/>
  <c r="R24" i="22" s="1"/>
  <c r="I23" i="22"/>
  <c r="N12" i="22"/>
  <c r="I24" i="22"/>
  <c r="M24" i="22" s="1"/>
  <c r="M22" i="22"/>
  <c r="I13" i="22"/>
  <c r="I10" i="22"/>
  <c r="M10" i="22" s="1"/>
  <c r="Q10" i="22" s="1"/>
  <c r="U10" i="22" s="1"/>
  <c r="I25" i="22"/>
  <c r="I29" i="22" s="1"/>
  <c r="AE7" i="22" l="1"/>
  <c r="AI7" i="22" s="1"/>
  <c r="AO7" i="22" s="1"/>
  <c r="AS7" i="22" s="1"/>
  <c r="AW7" i="22" s="1"/>
  <c r="V53" i="22"/>
  <c r="V55" i="22" s="1"/>
  <c r="V56" i="22" s="1"/>
  <c r="AE21" i="22"/>
  <c r="AI21" i="22" s="1"/>
  <c r="AO21" i="22" s="1"/>
  <c r="AS21" i="22" s="1"/>
  <c r="AW21" i="22" s="1"/>
  <c r="AF10" i="22"/>
  <c r="AJ10" i="22" s="1"/>
  <c r="AP10" i="22" s="1"/>
  <c r="AT10" i="22" s="1"/>
  <c r="AX10" i="22" s="1"/>
  <c r="BF10" i="22" s="1"/>
  <c r="V18" i="22"/>
  <c r="V17" i="22"/>
  <c r="V19" i="22"/>
  <c r="V44" i="22"/>
  <c r="V9" i="22"/>
  <c r="V43" i="22" s="1"/>
  <c r="R26" i="22"/>
  <c r="V24" i="22"/>
  <c r="V26" i="22" s="1"/>
  <c r="R14" i="22"/>
  <c r="R59" i="22" s="1"/>
  <c r="V11" i="22"/>
  <c r="R12" i="22"/>
  <c r="Q22" i="22"/>
  <c r="Q8" i="22"/>
  <c r="Q24" i="22"/>
  <c r="AA10" i="22"/>
  <c r="N53" i="22"/>
  <c r="N55" i="22" s="1"/>
  <c r="N56" i="22" s="1"/>
  <c r="M26" i="48" s="1"/>
  <c r="AB31" i="22"/>
  <c r="AB30" i="22"/>
  <c r="N45" i="22"/>
  <c r="N47" i="22" s="1"/>
  <c r="N48" i="22" s="1"/>
  <c r="M21" i="48" s="1"/>
  <c r="R44" i="22"/>
  <c r="R43" i="22"/>
  <c r="R51" i="22"/>
  <c r="R52" i="22"/>
  <c r="AB25" i="22"/>
  <c r="AF25" i="22" s="1"/>
  <c r="M13" i="22"/>
  <c r="Q13" i="22" s="1"/>
  <c r="U13" i="22" s="1"/>
  <c r="M27" i="22"/>
  <c r="I28" i="22"/>
  <c r="I9" i="22"/>
  <c r="N26" i="22"/>
  <c r="M9" i="22"/>
  <c r="M23" i="22"/>
  <c r="M25" i="22"/>
  <c r="I26" i="22"/>
  <c r="I11" i="22"/>
  <c r="I14" i="22" s="1"/>
  <c r="BE7" i="22" l="1"/>
  <c r="BE21" i="22"/>
  <c r="AF28" i="22"/>
  <c r="AF64" i="22" s="1"/>
  <c r="AJ25" i="22"/>
  <c r="AF30" i="22"/>
  <c r="AJ30" i="22" s="1"/>
  <c r="AF31" i="22"/>
  <c r="AJ31" i="22" s="1"/>
  <c r="AE10" i="22"/>
  <c r="AI10" i="22" s="1"/>
  <c r="AO10" i="22" s="1"/>
  <c r="AS10" i="22" s="1"/>
  <c r="AW10" i="22" s="1"/>
  <c r="V45" i="22"/>
  <c r="V47" i="22" s="1"/>
  <c r="V48" i="22" s="1"/>
  <c r="V14" i="22"/>
  <c r="V59" i="22" s="1"/>
  <c r="V12" i="22"/>
  <c r="AB17" i="22"/>
  <c r="Q23" i="22"/>
  <c r="U22" i="22"/>
  <c r="U23" i="22" s="1"/>
  <c r="Q9" i="22"/>
  <c r="U8" i="22"/>
  <c r="U9" i="22" s="1"/>
  <c r="U24" i="22"/>
  <c r="AA24" i="22" s="1"/>
  <c r="AB11" i="22"/>
  <c r="AF11" i="22" s="1"/>
  <c r="AJ11" i="22" s="1"/>
  <c r="AP11" i="22" s="1"/>
  <c r="AB18" i="22"/>
  <c r="AB16" i="22"/>
  <c r="AB19" i="22"/>
  <c r="M29" i="22"/>
  <c r="Q25" i="22"/>
  <c r="Q27" i="22"/>
  <c r="R53" i="22"/>
  <c r="R55" i="22" s="1"/>
  <c r="R56" i="22" s="1"/>
  <c r="Q26" i="48" s="1"/>
  <c r="R45" i="22"/>
  <c r="R47" i="22" s="1"/>
  <c r="R48" i="22" s="1"/>
  <c r="Q21" i="48" s="1"/>
  <c r="AB28" i="22"/>
  <c r="AB64" i="22" s="1"/>
  <c r="AB8" i="22"/>
  <c r="AF8" i="22" s="1"/>
  <c r="AJ8" i="22" s="1"/>
  <c r="AP8" i="22" s="1"/>
  <c r="AB7" i="22"/>
  <c r="AF7" i="22" s="1"/>
  <c r="AJ7" i="22" s="1"/>
  <c r="AP7" i="22" s="1"/>
  <c r="AT7" i="22" s="1"/>
  <c r="AX7" i="22" s="1"/>
  <c r="BF7" i="22" s="1"/>
  <c r="AB22" i="22"/>
  <c r="AF22" i="22" s="1"/>
  <c r="AJ22" i="22" s="1"/>
  <c r="AP22" i="22" s="1"/>
  <c r="AB21" i="22"/>
  <c r="AF21" i="22" s="1"/>
  <c r="AJ21" i="22" s="1"/>
  <c r="AP21" i="22" s="1"/>
  <c r="AT21" i="22" s="1"/>
  <c r="AX21" i="22" s="1"/>
  <c r="BF21" i="22" s="1"/>
  <c r="AB24" i="22"/>
  <c r="AF24" i="22" s="1"/>
  <c r="AA13" i="22"/>
  <c r="M26" i="22"/>
  <c r="M28" i="22"/>
  <c r="M11" i="22"/>
  <c r="I12" i="22"/>
  <c r="AP31" i="22" l="1"/>
  <c r="AP30" i="22"/>
  <c r="BE10" i="22"/>
  <c r="AP52" i="22"/>
  <c r="AT22" i="22"/>
  <c r="AP23" i="22"/>
  <c r="AP51" i="22" s="1"/>
  <c r="AT11" i="22"/>
  <c r="AP12" i="22"/>
  <c r="AP14" i="22"/>
  <c r="AP59" i="22" s="1"/>
  <c r="AP60" i="22" s="1"/>
  <c r="AP61" i="22" s="1"/>
  <c r="AJ28" i="22"/>
  <c r="AJ64" i="22" s="1"/>
  <c r="AP25" i="22"/>
  <c r="AP44" i="22"/>
  <c r="AT8" i="22"/>
  <c r="AP9" i="22"/>
  <c r="AP43" i="22" s="1"/>
  <c r="AJ12" i="22"/>
  <c r="AJ14" i="22"/>
  <c r="AJ59" i="22" s="1"/>
  <c r="AJ52" i="22"/>
  <c r="AJ23" i="22"/>
  <c r="AJ51" i="22" s="1"/>
  <c r="AF26" i="22"/>
  <c r="AJ24" i="22"/>
  <c r="AJ44" i="22"/>
  <c r="AJ9" i="22"/>
  <c r="AJ43" i="22" s="1"/>
  <c r="AF16" i="22"/>
  <c r="AJ16" i="22" s="1"/>
  <c r="AP16" i="22" s="1"/>
  <c r="AT16" i="22" s="1"/>
  <c r="AX16" i="22" s="1"/>
  <c r="AE13" i="22"/>
  <c r="AI13" i="22" s="1"/>
  <c r="AO13" i="22" s="1"/>
  <c r="AS13" i="22" s="1"/>
  <c r="AW13" i="22" s="1"/>
  <c r="AF52" i="22"/>
  <c r="AF23" i="22"/>
  <c r="AF51" i="22" s="1"/>
  <c r="AF44" i="22"/>
  <c r="AF9" i="22"/>
  <c r="AF43" i="22" s="1"/>
  <c r="AF19" i="22"/>
  <c r="AJ19" i="22" s="1"/>
  <c r="AP19" i="22" s="1"/>
  <c r="AT19" i="22" s="1"/>
  <c r="AF18" i="22"/>
  <c r="AJ18" i="22" s="1"/>
  <c r="AP18" i="22" s="1"/>
  <c r="AT18" i="22" s="1"/>
  <c r="AE24" i="22"/>
  <c r="AI24" i="22" s="1"/>
  <c r="AO24" i="22" s="1"/>
  <c r="AS24" i="22" s="1"/>
  <c r="AW24" i="22" s="1"/>
  <c r="AF12" i="22"/>
  <c r="AF14" i="22"/>
  <c r="AF59" i="22" s="1"/>
  <c r="AF17" i="22"/>
  <c r="AJ17" i="22" s="1"/>
  <c r="AP17" i="22" s="1"/>
  <c r="AT17" i="22" s="1"/>
  <c r="AX17" i="22" s="1"/>
  <c r="U27" i="22"/>
  <c r="Q26" i="22"/>
  <c r="U25" i="22"/>
  <c r="U26" i="22" s="1"/>
  <c r="AB14" i="22"/>
  <c r="AB59" i="22" s="1"/>
  <c r="AB12" i="22"/>
  <c r="AA8" i="22"/>
  <c r="AE8" i="22" s="1"/>
  <c r="Q28" i="22"/>
  <c r="M14" i="22"/>
  <c r="Q11" i="22"/>
  <c r="U11" i="22" s="1"/>
  <c r="AA22" i="22"/>
  <c r="AE22" i="22" s="1"/>
  <c r="Q29" i="22"/>
  <c r="U26" i="48"/>
  <c r="AB52" i="22"/>
  <c r="AB44" i="22"/>
  <c r="AB9" i="22"/>
  <c r="AB43" i="22" s="1"/>
  <c r="AB26" i="22"/>
  <c r="AB23" i="22"/>
  <c r="AB51" i="22" s="1"/>
  <c r="U21" i="48"/>
  <c r="M15" i="22"/>
  <c r="M12" i="22"/>
  <c r="AX18" i="22" l="1"/>
  <c r="AX19" i="22"/>
  <c r="AJ45" i="22"/>
  <c r="AJ47" i="22" s="1"/>
  <c r="AJ48" i="22" s="1"/>
  <c r="AJ53" i="22"/>
  <c r="AJ55" i="22" s="1"/>
  <c r="AJ56" i="22" s="1"/>
  <c r="BE13" i="22"/>
  <c r="BE24" i="22"/>
  <c r="AJ26" i="22"/>
  <c r="AP24" i="22"/>
  <c r="AT52" i="22"/>
  <c r="AX22" i="22"/>
  <c r="BF22" i="22" s="1"/>
  <c r="AT23" i="22"/>
  <c r="AT51" i="22" s="1"/>
  <c r="AT25" i="22"/>
  <c r="AP28" i="22"/>
  <c r="AP64" i="22" s="1"/>
  <c r="AP65" i="22" s="1"/>
  <c r="AP66" i="22" s="1"/>
  <c r="AP45" i="22"/>
  <c r="AP47" i="22" s="1"/>
  <c r="AP48" i="22" s="1"/>
  <c r="AX11" i="22"/>
  <c r="BF11" i="22" s="1"/>
  <c r="AT12" i="22"/>
  <c r="AT14" i="22"/>
  <c r="AT59" i="22" s="1"/>
  <c r="AT31" i="22"/>
  <c r="AX31" i="22" s="1"/>
  <c r="AT44" i="22"/>
  <c r="AX8" i="22"/>
  <c r="BF8" i="22" s="1"/>
  <c r="AT9" i="22"/>
  <c r="AT43" i="22" s="1"/>
  <c r="AT30" i="22"/>
  <c r="AX30" i="22" s="1"/>
  <c r="AP53" i="22"/>
  <c r="AP55" i="22" s="1"/>
  <c r="AP56" i="22" s="1"/>
  <c r="AE9" i="22"/>
  <c r="AI8" i="22"/>
  <c r="AO8" i="22" s="1"/>
  <c r="AS8" i="22" s="1"/>
  <c r="AE23" i="22"/>
  <c r="AI22" i="22"/>
  <c r="AF45" i="22"/>
  <c r="AF53" i="22"/>
  <c r="AF55" i="22" s="1"/>
  <c r="AF56" i="22" s="1"/>
  <c r="U29" i="22"/>
  <c r="U12" i="22"/>
  <c r="U14" i="22"/>
  <c r="U28" i="22"/>
  <c r="AA25" i="22"/>
  <c r="AA27" i="22"/>
  <c r="Q15" i="22"/>
  <c r="U15" i="22" s="1"/>
  <c r="AA9" i="22"/>
  <c r="AA23" i="22"/>
  <c r="Q12" i="22"/>
  <c r="Q14" i="22"/>
  <c r="AB53" i="22"/>
  <c r="AB55" i="22" s="1"/>
  <c r="AB56" i="22" s="1"/>
  <c r="AA26" i="48" s="1"/>
  <c r="AB45" i="22"/>
  <c r="AB47" i="22" s="1"/>
  <c r="AB48" i="22" s="1"/>
  <c r="AA21" i="48" s="1"/>
  <c r="AA11" i="22"/>
  <c r="AT45" i="22" l="1"/>
  <c r="AT47" i="22" s="1"/>
  <c r="AT48" i="22" s="1"/>
  <c r="BF44" i="22"/>
  <c r="BF9" i="22"/>
  <c r="BF43" i="22" s="1"/>
  <c r="BF45" i="22" s="1"/>
  <c r="BF47" i="22" s="1"/>
  <c r="BF48" i="22" s="1"/>
  <c r="BF16" i="22"/>
  <c r="BF14" i="22"/>
  <c r="BF59" i="22" s="1"/>
  <c r="BF60" i="22" s="1"/>
  <c r="BF61" i="22" s="1"/>
  <c r="BF12" i="22"/>
  <c r="BF17" i="22"/>
  <c r="BF30" i="22"/>
  <c r="BF52" i="22"/>
  <c r="BF23" i="22"/>
  <c r="BF51" i="22" s="1"/>
  <c r="BF19" i="22"/>
  <c r="BF18" i="22"/>
  <c r="AX52" i="22"/>
  <c r="AX23" i="22"/>
  <c r="AX51" i="22" s="1"/>
  <c r="AX53" i="22" s="1"/>
  <c r="AX55" i="22" s="1"/>
  <c r="AX56" i="22" s="1"/>
  <c r="AX9" i="22"/>
  <c r="AX43" i="22" s="1"/>
  <c r="AX44" i="22"/>
  <c r="AX25" i="22"/>
  <c r="BF25" i="22" s="1"/>
  <c r="BF28" i="22" s="1"/>
  <c r="BF64" i="22" s="1"/>
  <c r="BF65" i="22" s="1"/>
  <c r="BF66" i="22" s="1"/>
  <c r="AT26" i="22"/>
  <c r="AT28" i="22"/>
  <c r="AT64" i="22" s="1"/>
  <c r="AP26" i="22"/>
  <c r="AT24" i="22"/>
  <c r="AX24" i="22" s="1"/>
  <c r="BF24" i="22" s="1"/>
  <c r="BF26" i="22" s="1"/>
  <c r="AX12" i="22"/>
  <c r="AX14" i="22"/>
  <c r="AX59" i="22" s="1"/>
  <c r="AT53" i="22"/>
  <c r="AT55" i="22" s="1"/>
  <c r="AT56" i="22" s="1"/>
  <c r="AS9" i="22"/>
  <c r="AW8" i="22"/>
  <c r="BC9" i="22" s="1"/>
  <c r="AI9" i="22"/>
  <c r="AO9" i="22"/>
  <c r="AI23" i="22"/>
  <c r="AO22" i="22"/>
  <c r="AE11" i="22"/>
  <c r="AI11" i="22" s="1"/>
  <c r="AO11" i="22" s="1"/>
  <c r="AS11" i="22" s="1"/>
  <c r="AW11" i="22" s="1"/>
  <c r="AE27" i="22"/>
  <c r="AI27" i="22" s="1"/>
  <c r="AO27" i="22" s="1"/>
  <c r="AS27" i="22" s="1"/>
  <c r="AW27" i="22" s="1"/>
  <c r="AF47" i="22"/>
  <c r="AF48" i="22" s="1"/>
  <c r="AE21" i="48" s="1"/>
  <c r="AE25" i="22"/>
  <c r="AA29" i="22"/>
  <c r="AA28" i="22"/>
  <c r="AA26" i="22"/>
  <c r="AE26" i="48"/>
  <c r="AA15" i="22"/>
  <c r="AA12" i="22"/>
  <c r="AA14" i="22"/>
  <c r="BF31" i="22" l="1"/>
  <c r="AX45" i="22"/>
  <c r="AX47" i="22" s="1"/>
  <c r="AX48" i="22" s="1"/>
  <c r="BF53" i="22"/>
  <c r="BF55" i="22" s="1"/>
  <c r="BF56" i="22" s="1"/>
  <c r="BE27" i="22"/>
  <c r="BE11" i="22"/>
  <c r="BE14" i="22" s="1"/>
  <c r="AW9" i="22"/>
  <c r="BE8" i="22"/>
  <c r="BE9" i="22" s="1"/>
  <c r="AX26" i="22"/>
  <c r="AX28" i="22"/>
  <c r="AX64" i="22" s="1"/>
  <c r="AW12" i="22"/>
  <c r="AW14" i="22"/>
  <c r="AO23" i="22"/>
  <c r="AS22" i="22"/>
  <c r="AS12" i="22"/>
  <c r="AS14" i="22"/>
  <c r="AO12" i="22"/>
  <c r="AO14" i="22"/>
  <c r="AE26" i="22"/>
  <c r="AI25" i="22"/>
  <c r="AI28" i="22" s="1"/>
  <c r="AI12" i="22"/>
  <c r="AI14" i="22"/>
  <c r="AE28" i="22"/>
  <c r="AE12" i="22"/>
  <c r="AE14" i="22"/>
  <c r="AE15" i="22"/>
  <c r="AI15" i="22" s="1"/>
  <c r="AO15" i="22" s="1"/>
  <c r="AS15" i="22" s="1"/>
  <c r="AW15" i="22" s="1"/>
  <c r="BE15" i="22" s="1"/>
  <c r="AE29" i="22"/>
  <c r="AI26" i="48"/>
  <c r="BE12" i="22" l="1"/>
  <c r="BC12" i="22"/>
  <c r="BC14" i="22"/>
  <c r="AS23" i="22"/>
  <c r="AW22" i="22"/>
  <c r="BC23" i="22" s="1"/>
  <c r="AI29" i="22"/>
  <c r="AI26" i="22"/>
  <c r="AO25" i="22"/>
  <c r="AS25" i="22" s="1"/>
  <c r="AW25" i="22" s="1"/>
  <c r="AO21" i="48"/>
  <c r="AI21" i="48"/>
  <c r="AO26" i="48"/>
  <c r="BE25" i="22" l="1"/>
  <c r="BE28" i="22" s="1"/>
  <c r="AW23" i="22"/>
  <c r="BE22" i="22"/>
  <c r="BE23" i="22" s="1"/>
  <c r="AW26" i="22"/>
  <c r="AW28" i="22"/>
  <c r="AS26" i="22"/>
  <c r="AS28" i="22"/>
  <c r="AO29" i="22"/>
  <c r="AS29" i="22" s="1"/>
  <c r="AW29" i="22" s="1"/>
  <c r="AO26" i="22"/>
  <c r="AO28" i="22"/>
  <c r="AS21" i="48"/>
  <c r="AS26" i="48"/>
  <c r="BE26" i="22" l="1"/>
  <c r="BE29" i="22"/>
  <c r="BC26" i="22"/>
  <c r="BC28" i="22"/>
  <c r="J44" i="9"/>
  <c r="J42" i="9"/>
  <c r="N42" i="9" l="1"/>
  <c r="R42" i="9" s="1"/>
  <c r="N44" i="9"/>
  <c r="R44" i="9" s="1"/>
  <c r="V44" i="9" l="1"/>
  <c r="AB44" i="9" s="1"/>
  <c r="V42" i="9"/>
  <c r="O65" i="72" s="1"/>
  <c r="AF44" i="9" l="1"/>
  <c r="AB42" i="9"/>
  <c r="AJ44" i="9" l="1"/>
  <c r="AP44" i="9" s="1"/>
  <c r="AT44" i="9" s="1"/>
  <c r="AX44" i="9" s="1"/>
  <c r="BF44" i="9" s="1"/>
  <c r="AF42" i="9"/>
  <c r="AJ42" i="9" l="1"/>
  <c r="AP42" i="9" s="1"/>
  <c r="AT42" i="9" s="1"/>
  <c r="AX42" i="9" s="1"/>
  <c r="BF42" i="9" s="1"/>
  <c r="G134" i="10"/>
  <c r="J45" i="59" s="1"/>
  <c r="AP77" i="6" l="1"/>
  <c r="AT77" i="6" s="1"/>
  <c r="AB91" i="6"/>
  <c r="AF91" i="6" s="1"/>
  <c r="AJ91" i="6" s="1"/>
  <c r="V195" i="6"/>
  <c r="AX77" i="6" l="1"/>
  <c r="BF77" i="6" s="1"/>
  <c r="AP91" i="6"/>
  <c r="AT91" i="6" s="1"/>
  <c r="AB105" i="6"/>
  <c r="AF105" i="6" s="1"/>
  <c r="AJ105" i="6" s="1"/>
  <c r="AX91" i="6" l="1"/>
  <c r="BF91" i="6" s="1"/>
  <c r="AP105" i="6"/>
  <c r="AT105" i="6" s="1"/>
  <c r="AX105" i="6" l="1"/>
  <c r="BF105" i="6" s="1"/>
  <c r="T195" i="6"/>
  <c r="T197" i="6" s="1"/>
  <c r="AF195" i="6" l="1"/>
  <c r="Q33" i="27"/>
  <c r="U33" i="27" l="1"/>
  <c r="L171" i="6"/>
  <c r="L172" i="6"/>
  <c r="V196" i="6"/>
  <c r="L173" i="6" l="1"/>
  <c r="L170" i="6"/>
  <c r="L174" i="6" l="1"/>
  <c r="L179" i="6" s="1"/>
  <c r="L9" i="36" l="1"/>
  <c r="O10" i="59" s="1"/>
  <c r="T196" i="6" l="1"/>
  <c r="AF196" i="6" l="1"/>
  <c r="Y89" i="17" l="1"/>
  <c r="X51" i="17"/>
  <c r="X47" i="17"/>
  <c r="X48" i="17" s="1"/>
  <c r="X45" i="17"/>
  <c r="X46" i="17" s="1"/>
  <c r="Y15" i="17" l="1"/>
  <c r="Y34" i="17"/>
  <c r="Y43" i="17"/>
  <c r="X43" i="17"/>
  <c r="X52" i="17"/>
  <c r="X113" i="17" s="1"/>
  <c r="X112" i="17"/>
  <c r="Y49" i="17" l="1"/>
  <c r="Y44" i="17"/>
  <c r="X49" i="17"/>
  <c r="X44" i="17"/>
  <c r="X50" i="17" s="1"/>
  <c r="Y32" i="17"/>
  <c r="Y33" i="17"/>
  <c r="Y31" i="17"/>
  <c r="Y29" i="17"/>
  <c r="Y30" i="17"/>
  <c r="X53" i="17" l="1"/>
  <c r="X110" i="17"/>
  <c r="X114" i="17" s="1"/>
  <c r="X54" i="17"/>
  <c r="X111" i="17"/>
  <c r="X115" i="17" s="1"/>
  <c r="Y110" i="17"/>
  <c r="Y114" i="17" s="1"/>
  <c r="Y50" i="17"/>
  <c r="Y111" i="17" s="1"/>
  <c r="Y115" i="17" s="1"/>
  <c r="Y53" i="17"/>
  <c r="O5" i="26" l="1"/>
  <c r="P58" i="7" l="1"/>
  <c r="Z58" i="7" s="1"/>
  <c r="Z60" i="7" s="1"/>
  <c r="P16" i="7"/>
  <c r="P30" i="7" s="1"/>
  <c r="Z30" i="7" s="1"/>
  <c r="P195" i="6"/>
  <c r="P194" i="6"/>
  <c r="P196" i="6"/>
  <c r="P190" i="6"/>
  <c r="P186" i="6"/>
  <c r="P183" i="6"/>
  <c r="P182" i="6"/>
  <c r="Z41" i="7" l="1"/>
  <c r="Z39" i="7"/>
  <c r="O79" i="7"/>
  <c r="O80" i="7"/>
  <c r="O77" i="7"/>
  <c r="O78" i="7"/>
  <c r="O74" i="7"/>
  <c r="R22" i="59" s="1"/>
  <c r="O75" i="7"/>
  <c r="R23" i="59" s="1"/>
  <c r="O84" i="7"/>
  <c r="R25" i="59" s="1"/>
  <c r="P62" i="7"/>
  <c r="P60" i="7"/>
  <c r="P104" i="7" l="1"/>
  <c r="P105" i="7" s="1"/>
  <c r="Z87" i="7"/>
  <c r="Z88" i="7"/>
  <c r="Z90" i="7"/>
  <c r="Z92" i="7"/>
  <c r="Z94" i="7"/>
  <c r="Z93" i="7"/>
  <c r="Z89" i="7"/>
  <c r="Z91" i="7"/>
  <c r="Z72" i="7"/>
  <c r="Z64" i="7"/>
  <c r="Z50" i="7"/>
  <c r="P70" i="7"/>
  <c r="S26" i="59" s="1"/>
  <c r="P67" i="7"/>
  <c r="P65" i="7"/>
  <c r="P49" i="7"/>
  <c r="P45" i="7"/>
  <c r="P41" i="7"/>
  <c r="P24" i="7"/>
  <c r="P79" i="7" s="1"/>
  <c r="P19" i="7"/>
  <c r="P48" i="7"/>
  <c r="P44" i="7"/>
  <c r="P82" i="7" s="1"/>
  <c r="P27" i="7"/>
  <c r="P77" i="7" s="1"/>
  <c r="P23" i="7"/>
  <c r="P78" i="7" s="1"/>
  <c r="P47" i="7"/>
  <c r="P43" i="7"/>
  <c r="P26" i="7"/>
  <c r="P83" i="7" s="1"/>
  <c r="P21" i="7"/>
  <c r="P46" i="7"/>
  <c r="P42" i="7"/>
  <c r="P25" i="7"/>
  <c r="P80" i="7" s="1"/>
  <c r="P20" i="7"/>
  <c r="P76" i="7" s="1"/>
  <c r="S24" i="59" s="1"/>
  <c r="O83" i="7"/>
  <c r="V186" i="6"/>
  <c r="P56" i="7"/>
  <c r="P68" i="7"/>
  <c r="S21" i="59" s="1"/>
  <c r="P63" i="7"/>
  <c r="G61" i="26"/>
  <c r="P84" i="7" l="1"/>
  <c r="S25" i="59" s="1"/>
  <c r="P75" i="7"/>
  <c r="S23" i="59" s="1"/>
  <c r="P107" i="7"/>
  <c r="P108" i="7" s="1"/>
  <c r="P106" i="7"/>
  <c r="P64" i="7"/>
  <c r="V190" i="6"/>
  <c r="P109" i="7" l="1"/>
  <c r="O16" i="48" s="1"/>
  <c r="O18" i="48" s="1"/>
  <c r="V182" i="6"/>
  <c r="P116" i="7" l="1"/>
  <c r="E61" i="26"/>
  <c r="I59" i="26"/>
  <c r="I84" i="17" s="1"/>
  <c r="AA57" i="26" l="1"/>
  <c r="Y57" i="26"/>
  <c r="I61" i="26"/>
  <c r="M59" i="26"/>
  <c r="O29" i="21"/>
  <c r="O22" i="21"/>
  <c r="AA59" i="26" l="1"/>
  <c r="M84" i="17"/>
  <c r="M61" i="26"/>
  <c r="Q59" i="26"/>
  <c r="P33" i="21"/>
  <c r="O15" i="21"/>
  <c r="Y15" i="21" s="1"/>
  <c r="P37" i="21"/>
  <c r="U59" i="26" l="1"/>
  <c r="Q84" i="17"/>
  <c r="AE59" i="26"/>
  <c r="AA84" i="17"/>
  <c r="Q61" i="26"/>
  <c r="AE84" i="17" l="1"/>
  <c r="AE61" i="26"/>
  <c r="AI59" i="26"/>
  <c r="U61" i="26"/>
  <c r="U84" i="17"/>
  <c r="AA61" i="26"/>
  <c r="AI84" i="17" l="1"/>
  <c r="AO59" i="26"/>
  <c r="AI61" i="26"/>
  <c r="O90" i="26"/>
  <c r="AO84" i="17" l="1"/>
  <c r="AS59" i="26"/>
  <c r="AO61" i="26"/>
  <c r="Y77" i="26"/>
  <c r="Y79" i="26"/>
  <c r="Y81" i="26"/>
  <c r="Y83" i="26"/>
  <c r="Y85" i="26"/>
  <c r="Y87" i="26"/>
  <c r="Y76" i="26"/>
  <c r="Y78" i="26"/>
  <c r="Y80" i="26"/>
  <c r="Y82" i="26"/>
  <c r="Y84" i="26"/>
  <c r="Y86" i="26"/>
  <c r="P197" i="6"/>
  <c r="P192" i="6"/>
  <c r="P189" i="6"/>
  <c r="AW59" i="26" l="1"/>
  <c r="BE59" i="26" s="1"/>
  <c r="AS84" i="17"/>
  <c r="AS61" i="26"/>
  <c r="Y88" i="26"/>
  <c r="P193" i="6"/>
  <c r="P198" i="6" s="1"/>
  <c r="BE61" i="26" l="1"/>
  <c r="BE84" i="17"/>
  <c r="AW84" i="17"/>
  <c r="AW61" i="26"/>
  <c r="M19" i="8"/>
  <c r="Q19" i="8" s="1"/>
  <c r="U19" i="8" l="1"/>
  <c r="AA19" i="8" s="1"/>
  <c r="N19" i="8"/>
  <c r="R19" i="8" s="1"/>
  <c r="AE19" i="8" l="1"/>
  <c r="V19" i="8"/>
  <c r="AB19" i="8" s="1"/>
  <c r="AI19" i="8" l="1"/>
  <c r="AO19" i="8" s="1"/>
  <c r="AF19" i="8"/>
  <c r="K13" i="17"/>
  <c r="K11" i="17"/>
  <c r="K21" i="17"/>
  <c r="K15" i="17" s="1"/>
  <c r="AS19" i="8" l="1"/>
  <c r="AW19" i="8" s="1"/>
  <c r="BE19" i="8" s="1"/>
  <c r="AJ19" i="8"/>
  <c r="AP19" i="8" s="1"/>
  <c r="K33" i="17"/>
  <c r="K29" i="17"/>
  <c r="K32" i="17"/>
  <c r="K31" i="17"/>
  <c r="K30" i="17"/>
  <c r="K112" i="17"/>
  <c r="K43" i="17"/>
  <c r="K49" i="17" s="1"/>
  <c r="K53" i="17" s="1"/>
  <c r="K81" i="17"/>
  <c r="K77" i="17"/>
  <c r="K66" i="17"/>
  <c r="K68" i="17" s="1"/>
  <c r="K10" i="17"/>
  <c r="K12" i="17"/>
  <c r="K58" i="17"/>
  <c r="AT19" i="8" l="1"/>
  <c r="AX19" i="8" s="1"/>
  <c r="BF19" i="8" s="1"/>
  <c r="K54" i="17"/>
  <c r="K44" i="17"/>
  <c r="K61" i="17"/>
  <c r="K59" i="17"/>
  <c r="K14" i="17"/>
  <c r="K110" i="17" l="1"/>
  <c r="K114" i="17" s="1"/>
  <c r="K50" i="17"/>
  <c r="L147" i="10" l="1"/>
  <c r="L195" i="6"/>
  <c r="L194" i="6"/>
  <c r="L196" i="6"/>
  <c r="L190" i="6"/>
  <c r="L186" i="6"/>
  <c r="L183" i="6"/>
  <c r="L182" i="6"/>
  <c r="K18" i="7" l="1"/>
  <c r="K74" i="7" s="1"/>
  <c r="N22" i="59" s="1"/>
  <c r="K55" i="7"/>
  <c r="K63" i="7"/>
  <c r="L151" i="10"/>
  <c r="L149" i="10"/>
  <c r="K68" i="7"/>
  <c r="N21" i="59" s="1"/>
  <c r="K67" i="7"/>
  <c r="K70" i="7"/>
  <c r="N26" i="59" s="1"/>
  <c r="L33" i="8"/>
  <c r="L34" i="8"/>
  <c r="K37" i="7"/>
  <c r="K33" i="7"/>
  <c r="K25" i="7"/>
  <c r="K80" i="7" s="1"/>
  <c r="K21" i="7"/>
  <c r="K84" i="7" s="1"/>
  <c r="N25" i="59" s="1"/>
  <c r="K36" i="7"/>
  <c r="K65" i="7" s="1"/>
  <c r="K24" i="7"/>
  <c r="K79" i="7" s="1"/>
  <c r="K20" i="7"/>
  <c r="K76" i="7" s="1"/>
  <c r="N24" i="59" s="1"/>
  <c r="K35" i="7"/>
  <c r="K31" i="7"/>
  <c r="K27" i="7"/>
  <c r="K77" i="7" s="1"/>
  <c r="K23" i="7"/>
  <c r="K78" i="7" s="1"/>
  <c r="K19" i="7"/>
  <c r="K75" i="7" s="1"/>
  <c r="N23" i="59" s="1"/>
  <c r="K38" i="7"/>
  <c r="K34" i="7"/>
  <c r="K26" i="7"/>
  <c r="L16" i="7"/>
  <c r="L30" i="7" s="1"/>
  <c r="L15" i="8"/>
  <c r="L78" i="8"/>
  <c r="L25" i="8"/>
  <c r="L54" i="7"/>
  <c r="L22" i="7" s="1"/>
  <c r="K83" i="7" l="1"/>
  <c r="L104" i="7"/>
  <c r="L105" i="7" s="1"/>
  <c r="L24" i="7"/>
  <c r="L79" i="7" s="1"/>
  <c r="P81" i="7"/>
  <c r="L25" i="7"/>
  <c r="L80" i="7" s="1"/>
  <c r="L65" i="7"/>
  <c r="L45" i="7"/>
  <c r="L47" i="7"/>
  <c r="L44" i="7"/>
  <c r="L82" i="7" s="1"/>
  <c r="L19" i="7"/>
  <c r="L46" i="7"/>
  <c r="L21" i="7"/>
  <c r="L49" i="7"/>
  <c r="L48" i="7"/>
  <c r="L67" i="7"/>
  <c r="L68" i="7"/>
  <c r="O21" i="59" s="1"/>
  <c r="L63" i="7"/>
  <c r="L70" i="7"/>
  <c r="O26" i="59" s="1"/>
  <c r="L26" i="7"/>
  <c r="L83" i="7" s="1"/>
  <c r="L43" i="7"/>
  <c r="L23" i="7"/>
  <c r="L78" i="7" s="1"/>
  <c r="L20" i="7"/>
  <c r="L42" i="7"/>
  <c r="L27" i="7"/>
  <c r="L77" i="7" s="1"/>
  <c r="L18" i="7"/>
  <c r="L74" i="7" s="1"/>
  <c r="O22" i="59" s="1"/>
  <c r="K5" i="26"/>
  <c r="L56" i="7"/>
  <c r="L81" i="7"/>
  <c r="L76" i="7" l="1"/>
  <c r="O24" i="59" s="1"/>
  <c r="L75" i="7"/>
  <c r="O23" i="59" s="1"/>
  <c r="T81" i="7"/>
  <c r="T85" i="7" s="1"/>
  <c r="T28" i="7"/>
  <c r="L106" i="7"/>
  <c r="L107" i="7"/>
  <c r="L108" i="7" s="1"/>
  <c r="P85" i="7"/>
  <c r="P28" i="7"/>
  <c r="L84" i="7"/>
  <c r="O25" i="59" s="1"/>
  <c r="L28" i="7"/>
  <c r="L109" i="7" l="1"/>
  <c r="L85" i="7"/>
  <c r="K52" i="6"/>
  <c r="K44" i="6"/>
  <c r="K41" i="6"/>
  <c r="K12" i="6"/>
  <c r="K16" i="48" l="1"/>
  <c r="K18" i="48" s="1"/>
  <c r="L116" i="7"/>
  <c r="L44" i="6"/>
  <c r="L223" i="6"/>
  <c r="L41" i="6"/>
  <c r="L52" i="6"/>
  <c r="K15" i="6"/>
  <c r="K59" i="6" s="1"/>
  <c r="K138" i="6"/>
  <c r="L138" i="6" l="1"/>
  <c r="L135" i="6"/>
  <c r="K56" i="6"/>
  <c r="K136" i="6"/>
  <c r="L37" i="21"/>
  <c r="K135" i="6"/>
  <c r="L33" i="21"/>
  <c r="K113" i="6" l="1"/>
  <c r="K110" i="6"/>
  <c r="K111" i="6"/>
  <c r="K137" i="6"/>
  <c r="K37" i="6"/>
  <c r="K112" i="6" l="1"/>
  <c r="L160" i="6"/>
  <c r="L14" i="49" s="1"/>
  <c r="L15" i="49" s="1"/>
  <c r="L18" i="49" s="1"/>
  <c r="L19" i="49" s="1"/>
  <c r="L222" i="6"/>
  <c r="L113" i="6"/>
  <c r="L111" i="6"/>
  <c r="L110" i="6"/>
  <c r="L33" i="22"/>
  <c r="K90" i="26"/>
  <c r="L112" i="6" l="1"/>
  <c r="L15" i="36"/>
  <c r="O34" i="59" s="1"/>
  <c r="K197" i="6"/>
  <c r="K192" i="6"/>
  <c r="L7" i="36"/>
  <c r="O8" i="59" s="1"/>
  <c r="L65" i="8" l="1"/>
  <c r="K189" i="6"/>
  <c r="L28" i="6"/>
  <c r="L25" i="6"/>
  <c r="L22" i="6"/>
  <c r="K193" i="6" l="1"/>
  <c r="K198" i="6" s="1"/>
  <c r="L136" i="6" l="1"/>
  <c r="L137" i="6" l="1"/>
  <c r="L8" i="36" s="1"/>
  <c r="O9" i="59" s="1"/>
  <c r="L197" i="6" l="1"/>
  <c r="L192" i="6"/>
  <c r="L189" i="6" l="1"/>
  <c r="L193" i="6" l="1"/>
  <c r="L198" i="6" l="1"/>
  <c r="F195" i="6" l="1"/>
  <c r="F194" i="6"/>
  <c r="H195" i="6"/>
  <c r="J195" i="6" l="1"/>
  <c r="N195" i="6" l="1"/>
  <c r="R195" i="6" l="1"/>
  <c r="D81" i="17" l="1"/>
  <c r="D77" i="17"/>
  <c r="D66" i="17"/>
  <c r="D68" i="17" s="1"/>
  <c r="E81" i="17" l="1"/>
  <c r="E66" i="17"/>
  <c r="E68" i="17" s="1"/>
  <c r="G81" i="17"/>
  <c r="G66" i="17"/>
  <c r="G68" i="17" s="1"/>
  <c r="G77" i="17"/>
  <c r="E77" i="17"/>
  <c r="E16" i="15" l="1"/>
  <c r="Y51" i="26" l="1"/>
  <c r="I93" i="17" l="1"/>
  <c r="M93" i="17" s="1"/>
  <c r="I97" i="17"/>
  <c r="M97" i="17" s="1"/>
  <c r="I101" i="17"/>
  <c r="M101" i="17" s="1"/>
  <c r="I105" i="17"/>
  <c r="M105" i="17" s="1"/>
  <c r="I91" i="17"/>
  <c r="M91" i="17" s="1"/>
  <c r="I92" i="17"/>
  <c r="M92" i="17" s="1"/>
  <c r="I96" i="17"/>
  <c r="M96" i="17" s="1"/>
  <c r="I100" i="17"/>
  <c r="M100" i="17" s="1"/>
  <c r="I104" i="17"/>
  <c r="M104" i="17" s="1"/>
  <c r="I94" i="17"/>
  <c r="M94" i="17" s="1"/>
  <c r="I102" i="17"/>
  <c r="M102" i="17" s="1"/>
  <c r="I98" i="17"/>
  <c r="M98" i="17" s="1"/>
  <c r="I106" i="17"/>
  <c r="M106" i="17" s="1"/>
  <c r="I95" i="17"/>
  <c r="M95" i="17" s="1"/>
  <c r="I99" i="17"/>
  <c r="M99" i="17" s="1"/>
  <c r="I103" i="17"/>
  <c r="M103" i="17" s="1"/>
  <c r="Q96" i="17" l="1"/>
  <c r="Q101" i="17"/>
  <c r="Q92" i="17"/>
  <c r="Q97" i="17"/>
  <c r="U97" i="17" s="1"/>
  <c r="AA97" i="17" s="1"/>
  <c r="Q99" i="17"/>
  <c r="Q95" i="17"/>
  <c r="U95" i="17" s="1"/>
  <c r="AA95" i="17" s="1"/>
  <c r="Q104" i="17"/>
  <c r="Q91" i="17"/>
  <c r="Q93" i="17"/>
  <c r="Q102" i="17"/>
  <c r="Q94" i="17"/>
  <c r="Q106" i="17"/>
  <c r="Q103" i="17"/>
  <c r="Q98" i="17"/>
  <c r="U98" i="17" s="1"/>
  <c r="AA98" i="17" s="1"/>
  <c r="Q100" i="17"/>
  <c r="Q105" i="17"/>
  <c r="AE97" i="17" l="1"/>
  <c r="AE98" i="17"/>
  <c r="AE95" i="17"/>
  <c r="U93" i="17"/>
  <c r="AA93" i="17" s="1"/>
  <c r="U102" i="17"/>
  <c r="AA102" i="17" s="1"/>
  <c r="U100" i="17"/>
  <c r="AA100" i="17" s="1"/>
  <c r="U106" i="17"/>
  <c r="AA106" i="17" s="1"/>
  <c r="U91" i="17"/>
  <c r="AA91" i="17" s="1"/>
  <c r="U99" i="17"/>
  <c r="AA99" i="17" s="1"/>
  <c r="U101" i="17"/>
  <c r="AA101" i="17" s="1"/>
  <c r="U105" i="17"/>
  <c r="AA105" i="17" s="1"/>
  <c r="U103" i="17"/>
  <c r="AA103" i="17" s="1"/>
  <c r="U92" i="17"/>
  <c r="AA92" i="17" s="1"/>
  <c r="U94" i="17"/>
  <c r="AA94" i="17" s="1"/>
  <c r="U104" i="17"/>
  <c r="AA104" i="17" s="1"/>
  <c r="U96" i="17"/>
  <c r="AA96" i="17" s="1"/>
  <c r="H60" i="17"/>
  <c r="L60" i="17" s="1"/>
  <c r="AI95" i="17" l="1"/>
  <c r="AI98" i="17"/>
  <c r="AI97" i="17"/>
  <c r="AE96" i="17"/>
  <c r="AE103" i="17"/>
  <c r="AE91" i="17"/>
  <c r="AE104" i="17"/>
  <c r="AE92" i="17"/>
  <c r="AE105" i="17"/>
  <c r="AE99" i="17"/>
  <c r="AE106" i="17"/>
  <c r="AE102" i="17"/>
  <c r="AE94" i="17"/>
  <c r="AE101" i="17"/>
  <c r="AE100" i="17"/>
  <c r="AE93" i="17"/>
  <c r="P60" i="17"/>
  <c r="I60" i="17"/>
  <c r="M60" i="17" s="1"/>
  <c r="E58" i="17"/>
  <c r="G58" i="17"/>
  <c r="G59" i="17" s="1"/>
  <c r="I57" i="17"/>
  <c r="M57" i="17" s="1"/>
  <c r="I56" i="17"/>
  <c r="M56" i="17" s="1"/>
  <c r="D47" i="17"/>
  <c r="D45" i="17"/>
  <c r="H26" i="17"/>
  <c r="H24" i="17"/>
  <c r="H23" i="17"/>
  <c r="G13" i="17"/>
  <c r="G12" i="17"/>
  <c r="G21" i="17"/>
  <c r="G15" i="17" s="1"/>
  <c r="I20" i="17"/>
  <c r="M20" i="17" s="1"/>
  <c r="I19" i="17"/>
  <c r="M19" i="17" s="1"/>
  <c r="I18" i="17"/>
  <c r="M18" i="17" s="1"/>
  <c r="I17" i="17"/>
  <c r="M17" i="17" s="1"/>
  <c r="H20" i="17"/>
  <c r="L20" i="17" s="1"/>
  <c r="E21" i="17"/>
  <c r="E15" i="17" s="1"/>
  <c r="H7" i="17"/>
  <c r="L7" i="17" s="1"/>
  <c r="I2" i="17"/>
  <c r="H2" i="17"/>
  <c r="AO97" i="17" l="1"/>
  <c r="AS97" i="17" s="1"/>
  <c r="AO98" i="17"/>
  <c r="AS98" i="17" s="1"/>
  <c r="AO95" i="17"/>
  <c r="AS95" i="17" s="1"/>
  <c r="AI94" i="17"/>
  <c r="AI105" i="17"/>
  <c r="AI103" i="17"/>
  <c r="AI93" i="17"/>
  <c r="AI102" i="17"/>
  <c r="AI92" i="17"/>
  <c r="AI96" i="17"/>
  <c r="AI100" i="17"/>
  <c r="AI106" i="17"/>
  <c r="AI104" i="17"/>
  <c r="AI101" i="17"/>
  <c r="AI99" i="17"/>
  <c r="AI91" i="17"/>
  <c r="T60" i="17"/>
  <c r="Z60" i="17" s="1"/>
  <c r="Q17" i="17"/>
  <c r="U17" i="17" s="1"/>
  <c r="Q56" i="17"/>
  <c r="U56" i="17" s="1"/>
  <c r="Q60" i="17"/>
  <c r="P7" i="17"/>
  <c r="T7" i="17" s="1"/>
  <c r="Q57" i="17"/>
  <c r="U57" i="17" s="1"/>
  <c r="Q19" i="17"/>
  <c r="Q18" i="17"/>
  <c r="H79" i="17"/>
  <c r="H73" i="17"/>
  <c r="H65" i="17"/>
  <c r="H80" i="17"/>
  <c r="H74" i="17"/>
  <c r="H76" i="17"/>
  <c r="H72" i="17"/>
  <c r="H64" i="17"/>
  <c r="H70" i="17"/>
  <c r="H75" i="17"/>
  <c r="H71" i="17"/>
  <c r="P20" i="17"/>
  <c r="T20" i="17" s="1"/>
  <c r="Z20" i="17" s="1"/>
  <c r="Q20" i="17"/>
  <c r="L26" i="17"/>
  <c r="P26" i="17" s="1"/>
  <c r="T26" i="17" s="1"/>
  <c r="L24" i="17"/>
  <c r="P24" i="17" s="1"/>
  <c r="T24" i="17" s="1"/>
  <c r="L23" i="17"/>
  <c r="P23" i="17" s="1"/>
  <c r="T23" i="17" s="1"/>
  <c r="G30" i="17"/>
  <c r="G33" i="17"/>
  <c r="G29" i="17"/>
  <c r="G32" i="17"/>
  <c r="G31" i="17"/>
  <c r="E59" i="17"/>
  <c r="E31" i="17"/>
  <c r="E30" i="17"/>
  <c r="E33" i="17"/>
  <c r="E32" i="17"/>
  <c r="I73" i="17"/>
  <c r="I65" i="17"/>
  <c r="I70" i="17"/>
  <c r="I80" i="17"/>
  <c r="I76" i="17"/>
  <c r="I72" i="17"/>
  <c r="I64" i="17"/>
  <c r="I67" i="17"/>
  <c r="I79" i="17"/>
  <c r="I75" i="17"/>
  <c r="I71" i="17"/>
  <c r="I74" i="17"/>
  <c r="I40" i="17"/>
  <c r="I52" i="17"/>
  <c r="I42" i="17"/>
  <c r="I38" i="17"/>
  <c r="I48" i="17"/>
  <c r="I46" i="17"/>
  <c r="L2" i="17"/>
  <c r="P2" i="17" s="1"/>
  <c r="T2" i="17" s="1"/>
  <c r="Z2" i="17" s="1"/>
  <c r="I23" i="17"/>
  <c r="I25" i="17"/>
  <c r="L9" i="17"/>
  <c r="P9" i="17" s="1"/>
  <c r="T9" i="17" s="1"/>
  <c r="I24" i="17"/>
  <c r="H56" i="17"/>
  <c r="L56" i="17" s="1"/>
  <c r="M2" i="17"/>
  <c r="M21" i="17"/>
  <c r="M58" i="17"/>
  <c r="I21" i="17"/>
  <c r="I26" i="17"/>
  <c r="H47" i="17"/>
  <c r="H57" i="17"/>
  <c r="D58" i="17"/>
  <c r="H45" i="17"/>
  <c r="H46" i="17" s="1"/>
  <c r="H12" i="17"/>
  <c r="J66" i="11"/>
  <c r="N66" i="11" s="1"/>
  <c r="AB66" i="11" s="1"/>
  <c r="AF66" i="11" s="1"/>
  <c r="AJ66" i="11" s="1"/>
  <c r="H51" i="17"/>
  <c r="H52" i="17" s="1"/>
  <c r="I58" i="17"/>
  <c r="I61" i="17" s="1"/>
  <c r="G61" i="17"/>
  <c r="E61" i="17"/>
  <c r="E43" i="17"/>
  <c r="G112" i="17"/>
  <c r="H8" i="17"/>
  <c r="L8" i="17" s="1"/>
  <c r="E112" i="17"/>
  <c r="G43" i="17"/>
  <c r="G49" i="17" s="1"/>
  <c r="G53" i="17" s="1"/>
  <c r="G11" i="17"/>
  <c r="I9" i="17"/>
  <c r="E29" i="17"/>
  <c r="I15" i="17"/>
  <c r="I29" i="17" s="1"/>
  <c r="H15" i="17"/>
  <c r="I7" i="17"/>
  <c r="M7" i="17" s="1"/>
  <c r="E13" i="17"/>
  <c r="H25" i="17"/>
  <c r="E11" i="17"/>
  <c r="I8" i="17"/>
  <c r="M8" i="17" s="1"/>
  <c r="E10" i="17"/>
  <c r="G10" i="17"/>
  <c r="AW95" i="17" l="1"/>
  <c r="BE95" i="17" s="1"/>
  <c r="AW98" i="17"/>
  <c r="BE98" i="17" s="1"/>
  <c r="AW97" i="17"/>
  <c r="BE97" i="17" s="1"/>
  <c r="AO104" i="17"/>
  <c r="AS104" i="17" s="1"/>
  <c r="AO92" i="17"/>
  <c r="AS92" i="17" s="1"/>
  <c r="AO105" i="17"/>
  <c r="AS105" i="17" s="1"/>
  <c r="AO91" i="17"/>
  <c r="AS91" i="17" s="1"/>
  <c r="AO106" i="17"/>
  <c r="AS106" i="17" s="1"/>
  <c r="AO102" i="17"/>
  <c r="AS102" i="17" s="1"/>
  <c r="AO94" i="17"/>
  <c r="AS94" i="17" s="1"/>
  <c r="AO99" i="17"/>
  <c r="AS99" i="17" s="1"/>
  <c r="AO100" i="17"/>
  <c r="AS100" i="17" s="1"/>
  <c r="AO93" i="17"/>
  <c r="AS93" i="17" s="1"/>
  <c r="AO101" i="17"/>
  <c r="AS101" i="17" s="1"/>
  <c r="AO96" i="17"/>
  <c r="AS96" i="17" s="1"/>
  <c r="AO103" i="17"/>
  <c r="AS103" i="17" s="1"/>
  <c r="AP66" i="11"/>
  <c r="T13" i="17"/>
  <c r="AD20" i="17"/>
  <c r="AD60" i="17"/>
  <c r="M74" i="17"/>
  <c r="U18" i="17"/>
  <c r="AA18" i="17" s="1"/>
  <c r="U60" i="17"/>
  <c r="AA60" i="17" s="1"/>
  <c r="U19" i="17"/>
  <c r="AA19" i="17" s="1"/>
  <c r="U20" i="17"/>
  <c r="U58" i="17"/>
  <c r="Q58" i="17"/>
  <c r="Q61" i="17" s="1"/>
  <c r="AA56" i="17"/>
  <c r="AE56" i="17" s="1"/>
  <c r="AI56" i="17" s="1"/>
  <c r="AO56" i="17" s="1"/>
  <c r="AS56" i="17" s="1"/>
  <c r="AW56" i="17" s="1"/>
  <c r="BE56" i="17" s="1"/>
  <c r="P8" i="17"/>
  <c r="T8" i="17" s="1"/>
  <c r="M79" i="17"/>
  <c r="M76" i="17"/>
  <c r="M73" i="17"/>
  <c r="H86" i="17"/>
  <c r="L64" i="17"/>
  <c r="P64" i="17" s="1"/>
  <c r="T64" i="17" s="1"/>
  <c r="L80" i="17"/>
  <c r="Q21" i="17"/>
  <c r="Q8" i="17"/>
  <c r="U8" i="17" s="1"/>
  <c r="M80" i="17"/>
  <c r="L71" i="17"/>
  <c r="L72" i="17"/>
  <c r="L65" i="17"/>
  <c r="P65" i="17" s="1"/>
  <c r="T65" i="17" s="1"/>
  <c r="AA57" i="17"/>
  <c r="D61" i="17"/>
  <c r="P56" i="17"/>
  <c r="T56" i="17" s="1"/>
  <c r="M71" i="17"/>
  <c r="M64" i="17"/>
  <c r="M70" i="17"/>
  <c r="L75" i="17"/>
  <c r="L76" i="17"/>
  <c r="L73" i="17"/>
  <c r="Q7" i="17"/>
  <c r="U7" i="17" s="1"/>
  <c r="P13" i="17"/>
  <c r="M75" i="17"/>
  <c r="M72" i="17"/>
  <c r="M65" i="17"/>
  <c r="L70" i="17"/>
  <c r="L74" i="17"/>
  <c r="L79" i="17"/>
  <c r="Z7" i="17"/>
  <c r="AD7" i="17" s="1"/>
  <c r="AH7" i="17" s="1"/>
  <c r="AN7" i="17" s="1"/>
  <c r="E44" i="17"/>
  <c r="E49" i="17"/>
  <c r="E53" i="17" s="1"/>
  <c r="L47" i="17"/>
  <c r="H48" i="17"/>
  <c r="AD2" i="17"/>
  <c r="L25" i="17"/>
  <c r="P25" i="17" s="1"/>
  <c r="T25" i="17" s="1"/>
  <c r="I66" i="17"/>
  <c r="I68" i="17" s="1"/>
  <c r="I77" i="17"/>
  <c r="I32" i="17"/>
  <c r="I86" i="17"/>
  <c r="I89" i="17"/>
  <c r="I33" i="17"/>
  <c r="M40" i="17"/>
  <c r="M38" i="17"/>
  <c r="M48" i="17"/>
  <c r="M52" i="17"/>
  <c r="M46" i="17"/>
  <c r="M42" i="17"/>
  <c r="I30" i="17"/>
  <c r="I81" i="17"/>
  <c r="I34" i="17"/>
  <c r="G110" i="17"/>
  <c r="G114" i="17" s="1"/>
  <c r="G44" i="17"/>
  <c r="I31" i="17"/>
  <c r="M67" i="17"/>
  <c r="R66" i="11"/>
  <c r="V66" i="11" s="1"/>
  <c r="I43" i="17"/>
  <c r="I49" i="17" s="1"/>
  <c r="I53" i="17" s="1"/>
  <c r="M25" i="17"/>
  <c r="Q25" i="17" s="1"/>
  <c r="U25" i="17" s="1"/>
  <c r="M26" i="17"/>
  <c r="Q26" i="17" s="1"/>
  <c r="U26" i="17" s="1"/>
  <c r="M24" i="17"/>
  <c r="Q24" i="17" s="1"/>
  <c r="U24" i="17" s="1"/>
  <c r="M23" i="17"/>
  <c r="Q23" i="17" s="1"/>
  <c r="U23" i="17" s="1"/>
  <c r="L13" i="17"/>
  <c r="H18" i="17"/>
  <c r="L18" i="17" s="1"/>
  <c r="H17" i="17"/>
  <c r="L17" i="17" s="1"/>
  <c r="D59" i="17"/>
  <c r="Q2" i="17"/>
  <c r="H81" i="17"/>
  <c r="H77" i="17"/>
  <c r="H14" i="17"/>
  <c r="L12" i="17"/>
  <c r="P12" i="17" s="1"/>
  <c r="T12" i="17" s="1"/>
  <c r="M15" i="17"/>
  <c r="H29" i="17"/>
  <c r="L15" i="17"/>
  <c r="P15" i="17" s="1"/>
  <c r="M12" i="17"/>
  <c r="M11" i="17"/>
  <c r="L45" i="17"/>
  <c r="H113" i="17"/>
  <c r="L51" i="17"/>
  <c r="H58" i="17"/>
  <c r="H61" i="17" s="1"/>
  <c r="L57" i="17"/>
  <c r="P57" i="17" s="1"/>
  <c r="T57" i="17" s="1"/>
  <c r="L10" i="17"/>
  <c r="M61" i="17"/>
  <c r="M59" i="17"/>
  <c r="I13" i="17"/>
  <c r="M9" i="17"/>
  <c r="Q9" i="17" s="1"/>
  <c r="U9" i="17" s="1"/>
  <c r="I59" i="17"/>
  <c r="H66" i="17"/>
  <c r="H68" i="17" s="1"/>
  <c r="I11" i="17"/>
  <c r="G14" i="17"/>
  <c r="I12" i="17"/>
  <c r="H10" i="17"/>
  <c r="H112" i="17"/>
  <c r="E14" i="17"/>
  <c r="I10" i="17"/>
  <c r="E67" i="11"/>
  <c r="I63" i="11"/>
  <c r="M63" i="11" s="1"/>
  <c r="AA63" i="11" s="1"/>
  <c r="AE63" i="11" s="1"/>
  <c r="AI63" i="11" s="1"/>
  <c r="AO63" i="11" s="1"/>
  <c r="I61" i="11"/>
  <c r="M61" i="11" s="1"/>
  <c r="AA61" i="11" s="1"/>
  <c r="AE61" i="11" s="1"/>
  <c r="AI61" i="11" s="1"/>
  <c r="AO61" i="11" s="1"/>
  <c r="J2" i="11"/>
  <c r="I2" i="11"/>
  <c r="I5" i="11"/>
  <c r="I55" i="11" s="1"/>
  <c r="L47" i="59" s="1"/>
  <c r="E130" i="10"/>
  <c r="I126" i="10"/>
  <c r="M126" i="10" s="1"/>
  <c r="I124" i="10"/>
  <c r="J2" i="10"/>
  <c r="I2" i="10"/>
  <c r="AT66" i="11" l="1"/>
  <c r="AX66" i="11" s="1"/>
  <c r="BF66" i="11" s="1"/>
  <c r="AW93" i="17"/>
  <c r="BE93" i="17" s="1"/>
  <c r="AW102" i="17"/>
  <c r="BE102" i="17" s="1"/>
  <c r="AW92" i="17"/>
  <c r="BE92" i="17" s="1"/>
  <c r="AW103" i="17"/>
  <c r="BE103" i="17" s="1"/>
  <c r="AW100" i="17"/>
  <c r="BE100" i="17" s="1"/>
  <c r="AW106" i="17"/>
  <c r="BE106" i="17" s="1"/>
  <c r="AW104" i="17"/>
  <c r="BE104" i="17" s="1"/>
  <c r="AS63" i="11"/>
  <c r="AW96" i="17"/>
  <c r="BE96" i="17" s="1"/>
  <c r="AW99" i="17"/>
  <c r="BE99" i="17" s="1"/>
  <c r="AW91" i="17"/>
  <c r="BE91" i="17" s="1"/>
  <c r="AS61" i="11"/>
  <c r="AW101" i="17"/>
  <c r="BE101" i="17" s="1"/>
  <c r="AW94" i="17"/>
  <c r="BE94" i="17" s="1"/>
  <c r="AW105" i="17"/>
  <c r="BE105" i="17" s="1"/>
  <c r="AR7" i="17"/>
  <c r="AV7" i="17" s="1"/>
  <c r="BD7" i="17" s="1"/>
  <c r="I22" i="36"/>
  <c r="AO64" i="11"/>
  <c r="AO62" i="11"/>
  <c r="AR48" i="59" s="1"/>
  <c r="AO71" i="11"/>
  <c r="AR49" i="59" s="1"/>
  <c r="AH60" i="17"/>
  <c r="AH20" i="17"/>
  <c r="AI62" i="11"/>
  <c r="AL48" i="59" s="1"/>
  <c r="AI64" i="11"/>
  <c r="AI71" i="11"/>
  <c r="AL49" i="59" s="1"/>
  <c r="AE57" i="17"/>
  <c r="AE19" i="17"/>
  <c r="AE18" i="17"/>
  <c r="AE60" i="17"/>
  <c r="U21" i="17"/>
  <c r="P10" i="17"/>
  <c r="AE64" i="11"/>
  <c r="AE71" i="11"/>
  <c r="AH49" i="59" s="1"/>
  <c r="AE62" i="11"/>
  <c r="AH48" i="59" s="1"/>
  <c r="P79" i="17"/>
  <c r="T79" i="17" s="1"/>
  <c r="Z79" i="17"/>
  <c r="AD79" i="17" s="1"/>
  <c r="P73" i="17"/>
  <c r="T73" i="17" s="1"/>
  <c r="Z73" i="17"/>
  <c r="P71" i="17"/>
  <c r="T71" i="17" s="1"/>
  <c r="Z71" i="17"/>
  <c r="AD71" i="17" s="1"/>
  <c r="P74" i="17"/>
  <c r="T74" i="17" s="1"/>
  <c r="Z74" i="17"/>
  <c r="P76" i="17"/>
  <c r="T76" i="17" s="1"/>
  <c r="Z76" i="17"/>
  <c r="AD76" i="17" s="1"/>
  <c r="P70" i="17"/>
  <c r="T70" i="17" s="1"/>
  <c r="Z70" i="17"/>
  <c r="AD70" i="17" s="1"/>
  <c r="P75" i="17"/>
  <c r="T75" i="17" s="1"/>
  <c r="Z75" i="17"/>
  <c r="AD75" i="17" s="1"/>
  <c r="P80" i="17"/>
  <c r="T80" i="17" s="1"/>
  <c r="Z80" i="17"/>
  <c r="AD80" i="17" s="1"/>
  <c r="P72" i="17"/>
  <c r="T72" i="17" s="1"/>
  <c r="Z72" i="17"/>
  <c r="AD72" i="17" s="1"/>
  <c r="AA64" i="11"/>
  <c r="AA62" i="11"/>
  <c r="AD48" i="59" s="1"/>
  <c r="AA71" i="11"/>
  <c r="AD49" i="59" s="1"/>
  <c r="Q126" i="10"/>
  <c r="U126" i="10" s="1"/>
  <c r="U134" i="10" s="1"/>
  <c r="X45" i="59" s="1"/>
  <c r="AA126" i="10"/>
  <c r="AE126" i="10" s="1"/>
  <c r="AI126" i="10" s="1"/>
  <c r="AO126" i="10" s="1"/>
  <c r="T66" i="17"/>
  <c r="T68" i="17" s="1"/>
  <c r="U112" i="17"/>
  <c r="AA20" i="17"/>
  <c r="T14" i="17"/>
  <c r="U10" i="17"/>
  <c r="P29" i="17"/>
  <c r="T15" i="17"/>
  <c r="T29" i="17" s="1"/>
  <c r="T58" i="17"/>
  <c r="U61" i="17"/>
  <c r="T10" i="17"/>
  <c r="L86" i="17"/>
  <c r="AA58" i="17"/>
  <c r="AA61" i="17" s="1"/>
  <c r="U2" i="17"/>
  <c r="U12" i="17" s="1"/>
  <c r="Q38" i="17"/>
  <c r="Q40" i="17"/>
  <c r="Q48" i="17"/>
  <c r="Q46" i="17"/>
  <c r="Q42" i="17"/>
  <c r="Q52" i="17"/>
  <c r="Q67" i="17"/>
  <c r="Q72" i="17"/>
  <c r="U72" i="17" s="1"/>
  <c r="Q64" i="17"/>
  <c r="H89" i="17"/>
  <c r="Q80" i="17"/>
  <c r="Q76" i="17"/>
  <c r="U76" i="17" s="1"/>
  <c r="Q13" i="17"/>
  <c r="Q75" i="17"/>
  <c r="Q10" i="17"/>
  <c r="Q11" i="17"/>
  <c r="Q71" i="17"/>
  <c r="Q79" i="17"/>
  <c r="Z8" i="17"/>
  <c r="AD8" i="17" s="1"/>
  <c r="AH8" i="17" s="1"/>
  <c r="AN8" i="17" s="1"/>
  <c r="L52" i="17"/>
  <c r="P51" i="17"/>
  <c r="L46" i="17"/>
  <c r="P45" i="17"/>
  <c r="P17" i="17"/>
  <c r="T17" i="17" s="1"/>
  <c r="M89" i="17"/>
  <c r="Q89" i="17" s="1"/>
  <c r="U89" i="17" s="1"/>
  <c r="AA7" i="17"/>
  <c r="AE7" i="17" s="1"/>
  <c r="AI7" i="17" s="1"/>
  <c r="AO7" i="17" s="1"/>
  <c r="P58" i="17"/>
  <c r="AA17" i="17"/>
  <c r="AE17" i="17" s="1"/>
  <c r="AI17" i="17" s="1"/>
  <c r="AO17" i="17" s="1"/>
  <c r="Q12" i="17"/>
  <c r="Q112" i="17"/>
  <c r="Q59" i="17"/>
  <c r="Q74" i="17"/>
  <c r="P14" i="17"/>
  <c r="M29" i="17"/>
  <c r="Q15" i="17"/>
  <c r="P18" i="17"/>
  <c r="L48" i="17"/>
  <c r="P47" i="17"/>
  <c r="Q65" i="17"/>
  <c r="Q70" i="17"/>
  <c r="Z56" i="17"/>
  <c r="AD56" i="17" s="1"/>
  <c r="AH56" i="17" s="1"/>
  <c r="AN56" i="17" s="1"/>
  <c r="Q73" i="17"/>
  <c r="Z65" i="17"/>
  <c r="E50" i="17"/>
  <c r="AH2" i="17"/>
  <c r="AN2" i="17" s="1"/>
  <c r="M31" i="17"/>
  <c r="M34" i="17"/>
  <c r="M81" i="17"/>
  <c r="M77" i="17"/>
  <c r="M33" i="17"/>
  <c r="M32" i="17"/>
  <c r="M66" i="17"/>
  <c r="M68" i="17" s="1"/>
  <c r="M30" i="17"/>
  <c r="G54" i="17"/>
  <c r="G50" i="17"/>
  <c r="Q61" i="11"/>
  <c r="U61" i="11" s="1"/>
  <c r="I70" i="11"/>
  <c r="I68" i="11"/>
  <c r="I69" i="11"/>
  <c r="Q63" i="11"/>
  <c r="U63" i="11" s="1"/>
  <c r="M62" i="11"/>
  <c r="P48" i="59" s="1"/>
  <c r="M64" i="11"/>
  <c r="M71" i="11"/>
  <c r="P49" i="59" s="1"/>
  <c r="N2" i="11"/>
  <c r="J70" i="11"/>
  <c r="J69" i="11"/>
  <c r="J68" i="11"/>
  <c r="M43" i="17"/>
  <c r="I44" i="17"/>
  <c r="E110" i="17"/>
  <c r="E114" i="17" s="1"/>
  <c r="M5" i="11"/>
  <c r="M55" i="11" s="1"/>
  <c r="P47" i="59" s="1"/>
  <c r="M124" i="10"/>
  <c r="AA124" i="10" s="1"/>
  <c r="AE124" i="10" s="1"/>
  <c r="AI124" i="10" s="1"/>
  <c r="AO124" i="10" s="1"/>
  <c r="I132" i="10"/>
  <c r="I133" i="10"/>
  <c r="I131" i="10"/>
  <c r="M134" i="10"/>
  <c r="P45" i="59" s="1"/>
  <c r="N2" i="10"/>
  <c r="J133" i="10"/>
  <c r="J132" i="10"/>
  <c r="J131" i="10"/>
  <c r="AA23" i="17"/>
  <c r="AE23" i="17" s="1"/>
  <c r="AI23" i="17" s="1"/>
  <c r="AO23" i="17" s="1"/>
  <c r="AS23" i="17" s="1"/>
  <c r="AW23" i="17" s="1"/>
  <c r="BE23" i="17" s="1"/>
  <c r="AA26" i="17"/>
  <c r="AE26" i="17" s="1"/>
  <c r="AI26" i="17" s="1"/>
  <c r="AO26" i="17" s="1"/>
  <c r="AS26" i="17" s="1"/>
  <c r="AW26" i="17" s="1"/>
  <c r="BE26" i="17" s="1"/>
  <c r="AA24" i="17"/>
  <c r="AE24" i="17" s="1"/>
  <c r="AI24" i="17" s="1"/>
  <c r="AO24" i="17" s="1"/>
  <c r="AS24" i="17" s="1"/>
  <c r="AW24" i="17" s="1"/>
  <c r="BE24" i="17" s="1"/>
  <c r="AA25" i="17"/>
  <c r="AE25" i="17" s="1"/>
  <c r="AI25" i="17" s="1"/>
  <c r="AO25" i="17" s="1"/>
  <c r="AS25" i="17" s="1"/>
  <c r="AW25" i="17" s="1"/>
  <c r="BE25" i="17" s="1"/>
  <c r="L81" i="17"/>
  <c r="L66" i="17"/>
  <c r="L68" i="17" s="1"/>
  <c r="L77" i="17"/>
  <c r="H21" i="17"/>
  <c r="L21" i="17"/>
  <c r="I59" i="11"/>
  <c r="M59" i="11" s="1"/>
  <c r="F147" i="10"/>
  <c r="H59" i="17"/>
  <c r="M2" i="11"/>
  <c r="I65" i="11"/>
  <c r="L29" i="17"/>
  <c r="L14" i="17"/>
  <c r="H127" i="10"/>
  <c r="F127" i="10"/>
  <c r="H64" i="11"/>
  <c r="I127" i="10"/>
  <c r="I64" i="11"/>
  <c r="F64" i="11"/>
  <c r="I129" i="10"/>
  <c r="I122" i="10"/>
  <c r="M2" i="10"/>
  <c r="M13" i="17"/>
  <c r="M14" i="17" s="1"/>
  <c r="L58" i="17"/>
  <c r="L59" i="17" s="1"/>
  <c r="L113" i="17"/>
  <c r="L112" i="17"/>
  <c r="M10" i="17"/>
  <c r="E71" i="11"/>
  <c r="H49" i="59" s="1"/>
  <c r="E134" i="10"/>
  <c r="H45" i="59" s="1"/>
  <c r="I14" i="17"/>
  <c r="F67" i="11"/>
  <c r="I66" i="11"/>
  <c r="M66" i="11" s="1"/>
  <c r="AA66" i="11" s="1"/>
  <c r="AE66" i="11" s="1"/>
  <c r="AI66" i="11" s="1"/>
  <c r="I62" i="11"/>
  <c r="L48" i="59" s="1"/>
  <c r="I125" i="10"/>
  <c r="L44" i="59" s="1"/>
  <c r="J5" i="11"/>
  <c r="J55" i="11" s="1"/>
  <c r="M47" i="59" s="1"/>
  <c r="AS124" i="10" l="1"/>
  <c r="AW124" i="10" s="1"/>
  <c r="BE124" i="10" s="1"/>
  <c r="AS126" i="10"/>
  <c r="AW126" i="10" s="1"/>
  <c r="BE126" i="10" s="1"/>
  <c r="AW61" i="11"/>
  <c r="BE61" i="11" s="1"/>
  <c r="AW63" i="11"/>
  <c r="BE63" i="11" s="1"/>
  <c r="AS62" i="11"/>
  <c r="AV48" i="59" s="1"/>
  <c r="AS64" i="11"/>
  <c r="AS71" i="11"/>
  <c r="AV49" i="59" s="1"/>
  <c r="AW134" i="10"/>
  <c r="AZ45" i="59" s="1"/>
  <c r="AW127" i="10"/>
  <c r="AS17" i="17"/>
  <c r="AW17" i="17" s="1"/>
  <c r="BE17" i="17" s="1"/>
  <c r="AN20" i="17"/>
  <c r="AR20" i="17" s="1"/>
  <c r="AV20" i="17" s="1"/>
  <c r="BD20" i="17" s="1"/>
  <c r="AR8" i="17"/>
  <c r="AV8" i="17" s="1"/>
  <c r="BD8" i="17" s="1"/>
  <c r="AN60" i="17"/>
  <c r="AR60" i="17" s="1"/>
  <c r="AV60" i="17" s="1"/>
  <c r="BD60" i="17" s="1"/>
  <c r="AS7" i="17"/>
  <c r="AW7" i="17" s="1"/>
  <c r="BE7" i="17" s="1"/>
  <c r="AR56" i="17"/>
  <c r="AV56" i="17" s="1"/>
  <c r="BD56" i="17" s="1"/>
  <c r="AS125" i="10"/>
  <c r="AV44" i="59" s="1"/>
  <c r="AS134" i="10"/>
  <c r="AV45" i="59" s="1"/>
  <c r="J22" i="36"/>
  <c r="AH72" i="17"/>
  <c r="AH75" i="17"/>
  <c r="AH76" i="17"/>
  <c r="AH79" i="17"/>
  <c r="AN79" i="17" s="1"/>
  <c r="AH80" i="17"/>
  <c r="AN80" i="17" s="1"/>
  <c r="AH70" i="17"/>
  <c r="AN70" i="17" s="1"/>
  <c r="P86" i="17"/>
  <c r="T86" i="17" s="1"/>
  <c r="AO66" i="11"/>
  <c r="AO125" i="10"/>
  <c r="AR44" i="59" s="1"/>
  <c r="AO127" i="10"/>
  <c r="AO134" i="10"/>
  <c r="AR45" i="59" s="1"/>
  <c r="AH71" i="17"/>
  <c r="AI18" i="17"/>
  <c r="AO18" i="17" s="1"/>
  <c r="AS18" i="17" s="1"/>
  <c r="AW18" i="17" s="1"/>
  <c r="BE18" i="17" s="1"/>
  <c r="AI19" i="17"/>
  <c r="AE58" i="17"/>
  <c r="AE61" i="17" s="1"/>
  <c r="AI57" i="17"/>
  <c r="T81" i="17"/>
  <c r="AI60" i="17"/>
  <c r="AD86" i="17"/>
  <c r="AI125" i="10"/>
  <c r="AL44" i="59" s="1"/>
  <c r="AI127" i="10"/>
  <c r="AI134" i="10"/>
  <c r="AL45" i="59" s="1"/>
  <c r="AD65" i="17"/>
  <c r="AH65" i="17" s="1"/>
  <c r="AN65" i="17" s="1"/>
  <c r="T77" i="17"/>
  <c r="AE20" i="17"/>
  <c r="AD74" i="17"/>
  <c r="AD73" i="17"/>
  <c r="AD81" i="17"/>
  <c r="AA5" i="11"/>
  <c r="E22" i="36"/>
  <c r="H47" i="59"/>
  <c r="AE134" i="10"/>
  <c r="AH45" i="59" s="1"/>
  <c r="AE127" i="10"/>
  <c r="AE125" i="10"/>
  <c r="AH44" i="59" s="1"/>
  <c r="Q2" i="11"/>
  <c r="U2" i="11" s="1"/>
  <c r="AA2" i="11"/>
  <c r="R2" i="11"/>
  <c r="V2" i="11" s="1"/>
  <c r="AB2" i="11"/>
  <c r="Q59" i="11"/>
  <c r="U59" i="11" s="1"/>
  <c r="U60" i="11" s="1"/>
  <c r="AA59" i="11"/>
  <c r="Q134" i="10"/>
  <c r="T45" i="59" s="1"/>
  <c r="Q2" i="10"/>
  <c r="U2" i="10" s="1"/>
  <c r="AA2" i="10"/>
  <c r="AE2" i="10" s="1"/>
  <c r="AI2" i="10" s="1"/>
  <c r="AO2" i="10" s="1"/>
  <c r="AS2" i="10" s="1"/>
  <c r="AW2" i="10" s="1"/>
  <c r="BE2" i="10" s="1"/>
  <c r="R2" i="10"/>
  <c r="V2" i="10" s="1"/>
  <c r="AB2" i="10"/>
  <c r="AF2" i="10" s="1"/>
  <c r="AJ2" i="10" s="1"/>
  <c r="AP2" i="10" s="1"/>
  <c r="AT2" i="10" s="1"/>
  <c r="AX2" i="10" s="1"/>
  <c r="BF2" i="10" s="1"/>
  <c r="AA127" i="10"/>
  <c r="AA134" i="10"/>
  <c r="AD45" i="59" s="1"/>
  <c r="AA125" i="10"/>
  <c r="AD44" i="59" s="1"/>
  <c r="U70" i="17"/>
  <c r="U80" i="17"/>
  <c r="U67" i="17"/>
  <c r="U59" i="17"/>
  <c r="U13" i="17"/>
  <c r="U74" i="17"/>
  <c r="AA2" i="17"/>
  <c r="AA59" i="17" s="1"/>
  <c r="U65" i="17"/>
  <c r="U64" i="17"/>
  <c r="U11" i="17"/>
  <c r="U64" i="11"/>
  <c r="U71" i="11"/>
  <c r="X49" i="59" s="1"/>
  <c r="U62" i="11"/>
  <c r="X48" i="59" s="1"/>
  <c r="Q81" i="17"/>
  <c r="U79" i="17"/>
  <c r="T18" i="17"/>
  <c r="T21" i="17" s="1"/>
  <c r="P52" i="17"/>
  <c r="P113" i="17" s="1"/>
  <c r="T51" i="17"/>
  <c r="U75" i="17"/>
  <c r="U73" i="17"/>
  <c r="Q32" i="17"/>
  <c r="U15" i="17"/>
  <c r="AA15" i="17" s="1"/>
  <c r="AE15" i="17" s="1"/>
  <c r="U71" i="17"/>
  <c r="T59" i="17"/>
  <c r="T61" i="17"/>
  <c r="P48" i="17"/>
  <c r="T47" i="17"/>
  <c r="T48" i="17" s="1"/>
  <c r="P46" i="17"/>
  <c r="T45" i="17"/>
  <c r="T46" i="17" s="1"/>
  <c r="U48" i="17"/>
  <c r="U40" i="17"/>
  <c r="U38" i="17"/>
  <c r="U52" i="17"/>
  <c r="U113" i="17" s="1"/>
  <c r="U42" i="17"/>
  <c r="U46" i="17"/>
  <c r="AA89" i="17"/>
  <c r="Q113" i="17"/>
  <c r="Q31" i="17"/>
  <c r="AA8" i="17"/>
  <c r="AA21" i="17"/>
  <c r="P21" i="17"/>
  <c r="P112" i="17"/>
  <c r="Q66" i="17"/>
  <c r="Q68" i="17" s="1"/>
  <c r="Q33" i="17"/>
  <c r="Q77" i="17"/>
  <c r="P59" i="17"/>
  <c r="P61" i="17"/>
  <c r="M49" i="17"/>
  <c r="M53" i="17" s="1"/>
  <c r="Q43" i="17"/>
  <c r="U43" i="17" s="1"/>
  <c r="Q34" i="17"/>
  <c r="Q29" i="17"/>
  <c r="Q30" i="17"/>
  <c r="Q14" i="17"/>
  <c r="L89" i="17"/>
  <c r="P89" i="17" s="1"/>
  <c r="T89" i="17" s="1"/>
  <c r="P81" i="17"/>
  <c r="P77" i="17"/>
  <c r="P66" i="17"/>
  <c r="P68" i="17" s="1"/>
  <c r="M127" i="10"/>
  <c r="Q124" i="10"/>
  <c r="U124" i="10" s="1"/>
  <c r="H147" i="10"/>
  <c r="H149" i="10" s="1"/>
  <c r="AA65" i="17"/>
  <c r="Z57" i="17"/>
  <c r="AD57" i="17" s="1"/>
  <c r="Z15" i="17"/>
  <c r="AD15" i="17" s="1"/>
  <c r="L31" i="17"/>
  <c r="L33" i="17"/>
  <c r="L30" i="17"/>
  <c r="Z26" i="17"/>
  <c r="AD26" i="17" s="1"/>
  <c r="AH26" i="17" s="1"/>
  <c r="AN26" i="17" s="1"/>
  <c r="AE2" i="17"/>
  <c r="AA48" i="17"/>
  <c r="AA40" i="17"/>
  <c r="AA38" i="17"/>
  <c r="AA46" i="17"/>
  <c r="AA42" i="17"/>
  <c r="AA52" i="17"/>
  <c r="H31" i="17"/>
  <c r="H30" i="17"/>
  <c r="H33" i="17"/>
  <c r="H32" i="17"/>
  <c r="AA9" i="17"/>
  <c r="AE9" i="17" s="1"/>
  <c r="Z12" i="17"/>
  <c r="AD12" i="17" s="1"/>
  <c r="AH12" i="17" s="1"/>
  <c r="AN12" i="17" s="1"/>
  <c r="Z23" i="17"/>
  <c r="AD23" i="17" s="1"/>
  <c r="AH23" i="17" s="1"/>
  <c r="AN23" i="17" s="1"/>
  <c r="L32" i="17"/>
  <c r="Z9" i="17"/>
  <c r="AD9" i="17" s="1"/>
  <c r="Z24" i="17"/>
  <c r="AD24" i="17" s="1"/>
  <c r="AH24" i="17" s="1"/>
  <c r="AN24" i="17" s="1"/>
  <c r="AR24" i="17" s="1"/>
  <c r="AV24" i="17" s="1"/>
  <c r="BD24" i="17" s="1"/>
  <c r="AA11" i="17"/>
  <c r="N70" i="11"/>
  <c r="J81" i="11"/>
  <c r="E54" i="17"/>
  <c r="F84" i="11"/>
  <c r="F88" i="11" s="1"/>
  <c r="F149" i="10"/>
  <c r="F151" i="10"/>
  <c r="J76" i="11"/>
  <c r="M65" i="11"/>
  <c r="AA65" i="11" s="1"/>
  <c r="N132" i="10"/>
  <c r="N133" i="10"/>
  <c r="J65" i="11"/>
  <c r="F53" i="11"/>
  <c r="M68" i="11"/>
  <c r="M70" i="11"/>
  <c r="N68" i="11"/>
  <c r="Q64" i="11"/>
  <c r="Q62" i="11"/>
  <c r="T48" i="59" s="1"/>
  <c r="Q71" i="11"/>
  <c r="T49" i="59" s="1"/>
  <c r="N69" i="11"/>
  <c r="M69" i="11"/>
  <c r="M60" i="11"/>
  <c r="M67" i="11"/>
  <c r="Q66" i="11"/>
  <c r="U66" i="11" s="1"/>
  <c r="N131" i="10"/>
  <c r="I50" i="17"/>
  <c r="M44" i="17"/>
  <c r="F71" i="11"/>
  <c r="I49" i="59" s="1"/>
  <c r="Q5" i="11"/>
  <c r="Q55" i="11" s="1"/>
  <c r="T47" i="59" s="1"/>
  <c r="M125" i="10"/>
  <c r="P44" i="59" s="1"/>
  <c r="M133" i="10"/>
  <c r="M122" i="10"/>
  <c r="AA122" i="10" s="1"/>
  <c r="M132" i="10"/>
  <c r="M129" i="10"/>
  <c r="AA129" i="10" s="1"/>
  <c r="AE129" i="10" s="1"/>
  <c r="AI129" i="10" s="1"/>
  <c r="AO129" i="10" s="1"/>
  <c r="M131" i="10"/>
  <c r="N5" i="11"/>
  <c r="N55" i="11" s="1"/>
  <c r="Q47" i="59" s="1"/>
  <c r="H34" i="17"/>
  <c r="L34" i="17" s="1"/>
  <c r="I60" i="11"/>
  <c r="I123" i="10"/>
  <c r="I134" i="10"/>
  <c r="L45" i="59" s="1"/>
  <c r="L61" i="17"/>
  <c r="I67" i="11"/>
  <c r="I71" i="11"/>
  <c r="L49" i="59" s="1"/>
  <c r="J84" i="11"/>
  <c r="H134" i="10"/>
  <c r="K45" i="59" s="1"/>
  <c r="J67" i="11"/>
  <c r="F134" i="10"/>
  <c r="I45" i="59" s="1"/>
  <c r="AS127" i="10" l="1"/>
  <c r="F29" i="35"/>
  <c r="F55" i="11"/>
  <c r="F57" i="11"/>
  <c r="AA55" i="11"/>
  <c r="AD47" i="59" s="1"/>
  <c r="AW125" i="10"/>
  <c r="AZ44" i="59" s="1"/>
  <c r="BE64" i="11"/>
  <c r="BE71" i="11"/>
  <c r="BH49" i="59" s="1"/>
  <c r="BE62" i="11"/>
  <c r="BH48" i="59" s="1"/>
  <c r="AE59" i="17"/>
  <c r="AE89" i="17"/>
  <c r="U66" i="17"/>
  <c r="U68" i="17" s="1"/>
  <c r="AS66" i="11"/>
  <c r="AW66" i="11" s="1"/>
  <c r="BE66" i="11" s="1"/>
  <c r="AW62" i="11"/>
  <c r="AZ48" i="59" s="1"/>
  <c r="AW64" i="11"/>
  <c r="AW71" i="11"/>
  <c r="AZ49" i="59" s="1"/>
  <c r="BC127" i="10"/>
  <c r="BC125" i="10"/>
  <c r="BF44" i="59" s="1"/>
  <c r="BC134" i="10"/>
  <c r="BF45" i="59" s="1"/>
  <c r="AF2" i="11"/>
  <c r="AJ2" i="11" s="1"/>
  <c r="AP2" i="11" s="1"/>
  <c r="AT2" i="11" s="1"/>
  <c r="AX2" i="11" s="1"/>
  <c r="BF2" i="11" s="1"/>
  <c r="BE125" i="10"/>
  <c r="BH44" i="59" s="1"/>
  <c r="BE127" i="10"/>
  <c r="BE134" i="10"/>
  <c r="BH45" i="59" s="1"/>
  <c r="AS129" i="10"/>
  <c r="AW129" i="10" s="1"/>
  <c r="BE129" i="10" s="1"/>
  <c r="BC130" i="10"/>
  <c r="AE2" i="11"/>
  <c r="AI2" i="11" s="1"/>
  <c r="AO2" i="11" s="1"/>
  <c r="AS2" i="11" s="1"/>
  <c r="AW2" i="11" s="1"/>
  <c r="BE2" i="11" s="1"/>
  <c r="AH81" i="17"/>
  <c r="U81" i="17"/>
  <c r="AR26" i="17"/>
  <c r="AV26" i="17" s="1"/>
  <c r="BD26" i="17" s="1"/>
  <c r="AO60" i="17"/>
  <c r="AS60" i="17" s="1"/>
  <c r="AW60" i="17" s="1"/>
  <c r="BE60" i="17" s="1"/>
  <c r="AO19" i="17"/>
  <c r="AS19" i="17" s="1"/>
  <c r="AR23" i="17"/>
  <c r="AV23" i="17" s="1"/>
  <c r="BD23" i="17" s="1"/>
  <c r="U14" i="17"/>
  <c r="AI58" i="17"/>
  <c r="AO57" i="17"/>
  <c r="M22" i="36"/>
  <c r="AN75" i="17"/>
  <c r="AN71" i="17"/>
  <c r="AN81" i="17"/>
  <c r="AN72" i="17"/>
  <c r="AN76" i="17"/>
  <c r="AH86" i="17"/>
  <c r="AN86" i="17" s="1"/>
  <c r="AD13" i="17"/>
  <c r="AD14" i="17" s="1"/>
  <c r="AH9" i="17"/>
  <c r="AN9" i="17" s="1"/>
  <c r="AD58" i="17"/>
  <c r="AD59" i="17" s="1"/>
  <c r="AH57" i="17"/>
  <c r="AD77" i="17"/>
  <c r="AH73" i="17"/>
  <c r="AN73" i="17" s="1"/>
  <c r="AE13" i="17"/>
  <c r="AI9" i="17"/>
  <c r="AO9" i="17" s="1"/>
  <c r="AH74" i="17"/>
  <c r="AI61" i="17"/>
  <c r="AE21" i="17"/>
  <c r="AI20" i="17"/>
  <c r="AE29" i="17"/>
  <c r="AI15" i="17"/>
  <c r="AO15" i="17" s="1"/>
  <c r="AS15" i="17" s="1"/>
  <c r="AW15" i="17" s="1"/>
  <c r="BE15" i="17" s="1"/>
  <c r="AD29" i="17"/>
  <c r="AH15" i="17"/>
  <c r="AB132" i="10"/>
  <c r="AF132" i="10" s="1"/>
  <c r="AJ132" i="10" s="1"/>
  <c r="AP132" i="10" s="1"/>
  <c r="AB131" i="10"/>
  <c r="AF131" i="10" s="1"/>
  <c r="AJ131" i="10" s="1"/>
  <c r="AP131" i="10" s="1"/>
  <c r="AA67" i="11"/>
  <c r="AE5" i="11"/>
  <c r="AE55" i="11" s="1"/>
  <c r="AH47" i="59" s="1"/>
  <c r="AE65" i="17"/>
  <c r="AD10" i="17"/>
  <c r="AE31" i="17"/>
  <c r="AE38" i="17"/>
  <c r="AE40" i="17"/>
  <c r="AE48" i="17"/>
  <c r="AE52" i="17"/>
  <c r="AE42" i="17"/>
  <c r="AE46" i="17"/>
  <c r="AA12" i="17"/>
  <c r="AA113" i="17" s="1"/>
  <c r="AE8" i="17"/>
  <c r="AI8" i="17" s="1"/>
  <c r="AO8" i="17" s="1"/>
  <c r="AS8" i="17" s="1"/>
  <c r="AW8" i="17" s="1"/>
  <c r="BE8" i="17" s="1"/>
  <c r="AE11" i="17"/>
  <c r="AE33" i="17"/>
  <c r="AE30" i="17"/>
  <c r="AE32" i="17"/>
  <c r="AA131" i="10"/>
  <c r="AE131" i="10" s="1"/>
  <c r="AI131" i="10" s="1"/>
  <c r="AO131" i="10" s="1"/>
  <c r="AA133" i="10"/>
  <c r="AE133" i="10" s="1"/>
  <c r="AI133" i="10" s="1"/>
  <c r="AO133" i="10" s="1"/>
  <c r="Q60" i="11"/>
  <c r="U5" i="11"/>
  <c r="U55" i="11" s="1"/>
  <c r="X47" i="59" s="1"/>
  <c r="AB5" i="11"/>
  <c r="AA60" i="11"/>
  <c r="AE59" i="11"/>
  <c r="AE67" i="11"/>
  <c r="AA123" i="10"/>
  <c r="AE122" i="10"/>
  <c r="Z47" i="17"/>
  <c r="AD47" i="17" s="1"/>
  <c r="AA79" i="17"/>
  <c r="AE79" i="17" s="1"/>
  <c r="AA75" i="17"/>
  <c r="AA80" i="17"/>
  <c r="AE80" i="17" s="1"/>
  <c r="AA70" i="17"/>
  <c r="AE70" i="17" s="1"/>
  <c r="AA76" i="17"/>
  <c r="AE76" i="17" s="1"/>
  <c r="AA74" i="17"/>
  <c r="AE74" i="17" s="1"/>
  <c r="AA72" i="17"/>
  <c r="AA71" i="17"/>
  <c r="AE71" i="17" s="1"/>
  <c r="AA73" i="17"/>
  <c r="AE73" i="17" s="1"/>
  <c r="Q69" i="11"/>
  <c r="U69" i="11" s="1"/>
  <c r="AA69" i="11"/>
  <c r="AE69" i="11" s="1"/>
  <c r="AI69" i="11" s="1"/>
  <c r="AO69" i="11" s="1"/>
  <c r="Q68" i="11"/>
  <c r="U68" i="11" s="1"/>
  <c r="AA68" i="11"/>
  <c r="AE68" i="11" s="1"/>
  <c r="AI68" i="11" s="1"/>
  <c r="AO68" i="11" s="1"/>
  <c r="R69" i="11"/>
  <c r="V69" i="11" s="1"/>
  <c r="AB69" i="11"/>
  <c r="AF69" i="11" s="1"/>
  <c r="AJ69" i="11" s="1"/>
  <c r="AP69" i="11" s="1"/>
  <c r="R70" i="11"/>
  <c r="V70" i="11" s="1"/>
  <c r="AB70" i="11"/>
  <c r="AF70" i="11" s="1"/>
  <c r="AJ70" i="11" s="1"/>
  <c r="AP70" i="11" s="1"/>
  <c r="Q70" i="11"/>
  <c r="U70" i="11" s="1"/>
  <c r="AA70" i="11"/>
  <c r="AE70" i="11" s="1"/>
  <c r="AI70" i="11" s="1"/>
  <c r="AO70" i="11" s="1"/>
  <c r="R68" i="11"/>
  <c r="V68" i="11" s="1"/>
  <c r="AB68" i="11"/>
  <c r="AF68" i="11" s="1"/>
  <c r="AJ68" i="11" s="1"/>
  <c r="AP68" i="11" s="1"/>
  <c r="AA132" i="10"/>
  <c r="AE132" i="10" s="1"/>
  <c r="AI132" i="10" s="1"/>
  <c r="AO132" i="10" s="1"/>
  <c r="AB133" i="10"/>
  <c r="AF133" i="10" s="1"/>
  <c r="AJ133" i="10" s="1"/>
  <c r="AP133" i="10" s="1"/>
  <c r="AA67" i="17"/>
  <c r="AE67" i="17" s="1"/>
  <c r="U77" i="17"/>
  <c r="U125" i="10"/>
  <c r="X44" i="59" s="1"/>
  <c r="U127" i="10"/>
  <c r="T30" i="17"/>
  <c r="T31" i="17"/>
  <c r="T33" i="17"/>
  <c r="T32" i="17"/>
  <c r="U44" i="17"/>
  <c r="U49" i="17"/>
  <c r="U34" i="17"/>
  <c r="AA34" i="17" s="1"/>
  <c r="AE34" i="17" s="1"/>
  <c r="U29" i="17"/>
  <c r="U30" i="17"/>
  <c r="U31" i="17"/>
  <c r="U32" i="17"/>
  <c r="U33" i="17"/>
  <c r="Z18" i="17"/>
  <c r="T52" i="17"/>
  <c r="T113" i="17" s="1"/>
  <c r="T112" i="17"/>
  <c r="Q49" i="17"/>
  <c r="Q44" i="17"/>
  <c r="Z17" i="17"/>
  <c r="AD17" i="17" s="1"/>
  <c r="AH17" i="17" s="1"/>
  <c r="AN17" i="17" s="1"/>
  <c r="P31" i="17"/>
  <c r="P30" i="17"/>
  <c r="P33" i="17"/>
  <c r="P32" i="17"/>
  <c r="AA112" i="17"/>
  <c r="P34" i="17"/>
  <c r="T34" i="17" s="1"/>
  <c r="X81" i="17"/>
  <c r="Z64" i="17"/>
  <c r="AD64" i="17" s="1"/>
  <c r="Q125" i="10"/>
  <c r="T44" i="59" s="1"/>
  <c r="Q127" i="10"/>
  <c r="Q131" i="10"/>
  <c r="U131" i="10" s="1"/>
  <c r="Q133" i="10"/>
  <c r="U133" i="10" s="1"/>
  <c r="Q122" i="10"/>
  <c r="U122" i="10" s="1"/>
  <c r="U123" i="10" s="1"/>
  <c r="R133" i="10"/>
  <c r="V133" i="10" s="1"/>
  <c r="R131" i="10"/>
  <c r="V131" i="10" s="1"/>
  <c r="Q129" i="10"/>
  <c r="U129" i="10" s="1"/>
  <c r="Q132" i="10"/>
  <c r="U132" i="10" s="1"/>
  <c r="R132" i="10"/>
  <c r="V132" i="10" s="1"/>
  <c r="H151" i="10"/>
  <c r="AA64" i="17"/>
  <c r="AE64" i="17" s="1"/>
  <c r="Z13" i="17"/>
  <c r="Z14" i="17" s="1"/>
  <c r="Z10" i="17"/>
  <c r="Z48" i="17"/>
  <c r="AI2" i="17"/>
  <c r="Z58" i="17"/>
  <c r="Z51" i="17"/>
  <c r="AD51" i="17" s="1"/>
  <c r="AH51" i="17" s="1"/>
  <c r="AN51" i="17" s="1"/>
  <c r="Z29" i="17"/>
  <c r="Z45" i="17"/>
  <c r="AD45" i="17" s="1"/>
  <c r="Z25" i="17"/>
  <c r="AD25" i="17" s="1"/>
  <c r="AH25" i="17" s="1"/>
  <c r="AN25" i="17" s="1"/>
  <c r="AA13" i="17"/>
  <c r="AA10" i="17"/>
  <c r="AR2" i="17"/>
  <c r="AR65" i="17" s="1"/>
  <c r="N81" i="11"/>
  <c r="M54" i="17"/>
  <c r="I54" i="17"/>
  <c r="AA29" i="17"/>
  <c r="AA30" i="17"/>
  <c r="AA33" i="17"/>
  <c r="AA31" i="17"/>
  <c r="AA32" i="17"/>
  <c r="Y54" i="17"/>
  <c r="J88" i="11"/>
  <c r="J86" i="11"/>
  <c r="J147" i="10"/>
  <c r="J149" i="10" s="1"/>
  <c r="F86" i="11"/>
  <c r="N76" i="11"/>
  <c r="R5" i="11"/>
  <c r="Q67" i="11"/>
  <c r="N67" i="11"/>
  <c r="Q65" i="11"/>
  <c r="U65" i="11" s="1"/>
  <c r="N65" i="11"/>
  <c r="M123" i="10"/>
  <c r="M50" i="17"/>
  <c r="J134" i="10"/>
  <c r="M45" i="59" s="1"/>
  <c r="N84" i="11"/>
  <c r="I5" i="10"/>
  <c r="I118" i="10" s="1"/>
  <c r="L43" i="59" s="1"/>
  <c r="AA22" i="36" l="1"/>
  <c r="AB81" i="11"/>
  <c r="AB88" i="11" s="1"/>
  <c r="AB55" i="11"/>
  <c r="AE47" i="59" s="1"/>
  <c r="I47" i="59"/>
  <c r="F22" i="36"/>
  <c r="F39" i="35"/>
  <c r="F31" i="35"/>
  <c r="J29" i="35"/>
  <c r="BE33" i="17"/>
  <c r="BE30" i="17"/>
  <c r="BE31" i="17"/>
  <c r="BE32" i="17"/>
  <c r="AI89" i="17"/>
  <c r="BE112" i="17"/>
  <c r="AA14" i="17"/>
  <c r="AT133" i="10"/>
  <c r="AX133" i="10" s="1"/>
  <c r="BF133" i="10" s="1"/>
  <c r="AS70" i="11"/>
  <c r="AW70" i="11" s="1"/>
  <c r="BE70" i="11" s="1"/>
  <c r="AT69" i="11"/>
  <c r="AX69" i="11" s="1"/>
  <c r="BF69" i="11" s="1"/>
  <c r="AS69" i="11"/>
  <c r="AW69" i="11" s="1"/>
  <c r="BE69" i="11" s="1"/>
  <c r="AW112" i="17"/>
  <c r="AS132" i="10"/>
  <c r="AW132" i="10" s="1"/>
  <c r="BE132" i="10" s="1"/>
  <c r="AT131" i="10"/>
  <c r="AX131" i="10" s="1"/>
  <c r="BF131" i="10" s="1"/>
  <c r="AW32" i="17"/>
  <c r="AW30" i="17"/>
  <c r="AW31" i="17"/>
  <c r="AW33" i="17"/>
  <c r="AW19" i="17"/>
  <c r="BE19" i="17" s="1"/>
  <c r="AT68" i="11"/>
  <c r="AX68" i="11" s="1"/>
  <c r="BF68" i="11" s="1"/>
  <c r="AT70" i="11"/>
  <c r="AX70" i="11" s="1"/>
  <c r="BF70" i="11" s="1"/>
  <c r="AS68" i="11"/>
  <c r="AW68" i="11" s="1"/>
  <c r="BE68" i="11" s="1"/>
  <c r="AS133" i="10"/>
  <c r="AW133" i="10" s="1"/>
  <c r="BE133" i="10" s="1"/>
  <c r="AT132" i="10"/>
  <c r="AX132" i="10" s="1"/>
  <c r="BF132" i="10" s="1"/>
  <c r="AS131" i="10"/>
  <c r="AW131" i="10" s="1"/>
  <c r="BE131" i="10" s="1"/>
  <c r="AS112" i="17"/>
  <c r="AR86" i="17"/>
  <c r="AR17" i="17"/>
  <c r="AV17" i="17" s="1"/>
  <c r="BD17" i="17" s="1"/>
  <c r="AH29" i="17"/>
  <c r="AN15" i="17"/>
  <c r="AR73" i="17"/>
  <c r="AR9" i="17"/>
  <c r="AV9" i="17" s="1"/>
  <c r="BD9" i="17" s="1"/>
  <c r="AN13" i="17"/>
  <c r="AN14" i="17" s="1"/>
  <c r="AN10" i="17"/>
  <c r="AR76" i="17"/>
  <c r="AR71" i="17"/>
  <c r="AN52" i="17"/>
  <c r="AN113" i="17" s="1"/>
  <c r="AR51" i="17"/>
  <c r="AV51" i="17" s="1"/>
  <c r="BD51" i="17" s="1"/>
  <c r="AN112" i="17"/>
  <c r="AI21" i="17"/>
  <c r="AO20" i="17"/>
  <c r="AR72" i="17"/>
  <c r="AR75" i="17"/>
  <c r="AR80" i="17"/>
  <c r="AR79" i="17"/>
  <c r="AI59" i="17"/>
  <c r="AO2" i="17"/>
  <c r="AO12" i="17" s="1"/>
  <c r="AR25" i="17"/>
  <c r="AV25" i="17" s="1"/>
  <c r="BD25" i="17" s="1"/>
  <c r="AS32" i="17"/>
  <c r="AS30" i="17"/>
  <c r="AS31" i="17"/>
  <c r="AS33" i="17"/>
  <c r="AS9" i="17"/>
  <c r="AW9" i="17" s="1"/>
  <c r="AH58" i="17"/>
  <c r="AH59" i="17" s="1"/>
  <c r="AN57" i="17"/>
  <c r="AO58" i="17"/>
  <c r="AS57" i="17"/>
  <c r="AW57" i="17" s="1"/>
  <c r="AR12" i="17"/>
  <c r="AR70" i="17"/>
  <c r="N22" i="36"/>
  <c r="Q22" i="36"/>
  <c r="U22" i="36"/>
  <c r="I21" i="36"/>
  <c r="AO112" i="17"/>
  <c r="AO10" i="17"/>
  <c r="AN74" i="17"/>
  <c r="AD61" i="17"/>
  <c r="AO33" i="17"/>
  <c r="AO30" i="17"/>
  <c r="AO31" i="17"/>
  <c r="AO32" i="17"/>
  <c r="AI74" i="17"/>
  <c r="AO74" i="17" s="1"/>
  <c r="AI79" i="17"/>
  <c r="AI38" i="17"/>
  <c r="AI48" i="17"/>
  <c r="AI40" i="17"/>
  <c r="AI46" i="17"/>
  <c r="AI52" i="17"/>
  <c r="AI42" i="17"/>
  <c r="AI11" i="17"/>
  <c r="AI67" i="17"/>
  <c r="AO67" i="17" s="1"/>
  <c r="AI73" i="17"/>
  <c r="AI71" i="17"/>
  <c r="AO71" i="17" s="1"/>
  <c r="AI76" i="17"/>
  <c r="AO76" i="17" s="1"/>
  <c r="AI80" i="17"/>
  <c r="AO80" i="17" s="1"/>
  <c r="AI13" i="17"/>
  <c r="AI70" i="17"/>
  <c r="AO70" i="17" s="1"/>
  <c r="AI65" i="17"/>
  <c r="AO65" i="17" s="1"/>
  <c r="AI5" i="11"/>
  <c r="AI55" i="11" s="1"/>
  <c r="AL47" i="59" s="1"/>
  <c r="AI112" i="17"/>
  <c r="AI12" i="17"/>
  <c r="AI10" i="17"/>
  <c r="AI34" i="17"/>
  <c r="AO34" i="17" s="1"/>
  <c r="AS34" i="17" s="1"/>
  <c r="AW34" i="17" s="1"/>
  <c r="BE34" i="17" s="1"/>
  <c r="AI29" i="17"/>
  <c r="AI33" i="17"/>
  <c r="AI32" i="17"/>
  <c r="AI31" i="17"/>
  <c r="AI30" i="17"/>
  <c r="AH52" i="17"/>
  <c r="AH113" i="17" s="1"/>
  <c r="AH112" i="17"/>
  <c r="AD66" i="17"/>
  <c r="AD68" i="17" s="1"/>
  <c r="AH64" i="17"/>
  <c r="AD48" i="17"/>
  <c r="AH47" i="17"/>
  <c r="AH77" i="17"/>
  <c r="AH13" i="17"/>
  <c r="AH14" i="17" s="1"/>
  <c r="AH10" i="17"/>
  <c r="AD46" i="17"/>
  <c r="AH45" i="17"/>
  <c r="AE66" i="17"/>
  <c r="AE68" i="17" s="1"/>
  <c r="AI64" i="17"/>
  <c r="AE60" i="11"/>
  <c r="AI59" i="11"/>
  <c r="AE123" i="10"/>
  <c r="AI122" i="10"/>
  <c r="AE65" i="11"/>
  <c r="AI65" i="11" s="1"/>
  <c r="U67" i="11"/>
  <c r="AB67" i="11"/>
  <c r="AD52" i="17"/>
  <c r="AD113" i="17" s="1"/>
  <c r="AD112" i="17"/>
  <c r="AE81" i="17"/>
  <c r="AD18" i="17"/>
  <c r="AE72" i="17"/>
  <c r="AI72" i="17" s="1"/>
  <c r="AE75" i="17"/>
  <c r="AI75" i="17" s="1"/>
  <c r="AO75" i="17" s="1"/>
  <c r="AE12" i="17"/>
  <c r="AE113" i="17" s="1"/>
  <c r="AE112" i="17"/>
  <c r="AE10" i="17"/>
  <c r="AB76" i="11"/>
  <c r="AB65" i="11"/>
  <c r="AF5" i="11"/>
  <c r="AB22" i="36"/>
  <c r="V5" i="11"/>
  <c r="V55" i="11" s="1"/>
  <c r="Y47" i="59" s="1"/>
  <c r="AA81" i="17"/>
  <c r="AA77" i="17"/>
  <c r="U110" i="17"/>
  <c r="U114" i="17" s="1"/>
  <c r="U50" i="17"/>
  <c r="U111" i="17" s="1"/>
  <c r="U115" i="17" s="1"/>
  <c r="U53" i="17"/>
  <c r="U54" i="17" s="1"/>
  <c r="Q123" i="10"/>
  <c r="Q53" i="17"/>
  <c r="Q54" i="17" s="1"/>
  <c r="Q50" i="17"/>
  <c r="Q111" i="17" s="1"/>
  <c r="Q115" i="17" s="1"/>
  <c r="Q110" i="17"/>
  <c r="Q114" i="17" s="1"/>
  <c r="Z21" i="17"/>
  <c r="Z32" i="17" s="1"/>
  <c r="Z81" i="17"/>
  <c r="Z77" i="17"/>
  <c r="Z66" i="17"/>
  <c r="Z68" i="17" s="1"/>
  <c r="R147" i="10"/>
  <c r="R149" i="10" s="1"/>
  <c r="R134" i="10"/>
  <c r="U45" i="59" s="1"/>
  <c r="AA66" i="17"/>
  <c r="AA68" i="17" s="1"/>
  <c r="Z59" i="17"/>
  <c r="Z61" i="17"/>
  <c r="AA43" i="17"/>
  <c r="AE43" i="17" s="1"/>
  <c r="AI43" i="17" s="1"/>
  <c r="AO43" i="17" s="1"/>
  <c r="R67" i="11"/>
  <c r="AV2" i="17"/>
  <c r="BD2" i="17" s="1"/>
  <c r="Z46" i="17"/>
  <c r="Z89" i="17"/>
  <c r="AD89" i="17" s="1"/>
  <c r="Z52" i="17"/>
  <c r="Z113" i="17" s="1"/>
  <c r="Z112" i="17"/>
  <c r="R65" i="11"/>
  <c r="R81" i="11"/>
  <c r="R76" i="11"/>
  <c r="N88" i="11"/>
  <c r="N86" i="11"/>
  <c r="N147" i="10"/>
  <c r="N149" i="10" s="1"/>
  <c r="R84" i="11"/>
  <c r="N71" i="11"/>
  <c r="Q49" i="59" s="1"/>
  <c r="N134" i="10"/>
  <c r="Q45" i="59" s="1"/>
  <c r="M5" i="10"/>
  <c r="M118" i="10" s="1"/>
  <c r="P43" i="59" s="1"/>
  <c r="I128" i="10"/>
  <c r="I130" i="10"/>
  <c r="J5" i="10"/>
  <c r="J118" i="10" s="1"/>
  <c r="M43" i="59" s="1"/>
  <c r="E90" i="9"/>
  <c r="I90" i="9" s="1"/>
  <c r="E86" i="9"/>
  <c r="AO73" i="17" l="1"/>
  <c r="AH61" i="17"/>
  <c r="J31" i="35"/>
  <c r="N29" i="35"/>
  <c r="AJ5" i="11"/>
  <c r="AJ55" i="11" s="1"/>
  <c r="AM47" i="59" s="1"/>
  <c r="AF55" i="11"/>
  <c r="AI47" i="59" s="1"/>
  <c r="J39" i="35"/>
  <c r="BD13" i="17"/>
  <c r="BD10" i="17"/>
  <c r="BD52" i="17"/>
  <c r="BD112" i="17"/>
  <c r="AO79" i="17"/>
  <c r="AO81" i="17" s="1"/>
  <c r="AW58" i="17"/>
  <c r="AW61" i="17" s="1"/>
  <c r="BE57" i="17"/>
  <c r="BE58" i="17" s="1"/>
  <c r="AW10" i="17"/>
  <c r="BE9" i="17"/>
  <c r="AH89" i="17"/>
  <c r="AV80" i="17"/>
  <c r="BD80" i="17" s="1"/>
  <c r="AV71" i="17"/>
  <c r="BD71" i="17" s="1"/>
  <c r="AV13" i="17"/>
  <c r="AV10" i="17"/>
  <c r="AV65" i="17"/>
  <c r="BD65" i="17" s="1"/>
  <c r="AV70" i="17"/>
  <c r="BD70" i="17" s="1"/>
  <c r="AV75" i="17"/>
  <c r="BD75" i="17" s="1"/>
  <c r="AV76" i="17"/>
  <c r="BD76" i="17" s="1"/>
  <c r="AV73" i="17"/>
  <c r="BD73" i="17" s="1"/>
  <c r="AV86" i="17"/>
  <c r="BD86" i="17" s="1"/>
  <c r="AV12" i="17"/>
  <c r="BD12" i="17" s="1"/>
  <c r="AV72" i="17"/>
  <c r="BD72" i="17" s="1"/>
  <c r="AV52" i="17"/>
  <c r="AV112" i="17"/>
  <c r="AV79" i="17"/>
  <c r="AR81" i="17"/>
  <c r="AI66" i="17"/>
  <c r="AI68" i="17" s="1"/>
  <c r="AO64" i="17"/>
  <c r="AN77" i="17"/>
  <c r="AR74" i="17"/>
  <c r="AR57" i="17"/>
  <c r="AN58" i="17"/>
  <c r="AO38" i="17"/>
  <c r="AO40" i="17"/>
  <c r="AO48" i="17"/>
  <c r="AO42" i="17"/>
  <c r="AO46" i="17"/>
  <c r="AO52" i="17"/>
  <c r="AO113" i="17" s="1"/>
  <c r="AO11" i="17"/>
  <c r="AR13" i="17"/>
  <c r="AR10" i="17"/>
  <c r="AH66" i="17"/>
  <c r="AH68" i="17" s="1"/>
  <c r="AN64" i="17"/>
  <c r="AR14" i="17"/>
  <c r="AH46" i="17"/>
  <c r="AN45" i="17"/>
  <c r="AS58" i="17"/>
  <c r="AO13" i="17"/>
  <c r="AR52" i="17"/>
  <c r="AR113" i="17" s="1"/>
  <c r="AR112" i="17"/>
  <c r="AS43" i="17"/>
  <c r="AW43" i="17" s="1"/>
  <c r="BE43" i="17" s="1"/>
  <c r="AO49" i="17"/>
  <c r="AO44" i="17"/>
  <c r="AH48" i="17"/>
  <c r="AN47" i="17"/>
  <c r="AO29" i="17"/>
  <c r="AO59" i="17"/>
  <c r="AO61" i="17"/>
  <c r="AS20" i="17"/>
  <c r="AW20" i="17" s="1"/>
  <c r="AO21" i="17"/>
  <c r="AN29" i="17"/>
  <c r="AR15" i="17"/>
  <c r="AS10" i="17"/>
  <c r="AO89" i="17"/>
  <c r="AE22" i="36"/>
  <c r="V22" i="36"/>
  <c r="J21" i="36"/>
  <c r="AI77" i="17"/>
  <c r="AO72" i="17"/>
  <c r="AI81" i="17"/>
  <c r="AI60" i="11"/>
  <c r="AO59" i="11"/>
  <c r="AO5" i="11"/>
  <c r="AO55" i="11" s="1"/>
  <c r="AR47" i="59" s="1"/>
  <c r="AI67" i="11"/>
  <c r="AP5" i="11"/>
  <c r="AP55" i="11" s="1"/>
  <c r="AS47" i="59" s="1"/>
  <c r="AJ81" i="11"/>
  <c r="AJ88" i="11" s="1"/>
  <c r="AJ76" i="11"/>
  <c r="AJ67" i="11"/>
  <c r="AI123" i="10"/>
  <c r="AO122" i="10"/>
  <c r="BC123" i="10" s="1"/>
  <c r="AD21" i="17"/>
  <c r="AD33" i="17" s="1"/>
  <c r="AH18" i="17"/>
  <c r="AN18" i="17" s="1"/>
  <c r="AI49" i="17"/>
  <c r="AI44" i="17"/>
  <c r="AI113" i="17"/>
  <c r="AI14" i="17"/>
  <c r="AE77" i="17"/>
  <c r="V65" i="11"/>
  <c r="AD31" i="17"/>
  <c r="AF65" i="11"/>
  <c r="AJ65" i="11" s="1"/>
  <c r="AP65" i="11" s="1"/>
  <c r="AE14" i="17"/>
  <c r="AE49" i="17"/>
  <c r="AE44" i="17"/>
  <c r="AA5" i="10"/>
  <c r="V76" i="11"/>
  <c r="V81" i="11"/>
  <c r="V88" i="11" s="1"/>
  <c r="V67" i="11"/>
  <c r="AF81" i="11"/>
  <c r="AF88" i="11" s="1"/>
  <c r="AF76" i="11"/>
  <c r="AF67" i="11"/>
  <c r="Q5" i="10"/>
  <c r="Q118" i="10" s="1"/>
  <c r="T43" i="59" s="1"/>
  <c r="Z33" i="17"/>
  <c r="Z31" i="17"/>
  <c r="Z30" i="17"/>
  <c r="Z34" i="17"/>
  <c r="R88" i="11"/>
  <c r="AS2" i="17"/>
  <c r="AA44" i="17"/>
  <c r="AA49" i="17"/>
  <c r="AA53" i="17" s="1"/>
  <c r="AA54" i="17" s="1"/>
  <c r="M90" i="9"/>
  <c r="J144" i="10"/>
  <c r="J151" i="10" s="1"/>
  <c r="M128" i="10"/>
  <c r="R86" i="11"/>
  <c r="R53" i="11"/>
  <c r="R71" i="11"/>
  <c r="U49" i="59" s="1"/>
  <c r="J139" i="10"/>
  <c r="J128" i="10"/>
  <c r="J130" i="10"/>
  <c r="M130" i="10"/>
  <c r="N5" i="10"/>
  <c r="N118" i="10" s="1"/>
  <c r="Q43" i="59" s="1"/>
  <c r="I87" i="9"/>
  <c r="J94" i="9"/>
  <c r="N94" i="9" s="1"/>
  <c r="J90" i="9"/>
  <c r="N90" i="9" s="1"/>
  <c r="J87" i="9"/>
  <c r="I94" i="9"/>
  <c r="M94" i="9" s="1"/>
  <c r="AS79" i="17" l="1"/>
  <c r="F34" i="35"/>
  <c r="J32" i="35"/>
  <c r="N39" i="35"/>
  <c r="N31" i="35"/>
  <c r="R29" i="35"/>
  <c r="R55" i="11"/>
  <c r="R57" i="11"/>
  <c r="AA130" i="10"/>
  <c r="AA118" i="10"/>
  <c r="AD43" i="59" s="1"/>
  <c r="BD113" i="17"/>
  <c r="BD14" i="17"/>
  <c r="BE61" i="17"/>
  <c r="AW21" i="17"/>
  <c r="BE20" i="17"/>
  <c r="BE21" i="17" s="1"/>
  <c r="BE49" i="17"/>
  <c r="BE10" i="17"/>
  <c r="AV81" i="17"/>
  <c r="BD79" i="17"/>
  <c r="BD81" i="17" s="1"/>
  <c r="AS89" i="17"/>
  <c r="AW89" i="17" s="1"/>
  <c r="BE89" i="17" s="1"/>
  <c r="AO14" i="17"/>
  <c r="AR77" i="17"/>
  <c r="AV74" i="17"/>
  <c r="BD74" i="17" s="1"/>
  <c r="BD77" i="17" s="1"/>
  <c r="AV14" i="17"/>
  <c r="AV113" i="17"/>
  <c r="AS5" i="11"/>
  <c r="AS55" i="11" s="1"/>
  <c r="AV47" i="59" s="1"/>
  <c r="AW49" i="17"/>
  <c r="AT5" i="11"/>
  <c r="AT55" i="11" s="1"/>
  <c r="AW47" i="59" s="1"/>
  <c r="AO60" i="11"/>
  <c r="AS59" i="11"/>
  <c r="AR29" i="17"/>
  <c r="AV15" i="17"/>
  <c r="AR58" i="17"/>
  <c r="AR61" i="17" s="1"/>
  <c r="AV57" i="17"/>
  <c r="N87" i="9"/>
  <c r="M14" i="15" s="1"/>
  <c r="M16" i="15" s="1"/>
  <c r="I14" i="15"/>
  <c r="I16" i="15" s="1"/>
  <c r="AR18" i="17"/>
  <c r="AN21" i="17"/>
  <c r="AN48" i="17"/>
  <c r="AR47" i="17"/>
  <c r="AS49" i="17"/>
  <c r="AS44" i="17"/>
  <c r="AS70" i="17"/>
  <c r="AS76" i="17"/>
  <c r="AS80" i="17"/>
  <c r="AS21" i="17"/>
  <c r="AN46" i="17"/>
  <c r="AR45" i="17"/>
  <c r="AS65" i="17"/>
  <c r="AN59" i="17"/>
  <c r="AN61" i="17"/>
  <c r="AS64" i="17"/>
  <c r="AO66" i="17"/>
  <c r="AO68" i="17" s="1"/>
  <c r="AS13" i="17"/>
  <c r="AS61" i="17"/>
  <c r="AS59" i="17"/>
  <c r="AN66" i="17"/>
  <c r="AN68" i="17" s="1"/>
  <c r="AR64" i="17"/>
  <c r="AS52" i="17"/>
  <c r="AS48" i="17"/>
  <c r="AS40" i="17"/>
  <c r="AS38" i="17"/>
  <c r="AS46" i="17"/>
  <c r="AS42" i="17"/>
  <c r="AS11" i="17"/>
  <c r="AS12" i="17"/>
  <c r="AS29" i="17"/>
  <c r="AO77" i="17"/>
  <c r="AS72" i="17"/>
  <c r="AS73" i="17"/>
  <c r="AO50" i="17"/>
  <c r="AO111" i="17" s="1"/>
  <c r="AO115" i="17" s="1"/>
  <c r="AO53" i="17"/>
  <c r="AO54" i="17" s="1"/>
  <c r="AO110" i="17"/>
  <c r="AO114" i="17" s="1"/>
  <c r="AS71" i="17"/>
  <c r="AN89" i="17"/>
  <c r="AS74" i="17"/>
  <c r="AS67" i="17"/>
  <c r="AS75" i="17"/>
  <c r="AO123" i="10"/>
  <c r="AS122" i="10"/>
  <c r="AP22" i="36"/>
  <c r="AJ22" i="36"/>
  <c r="AI22" i="36"/>
  <c r="AF22" i="36"/>
  <c r="Q21" i="36"/>
  <c r="M21" i="36"/>
  <c r="AD30" i="17"/>
  <c r="AD32" i="17"/>
  <c r="AD34" i="17"/>
  <c r="AO67" i="11"/>
  <c r="AP81" i="11"/>
  <c r="AP88" i="11" s="1"/>
  <c r="AP76" i="11"/>
  <c r="AP67" i="11"/>
  <c r="AO65" i="11"/>
  <c r="AI53" i="17"/>
  <c r="AI54" i="17" s="1"/>
  <c r="AI50" i="17"/>
  <c r="AI111" i="17" s="1"/>
  <c r="AI115" i="17" s="1"/>
  <c r="AI110" i="17"/>
  <c r="AI114" i="17" s="1"/>
  <c r="AH21" i="17"/>
  <c r="AA128" i="10"/>
  <c r="AE50" i="17"/>
  <c r="AE111" i="17" s="1"/>
  <c r="AE115" i="17" s="1"/>
  <c r="AE53" i="17"/>
  <c r="AE54" i="17" s="1"/>
  <c r="AE110" i="17"/>
  <c r="AE114" i="17" s="1"/>
  <c r="AB5" i="10"/>
  <c r="AE5" i="10"/>
  <c r="R5" i="10"/>
  <c r="R118" i="10" s="1"/>
  <c r="U43" i="59" s="1"/>
  <c r="U5" i="10"/>
  <c r="U118" i="10" s="1"/>
  <c r="X43" i="59" s="1"/>
  <c r="Q128" i="10"/>
  <c r="Q130" i="10"/>
  <c r="AW2" i="17"/>
  <c r="R90" i="9"/>
  <c r="V90" i="9" s="1"/>
  <c r="V91" i="9" s="1"/>
  <c r="R87" i="9"/>
  <c r="AA50" i="17"/>
  <c r="AA111" i="17" s="1"/>
  <c r="AA115" i="17" s="1"/>
  <c r="AA110" i="17"/>
  <c r="AA114" i="17" s="1"/>
  <c r="M87" i="9"/>
  <c r="Q90" i="9"/>
  <c r="U90" i="9" s="1"/>
  <c r="Q94" i="9"/>
  <c r="U94" i="9" s="1"/>
  <c r="R94" i="9"/>
  <c r="V94" i="9" s="1"/>
  <c r="V95" i="9" s="1"/>
  <c r="N139" i="10"/>
  <c r="N144" i="10"/>
  <c r="N151" i="10" s="1"/>
  <c r="N128" i="10"/>
  <c r="N130" i="10"/>
  <c r="I41" i="9"/>
  <c r="M41" i="9" s="1"/>
  <c r="Q41" i="9" s="1"/>
  <c r="U41" i="9" s="1"/>
  <c r="I32" i="9"/>
  <c r="M32" i="9" s="1"/>
  <c r="Q32" i="9" s="1"/>
  <c r="U32" i="9" s="1"/>
  <c r="E46" i="9"/>
  <c r="I23" i="9"/>
  <c r="I18" i="9"/>
  <c r="E30" i="9"/>
  <c r="J2" i="9"/>
  <c r="I2" i="9"/>
  <c r="AA21" i="36" l="1"/>
  <c r="N32" i="35"/>
  <c r="J34" i="35"/>
  <c r="F43" i="35"/>
  <c r="F44" i="35" s="1"/>
  <c r="F35" i="35"/>
  <c r="AI5" i="10"/>
  <c r="AE118" i="10"/>
  <c r="AH43" i="59" s="1"/>
  <c r="R31" i="35"/>
  <c r="V29" i="35"/>
  <c r="AB118" i="10"/>
  <c r="AE43" i="59" s="1"/>
  <c r="R39" i="35"/>
  <c r="U47" i="59"/>
  <c r="R22" i="36"/>
  <c r="AW79" i="17"/>
  <c r="BE2" i="17"/>
  <c r="AV58" i="17"/>
  <c r="BD57" i="17"/>
  <c r="BD58" i="17" s="1"/>
  <c r="BE53" i="17"/>
  <c r="BE110" i="17"/>
  <c r="BE114" i="17" s="1"/>
  <c r="AV29" i="17"/>
  <c r="BD15" i="17"/>
  <c r="BD29" i="17" s="1"/>
  <c r="AV77" i="17"/>
  <c r="AR89" i="17"/>
  <c r="AV89" i="17" s="1"/>
  <c r="BD89" i="17" s="1"/>
  <c r="AR59" i="17"/>
  <c r="AO22" i="36"/>
  <c r="AW74" i="17"/>
  <c r="BE74" i="17" s="1"/>
  <c r="AR66" i="17"/>
  <c r="AR68" i="17" s="1"/>
  <c r="AV64" i="17"/>
  <c r="AW70" i="17"/>
  <c r="BE70" i="17" s="1"/>
  <c r="AX5" i="11"/>
  <c r="AT81" i="11"/>
  <c r="AT88" i="11" s="1"/>
  <c r="AT76" i="11"/>
  <c r="AT67" i="11"/>
  <c r="AW50" i="17"/>
  <c r="AW53" i="17"/>
  <c r="AW54" i="17" s="1"/>
  <c r="AW110" i="17"/>
  <c r="AW114" i="17" s="1"/>
  <c r="AW65" i="17"/>
  <c r="BE65" i="17" s="1"/>
  <c r="AV59" i="17"/>
  <c r="AV61" i="17"/>
  <c r="AW59" i="11"/>
  <c r="AS60" i="11"/>
  <c r="AS65" i="11"/>
  <c r="AW5" i="11"/>
  <c r="AS67" i="11"/>
  <c r="AW40" i="17"/>
  <c r="AW38" i="17"/>
  <c r="AW52" i="17"/>
  <c r="AW48" i="17"/>
  <c r="AW46" i="17"/>
  <c r="AW42" i="17"/>
  <c r="AW11" i="17"/>
  <c r="AW12" i="17"/>
  <c r="AW29" i="17"/>
  <c r="AW59" i="17"/>
  <c r="AW13" i="17"/>
  <c r="AW75" i="17"/>
  <c r="BE75" i="17" s="1"/>
  <c r="AW71" i="17"/>
  <c r="BE71" i="17" s="1"/>
  <c r="AW73" i="17"/>
  <c r="BE73" i="17" s="1"/>
  <c r="AW64" i="17"/>
  <c r="AR46" i="17"/>
  <c r="AV45" i="17"/>
  <c r="AS81" i="17"/>
  <c r="AW80" i="17"/>
  <c r="AR21" i="17"/>
  <c r="AR31" i="17" s="1"/>
  <c r="AV18" i="17"/>
  <c r="AW67" i="17"/>
  <c r="BE67" i="17" s="1"/>
  <c r="AW72" i="17"/>
  <c r="BE72" i="17" s="1"/>
  <c r="AW76" i="17"/>
  <c r="BE76" i="17" s="1"/>
  <c r="AR48" i="17"/>
  <c r="AV47" i="17"/>
  <c r="AT65" i="11"/>
  <c r="AW44" i="17"/>
  <c r="V87" i="9"/>
  <c r="U14" i="15" s="1"/>
  <c r="U16" i="15" s="1"/>
  <c r="Q14" i="15"/>
  <c r="Q16" i="15" s="1"/>
  <c r="AS123" i="10"/>
  <c r="AW122" i="10"/>
  <c r="AS77" i="17"/>
  <c r="AS113" i="17"/>
  <c r="AS66" i="17"/>
  <c r="AS68" i="17" s="1"/>
  <c r="AS50" i="17"/>
  <c r="AS111" i="17" s="1"/>
  <c r="AS53" i="17"/>
  <c r="AS54" i="17" s="1"/>
  <c r="AS110" i="17"/>
  <c r="AS114" i="17" s="1"/>
  <c r="AR30" i="17"/>
  <c r="AN31" i="17"/>
  <c r="AN33" i="17"/>
  <c r="AN30" i="17"/>
  <c r="AN32" i="17"/>
  <c r="AS14" i="17"/>
  <c r="R21" i="36"/>
  <c r="N21" i="36"/>
  <c r="U21" i="36"/>
  <c r="AH34" i="17"/>
  <c r="AN34" i="17" s="1"/>
  <c r="AH30" i="17"/>
  <c r="AH31" i="17"/>
  <c r="AH33" i="17"/>
  <c r="AH32" i="17"/>
  <c r="AI130" i="10"/>
  <c r="AB128" i="10"/>
  <c r="AB144" i="10"/>
  <c r="AB151" i="10" s="1"/>
  <c r="AE128" i="10"/>
  <c r="AI128" i="10" s="1"/>
  <c r="AB139" i="10"/>
  <c r="AB130" i="10"/>
  <c r="AF5" i="10"/>
  <c r="AF118" i="10" s="1"/>
  <c r="AI43" i="59" s="1"/>
  <c r="AE130" i="10"/>
  <c r="R128" i="10"/>
  <c r="U128" i="10"/>
  <c r="U130" i="10"/>
  <c r="V5" i="10"/>
  <c r="V118" i="10" s="1"/>
  <c r="Y43" i="59" s="1"/>
  <c r="V89" i="9"/>
  <c r="U18" i="15" s="1"/>
  <c r="R144" i="10"/>
  <c r="R151" i="10" s="1"/>
  <c r="R130" i="10"/>
  <c r="R139" i="10"/>
  <c r="J98" i="9"/>
  <c r="J92" i="9"/>
  <c r="J93" i="9"/>
  <c r="AA41" i="9"/>
  <c r="AA32" i="9"/>
  <c r="I50" i="9"/>
  <c r="M18" i="9"/>
  <c r="Q18" i="9" s="1"/>
  <c r="U18" i="9" s="1"/>
  <c r="M89" i="9"/>
  <c r="L18" i="15" s="1"/>
  <c r="I99" i="9"/>
  <c r="I84" i="9"/>
  <c r="I91" i="9"/>
  <c r="I89" i="9"/>
  <c r="H18" i="15" s="1"/>
  <c r="Q87" i="9"/>
  <c r="U87" i="9" s="1"/>
  <c r="I88" i="9"/>
  <c r="M23" i="9"/>
  <c r="H90" i="26"/>
  <c r="I64" i="9"/>
  <c r="I30" i="9"/>
  <c r="M30" i="9" s="1"/>
  <c r="Q30" i="9" s="1"/>
  <c r="U30" i="9" s="1"/>
  <c r="I93" i="9"/>
  <c r="I92" i="9"/>
  <c r="I33" i="22"/>
  <c r="I54" i="9"/>
  <c r="I56" i="9" s="1"/>
  <c r="I66" i="9"/>
  <c r="I58" i="9"/>
  <c r="I61" i="9"/>
  <c r="I27" i="9"/>
  <c r="M27" i="9" s="1"/>
  <c r="Q27" i="9" s="1"/>
  <c r="U27" i="9" s="1"/>
  <c r="I46" i="9"/>
  <c r="E28" i="9"/>
  <c r="E29" i="9" s="1"/>
  <c r="I60" i="9"/>
  <c r="I65" i="9"/>
  <c r="I57" i="9"/>
  <c r="I62" i="9"/>
  <c r="I67" i="9"/>
  <c r="F45" i="9"/>
  <c r="H45" i="9"/>
  <c r="I25" i="9"/>
  <c r="M25" i="9" s="1"/>
  <c r="M2" i="9"/>
  <c r="I98" i="9"/>
  <c r="N2" i="9"/>
  <c r="R2" i="9" s="1"/>
  <c r="V2" i="9" s="1"/>
  <c r="I22" i="9"/>
  <c r="I96" i="9"/>
  <c r="J61" i="9"/>
  <c r="I45" i="48" s="1"/>
  <c r="J57" i="9"/>
  <c r="I44" i="48" s="1"/>
  <c r="J11" i="9"/>
  <c r="N11" i="9" s="1"/>
  <c r="R11" i="9" s="1"/>
  <c r="J66" i="9"/>
  <c r="J133" i="9" s="1"/>
  <c r="J135" i="9" s="1"/>
  <c r="J54" i="9"/>
  <c r="J60" i="9"/>
  <c r="I46" i="48" s="1"/>
  <c r="J59" i="9"/>
  <c r="J64" i="9"/>
  <c r="J35" i="9"/>
  <c r="N35" i="9" s="1"/>
  <c r="J33" i="9"/>
  <c r="N33" i="9" s="1"/>
  <c r="R33" i="9" s="1"/>
  <c r="J43" i="9"/>
  <c r="H34" i="9"/>
  <c r="H40" i="9" s="1"/>
  <c r="J65" i="9"/>
  <c r="J18" i="9"/>
  <c r="I97" i="9"/>
  <c r="I95" i="9"/>
  <c r="J23" i="9"/>
  <c r="J9" i="9"/>
  <c r="N9" i="9" s="1"/>
  <c r="R9" i="9" s="1"/>
  <c r="J36" i="9"/>
  <c r="N36" i="9" s="1"/>
  <c r="F34" i="9"/>
  <c r="F40" i="9" s="1"/>
  <c r="J7" i="9"/>
  <c r="J22" i="9"/>
  <c r="J83" i="9"/>
  <c r="N83" i="9" s="1"/>
  <c r="R83" i="9" s="1"/>
  <c r="J58" i="9"/>
  <c r="I43" i="48" s="1"/>
  <c r="J62" i="9"/>
  <c r="J63" i="22" s="1"/>
  <c r="J65" i="22" s="1"/>
  <c r="J66" i="22" s="1"/>
  <c r="I40" i="48" s="1"/>
  <c r="J67" i="9"/>
  <c r="J58" i="22" s="1"/>
  <c r="J60" i="22" s="1"/>
  <c r="J61" i="22" s="1"/>
  <c r="I37" i="48" s="1"/>
  <c r="J30" i="9"/>
  <c r="N30" i="9" s="1"/>
  <c r="R30" i="9" s="1"/>
  <c r="H10" i="9"/>
  <c r="J32" i="9"/>
  <c r="N32" i="9" s="1"/>
  <c r="J41" i="9"/>
  <c r="N41" i="9" s="1"/>
  <c r="J8" i="9"/>
  <c r="N8" i="9" s="1"/>
  <c r="F10" i="9"/>
  <c r="F14" i="9" s="1"/>
  <c r="J27" i="9"/>
  <c r="N27" i="9" s="1"/>
  <c r="J12" i="9"/>
  <c r="N12" i="9" s="1"/>
  <c r="R12" i="9" s="1"/>
  <c r="J26" i="9"/>
  <c r="N26" i="9" s="1"/>
  <c r="J25" i="9"/>
  <c r="N25" i="9" s="1"/>
  <c r="J2" i="8"/>
  <c r="J75" i="8" s="1"/>
  <c r="I2" i="8"/>
  <c r="J43" i="35" l="1"/>
  <c r="J44" i="35" s="1"/>
  <c r="J35" i="35"/>
  <c r="G74" i="50"/>
  <c r="G72" i="50" s="1"/>
  <c r="F25" i="36"/>
  <c r="I55" i="59" s="1"/>
  <c r="R32" i="35"/>
  <c r="N34" i="35"/>
  <c r="V31" i="35"/>
  <c r="AB29" i="35"/>
  <c r="BE5" i="11"/>
  <c r="AW55" i="11"/>
  <c r="AZ47" i="59" s="1"/>
  <c r="BF5" i="11"/>
  <c r="AX55" i="11"/>
  <c r="BA47" i="59" s="1"/>
  <c r="BE54" i="17"/>
  <c r="V39" i="35"/>
  <c r="AB21" i="36"/>
  <c r="AO5" i="10"/>
  <c r="AI118" i="10"/>
  <c r="AL43" i="59" s="1"/>
  <c r="AV66" i="17"/>
  <c r="AV68" i="17" s="1"/>
  <c r="BD64" i="17"/>
  <c r="BD66" i="17" s="1"/>
  <c r="BD68" i="17" s="1"/>
  <c r="BD59" i="17"/>
  <c r="BD61" i="17"/>
  <c r="AW66" i="17"/>
  <c r="BE64" i="17"/>
  <c r="BE66" i="17" s="1"/>
  <c r="BE68" i="17" s="1"/>
  <c r="AV48" i="17"/>
  <c r="BD47" i="17"/>
  <c r="BD48" i="17" s="1"/>
  <c r="BE40" i="17"/>
  <c r="BE48" i="17"/>
  <c r="BE38" i="17"/>
  <c r="BE52" i="17"/>
  <c r="BE46" i="17"/>
  <c r="BE42" i="17"/>
  <c r="BE11" i="17"/>
  <c r="BE29" i="17"/>
  <c r="BE12" i="17"/>
  <c r="BE13" i="17"/>
  <c r="BE59" i="17"/>
  <c r="BE44" i="17"/>
  <c r="AV21" i="17"/>
  <c r="BD18" i="17"/>
  <c r="BD21" i="17" s="1"/>
  <c r="AV46" i="17"/>
  <c r="BD45" i="17"/>
  <c r="BD46" i="17" s="1"/>
  <c r="BE50" i="17"/>
  <c r="BE79" i="17"/>
  <c r="AW60" i="11"/>
  <c r="BE59" i="11"/>
  <c r="BE60" i="11" s="1"/>
  <c r="AR32" i="17"/>
  <c r="AR33" i="17"/>
  <c r="AR34" i="17"/>
  <c r="AW81" i="17"/>
  <c r="BE80" i="17"/>
  <c r="BE77" i="17"/>
  <c r="AW111" i="17"/>
  <c r="AW113" i="17"/>
  <c r="AW123" i="10"/>
  <c r="BE122" i="10"/>
  <c r="BE123" i="10" s="1"/>
  <c r="AW65" i="11"/>
  <c r="BE65" i="11" s="1"/>
  <c r="AW67" i="11"/>
  <c r="AT22" i="36"/>
  <c r="AV31" i="17"/>
  <c r="AV30" i="17"/>
  <c r="AV33" i="17"/>
  <c r="AV32" i="17"/>
  <c r="AX65" i="11"/>
  <c r="BF65" i="11" s="1"/>
  <c r="AX81" i="11"/>
  <c r="AX88" i="11" s="1"/>
  <c r="AX76" i="11"/>
  <c r="AX67" i="11"/>
  <c r="AW68" i="17"/>
  <c r="AW14" i="17"/>
  <c r="AS22" i="36"/>
  <c r="AW77" i="17"/>
  <c r="AS115" i="17"/>
  <c r="V21" i="36"/>
  <c r="AE21" i="36"/>
  <c r="AI21" i="36"/>
  <c r="AJ5" i="10"/>
  <c r="AE32" i="9"/>
  <c r="AF139" i="10"/>
  <c r="AE41" i="9"/>
  <c r="AF144" i="10"/>
  <c r="AF151" i="10" s="1"/>
  <c r="AF128" i="10"/>
  <c r="AF130" i="10"/>
  <c r="N7" i="9"/>
  <c r="R7" i="9" s="1"/>
  <c r="V7" i="9" s="1"/>
  <c r="V144" i="10"/>
  <c r="V151" i="10" s="1"/>
  <c r="V139" i="10"/>
  <c r="V130" i="10"/>
  <c r="V128" i="10"/>
  <c r="V11" i="9"/>
  <c r="AB11" i="9" s="1"/>
  <c r="V12" i="9"/>
  <c r="AB12" i="9" s="1"/>
  <c r="V9" i="9"/>
  <c r="V33" i="9"/>
  <c r="V83" i="9"/>
  <c r="AB83" i="9" s="1"/>
  <c r="V30" i="9"/>
  <c r="AB30" i="9" s="1"/>
  <c r="N43" i="9"/>
  <c r="R43" i="9" s="1"/>
  <c r="M98" i="9"/>
  <c r="M2" i="8"/>
  <c r="Q2" i="8" s="1"/>
  <c r="U2" i="8" s="1"/>
  <c r="AA2" i="8" s="1"/>
  <c r="I75" i="8"/>
  <c r="M97" i="9"/>
  <c r="H14" i="9"/>
  <c r="J136" i="9"/>
  <c r="J110" i="7"/>
  <c r="M93" i="9"/>
  <c r="N34" i="9"/>
  <c r="R32" i="9"/>
  <c r="V32" i="9" s="1"/>
  <c r="N23" i="9"/>
  <c r="J96" i="9"/>
  <c r="J56" i="9"/>
  <c r="I42" i="48" s="1"/>
  <c r="N54" i="9"/>
  <c r="M92" i="9"/>
  <c r="N92" i="9"/>
  <c r="R92" i="9" s="1"/>
  <c r="V92" i="9" s="1"/>
  <c r="AB2" i="9"/>
  <c r="Z2" i="9"/>
  <c r="I52" i="9"/>
  <c r="I70" i="9"/>
  <c r="N98" i="9"/>
  <c r="R98" i="9" s="1"/>
  <c r="V98" i="9" s="1"/>
  <c r="AB87" i="9"/>
  <c r="I71" i="9"/>
  <c r="N22" i="9"/>
  <c r="N18" i="9"/>
  <c r="J50" i="9"/>
  <c r="N93" i="9"/>
  <c r="R93" i="9" s="1"/>
  <c r="V93" i="9" s="1"/>
  <c r="AB90" i="9"/>
  <c r="AF90" i="9" s="1"/>
  <c r="M46" i="9"/>
  <c r="M70" i="9" s="1"/>
  <c r="I74" i="9"/>
  <c r="I78" i="9"/>
  <c r="AA27" i="9"/>
  <c r="M28" i="9"/>
  <c r="Q25" i="9"/>
  <c r="U25" i="9" s="1"/>
  <c r="U28" i="9" s="1"/>
  <c r="AA18" i="9"/>
  <c r="Y84" i="9"/>
  <c r="M50" i="9"/>
  <c r="Q50" i="9" s="1"/>
  <c r="U50" i="9" s="1"/>
  <c r="M99" i="9"/>
  <c r="M54" i="9"/>
  <c r="M56" i="9" s="1"/>
  <c r="I69" i="9"/>
  <c r="AA30" i="9"/>
  <c r="M84" i="9"/>
  <c r="M95" i="9"/>
  <c r="M91" i="9"/>
  <c r="Y91" i="9"/>
  <c r="AA90" i="9"/>
  <c r="AB94" i="9"/>
  <c r="AF94" i="9" s="1"/>
  <c r="AA94" i="9"/>
  <c r="R27" i="9"/>
  <c r="V27" i="9" s="1"/>
  <c r="N62" i="9"/>
  <c r="N63" i="22" s="1"/>
  <c r="N65" i="9"/>
  <c r="R65" i="9" s="1"/>
  <c r="V65" i="9" s="1"/>
  <c r="N37" i="9"/>
  <c r="R35" i="9"/>
  <c r="V35" i="9" s="1"/>
  <c r="N38" i="9"/>
  <c r="N46" i="9" s="1"/>
  <c r="N61" i="9"/>
  <c r="M45" i="48" s="1"/>
  <c r="I77" i="9"/>
  <c r="L41" i="59" s="1"/>
  <c r="M62" i="9"/>
  <c r="M58" i="9"/>
  <c r="I73" i="9"/>
  <c r="N67" i="9"/>
  <c r="N58" i="22" s="1"/>
  <c r="N60" i="22" s="1"/>
  <c r="N61" i="22" s="1"/>
  <c r="M37" i="48" s="1"/>
  <c r="R25" i="9"/>
  <c r="V25" i="9" s="1"/>
  <c r="N58" i="9"/>
  <c r="M43" i="48" s="1"/>
  <c r="N64" i="9"/>
  <c r="N66" i="9"/>
  <c r="N133" i="9" s="1"/>
  <c r="N135" i="9" s="1"/>
  <c r="I72" i="9"/>
  <c r="M57" i="9"/>
  <c r="I81" i="9"/>
  <c r="M66" i="9"/>
  <c r="R41" i="9"/>
  <c r="V41" i="9" s="1"/>
  <c r="N28" i="9"/>
  <c r="N29" i="9" s="1"/>
  <c r="R26" i="9"/>
  <c r="R8" i="9"/>
  <c r="V8" i="9" s="1"/>
  <c r="AB8" i="9" s="1"/>
  <c r="AF8" i="9" s="1"/>
  <c r="AJ8" i="9" s="1"/>
  <c r="N10" i="9"/>
  <c r="N39" i="9"/>
  <c r="R36" i="9"/>
  <c r="V36" i="9" s="1"/>
  <c r="M65" i="9"/>
  <c r="I80" i="9"/>
  <c r="N60" i="9"/>
  <c r="M46" i="48" s="1"/>
  <c r="N57" i="9"/>
  <c r="M44" i="48" s="1"/>
  <c r="M67" i="9"/>
  <c r="I82" i="9"/>
  <c r="L40" i="59" s="1"/>
  <c r="I75" i="9"/>
  <c r="M60" i="9"/>
  <c r="I76" i="9"/>
  <c r="K61" i="9" s="1"/>
  <c r="M61" i="9" s="1"/>
  <c r="I79" i="9"/>
  <c r="M64" i="9"/>
  <c r="M96" i="9"/>
  <c r="Q23" i="9"/>
  <c r="U23" i="9" s="1"/>
  <c r="M88" i="9"/>
  <c r="I85" i="9"/>
  <c r="I86" i="9" s="1"/>
  <c r="M22" i="9"/>
  <c r="M85" i="9" s="1"/>
  <c r="N2" i="8"/>
  <c r="R2" i="8" s="1"/>
  <c r="V2" i="8" s="1"/>
  <c r="AB2" i="8" s="1"/>
  <c r="J67" i="8"/>
  <c r="M32" i="59" s="1"/>
  <c r="J74" i="8"/>
  <c r="N59" i="9"/>
  <c r="H77" i="26"/>
  <c r="H76" i="26"/>
  <c r="H83" i="26"/>
  <c r="H87" i="26"/>
  <c r="H81" i="26"/>
  <c r="H79" i="26"/>
  <c r="H78" i="26"/>
  <c r="H86" i="26"/>
  <c r="H82" i="26"/>
  <c r="H84" i="26"/>
  <c r="H85" i="26"/>
  <c r="H80" i="26"/>
  <c r="E33" i="8"/>
  <c r="L90" i="26"/>
  <c r="J123" i="9"/>
  <c r="N123" i="9" s="1"/>
  <c r="M33" i="22"/>
  <c r="J127" i="9"/>
  <c r="N127" i="9" s="1"/>
  <c r="J126" i="9"/>
  <c r="N126" i="9" s="1"/>
  <c r="J128" i="9"/>
  <c r="N128" i="9" s="1"/>
  <c r="J125" i="9"/>
  <c r="N125" i="9" s="1"/>
  <c r="R125" i="9" s="1"/>
  <c r="J124" i="9"/>
  <c r="N124" i="9" s="1"/>
  <c r="J57" i="8"/>
  <c r="J49" i="8" s="1"/>
  <c r="J59" i="8"/>
  <c r="J50" i="8" s="1"/>
  <c r="J45" i="9"/>
  <c r="I28" i="9"/>
  <c r="I51" i="9" s="1"/>
  <c r="L39" i="59" s="1"/>
  <c r="Q2" i="9"/>
  <c r="U2" i="9" s="1"/>
  <c r="I28" i="8"/>
  <c r="M77" i="8"/>
  <c r="Q77" i="8" s="1"/>
  <c r="I74" i="8"/>
  <c r="M74" i="8" s="1"/>
  <c r="Q74" i="8" s="1"/>
  <c r="I29" i="8"/>
  <c r="J88" i="9"/>
  <c r="J10" i="9"/>
  <c r="H48" i="9"/>
  <c r="F48" i="9"/>
  <c r="J37" i="9"/>
  <c r="J39" i="9"/>
  <c r="J47" i="9" s="1"/>
  <c r="I26" i="8"/>
  <c r="J38" i="9"/>
  <c r="J46" i="9" s="1"/>
  <c r="J34" i="9"/>
  <c r="J28" i="9"/>
  <c r="J29" i="9" s="1"/>
  <c r="I27" i="8"/>
  <c r="N43" i="35" l="1"/>
  <c r="N44" i="35" s="1"/>
  <c r="N35" i="35"/>
  <c r="J25" i="36"/>
  <c r="M55" i="59" s="1"/>
  <c r="K74" i="50"/>
  <c r="K72" i="50" s="1"/>
  <c r="R34" i="35"/>
  <c r="V32" i="35"/>
  <c r="BF81" i="11"/>
  <c r="BF88" i="11" s="1"/>
  <c r="BF55" i="11"/>
  <c r="BF76" i="11"/>
  <c r="BF67" i="11"/>
  <c r="AB39" i="35"/>
  <c r="AV34" i="17"/>
  <c r="BD34" i="17" s="1"/>
  <c r="AO118" i="10"/>
  <c r="AS5" i="10"/>
  <c r="AO130" i="10"/>
  <c r="BE55" i="11"/>
  <c r="BE67" i="11"/>
  <c r="AF29" i="35"/>
  <c r="AB31" i="35"/>
  <c r="AP5" i="10"/>
  <c r="AP118" i="10" s="1"/>
  <c r="AS43" i="59" s="1"/>
  <c r="AJ118" i="10"/>
  <c r="AM43" i="59" s="1"/>
  <c r="AO128" i="10"/>
  <c r="AS128" i="10" s="1"/>
  <c r="BE14" i="17"/>
  <c r="BD30" i="17"/>
  <c r="BD31" i="17"/>
  <c r="BD33" i="17"/>
  <c r="BD32" i="17"/>
  <c r="BE81" i="17"/>
  <c r="BE111" i="17"/>
  <c r="BE113" i="17"/>
  <c r="AW115" i="17"/>
  <c r="AW22" i="36"/>
  <c r="AX22" i="36"/>
  <c r="AF87" i="9"/>
  <c r="AA14" i="15"/>
  <c r="AA16" i="15" s="1"/>
  <c r="AI32" i="9"/>
  <c r="AO32" i="9" s="1"/>
  <c r="AS32" i="9" s="1"/>
  <c r="AW32" i="9" s="1"/>
  <c r="BE32" i="9" s="1"/>
  <c r="AF91" i="9"/>
  <c r="AJ90" i="9"/>
  <c r="AJ91" i="9" s="1"/>
  <c r="AI41" i="9"/>
  <c r="AO41" i="9" s="1"/>
  <c r="AS41" i="9" s="1"/>
  <c r="AW41" i="9" s="1"/>
  <c r="BE41" i="9" s="1"/>
  <c r="AT5" i="10"/>
  <c r="AF21" i="36"/>
  <c r="AP139" i="10"/>
  <c r="AP130" i="10"/>
  <c r="AJ144" i="10"/>
  <c r="AJ151" i="10" s="1"/>
  <c r="AJ139" i="10"/>
  <c r="AJ130" i="10"/>
  <c r="AJ128" i="10"/>
  <c r="AP128" i="10" s="1"/>
  <c r="AF95" i="9"/>
  <c r="AJ94" i="9"/>
  <c r="AJ95" i="9" s="1"/>
  <c r="N47" i="9"/>
  <c r="N48" i="9" s="1"/>
  <c r="N80" i="9" s="1"/>
  <c r="AE30" i="9"/>
  <c r="AE18" i="9"/>
  <c r="AI18" i="9" s="1"/>
  <c r="AF83" i="9"/>
  <c r="AF11" i="9"/>
  <c r="I7" i="9"/>
  <c r="AE94" i="9"/>
  <c r="AE90" i="9"/>
  <c r="AE27" i="9"/>
  <c r="AF89" i="9"/>
  <c r="AE18" i="15" s="1"/>
  <c r="AF30" i="9"/>
  <c r="AF12" i="9"/>
  <c r="AB74" i="8"/>
  <c r="AB75" i="8"/>
  <c r="AE2" i="8"/>
  <c r="AI2" i="8" s="1"/>
  <c r="AA74" i="8"/>
  <c r="AA75" i="8"/>
  <c r="M75" i="8"/>
  <c r="Q75" i="8" s="1"/>
  <c r="U75" i="8" s="1"/>
  <c r="AB7" i="9"/>
  <c r="R123" i="9"/>
  <c r="V37" i="9"/>
  <c r="V34" i="9"/>
  <c r="V38" i="9"/>
  <c r="V46" i="9" s="1"/>
  <c r="V39" i="9"/>
  <c r="V43" i="9"/>
  <c r="V45" i="9" s="1"/>
  <c r="U88" i="9"/>
  <c r="AB33" i="9"/>
  <c r="V26" i="9"/>
  <c r="V28" i="9" s="1"/>
  <c r="V29" i="9" s="1"/>
  <c r="U83" i="9"/>
  <c r="U29" i="9"/>
  <c r="V125" i="9"/>
  <c r="V123" i="9"/>
  <c r="V10" i="9"/>
  <c r="AB9" i="9"/>
  <c r="Q33" i="22"/>
  <c r="U77" i="8"/>
  <c r="U74" i="8"/>
  <c r="N45" i="9"/>
  <c r="N40" i="9"/>
  <c r="M52" i="9"/>
  <c r="N50" i="9"/>
  <c r="AB93" i="9"/>
  <c r="N67" i="8"/>
  <c r="Q32" i="59" s="1"/>
  <c r="N136" i="9"/>
  <c r="N110" i="7"/>
  <c r="J140" i="9"/>
  <c r="J141" i="9" s="1"/>
  <c r="J138" i="9"/>
  <c r="N75" i="8"/>
  <c r="R75" i="8" s="1"/>
  <c r="N65" i="22"/>
  <c r="N66" i="22" s="1"/>
  <c r="M40" i="48" s="1"/>
  <c r="N74" i="8"/>
  <c r="R74" i="8" s="1"/>
  <c r="J111" i="7"/>
  <c r="J112" i="7"/>
  <c r="J113" i="7" s="1"/>
  <c r="AF2" i="8"/>
  <c r="AO2" i="8"/>
  <c r="AS2" i="8" s="1"/>
  <c r="R22" i="9"/>
  <c r="V22" i="9" s="1"/>
  <c r="V85" i="9" s="1"/>
  <c r="Z29" i="9"/>
  <c r="Z98" i="9"/>
  <c r="Z92" i="9"/>
  <c r="Z93" i="9"/>
  <c r="N56" i="9"/>
  <c r="R54" i="9"/>
  <c r="V54" i="9" s="1"/>
  <c r="Q89" i="9"/>
  <c r="P18" i="15" s="1"/>
  <c r="Q93" i="9"/>
  <c r="U93" i="9" s="1"/>
  <c r="AB92" i="9"/>
  <c r="AF2" i="9"/>
  <c r="R34" i="9"/>
  <c r="F70" i="9"/>
  <c r="F71" i="9"/>
  <c r="F81" i="9"/>
  <c r="F77" i="9"/>
  <c r="I41" i="59" s="1"/>
  <c r="F73" i="9"/>
  <c r="F52" i="9"/>
  <c r="F82" i="9"/>
  <c r="I40" i="59" s="1"/>
  <c r="F80" i="9"/>
  <c r="F76" i="9"/>
  <c r="F72" i="9"/>
  <c r="F51" i="9"/>
  <c r="I39" i="59" s="1"/>
  <c r="F74" i="9"/>
  <c r="F79" i="9"/>
  <c r="F75" i="9"/>
  <c r="F69" i="9"/>
  <c r="F78" i="9"/>
  <c r="AA2" i="9"/>
  <c r="AE2" i="9" s="1"/>
  <c r="AI2" i="9" s="1"/>
  <c r="Y2" i="9"/>
  <c r="M71" i="9"/>
  <c r="R18" i="9"/>
  <c r="V18" i="9" s="1"/>
  <c r="H70" i="9"/>
  <c r="H71" i="9"/>
  <c r="H81" i="9"/>
  <c r="H77" i="9"/>
  <c r="K41" i="59" s="1"/>
  <c r="H73" i="9"/>
  <c r="H82" i="9"/>
  <c r="K40" i="59" s="1"/>
  <c r="H80" i="9"/>
  <c r="H76" i="9"/>
  <c r="H72" i="9"/>
  <c r="H74" i="9"/>
  <c r="H52" i="9"/>
  <c r="H79" i="9"/>
  <c r="H75" i="9"/>
  <c r="H69" i="9"/>
  <c r="H78" i="9"/>
  <c r="H51" i="9"/>
  <c r="K39" i="59" s="1"/>
  <c r="AB98" i="9"/>
  <c r="AF98" i="9" s="1"/>
  <c r="Q92" i="9"/>
  <c r="U92" i="9" s="1"/>
  <c r="N96" i="9"/>
  <c r="R23" i="9"/>
  <c r="V23" i="9" s="1"/>
  <c r="N88" i="9"/>
  <c r="Q98" i="9"/>
  <c r="U98" i="9" s="1"/>
  <c r="R124" i="9"/>
  <c r="V124" i="9" s="1"/>
  <c r="Q46" i="9"/>
  <c r="M74" i="9"/>
  <c r="M78" i="9"/>
  <c r="Q28" i="9"/>
  <c r="M83" i="9"/>
  <c r="M51" i="9"/>
  <c r="P39" i="59" s="1"/>
  <c r="M29" i="9"/>
  <c r="M86" i="9"/>
  <c r="AA50" i="9"/>
  <c r="Q99" i="9"/>
  <c r="T90" i="26"/>
  <c r="Q84" i="9"/>
  <c r="Q95" i="9"/>
  <c r="Q91" i="9"/>
  <c r="AA87" i="9"/>
  <c r="M69" i="9"/>
  <c r="Q54" i="9"/>
  <c r="Q97" i="9"/>
  <c r="U97" i="9" s="1"/>
  <c r="R127" i="9"/>
  <c r="M79" i="9"/>
  <c r="Q64" i="9"/>
  <c r="U64" i="9" s="1"/>
  <c r="M75" i="9"/>
  <c r="Q60" i="9"/>
  <c r="U60" i="9" s="1"/>
  <c r="R66" i="9"/>
  <c r="R58" i="9"/>
  <c r="R67" i="9"/>
  <c r="R38" i="9"/>
  <c r="R46" i="9" s="1"/>
  <c r="M72" i="9"/>
  <c r="Q57" i="9"/>
  <c r="U57" i="9" s="1"/>
  <c r="Q96" i="9"/>
  <c r="U96" i="9" s="1"/>
  <c r="Q88" i="9"/>
  <c r="R60" i="9"/>
  <c r="M80" i="9"/>
  <c r="Q65" i="9"/>
  <c r="U65" i="9" s="1"/>
  <c r="R10" i="9"/>
  <c r="M73" i="9"/>
  <c r="Q58" i="9"/>
  <c r="U58" i="9" s="1"/>
  <c r="R61" i="9"/>
  <c r="R128" i="9"/>
  <c r="V128" i="9" s="1"/>
  <c r="R57" i="9"/>
  <c r="R45" i="9"/>
  <c r="R64" i="9"/>
  <c r="V64" i="9" s="1"/>
  <c r="R126" i="9"/>
  <c r="V126" i="9" s="1"/>
  <c r="R28" i="9"/>
  <c r="R29" i="9" s="1"/>
  <c r="R62" i="9"/>
  <c r="M76" i="9"/>
  <c r="O61" i="9" s="1"/>
  <c r="M82" i="9"/>
  <c r="P40" i="59" s="1"/>
  <c r="Q67" i="9"/>
  <c r="U67" i="9" s="1"/>
  <c r="R37" i="9"/>
  <c r="AB36" i="9"/>
  <c r="AF36" i="9" s="1"/>
  <c r="AJ36" i="9" s="1"/>
  <c r="R39" i="9"/>
  <c r="R47" i="9" s="1"/>
  <c r="M81" i="9"/>
  <c r="Q66" i="9"/>
  <c r="U66" i="9" s="1"/>
  <c r="M77" i="9"/>
  <c r="P41" i="59" s="1"/>
  <c r="Q62" i="9"/>
  <c r="U62" i="9" s="1"/>
  <c r="R59" i="9"/>
  <c r="V59" i="9" s="1"/>
  <c r="L82" i="26"/>
  <c r="L80" i="26"/>
  <c r="L86" i="26"/>
  <c r="L87" i="26"/>
  <c r="L85" i="26"/>
  <c r="L78" i="26"/>
  <c r="L83" i="26"/>
  <c r="L84" i="26"/>
  <c r="L79" i="26"/>
  <c r="L76" i="26"/>
  <c r="L81" i="26"/>
  <c r="L77" i="26"/>
  <c r="M27" i="8"/>
  <c r="M29" i="8"/>
  <c r="M28" i="8"/>
  <c r="M26" i="8"/>
  <c r="I83" i="9"/>
  <c r="I29" i="9"/>
  <c r="H88" i="26"/>
  <c r="P90" i="26"/>
  <c r="I60" i="8"/>
  <c r="E34" i="8"/>
  <c r="I34" i="8" s="1"/>
  <c r="M34" i="8" s="1"/>
  <c r="Q34" i="8" s="1"/>
  <c r="I52" i="8"/>
  <c r="J40" i="9"/>
  <c r="J48" i="9"/>
  <c r="J70" i="9" s="1"/>
  <c r="AE74" i="8" l="1"/>
  <c r="AI74" i="8" s="1"/>
  <c r="AE75" i="8"/>
  <c r="AI75" i="8" s="1"/>
  <c r="AP144" i="10"/>
  <c r="AP151" i="10" s="1"/>
  <c r="AB32" i="35"/>
  <c r="V34" i="35"/>
  <c r="O74" i="50"/>
  <c r="O72" i="50" s="1"/>
  <c r="N25" i="36"/>
  <c r="Q55" i="59" s="1"/>
  <c r="R43" i="35"/>
  <c r="R44" i="35" s="1"/>
  <c r="R35" i="35"/>
  <c r="AR43" i="59"/>
  <c r="AO21" i="36"/>
  <c r="AX5" i="10"/>
  <c r="AX118" i="10" s="1"/>
  <c r="BA43" i="59" s="1"/>
  <c r="AT118" i="10"/>
  <c r="AW43" i="59" s="1"/>
  <c r="BH47" i="59"/>
  <c r="BE22" i="36"/>
  <c r="BI47" i="59"/>
  <c r="BF22" i="36"/>
  <c r="AF31" i="35"/>
  <c r="AJ29" i="35"/>
  <c r="AW5" i="10"/>
  <c r="AW128" i="10" s="1"/>
  <c r="AS118" i="10"/>
  <c r="AS130" i="10"/>
  <c r="AF39" i="35"/>
  <c r="BE115" i="17"/>
  <c r="AP21" i="36"/>
  <c r="AI27" i="9"/>
  <c r="AO27" i="9" s="1"/>
  <c r="AS27" i="9" s="1"/>
  <c r="AW27" i="9" s="1"/>
  <c r="BE27" i="9" s="1"/>
  <c r="AJ11" i="9"/>
  <c r="AP11" i="9" s="1"/>
  <c r="AT11" i="9" s="1"/>
  <c r="AX11" i="9" s="1"/>
  <c r="BF11" i="9" s="1"/>
  <c r="AJ83" i="9"/>
  <c r="AP83" i="9" s="1"/>
  <c r="AT83" i="9" s="1"/>
  <c r="AX83" i="9" s="1"/>
  <c r="BF83" i="9" s="1"/>
  <c r="AI84" i="9"/>
  <c r="AF92" i="9"/>
  <c r="AE14" i="15"/>
  <c r="AE16" i="15" s="1"/>
  <c r="AJ87" i="9"/>
  <c r="AT128" i="10"/>
  <c r="AX128" i="10" s="1"/>
  <c r="AX144" i="10"/>
  <c r="AX151" i="10" s="1"/>
  <c r="AX139" i="10"/>
  <c r="AX130" i="10"/>
  <c r="AT139" i="10"/>
  <c r="AT144" i="10"/>
  <c r="AT151" i="10" s="1"/>
  <c r="AT130" i="10"/>
  <c r="AJ21" i="36"/>
  <c r="AE95" i="9"/>
  <c r="AI94" i="9"/>
  <c r="AI95" i="9" s="1"/>
  <c r="AJ12" i="9"/>
  <c r="AP12" i="9" s="1"/>
  <c r="AT12" i="9" s="1"/>
  <c r="AX12" i="9" s="1"/>
  <c r="BF12" i="9" s="1"/>
  <c r="AJ30" i="9"/>
  <c r="AP30" i="9" s="1"/>
  <c r="AT30" i="9" s="1"/>
  <c r="AX30" i="9" s="1"/>
  <c r="BF30" i="9" s="1"/>
  <c r="AI30" i="9"/>
  <c r="AO30" i="9" s="1"/>
  <c r="AS30" i="9" s="1"/>
  <c r="AW30" i="9" s="1"/>
  <c r="BE30" i="9" s="1"/>
  <c r="AE91" i="9"/>
  <c r="AI90" i="9"/>
  <c r="AI91" i="9" s="1"/>
  <c r="AE87" i="9"/>
  <c r="AF93" i="9"/>
  <c r="AF33" i="9"/>
  <c r="AF74" i="8"/>
  <c r="AE50" i="9"/>
  <c r="AI50" i="9" s="1"/>
  <c r="AE84" i="9"/>
  <c r="M7" i="9"/>
  <c r="R67" i="8"/>
  <c r="U32" i="59" s="1"/>
  <c r="AF9" i="9"/>
  <c r="AF7" i="9"/>
  <c r="AF75" i="8"/>
  <c r="AO18" i="9"/>
  <c r="AS18" i="9" s="1"/>
  <c r="AB123" i="9"/>
  <c r="AB125" i="9"/>
  <c r="V47" i="9"/>
  <c r="V48" i="9" s="1"/>
  <c r="AB43" i="9"/>
  <c r="AB26" i="9"/>
  <c r="Q45" i="48"/>
  <c r="V61" i="9"/>
  <c r="Q44" i="48"/>
  <c r="V57" i="9"/>
  <c r="Q43" i="48"/>
  <c r="V58" i="9"/>
  <c r="V56" i="9"/>
  <c r="Q46" i="48"/>
  <c r="V60" i="9"/>
  <c r="R133" i="9"/>
  <c r="R135" i="9" s="1"/>
  <c r="R110" i="7" s="1"/>
  <c r="V66" i="9"/>
  <c r="V88" i="9"/>
  <c r="Q70" i="9"/>
  <c r="U46" i="9"/>
  <c r="U82" i="9" s="1"/>
  <c r="X40" i="59" s="1"/>
  <c r="R63" i="22"/>
  <c r="R65" i="22" s="1"/>
  <c r="R66" i="22" s="1"/>
  <c r="Q40" i="48" s="1"/>
  <c r="V62" i="9"/>
  <c r="V63" i="22" s="1"/>
  <c r="R58" i="22"/>
  <c r="R60" i="22" s="1"/>
  <c r="R61" i="22" s="1"/>
  <c r="Q37" i="48" s="1"/>
  <c r="V67" i="9"/>
  <c r="V58" i="22" s="1"/>
  <c r="V60" i="22" s="1"/>
  <c r="V61" i="22" s="1"/>
  <c r="V84" i="9"/>
  <c r="V86" i="9" s="1"/>
  <c r="V127" i="9"/>
  <c r="V40" i="9"/>
  <c r="Q56" i="9"/>
  <c r="Q71" i="9" s="1"/>
  <c r="U54" i="9"/>
  <c r="U99" i="9"/>
  <c r="U95" i="9"/>
  <c r="U84" i="9"/>
  <c r="U91" i="9"/>
  <c r="U89" i="9"/>
  <c r="T18" i="15" s="1"/>
  <c r="U34" i="8"/>
  <c r="AA34" i="8" s="1"/>
  <c r="AO77" i="8"/>
  <c r="V74" i="8"/>
  <c r="V75" i="8"/>
  <c r="V67" i="8"/>
  <c r="Y32" i="59" s="1"/>
  <c r="Q61" i="9"/>
  <c r="M42" i="48"/>
  <c r="R40" i="9"/>
  <c r="N74" i="9"/>
  <c r="N78" i="9"/>
  <c r="J142" i="9"/>
  <c r="I12" i="48" s="1"/>
  <c r="I13" i="48" s="1"/>
  <c r="J114" i="7"/>
  <c r="I17" i="48" s="1"/>
  <c r="AW2" i="8"/>
  <c r="BE2" i="8" s="1"/>
  <c r="N112" i="7"/>
  <c r="N113" i="7" s="1"/>
  <c r="N111" i="7"/>
  <c r="N52" i="9"/>
  <c r="Q52" i="9"/>
  <c r="AA98" i="9"/>
  <c r="AA92" i="9"/>
  <c r="AO75" i="8"/>
  <c r="AS75" i="8" s="1"/>
  <c r="N138" i="9"/>
  <c r="N140" i="9"/>
  <c r="N141" i="9" s="1"/>
  <c r="AP87" i="9"/>
  <c r="AO2" i="9"/>
  <c r="AS2" i="9" s="1"/>
  <c r="AA93" i="9"/>
  <c r="AP94" i="9"/>
  <c r="AT94" i="9" s="1"/>
  <c r="AP90" i="9"/>
  <c r="AT90" i="9" s="1"/>
  <c r="AJ2" i="9"/>
  <c r="AJ98" i="9" s="1"/>
  <c r="AJ2" i="8"/>
  <c r="AO74" i="8"/>
  <c r="AS74" i="8" s="1"/>
  <c r="AW74" i="8" s="1"/>
  <c r="N71" i="9"/>
  <c r="N81" i="9"/>
  <c r="N70" i="9"/>
  <c r="R96" i="9"/>
  <c r="V96" i="9" s="1"/>
  <c r="R88" i="9"/>
  <c r="AA89" i="9"/>
  <c r="Z18" i="15" s="1"/>
  <c r="AB32" i="9"/>
  <c r="AF32" i="9" s="1"/>
  <c r="AJ32" i="9" s="1"/>
  <c r="Y98" i="9"/>
  <c r="Y93" i="9"/>
  <c r="Y92" i="9"/>
  <c r="J71" i="9"/>
  <c r="R50" i="9"/>
  <c r="V50" i="9" s="1"/>
  <c r="R56" i="9"/>
  <c r="Q42" i="48" s="1"/>
  <c r="N77" i="9"/>
  <c r="Q41" i="59" s="1"/>
  <c r="N51" i="9"/>
  <c r="Q39" i="59" s="1"/>
  <c r="N79" i="9"/>
  <c r="N72" i="9"/>
  <c r="N76" i="9"/>
  <c r="N75" i="9"/>
  <c r="N73" i="9"/>
  <c r="AB39" i="9"/>
  <c r="AB10" i="9"/>
  <c r="AB35" i="9"/>
  <c r="AF35" i="9" s="1"/>
  <c r="N69" i="9"/>
  <c r="AB25" i="9"/>
  <c r="AF25" i="9" s="1"/>
  <c r="AJ25" i="9" s="1"/>
  <c r="AB41" i="9"/>
  <c r="AF41" i="9" s="1"/>
  <c r="AJ41" i="9" s="1"/>
  <c r="AB27" i="9"/>
  <c r="AF27" i="9" s="1"/>
  <c r="AJ27" i="9" s="1"/>
  <c r="N82" i="9"/>
  <c r="Q40" i="59" s="1"/>
  <c r="Q74" i="9"/>
  <c r="Q78" i="9"/>
  <c r="Y28" i="9"/>
  <c r="AA25" i="9"/>
  <c r="AE25" i="9" s="1"/>
  <c r="Q83" i="9"/>
  <c r="Q29" i="9"/>
  <c r="Q51" i="9"/>
  <c r="T39" i="59" s="1"/>
  <c r="AA23" i="9"/>
  <c r="AE23" i="9" s="1"/>
  <c r="AI23" i="9" s="1"/>
  <c r="Q69" i="9"/>
  <c r="Y89" i="9"/>
  <c r="X18" i="15" s="1"/>
  <c r="Y88" i="9"/>
  <c r="R48" i="9"/>
  <c r="R81" i="9" s="1"/>
  <c r="Q75" i="9"/>
  <c r="Q76" i="9"/>
  <c r="AB65" i="9"/>
  <c r="AF65" i="9" s="1"/>
  <c r="AJ65" i="9" s="1"/>
  <c r="Q73" i="9"/>
  <c r="Q80" i="9"/>
  <c r="Q72" i="9"/>
  <c r="Q79" i="9"/>
  <c r="Q81" i="9"/>
  <c r="AB64" i="9"/>
  <c r="AF64" i="9" s="1"/>
  <c r="AJ64" i="9" s="1"/>
  <c r="AB124" i="9"/>
  <c r="AF124" i="9" s="1"/>
  <c r="AJ124" i="9" s="1"/>
  <c r="J69" i="9"/>
  <c r="J78" i="9"/>
  <c r="J82" i="9"/>
  <c r="M40" i="59" s="1"/>
  <c r="J73" i="9"/>
  <c r="J81" i="9"/>
  <c r="J75" i="9"/>
  <c r="J76" i="9"/>
  <c r="J80" i="9"/>
  <c r="J79" i="9"/>
  <c r="J74" i="9"/>
  <c r="J77" i="9"/>
  <c r="M41" i="59" s="1"/>
  <c r="J72" i="9"/>
  <c r="AB59" i="9"/>
  <c r="AF59" i="9" s="1"/>
  <c r="AJ59" i="9" s="1"/>
  <c r="Q77" i="9"/>
  <c r="T41" i="59" s="1"/>
  <c r="Q82" i="9"/>
  <c r="T40" i="59" s="1"/>
  <c r="P82" i="26"/>
  <c r="T82" i="26" s="1"/>
  <c r="M60" i="8"/>
  <c r="I64" i="8"/>
  <c r="M52" i="8"/>
  <c r="P79" i="26"/>
  <c r="T79" i="26" s="1"/>
  <c r="P85" i="26"/>
  <c r="T85" i="26" s="1"/>
  <c r="P77" i="26"/>
  <c r="T77" i="26" s="1"/>
  <c r="P76" i="26"/>
  <c r="T76" i="26" s="1"/>
  <c r="P78" i="26"/>
  <c r="T78" i="26" s="1"/>
  <c r="P80" i="26"/>
  <c r="T80" i="26" s="1"/>
  <c r="P81" i="26"/>
  <c r="T81" i="26" s="1"/>
  <c r="P84" i="26"/>
  <c r="T84" i="26" s="1"/>
  <c r="P87" i="26"/>
  <c r="T87" i="26" s="1"/>
  <c r="P83" i="26"/>
  <c r="T83" i="26" s="1"/>
  <c r="P86" i="26"/>
  <c r="T86" i="26" s="1"/>
  <c r="Q26" i="8"/>
  <c r="U26" i="8" s="1"/>
  <c r="Q29" i="8"/>
  <c r="U29" i="8" s="1"/>
  <c r="Q28" i="8"/>
  <c r="U28" i="8" s="1"/>
  <c r="Q27" i="8"/>
  <c r="U27" i="8" s="1"/>
  <c r="L88" i="26"/>
  <c r="I33" i="8"/>
  <c r="M33" i="8" s="1"/>
  <c r="Q33" i="8" s="1"/>
  <c r="I56" i="8"/>
  <c r="M56" i="8" s="1"/>
  <c r="Q56" i="8" s="1"/>
  <c r="J51" i="9"/>
  <c r="M39" i="59" s="1"/>
  <c r="J52" i="9"/>
  <c r="E46" i="8"/>
  <c r="E66" i="8" s="1"/>
  <c r="F43" i="8"/>
  <c r="F42" i="8"/>
  <c r="I14" i="8"/>
  <c r="M14" i="8" s="1"/>
  <c r="Q14" i="8" s="1"/>
  <c r="I10" i="8"/>
  <c r="M10" i="8" s="1"/>
  <c r="Q10" i="8" s="1"/>
  <c r="I9" i="8"/>
  <c r="M9" i="8" s="1"/>
  <c r="Q9" i="8" s="1"/>
  <c r="I8" i="8"/>
  <c r="M8" i="8" s="1"/>
  <c r="Q8" i="8" s="1"/>
  <c r="I7" i="8"/>
  <c r="M7" i="8" s="1"/>
  <c r="Q7" i="8" s="1"/>
  <c r="N77" i="8"/>
  <c r="R77" i="8" s="1"/>
  <c r="N59" i="8"/>
  <c r="N57" i="8"/>
  <c r="J51" i="8"/>
  <c r="J48" i="8" s="1"/>
  <c r="I5" i="8"/>
  <c r="I5" i="49" s="1"/>
  <c r="J69" i="7"/>
  <c r="N69" i="7" s="1"/>
  <c r="R69" i="7" s="1"/>
  <c r="V69" i="7" s="1"/>
  <c r="J55" i="7"/>
  <c r="N55" i="7" s="1"/>
  <c r="R55" i="7" s="1"/>
  <c r="V55" i="7" s="1"/>
  <c r="S74" i="50" l="1"/>
  <c r="S72" i="50" s="1"/>
  <c r="R25" i="36"/>
  <c r="U55" i="59" s="1"/>
  <c r="V43" i="35"/>
  <c r="V44" i="35" s="1"/>
  <c r="V35" i="35"/>
  <c r="AF32" i="35"/>
  <c r="AB34" i="35"/>
  <c r="AV43" i="59"/>
  <c r="AS21" i="36"/>
  <c r="BE5" i="10"/>
  <c r="AW118" i="10"/>
  <c r="AW130" i="10"/>
  <c r="AW75" i="8"/>
  <c r="BF5" i="10"/>
  <c r="BF118" i="10" s="1"/>
  <c r="BI43" i="59" s="1"/>
  <c r="AJ39" i="35"/>
  <c r="AJ31" i="35"/>
  <c r="AP29" i="35"/>
  <c r="BF21" i="36"/>
  <c r="AO94" i="9"/>
  <c r="AS94" i="9" s="1"/>
  <c r="AJ75" i="8"/>
  <c r="AJ74" i="8"/>
  <c r="BF144" i="10"/>
  <c r="BF151" i="10" s="1"/>
  <c r="BF130" i="10"/>
  <c r="AS77" i="8"/>
  <c r="AW77" i="8" s="1"/>
  <c r="BE77" i="8" s="1"/>
  <c r="AS84" i="9"/>
  <c r="AW18" i="9"/>
  <c r="AS95" i="9"/>
  <c r="AW94" i="9"/>
  <c r="AJ92" i="9"/>
  <c r="AT91" i="9"/>
  <c r="AX90" i="9"/>
  <c r="AT87" i="9"/>
  <c r="AO14" i="15"/>
  <c r="AO16" i="15" s="1"/>
  <c r="AJ7" i="9"/>
  <c r="AP7" i="9" s="1"/>
  <c r="AT7" i="9" s="1"/>
  <c r="AF39" i="9"/>
  <c r="AJ33" i="9"/>
  <c r="AJ39" i="9" s="1"/>
  <c r="AE28" i="9"/>
  <c r="AE29" i="9" s="1"/>
  <c r="AI25" i="9"/>
  <c r="AI28" i="9" s="1"/>
  <c r="AX94" i="9"/>
  <c r="AT95" i="9"/>
  <c r="AJ93" i="9"/>
  <c r="AI14" i="15"/>
  <c r="AI16" i="15" s="1"/>
  <c r="AJ89" i="9"/>
  <c r="AI18" i="15" s="1"/>
  <c r="AX21" i="36"/>
  <c r="AT21" i="36"/>
  <c r="AJ9" i="9"/>
  <c r="AP9" i="9" s="1"/>
  <c r="AT9" i="9" s="1"/>
  <c r="AF37" i="9"/>
  <c r="AJ35" i="9"/>
  <c r="AO90" i="9"/>
  <c r="AS90" i="9" s="1"/>
  <c r="AI87" i="9"/>
  <c r="AO87" i="9" s="1"/>
  <c r="AS87" i="9" s="1"/>
  <c r="AO50" i="9"/>
  <c r="AS50" i="9" s="1"/>
  <c r="AW50" i="9" s="1"/>
  <c r="AF34" i="9"/>
  <c r="AF38" i="9"/>
  <c r="AF46" i="9" s="1"/>
  <c r="AF26" i="9"/>
  <c r="AE88" i="9"/>
  <c r="AE89" i="9"/>
  <c r="AD18" i="15" s="1"/>
  <c r="Q7" i="9"/>
  <c r="AF28" i="9"/>
  <c r="AF29" i="9" s="1"/>
  <c r="AE98" i="9"/>
  <c r="AB67" i="8"/>
  <c r="AE32" i="59" s="1"/>
  <c r="AE34" i="8"/>
  <c r="AF43" i="9"/>
  <c r="AF123" i="9"/>
  <c r="AF10" i="9"/>
  <c r="AF125" i="9"/>
  <c r="AE93" i="9"/>
  <c r="AE92" i="9"/>
  <c r="R136" i="9"/>
  <c r="V65" i="22"/>
  <c r="V66" i="22" s="1"/>
  <c r="U80" i="9"/>
  <c r="V80" i="9"/>
  <c r="V78" i="9"/>
  <c r="V52" i="9"/>
  <c r="V51" i="9"/>
  <c r="Y39" i="59" s="1"/>
  <c r="V77" i="9"/>
  <c r="Y41" i="59" s="1"/>
  <c r="V71" i="9"/>
  <c r="V82" i="9"/>
  <c r="Y40" i="59" s="1"/>
  <c r="V73" i="9"/>
  <c r="V76" i="9"/>
  <c r="AB47" i="9"/>
  <c r="V70" i="9"/>
  <c r="V75" i="9"/>
  <c r="V69" i="9"/>
  <c r="V79" i="9"/>
  <c r="AB127" i="9"/>
  <c r="U73" i="9"/>
  <c r="S61" i="9"/>
  <c r="V72" i="9"/>
  <c r="V74" i="9"/>
  <c r="U81" i="9"/>
  <c r="U75" i="9"/>
  <c r="U77" i="9"/>
  <c r="X41" i="59" s="1"/>
  <c r="U72" i="9"/>
  <c r="V133" i="9"/>
  <c r="V81" i="9"/>
  <c r="U51" i="9"/>
  <c r="X39" i="59" s="1"/>
  <c r="U52" i="9"/>
  <c r="U70" i="9"/>
  <c r="U74" i="9"/>
  <c r="U78" i="9"/>
  <c r="U79" i="9"/>
  <c r="U69" i="9"/>
  <c r="U56" i="9"/>
  <c r="U71" i="9" s="1"/>
  <c r="U7" i="8"/>
  <c r="AA7" i="8" s="1"/>
  <c r="U56" i="8"/>
  <c r="AA56" i="8" s="1"/>
  <c r="U8" i="8"/>
  <c r="AA8" i="8" s="1"/>
  <c r="U14" i="8"/>
  <c r="AA14" i="8" s="1"/>
  <c r="U33" i="8"/>
  <c r="AA33" i="8" s="1"/>
  <c r="U9" i="8"/>
  <c r="AA9" i="8" s="1"/>
  <c r="V77" i="8"/>
  <c r="U10" i="8"/>
  <c r="AA10" i="8" s="1"/>
  <c r="T88" i="26"/>
  <c r="BE74" i="8"/>
  <c r="BE75" i="8"/>
  <c r="N142" i="9"/>
  <c r="M12" i="48" s="1"/>
  <c r="M13" i="48" s="1"/>
  <c r="N114" i="7"/>
  <c r="M17" i="48" s="1"/>
  <c r="AB67" i="9"/>
  <c r="U37" i="48"/>
  <c r="AB60" i="9"/>
  <c r="AF60" i="9" s="1"/>
  <c r="AJ60" i="9" s="1"/>
  <c r="U46" i="48"/>
  <c r="AB57" i="9"/>
  <c r="U44" i="48"/>
  <c r="R112" i="7"/>
  <c r="R113" i="7" s="1"/>
  <c r="R111" i="7"/>
  <c r="AB66" i="9"/>
  <c r="AB58" i="9"/>
  <c r="U43" i="48"/>
  <c r="AB61" i="9"/>
  <c r="U45" i="48"/>
  <c r="AB62" i="9"/>
  <c r="AW2" i="9"/>
  <c r="BE2" i="9" s="1"/>
  <c r="R138" i="9"/>
  <c r="R140" i="9"/>
  <c r="R141" i="9" s="1"/>
  <c r="AB55" i="7"/>
  <c r="AF55" i="7" s="1"/>
  <c r="AJ55" i="7" s="1"/>
  <c r="AP55" i="7" s="1"/>
  <c r="AP2" i="9"/>
  <c r="AT2" i="9" s="1"/>
  <c r="AX2" i="9" s="1"/>
  <c r="BF2" i="9" s="1"/>
  <c r="AP8" i="9"/>
  <c r="AT8" i="9" s="1"/>
  <c r="AP2" i="8"/>
  <c r="Y15" i="8"/>
  <c r="U42" i="48"/>
  <c r="AB54" i="9"/>
  <c r="AF54" i="9" s="1"/>
  <c r="AJ54" i="9" s="1"/>
  <c r="AJ56" i="9" s="1"/>
  <c r="AB18" i="9"/>
  <c r="AF18" i="9" s="1"/>
  <c r="AB34" i="9"/>
  <c r="R71" i="9"/>
  <c r="AB22" i="9"/>
  <c r="AF22" i="9" s="1"/>
  <c r="R72" i="9"/>
  <c r="R70" i="9"/>
  <c r="AA33" i="22"/>
  <c r="Z90" i="26"/>
  <c r="AB23" i="9"/>
  <c r="AF23" i="9" s="1"/>
  <c r="AJ23" i="9" s="1"/>
  <c r="AA28" i="9"/>
  <c r="AA83" i="9" s="1"/>
  <c r="R75" i="9"/>
  <c r="R76" i="9"/>
  <c r="R82" i="9"/>
  <c r="U40" i="59" s="1"/>
  <c r="R74" i="9"/>
  <c r="AB45" i="9"/>
  <c r="R79" i="9"/>
  <c r="AA88" i="9"/>
  <c r="AB37" i="9"/>
  <c r="AB38" i="9"/>
  <c r="AB46" i="9" s="1"/>
  <c r="AB48" i="9" s="1"/>
  <c r="AB79" i="9" s="1"/>
  <c r="AB128" i="9"/>
  <c r="AF128" i="9" s="1"/>
  <c r="AJ128" i="9" s="1"/>
  <c r="AB126" i="9"/>
  <c r="AF126" i="9" s="1"/>
  <c r="AJ126" i="9" s="1"/>
  <c r="AB28" i="9"/>
  <c r="AB29" i="9" s="1"/>
  <c r="R73" i="9"/>
  <c r="AA46" i="9"/>
  <c r="AE46" i="9" s="1"/>
  <c r="AI46" i="9" s="1"/>
  <c r="Y83" i="9"/>
  <c r="Y29" i="9"/>
  <c r="AA96" i="9"/>
  <c r="AE96" i="9" s="1"/>
  <c r="AI96" i="9" s="1"/>
  <c r="AA64" i="9"/>
  <c r="AA67" i="9"/>
  <c r="AA66" i="9"/>
  <c r="AA57" i="9"/>
  <c r="AE57" i="9" s="1"/>
  <c r="AI57" i="9" s="1"/>
  <c r="AA58" i="9"/>
  <c r="AA60" i="9"/>
  <c r="AA97" i="9"/>
  <c r="AE97" i="9" s="1"/>
  <c r="AI97" i="9" s="1"/>
  <c r="AA84" i="9"/>
  <c r="AA95" i="9"/>
  <c r="AA91" i="9"/>
  <c r="AA62" i="9"/>
  <c r="AE62" i="9" s="1"/>
  <c r="AI62" i="9" s="1"/>
  <c r="AA65" i="9"/>
  <c r="AA54" i="9"/>
  <c r="AE54" i="9" s="1"/>
  <c r="AI54" i="9" s="1"/>
  <c r="AA99" i="9"/>
  <c r="AE99" i="9" s="1"/>
  <c r="AI99" i="9" s="1"/>
  <c r="AB69" i="7"/>
  <c r="AF69" i="7" s="1"/>
  <c r="AJ69" i="7" s="1"/>
  <c r="AP69" i="7" s="1"/>
  <c r="R69" i="9"/>
  <c r="R52" i="9"/>
  <c r="R51" i="9"/>
  <c r="U39" i="59" s="1"/>
  <c r="R78" i="9"/>
  <c r="R77" i="9"/>
  <c r="U41" i="59" s="1"/>
  <c r="R80" i="9"/>
  <c r="R59" i="8"/>
  <c r="N50" i="8"/>
  <c r="R57" i="8"/>
  <c r="N49" i="8"/>
  <c r="Q52" i="8"/>
  <c r="U52" i="8" s="1"/>
  <c r="M62" i="8"/>
  <c r="I62" i="8"/>
  <c r="Q60" i="8"/>
  <c r="U60" i="8" s="1"/>
  <c r="U64" i="8" s="1"/>
  <c r="M64" i="8"/>
  <c r="H34" i="8"/>
  <c r="F40" i="8"/>
  <c r="I41" i="8"/>
  <c r="I42" i="8"/>
  <c r="I43" i="8"/>
  <c r="I40" i="8"/>
  <c r="H33" i="8"/>
  <c r="H47" i="8"/>
  <c r="F41" i="8"/>
  <c r="I14" i="36"/>
  <c r="L31" i="59" s="1"/>
  <c r="J29" i="8"/>
  <c r="N29" i="8" s="1"/>
  <c r="P88" i="26"/>
  <c r="N51" i="8"/>
  <c r="N48" i="8" s="1"/>
  <c r="J27" i="8"/>
  <c r="J64" i="8" s="1"/>
  <c r="I17" i="8"/>
  <c r="I68" i="8" s="1"/>
  <c r="L33" i="59" s="1"/>
  <c r="I45" i="8"/>
  <c r="M5" i="8"/>
  <c r="M5" i="49" s="1"/>
  <c r="I78" i="8"/>
  <c r="I13" i="8"/>
  <c r="M13" i="8" s="1"/>
  <c r="Q13" i="8" s="1"/>
  <c r="I46" i="8"/>
  <c r="I66" i="8" s="1"/>
  <c r="E5" i="26"/>
  <c r="F78" i="8"/>
  <c r="H25" i="8"/>
  <c r="G15" i="8"/>
  <c r="I76" i="8"/>
  <c r="J9" i="8"/>
  <c r="N9" i="8" s="1"/>
  <c r="R9" i="8" s="1"/>
  <c r="J22" i="8"/>
  <c r="J28" i="8"/>
  <c r="N28" i="8" s="1"/>
  <c r="R28" i="8" s="1"/>
  <c r="J24" i="8"/>
  <c r="J13" i="8"/>
  <c r="N13" i="8" s="1"/>
  <c r="R13" i="8" s="1"/>
  <c r="J26" i="8"/>
  <c r="J23" i="8"/>
  <c r="J8" i="49" s="1"/>
  <c r="F25" i="8"/>
  <c r="I12" i="8"/>
  <c r="J10" i="8"/>
  <c r="N10" i="8" s="1"/>
  <c r="R10" i="8" s="1"/>
  <c r="J12" i="8"/>
  <c r="N12" i="8" s="1"/>
  <c r="R12" i="8" s="1"/>
  <c r="I18" i="8"/>
  <c r="M18" i="8" s="1"/>
  <c r="Q18" i="8" s="1"/>
  <c r="J20" i="8"/>
  <c r="N20" i="8" s="1"/>
  <c r="R20" i="8" s="1"/>
  <c r="J18" i="8"/>
  <c r="N18" i="8" s="1"/>
  <c r="R18" i="8" s="1"/>
  <c r="J17" i="8"/>
  <c r="I8" i="15" s="1"/>
  <c r="I13" i="15" s="1"/>
  <c r="H15" i="8"/>
  <c r="J8" i="8"/>
  <c r="N8" i="8" s="1"/>
  <c r="R8" i="8" s="1"/>
  <c r="J7" i="8"/>
  <c r="N7" i="8" s="1"/>
  <c r="R7" i="8" s="1"/>
  <c r="J5" i="8"/>
  <c r="J5" i="49" s="1"/>
  <c r="AP33" i="9" l="1"/>
  <c r="AT33" i="9" s="1"/>
  <c r="AB43" i="35"/>
  <c r="AB44" i="35" s="1"/>
  <c r="AB35" i="35"/>
  <c r="AF34" i="35"/>
  <c r="AJ32" i="35"/>
  <c r="V25" i="36"/>
  <c r="Y55" i="59" s="1"/>
  <c r="W74" i="50"/>
  <c r="W72" i="50" s="1"/>
  <c r="AP39" i="35"/>
  <c r="AZ43" i="59"/>
  <c r="AW21" i="36"/>
  <c r="AT29" i="35"/>
  <c r="AP31" i="35"/>
  <c r="BE118" i="10"/>
  <c r="BE130" i="10"/>
  <c r="BF128" i="10"/>
  <c r="BF139" i="10"/>
  <c r="BE128" i="10"/>
  <c r="AF40" i="9"/>
  <c r="AX91" i="9"/>
  <c r="BF90" i="9"/>
  <c r="BF91" i="9" s="1"/>
  <c r="AW84" i="9"/>
  <c r="BE18" i="9"/>
  <c r="BE84" i="9" s="1"/>
  <c r="AE83" i="9"/>
  <c r="AX95" i="9"/>
  <c r="BF94" i="9"/>
  <c r="BF95" i="9" s="1"/>
  <c r="AW95" i="9"/>
  <c r="BE94" i="9"/>
  <c r="BE95" i="9" s="1"/>
  <c r="AX9" i="9"/>
  <c r="BF9" i="9" s="1"/>
  <c r="AF84" i="9"/>
  <c r="AJ18" i="9"/>
  <c r="AJ84" i="9" s="1"/>
  <c r="AS91" i="9"/>
  <c r="AW90" i="9"/>
  <c r="AI29" i="9"/>
  <c r="AI83" i="9"/>
  <c r="AJ123" i="9"/>
  <c r="AI51" i="9"/>
  <c r="AI70" i="9"/>
  <c r="AI74" i="9"/>
  <c r="AI78" i="9"/>
  <c r="AF85" i="9"/>
  <c r="AJ22" i="9"/>
  <c r="AJ85" i="9" s="1"/>
  <c r="AX8" i="9"/>
  <c r="BF8" i="9" s="1"/>
  <c r="AT10" i="9"/>
  <c r="AX7" i="9"/>
  <c r="BF7" i="9" s="1"/>
  <c r="BF10" i="9" s="1"/>
  <c r="BH10" i="9" s="1"/>
  <c r="AI72" i="9"/>
  <c r="AX33" i="9"/>
  <c r="BF33" i="9" s="1"/>
  <c r="AI77" i="9"/>
  <c r="AL41" i="59" s="1"/>
  <c r="AP123" i="9"/>
  <c r="AT123" i="9" s="1"/>
  <c r="AI98" i="9"/>
  <c r="AO98" i="9" s="1"/>
  <c r="AS98" i="9" s="1"/>
  <c r="AW98" i="9" s="1"/>
  <c r="BE98" i="9" s="1"/>
  <c r="AS89" i="9"/>
  <c r="AR18" i="15" s="1"/>
  <c r="AW87" i="9"/>
  <c r="BE87" i="9" s="1"/>
  <c r="AI52" i="9"/>
  <c r="AJ88" i="9"/>
  <c r="AT89" i="9"/>
  <c r="AS18" i="15" s="1"/>
  <c r="AX87" i="9"/>
  <c r="BF87" i="9" s="1"/>
  <c r="BE14" i="15" s="1"/>
  <c r="BE16" i="15" s="1"/>
  <c r="AS14" i="15"/>
  <c r="AS16" i="15" s="1"/>
  <c r="AJ34" i="9"/>
  <c r="AT69" i="7"/>
  <c r="AX69" i="7" s="1"/>
  <c r="AT55" i="7"/>
  <c r="AX55" i="7" s="1"/>
  <c r="AJ26" i="9"/>
  <c r="AI92" i="9"/>
  <c r="AO92" i="9" s="1"/>
  <c r="AS92" i="9" s="1"/>
  <c r="AW92" i="9" s="1"/>
  <c r="BE92" i="9" s="1"/>
  <c r="AJ37" i="9"/>
  <c r="AJ38" i="9"/>
  <c r="AJ46" i="9" s="1"/>
  <c r="AI93" i="9"/>
  <c r="AO93" i="9" s="1"/>
  <c r="AS93" i="9" s="1"/>
  <c r="AW93" i="9" s="1"/>
  <c r="BE93" i="9" s="1"/>
  <c r="AF45" i="9"/>
  <c r="AJ43" i="9"/>
  <c r="AJ125" i="9"/>
  <c r="AP125" i="9" s="1"/>
  <c r="AT125" i="9" s="1"/>
  <c r="AX125" i="9" s="1"/>
  <c r="AJ10" i="9"/>
  <c r="AI34" i="8"/>
  <c r="AO34" i="8" s="1"/>
  <c r="AI88" i="9"/>
  <c r="AI89" i="9"/>
  <c r="AH18" i="15" s="1"/>
  <c r="AI69" i="9"/>
  <c r="AI56" i="9"/>
  <c r="AI71" i="9" s="1"/>
  <c r="AE77" i="9"/>
  <c r="AH41" i="59" s="1"/>
  <c r="AE72" i="9"/>
  <c r="AE69" i="9"/>
  <c r="AE56" i="9"/>
  <c r="AE71" i="9" s="1"/>
  <c r="AE58" i="9"/>
  <c r="AE66" i="9"/>
  <c r="AE64" i="9"/>
  <c r="AE52" i="9"/>
  <c r="AE70" i="9"/>
  <c r="AE74" i="9"/>
  <c r="AE78" i="9"/>
  <c r="AF56" i="9"/>
  <c r="AP93" i="9"/>
  <c r="AT93" i="9" s="1"/>
  <c r="AX93" i="9" s="1"/>
  <c r="BF93" i="9" s="1"/>
  <c r="AB133" i="9"/>
  <c r="AB135" i="9" s="1"/>
  <c r="AF66" i="9"/>
  <c r="AJ66" i="9" s="1"/>
  <c r="AA44" i="48"/>
  <c r="AF57" i="9"/>
  <c r="AJ57" i="9" s="1"/>
  <c r="AB58" i="22"/>
  <c r="AB60" i="22" s="1"/>
  <c r="AB61" i="22" s="1"/>
  <c r="AA37" i="48" s="1"/>
  <c r="AF67" i="9"/>
  <c r="AJ67" i="9" s="1"/>
  <c r="AJ58" i="22" s="1"/>
  <c r="AJ60" i="22" s="1"/>
  <c r="AJ61" i="22" s="1"/>
  <c r="AI37" i="48" s="1"/>
  <c r="AE10" i="8"/>
  <c r="AE9" i="8"/>
  <c r="AE14" i="8"/>
  <c r="AE56" i="8"/>
  <c r="AP43" i="9"/>
  <c r="AT43" i="9" s="1"/>
  <c r="AX43" i="9" s="1"/>
  <c r="BF43" i="9" s="1"/>
  <c r="AE51" i="9"/>
  <c r="AH39" i="59" s="1"/>
  <c r="AE65" i="9"/>
  <c r="AE60" i="9"/>
  <c r="AE67" i="9"/>
  <c r="AF88" i="9"/>
  <c r="AB63" i="22"/>
  <c r="AB65" i="22" s="1"/>
  <c r="AB66" i="22" s="1"/>
  <c r="AA40" i="48" s="1"/>
  <c r="AF62" i="9"/>
  <c r="AJ62" i="9" s="1"/>
  <c r="AJ63" i="22" s="1"/>
  <c r="AA45" i="48"/>
  <c r="AF61" i="9"/>
  <c r="AJ61" i="9" s="1"/>
  <c r="AA43" i="48"/>
  <c r="AF58" i="9"/>
  <c r="AJ58" i="9" s="1"/>
  <c r="AE33" i="8"/>
  <c r="AE8" i="8"/>
  <c r="AE7" i="8"/>
  <c r="U7" i="9"/>
  <c r="AF47" i="9"/>
  <c r="AF48" i="9" s="1"/>
  <c r="AF69" i="9" s="1"/>
  <c r="AF127" i="9"/>
  <c r="Z82" i="26"/>
  <c r="AD82" i="26" s="1"/>
  <c r="AH82" i="26" s="1"/>
  <c r="AN82" i="26" s="1"/>
  <c r="AR82" i="26" s="1"/>
  <c r="AV82" i="26" s="1"/>
  <c r="BD82" i="26" s="1"/>
  <c r="Z87" i="26"/>
  <c r="AD87" i="26" s="1"/>
  <c r="AH87" i="26" s="1"/>
  <c r="AN87" i="26" s="1"/>
  <c r="AR87" i="26" s="1"/>
  <c r="AV87" i="26" s="1"/>
  <c r="BD87" i="26" s="1"/>
  <c r="Z79" i="26"/>
  <c r="AD79" i="26" s="1"/>
  <c r="AH79" i="26" s="1"/>
  <c r="AN79" i="26" s="1"/>
  <c r="AR79" i="26" s="1"/>
  <c r="AV79" i="26" s="1"/>
  <c r="BD79" i="26" s="1"/>
  <c r="Z85" i="26"/>
  <c r="AD85" i="26" s="1"/>
  <c r="AH85" i="26" s="1"/>
  <c r="AN85" i="26" s="1"/>
  <c r="AR85" i="26" s="1"/>
  <c r="AV85" i="26" s="1"/>
  <c r="BD85" i="26" s="1"/>
  <c r="Z81" i="26"/>
  <c r="AD81" i="26" s="1"/>
  <c r="AH81" i="26" s="1"/>
  <c r="AN81" i="26" s="1"/>
  <c r="AR81" i="26" s="1"/>
  <c r="AV81" i="26" s="1"/>
  <c r="BD81" i="26" s="1"/>
  <c r="Z76" i="26"/>
  <c r="AD76" i="26" s="1"/>
  <c r="AH76" i="26" s="1"/>
  <c r="AN76" i="26" s="1"/>
  <c r="AR76" i="26" s="1"/>
  <c r="AV76" i="26" s="1"/>
  <c r="BD76" i="26" s="1"/>
  <c r="Z77" i="26"/>
  <c r="AD77" i="26" s="1"/>
  <c r="AH77" i="26" s="1"/>
  <c r="AN77" i="26" s="1"/>
  <c r="AR77" i="26" s="1"/>
  <c r="AV77" i="26" s="1"/>
  <c r="BD77" i="26" s="1"/>
  <c r="Z83" i="26"/>
  <c r="AD83" i="26" s="1"/>
  <c r="AH83" i="26" s="1"/>
  <c r="AN83" i="26" s="1"/>
  <c r="AR83" i="26" s="1"/>
  <c r="AV83" i="26" s="1"/>
  <c r="BD83" i="26" s="1"/>
  <c r="Z78" i="26"/>
  <c r="AD78" i="26" s="1"/>
  <c r="AH78" i="26" s="1"/>
  <c r="AN78" i="26" s="1"/>
  <c r="AR78" i="26" s="1"/>
  <c r="AV78" i="26" s="1"/>
  <c r="BD78" i="26" s="1"/>
  <c r="Z84" i="26"/>
  <c r="AD84" i="26" s="1"/>
  <c r="AH84" i="26" s="1"/>
  <c r="AN84" i="26" s="1"/>
  <c r="AR84" i="26" s="1"/>
  <c r="AV84" i="26" s="1"/>
  <c r="BD84" i="26" s="1"/>
  <c r="Z86" i="26"/>
  <c r="AD86" i="26" s="1"/>
  <c r="AH86" i="26" s="1"/>
  <c r="AN86" i="26" s="1"/>
  <c r="AR86" i="26" s="1"/>
  <c r="AV86" i="26" s="1"/>
  <c r="BD86" i="26" s="1"/>
  <c r="Z80" i="26"/>
  <c r="AD80" i="26" s="1"/>
  <c r="AH80" i="26" s="1"/>
  <c r="AN80" i="26" s="1"/>
  <c r="AR80" i="26" s="1"/>
  <c r="AV80" i="26" s="1"/>
  <c r="BD80" i="26" s="1"/>
  <c r="AI44" i="48"/>
  <c r="U61" i="9"/>
  <c r="V135" i="9"/>
  <c r="V110" i="7" s="1"/>
  <c r="V112" i="7" s="1"/>
  <c r="V113" i="7" s="1"/>
  <c r="V28" i="8"/>
  <c r="AB28" i="8" s="1"/>
  <c r="V18" i="8"/>
  <c r="AB18" i="8" s="1"/>
  <c r="V20" i="8"/>
  <c r="AB20" i="8" s="1"/>
  <c r="V10" i="8"/>
  <c r="AB10" i="8" s="1"/>
  <c r="U13" i="8"/>
  <c r="AA13" i="8" s="1"/>
  <c r="V57" i="8"/>
  <c r="AB57" i="8" s="1"/>
  <c r="AF57" i="8" s="1"/>
  <c r="AJ57" i="8" s="1"/>
  <c r="V7" i="8"/>
  <c r="AB7" i="8" s="1"/>
  <c r="V8" i="8"/>
  <c r="AB8" i="8" s="1"/>
  <c r="U18" i="8"/>
  <c r="AA18" i="8" s="1"/>
  <c r="V13" i="8"/>
  <c r="AB13" i="8" s="1"/>
  <c r="V9" i="8"/>
  <c r="AB9" i="8" s="1"/>
  <c r="V12" i="8"/>
  <c r="V59" i="8"/>
  <c r="AP77" i="8"/>
  <c r="U62" i="8"/>
  <c r="J10" i="36"/>
  <c r="M27" i="59" s="1"/>
  <c r="J7" i="49"/>
  <c r="AB96" i="9"/>
  <c r="AF96" i="9" s="1"/>
  <c r="AJ96" i="9" s="1"/>
  <c r="AB50" i="9"/>
  <c r="AF50" i="9" s="1"/>
  <c r="AJ50" i="9" s="1"/>
  <c r="AE45" i="48"/>
  <c r="R142" i="9"/>
  <c r="Q12" i="48" s="1"/>
  <c r="Q13" i="48" s="1"/>
  <c r="R114" i="7"/>
  <c r="Q17" i="48" s="1"/>
  <c r="AA29" i="9"/>
  <c r="AE44" i="48"/>
  <c r="AA46" i="48"/>
  <c r="AP98" i="9"/>
  <c r="AT98" i="9" s="1"/>
  <c r="AB40" i="9"/>
  <c r="AT2" i="8"/>
  <c r="AB136" i="9"/>
  <c r="AB110" i="7"/>
  <c r="AP92" i="9"/>
  <c r="AT92" i="9" s="1"/>
  <c r="AX92" i="9" s="1"/>
  <c r="BF92" i="9" s="1"/>
  <c r="U40" i="48"/>
  <c r="AP65" i="9"/>
  <c r="AT65" i="9" s="1"/>
  <c r="AP25" i="9"/>
  <c r="AT25" i="9" s="1"/>
  <c r="AO23" i="9"/>
  <c r="AS23" i="9" s="1"/>
  <c r="AW23" i="9" s="1"/>
  <c r="BE23" i="9" s="1"/>
  <c r="AP64" i="9"/>
  <c r="AT64" i="9" s="1"/>
  <c r="AP36" i="9"/>
  <c r="AT36" i="9" s="1"/>
  <c r="AX36" i="9" s="1"/>
  <c r="AP124" i="9"/>
  <c r="AT124" i="9" s="1"/>
  <c r="AP10" i="9"/>
  <c r="AP27" i="9"/>
  <c r="AT27" i="9" s="1"/>
  <c r="AP35" i="9"/>
  <c r="AT35" i="9" s="1"/>
  <c r="AP74" i="8"/>
  <c r="AT74" i="8" s="1"/>
  <c r="N24" i="8"/>
  <c r="N12" i="36" s="1"/>
  <c r="Q29" i="59" s="1"/>
  <c r="J12" i="36"/>
  <c r="M29" i="59" s="1"/>
  <c r="N23" i="8"/>
  <c r="J11" i="36"/>
  <c r="M28" i="59" s="1"/>
  <c r="R49" i="8"/>
  <c r="AM15" i="8"/>
  <c r="AP75" i="8"/>
  <c r="AT75" i="8" s="1"/>
  <c r="AP59" i="9"/>
  <c r="AT59" i="9" s="1"/>
  <c r="AA70" i="9"/>
  <c r="AA51" i="9"/>
  <c r="AD39" i="59" s="1"/>
  <c r="AA52" i="9"/>
  <c r="AB88" i="9"/>
  <c r="AB56" i="9"/>
  <c r="AA69" i="9"/>
  <c r="AA56" i="9"/>
  <c r="AA71" i="9" s="1"/>
  <c r="AB73" i="9"/>
  <c r="AB70" i="9"/>
  <c r="AB80" i="9"/>
  <c r="AB82" i="9"/>
  <c r="AE40" i="59" s="1"/>
  <c r="AB74" i="9"/>
  <c r="AB76" i="9"/>
  <c r="AB72" i="9"/>
  <c r="AB77" i="9"/>
  <c r="AE41" i="59" s="1"/>
  <c r="AA72" i="9"/>
  <c r="AA77" i="9"/>
  <c r="AD41" i="59" s="1"/>
  <c r="AB75" i="9"/>
  <c r="AB52" i="9"/>
  <c r="AB69" i="9"/>
  <c r="AB51" i="9"/>
  <c r="AE39" i="59" s="1"/>
  <c r="AB78" i="9"/>
  <c r="AB81" i="9"/>
  <c r="M40" i="8"/>
  <c r="M42" i="8"/>
  <c r="M43" i="8"/>
  <c r="M41" i="8"/>
  <c r="Y72" i="9"/>
  <c r="AA73" i="9"/>
  <c r="AA79" i="9"/>
  <c r="AA75" i="9"/>
  <c r="AA82" i="9"/>
  <c r="AD40" i="59" s="1"/>
  <c r="AA80" i="9"/>
  <c r="AA81" i="9"/>
  <c r="Y80" i="9"/>
  <c r="Y81" i="9"/>
  <c r="Y74" i="9"/>
  <c r="Y78" i="9"/>
  <c r="Y69" i="9"/>
  <c r="Y73" i="9"/>
  <c r="Y79" i="9"/>
  <c r="AA74" i="9"/>
  <c r="AA78" i="9"/>
  <c r="Y77" i="9"/>
  <c r="AB41" i="59" s="1"/>
  <c r="Y75" i="9"/>
  <c r="Y82" i="9"/>
  <c r="AB40" i="59" s="1"/>
  <c r="Y51" i="9"/>
  <c r="AB39" i="59" s="1"/>
  <c r="Y52" i="9"/>
  <c r="AA27" i="8"/>
  <c r="AA29" i="8"/>
  <c r="AA26" i="8"/>
  <c r="AA28" i="8"/>
  <c r="J62" i="8"/>
  <c r="J61" i="8"/>
  <c r="Q64" i="8"/>
  <c r="N17" i="8"/>
  <c r="M8" i="15" s="1"/>
  <c r="M13" i="15" s="1"/>
  <c r="M17" i="8"/>
  <c r="M68" i="8" s="1"/>
  <c r="P33" i="59" s="1"/>
  <c r="H8" i="15"/>
  <c r="H13" i="15" s="1"/>
  <c r="R50" i="8"/>
  <c r="Q62" i="8"/>
  <c r="J38" i="8"/>
  <c r="J37" i="8"/>
  <c r="J68" i="8"/>
  <c r="M33" i="59" s="1"/>
  <c r="J36" i="8"/>
  <c r="J69" i="8"/>
  <c r="J70" i="8"/>
  <c r="F47" i="8"/>
  <c r="I47" i="8"/>
  <c r="J41" i="8"/>
  <c r="J40" i="8"/>
  <c r="J42" i="8"/>
  <c r="J43" i="8"/>
  <c r="R29" i="8"/>
  <c r="M14" i="36"/>
  <c r="P31" i="59" s="1"/>
  <c r="G5" i="26"/>
  <c r="J14" i="36"/>
  <c r="M31" i="59" s="1"/>
  <c r="Q5" i="8"/>
  <c r="N22" i="8"/>
  <c r="N27" i="8"/>
  <c r="M76" i="8"/>
  <c r="R51" i="8"/>
  <c r="M46" i="8"/>
  <c r="M45" i="8"/>
  <c r="M78" i="8"/>
  <c r="J78" i="8"/>
  <c r="N5" i="8"/>
  <c r="N5" i="49" s="1"/>
  <c r="I15" i="8"/>
  <c r="M12" i="8"/>
  <c r="N26" i="8"/>
  <c r="J33" i="8"/>
  <c r="N33" i="8" s="1"/>
  <c r="R33" i="8" s="1"/>
  <c r="J46" i="8"/>
  <c r="F39" i="8"/>
  <c r="J34" i="8"/>
  <c r="N34" i="8" s="1"/>
  <c r="R34" i="8" s="1"/>
  <c r="J25" i="8"/>
  <c r="J45" i="8"/>
  <c r="J76" i="8"/>
  <c r="M20" i="8"/>
  <c r="Q20" i="8" s="1"/>
  <c r="F15" i="8"/>
  <c r="J14" i="8"/>
  <c r="AF43" i="35" l="1"/>
  <c r="AF44" i="35" s="1"/>
  <c r="AF35" i="35"/>
  <c r="AC74" i="50"/>
  <c r="AC72" i="50" s="1"/>
  <c r="AB25" i="36"/>
  <c r="AE55" i="59" s="1"/>
  <c r="AJ34" i="35"/>
  <c r="AP32" i="35"/>
  <c r="BH43" i="59"/>
  <c r="BE21" i="36"/>
  <c r="AX29" i="35"/>
  <c r="AT31" i="35"/>
  <c r="AT39" i="35"/>
  <c r="AF86" i="9"/>
  <c r="BD88" i="26"/>
  <c r="AX39" i="9"/>
  <c r="AX47" i="9" s="1"/>
  <c r="BF36" i="9"/>
  <c r="BF39" i="9" s="1"/>
  <c r="BF47" i="9" s="1"/>
  <c r="AT77" i="8"/>
  <c r="AI7" i="8"/>
  <c r="AO7" i="8" s="1"/>
  <c r="BF89" i="9"/>
  <c r="BE18" i="15" s="1"/>
  <c r="BF125" i="9"/>
  <c r="AA14" i="36"/>
  <c r="AD31" i="59" s="1"/>
  <c r="AI8" i="8"/>
  <c r="AO8" i="8" s="1"/>
  <c r="AI9" i="8"/>
  <c r="AO9" i="8" s="1"/>
  <c r="AI10" i="8"/>
  <c r="AO10" i="8" s="1"/>
  <c r="AS34" i="8"/>
  <c r="AW34" i="8" s="1"/>
  <c r="BE34" i="8" s="1"/>
  <c r="BE50" i="9"/>
  <c r="BE89" i="9"/>
  <c r="BD18" i="15" s="1"/>
  <c r="BE88" i="9"/>
  <c r="AW91" i="9"/>
  <c r="BE90" i="9"/>
  <c r="BE91" i="9" s="1"/>
  <c r="AX27" i="9"/>
  <c r="BF27" i="9" s="1"/>
  <c r="AX64" i="9"/>
  <c r="BF64" i="9" s="1"/>
  <c r="AX123" i="9"/>
  <c r="BF123" i="9" s="1"/>
  <c r="AX10" i="9"/>
  <c r="AJ40" i="9"/>
  <c r="AX89" i="9"/>
  <c r="AW18" i="15" s="1"/>
  <c r="AW14" i="15"/>
  <c r="AS88" i="9"/>
  <c r="AT39" i="9"/>
  <c r="AT47" i="9" s="1"/>
  <c r="AL39" i="59"/>
  <c r="AI7" i="9"/>
  <c r="AX59" i="9"/>
  <c r="BF59" i="9" s="1"/>
  <c r="AX25" i="9"/>
  <c r="BF25" i="9" s="1"/>
  <c r="AV88" i="26"/>
  <c r="AW89" i="9"/>
  <c r="AV18" i="15" s="1"/>
  <c r="AW88" i="9"/>
  <c r="AX124" i="9"/>
  <c r="BF124" i="9" s="1"/>
  <c r="AX35" i="9"/>
  <c r="AT37" i="9"/>
  <c r="AX65" i="9"/>
  <c r="BF65" i="9" s="1"/>
  <c r="AX98" i="9"/>
  <c r="BF98" i="9" s="1"/>
  <c r="AJ86" i="9"/>
  <c r="AR88" i="26"/>
  <c r="AN88" i="26"/>
  <c r="AJ65" i="22"/>
  <c r="AJ66" i="22" s="1"/>
  <c r="AH88" i="26"/>
  <c r="AJ47" i="9"/>
  <c r="AJ48" i="9" s="1"/>
  <c r="AJ45" i="9"/>
  <c r="AJ127" i="9"/>
  <c r="AJ28" i="9"/>
  <c r="AJ29" i="9" s="1"/>
  <c r="AJ133" i="9"/>
  <c r="AJ135" i="9" s="1"/>
  <c r="AJ136" i="9" s="1"/>
  <c r="AP26" i="9"/>
  <c r="AT26" i="9" s="1"/>
  <c r="AX26" i="9" s="1"/>
  <c r="BF26" i="9" s="1"/>
  <c r="AI33" i="8"/>
  <c r="AO33" i="8" s="1"/>
  <c r="AE82" i="9"/>
  <c r="AH40" i="59" s="1"/>
  <c r="AI67" i="9"/>
  <c r="AI82" i="9" s="1"/>
  <c r="AL40" i="59" s="1"/>
  <c r="AE81" i="9"/>
  <c r="AI66" i="9"/>
  <c r="AI81" i="9" s="1"/>
  <c r="AE75" i="9"/>
  <c r="AI60" i="9"/>
  <c r="AI75" i="9" s="1"/>
  <c r="AE73" i="9"/>
  <c r="AI58" i="9"/>
  <c r="AI73" i="9" s="1"/>
  <c r="AE80" i="9"/>
  <c r="AI65" i="9"/>
  <c r="AI80" i="9" s="1"/>
  <c r="AI56" i="8"/>
  <c r="AI14" i="8"/>
  <c r="AO14" i="8" s="1"/>
  <c r="AE79" i="9"/>
  <c r="AI64" i="9"/>
  <c r="AI79" i="9" s="1"/>
  <c r="AE26" i="8"/>
  <c r="AE28" i="8"/>
  <c r="AE29" i="8"/>
  <c r="AF13" i="8"/>
  <c r="AF8" i="8"/>
  <c r="AF10" i="8"/>
  <c r="AF18" i="8"/>
  <c r="AF73" i="9"/>
  <c r="AF63" i="22"/>
  <c r="AF77" i="9"/>
  <c r="AI41" i="59" s="1"/>
  <c r="AE7" i="9"/>
  <c r="AP67" i="8"/>
  <c r="AS32" i="59" s="1"/>
  <c r="AF72" i="9"/>
  <c r="AF133" i="9"/>
  <c r="AF135" i="9" s="1"/>
  <c r="AF136" i="9" s="1"/>
  <c r="AF81" i="9"/>
  <c r="AE27" i="8"/>
  <c r="Y7" i="9"/>
  <c r="AA7" i="9"/>
  <c r="AF9" i="8"/>
  <c r="AE18" i="8"/>
  <c r="AF7" i="8"/>
  <c r="AE13" i="8"/>
  <c r="AF20" i="8"/>
  <c r="AF28" i="8"/>
  <c r="AF76" i="9"/>
  <c r="AF51" i="9"/>
  <c r="AI39" i="59" s="1"/>
  <c r="AF52" i="9"/>
  <c r="AF70" i="9"/>
  <c r="AF78" i="9"/>
  <c r="AF79" i="9"/>
  <c r="AF74" i="9"/>
  <c r="AF80" i="9"/>
  <c r="AF58" i="22"/>
  <c r="AF82" i="9"/>
  <c r="AI40" i="59" s="1"/>
  <c r="AF75" i="9"/>
  <c r="AF71" i="9"/>
  <c r="AD88" i="26"/>
  <c r="V136" i="9"/>
  <c r="V138" i="9" s="1"/>
  <c r="U76" i="9"/>
  <c r="W61" i="9" s="1"/>
  <c r="Y61" i="9" s="1"/>
  <c r="Y76" i="9" s="1"/>
  <c r="AI45" i="48"/>
  <c r="V111" i="7"/>
  <c r="V114" i="7" s="1"/>
  <c r="V140" i="9"/>
  <c r="V141" i="9" s="1"/>
  <c r="V29" i="8"/>
  <c r="V50" i="8"/>
  <c r="AB12" i="8"/>
  <c r="V33" i="8"/>
  <c r="AB33" i="8" s="1"/>
  <c r="V49" i="8"/>
  <c r="AB49" i="8" s="1"/>
  <c r="AF49" i="8" s="1"/>
  <c r="AJ49" i="8" s="1"/>
  <c r="AB59" i="8"/>
  <c r="U20" i="8"/>
  <c r="AA20" i="8" s="1"/>
  <c r="V34" i="8"/>
  <c r="AB34" i="8" s="1"/>
  <c r="V51" i="8"/>
  <c r="Q5" i="49"/>
  <c r="U5" i="8"/>
  <c r="M66" i="8"/>
  <c r="Q14" i="36"/>
  <c r="T31" i="59" s="1"/>
  <c r="N10" i="36"/>
  <c r="Q27" i="59" s="1"/>
  <c r="N7" i="49"/>
  <c r="N11" i="36"/>
  <c r="Q28" i="59" s="1"/>
  <c r="N8" i="49"/>
  <c r="AP57" i="9"/>
  <c r="R23" i="8"/>
  <c r="AP39" i="9"/>
  <c r="AP47" i="9" s="1"/>
  <c r="AX2" i="8"/>
  <c r="BF2" i="8" s="1"/>
  <c r="AP37" i="9"/>
  <c r="AP67" i="9"/>
  <c r="AT67" i="9" s="1"/>
  <c r="AB112" i="7"/>
  <c r="AB113" i="7" s="1"/>
  <c r="AB111" i="7"/>
  <c r="AE43" i="48"/>
  <c r="AB71" i="9"/>
  <c r="AA42" i="48"/>
  <c r="AB140" i="9"/>
  <c r="AB141" i="9" s="1"/>
  <c r="AB138" i="9"/>
  <c r="AE46" i="48"/>
  <c r="AP128" i="9"/>
  <c r="AT128" i="9" s="1"/>
  <c r="AP23" i="9"/>
  <c r="AT23" i="9" s="1"/>
  <c r="AP41" i="9"/>
  <c r="AT41" i="9" s="1"/>
  <c r="AO54" i="9"/>
  <c r="AS54" i="9" s="1"/>
  <c r="AO96" i="9"/>
  <c r="AS96" i="9" s="1"/>
  <c r="AW96" i="9" s="1"/>
  <c r="BE96" i="9" s="1"/>
  <c r="AO88" i="9"/>
  <c r="AP22" i="9"/>
  <c r="AT22" i="9" s="1"/>
  <c r="AP126" i="9"/>
  <c r="AT126" i="9" s="1"/>
  <c r="AP28" i="9"/>
  <c r="AP29" i="9" s="1"/>
  <c r="AP18" i="9"/>
  <c r="AT18" i="9" s="1"/>
  <c r="AO46" i="9"/>
  <c r="AS46" i="9" s="1"/>
  <c r="AP32" i="9"/>
  <c r="AT32" i="9" s="1"/>
  <c r="AO25" i="9"/>
  <c r="AS25" i="9" s="1"/>
  <c r="R24" i="8"/>
  <c r="V24" i="8" s="1"/>
  <c r="J13" i="36"/>
  <c r="M30" i="59" s="1"/>
  <c r="Z88" i="26"/>
  <c r="X88" i="26"/>
  <c r="N14" i="36"/>
  <c r="Q31" i="59" s="1"/>
  <c r="J66" i="8"/>
  <c r="Q43" i="8"/>
  <c r="Q41" i="8"/>
  <c r="Q42" i="8"/>
  <c r="Q40" i="8"/>
  <c r="N41" i="8"/>
  <c r="N37" i="8"/>
  <c r="N40" i="8"/>
  <c r="N36" i="8"/>
  <c r="N43" i="8"/>
  <c r="N42" i="8"/>
  <c r="N38" i="8"/>
  <c r="AA52" i="8"/>
  <c r="AE52" i="8" s="1"/>
  <c r="AA60" i="8"/>
  <c r="AE60" i="8" s="1"/>
  <c r="R17" i="8"/>
  <c r="Q8" i="15" s="1"/>
  <c r="Q13" i="15" s="1"/>
  <c r="R27" i="8"/>
  <c r="V27" i="8" s="1"/>
  <c r="N64" i="8"/>
  <c r="Q17" i="8"/>
  <c r="L8" i="15"/>
  <c r="L13" i="15" s="1"/>
  <c r="R26" i="8"/>
  <c r="V26" i="8" s="1"/>
  <c r="N62" i="8"/>
  <c r="N61" i="8"/>
  <c r="R48" i="8"/>
  <c r="Q78" i="8"/>
  <c r="N68" i="8"/>
  <c r="Q33" i="59" s="1"/>
  <c r="N70" i="8"/>
  <c r="N69" i="8"/>
  <c r="M47" i="8"/>
  <c r="R5" i="8"/>
  <c r="R22" i="8"/>
  <c r="N46" i="8"/>
  <c r="AB14" i="36" s="1"/>
  <c r="I5" i="26"/>
  <c r="Q76" i="8"/>
  <c r="N25" i="8"/>
  <c r="Q46" i="8"/>
  <c r="Q45" i="8"/>
  <c r="M15" i="8"/>
  <c r="Q12" i="8"/>
  <c r="U12" i="8" s="1"/>
  <c r="U15" i="8" s="1"/>
  <c r="N45" i="8"/>
  <c r="N78" i="8"/>
  <c r="J15" i="8"/>
  <c r="N14" i="8"/>
  <c r="N76" i="8"/>
  <c r="J47" i="8"/>
  <c r="J39" i="8"/>
  <c r="AT32" i="35" l="1"/>
  <c r="AP34" i="35"/>
  <c r="AJ43" i="35"/>
  <c r="AJ44" i="35" s="1"/>
  <c r="AJ35" i="35"/>
  <c r="AF25" i="36"/>
  <c r="AI55" i="59" s="1"/>
  <c r="AG74" i="50"/>
  <c r="AG72" i="50" s="1"/>
  <c r="AX39" i="35"/>
  <c r="AX31" i="35"/>
  <c r="BF29" i="35"/>
  <c r="AX126" i="9"/>
  <c r="BF126" i="9" s="1"/>
  <c r="AF110" i="7"/>
  <c r="AS8" i="8"/>
  <c r="AW8" i="8" s="1"/>
  <c r="BE8" i="8" s="1"/>
  <c r="AS7" i="8"/>
  <c r="AW7" i="8" s="1"/>
  <c r="BE7" i="8" s="1"/>
  <c r="AS10" i="8"/>
  <c r="AW10" i="8" s="1"/>
  <c r="BE10" i="8" s="1"/>
  <c r="AS9" i="8"/>
  <c r="AW9" i="8" s="1"/>
  <c r="BE9" i="8" s="1"/>
  <c r="AJ10" i="8"/>
  <c r="AP10" i="8" s="1"/>
  <c r="AS14" i="8"/>
  <c r="AW14" i="8" s="1"/>
  <c r="BE14" i="8" s="1"/>
  <c r="AS33" i="8"/>
  <c r="AW33" i="8" s="1"/>
  <c r="BE33" i="8" s="1"/>
  <c r="BF28" i="9"/>
  <c r="BF29" i="9" s="1"/>
  <c r="AJ7" i="8"/>
  <c r="AP7" i="8" s="1"/>
  <c r="AJ8" i="8"/>
  <c r="AP8" i="8" s="1"/>
  <c r="AJ28" i="8"/>
  <c r="AP28" i="8" s="1"/>
  <c r="AI18" i="8"/>
  <c r="AO18" i="8" s="1"/>
  <c r="AX77" i="8"/>
  <c r="AX75" i="8"/>
  <c r="BF75" i="8" s="1"/>
  <c r="AJ9" i="8"/>
  <c r="AP9" i="8" s="1"/>
  <c r="AJ18" i="8"/>
  <c r="AP18" i="8" s="1"/>
  <c r="AX37" i="9"/>
  <c r="BF35" i="9"/>
  <c r="BF37" i="9" s="1"/>
  <c r="AX74" i="8"/>
  <c r="BF74" i="8" s="1"/>
  <c r="AW46" i="9"/>
  <c r="BE46" i="9" s="1"/>
  <c r="AS52" i="9"/>
  <c r="AS70" i="9"/>
  <c r="AS74" i="9"/>
  <c r="AS78" i="9"/>
  <c r="AT85" i="9"/>
  <c r="AX22" i="9"/>
  <c r="AX41" i="9"/>
  <c r="AT45" i="9"/>
  <c r="AX67" i="9"/>
  <c r="BF67" i="9" s="1"/>
  <c r="AT58" i="22"/>
  <c r="AT60" i="22" s="1"/>
  <c r="AT61" i="22" s="1"/>
  <c r="AT84" i="9"/>
  <c r="AX18" i="9"/>
  <c r="AX23" i="9"/>
  <c r="AT88" i="9"/>
  <c r="AO44" i="48"/>
  <c r="AT57" i="9"/>
  <c r="AT28" i="9"/>
  <c r="AT29" i="9" s="1"/>
  <c r="AX32" i="9"/>
  <c r="BF32" i="9" s="1"/>
  <c r="AT38" i="9"/>
  <c r="AT46" i="9" s="1"/>
  <c r="AT48" i="9" s="1"/>
  <c r="AT34" i="9"/>
  <c r="AT40" i="9" s="1"/>
  <c r="AW25" i="9"/>
  <c r="AS28" i="9"/>
  <c r="AX28" i="9"/>
  <c r="AX29" i="9" s="1"/>
  <c r="AW34" i="15"/>
  <c r="AW16" i="15"/>
  <c r="AX128" i="9"/>
  <c r="BF128" i="9" s="1"/>
  <c r="AW54" i="9"/>
  <c r="BE54" i="9" s="1"/>
  <c r="AS69" i="9"/>
  <c r="AS56" i="9"/>
  <c r="AS71" i="9" s="1"/>
  <c r="AO67" i="9"/>
  <c r="AS67" i="9" s="1"/>
  <c r="AW32" i="59"/>
  <c r="AO66" i="9"/>
  <c r="AS66" i="9" s="1"/>
  <c r="AJ74" i="9"/>
  <c r="AJ71" i="9"/>
  <c r="AJ69" i="9"/>
  <c r="AJ70" i="9"/>
  <c r="AJ52" i="9"/>
  <c r="AJ51" i="9"/>
  <c r="AM39" i="59" s="1"/>
  <c r="AJ78" i="9"/>
  <c r="AJ79" i="9"/>
  <c r="AJ80" i="9"/>
  <c r="AJ75" i="9"/>
  <c r="AJ73" i="9"/>
  <c r="AJ82" i="9"/>
  <c r="AM40" i="59" s="1"/>
  <c r="AJ76" i="9"/>
  <c r="AJ77" i="9"/>
  <c r="AM41" i="59" s="1"/>
  <c r="AJ72" i="9"/>
  <c r="AJ81" i="9"/>
  <c r="AP127" i="9"/>
  <c r="AT127" i="9" s="1"/>
  <c r="AX127" i="9" s="1"/>
  <c r="BF127" i="9" s="1"/>
  <c r="AJ140" i="9"/>
  <c r="AJ141" i="9" s="1"/>
  <c r="AJ138" i="9"/>
  <c r="AO58" i="9"/>
  <c r="AO60" i="9"/>
  <c r="AE62" i="8"/>
  <c r="AI52" i="8"/>
  <c r="AI13" i="8"/>
  <c r="AO13" i="8" s="1"/>
  <c r="AI27" i="8"/>
  <c r="AI26" i="8"/>
  <c r="AO26" i="8" s="1"/>
  <c r="AE64" i="8"/>
  <c r="AI60" i="8"/>
  <c r="AJ13" i="8"/>
  <c r="AP13" i="8" s="1"/>
  <c r="AI29" i="8"/>
  <c r="AJ20" i="8"/>
  <c r="AP20" i="8" s="1"/>
  <c r="AO64" i="9"/>
  <c r="AS64" i="9" s="1"/>
  <c r="AI28" i="8"/>
  <c r="AO28" i="8" s="1"/>
  <c r="AO65" i="9"/>
  <c r="AS65" i="9" s="1"/>
  <c r="AO56" i="8"/>
  <c r="AS56" i="8" s="1"/>
  <c r="AF34" i="8"/>
  <c r="AF59" i="8"/>
  <c r="AJ59" i="8" s="1"/>
  <c r="AF33" i="8"/>
  <c r="AF65" i="22"/>
  <c r="AF66" i="22" s="1"/>
  <c r="AE40" i="48" s="1"/>
  <c r="AE20" i="8"/>
  <c r="AF12" i="8"/>
  <c r="AF60" i="22"/>
  <c r="AF61" i="22" s="1"/>
  <c r="AE37" i="48" s="1"/>
  <c r="AF140" i="9"/>
  <c r="AF141" i="9" s="1"/>
  <c r="AF138" i="9"/>
  <c r="AA61" i="9"/>
  <c r="AA76" i="9" s="1"/>
  <c r="AC61" i="9" s="1"/>
  <c r="AP61" i="9"/>
  <c r="R14" i="36"/>
  <c r="U31" i="59" s="1"/>
  <c r="AE31" i="59"/>
  <c r="U76" i="8"/>
  <c r="V142" i="9"/>
  <c r="U12" i="48" s="1"/>
  <c r="U13" i="48" s="1"/>
  <c r="AB50" i="8"/>
  <c r="V64" i="8"/>
  <c r="V48" i="8"/>
  <c r="Q66" i="8"/>
  <c r="U46" i="8"/>
  <c r="U66" i="8" s="1"/>
  <c r="U14" i="36"/>
  <c r="X31" i="59" s="1"/>
  <c r="V61" i="8"/>
  <c r="V62" i="8"/>
  <c r="R10" i="36"/>
  <c r="U27" i="59" s="1"/>
  <c r="V22" i="8"/>
  <c r="R7" i="49"/>
  <c r="U17" i="8"/>
  <c r="P8" i="15"/>
  <c r="P13" i="15" s="1"/>
  <c r="V17" i="8"/>
  <c r="U8" i="15" s="1"/>
  <c r="U13" i="15" s="1"/>
  <c r="AB51" i="8"/>
  <c r="R5" i="49"/>
  <c r="V5" i="8"/>
  <c r="V43" i="8" s="1"/>
  <c r="R11" i="36"/>
  <c r="U28" i="59" s="1"/>
  <c r="V23" i="8"/>
  <c r="R8" i="49"/>
  <c r="U45" i="8"/>
  <c r="U78" i="8"/>
  <c r="U43" i="8"/>
  <c r="U41" i="8"/>
  <c r="U42" i="8"/>
  <c r="U40" i="8"/>
  <c r="AB29" i="8"/>
  <c r="U5" i="49"/>
  <c r="AJ110" i="7"/>
  <c r="AJ111" i="7" s="1"/>
  <c r="N13" i="36"/>
  <c r="Q30" i="59" s="1"/>
  <c r="V12" i="36"/>
  <c r="Y29" i="59" s="1"/>
  <c r="R12" i="36"/>
  <c r="U29" i="59" s="1"/>
  <c r="BF67" i="8"/>
  <c r="BI32" i="59" s="1"/>
  <c r="AP66" i="9"/>
  <c r="AT66" i="9" s="1"/>
  <c r="AO99" i="9"/>
  <c r="AS99" i="9" s="1"/>
  <c r="AW99" i="9" s="1"/>
  <c r="BE99" i="9" s="1"/>
  <c r="AB142" i="9"/>
  <c r="AA12" i="48" s="1"/>
  <c r="AA13" i="48" s="1"/>
  <c r="AB114" i="7"/>
  <c r="AA17" i="48" s="1"/>
  <c r="AF112" i="7"/>
  <c r="AF113" i="7" s="1"/>
  <c r="AF111" i="7"/>
  <c r="AO37" i="48"/>
  <c r="AI40" i="48"/>
  <c r="AP62" i="9"/>
  <c r="AT62" i="9" s="1"/>
  <c r="AE42" i="48"/>
  <c r="AO97" i="9"/>
  <c r="AS97" i="9" s="1"/>
  <c r="AW97" i="9" s="1"/>
  <c r="BE97" i="9" s="1"/>
  <c r="U17" i="48"/>
  <c r="AO28" i="9"/>
  <c r="AO83" i="9" s="1"/>
  <c r="AO82" i="9"/>
  <c r="AR40" i="59" s="1"/>
  <c r="AP88" i="9"/>
  <c r="AP45" i="9"/>
  <c r="AO80" i="9"/>
  <c r="AI46" i="48"/>
  <c r="AP60" i="9"/>
  <c r="AT60" i="9" s="1"/>
  <c r="AI43" i="48"/>
  <c r="AP58" i="9"/>
  <c r="AT58" i="9" s="1"/>
  <c r="AP50" i="9"/>
  <c r="AT50" i="9" s="1"/>
  <c r="AX50" i="9" s="1"/>
  <c r="AO62" i="9"/>
  <c r="AS62" i="9" s="1"/>
  <c r="AO57" i="9"/>
  <c r="AS57" i="9" s="1"/>
  <c r="AP96" i="9"/>
  <c r="AT96" i="9" s="1"/>
  <c r="AX96" i="9" s="1"/>
  <c r="AP38" i="9"/>
  <c r="AP46" i="9" s="1"/>
  <c r="AP48" i="9" s="1"/>
  <c r="AP34" i="9"/>
  <c r="AP40" i="9" s="1"/>
  <c r="AO91" i="9"/>
  <c r="AO84" i="9"/>
  <c r="AO95" i="9"/>
  <c r="AO89" i="9"/>
  <c r="AN18" i="15" s="1"/>
  <c r="AO52" i="9"/>
  <c r="AO70" i="9"/>
  <c r="AO74" i="9"/>
  <c r="AO78" i="9"/>
  <c r="AP54" i="9"/>
  <c r="AT54" i="9" s="1"/>
  <c r="AO56" i="9"/>
  <c r="AO71" i="9" s="1"/>
  <c r="AO69" i="9"/>
  <c r="AB23" i="8"/>
  <c r="AP57" i="8"/>
  <c r="AT57" i="8" s="1"/>
  <c r="AB24" i="8"/>
  <c r="AB12" i="36" s="1"/>
  <c r="AE29" i="59" s="1"/>
  <c r="AA62" i="8"/>
  <c r="AA64" i="8"/>
  <c r="N66" i="8"/>
  <c r="Q47" i="8"/>
  <c r="R41" i="8"/>
  <c r="R37" i="8"/>
  <c r="R40" i="8"/>
  <c r="R36" i="8"/>
  <c r="R43" i="8"/>
  <c r="R42" i="8"/>
  <c r="R38" i="8"/>
  <c r="AA5" i="8"/>
  <c r="N39" i="8"/>
  <c r="AA12" i="8"/>
  <c r="AE12" i="8" s="1"/>
  <c r="R25" i="8"/>
  <c r="V5" i="49"/>
  <c r="AB26" i="8"/>
  <c r="AF26" i="8" s="1"/>
  <c r="AJ26" i="8" s="1"/>
  <c r="R62" i="8"/>
  <c r="R61" i="8"/>
  <c r="Q68" i="8"/>
  <c r="T33" i="59" s="1"/>
  <c r="AB27" i="8"/>
  <c r="AF27" i="8" s="1"/>
  <c r="AJ27" i="8" s="1"/>
  <c r="AJ64" i="8" s="1"/>
  <c r="R64" i="8"/>
  <c r="R70" i="8"/>
  <c r="R68" i="8"/>
  <c r="U33" i="59" s="1"/>
  <c r="R69" i="8"/>
  <c r="R76" i="8"/>
  <c r="R78" i="8"/>
  <c r="R45" i="8"/>
  <c r="R46" i="8"/>
  <c r="M5" i="26"/>
  <c r="Q5" i="26" s="1"/>
  <c r="Q15" i="8"/>
  <c r="N15" i="8"/>
  <c r="R14" i="8"/>
  <c r="V14" i="8" s="1"/>
  <c r="N47" i="8"/>
  <c r="H62" i="7"/>
  <c r="G62" i="7"/>
  <c r="E62" i="7"/>
  <c r="J61" i="7"/>
  <c r="I61" i="7"/>
  <c r="J59" i="7"/>
  <c r="N59" i="7" s="1"/>
  <c r="I59" i="7"/>
  <c r="M59" i="7" s="1"/>
  <c r="H58" i="7"/>
  <c r="H60" i="7" s="1"/>
  <c r="G58" i="7"/>
  <c r="G60" i="7" s="1"/>
  <c r="F58" i="7"/>
  <c r="F60" i="7" s="1"/>
  <c r="E58" i="7"/>
  <c r="E60" i="7" s="1"/>
  <c r="J2" i="7"/>
  <c r="I2" i="7"/>
  <c r="I71" i="7" s="1"/>
  <c r="J53" i="7"/>
  <c r="N53" i="7" s="1"/>
  <c r="R53" i="7" s="1"/>
  <c r="J52" i="7"/>
  <c r="N52" i="7" s="1"/>
  <c r="R52" i="7" s="1"/>
  <c r="V52" i="7" s="1"/>
  <c r="J38" i="7"/>
  <c r="J36" i="7"/>
  <c r="J35" i="7"/>
  <c r="J34" i="7"/>
  <c r="J33" i="7"/>
  <c r="J31" i="7"/>
  <c r="J15" i="7"/>
  <c r="J13" i="7"/>
  <c r="J12" i="7"/>
  <c r="J9" i="7"/>
  <c r="J8" i="7"/>
  <c r="J125" i="7" s="1"/>
  <c r="J127" i="7" s="1"/>
  <c r="J128" i="7" s="1"/>
  <c r="I27" i="48" s="1"/>
  <c r="I28" i="48" s="1"/>
  <c r="J7" i="7"/>
  <c r="J6" i="7"/>
  <c r="H54" i="7"/>
  <c r="H22" i="7" s="1"/>
  <c r="F104" i="7"/>
  <c r="F105" i="7" s="1"/>
  <c r="H16" i="7"/>
  <c r="H30" i="7" s="1"/>
  <c r="F16" i="7"/>
  <c r="F30" i="7" s="1"/>
  <c r="I53" i="7"/>
  <c r="M53" i="7" s="1"/>
  <c r="Q53" i="7" s="1"/>
  <c r="I52" i="7"/>
  <c r="M52" i="7" s="1"/>
  <c r="G54" i="7"/>
  <c r="E54" i="7"/>
  <c r="H194" i="6"/>
  <c r="H190" i="6"/>
  <c r="H186" i="6"/>
  <c r="H183" i="6"/>
  <c r="H182" i="6"/>
  <c r="F196" i="6"/>
  <c r="F190" i="6"/>
  <c r="F186" i="6"/>
  <c r="F183" i="6"/>
  <c r="F182" i="6"/>
  <c r="AJ25" i="36" l="1"/>
  <c r="AK74" i="50"/>
  <c r="AK72" i="50" s="1"/>
  <c r="AP43" i="35"/>
  <c r="AP44" i="35" s="1"/>
  <c r="AP35" i="35"/>
  <c r="AQ74" i="50" s="1"/>
  <c r="AQ72" i="50" s="1"/>
  <c r="AX32" i="35"/>
  <c r="AT34" i="35"/>
  <c r="BF39" i="35"/>
  <c r="BN29" i="35"/>
  <c r="BN31" i="35" s="1"/>
  <c r="BF31" i="35"/>
  <c r="AI64" i="8"/>
  <c r="AO81" i="9"/>
  <c r="AT20" i="8"/>
  <c r="AX20" i="8" s="1"/>
  <c r="BF20" i="8" s="1"/>
  <c r="AT8" i="8"/>
  <c r="AX8" i="8" s="1"/>
  <c r="BF8" i="8" s="1"/>
  <c r="AS26" i="8"/>
  <c r="AT18" i="8"/>
  <c r="AX18" i="8" s="1"/>
  <c r="BF18" i="8" s="1"/>
  <c r="AS18" i="8"/>
  <c r="AW18" i="8" s="1"/>
  <c r="BE18" i="8" s="1"/>
  <c r="AT7" i="8"/>
  <c r="AX7" i="8" s="1"/>
  <c r="BF7" i="8" s="1"/>
  <c r="AT9" i="8"/>
  <c r="AX9" i="8" s="1"/>
  <c r="BF9" i="8" s="1"/>
  <c r="AT10" i="8"/>
  <c r="AX10" i="8" s="1"/>
  <c r="BF10" i="8" s="1"/>
  <c r="E22" i="7"/>
  <c r="E26" i="7"/>
  <c r="AF23" i="8"/>
  <c r="AJ23" i="8" s="1"/>
  <c r="AB11" i="36"/>
  <c r="AE28" i="59" s="1"/>
  <c r="AS28" i="8"/>
  <c r="AW28" i="9"/>
  <c r="BE25" i="9"/>
  <c r="BE28" i="9" s="1"/>
  <c r="AX88" i="9"/>
  <c r="BF23" i="9"/>
  <c r="AT28" i="8"/>
  <c r="V76" i="8"/>
  <c r="V69" i="8"/>
  <c r="AJ62" i="8"/>
  <c r="AJ61" i="8"/>
  <c r="AT13" i="8"/>
  <c r="AX84" i="9"/>
  <c r="BF18" i="9"/>
  <c r="BF84" i="9" s="1"/>
  <c r="BE52" i="9"/>
  <c r="BE70" i="9"/>
  <c r="BE74" i="9"/>
  <c r="BE78" i="9"/>
  <c r="AW56" i="8"/>
  <c r="AX45" i="9"/>
  <c r="BF41" i="9"/>
  <c r="V70" i="8"/>
  <c r="AS13" i="8"/>
  <c r="BF34" i="9"/>
  <c r="BF40" i="9" s="1"/>
  <c r="BF38" i="9"/>
  <c r="AX85" i="9"/>
  <c r="AX86" i="9" s="1"/>
  <c r="BF22" i="9"/>
  <c r="BF85" i="9" s="1"/>
  <c r="BF77" i="8"/>
  <c r="AJ142" i="9"/>
  <c r="AI12" i="48" s="1"/>
  <c r="AI13" i="48" s="1"/>
  <c r="BE56" i="9"/>
  <c r="BE71" i="9" s="1"/>
  <c r="BE69" i="9"/>
  <c r="AT75" i="9"/>
  <c r="AX60" i="9"/>
  <c r="BF60" i="9" s="1"/>
  <c r="AS82" i="9"/>
  <c r="AW67" i="9"/>
  <c r="AS83" i="9"/>
  <c r="AS29" i="9"/>
  <c r="AX38" i="9"/>
  <c r="AX46" i="9" s="1"/>
  <c r="AX48" i="9" s="1"/>
  <c r="AX82" i="9" s="1"/>
  <c r="BA40" i="59" s="1"/>
  <c r="AX34" i="9"/>
  <c r="AX40" i="9" s="1"/>
  <c r="AX54" i="9"/>
  <c r="BF54" i="9" s="1"/>
  <c r="AT56" i="9"/>
  <c r="AT71" i="9" s="1"/>
  <c r="AT69" i="9"/>
  <c r="AT61" i="9"/>
  <c r="AS45" i="48" s="1"/>
  <c r="AS80" i="9"/>
  <c r="AW65" i="9"/>
  <c r="AW29" i="9"/>
  <c r="AW83" i="9"/>
  <c r="AX58" i="22"/>
  <c r="AX60" i="22" s="1"/>
  <c r="AX61" i="22" s="1"/>
  <c r="AT86" i="9"/>
  <c r="AS51" i="9"/>
  <c r="AS7" i="9" s="1"/>
  <c r="AS72" i="9"/>
  <c r="AW57" i="9"/>
  <c r="AT73" i="9"/>
  <c r="AX58" i="9"/>
  <c r="AS81" i="9"/>
  <c r="AW66" i="9"/>
  <c r="AW69" i="9"/>
  <c r="AW56" i="9"/>
  <c r="AW71" i="9" s="1"/>
  <c r="AS77" i="9"/>
  <c r="AW62" i="9"/>
  <c r="AX62" i="9"/>
  <c r="AT63" i="22"/>
  <c r="AT65" i="22" s="1"/>
  <c r="AT66" i="22" s="1"/>
  <c r="AT77" i="9"/>
  <c r="AT133" i="9"/>
  <c r="AT135" i="9" s="1"/>
  <c r="AT136" i="9" s="1"/>
  <c r="AX66" i="9"/>
  <c r="BF66" i="9" s="1"/>
  <c r="AT81" i="9"/>
  <c r="AW64" i="9"/>
  <c r="AS79" i="9"/>
  <c r="AT52" i="9"/>
  <c r="AT51" i="9"/>
  <c r="AT70" i="9"/>
  <c r="AT78" i="9"/>
  <c r="AT80" i="9"/>
  <c r="AT79" i="9"/>
  <c r="AT74" i="9"/>
  <c r="AX57" i="9"/>
  <c r="AT72" i="9"/>
  <c r="AT82" i="9"/>
  <c r="AW40" i="59" s="1"/>
  <c r="AW52" i="9"/>
  <c r="AW51" i="9"/>
  <c r="AW70" i="9"/>
  <c r="AW74" i="9"/>
  <c r="AW78" i="9"/>
  <c r="AX57" i="8"/>
  <c r="BF57" i="8" s="1"/>
  <c r="AS60" i="9"/>
  <c r="AS58" i="9"/>
  <c r="AO75" i="9"/>
  <c r="AO73" i="9"/>
  <c r="AO79" i="9"/>
  <c r="AJ33" i="8"/>
  <c r="AP33" i="8" s="1"/>
  <c r="AJ34" i="8"/>
  <c r="AP34" i="8" s="1"/>
  <c r="AI62" i="8"/>
  <c r="AI20" i="8"/>
  <c r="AO20" i="8" s="1"/>
  <c r="AE15" i="8"/>
  <c r="AI12" i="8"/>
  <c r="AI15" i="8" s="1"/>
  <c r="BE56" i="8"/>
  <c r="AJ12" i="8"/>
  <c r="AP12" i="8" s="1"/>
  <c r="AO29" i="8"/>
  <c r="AO27" i="8"/>
  <c r="AF142" i="9"/>
  <c r="AE12" i="48" s="1"/>
  <c r="AE13" i="48" s="1"/>
  <c r="AF64" i="8"/>
  <c r="AF61" i="8"/>
  <c r="AF62" i="8"/>
  <c r="AF11" i="36"/>
  <c r="AI28" i="59" s="1"/>
  <c r="AF8" i="49"/>
  <c r="AF50" i="8"/>
  <c r="AJ50" i="8" s="1"/>
  <c r="AA78" i="8"/>
  <c r="AE5" i="8"/>
  <c r="AI5" i="8" s="1"/>
  <c r="AI40" i="8" s="1"/>
  <c r="AF24" i="8"/>
  <c r="AJ24" i="8" s="1"/>
  <c r="AJ12" i="36" s="1"/>
  <c r="AM29" i="59" s="1"/>
  <c r="AF29" i="8"/>
  <c r="AF51" i="8"/>
  <c r="AE61" i="9"/>
  <c r="AE76" i="9" s="1"/>
  <c r="AG61" i="9" s="1"/>
  <c r="AI61" i="9" s="1"/>
  <c r="AI76" i="9" s="1"/>
  <c r="AK61" i="9" s="1"/>
  <c r="AM61" i="9" s="1"/>
  <c r="AP59" i="8"/>
  <c r="AO45" i="48"/>
  <c r="G21" i="7"/>
  <c r="G84" i="7" s="1"/>
  <c r="J25" i="59" s="1"/>
  <c r="G22" i="7"/>
  <c r="G81" i="7" s="1"/>
  <c r="AJ112" i="7"/>
  <c r="AJ113" i="7" s="1"/>
  <c r="AB8" i="49"/>
  <c r="AA5" i="49"/>
  <c r="R13" i="36"/>
  <c r="U30" i="59" s="1"/>
  <c r="AS44" i="48"/>
  <c r="AO51" i="9"/>
  <c r="AR39" i="59" s="1"/>
  <c r="U53" i="7"/>
  <c r="AA53" i="7" s="1"/>
  <c r="V53" i="7"/>
  <c r="AB53" i="7" s="1"/>
  <c r="V37" i="8"/>
  <c r="AB48" i="8"/>
  <c r="V11" i="36"/>
  <c r="Y28" i="59" s="1"/>
  <c r="V8" i="49"/>
  <c r="V68" i="8"/>
  <c r="Y33" i="59" s="1"/>
  <c r="V25" i="8"/>
  <c r="V36" i="8"/>
  <c r="U47" i="8"/>
  <c r="R66" i="8"/>
  <c r="V46" i="8"/>
  <c r="V66" i="8" s="1"/>
  <c r="V14" i="36"/>
  <c r="Y31" i="59" s="1"/>
  <c r="V40" i="8"/>
  <c r="V45" i="8"/>
  <c r="V78" i="8"/>
  <c r="V42" i="8"/>
  <c r="V38" i="8"/>
  <c r="U68" i="8"/>
  <c r="X33" i="59" s="1"/>
  <c r="T8" i="15"/>
  <c r="T13" i="15" s="1"/>
  <c r="V41" i="8"/>
  <c r="U5" i="26"/>
  <c r="AA5" i="26" s="1"/>
  <c r="V7" i="49"/>
  <c r="V10" i="36"/>
  <c r="Y27" i="59" s="1"/>
  <c r="N2" i="7"/>
  <c r="J71" i="7"/>
  <c r="AO29" i="9"/>
  <c r="G70" i="7"/>
  <c r="J26" i="59" s="1"/>
  <c r="AP133" i="9"/>
  <c r="H104" i="7"/>
  <c r="H105" i="7" s="1"/>
  <c r="H107" i="7" s="1"/>
  <c r="H108" i="7" s="1"/>
  <c r="H70" i="7"/>
  <c r="K26" i="59" s="1"/>
  <c r="J119" i="7"/>
  <c r="J121" i="7" s="1"/>
  <c r="J122" i="7" s="1"/>
  <c r="I22" i="48" s="1"/>
  <c r="I23" i="48" s="1"/>
  <c r="AF114" i="7"/>
  <c r="AE17" i="48" s="1"/>
  <c r="AO77" i="9"/>
  <c r="AR41" i="59" s="1"/>
  <c r="AO46" i="48"/>
  <c r="AO43" i="48"/>
  <c r="AI42" i="48"/>
  <c r="AO72" i="9"/>
  <c r="BF69" i="7"/>
  <c r="AS37" i="48"/>
  <c r="BF55" i="7"/>
  <c r="AV40" i="59"/>
  <c r="AO40" i="48"/>
  <c r="N61" i="7"/>
  <c r="J1" i="7"/>
  <c r="F106" i="7"/>
  <c r="F107" i="7"/>
  <c r="F108" i="7" s="1"/>
  <c r="AB52" i="7"/>
  <c r="AF52" i="7" s="1"/>
  <c r="AJ52" i="7" s="1"/>
  <c r="AP52" i="7" s="1"/>
  <c r="AP56" i="9"/>
  <c r="AP69" i="9"/>
  <c r="AP75" i="9"/>
  <c r="AP51" i="9"/>
  <c r="AS39" i="59" s="1"/>
  <c r="AP52" i="9"/>
  <c r="AP70" i="9"/>
  <c r="AP78" i="9"/>
  <c r="AP80" i="9"/>
  <c r="AP72" i="9"/>
  <c r="AP73" i="9"/>
  <c r="AP82" i="9"/>
  <c r="AS40" i="59" s="1"/>
  <c r="AP79" i="9"/>
  <c r="AP77" i="9"/>
  <c r="AS41" i="59" s="1"/>
  <c r="AP74" i="9"/>
  <c r="AP76" i="9"/>
  <c r="AP81" i="9"/>
  <c r="AP49" i="8"/>
  <c r="AT49" i="8" s="1"/>
  <c r="AB17" i="8"/>
  <c r="AA17" i="8"/>
  <c r="AB64" i="8"/>
  <c r="AB22" i="8"/>
  <c r="AB62" i="8"/>
  <c r="AB61" i="8"/>
  <c r="AA15" i="8"/>
  <c r="R39" i="8"/>
  <c r="AA42" i="8"/>
  <c r="AA41" i="8"/>
  <c r="AA43" i="8"/>
  <c r="AA40" i="8"/>
  <c r="AB5" i="8"/>
  <c r="AF5" i="8" s="1"/>
  <c r="AJ5" i="8" s="1"/>
  <c r="AA76" i="8"/>
  <c r="M61" i="7"/>
  <c r="M1" i="7" s="1"/>
  <c r="I1" i="7"/>
  <c r="AB14" i="8"/>
  <c r="AF14" i="8" s="1"/>
  <c r="AA46" i="8"/>
  <c r="AA45" i="8"/>
  <c r="R47" i="8"/>
  <c r="F48" i="7"/>
  <c r="F26" i="7"/>
  <c r="F83" i="7" s="1"/>
  <c r="F43" i="7"/>
  <c r="F23" i="7"/>
  <c r="F78" i="7" s="1"/>
  <c r="F25" i="7"/>
  <c r="F80" i="7" s="1"/>
  <c r="F47" i="7"/>
  <c r="F24" i="7"/>
  <c r="F79" i="7" s="1"/>
  <c r="F20" i="7"/>
  <c r="F21" i="7"/>
  <c r="F44" i="7"/>
  <c r="F82" i="7" s="1"/>
  <c r="F45" i="7"/>
  <c r="F27" i="7"/>
  <c r="F77" i="7" s="1"/>
  <c r="F18" i="7"/>
  <c r="F74" i="7" s="1"/>
  <c r="I22" i="59" s="1"/>
  <c r="F49" i="7"/>
  <c r="F46" i="7"/>
  <c r="F42" i="7"/>
  <c r="F19" i="7"/>
  <c r="N8" i="7"/>
  <c r="N125" i="7" s="1"/>
  <c r="N127" i="7" s="1"/>
  <c r="N128" i="7" s="1"/>
  <c r="M27" i="48" s="1"/>
  <c r="M28" i="48" s="1"/>
  <c r="N13" i="7"/>
  <c r="R13" i="7" s="1"/>
  <c r="V13" i="7" s="1"/>
  <c r="AB13" i="7" s="1"/>
  <c r="AF13" i="7" s="1"/>
  <c r="AJ13" i="7" s="1"/>
  <c r="AP13" i="7" s="1"/>
  <c r="H67" i="7"/>
  <c r="H44" i="7"/>
  <c r="H82" i="7" s="1"/>
  <c r="H48" i="7"/>
  <c r="H43" i="7"/>
  <c r="H20" i="7"/>
  <c r="H46" i="7"/>
  <c r="H19" i="7"/>
  <c r="H18" i="7"/>
  <c r="H47" i="7"/>
  <c r="H45" i="7"/>
  <c r="H49" i="7"/>
  <c r="H42" i="7"/>
  <c r="H21" i="7"/>
  <c r="N9" i="7"/>
  <c r="N15" i="7"/>
  <c r="R15" i="7" s="1"/>
  <c r="V15" i="7" s="1"/>
  <c r="AB15" i="7" s="1"/>
  <c r="AF15" i="7" s="1"/>
  <c r="AJ15" i="7" s="1"/>
  <c r="AP15" i="7" s="1"/>
  <c r="E35" i="7"/>
  <c r="E31" i="7"/>
  <c r="E24" i="7"/>
  <c r="E79" i="7" s="1"/>
  <c r="E19" i="7"/>
  <c r="E75" i="7" s="1"/>
  <c r="H23" i="59" s="1"/>
  <c r="E32" i="7"/>
  <c r="E38" i="7"/>
  <c r="E34" i="7"/>
  <c r="E27" i="7"/>
  <c r="E77" i="7" s="1"/>
  <c r="E23" i="7"/>
  <c r="E78" i="7" s="1"/>
  <c r="E18" i="7"/>
  <c r="E74" i="7" s="1"/>
  <c r="H22" i="59" s="1"/>
  <c r="E36" i="7"/>
  <c r="E65" i="7" s="1"/>
  <c r="E20" i="7"/>
  <c r="E76" i="7" s="1"/>
  <c r="H24" i="59" s="1"/>
  <c r="E37" i="7"/>
  <c r="E33" i="7"/>
  <c r="K81" i="7"/>
  <c r="E21" i="7"/>
  <c r="E84" i="7" s="1"/>
  <c r="H25" i="59" s="1"/>
  <c r="E25" i="7"/>
  <c r="E80" i="7" s="1"/>
  <c r="N6" i="7"/>
  <c r="G38" i="7"/>
  <c r="G34" i="7"/>
  <c r="G26" i="7"/>
  <c r="G18" i="7"/>
  <c r="G74" i="7" s="1"/>
  <c r="J22" i="59" s="1"/>
  <c r="G35" i="7"/>
  <c r="G19" i="7"/>
  <c r="G75" i="7" s="1"/>
  <c r="J23" i="59" s="1"/>
  <c r="G37" i="7"/>
  <c r="G33" i="7"/>
  <c r="G25" i="7"/>
  <c r="G80" i="7" s="1"/>
  <c r="G23" i="7"/>
  <c r="G78" i="7" s="1"/>
  <c r="G36" i="7"/>
  <c r="G65" i="7" s="1"/>
  <c r="G32" i="7"/>
  <c r="G24" i="7"/>
  <c r="G79" i="7" s="1"/>
  <c r="G20" i="7"/>
  <c r="G76" i="7" s="1"/>
  <c r="J24" i="59" s="1"/>
  <c r="G31" i="7"/>
  <c r="G27" i="7"/>
  <c r="G77" i="7" s="1"/>
  <c r="G68" i="7"/>
  <c r="J21" i="59" s="1"/>
  <c r="N7" i="7"/>
  <c r="N12" i="7"/>
  <c r="R12" i="7" s="1"/>
  <c r="V12" i="7" s="1"/>
  <c r="AB12" i="7" s="1"/>
  <c r="AF12" i="7" s="1"/>
  <c r="AJ12" i="7" s="1"/>
  <c r="AP12" i="7" s="1"/>
  <c r="E70" i="7"/>
  <c r="H26" i="59" s="1"/>
  <c r="E63" i="7"/>
  <c r="E55" i="7"/>
  <c r="H26" i="7"/>
  <c r="H83" i="7" s="1"/>
  <c r="G67" i="7"/>
  <c r="E81" i="7"/>
  <c r="N34" i="7"/>
  <c r="H23" i="7"/>
  <c r="H78" i="7" s="1"/>
  <c r="H65" i="7"/>
  <c r="N35" i="7"/>
  <c r="N31" i="7"/>
  <c r="N36" i="7"/>
  <c r="N33" i="7"/>
  <c r="N38" i="7"/>
  <c r="F65" i="7"/>
  <c r="F81" i="7"/>
  <c r="Q52" i="7"/>
  <c r="U52" i="7" s="1"/>
  <c r="U54" i="7" s="1"/>
  <c r="U22" i="7" s="1"/>
  <c r="M54" i="7"/>
  <c r="M22" i="7" s="1"/>
  <c r="G55" i="7"/>
  <c r="J58" i="7"/>
  <c r="N58" i="7" s="1"/>
  <c r="R58" i="7" s="1"/>
  <c r="G63" i="7"/>
  <c r="M2" i="7"/>
  <c r="M71" i="7" s="1"/>
  <c r="Q59" i="7"/>
  <c r="U59" i="7" s="1"/>
  <c r="E68" i="7"/>
  <c r="H21" i="59" s="1"/>
  <c r="E67" i="7"/>
  <c r="I62" i="7"/>
  <c r="I58" i="7"/>
  <c r="M58" i="7" s="1"/>
  <c r="Q58" i="7" s="1"/>
  <c r="R15" i="8"/>
  <c r="R54" i="7"/>
  <c r="R22" i="7" s="1"/>
  <c r="R59" i="7"/>
  <c r="V59" i="7" s="1"/>
  <c r="N54" i="7"/>
  <c r="N22" i="7" s="1"/>
  <c r="N62" i="7"/>
  <c r="N156" i="6"/>
  <c r="J62" i="7"/>
  <c r="F56" i="7"/>
  <c r="F67" i="7"/>
  <c r="F70" i="7"/>
  <c r="I26" i="59" s="1"/>
  <c r="F68" i="7"/>
  <c r="I21" i="59" s="1"/>
  <c r="F63" i="7"/>
  <c r="H74" i="7"/>
  <c r="K22" i="59" s="1"/>
  <c r="H81" i="7"/>
  <c r="H68" i="7"/>
  <c r="K21" i="59" s="1"/>
  <c r="H27" i="7"/>
  <c r="H77" i="7" s="1"/>
  <c r="H56" i="7"/>
  <c r="H24" i="7"/>
  <c r="H79" i="7" s="1"/>
  <c r="H63" i="7"/>
  <c r="H25" i="7"/>
  <c r="H80" i="7" s="1"/>
  <c r="J54" i="7"/>
  <c r="J22" i="7" s="1"/>
  <c r="J16" i="7"/>
  <c r="I54" i="7"/>
  <c r="I22" i="7" s="1"/>
  <c r="AC60" i="72" l="1"/>
  <c r="BI43" i="9"/>
  <c r="BH38" i="9"/>
  <c r="BG61" i="71"/>
  <c r="AT43" i="35"/>
  <c r="AT44" i="35" s="1"/>
  <c r="AT35" i="35"/>
  <c r="AU74" i="50" s="1"/>
  <c r="AU72" i="50" s="1"/>
  <c r="AX34" i="35"/>
  <c r="BF32" i="35"/>
  <c r="BF34" i="35" s="1"/>
  <c r="AM55" i="59"/>
  <c r="AP25" i="36"/>
  <c r="BF46" i="9"/>
  <c r="BF48" i="9" s="1"/>
  <c r="BF81" i="9" s="1"/>
  <c r="BF45" i="9"/>
  <c r="AJ29" i="8"/>
  <c r="AP29" i="8" s="1"/>
  <c r="AS29" i="8"/>
  <c r="AX73" i="9"/>
  <c r="BF58" i="9"/>
  <c r="BF56" i="9"/>
  <c r="BE29" i="9"/>
  <c r="BE83" i="9"/>
  <c r="AF17" i="8"/>
  <c r="AA8" i="15"/>
  <c r="AA13" i="15" s="1"/>
  <c r="AT12" i="8"/>
  <c r="AX12" i="8" s="1"/>
  <c r="AS20" i="8"/>
  <c r="AW20" i="8" s="1"/>
  <c r="BE20" i="8" s="1"/>
  <c r="BF133" i="9"/>
  <c r="BF135" i="9" s="1"/>
  <c r="BF136" i="9" s="1"/>
  <c r="AX63" i="22"/>
  <c r="AX65" i="22" s="1"/>
  <c r="AX66" i="22" s="1"/>
  <c r="BF62" i="9"/>
  <c r="AX13" i="8"/>
  <c r="BF13" i="8" s="1"/>
  <c r="AJ8" i="49"/>
  <c r="AJ11" i="36"/>
  <c r="AM28" i="59" s="1"/>
  <c r="AF22" i="8"/>
  <c r="AJ22" i="8" s="1"/>
  <c r="AB10" i="36"/>
  <c r="AM76" i="9"/>
  <c r="BC61" i="9"/>
  <c r="BC76" i="9" s="1"/>
  <c r="AX72" i="9"/>
  <c r="BF57" i="9"/>
  <c r="BE51" i="9"/>
  <c r="BF96" i="9"/>
  <c r="BF88" i="9"/>
  <c r="AW28" i="8"/>
  <c r="AW26" i="8"/>
  <c r="AS27" i="8"/>
  <c r="AW13" i="8"/>
  <c r="BE13" i="8" s="1"/>
  <c r="BF50" i="9"/>
  <c r="BF86" i="9"/>
  <c r="AX28" i="8"/>
  <c r="AW79" i="9"/>
  <c r="BE64" i="9"/>
  <c r="BE79" i="9" s="1"/>
  <c r="AW82" i="9"/>
  <c r="AZ40" i="59" s="1"/>
  <c r="BE67" i="9"/>
  <c r="BE82" i="9" s="1"/>
  <c r="BH40" i="59" s="1"/>
  <c r="AW77" i="9"/>
  <c r="AZ41" i="59" s="1"/>
  <c r="BE62" i="9"/>
  <c r="BE77" i="9" s="1"/>
  <c r="BH41" i="59" s="1"/>
  <c r="AW81" i="9"/>
  <c r="BE66" i="9"/>
  <c r="BE81" i="9" s="1"/>
  <c r="AW72" i="9"/>
  <c r="BE57" i="9"/>
  <c r="BE72" i="9" s="1"/>
  <c r="AW80" i="9"/>
  <c r="BE65" i="9"/>
  <c r="BE80" i="9" s="1"/>
  <c r="AS75" i="9"/>
  <c r="AW60" i="9"/>
  <c r="AX133" i="9"/>
  <c r="AX135" i="9" s="1"/>
  <c r="AX136" i="9" s="1"/>
  <c r="AX81" i="9"/>
  <c r="AW7" i="9"/>
  <c r="AZ39" i="59"/>
  <c r="AT140" i="9"/>
  <c r="AT141" i="9" s="1"/>
  <c r="AT138" i="9"/>
  <c r="AT142" i="9" s="1"/>
  <c r="AX77" i="9"/>
  <c r="BA41" i="59" s="1"/>
  <c r="AX52" i="9"/>
  <c r="AX51" i="9"/>
  <c r="BA39" i="59" s="1"/>
  <c r="AX70" i="9"/>
  <c r="AX78" i="9"/>
  <c r="AX80" i="9"/>
  <c r="AX74" i="9"/>
  <c r="AX79" i="9"/>
  <c r="AX75" i="9"/>
  <c r="AS73" i="9"/>
  <c r="AW58" i="9"/>
  <c r="AX61" i="9"/>
  <c r="AT76" i="9"/>
  <c r="AX69" i="9"/>
  <c r="AX56" i="9"/>
  <c r="AX71" i="9" s="1"/>
  <c r="AT59" i="8"/>
  <c r="AT33" i="8"/>
  <c r="AX33" i="8" s="1"/>
  <c r="BF33" i="8" s="1"/>
  <c r="AT34" i="8"/>
  <c r="AX34" i="8" s="1"/>
  <c r="BF34" i="8" s="1"/>
  <c r="AX49" i="8"/>
  <c r="AV39" i="59"/>
  <c r="AT52" i="7"/>
  <c r="AX52" i="7" s="1"/>
  <c r="AT12" i="7"/>
  <c r="AX12" i="7" s="1"/>
  <c r="AT13" i="7"/>
  <c r="AX13" i="7" s="1"/>
  <c r="AT15" i="7"/>
  <c r="AX15" i="7" s="1"/>
  <c r="AO7" i="9"/>
  <c r="AJ51" i="8"/>
  <c r="AF15" i="8"/>
  <c r="AJ14" i="8"/>
  <c r="AJ15" i="8" s="1"/>
  <c r="AJ42" i="8"/>
  <c r="AJ78" i="8"/>
  <c r="AJ36" i="8"/>
  <c r="AJ38" i="8"/>
  <c r="AJ40" i="8"/>
  <c r="AJ5" i="49"/>
  <c r="AJ41" i="8"/>
  <c r="AJ43" i="8"/>
  <c r="AJ37" i="8"/>
  <c r="AI5" i="49"/>
  <c r="AI78" i="8"/>
  <c r="AI42" i="8"/>
  <c r="AI41" i="8"/>
  <c r="AI47" i="8" s="1"/>
  <c r="AI43" i="8"/>
  <c r="AJ114" i="7"/>
  <c r="AI17" i="48" s="1"/>
  <c r="AO5" i="8"/>
  <c r="H106" i="7"/>
  <c r="H109" i="7" s="1"/>
  <c r="G16" i="48" s="1"/>
  <c r="G18" i="48" s="1"/>
  <c r="AF5" i="49"/>
  <c r="AF78" i="8"/>
  <c r="AF42" i="8"/>
  <c r="AA68" i="8"/>
  <c r="AD33" i="59" s="1"/>
  <c r="AE17" i="8"/>
  <c r="AI17" i="8" s="1"/>
  <c r="AH8" i="15" s="1"/>
  <c r="AH13" i="15" s="1"/>
  <c r="AE53" i="7"/>
  <c r="AF48" i="8"/>
  <c r="AF43" i="8"/>
  <c r="AF38" i="8"/>
  <c r="AF12" i="36"/>
  <c r="AI29" i="59" s="1"/>
  <c r="AE45" i="8"/>
  <c r="AE5" i="49"/>
  <c r="AE78" i="8"/>
  <c r="AE43" i="8"/>
  <c r="AE40" i="8"/>
  <c r="AE41" i="8"/>
  <c r="AE42" i="8"/>
  <c r="AF37" i="8"/>
  <c r="AE46" i="8"/>
  <c r="AI45" i="8" s="1"/>
  <c r="AE14" i="36"/>
  <c r="AH31" i="59" s="1"/>
  <c r="AE76" i="8"/>
  <c r="AI76" i="8" s="1"/>
  <c r="AF25" i="8"/>
  <c r="AF36" i="8"/>
  <c r="AF10" i="36"/>
  <c r="AI27" i="59" s="1"/>
  <c r="AF7" i="49"/>
  <c r="AF68" i="8"/>
  <c r="AI33" i="59" s="1"/>
  <c r="V13" i="36"/>
  <c r="Y30" i="59" s="1"/>
  <c r="AF53" i="7"/>
  <c r="AP50" i="8"/>
  <c r="AF40" i="8"/>
  <c r="AF41" i="8"/>
  <c r="AE5" i="26"/>
  <c r="G83" i="7"/>
  <c r="H76" i="7"/>
  <c r="K24" i="59" s="1"/>
  <c r="F76" i="7"/>
  <c r="I24" i="59" s="1"/>
  <c r="E83" i="7"/>
  <c r="AB5" i="49"/>
  <c r="AB78" i="8"/>
  <c r="AB7" i="49"/>
  <c r="M62" i="7"/>
  <c r="Q61" i="7"/>
  <c r="U61" i="7" s="1"/>
  <c r="U68" i="7" s="1"/>
  <c r="X21" i="59" s="1"/>
  <c r="V54" i="7"/>
  <c r="V70" i="7" s="1"/>
  <c r="Y26" i="59" s="1"/>
  <c r="AO61" i="9"/>
  <c r="AS61" i="9" s="1"/>
  <c r="S81" i="7"/>
  <c r="S85" i="7" s="1"/>
  <c r="S28" i="7"/>
  <c r="S41" i="7" s="1"/>
  <c r="U58" i="7"/>
  <c r="U60" i="7" s="1"/>
  <c r="U26" i="7"/>
  <c r="U83" i="7" s="1"/>
  <c r="U23" i="7"/>
  <c r="U78" i="7" s="1"/>
  <c r="V58" i="7"/>
  <c r="AB58" i="7" s="1"/>
  <c r="AF58" i="7" s="1"/>
  <c r="AJ58" i="7" s="1"/>
  <c r="AP58" i="7" s="1"/>
  <c r="AT58" i="7" s="1"/>
  <c r="AX58" i="7" s="1"/>
  <c r="V47" i="8"/>
  <c r="V39" i="8"/>
  <c r="R2" i="7"/>
  <c r="V2" i="7" s="1"/>
  <c r="AB2" i="7" s="1"/>
  <c r="AF2" i="7" s="1"/>
  <c r="AJ2" i="7" s="1"/>
  <c r="AP2" i="7" s="1"/>
  <c r="AT2" i="7" s="1"/>
  <c r="AX2" i="7" s="1"/>
  <c r="BF2" i="7" s="1"/>
  <c r="N71" i="7"/>
  <c r="BF49" i="8"/>
  <c r="AP135" i="9"/>
  <c r="AP110" i="7" s="1"/>
  <c r="J104" i="7"/>
  <c r="J105" i="7" s="1"/>
  <c r="J106" i="7" s="1"/>
  <c r="AS42" i="48"/>
  <c r="AS46" i="48"/>
  <c r="N16" i="7"/>
  <c r="N119" i="7"/>
  <c r="N121" i="7" s="1"/>
  <c r="N122" i="7" s="1"/>
  <c r="M22" i="48" s="1"/>
  <c r="M23" i="48" s="1"/>
  <c r="AV41" i="59"/>
  <c r="AW39" i="59"/>
  <c r="AP71" i="9"/>
  <c r="AO42" i="48"/>
  <c r="AW41" i="59"/>
  <c r="AS43" i="48"/>
  <c r="N42" i="7"/>
  <c r="N45" i="7"/>
  <c r="F109" i="7"/>
  <c r="F116" i="7" s="1"/>
  <c r="N49" i="7"/>
  <c r="N46" i="7"/>
  <c r="N44" i="7"/>
  <c r="N82" i="7" s="1"/>
  <c r="N48" i="7"/>
  <c r="N43" i="7"/>
  <c r="N47" i="7"/>
  <c r="N104" i="7"/>
  <c r="N105" i="7" s="1"/>
  <c r="AB59" i="7"/>
  <c r="Y81" i="7"/>
  <c r="Y85" i="7" s="1"/>
  <c r="AB54" i="7"/>
  <c r="AB22" i="7" s="1"/>
  <c r="R61" i="7"/>
  <c r="N1" i="7"/>
  <c r="N67" i="7" s="1"/>
  <c r="Z8" i="15"/>
  <c r="Z13" i="15" s="1"/>
  <c r="AB25" i="8"/>
  <c r="AO52" i="8"/>
  <c r="AS52" i="8" s="1"/>
  <c r="AO60" i="8"/>
  <c r="AS60" i="8" s="1"/>
  <c r="AP5" i="8"/>
  <c r="AT5" i="8" s="1"/>
  <c r="AA66" i="8"/>
  <c r="AB45" i="8"/>
  <c r="AB68" i="8"/>
  <c r="AE33" i="59" s="1"/>
  <c r="AB70" i="8"/>
  <c r="AB38" i="8"/>
  <c r="AB37" i="8"/>
  <c r="AB36" i="8"/>
  <c r="AB41" i="8"/>
  <c r="AB43" i="8"/>
  <c r="AB40" i="8"/>
  <c r="AB42" i="8"/>
  <c r="AB69" i="8"/>
  <c r="AB76" i="8"/>
  <c r="AF76" i="8" s="1"/>
  <c r="AJ76" i="8" s="1"/>
  <c r="AA47" i="8"/>
  <c r="R48" i="7"/>
  <c r="R43" i="7"/>
  <c r="Q1" i="7"/>
  <c r="AA59" i="7"/>
  <c r="AA52" i="7"/>
  <c r="AE52" i="7" s="1"/>
  <c r="AI52" i="7" s="1"/>
  <c r="AO52" i="7" s="1"/>
  <c r="AS52" i="7" s="1"/>
  <c r="AW52" i="7" s="1"/>
  <c r="J46" i="7"/>
  <c r="R81" i="7"/>
  <c r="R25" i="7"/>
  <c r="R80" i="7" s="1"/>
  <c r="R24" i="7"/>
  <c r="R79" i="7" s="1"/>
  <c r="R27" i="7"/>
  <c r="R77" i="7" s="1"/>
  <c r="R23" i="7"/>
  <c r="R78" i="7" s="1"/>
  <c r="R26" i="7"/>
  <c r="AB46" i="8"/>
  <c r="J93" i="7"/>
  <c r="N93" i="7" s="1"/>
  <c r="R93" i="7" s="1"/>
  <c r="J87" i="7"/>
  <c r="N87" i="7" s="1"/>
  <c r="R87" i="7" s="1"/>
  <c r="J89" i="7"/>
  <c r="N89" i="7" s="1"/>
  <c r="R89" i="7" s="1"/>
  <c r="J91" i="7"/>
  <c r="N91" i="7" s="1"/>
  <c r="R91" i="7" s="1"/>
  <c r="J92" i="7"/>
  <c r="N92" i="7" s="1"/>
  <c r="R92" i="7" s="1"/>
  <c r="J94" i="7"/>
  <c r="N94" i="7" s="1"/>
  <c r="R94" i="7" s="1"/>
  <c r="J88" i="7"/>
  <c r="N88" i="7" s="1"/>
  <c r="R88" i="7" s="1"/>
  <c r="J90" i="7"/>
  <c r="N90" i="7" s="1"/>
  <c r="R90" i="7" s="1"/>
  <c r="R156" i="6"/>
  <c r="N24" i="7"/>
  <c r="N79" i="7" s="1"/>
  <c r="R6" i="7"/>
  <c r="N18" i="7"/>
  <c r="N74" i="7" s="1"/>
  <c r="Q22" i="59" s="1"/>
  <c r="R9" i="7"/>
  <c r="V9" i="7" s="1"/>
  <c r="N21" i="7"/>
  <c r="N25" i="7"/>
  <c r="N80" i="7" s="1"/>
  <c r="N26" i="7"/>
  <c r="N83" i="7" s="1"/>
  <c r="N23" i="7"/>
  <c r="N78" i="7" s="1"/>
  <c r="J48" i="7"/>
  <c r="J26" i="7"/>
  <c r="J83" i="7" s="1"/>
  <c r="J43" i="7"/>
  <c r="J23" i="7"/>
  <c r="J78" i="7" s="1"/>
  <c r="M26" i="7"/>
  <c r="M23" i="7"/>
  <c r="M78" i="7" s="1"/>
  <c r="R36" i="7"/>
  <c r="V36" i="7" s="1"/>
  <c r="J49" i="7"/>
  <c r="J19" i="7"/>
  <c r="J47" i="7"/>
  <c r="J27" i="7"/>
  <c r="J77" i="7" s="1"/>
  <c r="J20" i="7"/>
  <c r="R31" i="7"/>
  <c r="V31" i="7" s="1"/>
  <c r="J44" i="7"/>
  <c r="J82" i="7" s="1"/>
  <c r="R7" i="7"/>
  <c r="V7" i="7" s="1"/>
  <c r="AB7" i="7" s="1"/>
  <c r="AF7" i="7" s="1"/>
  <c r="AJ7" i="7" s="1"/>
  <c r="AP7" i="7" s="1"/>
  <c r="N19" i="7"/>
  <c r="J42" i="7"/>
  <c r="I37" i="7"/>
  <c r="N27" i="7"/>
  <c r="N77" i="7" s="1"/>
  <c r="J45" i="7"/>
  <c r="R8" i="7"/>
  <c r="V8" i="7" s="1"/>
  <c r="AB8" i="7" s="1"/>
  <c r="AF8" i="7" s="1"/>
  <c r="AJ8" i="7" s="1"/>
  <c r="AP8" i="7" s="1"/>
  <c r="N20" i="7"/>
  <c r="I26" i="7"/>
  <c r="I23" i="7"/>
  <c r="I78" i="7" s="1"/>
  <c r="J24" i="7"/>
  <c r="J79" i="7" s="1"/>
  <c r="J18" i="7"/>
  <c r="J74" i="7" s="1"/>
  <c r="M22" i="59" s="1"/>
  <c r="J21" i="7"/>
  <c r="J25" i="7"/>
  <c r="J80" i="7" s="1"/>
  <c r="F84" i="7"/>
  <c r="I25" i="59" s="1"/>
  <c r="H84" i="7"/>
  <c r="K25" i="59" s="1"/>
  <c r="H75" i="7"/>
  <c r="K23" i="59" s="1"/>
  <c r="F75" i="7"/>
  <c r="I23" i="59" s="1"/>
  <c r="I32" i="7"/>
  <c r="R33" i="7"/>
  <c r="V33" i="7" s="1"/>
  <c r="R34" i="7"/>
  <c r="V34" i="7" s="1"/>
  <c r="V45" i="7" s="1"/>
  <c r="R38" i="7"/>
  <c r="V38" i="7" s="1"/>
  <c r="R35" i="7"/>
  <c r="V35" i="7" s="1"/>
  <c r="I72" i="7"/>
  <c r="M72" i="7" s="1"/>
  <c r="N81" i="7"/>
  <c r="N65" i="7"/>
  <c r="Q54" i="7"/>
  <c r="Q22" i="7" s="1"/>
  <c r="J65" i="7"/>
  <c r="G28" i="7"/>
  <c r="J60" i="7"/>
  <c r="N60" i="7"/>
  <c r="I7" i="7"/>
  <c r="I19" i="7" s="1"/>
  <c r="G16" i="7"/>
  <c r="I55" i="7"/>
  <c r="I68" i="7"/>
  <c r="L21" i="59" s="1"/>
  <c r="I67" i="7"/>
  <c r="I63" i="7"/>
  <c r="Q2" i="7"/>
  <c r="U2" i="7" s="1"/>
  <c r="AA2" i="7" s="1"/>
  <c r="AE2" i="7" s="1"/>
  <c r="Q60" i="7"/>
  <c r="M60" i="7"/>
  <c r="Q62" i="7"/>
  <c r="M63" i="7"/>
  <c r="M67" i="7"/>
  <c r="M68" i="7"/>
  <c r="P21" i="59" s="1"/>
  <c r="I60" i="7"/>
  <c r="R60" i="7"/>
  <c r="R68" i="7"/>
  <c r="U21" i="59" s="1"/>
  <c r="R70" i="7"/>
  <c r="U26" i="59" s="1"/>
  <c r="R56" i="7"/>
  <c r="N70" i="7"/>
  <c r="Q26" i="59" s="1"/>
  <c r="N63" i="7"/>
  <c r="N68" i="7"/>
  <c r="Q21" i="59" s="1"/>
  <c r="N56" i="7"/>
  <c r="F28" i="7"/>
  <c r="J67" i="7"/>
  <c r="J70" i="7"/>
  <c r="M26" i="59" s="1"/>
  <c r="J68" i="7"/>
  <c r="M21" i="59" s="1"/>
  <c r="J63" i="7"/>
  <c r="J56" i="7"/>
  <c r="J72" i="7"/>
  <c r="N72" i="7" s="1"/>
  <c r="R72" i="7" s="1"/>
  <c r="J81" i="7"/>
  <c r="H28" i="7"/>
  <c r="I34" i="7"/>
  <c r="I9" i="7"/>
  <c r="I21" i="7" s="1"/>
  <c r="I35" i="7"/>
  <c r="I36" i="7"/>
  <c r="I47" i="7" s="1"/>
  <c r="I31" i="7"/>
  <c r="I12" i="7"/>
  <c r="I24" i="7" s="1"/>
  <c r="I13" i="7"/>
  <c r="I25" i="7" s="1"/>
  <c r="I8" i="7"/>
  <c r="I20" i="7" s="1"/>
  <c r="I15" i="7"/>
  <c r="I27" i="7" s="1"/>
  <c r="I6" i="7"/>
  <c r="I18" i="7" s="1"/>
  <c r="N76" i="7" l="1"/>
  <c r="Q24" i="59" s="1"/>
  <c r="AT25" i="36"/>
  <c r="AW55" i="59" s="1"/>
  <c r="AS55" i="59"/>
  <c r="BN34" i="35"/>
  <c r="BF43" i="35"/>
  <c r="BF44" i="35" s="1"/>
  <c r="BF35" i="35"/>
  <c r="BK35" i="35" s="1"/>
  <c r="AX43" i="35"/>
  <c r="AX44" i="35" s="1"/>
  <c r="AX35" i="35"/>
  <c r="BE7" i="9"/>
  <c r="BH39" i="59"/>
  <c r="BF75" i="9"/>
  <c r="BF78" i="9"/>
  <c r="BF71" i="9"/>
  <c r="BF77" i="9"/>
  <c r="BI41" i="59" s="1"/>
  <c r="BF74" i="9"/>
  <c r="BF70" i="9"/>
  <c r="BF69" i="9"/>
  <c r="BF80" i="9"/>
  <c r="BF51" i="9"/>
  <c r="BI39" i="59" s="1"/>
  <c r="BF73" i="9"/>
  <c r="BF72" i="9"/>
  <c r="BF82" i="9"/>
  <c r="BI40" i="59" s="1"/>
  <c r="BF79" i="9"/>
  <c r="BF52" i="9"/>
  <c r="AT29" i="8"/>
  <c r="AX5" i="8"/>
  <c r="AX42" i="8" s="1"/>
  <c r="AT78" i="8"/>
  <c r="AO5" i="49"/>
  <c r="AS5" i="8"/>
  <c r="AX76" i="9"/>
  <c r="BF61" i="9"/>
  <c r="BF76" i="9" s="1"/>
  <c r="BF28" i="8"/>
  <c r="AB13" i="36"/>
  <c r="AE30" i="59" s="1"/>
  <c r="AE27" i="59"/>
  <c r="AE8" i="15"/>
  <c r="AE13" i="15" s="1"/>
  <c r="AJ17" i="8"/>
  <c r="AW29" i="8"/>
  <c r="AS64" i="8"/>
  <c r="AW60" i="8"/>
  <c r="AT42" i="8"/>
  <c r="BE26" i="8"/>
  <c r="AJ25" i="8"/>
  <c r="AJ7" i="49"/>
  <c r="AJ10" i="36"/>
  <c r="AW52" i="8"/>
  <c r="AW62" i="8" s="1"/>
  <c r="AS62" i="8"/>
  <c r="AI68" i="8"/>
  <c r="AL33" i="59" s="1"/>
  <c r="BF140" i="9"/>
  <c r="BF141" i="9" s="1"/>
  <c r="BF138" i="9"/>
  <c r="BF12" i="8"/>
  <c r="AS41" i="8"/>
  <c r="AW27" i="8"/>
  <c r="BE28" i="8"/>
  <c r="AW73" i="9"/>
  <c r="BE58" i="9"/>
  <c r="BE73" i="9" s="1"/>
  <c r="AW75" i="9"/>
  <c r="BE60" i="9"/>
  <c r="BE75" i="9" s="1"/>
  <c r="AX140" i="9"/>
  <c r="AX141" i="9" s="1"/>
  <c r="AX138" i="9"/>
  <c r="AS76" i="9"/>
  <c r="AW61" i="9"/>
  <c r="AT50" i="8"/>
  <c r="AX59" i="8"/>
  <c r="V44" i="7"/>
  <c r="V82" i="7" s="1"/>
  <c r="V88" i="7"/>
  <c r="V89" i="7"/>
  <c r="AB89" i="7" s="1"/>
  <c r="V46" i="7"/>
  <c r="V42" i="7"/>
  <c r="V94" i="7"/>
  <c r="AB94" i="7" s="1"/>
  <c r="V87" i="7"/>
  <c r="V49" i="7"/>
  <c r="AT8" i="7"/>
  <c r="AX8" i="7" s="1"/>
  <c r="AT7" i="7"/>
  <c r="AX7" i="7" s="1"/>
  <c r="AJ48" i="8"/>
  <c r="AP51" i="8"/>
  <c r="AP5" i="49"/>
  <c r="AI5" i="26"/>
  <c r="AF54" i="7"/>
  <c r="AF19" i="7" s="1"/>
  <c r="AJ53" i="7"/>
  <c r="AI53" i="7"/>
  <c r="AJ39" i="8"/>
  <c r="AE66" i="8"/>
  <c r="AI46" i="8"/>
  <c r="AI66" i="8" s="1"/>
  <c r="AI14" i="36"/>
  <c r="AL31" i="59" s="1"/>
  <c r="AO76" i="8"/>
  <c r="AS76" i="8" s="1"/>
  <c r="AJ47" i="8"/>
  <c r="AE47" i="8"/>
  <c r="AS5" i="49"/>
  <c r="AO40" i="8"/>
  <c r="AO42" i="8"/>
  <c r="AO78" i="8"/>
  <c r="AO43" i="8"/>
  <c r="AO41" i="8"/>
  <c r="AF39" i="8"/>
  <c r="AF47" i="8"/>
  <c r="AF27" i="7"/>
  <c r="AF77" i="7" s="1"/>
  <c r="AF46" i="8"/>
  <c r="AF14" i="36"/>
  <c r="AI31" i="59" s="1"/>
  <c r="AF59" i="7"/>
  <c r="AF60" i="7" s="1"/>
  <c r="AE54" i="7"/>
  <c r="AF45" i="8"/>
  <c r="AE59" i="7"/>
  <c r="AF69" i="8"/>
  <c r="AF70" i="8"/>
  <c r="AF13" i="36"/>
  <c r="AI30" i="59" s="1"/>
  <c r="AD8" i="15"/>
  <c r="AD13" i="15" s="1"/>
  <c r="AE68" i="8"/>
  <c r="AH33" i="59" s="1"/>
  <c r="J76" i="7"/>
  <c r="M24" i="59" s="1"/>
  <c r="V21" i="7"/>
  <c r="V84" i="7" s="1"/>
  <c r="Y25" i="59" s="1"/>
  <c r="AB9" i="7"/>
  <c r="AF9" i="7" s="1"/>
  <c r="V27" i="7"/>
  <c r="V77" i="7" s="1"/>
  <c r="V22" i="7"/>
  <c r="V81" i="7" s="1"/>
  <c r="U62" i="7"/>
  <c r="U63" i="7"/>
  <c r="V43" i="7"/>
  <c r="R71" i="7"/>
  <c r="V71" i="7" s="1"/>
  <c r="AB71" i="7" s="1"/>
  <c r="V48" i="7"/>
  <c r="V24" i="7"/>
  <c r="V79" i="7" s="1"/>
  <c r="V23" i="7"/>
  <c r="V78" i="7" s="1"/>
  <c r="V60" i="7"/>
  <c r="V56" i="7"/>
  <c r="V26" i="7"/>
  <c r="V83" i="7" s="1"/>
  <c r="V25" i="7"/>
  <c r="V80" i="7" s="1"/>
  <c r="AO76" i="9"/>
  <c r="V20" i="7"/>
  <c r="V125" i="7"/>
  <c r="V127" i="7" s="1"/>
  <c r="V128" i="7" s="1"/>
  <c r="V156" i="6"/>
  <c r="AB156" i="6" s="1"/>
  <c r="V92" i="7"/>
  <c r="AB92" i="7" s="1"/>
  <c r="AF92" i="7" s="1"/>
  <c r="V93" i="7"/>
  <c r="AB93" i="7" s="1"/>
  <c r="V119" i="7"/>
  <c r="V121" i="7" s="1"/>
  <c r="V122" i="7" s="1"/>
  <c r="U22" i="48" s="1"/>
  <c r="U23" i="48" s="1"/>
  <c r="V19" i="7"/>
  <c r="V47" i="7"/>
  <c r="V65" i="7"/>
  <c r="V90" i="7"/>
  <c r="AB90" i="7" s="1"/>
  <c r="V91" i="7"/>
  <c r="AB91" i="7" s="1"/>
  <c r="AA58" i="7"/>
  <c r="V72" i="7"/>
  <c r="AB72" i="7" s="1"/>
  <c r="R18" i="7"/>
  <c r="R74" i="7" s="1"/>
  <c r="U22" i="59" s="1"/>
  <c r="V6" i="7"/>
  <c r="AB6" i="7" s="1"/>
  <c r="AF6" i="7" s="1"/>
  <c r="AJ6" i="7" s="1"/>
  <c r="AP6" i="7" s="1"/>
  <c r="R62" i="7"/>
  <c r="V61" i="7"/>
  <c r="S64" i="7"/>
  <c r="S50" i="7"/>
  <c r="R63" i="7"/>
  <c r="Q71" i="7"/>
  <c r="Y28" i="7"/>
  <c r="Y41" i="7" s="1"/>
  <c r="Y64" i="7" s="1"/>
  <c r="AP136" i="9"/>
  <c r="AP138" i="9" s="1"/>
  <c r="AP112" i="7"/>
  <c r="AP113" i="7" s="1"/>
  <c r="AP111" i="7"/>
  <c r="AX110" i="7"/>
  <c r="AX111" i="7" s="1"/>
  <c r="AT110" i="7"/>
  <c r="BD81" i="7"/>
  <c r="BD85" i="7" s="1"/>
  <c r="BD28" i="7"/>
  <c r="BC81" i="7"/>
  <c r="BC85" i="7" s="1"/>
  <c r="BC28" i="7"/>
  <c r="BC41" i="7" s="1"/>
  <c r="J107" i="7"/>
  <c r="J108" i="7" s="1"/>
  <c r="E16" i="48"/>
  <c r="E18" i="48" s="1"/>
  <c r="H116" i="7"/>
  <c r="R119" i="7"/>
  <c r="R121" i="7" s="1"/>
  <c r="R122" i="7" s="1"/>
  <c r="Q22" i="48" s="1"/>
  <c r="Q23" i="48" s="1"/>
  <c r="R125" i="7"/>
  <c r="R127" i="7" s="1"/>
  <c r="R128" i="7" s="1"/>
  <c r="Q27" i="48" s="1"/>
  <c r="Q28" i="48" s="1"/>
  <c r="AS40" i="48"/>
  <c r="AO62" i="8"/>
  <c r="AO64" i="8"/>
  <c r="AB88" i="7"/>
  <c r="AF88" i="7" s="1"/>
  <c r="AB87" i="7"/>
  <c r="R49" i="7"/>
  <c r="AI2" i="7"/>
  <c r="M55" i="7"/>
  <c r="M56" i="7" s="1"/>
  <c r="I56" i="7"/>
  <c r="AB38" i="7"/>
  <c r="AF38" i="7" s="1"/>
  <c r="M32" i="7"/>
  <c r="I43" i="7"/>
  <c r="I76" i="7" s="1"/>
  <c r="L24" i="59" s="1"/>
  <c r="AB36" i="7"/>
  <c r="AF36" i="7" s="1"/>
  <c r="AJ36" i="7" s="1"/>
  <c r="AP36" i="7" s="1"/>
  <c r="R42" i="7"/>
  <c r="AB48" i="7"/>
  <c r="AB26" i="7"/>
  <c r="AB83" i="7" s="1"/>
  <c r="AB43" i="7"/>
  <c r="AB23" i="7"/>
  <c r="AB78" i="7" s="1"/>
  <c r="AB56" i="7"/>
  <c r="AB70" i="7"/>
  <c r="AE26" i="59" s="1"/>
  <c r="AB24" i="7"/>
  <c r="AB79" i="7" s="1"/>
  <c r="N107" i="7"/>
  <c r="N108" i="7" s="1"/>
  <c r="N106" i="7"/>
  <c r="AB27" i="7"/>
  <c r="AB77" i="7" s="1"/>
  <c r="M35" i="7"/>
  <c r="M46" i="7" s="1"/>
  <c r="I46" i="7"/>
  <c r="AA54" i="7"/>
  <c r="AA22" i="7" s="1"/>
  <c r="M31" i="7"/>
  <c r="M42" i="7" s="1"/>
  <c r="I42" i="7"/>
  <c r="I75" i="7" s="1"/>
  <c r="L23" i="59" s="1"/>
  <c r="M34" i="7"/>
  <c r="M45" i="7" s="1"/>
  <c r="I45" i="7"/>
  <c r="AB34" i="7"/>
  <c r="AF34" i="7" s="1"/>
  <c r="M37" i="7"/>
  <c r="I48" i="7"/>
  <c r="R104" i="7"/>
  <c r="R105" i="7" s="1"/>
  <c r="R19" i="7"/>
  <c r="R21" i="7"/>
  <c r="R45" i="7"/>
  <c r="R44" i="7"/>
  <c r="R82" i="7" s="1"/>
  <c r="AM81" i="7"/>
  <c r="AM85" i="7" s="1"/>
  <c r="AM28" i="7"/>
  <c r="AM41" i="7" s="1"/>
  <c r="Z81" i="7"/>
  <c r="Z85" i="7" s="1"/>
  <c r="Z28" i="7"/>
  <c r="AB35" i="7"/>
  <c r="AF35" i="7" s="1"/>
  <c r="AB33" i="7"/>
  <c r="AF33" i="7" s="1"/>
  <c r="AB31" i="7"/>
  <c r="AF31" i="7" s="1"/>
  <c r="R20" i="7"/>
  <c r="R76" i="7" s="1"/>
  <c r="U24" i="59" s="1"/>
  <c r="R47" i="7"/>
  <c r="R46" i="7"/>
  <c r="R1" i="7"/>
  <c r="R67" i="7" s="1"/>
  <c r="AB25" i="7"/>
  <c r="AB80" i="7" s="1"/>
  <c r="AB60" i="7"/>
  <c r="AN81" i="7"/>
  <c r="AN85" i="7" s="1"/>
  <c r="AN28" i="7"/>
  <c r="AP24" i="8"/>
  <c r="AT24" i="8" s="1"/>
  <c r="AP78" i="8"/>
  <c r="AP42" i="8"/>
  <c r="AP43" i="8"/>
  <c r="AO12" i="8"/>
  <c r="AS12" i="8" s="1"/>
  <c r="AP23" i="8"/>
  <c r="AT23" i="8" s="1"/>
  <c r="AP27" i="8"/>
  <c r="AT27" i="8" s="1"/>
  <c r="AP26" i="8"/>
  <c r="AT26" i="8" s="1"/>
  <c r="AP76" i="8"/>
  <c r="AT76" i="8" s="1"/>
  <c r="AX76" i="8" s="1"/>
  <c r="AB66" i="8"/>
  <c r="AB47" i="8"/>
  <c r="AB39" i="8"/>
  <c r="AA61" i="7"/>
  <c r="AE61" i="7" s="1"/>
  <c r="U1" i="7"/>
  <c r="U67" i="7" s="1"/>
  <c r="Q23" i="7"/>
  <c r="Q78" i="7" s="1"/>
  <c r="Q26" i="7"/>
  <c r="Q83" i="7" s="1"/>
  <c r="G85" i="7"/>
  <c r="R83" i="7"/>
  <c r="R16" i="7"/>
  <c r="R65" i="7"/>
  <c r="M83" i="7"/>
  <c r="I83" i="7"/>
  <c r="G41" i="7"/>
  <c r="J84" i="7"/>
  <c r="M25" i="59" s="1"/>
  <c r="Q63" i="7"/>
  <c r="Q72" i="7"/>
  <c r="U72" i="7" s="1"/>
  <c r="J75" i="7"/>
  <c r="M23" i="59" s="1"/>
  <c r="N75" i="7"/>
  <c r="Q23" i="59" s="1"/>
  <c r="N84" i="7"/>
  <c r="Q25" i="59" s="1"/>
  <c r="Q68" i="7"/>
  <c r="T21" i="59" s="1"/>
  <c r="Q67" i="7"/>
  <c r="H85" i="7"/>
  <c r="M8" i="7"/>
  <c r="M20" i="7" s="1"/>
  <c r="M36" i="7"/>
  <c r="I65" i="7"/>
  <c r="M7" i="7"/>
  <c r="M19" i="7" s="1"/>
  <c r="M13" i="7"/>
  <c r="I80" i="7"/>
  <c r="M6" i="7"/>
  <c r="I74" i="7"/>
  <c r="L22" i="59" s="1"/>
  <c r="M12" i="7"/>
  <c r="I79" i="7"/>
  <c r="M9" i="7"/>
  <c r="M21" i="7" s="1"/>
  <c r="I84" i="7"/>
  <c r="L25" i="59" s="1"/>
  <c r="M15" i="7"/>
  <c r="I77" i="7"/>
  <c r="N28" i="7"/>
  <c r="J28" i="7"/>
  <c r="F85" i="7"/>
  <c r="I33" i="7"/>
  <c r="V75" i="7" l="1"/>
  <c r="Y23" i="59" s="1"/>
  <c r="AY74" i="50"/>
  <c r="AY72" i="50" s="1"/>
  <c r="AX25" i="36"/>
  <c r="BA55" i="59" s="1"/>
  <c r="BG74" i="50"/>
  <c r="BG72" i="50" s="1"/>
  <c r="BM37" i="35"/>
  <c r="BF25" i="36"/>
  <c r="BI55" i="59" s="1"/>
  <c r="AF89" i="7"/>
  <c r="AF94" i="7"/>
  <c r="AF26" i="7"/>
  <c r="AF83" i="7" s="1"/>
  <c r="BF142" i="9"/>
  <c r="AW12" i="8"/>
  <c r="AW15" i="8" s="1"/>
  <c r="AS15" i="8"/>
  <c r="AT38" i="8"/>
  <c r="AX24" i="8"/>
  <c r="AX38" i="8" s="1"/>
  <c r="AX142" i="9"/>
  <c r="BE27" i="8"/>
  <c r="AM27" i="59"/>
  <c r="AJ13" i="36"/>
  <c r="AM30" i="59" s="1"/>
  <c r="AI8" i="15"/>
  <c r="AI13" i="15" s="1"/>
  <c r="AJ68" i="8"/>
  <c r="AM33" i="59" s="1"/>
  <c r="BF5" i="8"/>
  <c r="AX5" i="49"/>
  <c r="AX78" i="8"/>
  <c r="AT40" i="8"/>
  <c r="AX26" i="8"/>
  <c r="AT62" i="8"/>
  <c r="AT61" i="8"/>
  <c r="AS78" i="8"/>
  <c r="AW5" i="8"/>
  <c r="AW41" i="8" s="1"/>
  <c r="AS40" i="8"/>
  <c r="AS47" i="8" s="1"/>
  <c r="AS42" i="8"/>
  <c r="AW43" i="8"/>
  <c r="BE29" i="8"/>
  <c r="AT43" i="8"/>
  <c r="AX29" i="8"/>
  <c r="AT41" i="8"/>
  <c r="AX27" i="8"/>
  <c r="AT64" i="8"/>
  <c r="AT37" i="8"/>
  <c r="AX23" i="8"/>
  <c r="V76" i="7"/>
  <c r="Y24" i="59" s="1"/>
  <c r="AW64" i="8"/>
  <c r="AS43" i="8"/>
  <c r="AW76" i="9"/>
  <c r="BE61" i="9"/>
  <c r="BE76" i="9" s="1"/>
  <c r="AX50" i="8"/>
  <c r="BF59" i="8"/>
  <c r="AT51" i="8"/>
  <c r="AT112" i="7"/>
  <c r="AT113" i="7" s="1"/>
  <c r="AT111" i="7"/>
  <c r="AT36" i="7"/>
  <c r="AX36" i="7" s="1"/>
  <c r="AF87" i="7"/>
  <c r="AT6" i="7"/>
  <c r="AX6" i="7" s="1"/>
  <c r="AF91" i="7"/>
  <c r="AF24" i="7"/>
  <c r="AF79" i="7" s="1"/>
  <c r="AF48" i="7"/>
  <c r="AF90" i="7"/>
  <c r="AF56" i="7"/>
  <c r="AI54" i="7"/>
  <c r="AI22" i="7" s="1"/>
  <c r="AI81" i="7" s="1"/>
  <c r="AO53" i="7"/>
  <c r="AF72" i="7"/>
  <c r="AF93" i="7"/>
  <c r="AF20" i="7"/>
  <c r="AF70" i="7"/>
  <c r="AI26" i="59" s="1"/>
  <c r="AJ54" i="7"/>
  <c r="AJ88" i="7" s="1"/>
  <c r="AP53" i="7"/>
  <c r="AT125" i="7"/>
  <c r="AT127" i="7" s="1"/>
  <c r="AT128" i="7" s="1"/>
  <c r="AT5" i="49"/>
  <c r="AP8" i="49"/>
  <c r="AF23" i="7"/>
  <c r="AF78" i="7" s="1"/>
  <c r="AF22" i="7"/>
  <c r="AF81" i="7" s="1"/>
  <c r="AF25" i="7"/>
  <c r="AF80" i="7" s="1"/>
  <c r="AF43" i="7"/>
  <c r="AP48" i="8"/>
  <c r="AF42" i="7"/>
  <c r="AF75" i="7" s="1"/>
  <c r="AI23" i="59" s="1"/>
  <c r="AJ31" i="7"/>
  <c r="AF49" i="7"/>
  <c r="AJ38" i="7"/>
  <c r="AI59" i="7"/>
  <c r="AO59" i="7" s="1"/>
  <c r="AF44" i="7"/>
  <c r="AF82" i="7" s="1"/>
  <c r="AJ33" i="7"/>
  <c r="AJ22" i="7"/>
  <c r="AJ81" i="7" s="1"/>
  <c r="AJ70" i="7"/>
  <c r="AM26" i="59" s="1"/>
  <c r="AJ24" i="7"/>
  <c r="AJ79" i="7" s="1"/>
  <c r="AE62" i="7"/>
  <c r="AI61" i="7"/>
  <c r="AF46" i="7"/>
  <c r="AJ35" i="7"/>
  <c r="AF45" i="7"/>
  <c r="AJ34" i="7"/>
  <c r="AF21" i="7"/>
  <c r="AJ9" i="7"/>
  <c r="AJ59" i="7"/>
  <c r="AJ70" i="8"/>
  <c r="AP70" i="8" s="1"/>
  <c r="AT70" i="8" s="1"/>
  <c r="AX70" i="8" s="1"/>
  <c r="AJ69" i="8"/>
  <c r="AP69" i="8" s="1"/>
  <c r="AT69" i="8" s="1"/>
  <c r="AX69" i="8" s="1"/>
  <c r="AF66" i="8"/>
  <c r="AJ46" i="8"/>
  <c r="AJ66" i="8" s="1"/>
  <c r="AJ14" i="36"/>
  <c r="AM31" i="59" s="1"/>
  <c r="AJ45" i="8"/>
  <c r="AO47" i="8"/>
  <c r="AF65" i="7"/>
  <c r="AF47" i="7"/>
  <c r="AF18" i="7"/>
  <c r="AF16" i="7"/>
  <c r="AF156" i="6"/>
  <c r="AE63" i="7"/>
  <c r="AE68" i="7"/>
  <c r="AH21" i="59" s="1"/>
  <c r="AE22" i="7"/>
  <c r="AE81" i="7" s="1"/>
  <c r="AE26" i="7"/>
  <c r="AE83" i="7" s="1"/>
  <c r="AE23" i="7"/>
  <c r="AE78" i="7" s="1"/>
  <c r="AE58" i="7"/>
  <c r="AF71" i="7"/>
  <c r="AA60" i="7"/>
  <c r="U71" i="7"/>
  <c r="AA71" i="7" s="1"/>
  <c r="V62" i="7"/>
  <c r="V63" i="7"/>
  <c r="V68" i="7"/>
  <c r="Y21" i="59" s="1"/>
  <c r="AB81" i="7"/>
  <c r="V104" i="7"/>
  <c r="V105" i="7" s="1"/>
  <c r="V18" i="7"/>
  <c r="V16" i="7"/>
  <c r="AX112" i="7"/>
  <c r="AX113" i="7" s="1"/>
  <c r="Q55" i="7"/>
  <c r="AP140" i="9"/>
  <c r="AP141" i="9" s="1"/>
  <c r="AP114" i="7"/>
  <c r="AO17" i="48" s="1"/>
  <c r="Q35" i="7"/>
  <c r="Q31" i="7"/>
  <c r="R75" i="7"/>
  <c r="U23" i="59" s="1"/>
  <c r="AA68" i="7"/>
  <c r="AD21" i="59" s="1"/>
  <c r="BC30" i="7"/>
  <c r="BC64" i="7"/>
  <c r="BC50" i="7"/>
  <c r="AA26" i="7"/>
  <c r="AA83" i="7" s="1"/>
  <c r="AA23" i="7"/>
  <c r="AA78" i="7" s="1"/>
  <c r="AA72" i="7"/>
  <c r="AE72" i="7" s="1"/>
  <c r="J109" i="7"/>
  <c r="BF26" i="8"/>
  <c r="AT12" i="36"/>
  <c r="AW29" i="59" s="1"/>
  <c r="N109" i="7"/>
  <c r="N116" i="7" s="1"/>
  <c r="BF27" i="8"/>
  <c r="U27" i="48"/>
  <c r="U28" i="48" s="1"/>
  <c r="AT11" i="36"/>
  <c r="AW28" i="59" s="1"/>
  <c r="AB119" i="7"/>
  <c r="AB121" i="7" s="1"/>
  <c r="AB122" i="7" s="1"/>
  <c r="AA22" i="48" s="1"/>
  <c r="AA23" i="48" s="1"/>
  <c r="AO15" i="8"/>
  <c r="R28" i="7"/>
  <c r="R84" i="7"/>
  <c r="U25" i="59" s="1"/>
  <c r="Q36" i="7"/>
  <c r="M47" i="7"/>
  <c r="AB42" i="7"/>
  <c r="Q34" i="7"/>
  <c r="G30" i="7"/>
  <c r="G39" i="7" s="1"/>
  <c r="G64" i="7"/>
  <c r="V1" i="7"/>
  <c r="V67" i="7" s="1"/>
  <c r="AB61" i="7"/>
  <c r="AF61" i="7" s="1"/>
  <c r="AJ61" i="7" s="1"/>
  <c r="AM50" i="7"/>
  <c r="AM64" i="7"/>
  <c r="R107" i="7"/>
  <c r="R108" i="7" s="1"/>
  <c r="R106" i="7"/>
  <c r="AB47" i="7"/>
  <c r="AB65" i="7"/>
  <c r="Q32" i="7"/>
  <c r="U32" i="7" s="1"/>
  <c r="U43" i="7" s="1"/>
  <c r="M43" i="7"/>
  <c r="M76" i="7" s="1"/>
  <c r="P24" i="59" s="1"/>
  <c r="AB21" i="7"/>
  <c r="M33" i="7"/>
  <c r="M44" i="7" s="1"/>
  <c r="M82" i="7" s="1"/>
  <c r="I44" i="7"/>
  <c r="I82" i="7" s="1"/>
  <c r="AB46" i="7"/>
  <c r="AB45" i="7"/>
  <c r="AO2" i="7"/>
  <c r="AB44" i="7"/>
  <c r="AB82" i="7" s="1"/>
  <c r="AM30" i="7"/>
  <c r="AM39" i="7" s="1"/>
  <c r="AA1" i="7"/>
  <c r="AA67" i="7" s="1"/>
  <c r="Q37" i="7"/>
  <c r="U37" i="7" s="1"/>
  <c r="U48" i="7" s="1"/>
  <c r="M48" i="7"/>
  <c r="AB19" i="7"/>
  <c r="AB49" i="7"/>
  <c r="AO14" i="36"/>
  <c r="AR31" i="59" s="1"/>
  <c r="AO46" i="8"/>
  <c r="AO45" i="8"/>
  <c r="AP17" i="8"/>
  <c r="AP37" i="8"/>
  <c r="AP11" i="36"/>
  <c r="AS28" i="59" s="1"/>
  <c r="AP14" i="8"/>
  <c r="AT14" i="8" s="1"/>
  <c r="AP40" i="8"/>
  <c r="AP62" i="8"/>
  <c r="AP61" i="8"/>
  <c r="AO17" i="8"/>
  <c r="AS17" i="8" s="1"/>
  <c r="AP22" i="8"/>
  <c r="AT22" i="8" s="1"/>
  <c r="AP41" i="8"/>
  <c r="AP64" i="8"/>
  <c r="AP38" i="8"/>
  <c r="AP12" i="36"/>
  <c r="AS29" i="59" s="1"/>
  <c r="Y50" i="7"/>
  <c r="AA62" i="7"/>
  <c r="AA63" i="7"/>
  <c r="Q15" i="7"/>
  <c r="U15" i="7" s="1"/>
  <c r="M27" i="7"/>
  <c r="M77" i="7" s="1"/>
  <c r="Q12" i="7"/>
  <c r="U12" i="7" s="1"/>
  <c r="M24" i="7"/>
  <c r="M79" i="7" s="1"/>
  <c r="Q13" i="7"/>
  <c r="U13" i="7" s="1"/>
  <c r="M25" i="7"/>
  <c r="M80" i="7" s="1"/>
  <c r="M18" i="7"/>
  <c r="M74" i="7" s="1"/>
  <c r="P22" i="59" s="1"/>
  <c r="G50" i="7"/>
  <c r="Q6" i="7"/>
  <c r="U6" i="7" s="1"/>
  <c r="AA6" i="7" s="1"/>
  <c r="AE6" i="7" s="1"/>
  <c r="AI6" i="7" s="1"/>
  <c r="AO6" i="7" s="1"/>
  <c r="AS6" i="7" s="1"/>
  <c r="AW6" i="7" s="1"/>
  <c r="J85" i="7"/>
  <c r="Q9" i="7"/>
  <c r="U9" i="7" s="1"/>
  <c r="M84" i="7"/>
  <c r="P25" i="59" s="1"/>
  <c r="Q7" i="7"/>
  <c r="U7" i="7" s="1"/>
  <c r="M75" i="7"/>
  <c r="P23" i="59" s="1"/>
  <c r="Q8" i="7"/>
  <c r="U8" i="7" s="1"/>
  <c r="M65" i="7"/>
  <c r="N85" i="7"/>
  <c r="BH5" i="8" l="1"/>
  <c r="BF5" i="49"/>
  <c r="AX22" i="8"/>
  <c r="AT25" i="8"/>
  <c r="AT36" i="8"/>
  <c r="AT39" i="8" s="1"/>
  <c r="AT17" i="8"/>
  <c r="AO8" i="15"/>
  <c r="AO13" i="15" s="1"/>
  <c r="AJ23" i="7"/>
  <c r="AJ78" i="7" s="1"/>
  <c r="AJ65" i="7"/>
  <c r="AX41" i="8"/>
  <c r="AX64" i="8"/>
  <c r="AW17" i="8"/>
  <c r="AR8" i="15"/>
  <c r="AR13" i="15" s="1"/>
  <c r="AS68" i="8"/>
  <c r="AX14" i="8"/>
  <c r="AX15" i="8" s="1"/>
  <c r="AT15" i="8"/>
  <c r="AF84" i="7"/>
  <c r="AI25" i="59" s="1"/>
  <c r="AJ27" i="7"/>
  <c r="AJ77" i="7" s="1"/>
  <c r="AJ43" i="7"/>
  <c r="AJ47" i="7"/>
  <c r="AJ18" i="7"/>
  <c r="AJ74" i="7" s="1"/>
  <c r="AM22" i="59" s="1"/>
  <c r="AF76" i="7"/>
  <c r="AI24" i="59" s="1"/>
  <c r="AX8" i="49"/>
  <c r="AX37" i="8"/>
  <c r="AW78" i="8"/>
  <c r="AW5" i="49"/>
  <c r="AW42" i="8"/>
  <c r="AW40" i="8"/>
  <c r="AW47" i="8" s="1"/>
  <c r="AX40" i="8"/>
  <c r="AX47" i="8" s="1"/>
  <c r="AX61" i="8"/>
  <c r="AX62" i="8"/>
  <c r="AJ25" i="7"/>
  <c r="AJ80" i="7" s="1"/>
  <c r="AJ26" i="7"/>
  <c r="AJ83" i="7" s="1"/>
  <c r="AJ93" i="7"/>
  <c r="AX43" i="8"/>
  <c r="BF29" i="8"/>
  <c r="AT47" i="8"/>
  <c r="AW76" i="8"/>
  <c r="AT114" i="7"/>
  <c r="AT48" i="8"/>
  <c r="AX51" i="8"/>
  <c r="BF50" i="8"/>
  <c r="BF24" i="8"/>
  <c r="AX12" i="36"/>
  <c r="BA29" i="59" s="1"/>
  <c r="BF23" i="8"/>
  <c r="AX11" i="36"/>
  <c r="BA28" i="59" s="1"/>
  <c r="AS46" i="8"/>
  <c r="AS45" i="8"/>
  <c r="AS59" i="7"/>
  <c r="AW59" i="7" s="1"/>
  <c r="AI72" i="7"/>
  <c r="AJ45" i="7"/>
  <c r="AP34" i="7"/>
  <c r="AI68" i="7"/>
  <c r="AL21" i="59" s="1"/>
  <c r="AO61" i="7"/>
  <c r="AI23" i="7"/>
  <c r="AI78" i="7" s="1"/>
  <c r="AJ49" i="7"/>
  <c r="AP38" i="7"/>
  <c r="AT53" i="7"/>
  <c r="AX53" i="7" s="1"/>
  <c r="AX54" i="7" s="1"/>
  <c r="AX47" i="7" s="1"/>
  <c r="AP54" i="7"/>
  <c r="AJ87" i="7"/>
  <c r="AJ62" i="7"/>
  <c r="AP61" i="7"/>
  <c r="AJ60" i="7"/>
  <c r="AP59" i="7"/>
  <c r="AI26" i="7"/>
  <c r="AI83" i="7" s="1"/>
  <c r="AJ20" i="7"/>
  <c r="AJ19" i="7"/>
  <c r="AJ72" i="7"/>
  <c r="AJ90" i="7"/>
  <c r="AJ91" i="7"/>
  <c r="AJ94" i="7"/>
  <c r="AJ46" i="7"/>
  <c r="AP35" i="7"/>
  <c r="AJ56" i="7"/>
  <c r="AJ48" i="7"/>
  <c r="AJ44" i="7"/>
  <c r="AJ82" i="7" s="1"/>
  <c r="AP33" i="7"/>
  <c r="AJ42" i="7"/>
  <c r="AP31" i="7"/>
  <c r="AO54" i="7"/>
  <c r="AS53" i="7"/>
  <c r="AW53" i="7" s="1"/>
  <c r="AW54" i="7" s="1"/>
  <c r="AW18" i="7" s="1"/>
  <c r="AJ92" i="7"/>
  <c r="AJ89" i="7"/>
  <c r="AJ21" i="7"/>
  <c r="AP9" i="7"/>
  <c r="AT8" i="49"/>
  <c r="BF41" i="8"/>
  <c r="AT7" i="49"/>
  <c r="AP7" i="49"/>
  <c r="AI63" i="7"/>
  <c r="AJ68" i="7"/>
  <c r="AM21" i="59" s="1"/>
  <c r="AE60" i="7"/>
  <c r="AI58" i="7"/>
  <c r="BE59" i="7"/>
  <c r="AJ71" i="7"/>
  <c r="AI18" i="7"/>
  <c r="AI62" i="7"/>
  <c r="AJ63" i="7"/>
  <c r="AJ16" i="7"/>
  <c r="AJ156" i="6"/>
  <c r="AP156" i="6" s="1"/>
  <c r="AT156" i="6" s="1"/>
  <c r="BE5" i="8"/>
  <c r="BE5" i="49" s="1"/>
  <c r="AE18" i="7"/>
  <c r="AF62" i="7"/>
  <c r="AF68" i="7"/>
  <c r="AI21" i="59" s="1"/>
  <c r="AF63" i="7"/>
  <c r="AF74" i="7"/>
  <c r="AI22" i="59" s="1"/>
  <c r="AF28" i="7"/>
  <c r="AE71" i="7"/>
  <c r="U21" i="7"/>
  <c r="AA9" i="7"/>
  <c r="AE9" i="7" s="1"/>
  <c r="U20" i="7"/>
  <c r="U76" i="7" s="1"/>
  <c r="X24" i="59" s="1"/>
  <c r="AA8" i="7"/>
  <c r="AE8" i="7" s="1"/>
  <c r="U24" i="7"/>
  <c r="U79" i="7" s="1"/>
  <c r="AA12" i="7"/>
  <c r="AE12" i="7" s="1"/>
  <c r="U19" i="7"/>
  <c r="AA7" i="7"/>
  <c r="AE7" i="7" s="1"/>
  <c r="U25" i="7"/>
  <c r="U80" i="7" s="1"/>
  <c r="AA13" i="7"/>
  <c r="AE13" i="7" s="1"/>
  <c r="U27" i="7"/>
  <c r="U77" i="7" s="1"/>
  <c r="AA15" i="7"/>
  <c r="AE15" i="7" s="1"/>
  <c r="Q65" i="7"/>
  <c r="U36" i="7"/>
  <c r="Q46" i="7"/>
  <c r="U35" i="7"/>
  <c r="U46" i="7" s="1"/>
  <c r="U55" i="7"/>
  <c r="U56" i="7" s="1"/>
  <c r="Q42" i="7"/>
  <c r="U31" i="7"/>
  <c r="U42" i="7" s="1"/>
  <c r="V74" i="7"/>
  <c r="Y22" i="59" s="1"/>
  <c r="V28" i="7"/>
  <c r="U18" i="7"/>
  <c r="Q45" i="7"/>
  <c r="U34" i="7"/>
  <c r="U45" i="7" s="1"/>
  <c r="V107" i="7"/>
  <c r="V108" i="7" s="1"/>
  <c r="V106" i="7"/>
  <c r="AX114" i="7"/>
  <c r="AP142" i="9"/>
  <c r="AO12" i="48" s="1"/>
  <c r="AO13" i="48" s="1"/>
  <c r="Q56" i="7"/>
  <c r="AS17" i="48"/>
  <c r="AS12" i="48"/>
  <c r="AS13" i="48" s="1"/>
  <c r="BF110" i="7"/>
  <c r="BD110" i="7"/>
  <c r="AF119" i="7"/>
  <c r="AF121" i="7" s="1"/>
  <c r="AF122" i="7" s="1"/>
  <c r="AE22" i="48" s="1"/>
  <c r="AE23" i="48" s="1"/>
  <c r="R85" i="7"/>
  <c r="M16" i="48"/>
  <c r="M18" i="48" s="1"/>
  <c r="BF64" i="8"/>
  <c r="BF61" i="8"/>
  <c r="BF62" i="8"/>
  <c r="BE60" i="8"/>
  <c r="BE64" i="8" s="1"/>
  <c r="BE52" i="8"/>
  <c r="BE62" i="8" s="1"/>
  <c r="BC39" i="7"/>
  <c r="I16" i="48"/>
  <c r="I18" i="48" s="1"/>
  <c r="J116" i="7"/>
  <c r="AB84" i="7"/>
  <c r="AE25" i="59" s="1"/>
  <c r="AT10" i="36"/>
  <c r="AS2" i="7"/>
  <c r="R109" i="7"/>
  <c r="Q16" i="48" s="1"/>
  <c r="Q18" i="48" s="1"/>
  <c r="AB125" i="7"/>
  <c r="AB127" i="7" s="1"/>
  <c r="AB128" i="7" s="1"/>
  <c r="AA27" i="48" s="1"/>
  <c r="AA28" i="48" s="1"/>
  <c r="AB20" i="7"/>
  <c r="AB76" i="7" s="1"/>
  <c r="AE24" i="59" s="1"/>
  <c r="BE17" i="8"/>
  <c r="AV33" i="59"/>
  <c r="AO66" i="8"/>
  <c r="AS14" i="36"/>
  <c r="AV31" i="59" s="1"/>
  <c r="Q33" i="7"/>
  <c r="Q48" i="7"/>
  <c r="AE1" i="7"/>
  <c r="AE67" i="7" s="1"/>
  <c r="Q43" i="7"/>
  <c r="AB75" i="7"/>
  <c r="AE23" i="59" s="1"/>
  <c r="AB104" i="7"/>
  <c r="AB105" i="7" s="1"/>
  <c r="AB16" i="7"/>
  <c r="AB18" i="7"/>
  <c r="AB68" i="7"/>
  <c r="AE21" i="59" s="1"/>
  <c r="AB1" i="7"/>
  <c r="AB67" i="7" s="1"/>
  <c r="AB62" i="7"/>
  <c r="AB63" i="7"/>
  <c r="Q47" i="7"/>
  <c r="AP46" i="8"/>
  <c r="AP14" i="36"/>
  <c r="AS31" i="59" s="1"/>
  <c r="AP45" i="8"/>
  <c r="AP47" i="8"/>
  <c r="AP68" i="8"/>
  <c r="AS33" i="59" s="1"/>
  <c r="AP25" i="8"/>
  <c r="AP36" i="8"/>
  <c r="AP39" i="8" s="1"/>
  <c r="AP10" i="36"/>
  <c r="AS27" i="59" s="1"/>
  <c r="AN8" i="15"/>
  <c r="AN13" i="15" s="1"/>
  <c r="AO68" i="8"/>
  <c r="AR33" i="59" s="1"/>
  <c r="Q27" i="7"/>
  <c r="Q77" i="7" s="1"/>
  <c r="Q24" i="7"/>
  <c r="Q79" i="7" s="1"/>
  <c r="Q25" i="7"/>
  <c r="Q80" i="7" s="1"/>
  <c r="Q20" i="7"/>
  <c r="Q21" i="7"/>
  <c r="Q18" i="7"/>
  <c r="Q74" i="7" s="1"/>
  <c r="T22" i="59" s="1"/>
  <c r="Q19" i="7"/>
  <c r="Q75" i="7" s="1"/>
  <c r="T23" i="59" s="1"/>
  <c r="AJ84" i="7" l="1"/>
  <c r="AM25" i="59" s="1"/>
  <c r="AP92" i="7"/>
  <c r="AJ75" i="7"/>
  <c r="AM23" i="59" s="1"/>
  <c r="AP91" i="7"/>
  <c r="AJ28" i="7"/>
  <c r="BE68" i="8"/>
  <c r="BH33" i="59" s="1"/>
  <c r="BD8" i="15"/>
  <c r="BD13" i="15" s="1"/>
  <c r="BF12" i="36"/>
  <c r="BI29" i="59" s="1"/>
  <c r="BF8" i="49"/>
  <c r="BF11" i="36"/>
  <c r="BI28" i="59" s="1"/>
  <c r="AW74" i="7"/>
  <c r="AS66" i="8"/>
  <c r="AW46" i="8"/>
  <c r="BE14" i="36" s="1"/>
  <c r="BH31" i="59" s="1"/>
  <c r="AW14" i="36"/>
  <c r="AZ31" i="59" s="1"/>
  <c r="AV8" i="15"/>
  <c r="AV13" i="15" s="1"/>
  <c r="AW68" i="8"/>
  <c r="AZ33" i="59" s="1"/>
  <c r="AX22" i="7"/>
  <c r="AX81" i="7" s="1"/>
  <c r="AX48" i="7"/>
  <c r="AX26" i="7"/>
  <c r="AX83" i="7" s="1"/>
  <c r="AX43" i="7"/>
  <c r="AX23" i="7"/>
  <c r="AX78" i="7" s="1"/>
  <c r="AX56" i="7"/>
  <c r="AX70" i="7"/>
  <c r="BA26" i="59" s="1"/>
  <c r="AX24" i="7"/>
  <c r="AX79" i="7" s="1"/>
  <c r="AX25" i="7"/>
  <c r="AX80" i="7" s="1"/>
  <c r="AX27" i="7"/>
  <c r="AX77" i="7" s="1"/>
  <c r="AX19" i="7"/>
  <c r="AX20" i="7"/>
  <c r="AX76" i="7" s="1"/>
  <c r="BA24" i="59" s="1"/>
  <c r="AX65" i="7"/>
  <c r="AX7" i="49"/>
  <c r="AX25" i="8"/>
  <c r="AX36" i="8"/>
  <c r="AX39" i="8" s="1"/>
  <c r="AW22" i="7"/>
  <c r="AW81" i="7" s="1"/>
  <c r="AW26" i="7"/>
  <c r="AW83" i="7" s="1"/>
  <c r="AW23" i="7"/>
  <c r="AW78" i="7" s="1"/>
  <c r="AT68" i="8"/>
  <c r="AW33" i="59" s="1"/>
  <c r="AX17" i="8"/>
  <c r="AS8" i="15"/>
  <c r="AS13" i="15" s="1"/>
  <c r="AX18" i="7"/>
  <c r="AW45" i="8"/>
  <c r="AX48" i="8"/>
  <c r="BF51" i="8"/>
  <c r="AX156" i="6"/>
  <c r="BF156" i="6" s="1"/>
  <c r="BF38" i="8"/>
  <c r="BF22" i="8"/>
  <c r="AX10" i="36"/>
  <c r="BF40" i="8"/>
  <c r="AT46" i="8"/>
  <c r="AT45" i="8"/>
  <c r="AO5" i="26"/>
  <c r="AS5" i="26" s="1"/>
  <c r="AS54" i="7"/>
  <c r="BE53" i="7"/>
  <c r="AT33" i="7"/>
  <c r="AX33" i="7" s="1"/>
  <c r="AX44" i="7" s="1"/>
  <c r="AX82" i="7" s="1"/>
  <c r="AP44" i="7"/>
  <c r="AP82" i="7" s="1"/>
  <c r="AT35" i="7"/>
  <c r="AX35" i="7" s="1"/>
  <c r="AX46" i="7" s="1"/>
  <c r="AP46" i="7"/>
  <c r="AP90" i="7"/>
  <c r="AT54" i="7"/>
  <c r="BF53" i="7"/>
  <c r="AJ76" i="7"/>
  <c r="AM24" i="59" s="1"/>
  <c r="AP71" i="7"/>
  <c r="AT71" i="7" s="1"/>
  <c r="AP89" i="7"/>
  <c r="AP68" i="7"/>
  <c r="AS21" i="59" s="1"/>
  <c r="AP63" i="7"/>
  <c r="AP22" i="7"/>
  <c r="AP81" i="7" s="1"/>
  <c r="AP48" i="7"/>
  <c r="AP26" i="7"/>
  <c r="AP83" i="7" s="1"/>
  <c r="AP43" i="7"/>
  <c r="AP23" i="7"/>
  <c r="AP78" i="7" s="1"/>
  <c r="AP70" i="7"/>
  <c r="AS26" i="59" s="1"/>
  <c r="AP56" i="7"/>
  <c r="AP27" i="7"/>
  <c r="AP77" i="7" s="1"/>
  <c r="AP25" i="7"/>
  <c r="AP80" i="7" s="1"/>
  <c r="AP24" i="7"/>
  <c r="AP79" i="7" s="1"/>
  <c r="AP19" i="7"/>
  <c r="AP20" i="7"/>
  <c r="AP76" i="7" s="1"/>
  <c r="AS24" i="59" s="1"/>
  <c r="AP47" i="7"/>
  <c r="AP65" i="7"/>
  <c r="AP18" i="7"/>
  <c r="AP74" i="7" s="1"/>
  <c r="AS22" i="59" s="1"/>
  <c r="AS18" i="7"/>
  <c r="AS74" i="7" s="1"/>
  <c r="AI60" i="7"/>
  <c r="AO58" i="7"/>
  <c r="AO68" i="7"/>
  <c r="AR21" i="59" s="1"/>
  <c r="AO63" i="7"/>
  <c r="AO22" i="7"/>
  <c r="AO81" i="7" s="1"/>
  <c r="AO26" i="7"/>
  <c r="AO83" i="7" s="1"/>
  <c r="AO23" i="7"/>
  <c r="AO78" i="7" s="1"/>
  <c r="AP72" i="7"/>
  <c r="AP60" i="7"/>
  <c r="AT59" i="7"/>
  <c r="AX59" i="7" s="1"/>
  <c r="AX60" i="7" s="1"/>
  <c r="AP87" i="7"/>
  <c r="AT87" i="7" s="1"/>
  <c r="AX87" i="7" s="1"/>
  <c r="AT38" i="7"/>
  <c r="AX38" i="7" s="1"/>
  <c r="AX49" i="7" s="1"/>
  <c r="AP49" i="7"/>
  <c r="AS61" i="7"/>
  <c r="AO62" i="7"/>
  <c r="AO72" i="7"/>
  <c r="AS72" i="7" s="1"/>
  <c r="AW72" i="7" s="1"/>
  <c r="AP62" i="7"/>
  <c r="AT61" i="7"/>
  <c r="AX61" i="7" s="1"/>
  <c r="AX62" i="7" s="1"/>
  <c r="AT34" i="7"/>
  <c r="AX34" i="7" s="1"/>
  <c r="AX45" i="7" s="1"/>
  <c r="AP45" i="7"/>
  <c r="AT31" i="7"/>
  <c r="AX31" i="7" s="1"/>
  <c r="AX42" i="7" s="1"/>
  <c r="AP42" i="7"/>
  <c r="AP94" i="7"/>
  <c r="AP93" i="7"/>
  <c r="AO18" i="7"/>
  <c r="AO74" i="7" s="1"/>
  <c r="AR22" i="59" s="1"/>
  <c r="AP88" i="7"/>
  <c r="AT88" i="7" s="1"/>
  <c r="AX88" i="7" s="1"/>
  <c r="AT9" i="7"/>
  <c r="AX9" i="7" s="1"/>
  <c r="AP21" i="7"/>
  <c r="AP16" i="7"/>
  <c r="AT13" i="36"/>
  <c r="AW30" i="59" s="1"/>
  <c r="AW27" i="59"/>
  <c r="BF42" i="8"/>
  <c r="BF43" i="8"/>
  <c r="BF78" i="8"/>
  <c r="BF76" i="8"/>
  <c r="BF70" i="8"/>
  <c r="BF37" i="8"/>
  <c r="BF69" i="8"/>
  <c r="AP13" i="36"/>
  <c r="AS30" i="59" s="1"/>
  <c r="AE25" i="7"/>
  <c r="AE80" i="7" s="1"/>
  <c r="AI13" i="7"/>
  <c r="AE24" i="7"/>
  <c r="AE79" i="7" s="1"/>
  <c r="AI12" i="7"/>
  <c r="AE21" i="7"/>
  <c r="AI9" i="7"/>
  <c r="AI74" i="7"/>
  <c r="AL22" i="59" s="1"/>
  <c r="AE27" i="7"/>
  <c r="AE77" i="7" s="1"/>
  <c r="AI15" i="7"/>
  <c r="AE19" i="7"/>
  <c r="AI7" i="7"/>
  <c r="AO7" i="7" s="1"/>
  <c r="AE20" i="7"/>
  <c r="AI8" i="7"/>
  <c r="AI71" i="7"/>
  <c r="AO71" i="7" s="1"/>
  <c r="AS71" i="7" s="1"/>
  <c r="BE43" i="8"/>
  <c r="BE78" i="8"/>
  <c r="BE42" i="8"/>
  <c r="BE40" i="8"/>
  <c r="BE41" i="8"/>
  <c r="BE76" i="8"/>
  <c r="Q84" i="7"/>
  <c r="T25" i="59" s="1"/>
  <c r="U84" i="7"/>
  <c r="X25" i="59" s="1"/>
  <c r="AA35" i="7"/>
  <c r="AE35" i="7" s="1"/>
  <c r="Q76" i="7"/>
  <c r="T24" i="59" s="1"/>
  <c r="V85" i="7"/>
  <c r="AF85" i="7"/>
  <c r="AE16" i="7"/>
  <c r="AE74" i="7"/>
  <c r="AH22" i="59" s="1"/>
  <c r="U75" i="7"/>
  <c r="X23" i="59" s="1"/>
  <c r="V109" i="7"/>
  <c r="V116" i="7" s="1"/>
  <c r="Q44" i="7"/>
  <c r="Q82" i="7" s="1"/>
  <c r="U33" i="7"/>
  <c r="U44" i="7" s="1"/>
  <c r="U82" i="7" s="1"/>
  <c r="U74" i="7"/>
  <c r="X22" i="59" s="1"/>
  <c r="U47" i="7"/>
  <c r="U65" i="7"/>
  <c r="AA55" i="7"/>
  <c r="AE55" i="7" s="1"/>
  <c r="AA31" i="7"/>
  <c r="AE31" i="7" s="1"/>
  <c r="BF112" i="7"/>
  <c r="BF113" i="7" s="1"/>
  <c r="BF111" i="7"/>
  <c r="BD111" i="7"/>
  <c r="BD112" i="7"/>
  <c r="BD113" i="7" s="1"/>
  <c r="R116" i="7"/>
  <c r="AA34" i="7"/>
  <c r="AE34" i="7" s="1"/>
  <c r="AJ119" i="7"/>
  <c r="AJ121" i="7" s="1"/>
  <c r="AJ122" i="7" s="1"/>
  <c r="AI22" i="48" s="1"/>
  <c r="AI23" i="48" s="1"/>
  <c r="BE12" i="8"/>
  <c r="BE15" i="8" s="1"/>
  <c r="BF25" i="8"/>
  <c r="BF36" i="8"/>
  <c r="BF47" i="8"/>
  <c r="BF14" i="8"/>
  <c r="AW2" i="7"/>
  <c r="BE2" i="7" s="1"/>
  <c r="AF125" i="7"/>
  <c r="AF127" i="7" s="1"/>
  <c r="AF128" i="7" s="1"/>
  <c r="AE27" i="48" s="1"/>
  <c r="AE28" i="48" s="1"/>
  <c r="AP66" i="8"/>
  <c r="AT14" i="36"/>
  <c r="AW31" i="59" s="1"/>
  <c r="AB74" i="7"/>
  <c r="AE22" i="59" s="1"/>
  <c r="AB28" i="7"/>
  <c r="AA32" i="7"/>
  <c r="AE32" i="7" s="1"/>
  <c r="AA37" i="7"/>
  <c r="AE37" i="7" s="1"/>
  <c r="AB107" i="7"/>
  <c r="AB108" i="7" s="1"/>
  <c r="AB106" i="7"/>
  <c r="AI1" i="7"/>
  <c r="AI67" i="7" s="1"/>
  <c r="AA36" i="7"/>
  <c r="AE36" i="7" s="1"/>
  <c r="AI36" i="7" s="1"/>
  <c r="AO36" i="7" s="1"/>
  <c r="AF1" i="7"/>
  <c r="AF67" i="7" s="1"/>
  <c r="AF104" i="7"/>
  <c r="AF105" i="7" s="1"/>
  <c r="I151" i="6"/>
  <c r="AJ85" i="7" l="1"/>
  <c r="BF10" i="36"/>
  <c r="BF7" i="49"/>
  <c r="AT66" i="8"/>
  <c r="AX46" i="8"/>
  <c r="BF14" i="36" s="1"/>
  <c r="BI31" i="59" s="1"/>
  <c r="AX14" i="36"/>
  <c r="BA31" i="59" s="1"/>
  <c r="AX45" i="8"/>
  <c r="AX75" i="7"/>
  <c r="BA23" i="59" s="1"/>
  <c r="AX68" i="7"/>
  <c r="BA21" i="59" s="1"/>
  <c r="AW66" i="8"/>
  <c r="AX21" i="7"/>
  <c r="AX84" i="7" s="1"/>
  <c r="BA25" i="59" s="1"/>
  <c r="AX16" i="7"/>
  <c r="AX74" i="7"/>
  <c r="AW71" i="7"/>
  <c r="AS62" i="7"/>
  <c r="AW61" i="7"/>
  <c r="AW5" i="26"/>
  <c r="AX71" i="7"/>
  <c r="BF71" i="7" s="1"/>
  <c r="AW8" i="15"/>
  <c r="AW13" i="15" s="1"/>
  <c r="AX68" i="8"/>
  <c r="BA33" i="59" s="1"/>
  <c r="BF17" i="8"/>
  <c r="AX63" i="7"/>
  <c r="AZ22" i="59"/>
  <c r="BF48" i="8"/>
  <c r="AX13" i="36"/>
  <c r="BA30" i="59" s="1"/>
  <c r="BA27" i="59"/>
  <c r="AP75" i="7"/>
  <c r="AS23" i="59" s="1"/>
  <c r="AT42" i="7"/>
  <c r="AT119" i="7"/>
  <c r="AT121" i="7" s="1"/>
  <c r="AT122" i="7" s="1"/>
  <c r="AT62" i="7"/>
  <c r="AT60" i="7"/>
  <c r="BF59" i="7"/>
  <c r="AS58" i="7"/>
  <c r="AO60" i="7"/>
  <c r="AT89" i="7"/>
  <c r="AX89" i="7" s="1"/>
  <c r="AT90" i="7"/>
  <c r="AX90" i="7" s="1"/>
  <c r="AT44" i="7"/>
  <c r="AT82" i="7" s="1"/>
  <c r="AS36" i="7"/>
  <c r="AW36" i="7" s="1"/>
  <c r="AO65" i="7"/>
  <c r="AO47" i="7"/>
  <c r="AT68" i="7"/>
  <c r="AT63" i="7"/>
  <c r="AT22" i="7"/>
  <c r="AT81" i="7" s="1"/>
  <c r="AT48" i="7"/>
  <c r="AT26" i="7"/>
  <c r="AT83" i="7" s="1"/>
  <c r="AT43" i="7"/>
  <c r="AT23" i="7"/>
  <c r="AT78" i="7" s="1"/>
  <c r="AT56" i="7"/>
  <c r="AT70" i="7"/>
  <c r="AT24" i="7"/>
  <c r="AT79" i="7" s="1"/>
  <c r="AT27" i="7"/>
  <c r="AT77" i="7" s="1"/>
  <c r="AT25" i="7"/>
  <c r="AT80" i="7" s="1"/>
  <c r="AT19" i="7"/>
  <c r="AT20" i="7"/>
  <c r="AT76" i="7" s="1"/>
  <c r="AT18" i="7"/>
  <c r="AT74" i="7" s="1"/>
  <c r="AT47" i="7"/>
  <c r="AT104" i="7"/>
  <c r="AT105" i="7" s="1"/>
  <c r="AT65" i="7"/>
  <c r="AE28" i="7"/>
  <c r="AE41" i="7" s="1"/>
  <c r="AT93" i="7"/>
  <c r="AX93" i="7" s="1"/>
  <c r="AT91" i="7"/>
  <c r="AX91" i="7" s="1"/>
  <c r="AT92" i="7"/>
  <c r="AX92" i="7" s="1"/>
  <c r="AT94" i="7"/>
  <c r="AX94" i="7" s="1"/>
  <c r="AT45" i="7"/>
  <c r="AT49" i="7"/>
  <c r="AT72" i="7"/>
  <c r="AX72" i="7" s="1"/>
  <c r="AT46" i="7"/>
  <c r="AS63" i="7"/>
  <c r="AS68" i="7"/>
  <c r="AS22" i="7"/>
  <c r="AS81" i="7" s="1"/>
  <c r="AS26" i="7"/>
  <c r="AS83" i="7" s="1"/>
  <c r="AS23" i="7"/>
  <c r="AS78" i="7" s="1"/>
  <c r="AI20" i="7"/>
  <c r="AO8" i="7"/>
  <c r="AI27" i="7"/>
  <c r="AI77" i="7" s="1"/>
  <c r="AO15" i="7"/>
  <c r="AI24" i="7"/>
  <c r="AI79" i="7" s="1"/>
  <c r="AO12" i="7"/>
  <c r="AP84" i="7"/>
  <c r="AP28" i="7"/>
  <c r="AS7" i="7"/>
  <c r="AW7" i="7" s="1"/>
  <c r="AO19" i="7"/>
  <c r="AT21" i="7"/>
  <c r="AT16" i="7"/>
  <c r="AI21" i="7"/>
  <c r="AO9" i="7"/>
  <c r="AI25" i="7"/>
  <c r="AI80" i="7" s="1"/>
  <c r="AO13" i="7"/>
  <c r="BF39" i="8"/>
  <c r="AA42" i="7"/>
  <c r="AE45" i="7"/>
  <c r="AE84" i="7" s="1"/>
  <c r="AH25" i="59" s="1"/>
  <c r="AI34" i="7"/>
  <c r="AI47" i="7"/>
  <c r="AI65" i="7"/>
  <c r="AE48" i="7"/>
  <c r="AI37" i="7"/>
  <c r="AI19" i="7"/>
  <c r="AI16" i="7"/>
  <c r="AE43" i="7"/>
  <c r="AE76" i="7" s="1"/>
  <c r="AH24" i="59" s="1"/>
  <c r="AI32" i="7"/>
  <c r="AE42" i="7"/>
  <c r="AE75" i="7" s="1"/>
  <c r="AH23" i="59" s="1"/>
  <c r="AI31" i="7"/>
  <c r="AE56" i="7"/>
  <c r="AI55" i="7"/>
  <c r="AE46" i="7"/>
  <c r="AI35" i="7"/>
  <c r="BE47" i="8"/>
  <c r="AA46" i="7"/>
  <c r="AE47" i="7"/>
  <c r="AE65" i="7"/>
  <c r="AB85" i="7"/>
  <c r="U16" i="48"/>
  <c r="U18" i="48" s="1"/>
  <c r="Q88" i="6"/>
  <c r="Q92" i="6" s="1"/>
  <c r="M84" i="6"/>
  <c r="M88" i="6" s="1"/>
  <c r="M92" i="6" s="1"/>
  <c r="U84" i="6"/>
  <c r="U88" i="6" s="1"/>
  <c r="U92" i="6" s="1"/>
  <c r="AA56" i="7"/>
  <c r="BF114" i="7"/>
  <c r="AA45" i="7"/>
  <c r="AA33" i="7"/>
  <c r="AE33" i="7" s="1"/>
  <c r="BE71" i="7"/>
  <c r="BD114" i="7"/>
  <c r="BD116" i="7" s="1"/>
  <c r="E113" i="6"/>
  <c r="BF58" i="7"/>
  <c r="BF60" i="7" s="1"/>
  <c r="BF52" i="7"/>
  <c r="BF54" i="7" s="1"/>
  <c r="BF22" i="7" s="1"/>
  <c r="BE46" i="8"/>
  <c r="BE66" i="8" s="1"/>
  <c r="BE45" i="8"/>
  <c r="AP119" i="7"/>
  <c r="AP121" i="7" s="1"/>
  <c r="AP122" i="7" s="1"/>
  <c r="AO22" i="48" s="1"/>
  <c r="AO23" i="48" s="1"/>
  <c r="BF36" i="7"/>
  <c r="AW26" i="59"/>
  <c r="AS1" i="7"/>
  <c r="AS67" i="7" s="1"/>
  <c r="BE61" i="7"/>
  <c r="AJ125" i="7"/>
  <c r="AJ127" i="7" s="1"/>
  <c r="AJ128" i="7" s="1"/>
  <c r="AI27" i="48" s="1"/>
  <c r="AI28" i="48" s="1"/>
  <c r="AB109" i="7"/>
  <c r="AB116" i="7" s="1"/>
  <c r="AO1" i="7"/>
  <c r="AO67" i="7" s="1"/>
  <c r="AA21" i="7"/>
  <c r="AA24" i="7"/>
  <c r="AA79" i="7" s="1"/>
  <c r="AA27" i="7"/>
  <c r="AA77" i="7" s="1"/>
  <c r="AA47" i="7"/>
  <c r="AA65" i="7"/>
  <c r="AA43" i="7"/>
  <c r="AA19" i="7"/>
  <c r="AA25" i="7"/>
  <c r="AA80" i="7" s="1"/>
  <c r="AJ104" i="7"/>
  <c r="AJ105" i="7" s="1"/>
  <c r="AJ1" i="7"/>
  <c r="AJ67" i="7" s="1"/>
  <c r="AW21" i="59"/>
  <c r="AA20" i="7"/>
  <c r="AF107" i="7"/>
  <c r="AF108" i="7" s="1"/>
  <c r="AF106" i="7"/>
  <c r="AA48" i="7"/>
  <c r="AA18" i="7"/>
  <c r="AA80" i="6"/>
  <c r="AE80" i="6" s="1"/>
  <c r="M151" i="6"/>
  <c r="Q151" i="6" s="1"/>
  <c r="U151" i="6" s="1"/>
  <c r="M126" i="6"/>
  <c r="F223" i="6"/>
  <c r="J62" i="6"/>
  <c r="N62" i="6" s="1"/>
  <c r="AA84" i="7" l="1"/>
  <c r="AD25" i="59" s="1"/>
  <c r="AX28" i="7"/>
  <c r="BF13" i="36"/>
  <c r="BI30" i="59" s="1"/>
  <c r="BI27" i="59"/>
  <c r="BF68" i="8"/>
  <c r="BI33" i="59" s="1"/>
  <c r="BE8" i="15"/>
  <c r="BE13" i="15" s="1"/>
  <c r="AW62" i="7"/>
  <c r="AW63" i="7"/>
  <c r="AW68" i="7"/>
  <c r="AZ21" i="59" s="1"/>
  <c r="AX85" i="7"/>
  <c r="BA22" i="59"/>
  <c r="AW65" i="7"/>
  <c r="AW47" i="7"/>
  <c r="AX66" i="8"/>
  <c r="AW19" i="7"/>
  <c r="AT75" i="7"/>
  <c r="AS60" i="7"/>
  <c r="AW58" i="7"/>
  <c r="AW60" i="7" s="1"/>
  <c r="AT106" i="7"/>
  <c r="AT107" i="7"/>
  <c r="AT108" i="7" s="1"/>
  <c r="AI46" i="7"/>
  <c r="AO35" i="7"/>
  <c r="AI56" i="7"/>
  <c r="AO55" i="7"/>
  <c r="AI43" i="7"/>
  <c r="AI76" i="7" s="1"/>
  <c r="AL24" i="59" s="1"/>
  <c r="AO32" i="7"/>
  <c r="AI48" i="7"/>
  <c r="AO37" i="7"/>
  <c r="AI45" i="7"/>
  <c r="AO34" i="7"/>
  <c r="AI42" i="7"/>
  <c r="AO31" i="7"/>
  <c r="AS47" i="7"/>
  <c r="AS65" i="7"/>
  <c r="AA75" i="7"/>
  <c r="AD23" i="59" s="1"/>
  <c r="AT84" i="7"/>
  <c r="AT85" i="7" s="1"/>
  <c r="AT28" i="7"/>
  <c r="AS15" i="7"/>
  <c r="AO27" i="7"/>
  <c r="AO77" i="7" s="1"/>
  <c r="AS9" i="7"/>
  <c r="AO21" i="7"/>
  <c r="AS25" i="59"/>
  <c r="AP85" i="7"/>
  <c r="AS19" i="7"/>
  <c r="AS12" i="7"/>
  <c r="AO24" i="7"/>
  <c r="AO79" i="7" s="1"/>
  <c r="AS8" i="7"/>
  <c r="AO20" i="7"/>
  <c r="AO76" i="7" s="1"/>
  <c r="AR24" i="59" s="1"/>
  <c r="AI84" i="7"/>
  <c r="AL25" i="59" s="1"/>
  <c r="AS13" i="7"/>
  <c r="AO25" i="7"/>
  <c r="AO80" i="7" s="1"/>
  <c r="AO16" i="7"/>
  <c r="AE44" i="7"/>
  <c r="AI33" i="7"/>
  <c r="AI75" i="7"/>
  <c r="AL23" i="59" s="1"/>
  <c r="AI28" i="7"/>
  <c r="AI41" i="7" s="1"/>
  <c r="AE84" i="6"/>
  <c r="AE88" i="6" s="1"/>
  <c r="AE92" i="6" s="1"/>
  <c r="AE135" i="6" s="1"/>
  <c r="AI80" i="6"/>
  <c r="AI84" i="6" s="1"/>
  <c r="AI88" i="6" s="1"/>
  <c r="AI92" i="6" s="1"/>
  <c r="AA76" i="7"/>
  <c r="AD24" i="59" s="1"/>
  <c r="BF93" i="7"/>
  <c r="AA84" i="6"/>
  <c r="R99" i="6"/>
  <c r="V99" i="6" s="1"/>
  <c r="N101" i="6"/>
  <c r="N84" i="6"/>
  <c r="N73" i="6"/>
  <c r="M70" i="6"/>
  <c r="M74" i="6" s="1"/>
  <c r="M78" i="6" s="1"/>
  <c r="M113" i="6" s="1"/>
  <c r="Q135" i="6"/>
  <c r="AA66" i="6"/>
  <c r="AE66" i="6" s="1"/>
  <c r="AI66" i="6" s="1"/>
  <c r="U135" i="6"/>
  <c r="AA44" i="7"/>
  <c r="AA82" i="7" s="1"/>
  <c r="AA16" i="48"/>
  <c r="AA18" i="48" s="1"/>
  <c r="M98" i="6"/>
  <c r="M102" i="6" s="1"/>
  <c r="M106" i="6" s="1"/>
  <c r="E110" i="6"/>
  <c r="E111" i="6"/>
  <c r="F138" i="6"/>
  <c r="H223" i="6"/>
  <c r="H138" i="6"/>
  <c r="BF92" i="7"/>
  <c r="BF87" i="7"/>
  <c r="BF89" i="7"/>
  <c r="E135" i="6"/>
  <c r="BF94" i="7"/>
  <c r="BF88" i="7"/>
  <c r="BF72" i="7"/>
  <c r="BF91" i="7"/>
  <c r="BF90" i="7"/>
  <c r="BF31" i="7"/>
  <c r="BF42" i="7" s="1"/>
  <c r="BF48" i="7"/>
  <c r="BF26" i="7"/>
  <c r="BF83" i="7" s="1"/>
  <c r="BF43" i="7"/>
  <c r="BF23" i="7"/>
  <c r="BF78" i="7" s="1"/>
  <c r="BF70" i="7"/>
  <c r="BI26" i="59" s="1"/>
  <c r="BF56" i="7"/>
  <c r="BF15" i="7"/>
  <c r="BF27" i="7" s="1"/>
  <c r="BF77" i="7" s="1"/>
  <c r="BF38" i="7"/>
  <c r="BF49" i="7" s="1"/>
  <c r="BE52" i="7"/>
  <c r="BE54" i="7" s="1"/>
  <c r="BE22" i="7" s="1"/>
  <c r="BF13" i="7"/>
  <c r="BF25" i="7" s="1"/>
  <c r="BF80" i="7" s="1"/>
  <c r="BF65" i="7"/>
  <c r="BF47" i="7"/>
  <c r="BF35" i="7"/>
  <c r="BF46" i="7" s="1"/>
  <c r="BE62" i="7"/>
  <c r="BE1" i="7"/>
  <c r="BF12" i="7"/>
  <c r="BF24" i="7" s="1"/>
  <c r="BF79" i="7" s="1"/>
  <c r="BF46" i="8"/>
  <c r="BF45" i="8"/>
  <c r="AP125" i="7"/>
  <c r="AP127" i="7" s="1"/>
  <c r="AP128" i="7" s="1"/>
  <c r="AO27" i="48" s="1"/>
  <c r="AO28" i="48" s="1"/>
  <c r="AW1" i="7"/>
  <c r="AW67" i="7" s="1"/>
  <c r="AF109" i="7"/>
  <c r="AE16" i="48" s="1"/>
  <c r="AE18" i="48" s="1"/>
  <c r="BF7" i="7"/>
  <c r="AS22" i="48"/>
  <c r="AS23" i="48" s="1"/>
  <c r="BF61" i="7"/>
  <c r="BF68" i="7" s="1"/>
  <c r="BI21" i="59" s="1"/>
  <c r="AT1" i="7"/>
  <c r="AT67" i="7" s="1"/>
  <c r="BF6" i="7"/>
  <c r="AV21" i="59"/>
  <c r="AJ106" i="7"/>
  <c r="AJ107" i="7"/>
  <c r="AJ108" i="7" s="1"/>
  <c r="AP1" i="7"/>
  <c r="AP67" i="7" s="1"/>
  <c r="AP104" i="7"/>
  <c r="AP105" i="7" s="1"/>
  <c r="Q126" i="6"/>
  <c r="AA74" i="7"/>
  <c r="AD22" i="59" s="1"/>
  <c r="AB86" i="6"/>
  <c r="AF86" i="6" s="1"/>
  <c r="AJ86" i="6" s="1"/>
  <c r="AA151" i="6"/>
  <c r="Y152" i="6"/>
  <c r="R62" i="6"/>
  <c r="V62" i="6" s="1"/>
  <c r="F222" i="6"/>
  <c r="F136" i="6"/>
  <c r="M130" i="6"/>
  <c r="Q130" i="6" s="1"/>
  <c r="J61" i="6"/>
  <c r="N61" i="6" s="1"/>
  <c r="J63" i="6"/>
  <c r="N63" i="6" s="1"/>
  <c r="H136" i="6"/>
  <c r="H135" i="6"/>
  <c r="F135" i="6"/>
  <c r="H52" i="6"/>
  <c r="I45" i="6"/>
  <c r="I63" i="6"/>
  <c r="M63" i="6" s="1"/>
  <c r="I62" i="6"/>
  <c r="M62" i="6" s="1"/>
  <c r="I61" i="6"/>
  <c r="M61" i="6" s="1"/>
  <c r="I51" i="6"/>
  <c r="M51" i="6" s="1"/>
  <c r="I50" i="6"/>
  <c r="M50" i="6" s="1"/>
  <c r="I49" i="6"/>
  <c r="M49" i="6" s="1"/>
  <c r="I48" i="6"/>
  <c r="I47" i="6"/>
  <c r="M47" i="6" s="1"/>
  <c r="E52" i="6"/>
  <c r="BH51" i="8" l="1"/>
  <c r="BI51" i="8" s="1"/>
  <c r="BI54" i="8" s="1"/>
  <c r="BH46" i="8"/>
  <c r="BF66" i="8"/>
  <c r="BE5" i="26"/>
  <c r="AS25" i="7"/>
  <c r="AS80" i="7" s="1"/>
  <c r="AW13" i="7"/>
  <c r="AW25" i="7" s="1"/>
  <c r="AW80" i="7" s="1"/>
  <c r="AS27" i="7"/>
  <c r="AS77" i="7" s="1"/>
  <c r="AW15" i="7"/>
  <c r="AW27" i="7" s="1"/>
  <c r="AW77" i="7" s="1"/>
  <c r="AS24" i="7"/>
  <c r="AS79" i="7" s="1"/>
  <c r="AW12" i="7"/>
  <c r="AW24" i="7" s="1"/>
  <c r="AW79" i="7" s="1"/>
  <c r="AS21" i="7"/>
  <c r="AW9" i="7"/>
  <c r="AW21" i="7" s="1"/>
  <c r="AS20" i="7"/>
  <c r="AW8" i="7"/>
  <c r="AE82" i="7"/>
  <c r="AE85" i="7" s="1"/>
  <c r="AS34" i="7"/>
  <c r="AO45" i="7"/>
  <c r="AO84" i="7" s="1"/>
  <c r="AR25" i="59" s="1"/>
  <c r="AS32" i="7"/>
  <c r="AO43" i="7"/>
  <c r="AS35" i="7"/>
  <c r="AO46" i="7"/>
  <c r="AE64" i="7"/>
  <c r="AS31" i="7"/>
  <c r="AO42" i="7"/>
  <c r="AO75" i="7" s="1"/>
  <c r="AR23" i="59" s="1"/>
  <c r="AS37" i="7"/>
  <c r="AO48" i="7"/>
  <c r="AO56" i="7"/>
  <c r="AS55" i="7"/>
  <c r="AI44" i="7"/>
  <c r="AI82" i="7" s="1"/>
  <c r="AI85" i="7" s="1"/>
  <c r="AO33" i="7"/>
  <c r="AT109" i="7"/>
  <c r="AT116" i="7" s="1"/>
  <c r="AS28" i="7"/>
  <c r="AS41" i="7" s="1"/>
  <c r="AS16" i="7"/>
  <c r="AO28" i="7"/>
  <c r="AO41" i="7" s="1"/>
  <c r="AI64" i="7"/>
  <c r="AI135" i="6"/>
  <c r="AI138" i="6"/>
  <c r="AI136" i="6"/>
  <c r="AE151" i="6"/>
  <c r="AE138" i="6"/>
  <c r="AE136" i="6"/>
  <c r="AE137" i="6" s="1"/>
  <c r="BE58" i="7"/>
  <c r="BE60" i="7" s="1"/>
  <c r="AA88" i="6"/>
  <c r="AA92" i="6" s="1"/>
  <c r="AB100" i="6"/>
  <c r="AF100" i="6" s="1"/>
  <c r="AJ100" i="6" s="1"/>
  <c r="AA94" i="6"/>
  <c r="AE94" i="6" s="1"/>
  <c r="AI94" i="6" s="1"/>
  <c r="Q74" i="6"/>
  <c r="Q78" i="6" s="1"/>
  <c r="Q110" i="6" s="1"/>
  <c r="R101" i="6"/>
  <c r="N87" i="6"/>
  <c r="N88" i="6" s="1"/>
  <c r="N92" i="6" s="1"/>
  <c r="V84" i="6"/>
  <c r="V73" i="6"/>
  <c r="R73" i="6"/>
  <c r="N70" i="6"/>
  <c r="N74" i="6" s="1"/>
  <c r="N78" i="6" s="1"/>
  <c r="E136" i="6"/>
  <c r="E137" i="6" s="1"/>
  <c r="E112" i="6"/>
  <c r="E162" i="6"/>
  <c r="E168" i="6"/>
  <c r="E169" i="6"/>
  <c r="E167" i="6"/>
  <c r="E166" i="6"/>
  <c r="U130" i="6"/>
  <c r="AA130" i="6" s="1"/>
  <c r="AB66" i="6"/>
  <c r="AF66" i="6" s="1"/>
  <c r="AJ66" i="6" s="1"/>
  <c r="U126" i="6"/>
  <c r="AA126" i="6" s="1"/>
  <c r="BF81" i="7"/>
  <c r="U138" i="6"/>
  <c r="U136" i="6"/>
  <c r="U137" i="6" s="1"/>
  <c r="V96" i="6"/>
  <c r="Q138" i="6"/>
  <c r="Q136" i="6"/>
  <c r="Q137" i="6" s="1"/>
  <c r="AW23" i="59"/>
  <c r="M138" i="6"/>
  <c r="J223" i="6"/>
  <c r="N223" i="6" s="1"/>
  <c r="R223" i="6" s="1"/>
  <c r="F113" i="6"/>
  <c r="I113" i="6"/>
  <c r="E138" i="6"/>
  <c r="H111" i="6"/>
  <c r="BF9" i="7"/>
  <c r="BF21" i="7" s="1"/>
  <c r="BF104" i="7"/>
  <c r="BF105" i="7" s="1"/>
  <c r="BF18" i="7"/>
  <c r="BF33" i="7"/>
  <c r="BF44" i="7" s="1"/>
  <c r="BF82" i="7" s="1"/>
  <c r="BE63" i="7"/>
  <c r="BE68" i="7"/>
  <c r="BH21" i="59" s="1"/>
  <c r="BE67" i="7"/>
  <c r="BE26" i="7"/>
  <c r="BE83" i="7" s="1"/>
  <c r="BE23" i="7"/>
  <c r="BE78" i="7" s="1"/>
  <c r="BF34" i="7"/>
  <c r="BF45" i="7" s="1"/>
  <c r="BE72" i="7"/>
  <c r="BF1" i="7"/>
  <c r="BF67" i="7" s="1"/>
  <c r="BF62" i="7"/>
  <c r="BF119" i="7"/>
  <c r="BF121" i="7" s="1"/>
  <c r="BF122" i="7" s="1"/>
  <c r="BF19" i="7"/>
  <c r="BF75" i="7" s="1"/>
  <c r="BI23" i="59" s="1"/>
  <c r="BF63" i="7"/>
  <c r="BC67" i="7"/>
  <c r="AF116" i="7"/>
  <c r="BE6" i="7"/>
  <c r="AW22" i="59"/>
  <c r="AX119" i="7"/>
  <c r="AX121" i="7" s="1"/>
  <c r="AX122" i="7" s="1"/>
  <c r="AX104" i="7"/>
  <c r="AX105" i="7" s="1"/>
  <c r="AS27" i="48"/>
  <c r="AS28" i="48" s="1"/>
  <c r="BF8" i="7"/>
  <c r="AW24" i="59"/>
  <c r="AX1" i="7"/>
  <c r="AX67" i="7" s="1"/>
  <c r="AW25" i="59"/>
  <c r="E171" i="6"/>
  <c r="E172" i="6"/>
  <c r="AP106" i="7"/>
  <c r="AP107" i="7"/>
  <c r="AP108" i="7" s="1"/>
  <c r="AJ109" i="7"/>
  <c r="E175" i="6"/>
  <c r="AP86" i="6"/>
  <c r="AT86" i="6" s="1"/>
  <c r="AX86" i="6" s="1"/>
  <c r="BF86" i="6" s="1"/>
  <c r="AB80" i="6"/>
  <c r="AF80" i="6" s="1"/>
  <c r="AB71" i="6"/>
  <c r="AB62" i="6"/>
  <c r="M45" i="6"/>
  <c r="Q45" i="6" s="1"/>
  <c r="U45" i="6" s="1"/>
  <c r="Q62" i="6"/>
  <c r="U62" i="6" s="1"/>
  <c r="Q50" i="6"/>
  <c r="U50" i="6" s="1"/>
  <c r="Q63" i="6"/>
  <c r="U63" i="6" s="1"/>
  <c r="Q61" i="6"/>
  <c r="U61" i="6" s="1"/>
  <c r="Q49" i="6"/>
  <c r="U49" i="6" s="1"/>
  <c r="J113" i="6"/>
  <c r="Q47" i="6"/>
  <c r="U47" i="6" s="1"/>
  <c r="Q51" i="6"/>
  <c r="U51" i="6" s="1"/>
  <c r="R63" i="6"/>
  <c r="R61" i="6"/>
  <c r="V61" i="6" s="1"/>
  <c r="V94" i="6"/>
  <c r="M136" i="6"/>
  <c r="F137" i="6"/>
  <c r="F8" i="36" s="1"/>
  <c r="I9" i="59" s="1"/>
  <c r="J50" i="6"/>
  <c r="J47" i="6"/>
  <c r="J51" i="6"/>
  <c r="J48" i="6"/>
  <c r="J49" i="6"/>
  <c r="I52" i="6"/>
  <c r="M48" i="6"/>
  <c r="Q48" i="6" s="1"/>
  <c r="U48" i="6" s="1"/>
  <c r="J138" i="6"/>
  <c r="H137" i="6"/>
  <c r="H8" i="36" s="1"/>
  <c r="K9" i="59" s="1"/>
  <c r="F110" i="6"/>
  <c r="F111" i="6"/>
  <c r="F52" i="6"/>
  <c r="J45" i="6"/>
  <c r="AS56" i="7" l="1"/>
  <c r="AW55" i="7"/>
  <c r="AW56" i="7" s="1"/>
  <c r="AS43" i="7"/>
  <c r="AS76" i="7" s="1"/>
  <c r="AW32" i="7"/>
  <c r="AW43" i="7" s="1"/>
  <c r="AW20" i="7"/>
  <c r="AW16" i="7"/>
  <c r="AS42" i="7"/>
  <c r="AS75" i="7" s="1"/>
  <c r="AW31" i="7"/>
  <c r="AW42" i="7" s="1"/>
  <c r="AW75" i="7" s="1"/>
  <c r="AS46" i="7"/>
  <c r="AW35" i="7"/>
  <c r="AW46" i="7" s="1"/>
  <c r="AS45" i="7"/>
  <c r="AS84" i="7" s="1"/>
  <c r="AW34" i="7"/>
  <c r="AW45" i="7" s="1"/>
  <c r="AW84" i="7" s="1"/>
  <c r="AZ25" i="59" s="1"/>
  <c r="AS48" i="7"/>
  <c r="AW37" i="7"/>
  <c r="AW48" i="7" s="1"/>
  <c r="AS33" i="7"/>
  <c r="AO44" i="7"/>
  <c r="AO82" i="7" s="1"/>
  <c r="AO85" i="7" s="1"/>
  <c r="AI137" i="6"/>
  <c r="AF84" i="6"/>
  <c r="AJ80" i="6"/>
  <c r="AJ84" i="6" s="1"/>
  <c r="AI151" i="6"/>
  <c r="AF62" i="6"/>
  <c r="AB73" i="6"/>
  <c r="AF71" i="6"/>
  <c r="AE126" i="6"/>
  <c r="AE130" i="6"/>
  <c r="AO80" i="6"/>
  <c r="AA136" i="6"/>
  <c r="AA138" i="6"/>
  <c r="AA135" i="6"/>
  <c r="AB94" i="6"/>
  <c r="AF94" i="6" s="1"/>
  <c r="AJ94" i="6" s="1"/>
  <c r="AB84" i="6"/>
  <c r="AP66" i="6"/>
  <c r="AT66" i="6" s="1"/>
  <c r="AP100" i="6"/>
  <c r="AT100" i="6" s="1"/>
  <c r="U96" i="6"/>
  <c r="U98" i="6" s="1"/>
  <c r="U70" i="6"/>
  <c r="AA68" i="6"/>
  <c r="AE68" i="6" s="1"/>
  <c r="V101" i="6"/>
  <c r="N98" i="6"/>
  <c r="N102" i="6" s="1"/>
  <c r="N106" i="6" s="1"/>
  <c r="R87" i="6"/>
  <c r="R88" i="6" s="1"/>
  <c r="R92" i="6" s="1"/>
  <c r="V87" i="6"/>
  <c r="V88" i="6" s="1"/>
  <c r="V92" i="6" s="1"/>
  <c r="V136" i="6" s="1"/>
  <c r="V98" i="6"/>
  <c r="V70" i="6"/>
  <c r="V63" i="6"/>
  <c r="AB63" i="6" s="1"/>
  <c r="V223" i="6"/>
  <c r="U52" i="6"/>
  <c r="Q113" i="6"/>
  <c r="Q111" i="6"/>
  <c r="Q112" i="6" s="1"/>
  <c r="AB68" i="6"/>
  <c r="AF68" i="6" s="1"/>
  <c r="H110" i="6"/>
  <c r="H112" i="6" s="1"/>
  <c r="H7" i="36" s="1"/>
  <c r="K8" i="59" s="1"/>
  <c r="I140" i="6"/>
  <c r="I138" i="6"/>
  <c r="H222" i="6"/>
  <c r="J222" i="6" s="1"/>
  <c r="N222" i="6" s="1"/>
  <c r="R222" i="6" s="1"/>
  <c r="H113" i="6"/>
  <c r="BF16" i="7"/>
  <c r="E170" i="6"/>
  <c r="E173" i="6"/>
  <c r="BC72" i="7"/>
  <c r="BE18" i="7"/>
  <c r="BF107" i="7"/>
  <c r="BF108" i="7" s="1"/>
  <c r="BF106" i="7"/>
  <c r="BF125" i="7"/>
  <c r="BF127" i="7" s="1"/>
  <c r="BF128" i="7" s="1"/>
  <c r="BF20" i="7"/>
  <c r="BF76" i="7" s="1"/>
  <c r="BI24" i="59" s="1"/>
  <c r="BD67" i="7"/>
  <c r="BF84" i="7"/>
  <c r="BI25" i="59" s="1"/>
  <c r="BF74" i="7"/>
  <c r="BI22" i="59" s="1"/>
  <c r="AX125" i="7"/>
  <c r="AX127" i="7" s="1"/>
  <c r="AX128" i="7" s="1"/>
  <c r="AV22" i="59"/>
  <c r="BE36" i="7"/>
  <c r="AX107" i="7"/>
  <c r="AX108" i="7" s="1"/>
  <c r="AX106" i="7"/>
  <c r="AP109" i="7"/>
  <c r="AI16" i="48"/>
  <c r="AI18" i="48" s="1"/>
  <c r="AJ116" i="7"/>
  <c r="M110" i="6"/>
  <c r="M111" i="6"/>
  <c r="I136" i="6"/>
  <c r="E178" i="6"/>
  <c r="I141" i="6"/>
  <c r="M141" i="6" s="1"/>
  <c r="Q141" i="6" s="1"/>
  <c r="U141" i="6" s="1"/>
  <c r="I142" i="6"/>
  <c r="M142" i="6" s="1"/>
  <c r="Q142" i="6" s="1"/>
  <c r="U142" i="6" s="1"/>
  <c r="AO66" i="6"/>
  <c r="AS66" i="6" s="1"/>
  <c r="AB61" i="6"/>
  <c r="AA63" i="6"/>
  <c r="AA62" i="6"/>
  <c r="AA61" i="6"/>
  <c r="AA50" i="6"/>
  <c r="AA47" i="6"/>
  <c r="AA49" i="6"/>
  <c r="AA48" i="6"/>
  <c r="AE48" i="6" s="1"/>
  <c r="AI48" i="6" s="1"/>
  <c r="AA51" i="6"/>
  <c r="AA45" i="6"/>
  <c r="I117" i="6"/>
  <c r="M117" i="6" s="1"/>
  <c r="Q117" i="6" s="1"/>
  <c r="I116" i="6"/>
  <c r="M116" i="6" s="1"/>
  <c r="Q116" i="6" s="1"/>
  <c r="I115" i="6"/>
  <c r="J141" i="6"/>
  <c r="J142" i="6"/>
  <c r="J140" i="6"/>
  <c r="Q52" i="6"/>
  <c r="G192" i="6"/>
  <c r="G197" i="6"/>
  <c r="G189" i="6"/>
  <c r="M135" i="6"/>
  <c r="M137" i="6" s="1"/>
  <c r="I111" i="6"/>
  <c r="I110" i="6"/>
  <c r="I135" i="6"/>
  <c r="J135" i="6"/>
  <c r="J52" i="6"/>
  <c r="N138" i="6"/>
  <c r="N45" i="6"/>
  <c r="N48" i="6"/>
  <c r="N49" i="6"/>
  <c r="N47" i="6"/>
  <c r="N51" i="6"/>
  <c r="N50" i="6"/>
  <c r="M52" i="6"/>
  <c r="F112" i="6"/>
  <c r="F7" i="36" s="1"/>
  <c r="I8" i="59" s="1"/>
  <c r="I43" i="6"/>
  <c r="M43" i="6" s="1"/>
  <c r="I42" i="6"/>
  <c r="M42" i="6" s="1"/>
  <c r="Q42" i="6" s="1"/>
  <c r="U42" i="6" s="1"/>
  <c r="I40" i="6"/>
  <c r="M40" i="6" s="1"/>
  <c r="I39" i="6"/>
  <c r="E44" i="6"/>
  <c r="E41" i="6"/>
  <c r="AS44" i="7" l="1"/>
  <c r="AS82" i="7" s="1"/>
  <c r="AS85" i="7" s="1"/>
  <c r="AW33" i="7"/>
  <c r="AW44" i="7" s="1"/>
  <c r="AW82" i="7" s="1"/>
  <c r="AZ23" i="59"/>
  <c r="AW76" i="7"/>
  <c r="AZ24" i="59" s="1"/>
  <c r="AW28" i="7"/>
  <c r="AW41" i="7" s="1"/>
  <c r="AS64" i="7"/>
  <c r="AO84" i="6"/>
  <c r="AO88" i="6" s="1"/>
  <c r="AO92" i="6" s="1"/>
  <c r="AO138" i="6" s="1"/>
  <c r="AS80" i="6"/>
  <c r="AX100" i="6"/>
  <c r="BF100" i="6" s="1"/>
  <c r="AW66" i="6"/>
  <c r="BE66" i="6" s="1"/>
  <c r="AX66" i="6"/>
  <c r="BF66" i="6" s="1"/>
  <c r="AO64" i="7"/>
  <c r="BF28" i="7"/>
  <c r="AF70" i="6"/>
  <c r="AJ68" i="6"/>
  <c r="AJ70" i="6" s="1"/>
  <c r="AI130" i="6"/>
  <c r="AO130" i="6" s="1"/>
  <c r="AS130" i="6" s="1"/>
  <c r="AW130" i="6" s="1"/>
  <c r="BE130" i="6" s="1"/>
  <c r="AJ62" i="6"/>
  <c r="AP62" i="6" s="1"/>
  <c r="AT62" i="6" s="1"/>
  <c r="AX62" i="6" s="1"/>
  <c r="BF62" i="6" s="1"/>
  <c r="AE70" i="6"/>
  <c r="AE74" i="6" s="1"/>
  <c r="AE78" i="6" s="1"/>
  <c r="AE110" i="6" s="1"/>
  <c r="AI68" i="6"/>
  <c r="AI70" i="6" s="1"/>
  <c r="AF73" i="6"/>
  <c r="AJ71" i="6"/>
  <c r="AJ73" i="6" s="1"/>
  <c r="AI126" i="6"/>
  <c r="AO151" i="6"/>
  <c r="AS151" i="6" s="1"/>
  <c r="AE47" i="6"/>
  <c r="AE61" i="6"/>
  <c r="AE63" i="6"/>
  <c r="AE45" i="6"/>
  <c r="AE51" i="6"/>
  <c r="AE49" i="6"/>
  <c r="AE50" i="6"/>
  <c r="AE62" i="6"/>
  <c r="AF61" i="6"/>
  <c r="AF63" i="6"/>
  <c r="AA97" i="6"/>
  <c r="AE97" i="6" s="1"/>
  <c r="AI97" i="6" s="1"/>
  <c r="AI98" i="6" s="1"/>
  <c r="AI102" i="6" s="1"/>
  <c r="AI106" i="6" s="1"/>
  <c r="AA70" i="6"/>
  <c r="AP68" i="6"/>
  <c r="AT68" i="6" s="1"/>
  <c r="AX68" i="6" s="1"/>
  <c r="BF68" i="6" s="1"/>
  <c r="AB97" i="6"/>
  <c r="AF97" i="6" s="1"/>
  <c r="AJ97" i="6" s="1"/>
  <c r="AJ98" i="6" s="1"/>
  <c r="AB70" i="6"/>
  <c r="AA137" i="6"/>
  <c r="R102" i="6"/>
  <c r="R106" i="6" s="1"/>
  <c r="U74" i="6"/>
  <c r="U102" i="6"/>
  <c r="U106" i="6" s="1"/>
  <c r="V74" i="6"/>
  <c r="V78" i="6" s="1"/>
  <c r="V110" i="6" s="1"/>
  <c r="R74" i="6"/>
  <c r="R78" i="6" s="1"/>
  <c r="R111" i="6" s="1"/>
  <c r="Q102" i="6"/>
  <c r="Q106" i="6" s="1"/>
  <c r="V102" i="6"/>
  <c r="V106" i="6" s="1"/>
  <c r="V166" i="6" s="1"/>
  <c r="AB85" i="6"/>
  <c r="AF85" i="6" s="1"/>
  <c r="R138" i="6"/>
  <c r="R135" i="6"/>
  <c r="R136" i="6"/>
  <c r="I162" i="6"/>
  <c r="I168" i="6"/>
  <c r="V222" i="6"/>
  <c r="AB222" i="6" s="1"/>
  <c r="AF222" i="6" s="1"/>
  <c r="V138" i="6"/>
  <c r="V135" i="6"/>
  <c r="V137" i="6" s="1"/>
  <c r="V8" i="36" s="1"/>
  <c r="Y9" i="59" s="1"/>
  <c r="H162" i="6"/>
  <c r="H168" i="6"/>
  <c r="H167" i="6"/>
  <c r="H169" i="6"/>
  <c r="H166" i="6"/>
  <c r="F162" i="6"/>
  <c r="F168" i="6"/>
  <c r="F169" i="6"/>
  <c r="F166" i="6"/>
  <c r="F167" i="6"/>
  <c r="AB223" i="6"/>
  <c r="AF223" i="6" s="1"/>
  <c r="M140" i="6"/>
  <c r="I160" i="6"/>
  <c r="M162" i="6"/>
  <c r="M168" i="6"/>
  <c r="N113" i="6"/>
  <c r="I137" i="6"/>
  <c r="AS16" i="48"/>
  <c r="AS18" i="48" s="1"/>
  <c r="BF109" i="7"/>
  <c r="BF116" i="7" s="1"/>
  <c r="J111" i="6"/>
  <c r="J115" i="6"/>
  <c r="J116" i="6"/>
  <c r="J117" i="6"/>
  <c r="BF85" i="7"/>
  <c r="BE74" i="7"/>
  <c r="BH22" i="59" s="1"/>
  <c r="BE65" i="7"/>
  <c r="BE47" i="7"/>
  <c r="BE34" i="7"/>
  <c r="BE45" i="7" s="1"/>
  <c r="BE35" i="7"/>
  <c r="BE46" i="7" s="1"/>
  <c r="BE31" i="7"/>
  <c r="BE42" i="7" s="1"/>
  <c r="BE33" i="7"/>
  <c r="BE44" i="7" s="1"/>
  <c r="BE82" i="7" s="1"/>
  <c r="AX109" i="7"/>
  <c r="AX116" i="7" s="1"/>
  <c r="AV24" i="59"/>
  <c r="AV25" i="59"/>
  <c r="BE7" i="7"/>
  <c r="M112" i="6"/>
  <c r="AO16" i="48"/>
  <c r="AO18" i="48" s="1"/>
  <c r="AP116" i="7"/>
  <c r="H160" i="6"/>
  <c r="H172" i="6"/>
  <c r="J110" i="6"/>
  <c r="H171" i="6"/>
  <c r="I175" i="6"/>
  <c r="F177" i="6"/>
  <c r="F176" i="6"/>
  <c r="F175" i="6"/>
  <c r="M175" i="6"/>
  <c r="H176" i="6"/>
  <c r="H175" i="6"/>
  <c r="H177" i="6"/>
  <c r="AP80" i="6"/>
  <c r="I171" i="6"/>
  <c r="Y141" i="6"/>
  <c r="Y142" i="6"/>
  <c r="Y140" i="6"/>
  <c r="Z141" i="6"/>
  <c r="Z140" i="6"/>
  <c r="Z142" i="6"/>
  <c r="I167" i="6"/>
  <c r="I172" i="6"/>
  <c r="I169" i="6"/>
  <c r="I166" i="6"/>
  <c r="Y117" i="6"/>
  <c r="Y115" i="6"/>
  <c r="Y116" i="6"/>
  <c r="M115" i="6"/>
  <c r="Y189" i="6"/>
  <c r="Y197" i="6"/>
  <c r="Y192" i="6"/>
  <c r="AA142" i="6"/>
  <c r="AE142" i="6" s="1"/>
  <c r="AI142" i="6" s="1"/>
  <c r="AA141" i="6"/>
  <c r="AE141" i="6" s="1"/>
  <c r="AI141" i="6" s="1"/>
  <c r="Y52" i="6"/>
  <c r="AA52" i="6"/>
  <c r="AA42" i="6"/>
  <c r="AE42" i="6" s="1"/>
  <c r="AI42" i="6" s="1"/>
  <c r="N140" i="6"/>
  <c r="N142" i="6"/>
  <c r="N141" i="6"/>
  <c r="R49" i="6"/>
  <c r="R50" i="6"/>
  <c r="R48" i="6"/>
  <c r="V48" i="6" s="1"/>
  <c r="R51" i="6"/>
  <c r="R45" i="6"/>
  <c r="R47" i="6"/>
  <c r="Q40" i="6"/>
  <c r="U40" i="6" s="1"/>
  <c r="Q43" i="6"/>
  <c r="U43" i="6" s="1"/>
  <c r="U44" i="6" s="1"/>
  <c r="M172" i="6"/>
  <c r="M169" i="6"/>
  <c r="M171" i="6"/>
  <c r="M166" i="6"/>
  <c r="M167" i="6"/>
  <c r="E197" i="6"/>
  <c r="F172" i="6"/>
  <c r="E174" i="6"/>
  <c r="E192" i="6"/>
  <c r="F171" i="6"/>
  <c r="F160" i="6"/>
  <c r="I112" i="6"/>
  <c r="J136" i="6"/>
  <c r="J137" i="6" s="1"/>
  <c r="J8" i="36" s="1"/>
  <c r="M9" i="59" s="1"/>
  <c r="N136" i="6"/>
  <c r="I41" i="6"/>
  <c r="M39" i="6"/>
  <c r="Q39" i="6" s="1"/>
  <c r="U39" i="6" s="1"/>
  <c r="I44" i="6"/>
  <c r="M44" i="6"/>
  <c r="N52" i="6"/>
  <c r="F41" i="6"/>
  <c r="F44" i="6"/>
  <c r="J40" i="6"/>
  <c r="H41" i="6"/>
  <c r="J42" i="6"/>
  <c r="J43" i="6"/>
  <c r="J39" i="6"/>
  <c r="H44" i="6"/>
  <c r="J2" i="6"/>
  <c r="E12" i="6"/>
  <c r="E11" i="6"/>
  <c r="I2" i="6"/>
  <c r="AF74" i="6" l="1"/>
  <c r="AF78" i="6" s="1"/>
  <c r="AF113" i="6" s="1"/>
  <c r="AW64" i="7"/>
  <c r="BF70" i="6"/>
  <c r="AW85" i="7"/>
  <c r="R162" i="6"/>
  <c r="AS84" i="6"/>
  <c r="AW80" i="6"/>
  <c r="AP84" i="6"/>
  <c r="AT80" i="6"/>
  <c r="AW151" i="6"/>
  <c r="BE151" i="6" s="1"/>
  <c r="AT70" i="6"/>
  <c r="AX70" i="6"/>
  <c r="AJ223" i="6"/>
  <c r="AP223" i="6" s="1"/>
  <c r="AT223" i="6" s="1"/>
  <c r="AX223" i="6" s="1"/>
  <c r="AJ222" i="6"/>
  <c r="AP222" i="6" s="1"/>
  <c r="AT222" i="6" s="1"/>
  <c r="AX222" i="6" s="1"/>
  <c r="AI62" i="6"/>
  <c r="AO62" i="6" s="1"/>
  <c r="AS62" i="6" s="1"/>
  <c r="AW62" i="6" s="1"/>
  <c r="BE62" i="6" s="1"/>
  <c r="AI45" i="6"/>
  <c r="AO45" i="6" s="1"/>
  <c r="AS45" i="6" s="1"/>
  <c r="AW45" i="6" s="1"/>
  <c r="BE45" i="6" s="1"/>
  <c r="AI47" i="6"/>
  <c r="AI169" i="6"/>
  <c r="AI50" i="6"/>
  <c r="AO50" i="6" s="1"/>
  <c r="AS50" i="6" s="1"/>
  <c r="AW50" i="6" s="1"/>
  <c r="BE50" i="6" s="1"/>
  <c r="AF87" i="6"/>
  <c r="AJ85" i="6"/>
  <c r="AJ87" i="6" s="1"/>
  <c r="AJ88" i="6" s="1"/>
  <c r="AJ92" i="6" s="1"/>
  <c r="AJ63" i="6"/>
  <c r="AP63" i="6" s="1"/>
  <c r="AT63" i="6" s="1"/>
  <c r="AX63" i="6" s="1"/>
  <c r="BF63" i="6" s="1"/>
  <c r="AI49" i="6"/>
  <c r="AO49" i="6" s="1"/>
  <c r="AS49" i="6" s="1"/>
  <c r="AW49" i="6" s="1"/>
  <c r="BE49" i="6" s="1"/>
  <c r="AI63" i="6"/>
  <c r="AO63" i="6" s="1"/>
  <c r="AS63" i="6" s="1"/>
  <c r="AW63" i="6" s="1"/>
  <c r="BE63" i="6" s="1"/>
  <c r="AI74" i="6"/>
  <c r="AJ74" i="6"/>
  <c r="AJ61" i="6"/>
  <c r="AP61" i="6" s="1"/>
  <c r="AT61" i="6" s="1"/>
  <c r="AX61" i="6" s="1"/>
  <c r="BF61" i="6" s="1"/>
  <c r="AI51" i="6"/>
  <c r="AO51" i="6" s="1"/>
  <c r="AS51" i="6" s="1"/>
  <c r="AW51" i="6" s="1"/>
  <c r="BE51" i="6" s="1"/>
  <c r="AI61" i="6"/>
  <c r="AO61" i="6" s="1"/>
  <c r="AS61" i="6" s="1"/>
  <c r="AW61" i="6" s="1"/>
  <c r="BE61" i="6" s="1"/>
  <c r="AO126" i="6"/>
  <c r="AS126" i="6" s="1"/>
  <c r="AF111" i="6"/>
  <c r="AE52" i="6"/>
  <c r="AF110" i="6"/>
  <c r="AF88" i="6"/>
  <c r="AF92" i="6" s="1"/>
  <c r="AF136" i="6" s="1"/>
  <c r="AB98" i="6"/>
  <c r="AE98" i="6"/>
  <c r="AE102" i="6" s="1"/>
  <c r="AE106" i="6" s="1"/>
  <c r="AE169" i="6" s="1"/>
  <c r="AF98" i="6"/>
  <c r="AE113" i="6"/>
  <c r="AE111" i="6"/>
  <c r="AE112" i="6" s="1"/>
  <c r="U78" i="6"/>
  <c r="U113" i="6" s="1"/>
  <c r="AB74" i="6"/>
  <c r="AB78" i="6" s="1"/>
  <c r="AB110" i="6" s="1"/>
  <c r="AO94" i="6"/>
  <c r="AS94" i="6" s="1"/>
  <c r="AB99" i="6"/>
  <c r="AF99" i="6" s="1"/>
  <c r="AJ99" i="6" s="1"/>
  <c r="AJ101" i="6" s="1"/>
  <c r="AJ102" i="6" s="1"/>
  <c r="AJ106" i="6" s="1"/>
  <c r="AB87" i="6"/>
  <c r="AP97" i="6"/>
  <c r="AT97" i="6" s="1"/>
  <c r="AA74" i="6"/>
  <c r="AA78" i="6" s="1"/>
  <c r="J112" i="6"/>
  <c r="J7" i="36" s="1"/>
  <c r="M8" i="59" s="1"/>
  <c r="AA98" i="6"/>
  <c r="AA102" i="6" s="1"/>
  <c r="AA106" i="6" s="1"/>
  <c r="R113" i="6"/>
  <c r="U172" i="6"/>
  <c r="U167" i="6"/>
  <c r="U166" i="6"/>
  <c r="U168" i="6"/>
  <c r="U171" i="6"/>
  <c r="U173" i="6" s="1"/>
  <c r="U192" i="6" s="1"/>
  <c r="U169" i="6"/>
  <c r="U175" i="6"/>
  <c r="U178" i="6" s="1"/>
  <c r="U197" i="6" s="1"/>
  <c r="R110" i="6"/>
  <c r="R112" i="6" s="1"/>
  <c r="Q171" i="6"/>
  <c r="Q167" i="6"/>
  <c r="Q175" i="6"/>
  <c r="Q178" i="6" s="1"/>
  <c r="Q166" i="6"/>
  <c r="Q168" i="6"/>
  <c r="Q169" i="6"/>
  <c r="Q172" i="6"/>
  <c r="R137" i="6"/>
  <c r="V45" i="6"/>
  <c r="V49" i="6"/>
  <c r="AB49" i="6" s="1"/>
  <c r="V51" i="6"/>
  <c r="J162" i="6"/>
  <c r="J168" i="6"/>
  <c r="V162" i="6"/>
  <c r="V177" i="6"/>
  <c r="V175" i="6"/>
  <c r="V176" i="6"/>
  <c r="V169" i="6"/>
  <c r="V172" i="6"/>
  <c r="V167" i="6"/>
  <c r="V171" i="6"/>
  <c r="V168" i="6"/>
  <c r="BE55" i="7"/>
  <c r="BE56" i="7" s="1"/>
  <c r="R175" i="6"/>
  <c r="R177" i="6"/>
  <c r="R176" i="6"/>
  <c r="R169" i="6"/>
  <c r="R172" i="6"/>
  <c r="R167" i="6"/>
  <c r="R171" i="6"/>
  <c r="R168" i="6"/>
  <c r="R166" i="6"/>
  <c r="V111" i="6"/>
  <c r="V112" i="6" s="1"/>
  <c r="V7" i="36" s="1"/>
  <c r="Y8" i="59" s="1"/>
  <c r="V113" i="6"/>
  <c r="U41" i="6"/>
  <c r="V47" i="6"/>
  <c r="V50" i="6"/>
  <c r="AB50" i="6" s="1"/>
  <c r="Q140" i="6"/>
  <c r="M160" i="6"/>
  <c r="H14" i="49"/>
  <c r="H15" i="49" s="1"/>
  <c r="H18" i="49" s="1"/>
  <c r="H19" i="49" s="1"/>
  <c r="H15" i="36" s="1"/>
  <c r="K34" i="59" s="1"/>
  <c r="F14" i="49"/>
  <c r="F15" i="49" s="1"/>
  <c r="F18" i="49" s="1"/>
  <c r="F19" i="49" s="1"/>
  <c r="F15" i="36" s="1"/>
  <c r="I34" i="59" s="1"/>
  <c r="I155" i="6"/>
  <c r="I129" i="6"/>
  <c r="I154" i="6"/>
  <c r="J155" i="6"/>
  <c r="J129" i="6"/>
  <c r="J154" i="6"/>
  <c r="F173" i="6"/>
  <c r="F192" i="6" s="1"/>
  <c r="F170" i="6"/>
  <c r="BE19" i="7"/>
  <c r="BE75" i="7" s="1"/>
  <c r="BH23" i="59" s="1"/>
  <c r="BE9" i="7"/>
  <c r="BE21" i="7" s="1"/>
  <c r="BE84" i="7" s="1"/>
  <c r="BH25" i="59" s="1"/>
  <c r="BE8" i="7"/>
  <c r="BE20" i="7" s="1"/>
  <c r="BE76" i="7" s="1"/>
  <c r="BH24" i="59" s="1"/>
  <c r="BE13" i="7"/>
  <c r="BE25" i="7" s="1"/>
  <c r="BE80" i="7" s="1"/>
  <c r="BE15" i="7"/>
  <c r="BE27" i="7" s="1"/>
  <c r="BE77" i="7" s="1"/>
  <c r="BE12" i="7"/>
  <c r="BE24" i="7" s="1"/>
  <c r="BE79" i="7" s="1"/>
  <c r="BE32" i="7"/>
  <c r="BE43" i="7" s="1"/>
  <c r="BE37" i="7"/>
  <c r="BE48" i="7" s="1"/>
  <c r="AV23" i="59"/>
  <c r="H170" i="6"/>
  <c r="H189" i="6" s="1"/>
  <c r="H173" i="6"/>
  <c r="H192" i="6" s="1"/>
  <c r="AP70" i="6"/>
  <c r="AO73" i="6"/>
  <c r="I178" i="6"/>
  <c r="I197" i="6" s="1"/>
  <c r="H178" i="6"/>
  <c r="H197" i="6" s="1"/>
  <c r="M178" i="6"/>
  <c r="M197" i="6" s="1"/>
  <c r="J175" i="6"/>
  <c r="J177" i="6"/>
  <c r="J176" i="6"/>
  <c r="F178" i="6"/>
  <c r="F197" i="6" s="1"/>
  <c r="E179" i="6"/>
  <c r="J9" i="6"/>
  <c r="J8" i="6"/>
  <c r="I9" i="6"/>
  <c r="I8" i="6"/>
  <c r="AO42" i="6"/>
  <c r="AS42" i="6" s="1"/>
  <c r="R141" i="6"/>
  <c r="V141" i="6" s="1"/>
  <c r="R140" i="6"/>
  <c r="V140" i="6" s="1"/>
  <c r="Z8" i="36"/>
  <c r="AC9" i="59" s="1"/>
  <c r="R142" i="6"/>
  <c r="V142" i="6" s="1"/>
  <c r="R52" i="6"/>
  <c r="AB48" i="6"/>
  <c r="AF48" i="6" s="1"/>
  <c r="AJ48" i="6" s="1"/>
  <c r="AO48" i="6"/>
  <c r="AS48" i="6" s="1"/>
  <c r="AW48" i="6" s="1"/>
  <c r="BE48" i="6" s="1"/>
  <c r="AP71" i="6"/>
  <c r="AT71" i="6" s="1"/>
  <c r="I173" i="6"/>
  <c r="I170" i="6"/>
  <c r="I189" i="6" s="1"/>
  <c r="J160" i="6"/>
  <c r="Z117" i="6"/>
  <c r="Z115" i="6"/>
  <c r="Z160" i="6" s="1"/>
  <c r="Z116" i="6"/>
  <c r="Q115" i="6"/>
  <c r="U115" i="6" s="1"/>
  <c r="M173" i="6"/>
  <c r="M192" i="6" s="1"/>
  <c r="Q44" i="6"/>
  <c r="AA40" i="6"/>
  <c r="Y55" i="6"/>
  <c r="Q41" i="6"/>
  <c r="N115" i="6"/>
  <c r="N117" i="6"/>
  <c r="R117" i="6" s="1"/>
  <c r="V117" i="6" s="1"/>
  <c r="N116" i="6"/>
  <c r="R116" i="6" s="1"/>
  <c r="V116" i="6" s="1"/>
  <c r="T190" i="6"/>
  <c r="T192" i="6" s="1"/>
  <c r="J169" i="6"/>
  <c r="J167" i="6"/>
  <c r="J172" i="6"/>
  <c r="J171" i="6"/>
  <c r="J166" i="6"/>
  <c r="M170" i="6"/>
  <c r="N2" i="6"/>
  <c r="N58" i="6" s="1"/>
  <c r="E189" i="6"/>
  <c r="M156" i="6"/>
  <c r="G193" i="6"/>
  <c r="G198" i="6" s="1"/>
  <c r="M2" i="6"/>
  <c r="T182" i="6"/>
  <c r="T189" i="6" s="1"/>
  <c r="N110" i="6"/>
  <c r="N111" i="6"/>
  <c r="N135" i="6"/>
  <c r="N137" i="6" s="1"/>
  <c r="N8" i="36" s="1"/>
  <c r="Q9" i="59" s="1"/>
  <c r="M41" i="6"/>
  <c r="N40" i="6"/>
  <c r="R40" i="6" s="1"/>
  <c r="N43" i="6"/>
  <c r="R43" i="6" s="1"/>
  <c r="N42" i="6"/>
  <c r="R42" i="6" s="1"/>
  <c r="V42" i="6" s="1"/>
  <c r="J41" i="6"/>
  <c r="N39" i="6"/>
  <c r="R39" i="6" s="1"/>
  <c r="V39" i="6" s="1"/>
  <c r="F29" i="6"/>
  <c r="J20" i="6"/>
  <c r="N20" i="6" s="1"/>
  <c r="H29" i="6"/>
  <c r="J44" i="6"/>
  <c r="J23" i="6"/>
  <c r="N23" i="6" s="1"/>
  <c r="J26" i="6"/>
  <c r="N26" i="6" s="1"/>
  <c r="I14" i="6"/>
  <c r="I13" i="6"/>
  <c r="I131" i="6" s="1"/>
  <c r="E15" i="6"/>
  <c r="J17" i="6"/>
  <c r="AW84" i="6" l="1"/>
  <c r="AW88" i="6" s="1"/>
  <c r="AW92" i="6" s="1"/>
  <c r="AW135" i="6" s="1"/>
  <c r="BE80" i="6"/>
  <c r="BE84" i="6" s="1"/>
  <c r="BF222" i="6"/>
  <c r="BD222" i="6"/>
  <c r="BD225" i="6" s="1"/>
  <c r="BF223" i="6"/>
  <c r="BD223" i="6"/>
  <c r="BD226" i="6" s="1"/>
  <c r="AX71" i="6"/>
  <c r="AT73" i="6"/>
  <c r="AT74" i="6" s="1"/>
  <c r="AT78" i="6" s="1"/>
  <c r="AT110" i="6" s="1"/>
  <c r="AW42" i="6"/>
  <c r="BE42" i="6" s="1"/>
  <c r="AS88" i="6"/>
  <c r="AS92" i="6" s="1"/>
  <c r="AW94" i="6"/>
  <c r="BE94" i="6" s="1"/>
  <c r="AW126" i="6"/>
  <c r="BE126" i="6" s="1"/>
  <c r="AJ78" i="6"/>
  <c r="AJ111" i="6" s="1"/>
  <c r="AX80" i="6"/>
  <c r="AT84" i="6"/>
  <c r="AX97" i="6"/>
  <c r="BF97" i="6" s="1"/>
  <c r="AF112" i="6"/>
  <c r="AF7" i="36" s="1"/>
  <c r="AI8" i="59" s="1"/>
  <c r="AI78" i="6"/>
  <c r="AI110" i="6" s="1"/>
  <c r="U117" i="6"/>
  <c r="AA117" i="6" s="1"/>
  <c r="AE117" i="6" s="1"/>
  <c r="AJ136" i="6"/>
  <c r="AI52" i="6"/>
  <c r="AI166" i="6"/>
  <c r="AI175" i="6"/>
  <c r="AI178" i="6" s="1"/>
  <c r="AI197" i="6" s="1"/>
  <c r="AI172" i="6"/>
  <c r="AI171" i="6"/>
  <c r="AI167" i="6"/>
  <c r="AI168" i="6"/>
  <c r="AO47" i="6"/>
  <c r="AS47" i="6" s="1"/>
  <c r="AE40" i="6"/>
  <c r="AF50" i="6"/>
  <c r="AF49" i="6"/>
  <c r="AF101" i="6"/>
  <c r="AF102" i="6" s="1"/>
  <c r="AE175" i="6"/>
  <c r="AE178" i="6" s="1"/>
  <c r="AE172" i="6"/>
  <c r="AE171" i="6"/>
  <c r="AE167" i="6"/>
  <c r="AE168" i="6"/>
  <c r="AE166" i="6"/>
  <c r="AF135" i="6"/>
  <c r="AF137" i="6" s="1"/>
  <c r="AF8" i="36" s="1"/>
  <c r="AI9" i="59" s="1"/>
  <c r="AF138" i="6"/>
  <c r="F65" i="8"/>
  <c r="H65" i="8"/>
  <c r="AA175" i="6"/>
  <c r="AA178" i="6" s="1"/>
  <c r="AA172" i="6"/>
  <c r="AA171" i="6"/>
  <c r="AA167" i="6"/>
  <c r="AA168" i="6"/>
  <c r="AA166" i="6"/>
  <c r="AB113" i="6"/>
  <c r="AB111" i="6"/>
  <c r="AB112" i="6" s="1"/>
  <c r="AB7" i="36" s="1"/>
  <c r="AE8" i="59" s="1"/>
  <c r="AA169" i="6"/>
  <c r="AA113" i="6"/>
  <c r="AA111" i="6"/>
  <c r="AB88" i="6"/>
  <c r="AB92" i="6" s="1"/>
  <c r="AB140" i="6" s="1"/>
  <c r="AF140" i="6" s="1"/>
  <c r="AJ140" i="6" s="1"/>
  <c r="U116" i="6"/>
  <c r="AA116" i="6" s="1"/>
  <c r="AE116" i="6" s="1"/>
  <c r="AI116" i="6" s="1"/>
  <c r="U111" i="6"/>
  <c r="AA110" i="6"/>
  <c r="AB101" i="6"/>
  <c r="AB102" i="6" s="1"/>
  <c r="U110" i="6"/>
  <c r="U170" i="6"/>
  <c r="Q173" i="6"/>
  <c r="Q192" i="6" s="1"/>
  <c r="Q170" i="6"/>
  <c r="Q189" i="6" s="1"/>
  <c r="AO68" i="6"/>
  <c r="AS68" i="6" s="1"/>
  <c r="R170" i="6"/>
  <c r="R178" i="6"/>
  <c r="V170" i="6"/>
  <c r="V189" i="6" s="1"/>
  <c r="V178" i="6"/>
  <c r="V197" i="6" s="1"/>
  <c r="T193" i="6"/>
  <c r="T198" i="6" s="1"/>
  <c r="V43" i="6"/>
  <c r="V44" i="6" s="1"/>
  <c r="V173" i="6"/>
  <c r="V192" i="6" s="1"/>
  <c r="U140" i="6"/>
  <c r="AA140" i="6" s="1"/>
  <c r="AE140" i="6" s="1"/>
  <c r="AI140" i="6" s="1"/>
  <c r="V52" i="6"/>
  <c r="AB47" i="6"/>
  <c r="AB45" i="6"/>
  <c r="V40" i="6"/>
  <c r="F174" i="6"/>
  <c r="R173" i="6"/>
  <c r="AB51" i="6"/>
  <c r="N57" i="6"/>
  <c r="N162" i="6"/>
  <c r="N168" i="6"/>
  <c r="Q2" i="6"/>
  <c r="U2" i="6" s="1"/>
  <c r="AA2" i="6" s="1"/>
  <c r="AE2" i="6" s="1"/>
  <c r="AI2" i="6" s="1"/>
  <c r="AO2" i="6" s="1"/>
  <c r="AS2" i="6" s="1"/>
  <c r="AW2" i="6" s="1"/>
  <c r="BE2" i="6" s="1"/>
  <c r="M129" i="6"/>
  <c r="R2" i="6"/>
  <c r="V2" i="6" s="1"/>
  <c r="AB2" i="6" s="1"/>
  <c r="AF2" i="6" s="1"/>
  <c r="AJ2" i="6" s="1"/>
  <c r="N129" i="6"/>
  <c r="F189" i="6"/>
  <c r="R8" i="36"/>
  <c r="U9" i="59" s="1"/>
  <c r="H174" i="6"/>
  <c r="H179" i="6" s="1"/>
  <c r="AP73" i="6"/>
  <c r="AP74" i="6" s="1"/>
  <c r="Z248" i="6"/>
  <c r="Z234" i="6"/>
  <c r="J178" i="6"/>
  <c r="N175" i="6"/>
  <c r="N177" i="6"/>
  <c r="N176" i="6"/>
  <c r="AB39" i="6"/>
  <c r="AF39" i="6" s="1"/>
  <c r="AJ39" i="6" s="1"/>
  <c r="M154" i="6"/>
  <c r="N155" i="6"/>
  <c r="AB42" i="6"/>
  <c r="AF42" i="6" s="1"/>
  <c r="AJ42" i="6" s="1"/>
  <c r="AP94" i="6"/>
  <c r="AT94" i="6" s="1"/>
  <c r="M8" i="6"/>
  <c r="N8" i="6"/>
  <c r="M9" i="6"/>
  <c r="N9" i="6"/>
  <c r="M155" i="6"/>
  <c r="N154" i="6"/>
  <c r="R7" i="36"/>
  <c r="U8" i="59" s="1"/>
  <c r="AP85" i="6"/>
  <c r="I174" i="6"/>
  <c r="I192" i="6"/>
  <c r="M174" i="6"/>
  <c r="R115" i="6"/>
  <c r="V115" i="6" s="1"/>
  <c r="V160" i="6" s="1"/>
  <c r="N160" i="6"/>
  <c r="Z7" i="36"/>
  <c r="AC8" i="59" s="1"/>
  <c r="Z14" i="49"/>
  <c r="Z15" i="49" s="1"/>
  <c r="Z18" i="49" s="1"/>
  <c r="Z19" i="49" s="1"/>
  <c r="Z15" i="36" s="1"/>
  <c r="AC34" i="59" s="1"/>
  <c r="Y193" i="6"/>
  <c r="AB117" i="6"/>
  <c r="AF117" i="6" s="1"/>
  <c r="AB116" i="6"/>
  <c r="AF116" i="6" s="1"/>
  <c r="Y44" i="6"/>
  <c r="AA43" i="6"/>
  <c r="AE43" i="6" s="1"/>
  <c r="AA39" i="6"/>
  <c r="AE39" i="6" s="1"/>
  <c r="I54" i="6"/>
  <c r="I158" i="6"/>
  <c r="I55" i="6"/>
  <c r="M189" i="6"/>
  <c r="N17" i="6"/>
  <c r="R17" i="6" s="1"/>
  <c r="J124" i="6"/>
  <c r="M15" i="59" s="1"/>
  <c r="J120" i="6"/>
  <c r="J122" i="6"/>
  <c r="M13" i="59" s="1"/>
  <c r="J121" i="6"/>
  <c r="M12" i="59" s="1"/>
  <c r="J123" i="6"/>
  <c r="M14" i="59" s="1"/>
  <c r="J119" i="6"/>
  <c r="Q156" i="6"/>
  <c r="J170" i="6"/>
  <c r="R44" i="6"/>
  <c r="J173" i="6"/>
  <c r="R41" i="6"/>
  <c r="R26" i="6"/>
  <c r="V26" i="6" s="1"/>
  <c r="R23" i="6"/>
  <c r="V23" i="6" s="1"/>
  <c r="R20" i="6"/>
  <c r="V20" i="6" s="1"/>
  <c r="E56" i="6"/>
  <c r="E59" i="6"/>
  <c r="I132" i="6"/>
  <c r="I127" i="6"/>
  <c r="N169" i="6"/>
  <c r="N172" i="6"/>
  <c r="N167" i="6"/>
  <c r="N171" i="6"/>
  <c r="N166" i="6"/>
  <c r="I7" i="6"/>
  <c r="Q197" i="6"/>
  <c r="E193" i="6"/>
  <c r="E198" i="6" s="1"/>
  <c r="I11" i="6"/>
  <c r="I12" i="6"/>
  <c r="N112" i="6"/>
  <c r="N7" i="36" s="1"/>
  <c r="Q8" i="59" s="1"/>
  <c r="T186" i="6"/>
  <c r="N44" i="6"/>
  <c r="I15" i="6"/>
  <c r="M13" i="6"/>
  <c r="M14" i="6"/>
  <c r="I152" i="6"/>
  <c r="I157" i="6"/>
  <c r="N41" i="6"/>
  <c r="J29" i="6"/>
  <c r="N29" i="6" s="1"/>
  <c r="Q8" i="6" l="1"/>
  <c r="U8" i="6" s="1"/>
  <c r="U11" i="6" s="1"/>
  <c r="BD249" i="6"/>
  <c r="BD235" i="6"/>
  <c r="BD251" i="6"/>
  <c r="BD237" i="6"/>
  <c r="BE88" i="6"/>
  <c r="BE92" i="6" s="1"/>
  <c r="BE135" i="6" s="1"/>
  <c r="AX73" i="6"/>
  <c r="AX74" i="6" s="1"/>
  <c r="AX78" i="6" s="1"/>
  <c r="AX113" i="6" s="1"/>
  <c r="BF71" i="6"/>
  <c r="BF73" i="6" s="1"/>
  <c r="AX84" i="6"/>
  <c r="BF80" i="6"/>
  <c r="BF84" i="6" s="1"/>
  <c r="BD243" i="6"/>
  <c r="BD229" i="6"/>
  <c r="BD231" i="6"/>
  <c r="BD245" i="6"/>
  <c r="AJ113" i="6"/>
  <c r="AJ116" i="6"/>
  <c r="AB141" i="6"/>
  <c r="AF141" i="6" s="1"/>
  <c r="AJ141" i="6" s="1"/>
  <c r="AJ110" i="6"/>
  <c r="AJ117" i="6"/>
  <c r="AB142" i="6"/>
  <c r="AF142" i="6" s="1"/>
  <c r="AJ142" i="6" s="1"/>
  <c r="AA197" i="6"/>
  <c r="AI117" i="6"/>
  <c r="AI113" i="6"/>
  <c r="AI111" i="6"/>
  <c r="AI112" i="6" s="1"/>
  <c r="AP87" i="6"/>
  <c r="AP88" i="6" s="1"/>
  <c r="AP92" i="6" s="1"/>
  <c r="AP138" i="6" s="1"/>
  <c r="AT85" i="6"/>
  <c r="AW47" i="6"/>
  <c r="AS52" i="6"/>
  <c r="AJ112" i="6"/>
  <c r="AJ7" i="36" s="1"/>
  <c r="AM8" i="59" s="1"/>
  <c r="AT113" i="6"/>
  <c r="AX94" i="6"/>
  <c r="BF94" i="6" s="1"/>
  <c r="AT98" i="6"/>
  <c r="AW68" i="6"/>
  <c r="AS70" i="6"/>
  <c r="AS136" i="6"/>
  <c r="AS138" i="6"/>
  <c r="AT111" i="6"/>
  <c r="AT112" i="6" s="1"/>
  <c r="Q9" i="6"/>
  <c r="U9" i="6" s="1"/>
  <c r="U12" i="6" s="1"/>
  <c r="AS135" i="6"/>
  <c r="AW138" i="6"/>
  <c r="AW136" i="6"/>
  <c r="AW137" i="6" s="1"/>
  <c r="AX111" i="6"/>
  <c r="AP78" i="6"/>
  <c r="AP113" i="6" s="1"/>
  <c r="AP98" i="6"/>
  <c r="Q154" i="6"/>
  <c r="U154" i="6" s="1"/>
  <c r="AA154" i="6" s="1"/>
  <c r="Q155" i="6"/>
  <c r="U155" i="6" s="1"/>
  <c r="AA155" i="6" s="1"/>
  <c r="R8" i="6"/>
  <c r="V8" i="6" s="1"/>
  <c r="V11" i="6" s="1"/>
  <c r="AO52" i="6"/>
  <c r="AI40" i="6"/>
  <c r="AO40" i="6" s="1"/>
  <c r="AS40" i="6" s="1"/>
  <c r="AI173" i="6"/>
  <c r="AI192" i="6" s="1"/>
  <c r="AE41" i="6"/>
  <c r="AI39" i="6"/>
  <c r="AE44" i="6"/>
  <c r="AI43" i="6"/>
  <c r="AI44" i="6" s="1"/>
  <c r="R154" i="6"/>
  <c r="V154" i="6" s="1"/>
  <c r="AB154" i="6" s="1"/>
  <c r="AJ49" i="6"/>
  <c r="AP49" i="6" s="1"/>
  <c r="AT49" i="6" s="1"/>
  <c r="AX49" i="6" s="1"/>
  <c r="BF49" i="6" s="1"/>
  <c r="AJ135" i="6"/>
  <c r="AJ137" i="6" s="1"/>
  <c r="AJ8" i="36" s="1"/>
  <c r="AM9" i="59" s="1"/>
  <c r="AJ138" i="6"/>
  <c r="AJ50" i="6"/>
  <c r="AP50" i="6" s="1"/>
  <c r="AT50" i="6" s="1"/>
  <c r="AX50" i="6" s="1"/>
  <c r="BF50" i="6" s="1"/>
  <c r="AI170" i="6"/>
  <c r="AE173" i="6"/>
  <c r="AF51" i="6"/>
  <c r="AF45" i="6"/>
  <c r="AE170" i="6"/>
  <c r="AF106" i="6"/>
  <c r="AF162" i="6" s="1"/>
  <c r="AF47" i="6"/>
  <c r="Z65" i="8"/>
  <c r="R155" i="6"/>
  <c r="V155" i="6" s="1"/>
  <c r="AB155" i="6" s="1"/>
  <c r="AA173" i="6"/>
  <c r="AA112" i="6"/>
  <c r="AA170" i="6"/>
  <c r="U112" i="6"/>
  <c r="AB138" i="6"/>
  <c r="AB135" i="6"/>
  <c r="AO97" i="6"/>
  <c r="AB106" i="6"/>
  <c r="AB162" i="6" s="1"/>
  <c r="AB136" i="6"/>
  <c r="Q174" i="6"/>
  <c r="Q179" i="6" s="1"/>
  <c r="U189" i="6"/>
  <c r="U174" i="6"/>
  <c r="U179" i="6" s="1"/>
  <c r="AO70" i="6"/>
  <c r="AO74" i="6" s="1"/>
  <c r="R174" i="6"/>
  <c r="R179" i="6" s="1"/>
  <c r="R9" i="6"/>
  <c r="V9" i="6" s="1"/>
  <c r="V12" i="6" s="1"/>
  <c r="AB52" i="6"/>
  <c r="Q129" i="6"/>
  <c r="U129" i="6" s="1"/>
  <c r="AA129" i="6" s="1"/>
  <c r="V41" i="6"/>
  <c r="V17" i="6"/>
  <c r="AB17" i="6" s="1"/>
  <c r="AB40" i="6"/>
  <c r="AB43" i="6"/>
  <c r="V174" i="6"/>
  <c r="U156" i="6"/>
  <c r="R160" i="6"/>
  <c r="R129" i="6"/>
  <c r="N121" i="6"/>
  <c r="Q12" i="59" s="1"/>
  <c r="H193" i="6"/>
  <c r="H198" i="6" s="1"/>
  <c r="H9" i="36"/>
  <c r="K10" i="59" s="1"/>
  <c r="Z228" i="6"/>
  <c r="Z242" i="6"/>
  <c r="Z236" i="6"/>
  <c r="Z237" i="6" s="1"/>
  <c r="Z235" i="6"/>
  <c r="Z250" i="6"/>
  <c r="Z251" i="6" s="1"/>
  <c r="Z249" i="6"/>
  <c r="N178" i="6"/>
  <c r="Z197" i="6"/>
  <c r="M179" i="6"/>
  <c r="F9" i="36"/>
  <c r="I10" i="59" s="1"/>
  <c r="F179" i="6"/>
  <c r="I179" i="6"/>
  <c r="I193" i="6"/>
  <c r="AO135" i="6"/>
  <c r="AA44" i="6"/>
  <c r="AO136" i="6"/>
  <c r="AA9" i="6"/>
  <c r="AE9" i="6" s="1"/>
  <c r="AA8" i="6"/>
  <c r="AE8" i="6" s="1"/>
  <c r="AB26" i="6"/>
  <c r="AF26" i="6" s="1"/>
  <c r="AJ26" i="6" s="1"/>
  <c r="AB20" i="6"/>
  <c r="AF20" i="6" s="1"/>
  <c r="AJ20" i="6" s="1"/>
  <c r="AA41" i="6"/>
  <c r="AP2" i="6"/>
  <c r="AB44" i="6"/>
  <c r="AB23" i="6"/>
  <c r="AF23" i="6" s="1"/>
  <c r="AJ23" i="6" s="1"/>
  <c r="AO141" i="6"/>
  <c r="AS141" i="6" s="1"/>
  <c r="AW141" i="6" s="1"/>
  <c r="BE141" i="6" s="1"/>
  <c r="AO142" i="6"/>
  <c r="AS142" i="6" s="1"/>
  <c r="AW142" i="6" s="1"/>
  <c r="AA192" i="6"/>
  <c r="AO140" i="6"/>
  <c r="AS140" i="6" s="1"/>
  <c r="AW140" i="6" s="1"/>
  <c r="Y198" i="6"/>
  <c r="M54" i="6"/>
  <c r="M127" i="6"/>
  <c r="AB115" i="6"/>
  <c r="AA115" i="6"/>
  <c r="AE115" i="6" s="1"/>
  <c r="AI115" i="6" s="1"/>
  <c r="Z189" i="6"/>
  <c r="Z192" i="6"/>
  <c r="Y41" i="6"/>
  <c r="Y54" i="6"/>
  <c r="Y56" i="6" s="1"/>
  <c r="N119" i="6"/>
  <c r="N123" i="6"/>
  <c r="Q14" i="59" s="1"/>
  <c r="N120" i="6"/>
  <c r="R120" i="6" s="1"/>
  <c r="I56" i="6"/>
  <c r="M158" i="6"/>
  <c r="M55" i="6"/>
  <c r="N122" i="6"/>
  <c r="Q13" i="59" s="1"/>
  <c r="Q13" i="6"/>
  <c r="U13" i="6" s="1"/>
  <c r="N124" i="6"/>
  <c r="Q15" i="59" s="1"/>
  <c r="Q11" i="6"/>
  <c r="Q14" i="6"/>
  <c r="U14" i="6" s="1"/>
  <c r="M12" i="6"/>
  <c r="Q12" i="6"/>
  <c r="J174" i="6"/>
  <c r="J179" i="6" s="1"/>
  <c r="R29" i="6"/>
  <c r="N173" i="6"/>
  <c r="N170" i="6"/>
  <c r="M11" i="6"/>
  <c r="M7" i="6"/>
  <c r="M193" i="6"/>
  <c r="F193" i="6"/>
  <c r="M132" i="6"/>
  <c r="I59" i="6"/>
  <c r="M15" i="6"/>
  <c r="M59" i="6" s="1"/>
  <c r="M131" i="6"/>
  <c r="M152" i="6"/>
  <c r="M157" i="6"/>
  <c r="E37" i="6"/>
  <c r="AX110" i="6" l="1"/>
  <c r="BE140" i="6"/>
  <c r="BE142" i="6"/>
  <c r="AW52" i="6"/>
  <c r="BE47" i="6"/>
  <c r="BE52" i="6" s="1"/>
  <c r="AB8" i="6"/>
  <c r="AF8" i="6" s="1"/>
  <c r="R11" i="6"/>
  <c r="AP110" i="6"/>
  <c r="AW70" i="6"/>
  <c r="BE68" i="6"/>
  <c r="BE70" i="6" s="1"/>
  <c r="BF74" i="6"/>
  <c r="BF78" i="6" s="1"/>
  <c r="AB9" i="6"/>
  <c r="AF9" i="6" s="1"/>
  <c r="BE138" i="6"/>
  <c r="BE136" i="6"/>
  <c r="BE137" i="6" s="1"/>
  <c r="U193" i="6"/>
  <c r="U198" i="6" s="1"/>
  <c r="BF98" i="6"/>
  <c r="AW40" i="6"/>
  <c r="BE40" i="6" s="1"/>
  <c r="AS74" i="6"/>
  <c r="AS78" i="6" s="1"/>
  <c r="AX98" i="6"/>
  <c r="AX112" i="6"/>
  <c r="AW74" i="6"/>
  <c r="AW78" i="6" s="1"/>
  <c r="AW110" i="6" s="1"/>
  <c r="AO98" i="6"/>
  <c r="AO102" i="6" s="1"/>
  <c r="AO106" i="6" s="1"/>
  <c r="AO162" i="6" s="1"/>
  <c r="AS97" i="6"/>
  <c r="AS137" i="6"/>
  <c r="AX85" i="6"/>
  <c r="AT87" i="6"/>
  <c r="AP117" i="6"/>
  <c r="AT117" i="6" s="1"/>
  <c r="AX117" i="6" s="1"/>
  <c r="BF117" i="6" s="1"/>
  <c r="AP116" i="6"/>
  <c r="AT116" i="6" s="1"/>
  <c r="AX116" i="6" s="1"/>
  <c r="AP111" i="6"/>
  <c r="AP112" i="6" s="1"/>
  <c r="AP7" i="36" s="1"/>
  <c r="AS8" i="59" s="1"/>
  <c r="AO78" i="6"/>
  <c r="AO113" i="6" s="1"/>
  <c r="AF12" i="6"/>
  <c r="AJ9" i="6"/>
  <c r="AJ12" i="6" s="1"/>
  <c r="AE12" i="6"/>
  <c r="AI9" i="6"/>
  <c r="AI12" i="6" s="1"/>
  <c r="AJ45" i="6"/>
  <c r="AP45" i="6" s="1"/>
  <c r="AT45" i="6" s="1"/>
  <c r="AJ176" i="6"/>
  <c r="AJ175" i="6"/>
  <c r="AJ167" i="6"/>
  <c r="AJ168" i="6"/>
  <c r="AJ177" i="6"/>
  <c r="AJ172" i="6"/>
  <c r="AJ166" i="6"/>
  <c r="AJ169" i="6"/>
  <c r="AJ171" i="6"/>
  <c r="AF52" i="6"/>
  <c r="AJ47" i="6"/>
  <c r="AJ51" i="6"/>
  <c r="AP51" i="6" s="1"/>
  <c r="AT51" i="6" s="1"/>
  <c r="AX51" i="6" s="1"/>
  <c r="BF51" i="6" s="1"/>
  <c r="AI189" i="6"/>
  <c r="AI174" i="6"/>
  <c r="AF11" i="6"/>
  <c r="AJ8" i="6"/>
  <c r="AJ11" i="6" s="1"/>
  <c r="AE11" i="6"/>
  <c r="AI8" i="6"/>
  <c r="AI11" i="6" s="1"/>
  <c r="AJ162" i="6"/>
  <c r="AI41" i="6"/>
  <c r="R12" i="6"/>
  <c r="AE174" i="6"/>
  <c r="AE179" i="6" s="1"/>
  <c r="R123" i="6"/>
  <c r="U14" i="59" s="1"/>
  <c r="AB160" i="6"/>
  <c r="AF115" i="6"/>
  <c r="AF43" i="6"/>
  <c r="AF17" i="6"/>
  <c r="R124" i="6"/>
  <c r="U15" i="59" s="1"/>
  <c r="R122" i="6"/>
  <c r="U13" i="59" s="1"/>
  <c r="R121" i="6"/>
  <c r="U12" i="59" s="1"/>
  <c r="AF40" i="6"/>
  <c r="AP47" i="6"/>
  <c r="AT47" i="6" s="1"/>
  <c r="AF176" i="6"/>
  <c r="AF175" i="6"/>
  <c r="AF167" i="6"/>
  <c r="AF168" i="6"/>
  <c r="AF177" i="6"/>
  <c r="AF172" i="6"/>
  <c r="AF166" i="6"/>
  <c r="AF169" i="6"/>
  <c r="AF171" i="6"/>
  <c r="AE129" i="6"/>
  <c r="AF155" i="6"/>
  <c r="AE154" i="6"/>
  <c r="AF154" i="6"/>
  <c r="AE155" i="6"/>
  <c r="AA174" i="6"/>
  <c r="AA179" i="6" s="1"/>
  <c r="AA189" i="6"/>
  <c r="AB176" i="6"/>
  <c r="AB175" i="6"/>
  <c r="AB167" i="6"/>
  <c r="AB168" i="6"/>
  <c r="AB177" i="6"/>
  <c r="AB172" i="6"/>
  <c r="AB166" i="6"/>
  <c r="AB169" i="6"/>
  <c r="AB171" i="6"/>
  <c r="AB137" i="6"/>
  <c r="AB8" i="36" s="1"/>
  <c r="AE9" i="59" s="1"/>
  <c r="AP99" i="6"/>
  <c r="R9" i="36"/>
  <c r="U10" i="59" s="1"/>
  <c r="AO117" i="6"/>
  <c r="AS117" i="6" s="1"/>
  <c r="AB41" i="6"/>
  <c r="V129" i="6"/>
  <c r="AB129" i="6" s="1"/>
  <c r="V179" i="6"/>
  <c r="V9" i="36"/>
  <c r="Y10" i="59" s="1"/>
  <c r="V120" i="6"/>
  <c r="AB120" i="6" s="1"/>
  <c r="U157" i="6"/>
  <c r="V29" i="6"/>
  <c r="U152" i="6"/>
  <c r="U55" i="6"/>
  <c r="U15" i="6"/>
  <c r="U127" i="6"/>
  <c r="U131" i="6"/>
  <c r="U60" i="6"/>
  <c r="U54" i="6"/>
  <c r="AA156" i="6"/>
  <c r="V193" i="6"/>
  <c r="M198" i="6"/>
  <c r="AT2" i="6"/>
  <c r="AX2" i="6" s="1"/>
  <c r="BF2" i="6" s="1"/>
  <c r="I198" i="6"/>
  <c r="Z238" i="6"/>
  <c r="AS8" i="36"/>
  <c r="AV9" i="59" s="1"/>
  <c r="Z252" i="6"/>
  <c r="Z243" i="6"/>
  <c r="Z244" i="6"/>
  <c r="Z245" i="6" s="1"/>
  <c r="Z230" i="6"/>
  <c r="Z231" i="6" s="1"/>
  <c r="Z229" i="6"/>
  <c r="AO137" i="6"/>
  <c r="AO8" i="36" s="1"/>
  <c r="AR9" i="59" s="1"/>
  <c r="AB12" i="6"/>
  <c r="AA11" i="6"/>
  <c r="AA12" i="6"/>
  <c r="AB11" i="6"/>
  <c r="AF190" i="6"/>
  <c r="AP48" i="6"/>
  <c r="AT48" i="6" s="1"/>
  <c r="AX48" i="6" s="1"/>
  <c r="BF48" i="6" s="1"/>
  <c r="R119" i="6"/>
  <c r="J9" i="36"/>
  <c r="M10" i="59" s="1"/>
  <c r="Q132" i="6"/>
  <c r="U132" i="6" s="1"/>
  <c r="Q127" i="6"/>
  <c r="Q54" i="6"/>
  <c r="Q55" i="6"/>
  <c r="Q131" i="6"/>
  <c r="Q60" i="6"/>
  <c r="Q158" i="6"/>
  <c r="U158" i="6" s="1"/>
  <c r="Q7" i="6"/>
  <c r="Q157" i="6"/>
  <c r="Q152" i="6"/>
  <c r="Q15" i="6"/>
  <c r="Q59" i="6" s="1"/>
  <c r="Q193" i="6"/>
  <c r="Q198" i="6" s="1"/>
  <c r="N174" i="6"/>
  <c r="N179" i="6" s="1"/>
  <c r="F198" i="6"/>
  <c r="M56" i="6"/>
  <c r="V124" i="6" l="1"/>
  <c r="Y15" i="59" s="1"/>
  <c r="BF116" i="6"/>
  <c r="BE74" i="6"/>
  <c r="BE78" i="6" s="1"/>
  <c r="BE110" i="6" s="1"/>
  <c r="AX87" i="6"/>
  <c r="BF85" i="6"/>
  <c r="BF87" i="6" s="1"/>
  <c r="BF110" i="6"/>
  <c r="BF113" i="6"/>
  <c r="V198" i="6"/>
  <c r="V121" i="6"/>
  <c r="Y12" i="59" s="1"/>
  <c r="BF111" i="6"/>
  <c r="BF112" i="6" s="1"/>
  <c r="BF7" i="36" s="1"/>
  <c r="BI8" i="59" s="1"/>
  <c r="AO111" i="6"/>
  <c r="AO112" i="6" s="1"/>
  <c r="AO7" i="36" s="1"/>
  <c r="AR8" i="59" s="1"/>
  <c r="AO110" i="6"/>
  <c r="AO116" i="6"/>
  <c r="AS116" i="6" s="1"/>
  <c r="AW116" i="6" s="1"/>
  <c r="AO169" i="6"/>
  <c r="AO172" i="6"/>
  <c r="AO168" i="6"/>
  <c r="AW117" i="6"/>
  <c r="AO166" i="6"/>
  <c r="AO175" i="6"/>
  <c r="AO178" i="6" s="1"/>
  <c r="V123" i="6"/>
  <c r="Y14" i="59" s="1"/>
  <c r="AA193" i="6"/>
  <c r="AW97" i="6"/>
  <c r="BE97" i="6" s="1"/>
  <c r="AS98" i="6"/>
  <c r="AS102" i="6" s="1"/>
  <c r="AS106" i="6" s="1"/>
  <c r="AS113" i="6"/>
  <c r="AS111" i="6"/>
  <c r="AX47" i="6"/>
  <c r="AT52" i="6"/>
  <c r="AX45" i="6"/>
  <c r="BF45" i="6" s="1"/>
  <c r="AT88" i="6"/>
  <c r="AT92" i="6" s="1"/>
  <c r="AP101" i="6"/>
  <c r="AP102" i="6" s="1"/>
  <c r="AP106" i="6" s="1"/>
  <c r="AP175" i="6" s="1"/>
  <c r="AT99" i="6"/>
  <c r="AX88" i="6"/>
  <c r="AX92" i="6" s="1"/>
  <c r="AO167" i="6"/>
  <c r="AO171" i="6"/>
  <c r="AW111" i="6"/>
  <c r="AW112" i="6" s="1"/>
  <c r="AW113" i="6"/>
  <c r="AS110" i="6"/>
  <c r="AS112" i="6" s="1"/>
  <c r="AP176" i="6"/>
  <c r="AP162" i="6"/>
  <c r="AJ178" i="6"/>
  <c r="AJ197" i="6" s="1"/>
  <c r="AI155" i="6"/>
  <c r="AO155" i="6" s="1"/>
  <c r="AS155" i="6" s="1"/>
  <c r="AW155" i="6" s="1"/>
  <c r="BE155" i="6" s="1"/>
  <c r="AI129" i="6"/>
  <c r="AO129" i="6" s="1"/>
  <c r="AS129" i="6" s="1"/>
  <c r="AW129" i="6" s="1"/>
  <c r="BE129" i="6" s="1"/>
  <c r="AF160" i="6"/>
  <c r="AJ115" i="6"/>
  <c r="AJ160" i="6" s="1"/>
  <c r="AJ154" i="6"/>
  <c r="AP154" i="6" s="1"/>
  <c r="AT154" i="6" s="1"/>
  <c r="AX154" i="6" s="1"/>
  <c r="BF154" i="6" s="1"/>
  <c r="AJ173" i="6"/>
  <c r="AJ192" i="6" s="1"/>
  <c r="AI154" i="6"/>
  <c r="AO154" i="6" s="1"/>
  <c r="AS154" i="6" s="1"/>
  <c r="AW154" i="6" s="1"/>
  <c r="BE154" i="6" s="1"/>
  <c r="AJ155" i="6"/>
  <c r="AP155" i="6" s="1"/>
  <c r="AT155" i="6" s="1"/>
  <c r="AX155" i="6" s="1"/>
  <c r="BF155" i="6" s="1"/>
  <c r="AJ40" i="6"/>
  <c r="AJ41" i="6" s="1"/>
  <c r="AF44" i="6"/>
  <c r="AJ43" i="6"/>
  <c r="AJ44" i="6" s="1"/>
  <c r="AI193" i="6"/>
  <c r="AI179" i="6"/>
  <c r="AJ52" i="6"/>
  <c r="AJ170" i="6"/>
  <c r="AJ17" i="6"/>
  <c r="V122" i="6"/>
  <c r="AF178" i="6"/>
  <c r="AF197" i="6" s="1"/>
  <c r="AE156" i="6"/>
  <c r="AI156" i="6" s="1"/>
  <c r="AF173" i="6"/>
  <c r="AF170" i="6"/>
  <c r="AB123" i="6"/>
  <c r="AE14" i="59" s="1"/>
  <c r="AF120" i="6"/>
  <c r="AB124" i="6"/>
  <c r="AE15" i="59" s="1"/>
  <c r="AB121" i="6"/>
  <c r="AE12" i="59" s="1"/>
  <c r="AF41" i="6"/>
  <c r="AF129" i="6"/>
  <c r="AB170" i="6"/>
  <c r="AB189" i="6" s="1"/>
  <c r="V119" i="6"/>
  <c r="AB119" i="6" s="1"/>
  <c r="AF119" i="6" s="1"/>
  <c r="AE192" i="6"/>
  <c r="AB178" i="6"/>
  <c r="AB197" i="6" s="1"/>
  <c r="AE197" i="6"/>
  <c r="AB173" i="6"/>
  <c r="AB192" i="6" s="1"/>
  <c r="Z9" i="36"/>
  <c r="AC10" i="59" s="1"/>
  <c r="U56" i="6"/>
  <c r="U59" i="6"/>
  <c r="AB29" i="6"/>
  <c r="AP136" i="6"/>
  <c r="AP135" i="6"/>
  <c r="AP142" i="6"/>
  <c r="AT142" i="6" s="1"/>
  <c r="AP141" i="6"/>
  <c r="AT141" i="6" s="1"/>
  <c r="AP140" i="6"/>
  <c r="AT140" i="6" s="1"/>
  <c r="AX140" i="6" s="1"/>
  <c r="AF192" i="6"/>
  <c r="AT7" i="36"/>
  <c r="AW8" i="59" s="1"/>
  <c r="Z246" i="6"/>
  <c r="Z253" i="6" s="1"/>
  <c r="Y7" i="48" s="1"/>
  <c r="Z232" i="6"/>
  <c r="Z239" i="6" s="1"/>
  <c r="AA198" i="6"/>
  <c r="AP39" i="6"/>
  <c r="AT39" i="6" s="1"/>
  <c r="AO39" i="6"/>
  <c r="AS39" i="6" s="1"/>
  <c r="AP42" i="6"/>
  <c r="AT42" i="6" s="1"/>
  <c r="AO43" i="6"/>
  <c r="AS43" i="6" s="1"/>
  <c r="Z193" i="6"/>
  <c r="AP52" i="6"/>
  <c r="AA14" i="6"/>
  <c r="N9" i="36"/>
  <c r="Q10" i="59" s="1"/>
  <c r="AA13" i="6"/>
  <c r="Q56" i="6"/>
  <c r="AO173" i="6" l="1"/>
  <c r="AO192" i="6" s="1"/>
  <c r="BE117" i="6"/>
  <c r="BE116" i="6"/>
  <c r="AX141" i="6"/>
  <c r="BF88" i="6"/>
  <c r="BF92" i="6" s="1"/>
  <c r="BF136" i="6" s="1"/>
  <c r="AX142" i="6"/>
  <c r="AX52" i="6"/>
  <c r="BF47" i="6"/>
  <c r="BF52" i="6" s="1"/>
  <c r="BE113" i="6"/>
  <c r="BE111" i="6"/>
  <c r="BE112" i="6" s="1"/>
  <c r="AO170" i="6"/>
  <c r="AO174" i="6" s="1"/>
  <c r="AO179" i="6" s="1"/>
  <c r="AP168" i="6"/>
  <c r="AP177" i="6"/>
  <c r="AP166" i="6"/>
  <c r="AP169" i="6"/>
  <c r="AJ174" i="6"/>
  <c r="AJ179" i="6" s="1"/>
  <c r="AP172" i="6"/>
  <c r="BE98" i="6"/>
  <c r="BE102" i="6" s="1"/>
  <c r="BE106" i="6" s="1"/>
  <c r="BE162" i="6" s="1"/>
  <c r="AP171" i="6"/>
  <c r="AP173" i="6" s="1"/>
  <c r="AB122" i="6"/>
  <c r="AE13" i="59" s="1"/>
  <c r="Y13" i="59"/>
  <c r="AX138" i="6"/>
  <c r="AX135" i="6"/>
  <c r="AX39" i="6"/>
  <c r="BF39" i="6" s="1"/>
  <c r="AW43" i="6"/>
  <c r="AS44" i="6"/>
  <c r="AX42" i="6"/>
  <c r="BF42" i="6" s="1"/>
  <c r="AX136" i="6"/>
  <c r="AT135" i="6"/>
  <c r="AT138" i="6"/>
  <c r="AS169" i="6"/>
  <c r="AS175" i="6"/>
  <c r="AS178" i="6" s="1"/>
  <c r="AS172" i="6"/>
  <c r="AS171" i="6"/>
  <c r="AS167" i="6"/>
  <c r="AS168" i="6"/>
  <c r="AS166" i="6"/>
  <c r="AW39" i="6"/>
  <c r="BE39" i="6" s="1"/>
  <c r="BE41" i="6" s="1"/>
  <c r="AS41" i="6"/>
  <c r="AJ119" i="6"/>
  <c r="AP167" i="6"/>
  <c r="AT101" i="6"/>
  <c r="AT102" i="6" s="1"/>
  <c r="AX99" i="6"/>
  <c r="BF99" i="6" s="1"/>
  <c r="AT136" i="6"/>
  <c r="AW98" i="6"/>
  <c r="AW102" i="6" s="1"/>
  <c r="AW106" i="6" s="1"/>
  <c r="AP178" i="6"/>
  <c r="AJ189" i="6"/>
  <c r="AP40" i="6"/>
  <c r="AT40" i="6" s="1"/>
  <c r="AT41" i="6" s="1"/>
  <c r="AP43" i="6"/>
  <c r="AT43" i="6" s="1"/>
  <c r="AX43" i="6" s="1"/>
  <c r="BF43" i="6" s="1"/>
  <c r="AI198" i="6"/>
  <c r="AJ129" i="6"/>
  <c r="AP129" i="6" s="1"/>
  <c r="AT129" i="6" s="1"/>
  <c r="AX129" i="6" s="1"/>
  <c r="BF129" i="6" s="1"/>
  <c r="AJ120" i="6"/>
  <c r="AP17" i="6"/>
  <c r="AT17" i="6" s="1"/>
  <c r="AE14" i="6"/>
  <c r="AE157" i="6" s="1"/>
  <c r="AF174" i="6"/>
  <c r="AF9" i="36" s="1"/>
  <c r="AI10" i="59" s="1"/>
  <c r="AF121" i="6"/>
  <c r="AI12" i="59" s="1"/>
  <c r="AF124" i="6"/>
  <c r="AI15" i="59" s="1"/>
  <c r="AF123" i="6"/>
  <c r="AI14" i="59" s="1"/>
  <c r="AA132" i="6"/>
  <c r="AE13" i="6"/>
  <c r="AE55" i="6"/>
  <c r="AF29" i="6"/>
  <c r="AF122" i="6"/>
  <c r="AI13" i="59" s="1"/>
  <c r="AO156" i="6"/>
  <c r="AS156" i="6" s="1"/>
  <c r="AO197" i="6"/>
  <c r="AB174" i="6"/>
  <c r="AB9" i="36" s="1"/>
  <c r="AE10" i="59" s="1"/>
  <c r="AE189" i="6"/>
  <c r="AP137" i="6"/>
  <c r="AP8" i="36" s="1"/>
  <c r="AS9" i="59" s="1"/>
  <c r="Z255" i="6"/>
  <c r="Y6" i="48"/>
  <c r="Y8" i="48" s="1"/>
  <c r="AO41" i="6"/>
  <c r="AO44" i="6"/>
  <c r="AP23" i="6"/>
  <c r="AT23" i="6" s="1"/>
  <c r="AP26" i="6"/>
  <c r="AT26" i="6" s="1"/>
  <c r="AP8" i="6"/>
  <c r="AT8" i="6" s="1"/>
  <c r="AP20" i="6"/>
  <c r="AT20" i="6" s="1"/>
  <c r="AO9" i="6"/>
  <c r="AS9" i="6" s="1"/>
  <c r="AO8" i="6"/>
  <c r="AS8" i="6" s="1"/>
  <c r="AP9" i="6"/>
  <c r="AT9" i="6" s="1"/>
  <c r="Z198" i="6"/>
  <c r="AP115" i="6"/>
  <c r="AT115" i="6" s="1"/>
  <c r="AO115" i="6"/>
  <c r="AS115" i="6" s="1"/>
  <c r="AW115" i="6" s="1"/>
  <c r="AA58" i="6"/>
  <c r="AE58" i="6" s="1"/>
  <c r="AA57" i="6"/>
  <c r="AA158" i="6"/>
  <c r="AE158" i="6" s="1"/>
  <c r="AA55" i="6"/>
  <c r="AA152" i="6"/>
  <c r="AA157" i="6"/>
  <c r="AA127" i="6"/>
  <c r="AA54" i="6"/>
  <c r="AA15" i="6"/>
  <c r="AA131" i="6"/>
  <c r="AP44" i="6" l="1"/>
  <c r="AP41" i="6"/>
  <c r="BF44" i="6"/>
  <c r="AJ9" i="36"/>
  <c r="AM10" i="59" s="1"/>
  <c r="BF135" i="6"/>
  <c r="BF137" i="6" s="1"/>
  <c r="BF8" i="36" s="1"/>
  <c r="BI9" i="59" s="1"/>
  <c r="BF138" i="6"/>
  <c r="AE57" i="6"/>
  <c r="AW44" i="6"/>
  <c r="BE43" i="6"/>
  <c r="BE44" i="6" s="1"/>
  <c r="BF141" i="6"/>
  <c r="AJ193" i="6"/>
  <c r="AJ198" i="6" s="1"/>
  <c r="BF142" i="6"/>
  <c r="BF140" i="6"/>
  <c r="AW169" i="6"/>
  <c r="AW162" i="6"/>
  <c r="BE115" i="6"/>
  <c r="BE160" i="6" s="1"/>
  <c r="AW160" i="6"/>
  <c r="AP170" i="6"/>
  <c r="AT137" i="6"/>
  <c r="AT8" i="36" s="1"/>
  <c r="AW9" i="59" s="1"/>
  <c r="AS173" i="6"/>
  <c r="AE152" i="6"/>
  <c r="BF101" i="6"/>
  <c r="BF102" i="6" s="1"/>
  <c r="BE175" i="6"/>
  <c r="BE178" i="6" s="1"/>
  <c r="BE197" i="6" s="1"/>
  <c r="BE172" i="6"/>
  <c r="BE171" i="6"/>
  <c r="BE167" i="6"/>
  <c r="BE168" i="6"/>
  <c r="BE166" i="6"/>
  <c r="BE169" i="6"/>
  <c r="AX8" i="6"/>
  <c r="AT11" i="6"/>
  <c r="AS11" i="6"/>
  <c r="AW8" i="6"/>
  <c r="AX26" i="6"/>
  <c r="BF26" i="6" s="1"/>
  <c r="AT106" i="6"/>
  <c r="AT162" i="6" s="1"/>
  <c r="AT44" i="6"/>
  <c r="AW9" i="6"/>
  <c r="AS12" i="6"/>
  <c r="AX23" i="6"/>
  <c r="BF23" i="6" s="1"/>
  <c r="AW41" i="6"/>
  <c r="AX44" i="6"/>
  <c r="AX115" i="6"/>
  <c r="BF115" i="6" s="1"/>
  <c r="AX20" i="6"/>
  <c r="BF20" i="6" s="1"/>
  <c r="AW156" i="6"/>
  <c r="BE156" i="6" s="1"/>
  <c r="AX40" i="6"/>
  <c r="BF40" i="6" s="1"/>
  <c r="BF41" i="6" s="1"/>
  <c r="AS170" i="6"/>
  <c r="AX9" i="6"/>
  <c r="AT12" i="6"/>
  <c r="AX17" i="6"/>
  <c r="BF17" i="6" s="1"/>
  <c r="AW168" i="6"/>
  <c r="AW175" i="6"/>
  <c r="AW178" i="6" s="1"/>
  <c r="AW197" i="6" s="1"/>
  <c r="AW172" i="6"/>
  <c r="AW171" i="6"/>
  <c r="AW167" i="6"/>
  <c r="AW166" i="6"/>
  <c r="AX101" i="6"/>
  <c r="AX102" i="6" s="1"/>
  <c r="AX137" i="6"/>
  <c r="AX8" i="36" s="1"/>
  <c r="BA9" i="59" s="1"/>
  <c r="AX7" i="36"/>
  <c r="BA8" i="59" s="1"/>
  <c r="AP174" i="6"/>
  <c r="AP179" i="6" s="1"/>
  <c r="AS7" i="36"/>
  <c r="AV8" i="59" s="1"/>
  <c r="AO189" i="6"/>
  <c r="AO193" i="6" s="1"/>
  <c r="AF179" i="6"/>
  <c r="AP119" i="6"/>
  <c r="AT119" i="6" s="1"/>
  <c r="AP120" i="6"/>
  <c r="AT120" i="6" s="1"/>
  <c r="AJ29" i="6"/>
  <c r="AJ123" i="6"/>
  <c r="AM14" i="59" s="1"/>
  <c r="AJ121" i="6"/>
  <c r="AM12" i="59" s="1"/>
  <c r="AJ124" i="6"/>
  <c r="AM15" i="59" s="1"/>
  <c r="AI14" i="6"/>
  <c r="AI158" i="6" s="1"/>
  <c r="AJ122" i="6"/>
  <c r="AM13" i="59" s="1"/>
  <c r="AI13" i="6"/>
  <c r="AI57" i="6" s="1"/>
  <c r="AE132" i="6"/>
  <c r="AE54" i="6"/>
  <c r="AE15" i="6"/>
  <c r="AE59" i="6" s="1"/>
  <c r="AE131" i="6"/>
  <c r="AE127" i="6"/>
  <c r="AE60" i="6"/>
  <c r="AE193" i="6"/>
  <c r="AB179" i="6"/>
  <c r="AB193" i="6"/>
  <c r="AO11" i="6"/>
  <c r="AP12" i="6"/>
  <c r="AO12" i="6"/>
  <c r="AP11" i="6"/>
  <c r="AP160" i="6"/>
  <c r="AO160" i="6"/>
  <c r="AO9" i="36"/>
  <c r="AR10" i="59" s="1"/>
  <c r="AF186" i="6"/>
  <c r="AF182" i="6"/>
  <c r="AF189" i="6" s="1"/>
  <c r="AF193" i="6" s="1"/>
  <c r="AF198" i="6" s="1"/>
  <c r="AA59" i="6"/>
  <c r="AA56" i="6"/>
  <c r="AP123" i="6" l="1"/>
  <c r="AS14" i="59" s="1"/>
  <c r="AX41" i="6"/>
  <c r="AW12" i="6"/>
  <c r="BE9" i="6"/>
  <c r="BE12" i="6" s="1"/>
  <c r="AX12" i="6"/>
  <c r="BF9" i="6"/>
  <c r="BF12" i="6" s="1"/>
  <c r="AW11" i="6"/>
  <c r="BE8" i="6"/>
  <c r="BE11" i="6" s="1"/>
  <c r="AX11" i="6"/>
  <c r="BF8" i="6"/>
  <c r="BF11" i="6" s="1"/>
  <c r="AW170" i="6"/>
  <c r="AW189" i="6" s="1"/>
  <c r="AS174" i="6"/>
  <c r="AS179" i="6" s="1"/>
  <c r="BE173" i="6"/>
  <c r="BE192" i="6" s="1"/>
  <c r="AX120" i="6"/>
  <c r="BF120" i="6" s="1"/>
  <c r="AT160" i="6"/>
  <c r="BF106" i="6"/>
  <c r="AB198" i="6"/>
  <c r="BE170" i="6"/>
  <c r="AX106" i="6"/>
  <c r="AX162" i="6" s="1"/>
  <c r="AT123" i="6"/>
  <c r="AX123" i="6" s="1"/>
  <c r="AT175" i="6"/>
  <c r="AT176" i="6"/>
  <c r="AT167" i="6"/>
  <c r="AT168" i="6"/>
  <c r="AT177" i="6"/>
  <c r="AT172" i="6"/>
  <c r="AT169" i="6"/>
  <c r="AT166" i="6"/>
  <c r="AT171" i="6"/>
  <c r="AX119" i="6"/>
  <c r="BF119" i="6" s="1"/>
  <c r="AW173" i="6"/>
  <c r="AW192" i="6" s="1"/>
  <c r="AP122" i="6"/>
  <c r="AP124" i="6"/>
  <c r="AO198" i="6"/>
  <c r="AP121" i="6"/>
  <c r="AI58" i="6"/>
  <c r="AI132" i="6"/>
  <c r="AI54" i="6"/>
  <c r="AI131" i="6"/>
  <c r="AI15" i="6"/>
  <c r="AI127" i="6"/>
  <c r="AI55" i="6"/>
  <c r="AI157" i="6"/>
  <c r="AI152" i="6"/>
  <c r="AP29" i="6"/>
  <c r="AT29" i="6" s="1"/>
  <c r="AE56" i="6"/>
  <c r="AP189" i="6"/>
  <c r="AP192" i="6"/>
  <c r="AE198" i="6"/>
  <c r="AS9" i="36"/>
  <c r="AV10" i="59" s="1"/>
  <c r="AP197" i="6"/>
  <c r="AO13" i="6"/>
  <c r="AO14" i="6"/>
  <c r="F37" i="21"/>
  <c r="F33" i="21"/>
  <c r="AX160" i="6" l="1"/>
  <c r="BE174" i="6"/>
  <c r="BE179" i="6" s="1"/>
  <c r="BE189" i="6"/>
  <c r="BE193" i="6" s="1"/>
  <c r="BE198" i="6" s="1"/>
  <c r="BF177" i="6"/>
  <c r="BF175" i="6"/>
  <c r="BF176" i="6"/>
  <c r="BF167" i="6"/>
  <c r="BF168" i="6"/>
  <c r="BF172" i="6"/>
  <c r="BF169" i="6"/>
  <c r="BF166" i="6"/>
  <c r="BF171" i="6"/>
  <c r="AT173" i="6"/>
  <c r="AT170" i="6"/>
  <c r="BA14" i="59"/>
  <c r="BF123" i="6"/>
  <c r="BI14" i="59" s="1"/>
  <c r="BF162" i="6"/>
  <c r="BF160" i="6"/>
  <c r="AT178" i="6"/>
  <c r="AT121" i="6"/>
  <c r="AX121" i="6" s="1"/>
  <c r="AS12" i="59"/>
  <c r="AS14" i="6"/>
  <c r="AX29" i="6"/>
  <c r="BF29" i="6" s="1"/>
  <c r="AT124" i="6"/>
  <c r="AX124" i="6" s="1"/>
  <c r="AS15" i="59"/>
  <c r="AX168" i="6"/>
  <c r="AX175" i="6"/>
  <c r="AX176" i="6"/>
  <c r="AX167" i="6"/>
  <c r="AX177" i="6"/>
  <c r="AX172" i="6"/>
  <c r="AX169" i="6"/>
  <c r="AX166" i="6"/>
  <c r="AX171" i="6"/>
  <c r="AO127" i="6"/>
  <c r="AS13" i="6"/>
  <c r="AT122" i="6"/>
  <c r="AX122" i="6" s="1"/>
  <c r="AS13" i="59"/>
  <c r="AW174" i="6"/>
  <c r="AW179" i="6" s="1"/>
  <c r="AW14" i="59"/>
  <c r="AI59" i="6"/>
  <c r="AI56" i="6"/>
  <c r="AO54" i="6"/>
  <c r="AO132" i="6"/>
  <c r="AS132" i="6" s="1"/>
  <c r="AO55" i="6"/>
  <c r="AO58" i="6"/>
  <c r="AS58" i="6" s="1"/>
  <c r="AO131" i="6"/>
  <c r="AO57" i="6"/>
  <c r="AS57" i="6" s="1"/>
  <c r="AO152" i="6"/>
  <c r="AO157" i="6"/>
  <c r="AO158" i="6"/>
  <c r="AS158" i="6" s="1"/>
  <c r="AO15" i="6"/>
  <c r="AT174" i="6" l="1"/>
  <c r="AT179" i="6" s="1"/>
  <c r="BF178" i="6"/>
  <c r="BF197" i="6" s="1"/>
  <c r="BA15" i="59"/>
  <c r="BF124" i="6"/>
  <c r="BI15" i="59" s="1"/>
  <c r="BA12" i="59"/>
  <c r="BF121" i="6"/>
  <c r="BI12" i="59" s="1"/>
  <c r="BF173" i="6"/>
  <c r="BF192" i="6" s="1"/>
  <c r="BA13" i="59"/>
  <c r="BF122" i="6"/>
  <c r="BI13" i="59" s="1"/>
  <c r="AX170" i="6"/>
  <c r="AX189" i="6" s="1"/>
  <c r="BF170" i="6"/>
  <c r="AS131" i="6"/>
  <c r="AW13" i="6"/>
  <c r="AS15" i="6"/>
  <c r="AS59" i="6" s="1"/>
  <c r="AS127" i="6"/>
  <c r="AS54" i="6"/>
  <c r="AW14" i="6"/>
  <c r="AS152" i="6"/>
  <c r="AS55" i="6"/>
  <c r="AS157" i="6"/>
  <c r="AX173" i="6"/>
  <c r="AX192" i="6" s="1"/>
  <c r="AX178" i="6"/>
  <c r="AX197" i="6" s="1"/>
  <c r="AW193" i="6"/>
  <c r="AW198" i="6" s="1"/>
  <c r="AW12" i="59"/>
  <c r="AW13" i="59"/>
  <c r="AW15" i="59"/>
  <c r="AP193" i="6"/>
  <c r="AP198" i="6" s="1"/>
  <c r="AP9" i="36"/>
  <c r="AS10" i="59" s="1"/>
  <c r="AO59" i="6"/>
  <c r="AO56" i="6"/>
  <c r="I39" i="21"/>
  <c r="M39" i="21" s="1"/>
  <c r="I38" i="21"/>
  <c r="M38" i="21" s="1"/>
  <c r="I28" i="21"/>
  <c r="I27" i="21"/>
  <c r="M27" i="21" s="1"/>
  <c r="I26" i="21"/>
  <c r="M26" i="21" s="1"/>
  <c r="AA26" i="21" s="1"/>
  <c r="J39" i="21"/>
  <c r="N39" i="21" s="1"/>
  <c r="J38" i="21"/>
  <c r="N38" i="21" s="1"/>
  <c r="J36" i="21"/>
  <c r="N36" i="21" s="1"/>
  <c r="J35" i="21"/>
  <c r="N35" i="21" s="1"/>
  <c r="J32" i="21"/>
  <c r="N32" i="21" s="1"/>
  <c r="J31" i="21"/>
  <c r="N31" i="21" s="1"/>
  <c r="AB31" i="21" s="1"/>
  <c r="J28" i="21"/>
  <c r="N28" i="21" s="1"/>
  <c r="J27" i="21"/>
  <c r="N27" i="21" s="1"/>
  <c r="J15" i="21"/>
  <c r="I11" i="21"/>
  <c r="M11" i="21" s="1"/>
  <c r="I10" i="21"/>
  <c r="M10" i="21" s="1"/>
  <c r="I9" i="21"/>
  <c r="M9" i="21" s="1"/>
  <c r="I8" i="21"/>
  <c r="E22" i="21"/>
  <c r="AT9" i="36" l="1"/>
  <c r="AW10" i="59" s="1"/>
  <c r="Q11" i="21"/>
  <c r="U11" i="21" s="1"/>
  <c r="AA11" i="21"/>
  <c r="R38" i="21"/>
  <c r="V38" i="21" s="1"/>
  <c r="AB38" i="21"/>
  <c r="Q9" i="21"/>
  <c r="U9" i="21" s="1"/>
  <c r="AA9" i="21"/>
  <c r="R27" i="21"/>
  <c r="V27" i="21" s="1"/>
  <c r="AB27" i="21"/>
  <c r="R35" i="21"/>
  <c r="V35" i="21" s="1"/>
  <c r="AB35" i="21"/>
  <c r="Q39" i="21"/>
  <c r="U39" i="21" s="1"/>
  <c r="AA39" i="21"/>
  <c r="Q10" i="21"/>
  <c r="U10" i="21" s="1"/>
  <c r="AA10" i="21"/>
  <c r="R28" i="21"/>
  <c r="V28" i="21" s="1"/>
  <c r="AB28" i="21"/>
  <c r="R36" i="21"/>
  <c r="V36" i="21" s="1"/>
  <c r="AB36" i="21"/>
  <c r="Q27" i="21"/>
  <c r="U27" i="21" s="1"/>
  <c r="AA27" i="21"/>
  <c r="R32" i="21"/>
  <c r="V32" i="21" s="1"/>
  <c r="AB32" i="21"/>
  <c r="R39" i="21"/>
  <c r="V39" i="21" s="1"/>
  <c r="AB39" i="21"/>
  <c r="Q38" i="21"/>
  <c r="U38" i="21" s="1"/>
  <c r="AA38" i="21"/>
  <c r="AE38" i="21" s="1"/>
  <c r="AW58" i="6"/>
  <c r="BE14" i="6"/>
  <c r="AW57" i="6"/>
  <c r="BE13" i="6"/>
  <c r="BF174" i="6"/>
  <c r="BF189" i="6"/>
  <c r="AW158" i="6"/>
  <c r="BE158" i="6" s="1"/>
  <c r="AW152" i="6"/>
  <c r="AW55" i="6"/>
  <c r="AW157" i="6"/>
  <c r="AX174" i="6"/>
  <c r="AX179" i="6" s="1"/>
  <c r="AS56" i="6"/>
  <c r="AW132" i="6"/>
  <c r="BE132" i="6" s="1"/>
  <c r="AW15" i="6"/>
  <c r="AW131" i="6"/>
  <c r="AW127" i="6"/>
  <c r="AW54" i="6"/>
  <c r="AE10" i="21"/>
  <c r="AF28" i="21"/>
  <c r="AJ28" i="21" s="1"/>
  <c r="AP28" i="21" s="1"/>
  <c r="AT28" i="21" s="1"/>
  <c r="AF32" i="21"/>
  <c r="AF36" i="21"/>
  <c r="AE27" i="21"/>
  <c r="AE9" i="21"/>
  <c r="AE11" i="21"/>
  <c r="AF27" i="21"/>
  <c r="AJ27" i="21" s="1"/>
  <c r="AP27" i="21" s="1"/>
  <c r="AT27" i="21" s="1"/>
  <c r="AF38" i="21"/>
  <c r="AE39" i="21"/>
  <c r="N15" i="21"/>
  <c r="AB37" i="21"/>
  <c r="I35" i="21"/>
  <c r="M35" i="21" s="1"/>
  <c r="M8" i="21"/>
  <c r="I12" i="21"/>
  <c r="I29" i="21"/>
  <c r="M28" i="21"/>
  <c r="Q26" i="21"/>
  <c r="U26" i="21" s="1"/>
  <c r="AE26" i="21" s="1"/>
  <c r="AI26" i="21" s="1"/>
  <c r="N33" i="21"/>
  <c r="R31" i="21"/>
  <c r="V31" i="21" s="1"/>
  <c r="N37" i="21"/>
  <c r="J33" i="21"/>
  <c r="J37" i="21"/>
  <c r="BE57" i="6" l="1"/>
  <c r="V37" i="21"/>
  <c r="BF193" i="6"/>
  <c r="R37" i="21"/>
  <c r="BF179" i="6"/>
  <c r="BF9" i="36"/>
  <c r="BI10" i="59" s="1"/>
  <c r="M12" i="21"/>
  <c r="AA8" i="21"/>
  <c r="R15" i="21"/>
  <c r="V15" i="21" s="1"/>
  <c r="AB15" i="21"/>
  <c r="Q28" i="21"/>
  <c r="U28" i="21" s="1"/>
  <c r="AA28" i="21"/>
  <c r="AE28" i="21" s="1"/>
  <c r="Q35" i="21"/>
  <c r="U35" i="21" s="1"/>
  <c r="AA35" i="21"/>
  <c r="AF35" i="21"/>
  <c r="AJ35" i="21" s="1"/>
  <c r="AW56" i="6"/>
  <c r="AW59" i="6"/>
  <c r="BE55" i="6"/>
  <c r="BE152" i="6"/>
  <c r="BE157" i="6"/>
  <c r="BE58" i="6"/>
  <c r="BE15" i="6"/>
  <c r="BE54" i="6"/>
  <c r="BE131" i="6"/>
  <c r="BE127" i="6"/>
  <c r="AX193" i="6"/>
  <c r="AX198" i="6" s="1"/>
  <c r="I22" i="21"/>
  <c r="I459" i="28"/>
  <c r="I460" i="28"/>
  <c r="M22" i="21"/>
  <c r="M459" i="28"/>
  <c r="M460" i="28"/>
  <c r="AX28" i="21"/>
  <c r="BF28" i="21" s="1"/>
  <c r="AX27" i="21"/>
  <c r="BF27" i="21" s="1"/>
  <c r="AJ38" i="21"/>
  <c r="AP38" i="21" s="1"/>
  <c r="AT38" i="21" s="1"/>
  <c r="AI11" i="21"/>
  <c r="AO11" i="21" s="1"/>
  <c r="AS11" i="21" s="1"/>
  <c r="AJ36" i="21"/>
  <c r="AJ37" i="21" s="1"/>
  <c r="AI10" i="21"/>
  <c r="AO10" i="21" s="1"/>
  <c r="AS10" i="21" s="1"/>
  <c r="AI9" i="21"/>
  <c r="AO9" i="21" s="1"/>
  <c r="AS9" i="21" s="1"/>
  <c r="AJ32" i="21"/>
  <c r="AP32" i="21" s="1"/>
  <c r="AT32" i="21" s="1"/>
  <c r="AX9" i="36"/>
  <c r="BA10" i="59" s="1"/>
  <c r="AI39" i="21"/>
  <c r="AO39" i="21" s="1"/>
  <c r="AS39" i="21" s="1"/>
  <c r="AI27" i="21"/>
  <c r="AO27" i="21" s="1"/>
  <c r="AS27" i="21" s="1"/>
  <c r="AI38" i="21"/>
  <c r="AO38" i="21" s="1"/>
  <c r="AS38" i="21" s="1"/>
  <c r="AE35" i="21"/>
  <c r="AF39" i="21"/>
  <c r="AF15" i="21"/>
  <c r="V33" i="21"/>
  <c r="AF31" i="21"/>
  <c r="U29" i="21"/>
  <c r="Q8" i="21"/>
  <c r="U8" i="21" s="1"/>
  <c r="M29" i="21"/>
  <c r="I15" i="21"/>
  <c r="M15" i="21" s="1"/>
  <c r="Q29" i="21"/>
  <c r="R33" i="21"/>
  <c r="BF198" i="6" l="1"/>
  <c r="AA29" i="21"/>
  <c r="BE59" i="6"/>
  <c r="AF37" i="21"/>
  <c r="BE56" i="6"/>
  <c r="Q15" i="21"/>
  <c r="U15" i="21" s="1"/>
  <c r="AA15" i="21"/>
  <c r="AE15" i="21" s="1"/>
  <c r="AX32" i="21"/>
  <c r="BF32" i="21" s="1"/>
  <c r="AW11" i="21"/>
  <c r="BE11" i="21" s="1"/>
  <c r="AW9" i="21"/>
  <c r="BE9" i="21" s="1"/>
  <c r="AX38" i="21"/>
  <c r="BF38" i="21" s="1"/>
  <c r="AW10" i="21"/>
  <c r="BE10" i="21" s="1"/>
  <c r="AF33" i="21"/>
  <c r="AJ31" i="21"/>
  <c r="AJ33" i="21" s="1"/>
  <c r="AW27" i="21"/>
  <c r="BE27" i="21" s="1"/>
  <c r="AW39" i="21"/>
  <c r="BE39" i="21" s="1"/>
  <c r="AJ39" i="21"/>
  <c r="AP39" i="21" s="1"/>
  <c r="AT39" i="21" s="1"/>
  <c r="AJ15" i="21"/>
  <c r="AP15" i="21" s="1"/>
  <c r="AT15" i="21" s="1"/>
  <c r="AW38" i="21"/>
  <c r="BE38" i="21" s="1"/>
  <c r="AP36" i="21"/>
  <c r="AT36" i="21" s="1"/>
  <c r="AI35" i="21"/>
  <c r="AO35" i="21" s="1"/>
  <c r="AS35" i="21" s="1"/>
  <c r="AE29" i="21"/>
  <c r="AI28" i="21"/>
  <c r="AI29" i="21" s="1"/>
  <c r="AO28" i="21"/>
  <c r="AS28" i="21" s="1"/>
  <c r="AP35" i="21"/>
  <c r="AB33" i="21"/>
  <c r="U12" i="21"/>
  <c r="AE8" i="21"/>
  <c r="Q12" i="21"/>
  <c r="Q22" i="21" l="1"/>
  <c r="Q459" i="28"/>
  <c r="Q460" i="28"/>
  <c r="U22" i="21"/>
  <c r="U459" i="28"/>
  <c r="U460" i="28"/>
  <c r="AX39" i="21"/>
  <c r="BF39" i="21" s="1"/>
  <c r="AI15" i="21"/>
  <c r="AO15" i="21" s="1"/>
  <c r="AS15" i="21" s="1"/>
  <c r="AW35" i="21"/>
  <c r="BE35" i="21" s="1"/>
  <c r="AW28" i="21"/>
  <c r="BE28" i="21" s="1"/>
  <c r="AX15" i="21"/>
  <c r="BF15" i="21" s="1"/>
  <c r="AE12" i="21"/>
  <c r="AI8" i="21"/>
  <c r="AI12" i="21" s="1"/>
  <c r="AX36" i="21"/>
  <c r="BF36" i="21" s="1"/>
  <c r="AT35" i="21"/>
  <c r="AX35" i="21" s="1"/>
  <c r="BF35" i="21" s="1"/>
  <c r="AP37" i="21"/>
  <c r="AO26" i="21"/>
  <c r="AA12" i="21"/>
  <c r="AE22" i="21" l="1"/>
  <c r="AE460" i="28"/>
  <c r="AE459" i="28"/>
  <c r="AA22" i="21"/>
  <c r="AA460" i="28"/>
  <c r="AA459" i="28"/>
  <c r="AI22" i="21"/>
  <c r="AI460" i="28"/>
  <c r="AI459" i="28"/>
  <c r="AW15" i="21"/>
  <c r="BE15" i="21" s="1"/>
  <c r="AX37" i="21"/>
  <c r="AT37" i="21"/>
  <c r="AS26" i="21"/>
  <c r="AW26" i="21" s="1"/>
  <c r="BE26" i="21" s="1"/>
  <c r="AO29" i="21"/>
  <c r="AP31" i="21"/>
  <c r="AW29" i="21" l="1"/>
  <c r="BF37" i="21"/>
  <c r="AS29" i="21"/>
  <c r="AT31" i="21"/>
  <c r="AX31" i="21" s="1"/>
  <c r="BF31" i="21" s="1"/>
  <c r="AP33" i="21"/>
  <c r="AO8" i="21"/>
  <c r="AS8" i="21" s="1"/>
  <c r="AW8" i="21" s="1"/>
  <c r="BE8" i="21" s="1"/>
  <c r="H28" i="6"/>
  <c r="H25" i="6"/>
  <c r="H22" i="6"/>
  <c r="AX33" i="21" l="1"/>
  <c r="AW12" i="21"/>
  <c r="BE29" i="21"/>
  <c r="AT33" i="21"/>
  <c r="AO12" i="21"/>
  <c r="AW22" i="21" l="1"/>
  <c r="AW459" i="28"/>
  <c r="AW460" i="28"/>
  <c r="AO22" i="21"/>
  <c r="AO459" i="28"/>
  <c r="AO460" i="28"/>
  <c r="BF33" i="21"/>
  <c r="AS12" i="21"/>
  <c r="H33" i="22"/>
  <c r="G90" i="26"/>
  <c r="J71" i="11"/>
  <c r="M49" i="59" s="1"/>
  <c r="J64" i="11"/>
  <c r="AS22" i="21" l="1"/>
  <c r="AS459" i="28"/>
  <c r="AS460" i="28"/>
  <c r="BE12" i="21"/>
  <c r="BE22" i="21" l="1"/>
  <c r="BE459" i="28"/>
  <c r="BE460" i="28"/>
  <c r="F33" i="22"/>
  <c r="E90" i="26"/>
  <c r="N130" i="6"/>
  <c r="J97" i="9" l="1"/>
  <c r="J84" i="9"/>
  <c r="J85" i="9"/>
  <c r="R130" i="6"/>
  <c r="J33" i="22"/>
  <c r="I90" i="26"/>
  <c r="J89" i="9"/>
  <c r="I18" i="15" s="1"/>
  <c r="J91" i="9"/>
  <c r="J95" i="9"/>
  <c r="J99" i="9"/>
  <c r="J151" i="6"/>
  <c r="V130" i="6" l="1"/>
  <c r="N97" i="9"/>
  <c r="N99" i="9"/>
  <c r="R33" i="22"/>
  <c r="N91" i="9"/>
  <c r="N95" i="9"/>
  <c r="N89" i="9"/>
  <c r="M18" i="15" s="1"/>
  <c r="N85" i="9"/>
  <c r="N84" i="9"/>
  <c r="N151" i="6"/>
  <c r="R151" i="6" s="1"/>
  <c r="V151" i="6" s="1"/>
  <c r="J153" i="6"/>
  <c r="J126" i="6"/>
  <c r="N126" i="6" s="1"/>
  <c r="R126" i="6" s="1"/>
  <c r="V126" i="6" s="1"/>
  <c r="N33" i="22"/>
  <c r="M90" i="26"/>
  <c r="J71" i="8"/>
  <c r="J73" i="8" s="1"/>
  <c r="AB130" i="6" l="1"/>
  <c r="N153" i="6"/>
  <c r="R153" i="6" s="1"/>
  <c r="V153" i="6" s="1"/>
  <c r="AB151" i="6"/>
  <c r="AF151" i="6" s="1"/>
  <c r="AJ151" i="6" s="1"/>
  <c r="U90" i="26"/>
  <c r="Q90" i="26"/>
  <c r="R95" i="9"/>
  <c r="R91" i="9"/>
  <c r="R89" i="9"/>
  <c r="Q18" i="15" s="1"/>
  <c r="R84" i="9"/>
  <c r="R85" i="9"/>
  <c r="R99" i="9"/>
  <c r="V99" i="9" s="1"/>
  <c r="R97" i="9"/>
  <c r="V97" i="9" s="1"/>
  <c r="J128" i="6"/>
  <c r="N128" i="6" s="1"/>
  <c r="R128" i="6" s="1"/>
  <c r="V128" i="6" s="1"/>
  <c r="Z127" i="6"/>
  <c r="AB126" i="6"/>
  <c r="AF126" i="6" s="1"/>
  <c r="AJ126" i="6" s="1"/>
  <c r="M76" i="26"/>
  <c r="M80" i="26"/>
  <c r="M81" i="26"/>
  <c r="M83" i="26"/>
  <c r="M84" i="26"/>
  <c r="M87" i="26"/>
  <c r="M85" i="26"/>
  <c r="M79" i="26"/>
  <c r="M86" i="26"/>
  <c r="M77" i="26"/>
  <c r="M78" i="26"/>
  <c r="M82" i="26"/>
  <c r="J72" i="8"/>
  <c r="N71" i="8"/>
  <c r="N73" i="8" s="1"/>
  <c r="AF130" i="6" l="1"/>
  <c r="AB153" i="6"/>
  <c r="AF153" i="6" s="1"/>
  <c r="AJ153" i="6" s="1"/>
  <c r="AB128" i="6"/>
  <c r="AF128" i="6" s="1"/>
  <c r="AJ128" i="6" s="1"/>
  <c r="Q87" i="26"/>
  <c r="U87" i="26" s="1"/>
  <c r="Q77" i="26"/>
  <c r="U77" i="26" s="1"/>
  <c r="Q84" i="26"/>
  <c r="U84" i="26" s="1"/>
  <c r="Q86" i="26"/>
  <c r="U86" i="26" s="1"/>
  <c r="Q81" i="26"/>
  <c r="U81" i="26" s="1"/>
  <c r="Q76" i="26"/>
  <c r="U76" i="26" s="1"/>
  <c r="Q82" i="26"/>
  <c r="U82" i="26" s="1"/>
  <c r="Q79" i="26"/>
  <c r="U79" i="26" s="1"/>
  <c r="Q80" i="26"/>
  <c r="U80" i="26" s="1"/>
  <c r="Q78" i="26"/>
  <c r="U78" i="26" s="1"/>
  <c r="Q85" i="26"/>
  <c r="U85" i="26" s="1"/>
  <c r="Q83" i="26"/>
  <c r="U83" i="26" s="1"/>
  <c r="N72" i="8"/>
  <c r="R71" i="8"/>
  <c r="AJ130" i="6" l="1"/>
  <c r="AP130" i="6" s="1"/>
  <c r="AT130" i="6" s="1"/>
  <c r="V71" i="8"/>
  <c r="V72" i="8" s="1"/>
  <c r="U88" i="26"/>
  <c r="AB99" i="9"/>
  <c r="AF99" i="9" s="1"/>
  <c r="AJ99" i="9" s="1"/>
  <c r="AP126" i="6"/>
  <c r="AT126" i="6" s="1"/>
  <c r="AB97" i="9"/>
  <c r="AF97" i="9" s="1"/>
  <c r="AJ97" i="9" s="1"/>
  <c r="AB33" i="22"/>
  <c r="AA90" i="26"/>
  <c r="AB91" i="9"/>
  <c r="AB89" i="9"/>
  <c r="AA18" i="15" s="1"/>
  <c r="AB95" i="9"/>
  <c r="AB84" i="9"/>
  <c r="AB85" i="9"/>
  <c r="R73" i="8"/>
  <c r="R72" i="8"/>
  <c r="AX126" i="6" l="1"/>
  <c r="BF126" i="6" s="1"/>
  <c r="AX130" i="6"/>
  <c r="BF130" i="6" s="1"/>
  <c r="AA86" i="26"/>
  <c r="AE86" i="26" s="1"/>
  <c r="AI86" i="26" s="1"/>
  <c r="AA82" i="26"/>
  <c r="AE82" i="26" s="1"/>
  <c r="AI82" i="26" s="1"/>
  <c r="AA84" i="26"/>
  <c r="AE84" i="26" s="1"/>
  <c r="AI84" i="26" s="1"/>
  <c r="AA76" i="26"/>
  <c r="AE76" i="26" s="1"/>
  <c r="AI76" i="26" s="1"/>
  <c r="AO76" i="26" s="1"/>
  <c r="AS76" i="26" s="1"/>
  <c r="AW76" i="26" s="1"/>
  <c r="AA78" i="26"/>
  <c r="AE78" i="26" s="1"/>
  <c r="AI78" i="26" s="1"/>
  <c r="AA77" i="26"/>
  <c r="AE77" i="26" s="1"/>
  <c r="AI77" i="26" s="1"/>
  <c r="AA79" i="26"/>
  <c r="AE79" i="26" s="1"/>
  <c r="AI79" i="26" s="1"/>
  <c r="AA85" i="26"/>
  <c r="AE85" i="26" s="1"/>
  <c r="AI85" i="26" s="1"/>
  <c r="AA87" i="26"/>
  <c r="AE87" i="26" s="1"/>
  <c r="AI87" i="26" s="1"/>
  <c r="AA83" i="26"/>
  <c r="AE83" i="26" s="1"/>
  <c r="AI83" i="26" s="1"/>
  <c r="AA81" i="26"/>
  <c r="AE81" i="26" s="1"/>
  <c r="AI81" i="26" s="1"/>
  <c r="AA80" i="26"/>
  <c r="AE80" i="26" s="1"/>
  <c r="AI80" i="26" s="1"/>
  <c r="AB71" i="8"/>
  <c r="V73" i="8"/>
  <c r="AP128" i="6"/>
  <c r="AT128" i="6" s="1"/>
  <c r="AP151" i="6"/>
  <c r="AT151" i="6" s="1"/>
  <c r="AX151" i="6" l="1"/>
  <c r="BF151" i="6" s="1"/>
  <c r="AX128" i="6"/>
  <c r="BF128" i="6" s="1"/>
  <c r="AO85" i="26"/>
  <c r="AO84" i="26"/>
  <c r="AO81" i="26"/>
  <c r="AO83" i="26"/>
  <c r="AO77" i="26"/>
  <c r="AO82" i="26"/>
  <c r="AO80" i="26"/>
  <c r="AO79" i="26"/>
  <c r="AS79" i="26" s="1"/>
  <c r="AW79" i="26" s="1"/>
  <c r="AO87" i="26"/>
  <c r="AO78" i="26"/>
  <c r="AO86" i="26"/>
  <c r="AI88" i="26"/>
  <c r="AE88" i="26"/>
  <c r="AB72" i="8"/>
  <c r="AF71" i="8"/>
  <c r="AJ71" i="8" s="1"/>
  <c r="AB73" i="8"/>
  <c r="AP153" i="6"/>
  <c r="AT153" i="6" s="1"/>
  <c r="AX153" i="6" s="1"/>
  <c r="AA88" i="26"/>
  <c r="BF153" i="6" l="1"/>
  <c r="AS81" i="26"/>
  <c r="AW81" i="26" s="1"/>
  <c r="AS86" i="26"/>
  <c r="AW86" i="26" s="1"/>
  <c r="AS82" i="26"/>
  <c r="AW82" i="26" s="1"/>
  <c r="AS84" i="26"/>
  <c r="AW84" i="26" s="1"/>
  <c r="AS87" i="26"/>
  <c r="AW87" i="26" s="1"/>
  <c r="AS77" i="26"/>
  <c r="AW77" i="26" s="1"/>
  <c r="AS85" i="26"/>
  <c r="AW85" i="26" s="1"/>
  <c r="AS80" i="26"/>
  <c r="AW80" i="26" s="1"/>
  <c r="AS78" i="26"/>
  <c r="AW78" i="26" s="1"/>
  <c r="AS83" i="26"/>
  <c r="AW83" i="26" s="1"/>
  <c r="AO88" i="26"/>
  <c r="AJ72" i="8"/>
  <c r="AF73" i="8"/>
  <c r="AJ73" i="8" s="1"/>
  <c r="AF72" i="8"/>
  <c r="AP71" i="8"/>
  <c r="AP99" i="9"/>
  <c r="AT99" i="9" s="1"/>
  <c r="AX99" i="9" s="1"/>
  <c r="BF99" i="9" s="1"/>
  <c r="AP91" i="9"/>
  <c r="AP89" i="9"/>
  <c r="AO18" i="15" s="1"/>
  <c r="AP95" i="9"/>
  <c r="AP84" i="9"/>
  <c r="AP85" i="9"/>
  <c r="AP97" i="9"/>
  <c r="AT97" i="9" s="1"/>
  <c r="AX97" i="9" s="1"/>
  <c r="BF97" i="9" s="1"/>
  <c r="BE88" i="26" l="1"/>
  <c r="AT71" i="8"/>
  <c r="AW88" i="26"/>
  <c r="AS88" i="26"/>
  <c r="AP72" i="8"/>
  <c r="AP73" i="8"/>
  <c r="AP86" i="9"/>
  <c r="J24" i="6"/>
  <c r="F25" i="6"/>
  <c r="AT72" i="8" l="1"/>
  <c r="AX71" i="8"/>
  <c r="AT73" i="8"/>
  <c r="J25" i="6"/>
  <c r="N24" i="6"/>
  <c r="R24" i="6" s="1"/>
  <c r="V24" i="6" s="1"/>
  <c r="V25" i="6" s="1"/>
  <c r="J27" i="6"/>
  <c r="F28" i="6"/>
  <c r="F22" i="6"/>
  <c r="J21" i="6"/>
  <c r="AX73" i="8" l="1"/>
  <c r="AX72" i="8"/>
  <c r="BF71" i="8"/>
  <c r="BF72" i="8" s="1"/>
  <c r="R25" i="6"/>
  <c r="N25" i="6"/>
  <c r="J28" i="6"/>
  <c r="N27" i="6"/>
  <c r="R27" i="6" s="1"/>
  <c r="V27" i="6" s="1"/>
  <c r="V28" i="6" s="1"/>
  <c r="J22" i="6"/>
  <c r="N21" i="6"/>
  <c r="R21" i="6" s="1"/>
  <c r="V21" i="6" s="1"/>
  <c r="V22" i="6" s="1"/>
  <c r="BF73" i="8" l="1"/>
  <c r="R28" i="6"/>
  <c r="AB24" i="6"/>
  <c r="AF24" i="6" s="1"/>
  <c r="R22" i="6"/>
  <c r="N22" i="6"/>
  <c r="N28" i="6"/>
  <c r="AF25" i="6" l="1"/>
  <c r="AJ24" i="6"/>
  <c r="AJ25" i="6" s="1"/>
  <c r="AB21" i="6"/>
  <c r="AF21" i="6" s="1"/>
  <c r="AB25" i="6"/>
  <c r="AB27" i="6"/>
  <c r="AF27" i="6" s="1"/>
  <c r="J58" i="8"/>
  <c r="J32" i="8"/>
  <c r="N32" i="8" s="1"/>
  <c r="R32" i="8" s="1"/>
  <c r="AF22" i="6" l="1"/>
  <c r="AJ21" i="6"/>
  <c r="AJ22" i="6" s="1"/>
  <c r="AF28" i="6"/>
  <c r="AJ27" i="6"/>
  <c r="AJ28" i="6" s="1"/>
  <c r="V32" i="8"/>
  <c r="AB32" i="8" s="1"/>
  <c r="J63" i="8"/>
  <c r="J9" i="49"/>
  <c r="J11" i="49" s="1"/>
  <c r="J13" i="49" s="1"/>
  <c r="J14" i="49" s="1"/>
  <c r="J15" i="49" s="1"/>
  <c r="J18" i="49" s="1"/>
  <c r="J19" i="49" s="1"/>
  <c r="J15" i="36" s="1"/>
  <c r="M34" i="59" s="1"/>
  <c r="AB28" i="6"/>
  <c r="AB22" i="6"/>
  <c r="N58" i="8"/>
  <c r="AF32" i="8" l="1"/>
  <c r="J65" i="8"/>
  <c r="N63" i="8"/>
  <c r="N9" i="49"/>
  <c r="N11" i="49" s="1"/>
  <c r="N13" i="49" s="1"/>
  <c r="N14" i="49" s="1"/>
  <c r="N15" i="49" s="1"/>
  <c r="N18" i="49" s="1"/>
  <c r="N19" i="49" s="1"/>
  <c r="N15" i="36" s="1"/>
  <c r="Q34" i="59" s="1"/>
  <c r="AP24" i="6"/>
  <c r="AT24" i="6" s="1"/>
  <c r="R58" i="8"/>
  <c r="V58" i="8" s="1"/>
  <c r="V63" i="8" s="1"/>
  <c r="J19" i="21"/>
  <c r="N19" i="21" s="1"/>
  <c r="AB19" i="21" s="1"/>
  <c r="AX24" i="6" l="1"/>
  <c r="AT25" i="6"/>
  <c r="AJ32" i="8"/>
  <c r="AP32" i="8" s="1"/>
  <c r="R63" i="8"/>
  <c r="R9" i="49"/>
  <c r="R11" i="49" s="1"/>
  <c r="R13" i="49" s="1"/>
  <c r="N65" i="8"/>
  <c r="AP25" i="6"/>
  <c r="AP21" i="6"/>
  <c r="AT21" i="6" s="1"/>
  <c r="AP27" i="6"/>
  <c r="AT27" i="6" s="1"/>
  <c r="V9" i="49"/>
  <c r="V11" i="49" s="1"/>
  <c r="V13" i="49" s="1"/>
  <c r="V14" i="49" s="1"/>
  <c r="V15" i="49" s="1"/>
  <c r="V18" i="49" s="1"/>
  <c r="V19" i="49" s="1"/>
  <c r="V15" i="36" s="1"/>
  <c r="Y34" i="59" s="1"/>
  <c r="J16" i="21"/>
  <c r="AX25" i="6" l="1"/>
  <c r="BF24" i="6"/>
  <c r="BF25" i="6" s="1"/>
  <c r="AX21" i="6"/>
  <c r="AT22" i="6"/>
  <c r="AX27" i="6"/>
  <c r="AT28" i="6"/>
  <c r="AT32" i="8"/>
  <c r="AX32" i="8" s="1"/>
  <c r="BF32" i="8" s="1"/>
  <c r="V65" i="8"/>
  <c r="AP22" i="6"/>
  <c r="AP28" i="6"/>
  <c r="AB58" i="8"/>
  <c r="N16" i="21"/>
  <c r="AB16" i="21" s="1"/>
  <c r="AX22" i="6" l="1"/>
  <c r="BF21" i="6"/>
  <c r="BF22" i="6" s="1"/>
  <c r="AX28" i="6"/>
  <c r="BF27" i="6"/>
  <c r="BF28" i="6" s="1"/>
  <c r="AB9" i="49"/>
  <c r="AB11" i="49" s="1"/>
  <c r="AB13" i="49" s="1"/>
  <c r="AB14" i="49" s="1"/>
  <c r="AB15" i="49" s="1"/>
  <c r="AB18" i="49" s="1"/>
  <c r="AB19" i="49" s="1"/>
  <c r="AB15" i="36" s="1"/>
  <c r="AF58" i="8"/>
  <c r="AF9" i="49" s="1"/>
  <c r="AF11" i="49" s="1"/>
  <c r="AF13" i="49" s="1"/>
  <c r="AF14" i="49" s="1"/>
  <c r="AF15" i="49" s="1"/>
  <c r="AF18" i="49" s="1"/>
  <c r="AF19" i="49" s="1"/>
  <c r="AF15" i="36" s="1"/>
  <c r="AB63" i="8"/>
  <c r="AF65" i="8" l="1"/>
  <c r="AI34" i="59"/>
  <c r="AE34" i="59"/>
  <c r="AF63" i="8"/>
  <c r="AJ58" i="8"/>
  <c r="AB65" i="8" l="1"/>
  <c r="AJ63" i="8"/>
  <c r="AJ9" i="49"/>
  <c r="AJ11" i="49" s="1"/>
  <c r="AJ13" i="49" s="1"/>
  <c r="AJ14" i="49" s="1"/>
  <c r="AJ15" i="49" s="1"/>
  <c r="AJ18" i="49" s="1"/>
  <c r="AJ19" i="49" s="1"/>
  <c r="AJ15" i="36" s="1"/>
  <c r="AM34" i="59" s="1"/>
  <c r="AP58" i="8"/>
  <c r="AP9" i="49" l="1"/>
  <c r="AP11" i="49" s="1"/>
  <c r="AP13" i="49" s="1"/>
  <c r="AP14" i="49" s="1"/>
  <c r="AP15" i="49" s="1"/>
  <c r="AP18" i="49" s="1"/>
  <c r="AP19" i="49" s="1"/>
  <c r="AP15" i="36" s="1"/>
  <c r="AS34" i="59" s="1"/>
  <c r="AT58" i="8"/>
  <c r="AT9" i="49" s="1"/>
  <c r="AT11" i="49" s="1"/>
  <c r="AT13" i="49" s="1"/>
  <c r="AT14" i="49" s="1"/>
  <c r="AT15" i="49" s="1"/>
  <c r="AT18" i="49" s="1"/>
  <c r="AT19" i="49" s="1"/>
  <c r="AT15" i="36" s="1"/>
  <c r="AT65" i="8" s="1"/>
  <c r="AJ65" i="8"/>
  <c r="AP63" i="8"/>
  <c r="AP65" i="8" l="1"/>
  <c r="AT63" i="8"/>
  <c r="AX58" i="8"/>
  <c r="AW34" i="59"/>
  <c r="AX9" i="49" l="1"/>
  <c r="AX11" i="49" s="1"/>
  <c r="AX13" i="49" s="1"/>
  <c r="AX14" i="49" s="1"/>
  <c r="AX15" i="49" s="1"/>
  <c r="AX18" i="49" s="1"/>
  <c r="AX19" i="49" s="1"/>
  <c r="AX15" i="36" s="1"/>
  <c r="AX63" i="8"/>
  <c r="BF58" i="8"/>
  <c r="BF9" i="49" s="1"/>
  <c r="BF11" i="49" s="1"/>
  <c r="BF13" i="49" s="1"/>
  <c r="BF14" i="49" s="1"/>
  <c r="BF15" i="49" s="1"/>
  <c r="BF18" i="49" s="1"/>
  <c r="BF19" i="49" s="1"/>
  <c r="BF15" i="36" s="1"/>
  <c r="BF65" i="8" l="1"/>
  <c r="BI34" i="59"/>
  <c r="BF63" i="8"/>
  <c r="BA34" i="59"/>
  <c r="AX65" i="8"/>
  <c r="J196" i="6"/>
  <c r="N196" i="6" l="1"/>
  <c r="R196" i="6" l="1"/>
  <c r="G111" i="17" l="1"/>
  <c r="K111" i="17" l="1"/>
  <c r="E111" i="17"/>
  <c r="I110" i="17"/>
  <c r="M110" i="17" l="1"/>
  <c r="J16" i="8" l="1"/>
  <c r="N16" i="8" s="1"/>
  <c r="R16" i="8" s="1"/>
  <c r="V16" i="8" l="1"/>
  <c r="AB16" i="8" s="1"/>
  <c r="AF16" i="8" l="1"/>
  <c r="L161" i="6"/>
  <c r="F161" i="6"/>
  <c r="AJ16" i="8" l="1"/>
  <c r="AP16" i="8" s="1"/>
  <c r="L31" i="6"/>
  <c r="L19" i="6"/>
  <c r="H161" i="6"/>
  <c r="F30" i="6"/>
  <c r="F19" i="6"/>
  <c r="AT16" i="8" l="1"/>
  <c r="AX16" i="8" s="1"/>
  <c r="BF16" i="8" s="1"/>
  <c r="F31" i="6"/>
  <c r="H30" i="6"/>
  <c r="H31" i="6" s="1"/>
  <c r="H19" i="6"/>
  <c r="J18" i="6"/>
  <c r="J147" i="6" l="1"/>
  <c r="M18" i="59" s="1"/>
  <c r="J148" i="6"/>
  <c r="M19" i="59" s="1"/>
  <c r="J149" i="6"/>
  <c r="M20" i="59" s="1"/>
  <c r="J145" i="6"/>
  <c r="J144" i="6"/>
  <c r="J161" i="6" s="1"/>
  <c r="J146" i="6"/>
  <c r="M17" i="59" s="1"/>
  <c r="E12" i="15"/>
  <c r="E13" i="15" s="1"/>
  <c r="J19" i="6"/>
  <c r="N18" i="6"/>
  <c r="J30" i="6"/>
  <c r="R18" i="6" l="1"/>
  <c r="N145" i="6"/>
  <c r="N149" i="6"/>
  <c r="Q20" i="59" s="1"/>
  <c r="N146" i="6"/>
  <c r="Q17" i="59" s="1"/>
  <c r="N148" i="6"/>
  <c r="Q19" i="59" s="1"/>
  <c r="N144" i="6"/>
  <c r="N147" i="6"/>
  <c r="Q18" i="59" s="1"/>
  <c r="N19" i="6"/>
  <c r="J31" i="6"/>
  <c r="N30" i="6"/>
  <c r="R30" i="6" s="1"/>
  <c r="V30" i="6" s="1"/>
  <c r="V31" i="6" s="1"/>
  <c r="V18" i="6" l="1"/>
  <c r="V19" i="6" s="1"/>
  <c r="R147" i="6"/>
  <c r="U18" i="59" s="1"/>
  <c r="R144" i="6"/>
  <c r="R149" i="6"/>
  <c r="U20" i="59" s="1"/>
  <c r="R145" i="6"/>
  <c r="R148" i="6"/>
  <c r="U19" i="59" s="1"/>
  <c r="R19" i="6"/>
  <c r="R146" i="6"/>
  <c r="U17" i="59" s="1"/>
  <c r="N161" i="6"/>
  <c r="R31" i="6"/>
  <c r="N31" i="6"/>
  <c r="V144" i="6" l="1"/>
  <c r="V161" i="6" s="1"/>
  <c r="AB18" i="6"/>
  <c r="AF18" i="6" s="1"/>
  <c r="AJ18" i="6" s="1"/>
  <c r="AP18" i="6" s="1"/>
  <c r="AT18" i="6" s="1"/>
  <c r="R161" i="6"/>
  <c r="V149" i="6"/>
  <c r="Y20" i="59" s="1"/>
  <c r="V148" i="6"/>
  <c r="Y19" i="59" s="1"/>
  <c r="V145" i="6"/>
  <c r="V146" i="6"/>
  <c r="Y17" i="59" s="1"/>
  <c r="V147" i="6"/>
  <c r="Y18" i="59" s="1"/>
  <c r="AB30" i="6"/>
  <c r="AF30" i="6" s="1"/>
  <c r="AB145" i="6" l="1"/>
  <c r="AF145" i="6" s="1"/>
  <c r="AJ19" i="6"/>
  <c r="AB19" i="6"/>
  <c r="AF19" i="6"/>
  <c r="AB144" i="6"/>
  <c r="AF144" i="6" s="1"/>
  <c r="AP19" i="6"/>
  <c r="AX18" i="6"/>
  <c r="BF18" i="6" s="1"/>
  <c r="AT19" i="6"/>
  <c r="AF31" i="6"/>
  <c r="AJ30" i="6"/>
  <c r="AB147" i="6"/>
  <c r="AE18" i="59" s="1"/>
  <c r="AB149" i="6"/>
  <c r="AE20" i="59" s="1"/>
  <c r="AB146" i="6"/>
  <c r="AE17" i="59" s="1"/>
  <c r="AB148" i="6"/>
  <c r="AE19" i="59" s="1"/>
  <c r="AB31" i="6"/>
  <c r="AB161" i="6" l="1"/>
  <c r="BF19" i="6"/>
  <c r="AX19" i="6"/>
  <c r="AJ31" i="6"/>
  <c r="AJ145" i="6"/>
  <c r="AP145" i="6" s="1"/>
  <c r="AT145" i="6" s="1"/>
  <c r="AX145" i="6" s="1"/>
  <c r="BF145" i="6" s="1"/>
  <c r="AF161" i="6"/>
  <c r="AJ144" i="6"/>
  <c r="AJ161" i="6" s="1"/>
  <c r="AF148" i="6"/>
  <c r="AI19" i="59" s="1"/>
  <c r="AF146" i="6"/>
  <c r="AI17" i="59" s="1"/>
  <c r="AF149" i="6"/>
  <c r="AI20" i="59" s="1"/>
  <c r="AF147" i="6"/>
  <c r="AI18" i="59" s="1"/>
  <c r="AJ147" i="6" l="1"/>
  <c r="AM18" i="59" s="1"/>
  <c r="AJ146" i="6"/>
  <c r="AM17" i="59" s="1"/>
  <c r="AJ149" i="6"/>
  <c r="AM20" i="59" s="1"/>
  <c r="AJ148" i="6"/>
  <c r="AM19" i="59" s="1"/>
  <c r="AP144" i="6"/>
  <c r="AT144" i="6" s="1"/>
  <c r="AP30" i="6"/>
  <c r="AT30" i="6" s="1"/>
  <c r="AX30" i="6" l="1"/>
  <c r="BF30" i="6" s="1"/>
  <c r="AT31" i="6"/>
  <c r="AT161" i="6"/>
  <c r="AX144" i="6"/>
  <c r="AP146" i="6"/>
  <c r="AP147" i="6"/>
  <c r="AP148" i="6"/>
  <c r="AP149" i="6"/>
  <c r="AP31" i="6"/>
  <c r="AP161" i="6"/>
  <c r="BF31" i="6" l="1"/>
  <c r="BH30" i="6"/>
  <c r="AX161" i="6"/>
  <c r="BF144" i="6"/>
  <c r="BF161" i="6" s="1"/>
  <c r="AS20" i="59"/>
  <c r="AT149" i="6"/>
  <c r="AX149" i="6" s="1"/>
  <c r="AT148" i="6"/>
  <c r="AX148" i="6" s="1"/>
  <c r="AS19" i="59"/>
  <c r="AT147" i="6"/>
  <c r="AX147" i="6" s="1"/>
  <c r="AS18" i="59"/>
  <c r="AT146" i="6"/>
  <c r="AX146" i="6" s="1"/>
  <c r="AS17" i="59"/>
  <c r="AX31" i="6"/>
  <c r="AW20" i="59"/>
  <c r="AW18" i="59" l="1"/>
  <c r="BA20" i="59"/>
  <c r="BF149" i="6"/>
  <c r="BI20" i="59" s="1"/>
  <c r="BA18" i="59"/>
  <c r="BF147" i="6"/>
  <c r="BI18" i="59" s="1"/>
  <c r="BA17" i="59"/>
  <c r="BF146" i="6"/>
  <c r="BI17" i="59" s="1"/>
  <c r="BA19" i="59"/>
  <c r="BF148" i="6"/>
  <c r="BI19" i="59" s="1"/>
  <c r="AW17" i="59"/>
  <c r="AW19" i="59"/>
  <c r="R19" i="21"/>
  <c r="V19" i="21" s="1"/>
  <c r="AF19" i="21" l="1"/>
  <c r="AJ19" i="21" s="1"/>
  <c r="AP19" i="21" s="1"/>
  <c r="AT19" i="21" s="1"/>
  <c r="R16" i="21"/>
  <c r="V16" i="21" s="1"/>
  <c r="AX19" i="21" l="1"/>
  <c r="BF19" i="21" s="1"/>
  <c r="AF16" i="21"/>
  <c r="AJ16" i="21" s="1"/>
  <c r="AP16" i="21" s="1"/>
  <c r="AT16" i="21" s="1"/>
  <c r="J10" i="21"/>
  <c r="N10" i="21" s="1"/>
  <c r="R10" i="21" l="1"/>
  <c r="V10" i="21" s="1"/>
  <c r="AB10" i="21"/>
  <c r="AX16" i="21"/>
  <c r="BF16" i="21" s="1"/>
  <c r="AF10" i="21"/>
  <c r="AJ10" i="21" s="1"/>
  <c r="AP10" i="21" s="1"/>
  <c r="AT10" i="21" s="1"/>
  <c r="P29" i="21"/>
  <c r="AX10" i="21" l="1"/>
  <c r="BF10" i="21" s="1"/>
  <c r="P12" i="21"/>
  <c r="P24" i="21"/>
  <c r="P25" i="21" s="1"/>
  <c r="P460" i="28" l="1"/>
  <c r="P459" i="28"/>
  <c r="P20" i="21"/>
  <c r="L29" i="21"/>
  <c r="F29" i="21" l="1"/>
  <c r="J26" i="21"/>
  <c r="L24" i="21"/>
  <c r="L25" i="21" s="1"/>
  <c r="N23" i="21" l="1"/>
  <c r="AB23" i="21" s="1"/>
  <c r="J429" i="28"/>
  <c r="J430" i="28" s="1"/>
  <c r="J9" i="21"/>
  <c r="N9" i="21" s="1"/>
  <c r="F12" i="21"/>
  <c r="N26" i="21"/>
  <c r="AB26" i="21" s="1"/>
  <c r="J29" i="21"/>
  <c r="J17" i="21"/>
  <c r="N17" i="21" s="1"/>
  <c r="R17" i="21" l="1"/>
  <c r="V17" i="21" s="1"/>
  <c r="AB17" i="21"/>
  <c r="F20" i="21"/>
  <c r="F460" i="28"/>
  <c r="F459" i="28"/>
  <c r="R9" i="21"/>
  <c r="V9" i="21" s="1"/>
  <c r="AB9" i="21"/>
  <c r="AF9" i="21" s="1"/>
  <c r="AF17" i="21"/>
  <c r="F22" i="21"/>
  <c r="F24" i="21" s="1"/>
  <c r="F25" i="21" s="1"/>
  <c r="N429" i="28"/>
  <c r="N430" i="28" s="1"/>
  <c r="R23" i="21"/>
  <c r="V23" i="21" s="1"/>
  <c r="AF23" i="21" s="1"/>
  <c r="AJ23" i="21" s="1"/>
  <c r="R26" i="21"/>
  <c r="V26" i="21" s="1"/>
  <c r="N29" i="21"/>
  <c r="J11" i="21"/>
  <c r="N11" i="21" s="1"/>
  <c r="J8" i="21"/>
  <c r="R11" i="21" l="1"/>
  <c r="V11" i="21" s="1"/>
  <c r="AB11" i="21"/>
  <c r="AF11" i="21" s="1"/>
  <c r="AJ17" i="21"/>
  <c r="AP17" i="21" s="1"/>
  <c r="AT17" i="21" s="1"/>
  <c r="AJ9" i="21"/>
  <c r="AP9" i="21" s="1"/>
  <c r="AT9" i="21" s="1"/>
  <c r="V29" i="21"/>
  <c r="AF26" i="21"/>
  <c r="R429" i="28"/>
  <c r="J12" i="21"/>
  <c r="R29" i="21"/>
  <c r="N8" i="21"/>
  <c r="AB8" i="21" s="1"/>
  <c r="J22" i="21"/>
  <c r="J459" i="28" l="1"/>
  <c r="J460" i="28"/>
  <c r="AX9" i="21"/>
  <c r="BF9" i="21" s="1"/>
  <c r="AF29" i="21"/>
  <c r="AJ26" i="21"/>
  <c r="AJ29" i="21" s="1"/>
  <c r="AX17" i="21"/>
  <c r="BF17" i="21" s="1"/>
  <c r="AJ11" i="21"/>
  <c r="AP11" i="21" s="1"/>
  <c r="AT11" i="21" s="1"/>
  <c r="R430" i="28"/>
  <c r="V429" i="28"/>
  <c r="V430" i="28" s="1"/>
  <c r="N12" i="21"/>
  <c r="J20" i="21"/>
  <c r="AP23" i="21"/>
  <c r="AB29" i="21"/>
  <c r="R8" i="21"/>
  <c r="V8" i="21" s="1"/>
  <c r="J24" i="21"/>
  <c r="J25" i="21" s="1"/>
  <c r="N22" i="21"/>
  <c r="AB22" i="21" s="1"/>
  <c r="N20" i="21" l="1"/>
  <c r="N460" i="28"/>
  <c r="N459" i="28"/>
  <c r="AX11" i="21"/>
  <c r="BF11" i="21" s="1"/>
  <c r="AT23" i="21"/>
  <c r="AX23" i="21" s="1"/>
  <c r="BF23" i="21" s="1"/>
  <c r="AB429" i="28"/>
  <c r="V12" i="21"/>
  <c r="AF8" i="21"/>
  <c r="R12" i="21"/>
  <c r="N24" i="21"/>
  <c r="N25" i="21" s="1"/>
  <c r="R22" i="21"/>
  <c r="V22" i="21" s="1"/>
  <c r="V460" i="28" l="1"/>
  <c r="V459" i="28"/>
  <c r="R460" i="28"/>
  <c r="R459" i="28"/>
  <c r="AF12" i="21"/>
  <c r="AJ8" i="21"/>
  <c r="AJ12" i="21" s="1"/>
  <c r="R20" i="21"/>
  <c r="AB430" i="28"/>
  <c r="AF429" i="28"/>
  <c r="V20" i="21"/>
  <c r="AP26" i="21"/>
  <c r="V24" i="21"/>
  <c r="V25" i="21" s="1"/>
  <c r="AF22" i="21"/>
  <c r="AB12" i="21"/>
  <c r="R24" i="21"/>
  <c r="R25" i="21" s="1"/>
  <c r="AJ459" i="28" l="1"/>
  <c r="AJ460" i="28"/>
  <c r="AB459" i="28"/>
  <c r="AB460" i="28"/>
  <c r="AF460" i="28"/>
  <c r="AF459" i="28"/>
  <c r="AF24" i="21"/>
  <c r="AF25" i="21" s="1"/>
  <c r="AJ22" i="21"/>
  <c r="AJ24" i="21" s="1"/>
  <c r="AJ25" i="21" s="1"/>
  <c r="AB20" i="21"/>
  <c r="AJ20" i="21"/>
  <c r="AF20" i="21"/>
  <c r="AF430" i="28"/>
  <c r="AJ429" i="28"/>
  <c r="AP29" i="21"/>
  <c r="AT26" i="21"/>
  <c r="AX26" i="21" s="1"/>
  <c r="BF26" i="21" s="1"/>
  <c r="AB24" i="21"/>
  <c r="AB25" i="21" s="1"/>
  <c r="AX29" i="21" l="1"/>
  <c r="AJ430" i="28"/>
  <c r="AP429" i="28"/>
  <c r="AT29" i="21"/>
  <c r="AP8" i="21"/>
  <c r="AP430" i="28" l="1"/>
  <c r="AT429" i="28"/>
  <c r="AX429" i="28" s="1"/>
  <c r="AX430" i="28" s="1"/>
  <c r="BF29" i="21"/>
  <c r="AP12" i="21"/>
  <c r="AT8" i="21"/>
  <c r="AX8" i="21" s="1"/>
  <c r="BF8" i="21" s="1"/>
  <c r="AP22" i="21"/>
  <c r="AT430" i="28" l="1"/>
  <c r="AP460" i="28"/>
  <c r="AP459" i="28"/>
  <c r="AX12" i="21"/>
  <c r="AX13" i="21" s="1"/>
  <c r="AP20" i="21"/>
  <c r="AT12" i="21"/>
  <c r="AP24" i="21"/>
  <c r="AP25" i="21" s="1"/>
  <c r="AT22" i="21"/>
  <c r="AX22" i="21" s="1"/>
  <c r="BF22" i="21" s="1"/>
  <c r="AX460" i="28" l="1"/>
  <c r="AX459" i="28"/>
  <c r="AT459" i="28"/>
  <c r="AT460" i="28"/>
  <c r="AX24" i="21"/>
  <c r="AX25" i="21" s="1"/>
  <c r="AX20" i="21"/>
  <c r="AT20" i="21"/>
  <c r="BF429" i="28"/>
  <c r="BF430" i="28" s="1"/>
  <c r="BF12" i="21"/>
  <c r="AT24" i="21"/>
  <c r="AT25" i="21" s="1"/>
  <c r="BF20" i="21" l="1"/>
  <c r="BF460" i="28"/>
  <c r="BF459" i="28"/>
  <c r="J13" i="9"/>
  <c r="N13" i="9" s="1"/>
  <c r="R13" i="9" s="1"/>
  <c r="V13" i="9" l="1"/>
  <c r="J14" i="9"/>
  <c r="N14" i="9" s="1"/>
  <c r="R14" i="9" s="1"/>
  <c r="AB13" i="9" l="1"/>
  <c r="V14" i="9"/>
  <c r="AB14" i="9" s="1"/>
  <c r="H86" i="9"/>
  <c r="F86" i="9"/>
  <c r="AF14" i="9" l="1"/>
  <c r="AF13" i="9"/>
  <c r="G113" i="17"/>
  <c r="G115" i="17" s="1"/>
  <c r="E113" i="17"/>
  <c r="E115" i="17" s="1"/>
  <c r="AJ13" i="9" l="1"/>
  <c r="AP13" i="9" s="1"/>
  <c r="AT13" i="9" s="1"/>
  <c r="AX13" i="9" s="1"/>
  <c r="BF13" i="9" s="1"/>
  <c r="AJ14" i="9"/>
  <c r="AP14" i="9" s="1"/>
  <c r="AT14" i="9" s="1"/>
  <c r="AX14" i="9" s="1"/>
  <c r="BF14" i="9" s="1"/>
  <c r="T15" i="8"/>
  <c r="V15" i="8"/>
  <c r="Z15" i="8" l="1"/>
  <c r="AB15" i="8" l="1"/>
  <c r="AN15" i="8" l="1"/>
  <c r="AP15" i="8" l="1"/>
  <c r="BF15" i="8" l="1"/>
  <c r="R86" i="9" l="1"/>
  <c r="L86" i="9" l="1"/>
  <c r="N86" i="9"/>
  <c r="J86" i="9"/>
  <c r="AB86" i="9" l="1"/>
  <c r="Z86" i="9"/>
  <c r="K113" i="17" l="1"/>
  <c r="K115" i="17" s="1"/>
  <c r="L11" i="6" l="1"/>
  <c r="L14" i="6"/>
  <c r="P39" i="7"/>
  <c r="F14" i="6"/>
  <c r="J186" i="6"/>
  <c r="J182" i="6"/>
  <c r="J194" i="6"/>
  <c r="J197" i="6" s="1"/>
  <c r="J183" i="6"/>
  <c r="J190" i="6"/>
  <c r="J192" i="6" s="1"/>
  <c r="L226" i="6" l="1"/>
  <c r="L248" i="6"/>
  <c r="L234" i="6"/>
  <c r="F234" i="6"/>
  <c r="F226" i="6"/>
  <c r="F248" i="6"/>
  <c r="L152" i="6"/>
  <c r="L157" i="6"/>
  <c r="L13" i="6"/>
  <c r="L7" i="6"/>
  <c r="H11" i="6"/>
  <c r="H13" i="6"/>
  <c r="H131" i="6" s="1"/>
  <c r="H14" i="6"/>
  <c r="H7" i="6"/>
  <c r="F7" i="6"/>
  <c r="F13" i="6"/>
  <c r="H12" i="6"/>
  <c r="L12" i="6"/>
  <c r="I88" i="26"/>
  <c r="J189" i="6"/>
  <c r="J193" i="6" s="1"/>
  <c r="J198" i="6" s="1"/>
  <c r="J127" i="10"/>
  <c r="L55" i="6"/>
  <c r="P50" i="7"/>
  <c r="L41" i="7"/>
  <c r="L64" i="7" s="1"/>
  <c r="H41" i="7"/>
  <c r="H64" i="7" s="1"/>
  <c r="I112" i="17"/>
  <c r="I114" i="17" s="1"/>
  <c r="I113" i="17"/>
  <c r="F41" i="7"/>
  <c r="F64" i="7" s="1"/>
  <c r="F11" i="6"/>
  <c r="F12" i="6"/>
  <c r="N186" i="6"/>
  <c r="N194" i="6"/>
  <c r="N197" i="6" s="1"/>
  <c r="N190" i="6"/>
  <c r="N192" i="6" s="1"/>
  <c r="L236" i="6" l="1"/>
  <c r="L237" i="6" s="1"/>
  <c r="L250" i="6"/>
  <c r="L251" i="6" s="1"/>
  <c r="L249" i="6"/>
  <c r="L225" i="6"/>
  <c r="L242" i="6"/>
  <c r="L228" i="6"/>
  <c r="L235" i="6"/>
  <c r="F235" i="6"/>
  <c r="H234" i="6"/>
  <c r="H226" i="6"/>
  <c r="H248" i="6"/>
  <c r="F236" i="6"/>
  <c r="F237" i="6" s="1"/>
  <c r="F225" i="6"/>
  <c r="F242" i="6"/>
  <c r="H228" i="6"/>
  <c r="H242" i="6"/>
  <c r="H225" i="6"/>
  <c r="F249" i="6"/>
  <c r="F250" i="6"/>
  <c r="F251" i="6" s="1"/>
  <c r="H152" i="6"/>
  <c r="F127" i="6"/>
  <c r="F228" i="6"/>
  <c r="H60" i="6"/>
  <c r="L60" i="6"/>
  <c r="L54" i="6"/>
  <c r="L127" i="6"/>
  <c r="L131" i="6"/>
  <c r="F15" i="6"/>
  <c r="F59" i="6" s="1"/>
  <c r="H127" i="6"/>
  <c r="F60" i="6"/>
  <c r="H157" i="6"/>
  <c r="H55" i="6"/>
  <c r="J7" i="6"/>
  <c r="L15" i="6"/>
  <c r="L36" i="6" s="1"/>
  <c r="M88" i="26"/>
  <c r="M111" i="17"/>
  <c r="J12" i="6"/>
  <c r="F55" i="6"/>
  <c r="H54" i="6"/>
  <c r="F54" i="6"/>
  <c r="M112" i="17"/>
  <c r="M114" i="17" s="1"/>
  <c r="M113" i="17"/>
  <c r="L39" i="7"/>
  <c r="R182" i="6"/>
  <c r="N182" i="6"/>
  <c r="N183" i="6"/>
  <c r="J11" i="6"/>
  <c r="H15" i="6"/>
  <c r="H59" i="6" s="1"/>
  <c r="H39" i="7"/>
  <c r="I111" i="17"/>
  <c r="I115" i="17" s="1"/>
  <c r="F39" i="7"/>
  <c r="J30" i="7"/>
  <c r="J14" i="6"/>
  <c r="F152" i="6"/>
  <c r="F157" i="6"/>
  <c r="F131" i="6"/>
  <c r="J13" i="6"/>
  <c r="J131" i="6" s="1"/>
  <c r="R186" i="6"/>
  <c r="R190" i="6"/>
  <c r="R192" i="6" s="1"/>
  <c r="R194" i="6"/>
  <c r="R197" i="6" s="1"/>
  <c r="L238" i="6" l="1"/>
  <c r="F238" i="6"/>
  <c r="L252" i="6"/>
  <c r="L229" i="6"/>
  <c r="L230" i="6"/>
  <c r="L231" i="6" s="1"/>
  <c r="L244" i="6"/>
  <c r="L245" i="6" s="1"/>
  <c r="L243" i="6"/>
  <c r="F252" i="6"/>
  <c r="F229" i="6"/>
  <c r="F243" i="6"/>
  <c r="F244" i="6"/>
  <c r="F245" i="6" s="1"/>
  <c r="H250" i="6"/>
  <c r="H251" i="6" s="1"/>
  <c r="H249" i="6"/>
  <c r="J242" i="6"/>
  <c r="J228" i="6"/>
  <c r="J225" i="6"/>
  <c r="J234" i="6"/>
  <c r="J248" i="6"/>
  <c r="J226" i="6"/>
  <c r="H243" i="6"/>
  <c r="H244" i="6"/>
  <c r="H245" i="6" s="1"/>
  <c r="H230" i="6"/>
  <c r="H231" i="6" s="1"/>
  <c r="H229" i="6"/>
  <c r="H235" i="6"/>
  <c r="H236" i="6"/>
  <c r="H237" i="6" s="1"/>
  <c r="J132" i="6"/>
  <c r="J158" i="6"/>
  <c r="F230" i="6"/>
  <c r="F231" i="6" s="1"/>
  <c r="N30" i="7"/>
  <c r="N41" i="7" s="1"/>
  <c r="N64" i="7" s="1"/>
  <c r="J41" i="7"/>
  <c r="J64" i="7" s="1"/>
  <c r="L59" i="6"/>
  <c r="N7" i="6"/>
  <c r="L34" i="6"/>
  <c r="L35" i="6"/>
  <c r="L56" i="6"/>
  <c r="L33" i="6"/>
  <c r="Q88" i="26"/>
  <c r="N189" i="6"/>
  <c r="N193" i="6" s="1"/>
  <c r="N198" i="6" s="1"/>
  <c r="H56" i="6"/>
  <c r="N14" i="6"/>
  <c r="N55" i="6" s="1"/>
  <c r="J55" i="6"/>
  <c r="N13" i="6"/>
  <c r="J60" i="6"/>
  <c r="J54" i="6"/>
  <c r="F56" i="6"/>
  <c r="R183" i="6"/>
  <c r="R189" i="6" s="1"/>
  <c r="R193" i="6" s="1"/>
  <c r="R198" i="6" s="1"/>
  <c r="N12" i="6"/>
  <c r="M115" i="17"/>
  <c r="L50" i="7"/>
  <c r="N11" i="6"/>
  <c r="H34" i="6"/>
  <c r="H35" i="6"/>
  <c r="H36" i="6"/>
  <c r="H33" i="6"/>
  <c r="H50" i="7"/>
  <c r="F50" i="7"/>
  <c r="J39" i="7"/>
  <c r="J157" i="6"/>
  <c r="J152" i="6"/>
  <c r="J15" i="6"/>
  <c r="J35" i="6" s="1"/>
  <c r="J127" i="6"/>
  <c r="F33" i="6"/>
  <c r="F35" i="6"/>
  <c r="F36" i="6"/>
  <c r="F34" i="6"/>
  <c r="L232" i="6" l="1"/>
  <c r="L239" i="6" s="1"/>
  <c r="K6" i="48" s="1"/>
  <c r="L246" i="6"/>
  <c r="L253" i="6" s="1"/>
  <c r="H246" i="6"/>
  <c r="H238" i="6"/>
  <c r="H232" i="6"/>
  <c r="H252" i="6"/>
  <c r="N234" i="6"/>
  <c r="N248" i="6"/>
  <c r="N226" i="6"/>
  <c r="J229" i="6"/>
  <c r="J230" i="6"/>
  <c r="J231" i="6" s="1"/>
  <c r="F246" i="6"/>
  <c r="F253" i="6" s="1"/>
  <c r="E7" i="48" s="1"/>
  <c r="N242" i="6"/>
  <c r="N228" i="6"/>
  <c r="N225" i="6"/>
  <c r="J250" i="6"/>
  <c r="J251" i="6" s="1"/>
  <c r="J249" i="6"/>
  <c r="J243" i="6"/>
  <c r="J244" i="6"/>
  <c r="J245" i="6" s="1"/>
  <c r="J236" i="6"/>
  <c r="J237" i="6" s="1"/>
  <c r="J235" i="6"/>
  <c r="N39" i="7"/>
  <c r="F232" i="6"/>
  <c r="F239" i="6" s="1"/>
  <c r="N158" i="6"/>
  <c r="N132" i="6"/>
  <c r="R13" i="6"/>
  <c r="V13" i="6" s="1"/>
  <c r="N60" i="6"/>
  <c r="N152" i="6"/>
  <c r="R14" i="6"/>
  <c r="V14" i="6" s="1"/>
  <c r="R30" i="7"/>
  <c r="L37" i="6"/>
  <c r="N131" i="6"/>
  <c r="N157" i="6"/>
  <c r="N127" i="6"/>
  <c r="J56" i="6"/>
  <c r="N54" i="6"/>
  <c r="N15" i="6"/>
  <c r="N35" i="6" s="1"/>
  <c r="J59" i="6"/>
  <c r="N50" i="7"/>
  <c r="H37" i="6"/>
  <c r="J50" i="7"/>
  <c r="J36" i="6"/>
  <c r="J33" i="6"/>
  <c r="J34" i="6"/>
  <c r="F37" i="6"/>
  <c r="R14" i="49"/>
  <c r="R15" i="49" s="1"/>
  <c r="R18" i="49" s="1"/>
  <c r="R19" i="49" s="1"/>
  <c r="R15" i="36" s="1"/>
  <c r="U34" i="59" s="1"/>
  <c r="R65" i="8" l="1"/>
  <c r="L255" i="6"/>
  <c r="R41" i="7"/>
  <c r="R64" i="7" s="1"/>
  <c r="V30" i="7"/>
  <c r="V152" i="6"/>
  <c r="V157" i="6"/>
  <c r="V226" i="6"/>
  <c r="V248" i="6"/>
  <c r="V234" i="6"/>
  <c r="V55" i="6"/>
  <c r="V15" i="6"/>
  <c r="V59" i="6" s="1"/>
  <c r="V225" i="6"/>
  <c r="V242" i="6"/>
  <c r="V60" i="6"/>
  <c r="V228" i="6"/>
  <c r="V54" i="6"/>
  <c r="V131" i="6"/>
  <c r="V127" i="6"/>
  <c r="K7" i="48"/>
  <c r="K8" i="48" s="1"/>
  <c r="H253" i="6"/>
  <c r="G7" i="48" s="1"/>
  <c r="H239" i="6"/>
  <c r="J238" i="6"/>
  <c r="J246" i="6"/>
  <c r="J232" i="6"/>
  <c r="R248" i="6"/>
  <c r="R234" i="6"/>
  <c r="R226" i="6"/>
  <c r="R54" i="6"/>
  <c r="R228" i="6"/>
  <c r="R242" i="6"/>
  <c r="R225" i="6"/>
  <c r="N236" i="6"/>
  <c r="N237" i="6" s="1"/>
  <c r="N235" i="6"/>
  <c r="J252" i="6"/>
  <c r="N230" i="6"/>
  <c r="N231" i="6" s="1"/>
  <c r="N229" i="6"/>
  <c r="N243" i="6"/>
  <c r="N244" i="6"/>
  <c r="N245" i="6" s="1"/>
  <c r="N249" i="6"/>
  <c r="N250" i="6"/>
  <c r="N251" i="6" s="1"/>
  <c r="E6" i="48"/>
  <c r="E8" i="48" s="1"/>
  <c r="F255" i="6"/>
  <c r="R127" i="6"/>
  <c r="R15" i="6"/>
  <c r="R59" i="6" s="1"/>
  <c r="R132" i="6"/>
  <c r="V132" i="6" s="1"/>
  <c r="R131" i="6"/>
  <c r="R158" i="6"/>
  <c r="V158" i="6" s="1"/>
  <c r="R60" i="6"/>
  <c r="R152" i="6"/>
  <c r="R157" i="6"/>
  <c r="R55" i="6"/>
  <c r="R39" i="7"/>
  <c r="N36" i="6"/>
  <c r="N33" i="6"/>
  <c r="N56" i="6"/>
  <c r="N34" i="6"/>
  <c r="N59" i="6"/>
  <c r="J37" i="6"/>
  <c r="V56" i="6" l="1"/>
  <c r="V235" i="6"/>
  <c r="V236" i="6"/>
  <c r="V237" i="6" s="1"/>
  <c r="V230" i="6"/>
  <c r="V231" i="6" s="1"/>
  <c r="V229" i="6"/>
  <c r="V243" i="6"/>
  <c r="V244" i="6"/>
  <c r="V245" i="6" s="1"/>
  <c r="V35" i="6"/>
  <c r="V34" i="6"/>
  <c r="V36" i="6"/>
  <c r="V33" i="6"/>
  <c r="V250" i="6"/>
  <c r="V251" i="6" s="1"/>
  <c r="V249" i="6"/>
  <c r="V41" i="7"/>
  <c r="V39" i="7"/>
  <c r="H255" i="6"/>
  <c r="G6" i="48"/>
  <c r="G8" i="48" s="1"/>
  <c r="N232" i="6"/>
  <c r="J239" i="6"/>
  <c r="I6" i="48" s="1"/>
  <c r="J253" i="6"/>
  <c r="I7" i="48" s="1"/>
  <c r="N238" i="6"/>
  <c r="N246" i="6"/>
  <c r="N252" i="6"/>
  <c r="R243" i="6"/>
  <c r="R244" i="6"/>
  <c r="R245" i="6" s="1"/>
  <c r="R235" i="6"/>
  <c r="R236" i="6"/>
  <c r="R237" i="6" s="1"/>
  <c r="R230" i="6"/>
  <c r="R231" i="6" s="1"/>
  <c r="R229" i="6"/>
  <c r="R250" i="6"/>
  <c r="R251" i="6" s="1"/>
  <c r="R249" i="6"/>
  <c r="R35" i="6"/>
  <c r="AB14" i="6"/>
  <c r="AF14" i="6" s="1"/>
  <c r="AB13" i="6"/>
  <c r="AF13" i="6" s="1"/>
  <c r="AB30" i="7"/>
  <c r="AF30" i="7" s="1"/>
  <c r="AJ30" i="7" s="1"/>
  <c r="AP30" i="7" s="1"/>
  <c r="R33" i="6"/>
  <c r="R56" i="6"/>
  <c r="R34" i="6"/>
  <c r="R36" i="6"/>
  <c r="R50" i="7"/>
  <c r="N37" i="6"/>
  <c r="AP39" i="7" l="1"/>
  <c r="AT30" i="7"/>
  <c r="AX30" i="7" s="1"/>
  <c r="AP41" i="7"/>
  <c r="AJ39" i="7"/>
  <c r="AJ41" i="7"/>
  <c r="AJ13" i="6"/>
  <c r="AJ14" i="6"/>
  <c r="AF152" i="6"/>
  <c r="AF157" i="6"/>
  <c r="AF55" i="6"/>
  <c r="AF60" i="6"/>
  <c r="AF15" i="6"/>
  <c r="AF54" i="6"/>
  <c r="AF127" i="6"/>
  <c r="AF131" i="6"/>
  <c r="AF41" i="7"/>
  <c r="AF39" i="7"/>
  <c r="V246" i="6"/>
  <c r="V232" i="6"/>
  <c r="V37" i="6"/>
  <c r="V238" i="6"/>
  <c r="V64" i="7"/>
  <c r="V50" i="7"/>
  <c r="V252" i="6"/>
  <c r="N239" i="6"/>
  <c r="M6" i="48" s="1"/>
  <c r="N253" i="6"/>
  <c r="M7" i="48" s="1"/>
  <c r="J255" i="6"/>
  <c r="I8" i="48"/>
  <c r="R252" i="6"/>
  <c r="R246" i="6"/>
  <c r="AB152" i="6"/>
  <c r="AB248" i="6"/>
  <c r="AB234" i="6"/>
  <c r="AB226" i="6"/>
  <c r="R232" i="6"/>
  <c r="AB225" i="6"/>
  <c r="AB242" i="6"/>
  <c r="AB228" i="6"/>
  <c r="R238" i="6"/>
  <c r="AB58" i="6"/>
  <c r="AF58" i="6" s="1"/>
  <c r="AB157" i="6"/>
  <c r="AB55" i="6"/>
  <c r="AB158" i="6"/>
  <c r="AF158" i="6" s="1"/>
  <c r="AJ158" i="6" s="1"/>
  <c r="AB132" i="6"/>
  <c r="AF132" i="6" s="1"/>
  <c r="AJ132" i="6" s="1"/>
  <c r="AB41" i="7"/>
  <c r="AB64" i="7" s="1"/>
  <c r="AB60" i="6"/>
  <c r="AB57" i="6"/>
  <c r="AF57" i="6" s="1"/>
  <c r="AJ57" i="6" s="1"/>
  <c r="AB131" i="6"/>
  <c r="AB54" i="6"/>
  <c r="AB127" i="6"/>
  <c r="AB15" i="6"/>
  <c r="AB33" i="6" s="1"/>
  <c r="AB39" i="7"/>
  <c r="R37" i="6"/>
  <c r="AX39" i="7" l="1"/>
  <c r="AX41" i="7"/>
  <c r="AJ58" i="6"/>
  <c r="AP50" i="7"/>
  <c r="AP64" i="7"/>
  <c r="AT41" i="7"/>
  <c r="AT39" i="7"/>
  <c r="AJ64" i="7"/>
  <c r="AJ50" i="7"/>
  <c r="AJ152" i="6"/>
  <c r="AJ226" i="6"/>
  <c r="AJ55" i="6"/>
  <c r="AJ157" i="6"/>
  <c r="AJ248" i="6"/>
  <c r="AJ234" i="6"/>
  <c r="AJ60" i="6"/>
  <c r="AJ225" i="6"/>
  <c r="AJ127" i="6"/>
  <c r="AJ54" i="6"/>
  <c r="AJ228" i="6"/>
  <c r="AJ131" i="6"/>
  <c r="AJ15" i="6"/>
  <c r="AJ242" i="6"/>
  <c r="AF59" i="6"/>
  <c r="AF56" i="6"/>
  <c r="AF50" i="7"/>
  <c r="AF64" i="7"/>
  <c r="AF35" i="6"/>
  <c r="AF36" i="6"/>
  <c r="AF34" i="6"/>
  <c r="AF33" i="6"/>
  <c r="V239" i="6"/>
  <c r="V253" i="6"/>
  <c r="N255" i="6"/>
  <c r="M8" i="48"/>
  <c r="R253" i="6"/>
  <c r="Q7" i="48" s="1"/>
  <c r="AF226" i="6"/>
  <c r="AF248" i="6"/>
  <c r="AF234" i="6"/>
  <c r="AF236" i="6" s="1"/>
  <c r="AB249" i="6"/>
  <c r="AB250" i="6"/>
  <c r="AB251" i="6" s="1"/>
  <c r="AF242" i="6"/>
  <c r="AF228" i="6"/>
  <c r="AF225" i="6"/>
  <c r="AB230" i="6"/>
  <c r="AB231" i="6" s="1"/>
  <c r="AB229" i="6"/>
  <c r="AB244" i="6"/>
  <c r="AB245" i="6" s="1"/>
  <c r="AB243" i="6"/>
  <c r="R239" i="6"/>
  <c r="AB235" i="6"/>
  <c r="AB236" i="6"/>
  <c r="AB237" i="6" s="1"/>
  <c r="AB56" i="6"/>
  <c r="AB35" i="6"/>
  <c r="AB50" i="7"/>
  <c r="AB36" i="6"/>
  <c r="AB59" i="6"/>
  <c r="AB34" i="6"/>
  <c r="AX64" i="7" l="1"/>
  <c r="AX50" i="7"/>
  <c r="AT50" i="7"/>
  <c r="AT64" i="7"/>
  <c r="AJ56" i="6"/>
  <c r="AJ230" i="6"/>
  <c r="AJ231" i="6" s="1"/>
  <c r="AJ229" i="6"/>
  <c r="AJ243" i="6"/>
  <c r="AJ244" i="6"/>
  <c r="AJ245" i="6" s="1"/>
  <c r="AJ236" i="6"/>
  <c r="AJ237" i="6" s="1"/>
  <c r="AJ235" i="6"/>
  <c r="AJ36" i="6"/>
  <c r="AJ35" i="6"/>
  <c r="AJ34" i="6"/>
  <c r="AJ33" i="6"/>
  <c r="AJ250" i="6"/>
  <c r="AJ251" i="6" s="1"/>
  <c r="AJ249" i="6"/>
  <c r="AJ59" i="6"/>
  <c r="AF37" i="6"/>
  <c r="V255" i="6"/>
  <c r="U6" i="48"/>
  <c r="BF30" i="7"/>
  <c r="AB252" i="6"/>
  <c r="U7" i="48"/>
  <c r="AF237" i="6"/>
  <c r="AB246" i="6"/>
  <c r="AP13" i="6"/>
  <c r="AB238" i="6"/>
  <c r="AF250" i="6"/>
  <c r="AF251" i="6" s="1"/>
  <c r="AF249" i="6"/>
  <c r="Q6" i="48"/>
  <c r="Q8" i="48" s="1"/>
  <c r="R255" i="6"/>
  <c r="AB232" i="6"/>
  <c r="AF229" i="6"/>
  <c r="AF230" i="6"/>
  <c r="AF231" i="6" s="1"/>
  <c r="AF235" i="6"/>
  <c r="AF244" i="6"/>
  <c r="AF245" i="6" s="1"/>
  <c r="AF243" i="6"/>
  <c r="AP14" i="6"/>
  <c r="AB37" i="6"/>
  <c r="AJ246" i="6" l="1"/>
  <c r="AT14" i="6"/>
  <c r="AP60" i="6"/>
  <c r="AT13" i="6"/>
  <c r="AJ238" i="6"/>
  <c r="AJ232" i="6"/>
  <c r="AJ252" i="6"/>
  <c r="AJ37" i="6"/>
  <c r="AP57" i="6"/>
  <c r="BF41" i="7"/>
  <c r="BF39" i="7"/>
  <c r="AB239" i="6"/>
  <c r="AA6" i="48" s="1"/>
  <c r="AP131" i="6"/>
  <c r="AP127" i="6"/>
  <c r="AP132" i="6"/>
  <c r="AT132" i="6" s="1"/>
  <c r="AB253" i="6"/>
  <c r="AA7" i="48" s="1"/>
  <c r="AP54" i="6"/>
  <c r="AP228" i="6"/>
  <c r="AP230" i="6" s="1"/>
  <c r="AF238" i="6"/>
  <c r="U8" i="48"/>
  <c r="AP225" i="6"/>
  <c r="AP242" i="6"/>
  <c r="AP244" i="6" s="1"/>
  <c r="AF232" i="6"/>
  <c r="AF252" i="6"/>
  <c r="AF246" i="6"/>
  <c r="AP248" i="6"/>
  <c r="AP234" i="6"/>
  <c r="AP226" i="6"/>
  <c r="AP15" i="6"/>
  <c r="AP34" i="6" s="1"/>
  <c r="AP58" i="6"/>
  <c r="AT58" i="6" s="1"/>
  <c r="AP158" i="6"/>
  <c r="AT158" i="6" s="1"/>
  <c r="AP157" i="6"/>
  <c r="AP152" i="6"/>
  <c r="AP55" i="6"/>
  <c r="AJ253" i="6" l="1"/>
  <c r="AJ239" i="6"/>
  <c r="AX14" i="6"/>
  <c r="AX58" i="6" s="1"/>
  <c r="AT157" i="6"/>
  <c r="AT55" i="6"/>
  <c r="AT152" i="6"/>
  <c r="AT57" i="6"/>
  <c r="AX13" i="6"/>
  <c r="BF13" i="6" s="1"/>
  <c r="AT15" i="6"/>
  <c r="AT60" i="6"/>
  <c r="AT54" i="6"/>
  <c r="AT127" i="6"/>
  <c r="AT131" i="6"/>
  <c r="BF64" i="7"/>
  <c r="BF50" i="7"/>
  <c r="AB255" i="6"/>
  <c r="AT234" i="6"/>
  <c r="AT226" i="6"/>
  <c r="AT248" i="6"/>
  <c r="AT250" i="6" s="1"/>
  <c r="AP229" i="6"/>
  <c r="AA8" i="48"/>
  <c r="AP231" i="6"/>
  <c r="AP35" i="6"/>
  <c r="AP59" i="6"/>
  <c r="AP36" i="6"/>
  <c r="AP56" i="6"/>
  <c r="AP245" i="6"/>
  <c r="AP33" i="6"/>
  <c r="AP243" i="6"/>
  <c r="AT225" i="6"/>
  <c r="AT228" i="6"/>
  <c r="AT242" i="6"/>
  <c r="AF253" i="6"/>
  <c r="AE7" i="48" s="1"/>
  <c r="AF239" i="6"/>
  <c r="AE6" i="48" s="1"/>
  <c r="AP236" i="6"/>
  <c r="AP237" i="6" s="1"/>
  <c r="AP235" i="6"/>
  <c r="AP250" i="6"/>
  <c r="AP251" i="6" s="1"/>
  <c r="AP249" i="6"/>
  <c r="AJ255" i="6" l="1"/>
  <c r="AT56" i="6"/>
  <c r="AT59" i="6"/>
  <c r="BF60" i="6"/>
  <c r="BF54" i="6"/>
  <c r="BF127" i="6"/>
  <c r="BF228" i="6"/>
  <c r="BF242" i="6"/>
  <c r="BF225" i="6"/>
  <c r="BF131" i="6"/>
  <c r="BF14" i="6"/>
  <c r="AX132" i="6"/>
  <c r="BF132" i="6" s="1"/>
  <c r="AX15" i="6"/>
  <c r="AX225" i="6"/>
  <c r="AX60" i="6"/>
  <c r="AX54" i="6"/>
  <c r="AX242" i="6"/>
  <c r="AX228" i="6"/>
  <c r="AX127" i="6"/>
  <c r="AX131" i="6"/>
  <c r="AT34" i="6"/>
  <c r="AT35" i="6"/>
  <c r="AT36" i="6"/>
  <c r="AT33" i="6"/>
  <c r="AX158" i="6"/>
  <c r="AX157" i="6"/>
  <c r="AX226" i="6"/>
  <c r="AX234" i="6"/>
  <c r="AX248" i="6"/>
  <c r="AX55" i="6"/>
  <c r="AX152" i="6"/>
  <c r="AX57" i="6"/>
  <c r="AX59" i="6" s="1"/>
  <c r="AP37" i="6"/>
  <c r="AP246" i="6"/>
  <c r="AE8" i="48"/>
  <c r="AT251" i="6"/>
  <c r="AT249" i="6"/>
  <c r="AT235" i="6"/>
  <c r="AT236" i="6"/>
  <c r="AT237" i="6" s="1"/>
  <c r="AP232" i="6"/>
  <c r="AF255" i="6"/>
  <c r="AT243" i="6"/>
  <c r="AT244" i="6"/>
  <c r="AT245" i="6" s="1"/>
  <c r="AI7" i="48"/>
  <c r="AT230" i="6"/>
  <c r="AT231" i="6" s="1"/>
  <c r="AT229" i="6"/>
  <c r="AP252" i="6"/>
  <c r="AP238" i="6"/>
  <c r="AX56" i="6" l="1"/>
  <c r="BF152" i="6"/>
  <c r="BF55" i="6"/>
  <c r="BF234" i="6"/>
  <c r="BF248" i="6"/>
  <c r="BF157" i="6"/>
  <c r="BF226" i="6"/>
  <c r="BF244" i="6"/>
  <c r="BF245" i="6" s="1"/>
  <c r="BF243" i="6"/>
  <c r="BF58" i="6"/>
  <c r="BF232" i="6"/>
  <c r="BF229" i="6"/>
  <c r="BF230" i="6"/>
  <c r="BF231" i="6" s="1"/>
  <c r="AT252" i="6"/>
  <c r="BF158" i="6"/>
  <c r="BF15" i="6"/>
  <c r="BF57" i="6"/>
  <c r="AX229" i="6"/>
  <c r="AX230" i="6"/>
  <c r="AX231" i="6" s="1"/>
  <c r="AX250" i="6"/>
  <c r="AX251" i="6" s="1"/>
  <c r="AX249" i="6"/>
  <c r="AX243" i="6"/>
  <c r="AX244" i="6"/>
  <c r="AX245" i="6" s="1"/>
  <c r="AX35" i="6"/>
  <c r="AX36" i="6"/>
  <c r="AX34" i="6"/>
  <c r="AX33" i="6"/>
  <c r="AX235" i="6"/>
  <c r="AX236" i="6"/>
  <c r="AX237" i="6" s="1"/>
  <c r="AT37" i="6"/>
  <c r="AP253" i="6"/>
  <c r="AO7" i="48" s="1"/>
  <c r="AT238" i="6"/>
  <c r="AP239" i="6"/>
  <c r="AO6" i="48" s="1"/>
  <c r="AT246" i="6"/>
  <c r="AT253" i="6" s="1"/>
  <c r="AS7" i="48" s="1"/>
  <c r="AT232" i="6"/>
  <c r="AI6" i="48"/>
  <c r="AI8" i="48" s="1"/>
  <c r="BF246" i="6" l="1"/>
  <c r="BF56" i="6"/>
  <c r="AX246" i="6"/>
  <c r="AX232" i="6"/>
  <c r="AX252" i="6"/>
  <c r="BF250" i="6"/>
  <c r="BF251" i="6" s="1"/>
  <c r="BF249" i="6"/>
  <c r="BF252" i="6" s="1"/>
  <c r="BF253" i="6" s="1"/>
  <c r="BF236" i="6"/>
  <c r="BF237" i="6" s="1"/>
  <c r="BF235" i="6"/>
  <c r="BF238" i="6" s="1"/>
  <c r="BF239" i="6" s="1"/>
  <c r="BF59" i="6"/>
  <c r="BF36" i="6"/>
  <c r="BF34" i="6"/>
  <c r="BF35" i="6"/>
  <c r="BF33" i="6"/>
  <c r="AX238" i="6"/>
  <c r="AX239" i="6" s="1"/>
  <c r="AX37" i="6"/>
  <c r="AT239" i="6"/>
  <c r="AT255" i="6" s="1"/>
  <c r="AP255" i="6"/>
  <c r="AO8" i="48"/>
  <c r="AX253" i="6" l="1"/>
  <c r="AX255" i="6" s="1"/>
  <c r="BF255" i="6"/>
  <c r="BF37" i="6"/>
  <c r="AS6" i="48"/>
  <c r="AS8" i="48" s="1"/>
  <c r="I38" i="7" l="1"/>
  <c r="E28" i="7"/>
  <c r="E85" i="7"/>
  <c r="E16" i="7"/>
  <c r="E41" i="7" l="1"/>
  <c r="E64" i="7" s="1"/>
  <c r="M38" i="7"/>
  <c r="M49" i="7" s="1"/>
  <c r="I49" i="7"/>
  <c r="I16" i="7"/>
  <c r="E50" i="7"/>
  <c r="Q38" i="7" l="1"/>
  <c r="E30" i="7"/>
  <c r="E39" i="7" s="1"/>
  <c r="I28" i="7"/>
  <c r="I81" i="7"/>
  <c r="I85" i="7" s="1"/>
  <c r="I30" i="7" l="1"/>
  <c r="I39" i="7" s="1"/>
  <c r="Q49" i="7"/>
  <c r="U38" i="7"/>
  <c r="U49" i="7" s="1"/>
  <c r="I41" i="7"/>
  <c r="AA38" i="7" l="1"/>
  <c r="I50" i="7"/>
  <c r="I64" i="7"/>
  <c r="AE38" i="7" l="1"/>
  <c r="AA49" i="7"/>
  <c r="AE49" i="7" l="1"/>
  <c r="AE50" i="7" s="1"/>
  <c r="AI38" i="7"/>
  <c r="AI49" i="7" l="1"/>
  <c r="AI50" i="7" s="1"/>
  <c r="AO38" i="7"/>
  <c r="K85" i="7"/>
  <c r="M81" i="7"/>
  <c r="M85" i="7" s="1"/>
  <c r="K28" i="7"/>
  <c r="K64" i="7" s="1"/>
  <c r="AS38" i="7" l="1"/>
  <c r="AW38" i="7" s="1"/>
  <c r="AW49" i="7" s="1"/>
  <c r="AW50" i="7" s="1"/>
  <c r="AO49" i="7"/>
  <c r="AO50" i="7" s="1"/>
  <c r="K30" i="7"/>
  <c r="M28" i="7"/>
  <c r="M41" i="7" s="1"/>
  <c r="M64" i="7" s="1"/>
  <c r="K50" i="7"/>
  <c r="M16" i="7"/>
  <c r="K16" i="7"/>
  <c r="AS49" i="7" l="1"/>
  <c r="AS50" i="7" s="1"/>
  <c r="M50" i="7"/>
  <c r="K39" i="7"/>
  <c r="M30" i="7"/>
  <c r="BE38" i="7" l="1"/>
  <c r="BE49" i="7" s="1"/>
  <c r="M39" i="7"/>
  <c r="O16" i="7"/>
  <c r="O81" i="7"/>
  <c r="U16" i="7" l="1"/>
  <c r="Q81" i="7"/>
  <c r="O85" i="7"/>
  <c r="Q16" i="7"/>
  <c r="O28" i="7"/>
  <c r="O41" i="7" s="1"/>
  <c r="O64" i="7" s="1"/>
  <c r="U81" i="7" l="1"/>
  <c r="U85" i="7" s="1"/>
  <c r="U28" i="7"/>
  <c r="U41" i="7" s="1"/>
  <c r="O50" i="7"/>
  <c r="Q85" i="7"/>
  <c r="Q28" i="7"/>
  <c r="Q41" i="7" s="1"/>
  <c r="Q64" i="7" s="1"/>
  <c r="U50" i="7" l="1"/>
  <c r="U64" i="7"/>
  <c r="AA16" i="7"/>
  <c r="Y30" i="7"/>
  <c r="O39" i="7"/>
  <c r="Q30" i="7"/>
  <c r="U30" i="7" s="1"/>
  <c r="U39" i="7" s="1"/>
  <c r="Q50" i="7"/>
  <c r="AA81" i="7" l="1"/>
  <c r="AA85" i="7" s="1"/>
  <c r="AA28" i="7"/>
  <c r="AA41" i="7" s="1"/>
  <c r="Y39" i="7"/>
  <c r="Q39" i="7"/>
  <c r="AA64" i="7" l="1"/>
  <c r="AA50" i="7"/>
  <c r="AA30" i="7"/>
  <c r="AE30" i="7" s="1"/>
  <c r="I69" i="7"/>
  <c r="I70" i="7" s="1"/>
  <c r="L26" i="59" s="1"/>
  <c r="AE39" i="7" l="1"/>
  <c r="AI30" i="7"/>
  <c r="AA39" i="7"/>
  <c r="M69" i="7"/>
  <c r="AI39" i="7" l="1"/>
  <c r="AO30" i="7"/>
  <c r="BE16" i="7"/>
  <c r="M70" i="7"/>
  <c r="P26" i="59" s="1"/>
  <c r="Q69" i="7"/>
  <c r="U69" i="7" s="1"/>
  <c r="U70" i="7" s="1"/>
  <c r="X26" i="59" s="1"/>
  <c r="AO39" i="7" l="1"/>
  <c r="AS30" i="7"/>
  <c r="BE81" i="7"/>
  <c r="BE85" i="7" s="1"/>
  <c r="BE28" i="7"/>
  <c r="BE41" i="7" s="1"/>
  <c r="AA69" i="7"/>
  <c r="AE69" i="7" s="1"/>
  <c r="Q70" i="7"/>
  <c r="T26" i="59" s="1"/>
  <c r="AS39" i="7" l="1"/>
  <c r="AW30" i="7"/>
  <c r="AW39" i="7" s="1"/>
  <c r="AE70" i="7"/>
  <c r="AH26" i="59" s="1"/>
  <c r="AI69" i="7"/>
  <c r="BE64" i="7"/>
  <c r="BE50" i="7"/>
  <c r="AA70" i="7"/>
  <c r="AD26" i="59" s="1"/>
  <c r="AI70" i="7" l="1"/>
  <c r="AL26" i="59" s="1"/>
  <c r="AO69" i="7"/>
  <c r="BE30" i="7"/>
  <c r="BE39" i="7" s="1"/>
  <c r="O51" i="26"/>
  <c r="Q47" i="26"/>
  <c r="U47" i="26" s="1"/>
  <c r="U51" i="26" s="1"/>
  <c r="U125" i="26" s="1"/>
  <c r="AS69" i="7" l="1"/>
  <c r="AO70" i="7"/>
  <c r="Q51" i="26"/>
  <c r="Q125" i="26" s="1"/>
  <c r="AS70" i="7" l="1"/>
  <c r="AW69" i="7"/>
  <c r="AW70" i="7" s="1"/>
  <c r="AZ26" i="59" s="1"/>
  <c r="AR26" i="59"/>
  <c r="AA51" i="26"/>
  <c r="AV26" i="59" l="1"/>
  <c r="BE69" i="7" l="1"/>
  <c r="BE70" i="7" s="1"/>
  <c r="BH26" i="59" s="1"/>
  <c r="K74" i="26" l="1"/>
  <c r="M65" i="26" l="1"/>
  <c r="AA65" i="26" l="1"/>
  <c r="M85" i="17"/>
  <c r="M86" i="17" s="1"/>
  <c r="Q65" i="26"/>
  <c r="M74" i="26"/>
  <c r="M63" i="26" s="1"/>
  <c r="U65" i="26" l="1"/>
  <c r="Q85" i="17"/>
  <c r="Q86" i="17" s="1"/>
  <c r="AE65" i="26"/>
  <c r="AA85" i="17"/>
  <c r="Q74" i="26"/>
  <c r="Q63" i="26" s="1"/>
  <c r="AE85" i="17" l="1"/>
  <c r="AE74" i="26"/>
  <c r="AI65" i="26"/>
  <c r="U74" i="26"/>
  <c r="U63" i="26" s="1"/>
  <c r="U85" i="17"/>
  <c r="U86" i="17" s="1"/>
  <c r="AA86" i="17" s="1"/>
  <c r="AE86" i="17" s="1"/>
  <c r="AA74" i="26"/>
  <c r="AA63" i="26" s="1"/>
  <c r="AE63" i="26" s="1"/>
  <c r="AI85" i="17" l="1"/>
  <c r="AI86" i="17" s="1"/>
  <c r="AO65" i="26"/>
  <c r="AI74" i="26"/>
  <c r="AI63" i="26" s="1"/>
  <c r="O86" i="9"/>
  <c r="O22" i="9"/>
  <c r="AO85" i="17" l="1"/>
  <c r="AO86" i="17" s="1"/>
  <c r="AS65" i="26"/>
  <c r="AO74" i="26"/>
  <c r="AO63" i="26" s="1"/>
  <c r="Q22" i="9"/>
  <c r="U22" i="9" s="1"/>
  <c r="U85" i="9" s="1"/>
  <c r="U86" i="9" s="1"/>
  <c r="Y22" i="9"/>
  <c r="I27" i="6"/>
  <c r="M27" i="6" s="1"/>
  <c r="Q27" i="6" s="1"/>
  <c r="U27" i="6" s="1"/>
  <c r="G37" i="6"/>
  <c r="I21" i="6"/>
  <c r="M21" i="6" s="1"/>
  <c r="Q21" i="6" s="1"/>
  <c r="U21" i="6" s="1"/>
  <c r="I24" i="6"/>
  <c r="M24" i="6" s="1"/>
  <c r="Q24" i="6" s="1"/>
  <c r="U24" i="6" s="1"/>
  <c r="I20" i="6"/>
  <c r="I18" i="6"/>
  <c r="M18" i="6" s="1"/>
  <c r="Q18" i="6" s="1"/>
  <c r="U18" i="6" s="1"/>
  <c r="I23" i="6"/>
  <c r="AS85" i="17" l="1"/>
  <c r="AS86" i="17" s="1"/>
  <c r="AW65" i="26"/>
  <c r="BE65" i="26" s="1"/>
  <c r="AS74" i="26"/>
  <c r="AS63" i="26" s="1"/>
  <c r="Y85" i="9"/>
  <c r="Y86" i="9" s="1"/>
  <c r="Q85" i="9"/>
  <c r="Q86" i="9" s="1"/>
  <c r="AA22" i="9"/>
  <c r="AE22" i="9" s="1"/>
  <c r="AA18" i="6"/>
  <c r="AA27" i="6"/>
  <c r="AA24" i="6"/>
  <c r="AA21" i="6"/>
  <c r="I146" i="6"/>
  <c r="L17" i="59" s="1"/>
  <c r="I22" i="6"/>
  <c r="I34" i="6" s="1"/>
  <c r="M20" i="6"/>
  <c r="I25" i="6"/>
  <c r="I35" i="6" s="1"/>
  <c r="M23" i="6"/>
  <c r="I26" i="6"/>
  <c r="I144" i="6"/>
  <c r="M144" i="6" s="1"/>
  <c r="Q144" i="6" s="1"/>
  <c r="U144" i="6" s="1"/>
  <c r="I147" i="6"/>
  <c r="L18" i="59" s="1"/>
  <c r="I149" i="6"/>
  <c r="L20" i="59" s="1"/>
  <c r="I17" i="6"/>
  <c r="I119" i="6" s="1"/>
  <c r="I148" i="6"/>
  <c r="L19" i="59" s="1"/>
  <c r="I30" i="6"/>
  <c r="M30" i="6" s="1"/>
  <c r="Q30" i="6" s="1"/>
  <c r="U30" i="6" s="1"/>
  <c r="BE74" i="26" l="1"/>
  <c r="BE85" i="17"/>
  <c r="AW85" i="17"/>
  <c r="AW86" i="17" s="1"/>
  <c r="BE86" i="17" s="1"/>
  <c r="AW74" i="26"/>
  <c r="AW63" i="26" s="1"/>
  <c r="AE85" i="9"/>
  <c r="AE86" i="9" s="1"/>
  <c r="AI22" i="9"/>
  <c r="AI85" i="9" s="1"/>
  <c r="AI86" i="9" s="1"/>
  <c r="M147" i="6"/>
  <c r="P18" i="59" s="1"/>
  <c r="AE27" i="6"/>
  <c r="M148" i="6"/>
  <c r="P19" i="59" s="1"/>
  <c r="M149" i="6"/>
  <c r="P20" i="59" s="1"/>
  <c r="M146" i="6"/>
  <c r="P17" i="59" s="1"/>
  <c r="AE24" i="6"/>
  <c r="AE18" i="6"/>
  <c r="AE21" i="6"/>
  <c r="I161" i="6"/>
  <c r="AA85" i="9"/>
  <c r="AA86" i="9" s="1"/>
  <c r="AA30" i="6"/>
  <c r="AA144" i="6"/>
  <c r="I122" i="6"/>
  <c r="L13" i="59" s="1"/>
  <c r="I124" i="6"/>
  <c r="L15" i="59" s="1"/>
  <c r="I123" i="6"/>
  <c r="L14" i="59" s="1"/>
  <c r="I121" i="6"/>
  <c r="L12" i="59" s="1"/>
  <c r="M25" i="6"/>
  <c r="M35" i="6" s="1"/>
  <c r="Q23" i="6"/>
  <c r="U23" i="6" s="1"/>
  <c r="U25" i="6" s="1"/>
  <c r="U35" i="6" s="1"/>
  <c r="M22" i="6"/>
  <c r="M34" i="6" s="1"/>
  <c r="Q20" i="6"/>
  <c r="U20" i="6" s="1"/>
  <c r="U22" i="6" s="1"/>
  <c r="U34" i="6" s="1"/>
  <c r="I19" i="6"/>
  <c r="I33" i="6" s="1"/>
  <c r="M17" i="6"/>
  <c r="I120" i="6"/>
  <c r="I29" i="6"/>
  <c r="M26" i="6"/>
  <c r="I28" i="6"/>
  <c r="I36" i="6" s="1"/>
  <c r="BE63" i="26" l="1"/>
  <c r="AI24" i="6"/>
  <c r="AO24" i="6" s="1"/>
  <c r="AS24" i="6" s="1"/>
  <c r="AW24" i="6" s="1"/>
  <c r="BE24" i="6" s="1"/>
  <c r="AI21" i="6"/>
  <c r="AO21" i="6" s="1"/>
  <c r="AS21" i="6" s="1"/>
  <c r="AW21" i="6" s="1"/>
  <c r="BE21" i="6" s="1"/>
  <c r="AI18" i="6"/>
  <c r="AI27" i="6"/>
  <c r="AO27" i="6" s="1"/>
  <c r="AS27" i="6" s="1"/>
  <c r="AW27" i="6" s="1"/>
  <c r="BE27" i="6" s="1"/>
  <c r="AE144" i="6"/>
  <c r="AE30" i="6"/>
  <c r="Q146" i="6"/>
  <c r="T17" i="59" s="1"/>
  <c r="Q149" i="6"/>
  <c r="T20" i="59" s="1"/>
  <c r="Q148" i="6"/>
  <c r="T19" i="59" s="1"/>
  <c r="Q147" i="6"/>
  <c r="T18" i="59" s="1"/>
  <c r="M124" i="6"/>
  <c r="P15" i="59" s="1"/>
  <c r="I37" i="6"/>
  <c r="Q25" i="6"/>
  <c r="Q35" i="6" s="1"/>
  <c r="Y25" i="6"/>
  <c r="Y35" i="6" s="1"/>
  <c r="Q26" i="6"/>
  <c r="U26" i="6" s="1"/>
  <c r="U28" i="6" s="1"/>
  <c r="U36" i="6" s="1"/>
  <c r="M28" i="6"/>
  <c r="M36" i="6" s="1"/>
  <c r="Q17" i="6"/>
  <c r="U17" i="6" s="1"/>
  <c r="U19" i="6" s="1"/>
  <c r="U33" i="6" s="1"/>
  <c r="M19" i="6"/>
  <c r="M33" i="6" s="1"/>
  <c r="Q22" i="6"/>
  <c r="Q34" i="6" s="1"/>
  <c r="Y22" i="6"/>
  <c r="Y34" i="6" s="1"/>
  <c r="M122" i="6"/>
  <c r="P13" i="59" s="1"/>
  <c r="I31" i="6"/>
  <c r="M29" i="6"/>
  <c r="M121" i="6"/>
  <c r="P12" i="59" s="1"/>
  <c r="M120" i="6"/>
  <c r="Q120" i="6" s="1"/>
  <c r="U120" i="6" s="1"/>
  <c r="M123" i="6"/>
  <c r="P14" i="59" s="1"/>
  <c r="M119" i="6"/>
  <c r="M161" i="6" s="1"/>
  <c r="AI30" i="6" l="1"/>
  <c r="AO30" i="6" s="1"/>
  <c r="AS30" i="6" s="1"/>
  <c r="AW30" i="6" s="1"/>
  <c r="BE30" i="6" s="1"/>
  <c r="AI144" i="6"/>
  <c r="AO18" i="6"/>
  <c r="AS18" i="6" s="1"/>
  <c r="AW18" i="6" s="1"/>
  <c r="BE18" i="6" s="1"/>
  <c r="U147" i="6"/>
  <c r="X18" i="59" s="1"/>
  <c r="U148" i="6"/>
  <c r="X19" i="59" s="1"/>
  <c r="U149" i="6"/>
  <c r="X20" i="59" s="1"/>
  <c r="U146" i="6"/>
  <c r="X17" i="59" s="1"/>
  <c r="Q122" i="6"/>
  <c r="T13" i="59" s="1"/>
  <c r="U37" i="6"/>
  <c r="AO22" i="9"/>
  <c r="AS22" i="9" s="1"/>
  <c r="AA23" i="6"/>
  <c r="AE23" i="6" s="1"/>
  <c r="AA20" i="6"/>
  <c r="AE20" i="6" s="1"/>
  <c r="Q119" i="6"/>
  <c r="Q123" i="6"/>
  <c r="T14" i="59" s="1"/>
  <c r="M37" i="6"/>
  <c r="Q121" i="6"/>
  <c r="T12" i="59" s="1"/>
  <c r="Y19" i="6"/>
  <c r="Y33" i="6" s="1"/>
  <c r="Q19" i="6"/>
  <c r="Q33" i="6" s="1"/>
  <c r="M31" i="6"/>
  <c r="Q29" i="6"/>
  <c r="U29" i="6" s="1"/>
  <c r="U31" i="6" s="1"/>
  <c r="Y28" i="6"/>
  <c r="Y36" i="6" s="1"/>
  <c r="Q28" i="6"/>
  <c r="Q36" i="6" s="1"/>
  <c r="Q124" i="6"/>
  <c r="T15" i="59" s="1"/>
  <c r="AS85" i="9" l="1"/>
  <c r="AS86" i="9" s="1"/>
  <c r="AW22" i="9"/>
  <c r="AE22" i="6"/>
  <c r="AE34" i="6" s="1"/>
  <c r="AI20" i="6"/>
  <c r="AI22" i="6" s="1"/>
  <c r="AI34" i="6" s="1"/>
  <c r="AO144" i="6"/>
  <c r="AS144" i="6" s="1"/>
  <c r="AW144" i="6" s="1"/>
  <c r="BE144" i="6" s="1"/>
  <c r="AE25" i="6"/>
  <c r="AE35" i="6" s="1"/>
  <c r="AI23" i="6"/>
  <c r="AI25" i="6" s="1"/>
  <c r="AI35" i="6" s="1"/>
  <c r="U121" i="6"/>
  <c r="X12" i="59" s="1"/>
  <c r="U122" i="6"/>
  <c r="X13" i="59" s="1"/>
  <c r="U124" i="6"/>
  <c r="X15" i="59" s="1"/>
  <c r="U123" i="6"/>
  <c r="X14" i="59" s="1"/>
  <c r="AA146" i="6"/>
  <c r="AD17" i="59" s="1"/>
  <c r="AA149" i="6"/>
  <c r="AD20" i="59" s="1"/>
  <c r="AA148" i="6"/>
  <c r="AD19" i="59" s="1"/>
  <c r="AA147" i="6"/>
  <c r="AD18" i="59" s="1"/>
  <c r="U119" i="6"/>
  <c r="AO85" i="9"/>
  <c r="AO86" i="9" s="1"/>
  <c r="AA22" i="6"/>
  <c r="AA34" i="6" s="1"/>
  <c r="AA25" i="6"/>
  <c r="AA35" i="6" s="1"/>
  <c r="Y37" i="6"/>
  <c r="AA26" i="6"/>
  <c r="AE26" i="6" s="1"/>
  <c r="AA17" i="6"/>
  <c r="AE17" i="6" s="1"/>
  <c r="AI17" i="6" s="1"/>
  <c r="AI19" i="6" s="1"/>
  <c r="AI33" i="6" s="1"/>
  <c r="Q31" i="6"/>
  <c r="Y31" i="6"/>
  <c r="Q37" i="6"/>
  <c r="G24" i="8"/>
  <c r="G16" i="49" s="1"/>
  <c r="G17" i="49" s="1"/>
  <c r="O23" i="8"/>
  <c r="O8" i="49" s="1"/>
  <c r="S16" i="49"/>
  <c r="S17" i="49" s="1"/>
  <c r="O24" i="8"/>
  <c r="O16" i="49" s="1"/>
  <c r="O17" i="49" s="1"/>
  <c r="K24" i="8"/>
  <c r="K16" i="49" s="1"/>
  <c r="K17" i="49" s="1"/>
  <c r="S8" i="49"/>
  <c r="G23" i="8"/>
  <c r="G8" i="49" s="1"/>
  <c r="K23" i="8"/>
  <c r="K8" i="49" s="1"/>
  <c r="K22" i="8"/>
  <c r="K7" i="49" s="1"/>
  <c r="AW85" i="9" l="1"/>
  <c r="AW86" i="9" s="1"/>
  <c r="BE22" i="9"/>
  <c r="AE28" i="6"/>
  <c r="AE36" i="6" s="1"/>
  <c r="AI26" i="6"/>
  <c r="AI28" i="6" s="1"/>
  <c r="AI36" i="6" s="1"/>
  <c r="AI37" i="6" s="1"/>
  <c r="AE19" i="6"/>
  <c r="AE33" i="6" s="1"/>
  <c r="AE147" i="6"/>
  <c r="AH18" i="59" s="1"/>
  <c r="AE148" i="6"/>
  <c r="AH19" i="59" s="1"/>
  <c r="AE149" i="6"/>
  <c r="AH20" i="59" s="1"/>
  <c r="AE146" i="6"/>
  <c r="AH17" i="59" s="1"/>
  <c r="AA28" i="6"/>
  <c r="AA36" i="6" s="1"/>
  <c r="AA19" i="6"/>
  <c r="AA33" i="6" s="1"/>
  <c r="Y23" i="8"/>
  <c r="Y24" i="8"/>
  <c r="AA122" i="6"/>
  <c r="AD13" i="59" s="1"/>
  <c r="AA120" i="6"/>
  <c r="AE120" i="6" s="1"/>
  <c r="AI120" i="6" s="1"/>
  <c r="AA123" i="6"/>
  <c r="AD14" i="59" s="1"/>
  <c r="AA124" i="6"/>
  <c r="AD15" i="59" s="1"/>
  <c r="AA29" i="6"/>
  <c r="AE29" i="6" s="1"/>
  <c r="AA119" i="6"/>
  <c r="AE119" i="6" s="1"/>
  <c r="AI119" i="6" s="1"/>
  <c r="AA121" i="6"/>
  <c r="AD12" i="59" s="1"/>
  <c r="O22" i="8"/>
  <c r="G22" i="8"/>
  <c r="K25" i="8"/>
  <c r="K58" i="8"/>
  <c r="K9" i="49" s="1"/>
  <c r="K11" i="49" s="1"/>
  <c r="K13" i="49" s="1"/>
  <c r="K14" i="49" s="1"/>
  <c r="K15" i="49" s="1"/>
  <c r="K18" i="49" s="1"/>
  <c r="K19" i="49" s="1"/>
  <c r="S7" i="49"/>
  <c r="BE85" i="9" l="1"/>
  <c r="BE86" i="9" s="1"/>
  <c r="AE37" i="6"/>
  <c r="AE31" i="6"/>
  <c r="AI29" i="6"/>
  <c r="AI31" i="6" s="1"/>
  <c r="AI146" i="6"/>
  <c r="AL17" i="59" s="1"/>
  <c r="AI148" i="6"/>
  <c r="AL19" i="59" s="1"/>
  <c r="AI147" i="6"/>
  <c r="AL18" i="59" s="1"/>
  <c r="AI149" i="6"/>
  <c r="AL20" i="59" s="1"/>
  <c r="AE121" i="6"/>
  <c r="AH12" i="59" s="1"/>
  <c r="AE122" i="6"/>
  <c r="AH13" i="59" s="1"/>
  <c r="AE124" i="6"/>
  <c r="AH15" i="59" s="1"/>
  <c r="AE123" i="6"/>
  <c r="AH14" i="59" s="1"/>
  <c r="Y12" i="36"/>
  <c r="AB29" i="59" s="1"/>
  <c r="Y16" i="49"/>
  <c r="Y17" i="49" s="1"/>
  <c r="Y11" i="36"/>
  <c r="AB28" i="59" s="1"/>
  <c r="Y8" i="49"/>
  <c r="O25" i="8"/>
  <c r="O7" i="49"/>
  <c r="G25" i="8"/>
  <c r="G7" i="49"/>
  <c r="K32" i="8"/>
  <c r="AA37" i="6"/>
  <c r="AO20" i="6"/>
  <c r="AS20" i="6" s="1"/>
  <c r="AO23" i="6"/>
  <c r="AS23" i="6" s="1"/>
  <c r="AA31" i="6"/>
  <c r="Y38" i="8"/>
  <c r="Y37" i="8"/>
  <c r="O58" i="8"/>
  <c r="Y22" i="8"/>
  <c r="G58" i="8"/>
  <c r="E13" i="36"/>
  <c r="H30" i="59" s="1"/>
  <c r="E37" i="8"/>
  <c r="E23" i="8" s="1"/>
  <c r="E36" i="8"/>
  <c r="E22" i="8" s="1"/>
  <c r="E7" i="49" s="1"/>
  <c r="E38" i="8"/>
  <c r="E24" i="8" s="1"/>
  <c r="AS25" i="6" l="1"/>
  <c r="AS35" i="6" s="1"/>
  <c r="AW23" i="6"/>
  <c r="AS22" i="6"/>
  <c r="AS34" i="6" s="1"/>
  <c r="AW20" i="6"/>
  <c r="AO147" i="6"/>
  <c r="AO146" i="6"/>
  <c r="AI124" i="6"/>
  <c r="AL15" i="59" s="1"/>
  <c r="AI121" i="6"/>
  <c r="AL12" i="59" s="1"/>
  <c r="AO148" i="6"/>
  <c r="AO149" i="6"/>
  <c r="AI122" i="6"/>
  <c r="AL13" i="59" s="1"/>
  <c r="AI123" i="6"/>
  <c r="AL14" i="59" s="1"/>
  <c r="Y10" i="36"/>
  <c r="AB27" i="59" s="1"/>
  <c r="Y7" i="49"/>
  <c r="S9" i="49"/>
  <c r="S11" i="49" s="1"/>
  <c r="S13" i="49" s="1"/>
  <c r="S14" i="49" s="1"/>
  <c r="O32" i="8"/>
  <c r="Y32" i="8" s="1"/>
  <c r="O9" i="49"/>
  <c r="O11" i="49" s="1"/>
  <c r="O13" i="49" s="1"/>
  <c r="O14" i="49" s="1"/>
  <c r="O15" i="49" s="1"/>
  <c r="O18" i="49" s="1"/>
  <c r="O19" i="49" s="1"/>
  <c r="I24" i="8"/>
  <c r="I38" i="8" s="1"/>
  <c r="E16" i="49"/>
  <c r="E17" i="49" s="1"/>
  <c r="I23" i="8"/>
  <c r="I37" i="8" s="1"/>
  <c r="E8" i="49"/>
  <c r="K65" i="8"/>
  <c r="G32" i="8"/>
  <c r="G9" i="49"/>
  <c r="G11" i="49" s="1"/>
  <c r="G13" i="49" s="1"/>
  <c r="G14" i="49" s="1"/>
  <c r="AO22" i="6"/>
  <c r="AO34" i="6" s="1"/>
  <c r="AO25" i="6"/>
  <c r="AO35" i="6" s="1"/>
  <c r="AO17" i="6"/>
  <c r="AS17" i="6" s="1"/>
  <c r="AO26" i="6"/>
  <c r="AS26" i="6" s="1"/>
  <c r="Y36" i="8"/>
  <c r="Y39" i="8" s="1"/>
  <c r="Y25" i="8"/>
  <c r="Y58" i="8"/>
  <c r="E39" i="8"/>
  <c r="E58" i="8"/>
  <c r="E25" i="8"/>
  <c r="I22" i="8"/>
  <c r="AW22" i="6" l="1"/>
  <c r="AW34" i="6" s="1"/>
  <c r="BE20" i="6"/>
  <c r="BE22" i="6" s="1"/>
  <c r="BE34" i="6" s="1"/>
  <c r="AW25" i="6"/>
  <c r="AW35" i="6" s="1"/>
  <c r="BE23" i="6"/>
  <c r="BE25" i="6" s="1"/>
  <c r="BE35" i="6" s="1"/>
  <c r="AS28" i="6"/>
  <c r="AS36" i="6" s="1"/>
  <c r="AW26" i="6"/>
  <c r="AW17" i="6"/>
  <c r="BE17" i="6" s="1"/>
  <c r="BE19" i="6" s="1"/>
  <c r="BE33" i="6" s="1"/>
  <c r="AS19" i="6"/>
  <c r="AS33" i="6" s="1"/>
  <c r="AS149" i="6"/>
  <c r="AW149" i="6" s="1"/>
  <c r="AR20" i="59"/>
  <c r="AS146" i="6"/>
  <c r="AW146" i="6" s="1"/>
  <c r="AR17" i="59"/>
  <c r="AS148" i="6"/>
  <c r="AW148" i="6" s="1"/>
  <c r="AR19" i="59"/>
  <c r="AS147" i="6"/>
  <c r="AW147" i="6" s="1"/>
  <c r="AR18" i="59"/>
  <c r="AO123" i="6"/>
  <c r="AO122" i="6"/>
  <c r="Y13" i="36"/>
  <c r="AB30" i="59" s="1"/>
  <c r="M23" i="8"/>
  <c r="M8" i="49" s="1"/>
  <c r="Y63" i="8"/>
  <c r="Y9" i="49"/>
  <c r="Y11" i="49" s="1"/>
  <c r="Y13" i="49" s="1"/>
  <c r="Y14" i="49" s="1"/>
  <c r="Y15" i="49" s="1"/>
  <c r="Y18" i="49" s="1"/>
  <c r="Y19" i="49" s="1"/>
  <c r="M24" i="8"/>
  <c r="M16" i="49" s="1"/>
  <c r="M17" i="49" s="1"/>
  <c r="S15" i="49"/>
  <c r="S18" i="49" s="1"/>
  <c r="S19" i="49" s="1"/>
  <c r="I11" i="36"/>
  <c r="L28" i="59" s="1"/>
  <c r="I8" i="49"/>
  <c r="I10" i="36"/>
  <c r="L27" i="59" s="1"/>
  <c r="I7" i="49"/>
  <c r="I12" i="36"/>
  <c r="L29" i="59" s="1"/>
  <c r="I16" i="49"/>
  <c r="I17" i="49" s="1"/>
  <c r="G15" i="49"/>
  <c r="G18" i="49" s="1"/>
  <c r="G19" i="49" s="1"/>
  <c r="G15" i="36" s="1"/>
  <c r="J34" i="59" s="1"/>
  <c r="I58" i="8"/>
  <c r="I9" i="49" s="1"/>
  <c r="E9" i="49"/>
  <c r="E11" i="49" s="1"/>
  <c r="E13" i="49" s="1"/>
  <c r="E14" i="49" s="1"/>
  <c r="E15" i="49" s="1"/>
  <c r="E18" i="49" s="1"/>
  <c r="E19" i="49" s="1"/>
  <c r="AO28" i="6"/>
  <c r="AO36" i="6" s="1"/>
  <c r="AO124" i="6"/>
  <c r="AO120" i="6"/>
  <c r="AS120" i="6" s="1"/>
  <c r="AW120" i="6" s="1"/>
  <c r="BE120" i="6" s="1"/>
  <c r="AO19" i="6"/>
  <c r="AO33" i="6" s="1"/>
  <c r="AO29" i="6"/>
  <c r="AS29" i="6" s="1"/>
  <c r="AO119" i="6"/>
  <c r="AS119" i="6" s="1"/>
  <c r="AW119" i="6" s="1"/>
  <c r="AO121" i="6"/>
  <c r="M38" i="8"/>
  <c r="E32" i="8"/>
  <c r="I32" i="8" s="1"/>
  <c r="M32" i="8" s="1"/>
  <c r="Q32" i="8" s="1"/>
  <c r="M22" i="8"/>
  <c r="M7" i="49" s="1"/>
  <c r="I25" i="8"/>
  <c r="I36" i="8"/>
  <c r="I39" i="8" s="1"/>
  <c r="Q23" i="8"/>
  <c r="U23" i="8" s="1"/>
  <c r="U37" i="8" s="1"/>
  <c r="M37" i="8" l="1"/>
  <c r="M11" i="36"/>
  <c r="P28" i="59" s="1"/>
  <c r="AS37" i="6"/>
  <c r="BE119" i="6"/>
  <c r="BE161" i="6" s="1"/>
  <c r="AW161" i="6"/>
  <c r="AZ18" i="59"/>
  <c r="BE147" i="6"/>
  <c r="BH18" i="59" s="1"/>
  <c r="AZ17" i="59"/>
  <c r="BE146" i="6"/>
  <c r="BH17" i="59" s="1"/>
  <c r="AW28" i="6"/>
  <c r="AW36" i="6" s="1"/>
  <c r="BE26" i="6"/>
  <c r="BE28" i="6" s="1"/>
  <c r="BE36" i="6" s="1"/>
  <c r="BE37" i="6" s="1"/>
  <c r="AZ19" i="59"/>
  <c r="BE148" i="6"/>
  <c r="BH19" i="59" s="1"/>
  <c r="AZ20" i="59"/>
  <c r="BE149" i="6"/>
  <c r="BH20" i="59" s="1"/>
  <c r="AW19" i="6"/>
  <c r="AW33" i="6" s="1"/>
  <c r="AS121" i="6"/>
  <c r="AW121" i="6" s="1"/>
  <c r="AR12" i="59"/>
  <c r="AS124" i="6"/>
  <c r="AW124" i="6" s="1"/>
  <c r="AR15" i="59"/>
  <c r="AS31" i="6"/>
  <c r="AW29" i="6"/>
  <c r="BE29" i="6" s="1"/>
  <c r="AS122" i="6"/>
  <c r="AW122" i="6" s="1"/>
  <c r="AR13" i="59"/>
  <c r="AS123" i="6"/>
  <c r="AW123" i="6" s="1"/>
  <c r="AR14" i="59"/>
  <c r="AV18" i="59"/>
  <c r="AV17" i="59"/>
  <c r="AV19" i="59"/>
  <c r="AV20" i="59"/>
  <c r="G65" i="8"/>
  <c r="M12" i="36"/>
  <c r="P29" i="59" s="1"/>
  <c r="Q24" i="8"/>
  <c r="U24" i="8" s="1"/>
  <c r="U38" i="8" s="1"/>
  <c r="U32" i="8"/>
  <c r="AA32" i="8" s="1"/>
  <c r="I13" i="36"/>
  <c r="L30" i="59" s="1"/>
  <c r="Q11" i="36"/>
  <c r="T28" i="59" s="1"/>
  <c r="Q8" i="49"/>
  <c r="I11" i="49"/>
  <c r="I13" i="49" s="1"/>
  <c r="I14" i="49"/>
  <c r="I63" i="8"/>
  <c r="M58" i="8"/>
  <c r="AO37" i="6"/>
  <c r="AO161" i="6"/>
  <c r="AO31" i="6"/>
  <c r="M10" i="36"/>
  <c r="P27" i="59" s="1"/>
  <c r="M36" i="8"/>
  <c r="M39" i="8" s="1"/>
  <c r="Q37" i="8"/>
  <c r="M25" i="8"/>
  <c r="Q22" i="8"/>
  <c r="U22" i="8" s="1"/>
  <c r="AW37" i="6" l="1"/>
  <c r="AZ13" i="59"/>
  <c r="BE122" i="6"/>
  <c r="BH13" i="59" s="1"/>
  <c r="AZ15" i="59"/>
  <c r="BE124" i="6"/>
  <c r="BH15" i="59" s="1"/>
  <c r="BE31" i="6"/>
  <c r="AZ14" i="59"/>
  <c r="BE123" i="6"/>
  <c r="BH14" i="59" s="1"/>
  <c r="AZ12" i="59"/>
  <c r="BE121" i="6"/>
  <c r="BH12" i="59" s="1"/>
  <c r="AW31" i="6"/>
  <c r="AV14" i="59"/>
  <c r="AV13" i="59"/>
  <c r="AV15" i="59"/>
  <c r="AV12" i="59"/>
  <c r="Q38" i="8"/>
  <c r="Q16" i="49"/>
  <c r="Q17" i="49" s="1"/>
  <c r="Q12" i="36"/>
  <c r="T29" i="59" s="1"/>
  <c r="M13" i="36"/>
  <c r="P30" i="59" s="1"/>
  <c r="AE32" i="8"/>
  <c r="U36" i="8"/>
  <c r="U39" i="8" s="1"/>
  <c r="U25" i="8"/>
  <c r="U12" i="36"/>
  <c r="X29" i="59" s="1"/>
  <c r="U16" i="49"/>
  <c r="U17" i="49" s="1"/>
  <c r="U11" i="36"/>
  <c r="X28" i="59" s="1"/>
  <c r="U8" i="49"/>
  <c r="Q10" i="36"/>
  <c r="T27" i="59" s="1"/>
  <c r="Q7" i="49"/>
  <c r="I15" i="49"/>
  <c r="I18" i="49" s="1"/>
  <c r="I19" i="49" s="1"/>
  <c r="I15" i="36" s="1"/>
  <c r="L34" i="59" s="1"/>
  <c r="M14" i="49"/>
  <c r="Q58" i="8"/>
  <c r="U58" i="8" s="1"/>
  <c r="U63" i="8" s="1"/>
  <c r="M9" i="49"/>
  <c r="M11" i="49" s="1"/>
  <c r="M13" i="49" s="1"/>
  <c r="M63" i="8"/>
  <c r="Q36" i="8"/>
  <c r="AA24" i="8"/>
  <c r="AA12" i="36" s="1"/>
  <c r="AD29" i="59" s="1"/>
  <c r="AA23" i="8"/>
  <c r="AA11" i="36" s="1"/>
  <c r="AD28" i="59" s="1"/>
  <c r="Q25" i="8"/>
  <c r="Q39" i="8" l="1"/>
  <c r="AI32" i="8"/>
  <c r="AO32" i="8" s="1"/>
  <c r="AA8" i="49"/>
  <c r="AE23" i="8"/>
  <c r="AA16" i="49"/>
  <c r="AA17" i="49" s="1"/>
  <c r="AE24" i="8"/>
  <c r="I65" i="8"/>
  <c r="Q13" i="36"/>
  <c r="T30" i="59" s="1"/>
  <c r="Q63" i="8"/>
  <c r="U10" i="36"/>
  <c r="X27" i="59" s="1"/>
  <c r="U7" i="49"/>
  <c r="U9" i="49"/>
  <c r="Q9" i="49"/>
  <c r="Q11" i="49" s="1"/>
  <c r="Q13" i="49" s="1"/>
  <c r="M15" i="49"/>
  <c r="M18" i="49" s="1"/>
  <c r="M19" i="49" s="1"/>
  <c r="Q14" i="49"/>
  <c r="M15" i="36"/>
  <c r="AA38" i="8"/>
  <c r="AA37" i="8"/>
  <c r="AA22" i="8"/>
  <c r="AA10" i="36" s="1"/>
  <c r="AA13" i="36" l="1"/>
  <c r="AD30" i="59" s="1"/>
  <c r="AD27" i="59"/>
  <c r="AS32" i="8"/>
  <c r="AW32" i="8" s="1"/>
  <c r="BE32" i="8" s="1"/>
  <c r="P34" i="59"/>
  <c r="AA15" i="36"/>
  <c r="AD34" i="59" s="1"/>
  <c r="AE37" i="8"/>
  <c r="AI23" i="8"/>
  <c r="AE38" i="8"/>
  <c r="AI24" i="8"/>
  <c r="U13" i="36"/>
  <c r="X30" i="59" s="1"/>
  <c r="AA7" i="49"/>
  <c r="AE22" i="8"/>
  <c r="AI22" i="8" s="1"/>
  <c r="AE12" i="36"/>
  <c r="AH29" i="59" s="1"/>
  <c r="AE16" i="49"/>
  <c r="AE17" i="49" s="1"/>
  <c r="AI11" i="36"/>
  <c r="AL28" i="59" s="1"/>
  <c r="AE11" i="36"/>
  <c r="AH28" i="59" s="1"/>
  <c r="AE8" i="49"/>
  <c r="Q15" i="36"/>
  <c r="T34" i="59" s="1"/>
  <c r="Q15" i="49"/>
  <c r="Q18" i="49" s="1"/>
  <c r="Q19" i="49" s="1"/>
  <c r="U14" i="49"/>
  <c r="U15" i="49" s="1"/>
  <c r="U18" i="49" s="1"/>
  <c r="U19" i="49" s="1"/>
  <c r="AA58" i="8"/>
  <c r="U11" i="49"/>
  <c r="U13" i="49" s="1"/>
  <c r="M65" i="8"/>
  <c r="AA36" i="8"/>
  <c r="AA39" i="8" s="1"/>
  <c r="AA25" i="8"/>
  <c r="AI7" i="49" l="1"/>
  <c r="AI36" i="8"/>
  <c r="AI25" i="8"/>
  <c r="AI16" i="49"/>
  <c r="AI17" i="49" s="1"/>
  <c r="AI38" i="8"/>
  <c r="AI37" i="8"/>
  <c r="AI8" i="49"/>
  <c r="AO24" i="8"/>
  <c r="AS24" i="8" s="1"/>
  <c r="AI12" i="36"/>
  <c r="AL29" i="59" s="1"/>
  <c r="AA63" i="8"/>
  <c r="AE58" i="8"/>
  <c r="U15" i="36"/>
  <c r="X34" i="59" s="1"/>
  <c r="Q65" i="8"/>
  <c r="AE15" i="36"/>
  <c r="AE36" i="8"/>
  <c r="AE39" i="8" s="1"/>
  <c r="AE25" i="8"/>
  <c r="AO23" i="8"/>
  <c r="AE10" i="36"/>
  <c r="AH27" i="59" s="1"/>
  <c r="AE7" i="49"/>
  <c r="AA9" i="49"/>
  <c r="AA11" i="49" s="1"/>
  <c r="AA13" i="49" s="1"/>
  <c r="AA14" i="49" s="1"/>
  <c r="AA15" i="49" s="1"/>
  <c r="AA18" i="49" s="1"/>
  <c r="AA19" i="49" s="1"/>
  <c r="AS38" i="8" l="1"/>
  <c r="AW24" i="8"/>
  <c r="AO8" i="49"/>
  <c r="AS23" i="8"/>
  <c r="AS8" i="49" s="1"/>
  <c r="AI15" i="36"/>
  <c r="AL34" i="59" s="1"/>
  <c r="AH34" i="59"/>
  <c r="AS16" i="49"/>
  <c r="AS17" i="49" s="1"/>
  <c r="AO16" i="49"/>
  <c r="AO17" i="49" s="1"/>
  <c r="AE63" i="8"/>
  <c r="AI58" i="8"/>
  <c r="AE9" i="49"/>
  <c r="AE11" i="49" s="1"/>
  <c r="AE13" i="49" s="1"/>
  <c r="AE14" i="49" s="1"/>
  <c r="AE15" i="49" s="1"/>
  <c r="AE18" i="49" s="1"/>
  <c r="AE19" i="49" s="1"/>
  <c r="AO38" i="8"/>
  <c r="AI39" i="8"/>
  <c r="AO12" i="36"/>
  <c r="AR29" i="59" s="1"/>
  <c r="AO22" i="8"/>
  <c r="AO10" i="36" s="1"/>
  <c r="AR27" i="59" s="1"/>
  <c r="AI10" i="36"/>
  <c r="AL27" i="59" s="1"/>
  <c r="AW12" i="36"/>
  <c r="AZ29" i="59" s="1"/>
  <c r="AS12" i="36"/>
  <c r="AV29" i="59" s="1"/>
  <c r="AE65" i="8"/>
  <c r="U65" i="8"/>
  <c r="AE13" i="36"/>
  <c r="AH30" i="59" s="1"/>
  <c r="AO11" i="36"/>
  <c r="AR28" i="59" s="1"/>
  <c r="AO37" i="8"/>
  <c r="AA65" i="8"/>
  <c r="AS37" i="8" l="1"/>
  <c r="AW23" i="8"/>
  <c r="AO25" i="8"/>
  <c r="AS22" i="8"/>
  <c r="AW16" i="49"/>
  <c r="AW17" i="49" s="1"/>
  <c r="AW38" i="8"/>
  <c r="AO36" i="8"/>
  <c r="AO39" i="8" s="1"/>
  <c r="AI65" i="8"/>
  <c r="AO7" i="49"/>
  <c r="AI63" i="8"/>
  <c r="AI9" i="49"/>
  <c r="AI11" i="49" s="1"/>
  <c r="AI13" i="49" s="1"/>
  <c r="AI14" i="49" s="1"/>
  <c r="AI15" i="49" s="1"/>
  <c r="AI18" i="49" s="1"/>
  <c r="AI19" i="49" s="1"/>
  <c r="BE24" i="8"/>
  <c r="AI13" i="36"/>
  <c r="AL30" i="59" s="1"/>
  <c r="AO13" i="36"/>
  <c r="AR30" i="59" s="1"/>
  <c r="AW11" i="36"/>
  <c r="AZ28" i="59" s="1"/>
  <c r="AS11" i="36"/>
  <c r="AV28" i="59" s="1"/>
  <c r="AO58" i="8"/>
  <c r="BE12" i="36" l="1"/>
  <c r="BH29" i="59" s="1"/>
  <c r="BE16" i="49"/>
  <c r="BE17" i="49" s="1"/>
  <c r="AS36" i="8"/>
  <c r="AS39" i="8" s="1"/>
  <c r="AW22" i="8"/>
  <c r="AS25" i="8"/>
  <c r="AW37" i="8"/>
  <c r="AW8" i="49"/>
  <c r="AO9" i="49"/>
  <c r="AO11" i="49" s="1"/>
  <c r="AO13" i="49" s="1"/>
  <c r="AO14" i="49" s="1"/>
  <c r="AO15" i="49" s="1"/>
  <c r="AO18" i="49" s="1"/>
  <c r="AO19" i="49" s="1"/>
  <c r="AS58" i="8"/>
  <c r="AS9" i="49" s="1"/>
  <c r="AS7" i="49"/>
  <c r="AS10" i="36"/>
  <c r="BE38" i="8"/>
  <c r="BE23" i="8"/>
  <c r="AO63" i="8"/>
  <c r="AO15" i="36"/>
  <c r="AR34" i="59" s="1"/>
  <c r="BE8" i="49" l="1"/>
  <c r="BE11" i="36"/>
  <c r="BH28" i="59" s="1"/>
  <c r="AS63" i="8"/>
  <c r="AW58" i="8"/>
  <c r="AW7" i="49"/>
  <c r="AW36" i="8"/>
  <c r="AW39" i="8" s="1"/>
  <c r="AW25" i="8"/>
  <c r="AW10" i="36"/>
  <c r="AS11" i="49"/>
  <c r="AS13" i="49" s="1"/>
  <c r="AS14" i="49" s="1"/>
  <c r="AS15" i="49" s="1"/>
  <c r="AS18" i="49" s="1"/>
  <c r="AS19" i="49" s="1"/>
  <c r="AS13" i="36"/>
  <c r="AV30" i="59" s="1"/>
  <c r="AV27" i="59"/>
  <c r="BE22" i="8"/>
  <c r="BE37" i="8"/>
  <c r="AO65" i="8"/>
  <c r="AS15" i="36"/>
  <c r="AW15" i="36" s="1"/>
  <c r="BE15" i="36" s="1"/>
  <c r="BF24" i="21"/>
  <c r="BF25" i="21" s="1"/>
  <c r="BH34" i="59" l="1"/>
  <c r="BE65" i="8"/>
  <c r="BE10" i="36"/>
  <c r="BE7" i="49"/>
  <c r="AW13" i="36"/>
  <c r="AZ30" i="59" s="1"/>
  <c r="AZ27" i="59"/>
  <c r="AW63" i="8"/>
  <c r="AW9" i="49"/>
  <c r="AW11" i="49" s="1"/>
  <c r="AW13" i="49" s="1"/>
  <c r="AW14" i="49" s="1"/>
  <c r="AW15" i="49" s="1"/>
  <c r="AW18" i="49" s="1"/>
  <c r="AW19" i="49" s="1"/>
  <c r="BE25" i="8"/>
  <c r="AZ34" i="59"/>
  <c r="AW65" i="8"/>
  <c r="AV34" i="59"/>
  <c r="AS65" i="8"/>
  <c r="BE36" i="8"/>
  <c r="BE39" i="8" s="1"/>
  <c r="BE58" i="8"/>
  <c r="BE9" i="49" s="1"/>
  <c r="D50" i="17"/>
  <c r="D111" i="17" s="1"/>
  <c r="D115" i="17" s="1"/>
  <c r="D43" i="17"/>
  <c r="H43" i="17" s="1"/>
  <c r="BE13" i="36" l="1"/>
  <c r="BH30" i="59" s="1"/>
  <c r="BH27" i="59"/>
  <c r="BE11" i="49"/>
  <c r="BE13" i="49" s="1"/>
  <c r="BE14" i="49" s="1"/>
  <c r="BE15" i="49" s="1"/>
  <c r="BE18" i="49" s="1"/>
  <c r="BE19" i="49" s="1"/>
  <c r="BE63" i="8"/>
  <c r="L43" i="17"/>
  <c r="P43" i="17" s="1"/>
  <c r="T43" i="17" s="1"/>
  <c r="H49" i="17"/>
  <c r="H44" i="17"/>
  <c r="H50" i="17" s="1"/>
  <c r="D54" i="17"/>
  <c r="D49" i="17"/>
  <c r="T49" i="17" l="1"/>
  <c r="T44" i="17"/>
  <c r="T50" i="17" s="1"/>
  <c r="P49" i="17"/>
  <c r="P44" i="17"/>
  <c r="P50" i="17" s="1"/>
  <c r="H54" i="17"/>
  <c r="H111" i="17"/>
  <c r="H115" i="17" s="1"/>
  <c r="H110" i="17"/>
  <c r="H114" i="17" s="1"/>
  <c r="H53" i="17"/>
  <c r="D53" i="17"/>
  <c r="D110" i="17"/>
  <c r="D114" i="17" s="1"/>
  <c r="L49" i="17"/>
  <c r="L44" i="17"/>
  <c r="L50" i="17" s="1"/>
  <c r="T111" i="17" l="1"/>
  <c r="T115" i="17" s="1"/>
  <c r="T54" i="17"/>
  <c r="T53" i="17"/>
  <c r="T110" i="17"/>
  <c r="T114" i="17" s="1"/>
  <c r="P54" i="17"/>
  <c r="P111" i="17"/>
  <c r="P115" i="17" s="1"/>
  <c r="P53" i="17"/>
  <c r="P110" i="17"/>
  <c r="P114" i="17" s="1"/>
  <c r="L53" i="17"/>
  <c r="L110" i="17"/>
  <c r="L114" i="17" s="1"/>
  <c r="L111" i="17"/>
  <c r="L115" i="17" s="1"/>
  <c r="L54" i="17"/>
  <c r="Z43" i="17" l="1"/>
  <c r="AD43" i="17" s="1"/>
  <c r="AH43" i="17" s="1"/>
  <c r="AN43" i="17" s="1"/>
  <c r="AR43" i="17" l="1"/>
  <c r="AV43" i="17" s="1"/>
  <c r="BD43" i="17" s="1"/>
  <c r="AN49" i="17"/>
  <c r="AN44" i="17"/>
  <c r="AN50" i="17" s="1"/>
  <c r="AH49" i="17"/>
  <c r="AH44" i="17"/>
  <c r="AH50" i="17" s="1"/>
  <c r="AD44" i="17"/>
  <c r="AD50" i="17" s="1"/>
  <c r="AD49" i="17"/>
  <c r="Z44" i="17"/>
  <c r="Z50" i="17" s="1"/>
  <c r="Z49" i="17"/>
  <c r="BD49" i="17" l="1"/>
  <c r="BD44" i="17"/>
  <c r="BD50" i="17" s="1"/>
  <c r="AV49" i="17"/>
  <c r="AV44" i="17"/>
  <c r="AV50" i="17" s="1"/>
  <c r="AN111" i="17"/>
  <c r="AN115" i="17" s="1"/>
  <c r="AN54" i="17"/>
  <c r="AN53" i="17"/>
  <c r="AN110" i="17"/>
  <c r="AN114" i="17" s="1"/>
  <c r="AR49" i="17"/>
  <c r="AR44" i="17"/>
  <c r="AR50" i="17" s="1"/>
  <c r="AH54" i="17"/>
  <c r="AH111" i="17"/>
  <c r="AH115" i="17" s="1"/>
  <c r="AH53" i="17"/>
  <c r="AH110" i="17"/>
  <c r="AH114" i="17" s="1"/>
  <c r="AD111" i="17"/>
  <c r="AD115" i="17" s="1"/>
  <c r="AD54" i="17"/>
  <c r="AD53" i="17"/>
  <c r="AD110" i="17"/>
  <c r="AD114" i="17" s="1"/>
  <c r="Z110" i="17"/>
  <c r="Z114" i="17" s="1"/>
  <c r="Z53" i="17"/>
  <c r="Z54" i="17"/>
  <c r="Z111" i="17"/>
  <c r="Z115" i="17" s="1"/>
  <c r="BD111" i="17" l="1"/>
  <c r="BD115" i="17" s="1"/>
  <c r="BD54" i="17"/>
  <c r="BD53" i="17"/>
  <c r="BD110" i="17"/>
  <c r="BD114" i="17" s="1"/>
  <c r="AV54" i="17"/>
  <c r="AV111" i="17"/>
  <c r="AV115" i="17" s="1"/>
  <c r="AV53" i="17"/>
  <c r="AV110" i="17"/>
  <c r="AV114" i="17" s="1"/>
  <c r="AR111" i="17"/>
  <c r="AR115" i="17" s="1"/>
  <c r="AR54" i="17"/>
  <c r="AR53" i="17"/>
  <c r="AR110" i="17"/>
  <c r="AR114" i="17" s="1"/>
  <c r="E71" i="8" l="1"/>
  <c r="I71" i="8" s="1"/>
  <c r="I72" i="8" l="1"/>
  <c r="M71" i="8"/>
  <c r="M72" i="8" l="1"/>
  <c r="Q71" i="8"/>
  <c r="U71" i="8" s="1"/>
  <c r="U72" i="8" s="1"/>
  <c r="Q72" i="8" l="1"/>
  <c r="AA71" i="8" l="1"/>
  <c r="AE71" i="8" s="1"/>
  <c r="AE72" i="8" l="1"/>
  <c r="AI71" i="8"/>
  <c r="AI72" i="8" s="1"/>
  <c r="AA72" i="8"/>
  <c r="D15" i="15" l="1"/>
  <c r="H15" i="15" s="1"/>
  <c r="H16" i="15" l="1"/>
  <c r="L15" i="15"/>
  <c r="P15" i="15" s="1"/>
  <c r="P16" i="15" l="1"/>
  <c r="T15" i="15"/>
  <c r="T16" i="15" s="1"/>
  <c r="L16" i="15"/>
  <c r="Z15" i="15" l="1"/>
  <c r="AD15" i="15" s="1"/>
  <c r="AD16" i="15" l="1"/>
  <c r="AH15" i="15"/>
  <c r="AH16" i="15" s="1"/>
  <c r="Z16" i="15"/>
  <c r="AL15" i="15" l="1"/>
  <c r="AN15" i="15"/>
  <c r="AL16" i="15" l="1"/>
  <c r="BB15" i="15"/>
  <c r="BB16" i="15" s="1"/>
  <c r="AN16" i="15"/>
  <c r="AR15" i="15"/>
  <c r="AK71" i="8"/>
  <c r="AO71" i="8" s="1"/>
  <c r="AS71" i="8" s="1"/>
  <c r="AS72" i="8" l="1"/>
  <c r="AW71" i="8"/>
  <c r="AW72" i="8" s="1"/>
  <c r="AR16" i="15"/>
  <c r="AV15" i="15"/>
  <c r="BD15" i="15" s="1"/>
  <c r="AO72" i="8"/>
  <c r="AM71" i="8"/>
  <c r="AV16" i="15" l="1"/>
  <c r="BD16" i="15"/>
  <c r="AM72" i="8"/>
  <c r="BC71" i="8"/>
  <c r="BC72" i="8" s="1"/>
  <c r="BE71" i="8"/>
  <c r="BE72" i="8" s="1"/>
</calcChain>
</file>

<file path=xl/comments1.xml><?xml version="1.0" encoding="utf-8"?>
<comments xmlns="http://schemas.openxmlformats.org/spreadsheetml/2006/main">
  <authors>
    <author>Author</author>
  </authors>
  <commentList>
    <comment ref="G6" authorId="0">
      <text>
        <r>
          <rPr>
            <b/>
            <sz val="12"/>
            <color indexed="81"/>
            <rFont val="Tahoma"/>
            <family val="2"/>
          </rPr>
          <t>Author:</t>
        </r>
        <r>
          <rPr>
            <sz val="12"/>
            <color indexed="81"/>
            <rFont val="Tahoma"/>
            <family val="2"/>
          </rPr>
          <t xml:space="preserve">
Internal consumption target</t>
        </r>
      </text>
    </comment>
    <comment ref="S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500 T out of 2000 T is internal consumption target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G7" authorId="0">
      <text>
        <r>
          <rPr>
            <b/>
            <sz val="12"/>
            <color indexed="81"/>
            <rFont val="Tahoma"/>
            <family val="2"/>
          </rPr>
          <t>Author:</t>
        </r>
        <r>
          <rPr>
            <sz val="12"/>
            <color indexed="81"/>
            <rFont val="Tahoma"/>
            <family val="2"/>
          </rPr>
          <t xml:space="preserve">
Internal consumption target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7" authorId="0">
      <text>
        <r>
          <rPr>
            <b/>
            <sz val="14"/>
            <color indexed="81"/>
            <rFont val="Tahoma"/>
            <family val="2"/>
          </rPr>
          <t>Internal consumption target</t>
        </r>
      </text>
    </comment>
    <comment ref="G33" authorId="0">
      <text>
        <r>
          <rPr>
            <sz val="12"/>
            <color indexed="81"/>
            <rFont val="Tahoma"/>
            <family val="2"/>
          </rPr>
          <t>Internall consumption target</t>
        </r>
      </text>
    </comment>
    <comment ref="S33" authorId="0">
      <text>
        <r>
          <rPr>
            <b/>
            <sz val="11"/>
            <color indexed="81"/>
            <rFont val="Tahoma"/>
            <family val="2"/>
          </rPr>
          <t>out of 2000 T, 500 T is internal consumption target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V168" authorId="0">
      <text>
        <r>
          <rPr>
            <b/>
            <sz val="10"/>
            <color indexed="81"/>
            <rFont val="Tahoma"/>
            <family val="2"/>
          </rPr>
          <t>Author:</t>
        </r>
        <r>
          <rPr>
            <sz val="10"/>
            <color indexed="81"/>
            <rFont val="Tahoma"/>
            <family val="2"/>
          </rPr>
          <t xml:space="preserve">
VIZAG</t>
        </r>
      </text>
    </comment>
  </commentList>
</comments>
</file>

<file path=xl/sharedStrings.xml><?xml version="1.0" encoding="utf-8"?>
<sst xmlns="http://schemas.openxmlformats.org/spreadsheetml/2006/main" count="24349" uniqueCount="1922">
  <si>
    <t>PRODUCTION</t>
  </si>
  <si>
    <t>Nut Coke</t>
  </si>
  <si>
    <t>TOTAL</t>
  </si>
  <si>
    <t>SAL STEEL PRODN (CATEGORY WISE)</t>
  </si>
  <si>
    <t>COKE OVENS</t>
  </si>
  <si>
    <t>C.O. Gas</t>
  </si>
  <si>
    <t>Quartzite</t>
  </si>
  <si>
    <t>MACHINE SHOP</t>
  </si>
  <si>
    <t>FORGE SHOP</t>
  </si>
  <si>
    <t>POWER PLANT</t>
  </si>
  <si>
    <t>ICC (AH)</t>
  </si>
  <si>
    <t>ICC (USH)</t>
  </si>
  <si>
    <t>GRAND TOTAL COKING COAL</t>
  </si>
  <si>
    <t>TOTAL ICC</t>
  </si>
  <si>
    <t>Total ICC (Hard)</t>
  </si>
  <si>
    <t>2M</t>
  </si>
  <si>
    <t>BF</t>
  </si>
  <si>
    <t>WR Mill</t>
  </si>
  <si>
    <t>4M</t>
  </si>
  <si>
    <t>5M</t>
  </si>
  <si>
    <t>Sinter</t>
  </si>
  <si>
    <t>No.of Ovens Pushed (COB#10)</t>
  </si>
  <si>
    <t>MOG</t>
  </si>
  <si>
    <t>Total</t>
  </si>
  <si>
    <t>RAIL</t>
  </si>
  <si>
    <t>ROAD</t>
  </si>
  <si>
    <t>7M</t>
  </si>
  <si>
    <t>BF Coke</t>
  </si>
  <si>
    <t>Coke Breeze</t>
  </si>
  <si>
    <t>8M</t>
  </si>
  <si>
    <t>9M</t>
  </si>
  <si>
    <t>10M</t>
  </si>
  <si>
    <t>M³/TCS</t>
  </si>
  <si>
    <t>11M</t>
  </si>
  <si>
    <t>Saleable Steel Production (Mill Wise)</t>
  </si>
  <si>
    <t>-</t>
  </si>
  <si>
    <t>WR MILL TOTAL</t>
  </si>
  <si>
    <t xml:space="preserve">WR Mill </t>
  </si>
  <si>
    <t>Total Coal Tar</t>
  </si>
  <si>
    <t>Total NH4SO4</t>
  </si>
  <si>
    <t xml:space="preserve">Iron ore fines </t>
  </si>
  <si>
    <t xml:space="preserve">Lime stone </t>
  </si>
  <si>
    <t xml:space="preserve">Dolomite </t>
  </si>
  <si>
    <t xml:space="preserve">Coke Breeze </t>
  </si>
  <si>
    <t>Mill Scale</t>
  </si>
  <si>
    <t>BOF Slag</t>
  </si>
  <si>
    <t>Blended Base Mix</t>
  </si>
  <si>
    <t xml:space="preserve">Calcined Lime </t>
  </si>
  <si>
    <t>M/C #1</t>
  </si>
  <si>
    <t>OPERATING PARAMETERS</t>
  </si>
  <si>
    <t>OTHER TECHNO PARAMETERS</t>
  </si>
  <si>
    <t>Iron ore fines</t>
  </si>
  <si>
    <t>%</t>
  </si>
  <si>
    <t>Mt</t>
  </si>
  <si>
    <t>WIRE &amp; ROD MILL</t>
  </si>
  <si>
    <t>8 mm Plain Coil</t>
  </si>
  <si>
    <t>Techno Parameters</t>
  </si>
  <si>
    <t>Auxilliaries</t>
  </si>
  <si>
    <t>NET AVAILABLE for Dist.</t>
  </si>
  <si>
    <t>CDCP</t>
  </si>
  <si>
    <t>BOF</t>
  </si>
  <si>
    <t>CCP</t>
  </si>
  <si>
    <t>WRM</t>
  </si>
  <si>
    <t>SINTER</t>
  </si>
  <si>
    <t>TOTAL DISTRIBUTION :-</t>
  </si>
  <si>
    <t>OTHER INPUT CHEMICALS CONSUMED IN P&amp;BS-II</t>
  </si>
  <si>
    <t>P&amp;BS-II</t>
  </si>
  <si>
    <t>LOSSES</t>
  </si>
  <si>
    <t>NET AVAILABLE FOR DISTRIBUTION</t>
  </si>
  <si>
    <t>Tonnes</t>
  </si>
  <si>
    <t>Hearth Layer</t>
  </si>
  <si>
    <t>Water</t>
  </si>
  <si>
    <t>CO GAS CONSUMPTION</t>
  </si>
  <si>
    <t>Limestone (Trimming)</t>
  </si>
  <si>
    <t>Coke Breeze (Trimming)</t>
  </si>
  <si>
    <t>5.5 mm Plain Coil</t>
  </si>
  <si>
    <t>Loss (%)</t>
  </si>
  <si>
    <t>6 mm Plain Coil</t>
  </si>
  <si>
    <t>CMO DIR</t>
  </si>
  <si>
    <t>CMO SYD</t>
  </si>
  <si>
    <t>IPT</t>
  </si>
  <si>
    <t xml:space="preserve">Total B.F.Coke </t>
  </si>
  <si>
    <t>Overall Equiv. Ovens Pushed/ Day</t>
  </si>
  <si>
    <t>Blast Furnace #5</t>
  </si>
  <si>
    <t>Boiler Plant (P&amp;B Stn-II)</t>
  </si>
  <si>
    <t>LDCP</t>
  </si>
  <si>
    <t>Fe-Mn</t>
  </si>
  <si>
    <t>Si-Mn</t>
  </si>
  <si>
    <t>Fe-Si</t>
  </si>
  <si>
    <t>Pet Coke</t>
  </si>
  <si>
    <t>Al</t>
  </si>
  <si>
    <t>HM Production</t>
  </si>
  <si>
    <t>Calender hours</t>
  </si>
  <si>
    <t>Sinter output loss</t>
  </si>
  <si>
    <t>Boiler Plant (P&amp;B Stn.) -II</t>
  </si>
  <si>
    <t>Bar Mill</t>
  </si>
  <si>
    <t>ICC (Mozambique Hard)</t>
  </si>
  <si>
    <t>BAR MILL TOTAL</t>
  </si>
  <si>
    <t>Schedule Hrs</t>
  </si>
  <si>
    <t>M/C #2</t>
  </si>
  <si>
    <t>BF GAS CONSUMPTION</t>
  </si>
  <si>
    <t>BAR MILL</t>
  </si>
  <si>
    <t>Partial returned heats</t>
  </si>
  <si>
    <t xml:space="preserve">Process Return Sinter Fines </t>
  </si>
  <si>
    <t>BF Return Sinter</t>
  </si>
  <si>
    <t>OXYGEN PLANT</t>
  </si>
  <si>
    <t>Oxygen</t>
  </si>
  <si>
    <t>Sales</t>
  </si>
  <si>
    <t>Nitrogen</t>
  </si>
  <si>
    <t>Argon</t>
  </si>
  <si>
    <t>NET GRANULATED SLAG PRODUCTION</t>
  </si>
  <si>
    <t>CBM GAS CONSUMPTION</t>
  </si>
  <si>
    <t>COB#10 under firing</t>
  </si>
  <si>
    <t>COB#11 under firing</t>
  </si>
  <si>
    <t>Boiler Plant (P&amp;B Stn-I)</t>
  </si>
  <si>
    <t>US Mill</t>
  </si>
  <si>
    <t xml:space="preserve">COKE OVEN </t>
  </si>
  <si>
    <t xml:space="preserve">BLAST FURNACE </t>
  </si>
  <si>
    <t>SINTER PLANT</t>
  </si>
  <si>
    <t>U S MILL</t>
  </si>
  <si>
    <t>W &amp; R MILL</t>
  </si>
  <si>
    <t>BOILER HOUSE</t>
  </si>
  <si>
    <t>UPIS</t>
  </si>
  <si>
    <t>WR MILL</t>
  </si>
  <si>
    <t>US MILL</t>
  </si>
  <si>
    <t>Saleable Steel (Total Shipping Mode-wise)</t>
  </si>
  <si>
    <t>Saleable Steel (Total sale type-wise)</t>
  </si>
  <si>
    <t>EXPORT DIR</t>
  </si>
  <si>
    <t>Calcined Lime</t>
  </si>
  <si>
    <t>Heats carried over to next month</t>
  </si>
  <si>
    <t>S</t>
  </si>
  <si>
    <t>Nos.of Ovens Pushed (COB#11)</t>
  </si>
  <si>
    <t>Total Cold Pig &amp; Pig Equiv.  i/c Sand Cast (processed CI Scrap) &amp; Unprocessed PI Scrap</t>
  </si>
  <si>
    <t>DOMESTIC</t>
  </si>
  <si>
    <t>EXPORT</t>
  </si>
  <si>
    <t>US MILL TOTAL</t>
  </si>
  <si>
    <t>PBS-2</t>
  </si>
  <si>
    <t>Concast Plant</t>
  </si>
  <si>
    <t>USM</t>
  </si>
  <si>
    <t>CDI</t>
  </si>
  <si>
    <t>NET AVAILABILITY FOR DISTRIBUTION</t>
  </si>
  <si>
    <t xml:space="preserve">TOTAL </t>
  </si>
  <si>
    <t xml:space="preserve">BF GAS BALANCE-EMD </t>
  </si>
  <si>
    <t xml:space="preserve">CBM GAS BALANCE-EMD </t>
  </si>
  <si>
    <t xml:space="preserve">Calcined Dolomite </t>
  </si>
  <si>
    <t>Raw Dolomite</t>
  </si>
  <si>
    <t>Iron ore lump</t>
  </si>
  <si>
    <t>Fe-Va</t>
  </si>
  <si>
    <t>OVEN AVAILABILITY (COB #10)</t>
  </si>
  <si>
    <t>OVEN AVAILABILITY (COB #11)</t>
  </si>
  <si>
    <t>ICC (A-Soft)</t>
  </si>
  <si>
    <t>ICC (Wombo-Soft)</t>
  </si>
  <si>
    <t>TOTAL ICC (Soft)</t>
  </si>
  <si>
    <t>TOTAL PLANT (SUMMARY)</t>
  </si>
  <si>
    <t>BOF - CCP</t>
  </si>
  <si>
    <t>AUXILIARY</t>
  </si>
  <si>
    <t>TOTAL  :</t>
  </si>
  <si>
    <t>CMO EXP</t>
  </si>
  <si>
    <t>QRT-1</t>
  </si>
  <si>
    <t>QRT-2</t>
  </si>
  <si>
    <t>QRT-3</t>
  </si>
  <si>
    <t>QRT-4</t>
  </si>
  <si>
    <t>Saleable Steel (mill-wise)</t>
  </si>
  <si>
    <t>PCIS (Sand Casts)-Plant Sales</t>
  </si>
  <si>
    <t>Saleable Steel (Shipping Mode-wise)</t>
  </si>
  <si>
    <t>Total Nut Coke</t>
  </si>
  <si>
    <t>Total Coke Breeze</t>
  </si>
  <si>
    <t>Total Coke Dust</t>
  </si>
  <si>
    <t>Total Gross Coke</t>
  </si>
  <si>
    <t>COB#10</t>
  </si>
  <si>
    <t>COB#11</t>
  </si>
  <si>
    <t>PUSHING CO-EFFICIENT (BASED ON ACTUAL OVEN AVAILABILITY)</t>
  </si>
  <si>
    <t>B.F.Coke (Old Batts)</t>
  </si>
  <si>
    <t>B.F Coke (New Batt)</t>
  </si>
  <si>
    <t>Previous month Carried over Heats considered in current month</t>
  </si>
  <si>
    <t>Nut Coke (Old Batts)</t>
  </si>
  <si>
    <t>Nut Coke (New Batt)</t>
  </si>
  <si>
    <t>Coke Breeze (Old Batts)</t>
  </si>
  <si>
    <t>Coke Breeze (New Batt)</t>
  </si>
  <si>
    <t>Coke Dust (Old Batts)</t>
  </si>
  <si>
    <t>Coke Dust (New Batt)</t>
  </si>
  <si>
    <t>Gross Coke (Old Batts)</t>
  </si>
  <si>
    <t>Gross Coke (New Batt)</t>
  </si>
  <si>
    <t>Caster #1 (Prime Length)</t>
  </si>
  <si>
    <t>Caster #1 (Short Length)</t>
  </si>
  <si>
    <t>Caster #1 (Total)</t>
  </si>
  <si>
    <t>Caster #2 (Prime Length)</t>
  </si>
  <si>
    <t>Caster #2 (Short Length)</t>
  </si>
  <si>
    <t>Caster #2 (Total)</t>
  </si>
  <si>
    <t>Caster #3 (Total)</t>
  </si>
  <si>
    <t>Total Caster (Prime Length)</t>
  </si>
  <si>
    <t>Total Caster (Short Length)</t>
  </si>
  <si>
    <t>Dry Coal Charge (Old Batts)</t>
  </si>
  <si>
    <t>Dry Coal Charge (New Batt)</t>
  </si>
  <si>
    <t>Total Dry Coal Charge</t>
  </si>
  <si>
    <t>No./ Day</t>
  </si>
  <si>
    <t>Eq. No./ Day</t>
  </si>
  <si>
    <t>ITEM</t>
  </si>
  <si>
    <t>Unit</t>
  </si>
  <si>
    <t>ABP</t>
  </si>
  <si>
    <t>ACT</t>
  </si>
  <si>
    <t>Nos.</t>
  </si>
  <si>
    <t>Co-eff</t>
  </si>
  <si>
    <t>Coke Dust</t>
  </si>
  <si>
    <t>Gross Coke</t>
  </si>
  <si>
    <t>COKE OVEN BY-PRODUCTS (PRODUCTION)</t>
  </si>
  <si>
    <t>Coal Tar (Existing Plant)</t>
  </si>
  <si>
    <t>Coal Tar (New Plant)</t>
  </si>
  <si>
    <t>NH4SO4 (Existing Plant)</t>
  </si>
  <si>
    <t>NH4SO4 (New Plant)</t>
  </si>
  <si>
    <t>Refined Benzol products</t>
  </si>
  <si>
    <t>Motor Spirit</t>
  </si>
  <si>
    <t>Benzene</t>
  </si>
  <si>
    <t>Toluene</t>
  </si>
  <si>
    <t>LS Naptha</t>
  </si>
  <si>
    <t>S.B Oil</t>
  </si>
  <si>
    <t>W. Naptha</t>
  </si>
  <si>
    <t>Crystalline Naptha (New Plant)</t>
  </si>
  <si>
    <t>Sulphur (New Plant)</t>
  </si>
  <si>
    <t>Crude Benzol (Exixting Plant)</t>
  </si>
  <si>
    <t>COB #11 (Tonnes on wet basis)</t>
  </si>
  <si>
    <t xml:space="preserve">Blending bunker Blend Coal Quality </t>
  </si>
  <si>
    <t xml:space="preserve">ICC (H) </t>
  </si>
  <si>
    <t xml:space="preserve">ICC (S) </t>
  </si>
  <si>
    <t xml:space="preserve">Imported Coal in Blend </t>
  </si>
  <si>
    <t>Coke Quality</t>
  </si>
  <si>
    <t>PRIME</t>
  </si>
  <si>
    <t xml:space="preserve">Moisture in Blend coal </t>
  </si>
  <si>
    <t xml:space="preserve">Ash in blend coal </t>
  </si>
  <si>
    <t xml:space="preserve">VM in Blend coal </t>
  </si>
  <si>
    <t xml:space="preserve">Skip coke moisture </t>
  </si>
  <si>
    <t xml:space="preserve">Ash </t>
  </si>
  <si>
    <t xml:space="preserve">M40  </t>
  </si>
  <si>
    <t>M10</t>
  </si>
  <si>
    <t xml:space="preserve">CSR </t>
  </si>
  <si>
    <t xml:space="preserve">CRI </t>
  </si>
  <si>
    <t>COKE OVENS (COB# 11)</t>
  </si>
  <si>
    <t xml:space="preserve">Total Oven Pushed </t>
  </si>
  <si>
    <t>Moisture</t>
  </si>
  <si>
    <t>10⁶ M³</t>
  </si>
  <si>
    <t>M³/tcc - Dry</t>
  </si>
  <si>
    <t>K.Cal/M³</t>
  </si>
  <si>
    <t>KwH</t>
  </si>
  <si>
    <t>KwH/ tdc</t>
  </si>
  <si>
    <t xml:space="preserve">C.O.Gas Make </t>
  </si>
  <si>
    <t xml:space="preserve">C.O.Gas Yield </t>
  </si>
  <si>
    <t xml:space="preserve">C.V. of C.O.Gas </t>
  </si>
  <si>
    <t xml:space="preserve">Sp Heat Cons </t>
  </si>
  <si>
    <t>Kg/T</t>
  </si>
  <si>
    <t xml:space="preserve">MACHINE WISE SINTER PRODUCTION </t>
  </si>
  <si>
    <t>Hrs</t>
  </si>
  <si>
    <t xml:space="preserve">Availability </t>
  </si>
  <si>
    <t xml:space="preserve">% Availability </t>
  </si>
  <si>
    <t>Utilisation hours</t>
  </si>
  <si>
    <t xml:space="preserve">% Utilisation </t>
  </si>
  <si>
    <t xml:space="preserve">Production per Utilization Hours </t>
  </si>
  <si>
    <t xml:space="preserve">Yield Of Sinter </t>
  </si>
  <si>
    <t>T/M²/Utlz Hr</t>
  </si>
  <si>
    <t xml:space="preserve">KwH/T </t>
  </si>
  <si>
    <t xml:space="preserve">Specific Productivity </t>
  </si>
  <si>
    <t xml:space="preserve">Power Cons </t>
  </si>
  <si>
    <t xml:space="preserve">Sp Power Cons </t>
  </si>
  <si>
    <t xml:space="preserve">Sp Fuel Cons (COG) </t>
  </si>
  <si>
    <t>BLAST FURNACE (#5)</t>
  </si>
  <si>
    <t>H.M as CI Skull</t>
  </si>
  <si>
    <t>(Equiv. Pig Iron @ 80% of HM sent to Sand Pit. (Ref to Fax Msg from ED (O), vide SAIL/OPRNS/ PPMS/33 dt. 05.02.15)</t>
  </si>
  <si>
    <t xml:space="preserve">H.M DISTRIBUTION </t>
  </si>
  <si>
    <t xml:space="preserve">Cold Pig &amp; Pig Equivalent </t>
  </si>
  <si>
    <t>BF SLAG GENERATION</t>
  </si>
  <si>
    <t>Coke</t>
  </si>
  <si>
    <t>Total Fuel</t>
  </si>
  <si>
    <t>Iron Ore Lump</t>
  </si>
  <si>
    <t xml:space="preserve">LD Slag </t>
  </si>
  <si>
    <t>Kg/THM</t>
  </si>
  <si>
    <t>T/M³/ DAY</t>
  </si>
  <si>
    <t>No. of Days</t>
  </si>
  <si>
    <t>Sinter in Fe bearing Load</t>
  </si>
  <si>
    <t>Coke return fines (wet) to BMP from BF#5-RMHP</t>
  </si>
  <si>
    <t xml:space="preserve">Eq. Coke return fines (Dry) to BMP from BF#5 </t>
  </si>
  <si>
    <t xml:space="preserve">Gross Coal to HM Ratio </t>
  </si>
  <si>
    <t>⁰C</t>
  </si>
  <si>
    <t>Blast Temperature</t>
  </si>
  <si>
    <t xml:space="preserve">Furnace Availability </t>
  </si>
  <si>
    <t xml:space="preserve">Slag Rate </t>
  </si>
  <si>
    <t xml:space="preserve">Wtd. Avg. Si in HM </t>
  </si>
  <si>
    <t xml:space="preserve">Wtd. Avg. S in HM </t>
  </si>
  <si>
    <t>M³/T of HM</t>
  </si>
  <si>
    <t>COG Consumption -</t>
  </si>
  <si>
    <t>KwH/ ton</t>
  </si>
  <si>
    <t>Heat Cons in stoves</t>
  </si>
  <si>
    <t xml:space="preserve">C.V. of BF Gas </t>
  </si>
  <si>
    <t xml:space="preserve">Total BF Gas Make </t>
  </si>
  <si>
    <t xml:space="preserve">B.F. Gas yield </t>
  </si>
  <si>
    <t xml:space="preserve">BF Productivity </t>
  </si>
  <si>
    <t>BOF-CCP</t>
  </si>
  <si>
    <t>BOF#1</t>
  </si>
  <si>
    <t>BOF#2</t>
  </si>
  <si>
    <t>BOF#3</t>
  </si>
  <si>
    <t>Total heats</t>
  </si>
  <si>
    <t>TECHNO PARAMETERS</t>
  </si>
  <si>
    <t>CRUDE STEEL PRODUCTION</t>
  </si>
  <si>
    <t>CASTER-WISE PRODUCTION</t>
  </si>
  <si>
    <t>Kg/ TCS</t>
  </si>
  <si>
    <t>Kg/ TLS</t>
  </si>
  <si>
    <t>Nm³/T</t>
  </si>
  <si>
    <t>KwH/TCS</t>
  </si>
  <si>
    <t xml:space="preserve">BOF Yield </t>
  </si>
  <si>
    <t xml:space="preserve">CCP Yield </t>
  </si>
  <si>
    <t xml:space="preserve">Raw Materials Net Consumption </t>
  </si>
  <si>
    <t>Converter Life (#1)</t>
  </si>
  <si>
    <t>Converter Life (#2)</t>
  </si>
  <si>
    <t>Converter Life (#3)</t>
  </si>
  <si>
    <t xml:space="preserve">Total Scrap Charged </t>
  </si>
  <si>
    <t xml:space="preserve">Liquid Steel input in Turret </t>
  </si>
  <si>
    <t>Heats Casts (Caster#1)</t>
  </si>
  <si>
    <t>Heats Casts (Caster#2)</t>
  </si>
  <si>
    <t>Heats Casts (Caster#3)</t>
  </si>
  <si>
    <t xml:space="preserve">Total Heats Casts </t>
  </si>
  <si>
    <t xml:space="preserve">Raw Materials Net Consumption Rate </t>
  </si>
  <si>
    <t xml:space="preserve">TMI </t>
  </si>
  <si>
    <t xml:space="preserve">BOF Slag Rate </t>
  </si>
  <si>
    <t>Oxygen Consumption</t>
  </si>
  <si>
    <t xml:space="preserve">Sp Oxygen Consumption </t>
  </si>
  <si>
    <t>COG Consumption (BOF-CCP/LF)</t>
  </si>
  <si>
    <t>Power Consumption (BOF-CCP/LF)</t>
  </si>
  <si>
    <t xml:space="preserve">Sp Power Consumption (BOF-CCP/LF)  </t>
  </si>
  <si>
    <t xml:space="preserve">Sp Heat Cons (BOF) </t>
  </si>
  <si>
    <t xml:space="preserve">Sp Heat Cons (CCP) </t>
  </si>
  <si>
    <t xml:space="preserve">Grand Total Casters </t>
  </si>
  <si>
    <t>HEATS CASTED</t>
  </si>
  <si>
    <t>Hot Metal Consumption rate</t>
  </si>
  <si>
    <t>TOTAL PRODUCTION</t>
  </si>
  <si>
    <t>Kwh/T of ch Wt</t>
  </si>
  <si>
    <t>Th M³/ Hr</t>
  </si>
  <si>
    <t xml:space="preserve">Mill Availability </t>
  </si>
  <si>
    <t xml:space="preserve">% Mill Availability </t>
  </si>
  <si>
    <t xml:space="preserve">% Mill Utilisation </t>
  </si>
  <si>
    <t>Mill Utilisation</t>
  </si>
  <si>
    <t>Gross Heat Consumption</t>
  </si>
  <si>
    <t xml:space="preserve">Power Consumption </t>
  </si>
  <si>
    <t>Sp Power Consumption</t>
  </si>
  <si>
    <t>CO Gas consumption</t>
  </si>
  <si>
    <t>BF Gas consumption</t>
  </si>
  <si>
    <t xml:space="preserve">CBM consumption </t>
  </si>
  <si>
    <t>Rolling Rate on yield Wt</t>
  </si>
  <si>
    <t>YIELD WEIGHT</t>
  </si>
  <si>
    <t>WR MILL YIELD</t>
  </si>
  <si>
    <t>BAR MILL YIELD</t>
  </si>
  <si>
    <t>US MILL YIELD</t>
  </si>
  <si>
    <t>Saleable Steel (Mill-wise sale type-wise)</t>
  </si>
  <si>
    <t>Saleable Steel (Mill-wise shipping mode-wise)</t>
  </si>
  <si>
    <t>WR MILL (SECTION-WISE &amp; QUALITY-WISE)</t>
  </si>
  <si>
    <t>BAR MILL (SECTION-WISE &amp; QUALITY-WISE)</t>
  </si>
  <si>
    <t>US MILL (SECTION-WISE &amp; QUALITY-WISE)</t>
  </si>
  <si>
    <t>UPIS-Plant Sales</t>
  </si>
  <si>
    <t>PIG IRON &amp; EQUIVALENT</t>
  </si>
  <si>
    <t>Pig-Unit Wise</t>
  </si>
  <si>
    <t>Pig-Shipping Mode-wise</t>
  </si>
  <si>
    <t>Pig-Quality-wise</t>
  </si>
  <si>
    <t xml:space="preserve">Coal Tar      </t>
  </si>
  <si>
    <t>Ammonium Sulphate</t>
  </si>
  <si>
    <t>ENERGY MANAGEMENT DEPARTMENT</t>
  </si>
  <si>
    <t>CO GAS BALANCE (Overall)</t>
  </si>
  <si>
    <t>G.cal/TCS</t>
  </si>
  <si>
    <t>SHOP-WISE SPECIFIC ENERGY CONSUMPTION</t>
  </si>
  <si>
    <t>000nm³</t>
  </si>
  <si>
    <t>000Sm³</t>
  </si>
  <si>
    <t>TH CuM/Hr</t>
  </si>
  <si>
    <t>Kcal/m3</t>
  </si>
  <si>
    <t xml:space="preserve">CV </t>
  </si>
  <si>
    <t>Generation (COB#10)</t>
  </si>
  <si>
    <t>Generation (COB#11)</t>
  </si>
  <si>
    <t>Total Generation</t>
  </si>
  <si>
    <t xml:space="preserve">GENERATION </t>
  </si>
  <si>
    <t xml:space="preserve">DISTRIBUTION </t>
  </si>
  <si>
    <t>Generation (BF#5)</t>
  </si>
  <si>
    <t xml:space="preserve">DISTRIBUTION  </t>
  </si>
  <si>
    <t xml:space="preserve">NET AVAILABLE for Dist. </t>
  </si>
  <si>
    <t>MAJOR PRODUCTION SUMMARY</t>
  </si>
  <si>
    <t>HOT METAL</t>
  </si>
  <si>
    <t>CRUDE STEEL</t>
  </si>
  <si>
    <t>BF COKE</t>
  </si>
  <si>
    <t>COAL TAR</t>
  </si>
  <si>
    <t>AMMONIUM SULPHATE</t>
  </si>
  <si>
    <t>COKE OVENS PUSHING</t>
  </si>
  <si>
    <t xml:space="preserve">Bar Mill </t>
  </si>
  <si>
    <t xml:space="preserve">SINTER </t>
  </si>
  <si>
    <t xml:space="preserve">Net Granulated Slag Production </t>
  </si>
  <si>
    <t>(COB#10)</t>
  </si>
  <si>
    <t xml:space="preserve"> (COB#11)</t>
  </si>
  <si>
    <t>Saleable Steel (Sale type-wise)</t>
  </si>
  <si>
    <t>Total Pig &amp; Pig Equiv</t>
  </si>
  <si>
    <t>Nos/ day</t>
  </si>
  <si>
    <t>MT</t>
  </si>
  <si>
    <t>BF Coke Rate</t>
  </si>
  <si>
    <t>Nut Coke rate</t>
  </si>
  <si>
    <t>CDI rate</t>
  </si>
  <si>
    <t>Overall ICC in Blend</t>
  </si>
  <si>
    <t>ICC in Coal Blend</t>
  </si>
  <si>
    <t>(COB#11)</t>
  </si>
  <si>
    <t>B.F.Coke Yield</t>
  </si>
  <si>
    <t xml:space="preserve">BF PRODUCTIVITY </t>
  </si>
  <si>
    <t>Gross Coal to Hot Metal Ratio</t>
  </si>
  <si>
    <t>Overall Specific Power Consumption(Kwh)</t>
  </si>
  <si>
    <t>Overall Sp Water Consumption</t>
  </si>
  <si>
    <t>Kg/ THM</t>
  </si>
  <si>
    <t xml:space="preserve">Hot Metal to Crude Steel </t>
  </si>
  <si>
    <t xml:space="preserve">Scrap consumption at SMS </t>
  </si>
  <si>
    <t>Overall Sp Energy Consumpt</t>
  </si>
  <si>
    <t xml:space="preserve">Mill yield </t>
  </si>
  <si>
    <t>KwH/TSS</t>
  </si>
  <si>
    <t xml:space="preserve">Sp. CO2 emission </t>
  </si>
  <si>
    <t>Sp. PM emissions</t>
  </si>
  <si>
    <t>T/M³/Day</t>
  </si>
  <si>
    <t>ENVIRONMENT CONTROL DEPARTMENT</t>
  </si>
  <si>
    <t>DETAIL DESPATCH (As per Finance CENVAT report)</t>
  </si>
  <si>
    <t>Power Import from DVC</t>
  </si>
  <si>
    <t xml:space="preserve">Power Generation </t>
  </si>
  <si>
    <t>STEAM GENERATION</t>
  </si>
  <si>
    <t>Steam Distribution</t>
  </si>
  <si>
    <t>Coke Ovens</t>
  </si>
  <si>
    <t>Losses</t>
  </si>
  <si>
    <t>Boiler House</t>
  </si>
  <si>
    <t xml:space="preserve">Power House </t>
  </si>
  <si>
    <t>MW</t>
  </si>
  <si>
    <t>BOILER PLANT TECHNO</t>
  </si>
  <si>
    <t>TOTAL POWER DEMAND</t>
  </si>
  <si>
    <t>Tonne/ Hr</t>
  </si>
  <si>
    <t>Kg/T of St. Gen</t>
  </si>
  <si>
    <t>m³/t of St. Gen</t>
  </si>
  <si>
    <t>Litre/ t of St. Gen</t>
  </si>
  <si>
    <t xml:space="preserve">Steam Gen </t>
  </si>
  <si>
    <t xml:space="preserve">B.F. Gas cons </t>
  </si>
  <si>
    <t xml:space="preserve">C.O.Gas cons </t>
  </si>
  <si>
    <t xml:space="preserve">Furnace oil cons </t>
  </si>
  <si>
    <t xml:space="preserve">Heat Value </t>
  </si>
  <si>
    <t>MwH</t>
  </si>
  <si>
    <t xml:space="preserve">STG-1 </t>
  </si>
  <si>
    <t xml:space="preserve">STG-2 </t>
  </si>
  <si>
    <t xml:space="preserve">STG-3 </t>
  </si>
  <si>
    <t xml:space="preserve">BPTG </t>
  </si>
  <si>
    <t xml:space="preserve">TRTG </t>
  </si>
  <si>
    <t xml:space="preserve">Power Import from DVC </t>
  </si>
  <si>
    <t xml:space="preserve">Avg. Power Import </t>
  </si>
  <si>
    <t>Power Generation</t>
  </si>
  <si>
    <t>TOTAL POWER GENERATION</t>
  </si>
  <si>
    <t xml:space="preserve">STEAM GENERATION </t>
  </si>
  <si>
    <t>LDO CONSUMPTION</t>
  </si>
  <si>
    <t>KL</t>
  </si>
  <si>
    <t>Kcal/SM³</t>
  </si>
  <si>
    <t>Sp Heat Cons</t>
  </si>
  <si>
    <t>CBM CV</t>
  </si>
  <si>
    <t xml:space="preserve">LDO CV </t>
  </si>
  <si>
    <t>Kcal/Litre</t>
  </si>
  <si>
    <t>Kg</t>
  </si>
  <si>
    <t>HCl</t>
  </si>
  <si>
    <t>PBS-1+2</t>
  </si>
  <si>
    <t xml:space="preserve">POWER AVAILABILITY </t>
  </si>
  <si>
    <t>000 NM³</t>
  </si>
  <si>
    <t xml:space="preserve">Liq Oxygen </t>
  </si>
  <si>
    <t xml:space="preserve">Gaseous Oxygen </t>
  </si>
  <si>
    <t xml:space="preserve">Liq Nitrogen </t>
  </si>
  <si>
    <t xml:space="preserve">Gaseous Nitrogen </t>
  </si>
  <si>
    <t xml:space="preserve">Liquid Argon </t>
  </si>
  <si>
    <t xml:space="preserve">Sp. Water consumption </t>
  </si>
  <si>
    <t xml:space="preserve">Sp. PM emissions </t>
  </si>
  <si>
    <t xml:space="preserve">BOF Slag utilisation </t>
  </si>
  <si>
    <t xml:space="preserve"> T/TCS</t>
  </si>
  <si>
    <t>kg/TCS</t>
  </si>
  <si>
    <t>% DIRECT I/C EXPORT OF TOTAL DESPATCH</t>
  </si>
  <si>
    <t>OVERALL COKE &amp; COKE FRACTION YIELD</t>
  </si>
  <si>
    <t>Imported Coal in Blend (Wet)</t>
  </si>
  <si>
    <t>Fe</t>
  </si>
  <si>
    <t>FeO</t>
  </si>
  <si>
    <t>SiO2</t>
  </si>
  <si>
    <t>Al2O3</t>
  </si>
  <si>
    <t>CaO</t>
  </si>
  <si>
    <t>MgO</t>
  </si>
  <si>
    <t>Basicity</t>
  </si>
  <si>
    <t>SINTER QUALITY</t>
  </si>
  <si>
    <t xml:space="preserve">OVERALL SPECIFIC CONSUMPTION RATE </t>
  </si>
  <si>
    <t xml:space="preserve">Process Return Fines </t>
  </si>
  <si>
    <t xml:space="preserve">Capacity utilisation of rated capacity </t>
  </si>
  <si>
    <t>H.M to B.O.F</t>
  </si>
  <si>
    <t>H.M to P.C.M</t>
  </si>
  <si>
    <t>H.M to Sand Pit</t>
  </si>
  <si>
    <t xml:space="preserve">Deduced Operating days </t>
  </si>
  <si>
    <t>GROSS RAW MATERIALS CONSUMPTION</t>
  </si>
  <si>
    <t>NET RAW MATERIALS CONSUMPTION RATE (DRY BASIS)</t>
  </si>
  <si>
    <t>NET RAW MATERIALS CONSUMPTION (DRY)</t>
  </si>
  <si>
    <t>Gross Coke (i/c Return fines)-Dry</t>
  </si>
  <si>
    <t xml:space="preserve">BFG Consumption </t>
  </si>
  <si>
    <t xml:space="preserve">Caster Losses </t>
  </si>
  <si>
    <t>Caster #1+#2 (Total)</t>
  </si>
  <si>
    <t>Caster #1+#2 (Prime Length)</t>
  </si>
  <si>
    <t>Caster #1+#2 (Short Length)</t>
  </si>
  <si>
    <t>Th Nm³</t>
  </si>
  <si>
    <t>BOF Slag Generation</t>
  </si>
  <si>
    <t>FUEL CONSUMPTION</t>
  </si>
  <si>
    <t>Th NM³</t>
  </si>
  <si>
    <t xml:space="preserve">TOTAL POWER DEMAND </t>
  </si>
  <si>
    <t>PBS-1 (OLD PLANT ZONE)</t>
  </si>
  <si>
    <t>PBS-2 (NEW PLANT ZONE)</t>
  </si>
  <si>
    <t xml:space="preserve">Avg Power Generation </t>
  </si>
  <si>
    <t>TOTAL STG</t>
  </si>
  <si>
    <t>T/ Hr</t>
  </si>
  <si>
    <t>TOTAL POWER AVAILABILITY</t>
  </si>
  <si>
    <t>Avg. Power Availability</t>
  </si>
  <si>
    <t>ThSM³/ Hr</t>
  </si>
  <si>
    <t>BOF GAS CONSUMPTION</t>
  </si>
  <si>
    <t xml:space="preserve">BOF GAS BALANCE-EMD </t>
  </si>
  <si>
    <t>Sinter Plant</t>
  </si>
  <si>
    <t>GENERATION</t>
  </si>
  <si>
    <t>DISTRIBUTION</t>
  </si>
  <si>
    <t>Nos. / day</t>
  </si>
  <si>
    <t>*</t>
  </si>
  <si>
    <t xml:space="preserve">                </t>
  </si>
  <si>
    <t xml:space="preserve">              </t>
  </si>
  <si>
    <t xml:space="preserve">PBS </t>
  </si>
  <si>
    <t>Blower-Stm</t>
  </si>
  <si>
    <t>CDCP (AUX)</t>
  </si>
  <si>
    <t>Loss</t>
  </si>
  <si>
    <t>STG Stm</t>
  </si>
  <si>
    <t>Power Steam Consumption</t>
  </si>
  <si>
    <t>Process Steam Consumption</t>
  </si>
  <si>
    <t>Total Steam Generation</t>
  </si>
  <si>
    <t>STEAM FOR DISTRIBUTION</t>
  </si>
  <si>
    <t>STEAM BALANCE</t>
  </si>
  <si>
    <t>TPH</t>
  </si>
  <si>
    <t>Power Generation PBS-1</t>
  </si>
  <si>
    <t>Power Import from DVC (Old Plant)</t>
  </si>
  <si>
    <t>Power Import from DVC (New Plant)</t>
  </si>
  <si>
    <t>Import from Break Generator</t>
  </si>
  <si>
    <t>Gross Power Availability</t>
  </si>
  <si>
    <t xml:space="preserve">Sinter Plant </t>
  </si>
  <si>
    <t xml:space="preserve">WRM </t>
  </si>
  <si>
    <t xml:space="preserve">BM </t>
  </si>
  <si>
    <t xml:space="preserve">USM </t>
  </si>
  <si>
    <t xml:space="preserve">Compd  Air Stn </t>
  </si>
  <si>
    <t>Transmission/ Distribution Loss &amp; Unaccounted (Old Plant)</t>
  </si>
  <si>
    <t>Transmission/ Distribution Loss &amp; Unaccounted (New Plant)</t>
  </si>
  <si>
    <t>Total Loss</t>
  </si>
  <si>
    <t>Overall Blend Coal Moisture</t>
  </si>
  <si>
    <t>Average Handling Loss</t>
  </si>
  <si>
    <t>CONVERTER BLOWS</t>
  </si>
  <si>
    <t>POWER DISTRIBUTION (KwH)</t>
  </si>
  <si>
    <t>POWER DISTRIBUTION (MW)</t>
  </si>
  <si>
    <t>Calender Days</t>
  </si>
  <si>
    <t>BF working days</t>
  </si>
  <si>
    <t>Gross</t>
  </si>
  <si>
    <t>COKE &amp; COKE FRACTION PRODUCTION (DRY BASIS)</t>
  </si>
  <si>
    <t>LEAKAGE/ BLEEDER LOSS</t>
  </si>
  <si>
    <t>10⁶.Cal/ ts</t>
  </si>
  <si>
    <t xml:space="preserve">Crude Benzol </t>
  </si>
  <si>
    <t>Kg/Tdcc</t>
  </si>
  <si>
    <t>Yield of Coal Chemicals</t>
  </si>
  <si>
    <t>(NH4)₂SO4  (New Plant)</t>
  </si>
  <si>
    <t>TOTAL REFINED PRODUCTS</t>
  </si>
  <si>
    <t>Hrs/ day</t>
  </si>
  <si>
    <t>Rolling Hours/ day wrt Mill Avl days</t>
  </si>
  <si>
    <t>H-1</t>
  </si>
  <si>
    <t>SEMIS</t>
  </si>
  <si>
    <t>Chasnalla (PCC Ind)</t>
  </si>
  <si>
    <t>Moonidih (PCC Ind)</t>
  </si>
  <si>
    <t>BF#5</t>
  </si>
  <si>
    <t>Caster #3 Bloom (Prime Length)</t>
  </si>
  <si>
    <t>Caster #3 Beam Blank (Prime Length)</t>
  </si>
  <si>
    <t>Caster #3 Bloom (Short Length)</t>
  </si>
  <si>
    <t>Caster #3 Beam Blank (Short Length)</t>
  </si>
  <si>
    <t>Operation Power</t>
  </si>
  <si>
    <t>Avg Heats Cast per Day</t>
  </si>
  <si>
    <t>CBM Consumption (BOF-CCP)</t>
  </si>
  <si>
    <t>LIMESTONE/ BURNT LIME</t>
  </si>
  <si>
    <t>LIMESTONE TO LDCP</t>
  </si>
  <si>
    <t>RAW FINES GENERATION</t>
  </si>
  <si>
    <t>NET LIMESTONE CONSUMPTION</t>
  </si>
  <si>
    <t>BURNT LIME PRODUCTION</t>
  </si>
  <si>
    <t>BURNT LIME YIELD</t>
  </si>
  <si>
    <t>BURNT LIME REACTIVITY</t>
  </si>
  <si>
    <t>DOLOMITE/ BURNT DOLO</t>
  </si>
  <si>
    <t>DOLOMITE TO LDCP</t>
  </si>
  <si>
    <t>NET DOLOMITE CONSUMPTION</t>
  </si>
  <si>
    <t>BURNT DOLO YIELD</t>
  </si>
  <si>
    <t>BURNT DOLO REACTIVITY</t>
  </si>
  <si>
    <t>Raw L/St to LDCP/ TCS</t>
  </si>
  <si>
    <t>Kg/TCS</t>
  </si>
  <si>
    <t>Raw Dolo to LDCP/ TCS</t>
  </si>
  <si>
    <t>Parameters</t>
  </si>
  <si>
    <t>Range</t>
  </si>
  <si>
    <t>As per LDCP</t>
  </si>
  <si>
    <t xml:space="preserve">Avg. Cast Weight </t>
  </si>
  <si>
    <t>Mt/ Cast</t>
  </si>
  <si>
    <t>SEMIS (SECTION-WISE &amp; QUALITY-WISE)</t>
  </si>
  <si>
    <t>150 X 150 BLOOMS</t>
  </si>
  <si>
    <t>C-20 (TLT)</t>
  </si>
  <si>
    <t>200 X 280 BLOOMS</t>
  </si>
  <si>
    <t>TOTAL 150 X 150 BLOOMS</t>
  </si>
  <si>
    <t>TOTAL 200 X 280 BLOOMS</t>
  </si>
  <si>
    <t>GRAND TOTAL SEMIS</t>
  </si>
  <si>
    <t>ICC (Peak Down)</t>
  </si>
  <si>
    <t>Bauxite</t>
  </si>
  <si>
    <t>Sp Ref Consumption</t>
  </si>
  <si>
    <t>Labour Productivity</t>
  </si>
  <si>
    <t>TCS/Man/Year</t>
  </si>
  <si>
    <t>ICC (LVHR-AUS)</t>
  </si>
  <si>
    <t>ICC (CANADA-H)</t>
  </si>
  <si>
    <t>Calcined Dolo</t>
  </si>
  <si>
    <t>SWR 14</t>
  </si>
  <si>
    <t>H-2</t>
  </si>
  <si>
    <t>T/Utlzn Hr</t>
  </si>
  <si>
    <t>Th K. Cal/t of St. Gen</t>
  </si>
  <si>
    <t>ASSORTED BLOOMS</t>
  </si>
  <si>
    <t>Defective (Mktg)</t>
  </si>
  <si>
    <t>Average Manpower (Works)</t>
  </si>
  <si>
    <t>Boiler coal cons. (Wet Basis)</t>
  </si>
  <si>
    <t xml:space="preserve">Flue Dust </t>
  </si>
  <si>
    <t>&lt;0.8</t>
  </si>
  <si>
    <t>&lt;0.05</t>
  </si>
  <si>
    <t>Avg Casts/ day</t>
  </si>
  <si>
    <t>Metallipop Sampler (Al/ Zr)</t>
  </si>
  <si>
    <t>BF (from BPTG)</t>
  </si>
  <si>
    <t>BOF (from BPTG)</t>
  </si>
  <si>
    <t>Auxiliary &amp; Repair Shop</t>
  </si>
  <si>
    <t>(1) Train# 2 will be under maintenance for 10 days in the month Aug 2017</t>
  </si>
  <si>
    <t>(2) Train# 1 will be under maintenance for 10 days in the month Dec 2017</t>
  </si>
  <si>
    <t>000 NM³/ Hr</t>
  </si>
  <si>
    <t>Auxilliries *</t>
  </si>
  <si>
    <t>BURNT DOLO PRODUCTION</t>
  </si>
  <si>
    <t>GRANULATED SLAG SEGERGATED FROM EARLIER LOSS</t>
  </si>
  <si>
    <t>GROSS GRANULATED SLAG PRODUCTION (Excl Seggr)</t>
  </si>
  <si>
    <t xml:space="preserve">          CONV#2 UTILISATION</t>
  </si>
  <si>
    <t xml:space="preserve">          CONV#1 UTILISATION</t>
  </si>
  <si>
    <t xml:space="preserve">          CONV#3 UTILISATION</t>
  </si>
  <si>
    <t>MKTG DIR (DEF)</t>
  </si>
  <si>
    <t>CMO-WR MILL</t>
  </si>
  <si>
    <t>CMO-BAR MILL</t>
  </si>
  <si>
    <t>CMO-US MILL</t>
  </si>
  <si>
    <t>CaSi</t>
  </si>
  <si>
    <t>FeB</t>
  </si>
  <si>
    <t>FeCr</t>
  </si>
  <si>
    <t>Cu</t>
  </si>
  <si>
    <t xml:space="preserve">COG Cons </t>
  </si>
  <si>
    <t xml:space="preserve">BFG Cons </t>
  </si>
  <si>
    <t>Gross Sinter (i/c Return fines+Diverter Loss)-Dry</t>
  </si>
  <si>
    <t>BF Sinter return fines (Dry)</t>
  </si>
  <si>
    <t>Gross Sinter Loss (Return+Diverter)(Wet)</t>
  </si>
  <si>
    <t xml:space="preserve">Gross Sinter Loss (Return+Diverter)(Dry) </t>
  </si>
  <si>
    <t xml:space="preserve">          CASTER#1 UTILISATION</t>
  </si>
  <si>
    <t xml:space="preserve">          CASTER#2 UTILISATION</t>
  </si>
  <si>
    <t xml:space="preserve">          CASTER#3 UTILISATION</t>
  </si>
  <si>
    <t>LPG Consumption (CCP)</t>
  </si>
  <si>
    <t>Working days</t>
  </si>
  <si>
    <t>Calender Day</t>
  </si>
  <si>
    <t xml:space="preserve">Return Coke fines (dry) to BMP </t>
  </si>
  <si>
    <t>BF Diverter Sinter (Dry)</t>
  </si>
  <si>
    <t>BF Return Sinter fines (dry) to BMP wrt Gross Sinter Supply (Skip BF+SMS Cons+Return fines+Diverter loss) (%)</t>
  </si>
  <si>
    <t>Diverter loss of Sinter at BF (Dry) wrt Gross Sinter Supply (skip BF+SMS+Return Fines+Diverter loss) (%)</t>
  </si>
  <si>
    <t>Power Generation PBS-2 (STG)+BPTG+TRTG</t>
  </si>
  <si>
    <t>ICC (Indonesia-H)</t>
  </si>
  <si>
    <t>Rajrappa+Kedla (MCC Ind)</t>
  </si>
  <si>
    <t>Av. Lime</t>
  </si>
  <si>
    <t>Crude Steel</t>
  </si>
  <si>
    <t>50% of Pig Eq</t>
  </si>
  <si>
    <t>CS+50%Pig Eq</t>
  </si>
  <si>
    <t>Pig+Eq</t>
  </si>
  <si>
    <t>Sections</t>
  </si>
  <si>
    <t>STRUCTURAL SHOP</t>
  </si>
  <si>
    <t>Moisture in BF Return Sinter Fines</t>
  </si>
  <si>
    <t>Moisture in BF Return Coke Fines</t>
  </si>
  <si>
    <t>Moisture in BF Return Iron Ore Fines</t>
  </si>
  <si>
    <t>Iron ore return fines (wet) to BMP from BF#5 (Mt)-RMHP</t>
  </si>
  <si>
    <t>Iron ore return fines (Dry) to BMP from BF#5 (Mt)-RMHP</t>
  </si>
  <si>
    <t xml:space="preserve">Return Iron Ore  fines (dry) to BMP </t>
  </si>
  <si>
    <t>BOF Sludge</t>
  </si>
  <si>
    <t>CMO (HOME SALES)</t>
  </si>
  <si>
    <t>BF Slag Generation</t>
  </si>
  <si>
    <t>BF Slag Utilisation</t>
  </si>
  <si>
    <t>BOF Slag Utilisation</t>
  </si>
  <si>
    <t xml:space="preserve">Net Gran Slag Production </t>
  </si>
  <si>
    <t xml:space="preserve">Total BF Slag Despatch </t>
  </si>
  <si>
    <t>BF Slag Boulder despatch as per CENVAT</t>
  </si>
  <si>
    <t>BF Gran Slag Despatch as per CENVAT (i/c matl from previous stock)</t>
  </si>
  <si>
    <r>
      <rPr>
        <b/>
        <sz val="11"/>
        <rFont val="Times New Roman"/>
        <family val="1"/>
      </rPr>
      <t>MKTG</t>
    </r>
    <r>
      <rPr>
        <sz val="11"/>
        <rFont val="Times New Roman"/>
        <family val="1"/>
      </rPr>
      <t>-MILL DEFECTIVES (ARISINGS)</t>
    </r>
  </si>
  <si>
    <t>TOTAL Indigenous</t>
  </si>
  <si>
    <t>AVG INCOMING COAL MOISTURE AS PER CONS BLEND - (COB #8+10+11)</t>
  </si>
  <si>
    <t>Power Req for Old Plant from PBS-2/ MRS</t>
  </si>
  <si>
    <t>Avg Power Req for Old Plant from PBS-2/ MRS</t>
  </si>
  <si>
    <t>Gross Iron Ore Lump (i/c Return fines)-Dry</t>
  </si>
  <si>
    <t>ICC (LVHR)</t>
  </si>
  <si>
    <t>Total Ferro Alloys (FeMn+FeSi+SiMn)</t>
  </si>
  <si>
    <t>Heats Re-cycled+Dumped heat</t>
  </si>
  <si>
    <t>CDCP Fines</t>
  </si>
  <si>
    <t>Electrode</t>
  </si>
  <si>
    <t>CDCP Dust</t>
  </si>
  <si>
    <t>Burnt Fines Generation</t>
  </si>
  <si>
    <t>Burnt Fines %</t>
  </si>
  <si>
    <t>FeTi</t>
  </si>
  <si>
    <t>ICC LVHR</t>
  </si>
  <si>
    <t>1.9-2.0</t>
  </si>
  <si>
    <t>RI</t>
  </si>
  <si>
    <t>RDI</t>
  </si>
  <si>
    <t>&gt;65</t>
  </si>
  <si>
    <t>BPTG Stm</t>
  </si>
  <si>
    <t>EXP.DEA.TUR.AUX /ESP Boiler</t>
  </si>
  <si>
    <t xml:space="preserve">JISG3101SS540RC-2ALK </t>
  </si>
  <si>
    <t>SUP 11 A</t>
  </si>
  <si>
    <t>IS2830C20MMNACU</t>
  </si>
  <si>
    <t>ICC (MOZ-H)</t>
  </si>
  <si>
    <t xml:space="preserve">BURNT LIME REACTIVITY </t>
  </si>
  <si>
    <t>Aus Soft</t>
  </si>
  <si>
    <t>Kestrel Soft</t>
  </si>
  <si>
    <t xml:space="preserve">BURNT DOLO REACTIVITY </t>
  </si>
  <si>
    <t>CBM consumption</t>
  </si>
  <si>
    <t>M³/Hr</t>
  </si>
  <si>
    <t>Th SM³/ Hr</t>
  </si>
  <si>
    <t>Th.M3/hr</t>
  </si>
  <si>
    <t>BPP COB#11 (from BPTG)</t>
  </si>
  <si>
    <t>BPP COB#8&amp;10 (from BPTG)</t>
  </si>
  <si>
    <t>IS 2830:12 C20MMnC</t>
  </si>
  <si>
    <t>US Soft</t>
  </si>
  <si>
    <t>Aus Soft/Imp Soft</t>
  </si>
  <si>
    <t>2018-19</t>
  </si>
  <si>
    <t>ICC (MOZ-H+Benga)</t>
  </si>
  <si>
    <t>TMT Bars</t>
  </si>
  <si>
    <t>TMT Coils</t>
  </si>
  <si>
    <t>ICC Soft</t>
  </si>
  <si>
    <t>4.1-4.4</t>
  </si>
  <si>
    <t>&lt;28</t>
  </si>
  <si>
    <t>#</t>
  </si>
  <si>
    <t>EXPORT WRM</t>
  </si>
  <si>
    <t>EXPORT BAR MILL</t>
  </si>
  <si>
    <t xml:space="preserve">RMHS </t>
  </si>
  <si>
    <t>IS 2830 C20 MMNA</t>
  </si>
  <si>
    <t>IS2830C15MMNA</t>
  </si>
  <si>
    <t>IS2830C25HMNA</t>
  </si>
  <si>
    <t>IS 2830 C20 MMNA(Customised TLT)</t>
  </si>
  <si>
    <t>32 mm TMT (BS4449 B500B CRS)</t>
  </si>
  <si>
    <t>ISP SALES:</t>
  </si>
  <si>
    <t>Pig Iron</t>
  </si>
  <si>
    <t>ASSORTED BILLETS</t>
  </si>
  <si>
    <t>CMO HOME SALES</t>
  </si>
  <si>
    <t>QTR-1</t>
  </si>
  <si>
    <t>SAILTOWER-GR6-V (A)</t>
  </si>
  <si>
    <t>Avg Power Import from DVC (33 KV)</t>
  </si>
  <si>
    <t>CASTER 1</t>
  </si>
  <si>
    <t>CASTER 2</t>
  </si>
  <si>
    <t>CASTER 3</t>
  </si>
  <si>
    <t>Q1</t>
  </si>
  <si>
    <t>IS: 1786/2008, Fe500D</t>
  </si>
  <si>
    <t>IS: 1786/2008, Fe600</t>
  </si>
  <si>
    <t>IS: 2830/2012, C20MMn A</t>
  </si>
  <si>
    <t>IS: 2830/2012, C20MMn C</t>
  </si>
  <si>
    <t>IS: 2830/2012, C25HMn</t>
  </si>
  <si>
    <t>SAE 1010- Alk</t>
  </si>
  <si>
    <t>SAE1018-SiK</t>
  </si>
  <si>
    <t>IS: 7887/1992, 4//SWR-14</t>
  </si>
  <si>
    <t>IS: 2062/2011, E350C</t>
  </si>
  <si>
    <t>IS:2062/2011,E350B(V)</t>
  </si>
  <si>
    <t>IS: 2062/2011, E250B</t>
  </si>
  <si>
    <t>IS: 2062/2011, E350C (V)</t>
  </si>
  <si>
    <t>IS: 2062/2011, E250C</t>
  </si>
  <si>
    <t>Remelting</t>
  </si>
  <si>
    <t>200X280 BLOOM</t>
  </si>
  <si>
    <t>BB2</t>
  </si>
  <si>
    <t>BB3</t>
  </si>
  <si>
    <t>COB #10 (Tonnes on wet basis)</t>
  </si>
  <si>
    <t>TOTAL COB #10+11 (Tonnes on wet basis)</t>
  </si>
  <si>
    <t>COKE OVENS (COB# 10)</t>
  </si>
  <si>
    <t>OVERALL COAL BLEND - (COB #10+11) (% on wet basis)</t>
  </si>
  <si>
    <t xml:space="preserve">2019-20 </t>
  </si>
  <si>
    <t>4 M</t>
  </si>
  <si>
    <t>OLD, USED &amp; REJECTED REFRACTORY BRICKS</t>
  </si>
  <si>
    <t>6 WRC SAE 1006</t>
  </si>
  <si>
    <t>SAE1006 Al-SiK</t>
  </si>
  <si>
    <t>SAE1018-AlK</t>
  </si>
  <si>
    <t>IS: 2062/2011, E410C</t>
  </si>
  <si>
    <t>Total 200x280 Bloom</t>
  </si>
  <si>
    <t>Total BB2</t>
  </si>
  <si>
    <t>Total BB3</t>
  </si>
  <si>
    <t>ROAD CO-EFFICIENT (%)</t>
  </si>
  <si>
    <t>SAE 1010- Sik</t>
  </si>
  <si>
    <t>SAE1006 SiK</t>
  </si>
  <si>
    <t>IS: 2830/2012, C25 HMn</t>
  </si>
  <si>
    <t>Q2</t>
  </si>
  <si>
    <t>H1</t>
  </si>
  <si>
    <t>2 M</t>
  </si>
  <si>
    <t>ISPEXPT-1</t>
  </si>
  <si>
    <t>IS: 2830/2012, C20MMn C (Dispatch)</t>
  </si>
  <si>
    <t>QTR-2</t>
  </si>
  <si>
    <t>FERRO SILICON,25-50MM</t>
  </si>
  <si>
    <t>SILICO MANGANESE,25-50MM</t>
  </si>
  <si>
    <t>ISPEXPT07</t>
  </si>
  <si>
    <t>IS: 1786/2008, Fe500HCR</t>
  </si>
  <si>
    <t>CMO-SEMIS</t>
  </si>
  <si>
    <t>MARKETING (TOTAL ASSORTED BILLETS/BLOOMS/BEAM BLANKS)</t>
  </si>
  <si>
    <t>Q3</t>
  </si>
  <si>
    <t>HC62B</t>
  </si>
  <si>
    <t>HC72B</t>
  </si>
  <si>
    <t>SAE1006(B)-Sik</t>
  </si>
  <si>
    <t>QTR-3</t>
  </si>
  <si>
    <t>QTR-4</t>
  </si>
  <si>
    <t xml:space="preserve">POWER : </t>
  </si>
  <si>
    <t>IDLE ASSET</t>
  </si>
  <si>
    <t>OLD, U/R WASTE OIL FILLED IN DRUMS</t>
  </si>
  <si>
    <t>OLD,USED &amp; REJECTED EMPTY OIL DRUMS</t>
  </si>
  <si>
    <t>USED &amp; REJECTED WOODEN PALLETS/  SLEEPER</t>
  </si>
  <si>
    <t>WET BOILER ASH</t>
  </si>
  <si>
    <t>END CUT PIECES &amp; ARISINGS OF WRM &amp; BM</t>
  </si>
  <si>
    <t xml:space="preserve">MECHANICAL ENGG SHOPS </t>
  </si>
  <si>
    <t>11 M</t>
  </si>
  <si>
    <t>HC82B</t>
  </si>
  <si>
    <t>OLD, USED &amp; REJECTED RAILS</t>
  </si>
  <si>
    <t>USED &amp; REJECTED CONVEYOR BELT (NYLON)</t>
  </si>
  <si>
    <t>2019-20</t>
  </si>
  <si>
    <t>EXPORT US MILL</t>
  </si>
  <si>
    <t xml:space="preserve">NPB 600*220*122.45 </t>
  </si>
  <si>
    <t>Q4</t>
  </si>
  <si>
    <t>H2</t>
  </si>
  <si>
    <t>12 M</t>
  </si>
  <si>
    <t>AWS A5.18, ER70S-6 (MIG/CO2)</t>
  </si>
  <si>
    <t>HC52B</t>
  </si>
  <si>
    <t>LIQUID ARGON</t>
  </si>
  <si>
    <t>STEEL SCRAP</t>
  </si>
  <si>
    <t>Dolo (Trimming)</t>
  </si>
  <si>
    <t>SAIL TOWER Gr VI (NB)-Alk</t>
  </si>
  <si>
    <t>SAIL TOWER Gr VI (NB)-Sik</t>
  </si>
  <si>
    <t>Apr'20</t>
  </si>
  <si>
    <t>May'20</t>
  </si>
  <si>
    <t>2020-21</t>
  </si>
  <si>
    <t>Nos</t>
  </si>
  <si>
    <t>Overall Equiv. Ovens Pushed</t>
  </si>
  <si>
    <t>Finished Steel</t>
  </si>
  <si>
    <t xml:space="preserve">150x150 mm </t>
  </si>
  <si>
    <t>200x280 mm</t>
  </si>
  <si>
    <t>Saleable Semis</t>
  </si>
  <si>
    <t>Wire Rod Plain Coils</t>
  </si>
  <si>
    <t>Angles</t>
  </si>
  <si>
    <t>Semis</t>
  </si>
  <si>
    <t>Spillage sinter</t>
  </si>
  <si>
    <t>MKTG DIR (ASSORTED-DEF)</t>
  </si>
  <si>
    <t>BY RAIL</t>
  </si>
  <si>
    <t>ISP DIRECT SALES</t>
  </si>
  <si>
    <t>BY ROAD</t>
  </si>
  <si>
    <t>BY PRODUCT</t>
  </si>
  <si>
    <t>CRUDE COAL TAR</t>
  </si>
  <si>
    <t>Others</t>
  </si>
  <si>
    <t>LIQUID OXYGEN</t>
  </si>
  <si>
    <t>BF GRANULATED SLAG</t>
  </si>
  <si>
    <t>NEPAL</t>
  </si>
  <si>
    <t>BANGLADESH</t>
  </si>
  <si>
    <t>Manila (Philippines)</t>
  </si>
  <si>
    <t>China</t>
  </si>
  <si>
    <t>K#2</t>
  </si>
  <si>
    <t>K#3</t>
  </si>
  <si>
    <t>K#4</t>
  </si>
  <si>
    <t>55 MTR. BELT</t>
  </si>
  <si>
    <t>K#1</t>
  </si>
  <si>
    <t xml:space="preserve">Auxilliries </t>
  </si>
  <si>
    <t>IS 2879 EWNR (ELECTRODE QUALITY)</t>
  </si>
  <si>
    <t>BOF Slag rate Kg/ TCS</t>
  </si>
  <si>
    <t>13.5-14</t>
  </si>
  <si>
    <t>Overall Mixed Coke Moisture</t>
  </si>
  <si>
    <t>Other Consumption</t>
  </si>
  <si>
    <t>FeV</t>
  </si>
  <si>
    <t>FeNb</t>
  </si>
  <si>
    <t>Oman Lime</t>
  </si>
  <si>
    <t>NFC</t>
  </si>
  <si>
    <t>&lt;10</t>
  </si>
  <si>
    <t>&lt;4</t>
  </si>
  <si>
    <t>&lt;2</t>
  </si>
  <si>
    <t>Net PCI Production</t>
  </si>
  <si>
    <t>Total casts</t>
  </si>
  <si>
    <t>No</t>
  </si>
  <si>
    <t>Hot metal consumed in BOF</t>
  </si>
  <si>
    <t>ROW NUM</t>
  </si>
  <si>
    <t>SHEET</t>
  </si>
  <si>
    <t>TO UPDATE THIS</t>
  </si>
  <si>
    <t>TOTAL EQUIVALENT PIG IRON</t>
  </si>
  <si>
    <t>NPB 500*200*90.68 E350 NEPAL</t>
  </si>
  <si>
    <t>Nepal</t>
  </si>
  <si>
    <t>CB HCRM C</t>
  </si>
  <si>
    <t>SAILTOWER-GR6-NB</t>
  </si>
  <si>
    <t>SAILTOWER-GR6-V</t>
  </si>
  <si>
    <t>SAILTOWER-GR6-NB (A)</t>
  </si>
  <si>
    <t>BENZENE</t>
  </si>
  <si>
    <t>COKE DUST FINES</t>
  </si>
  <si>
    <t>IRON SCRAP</t>
  </si>
  <si>
    <t>PROCESSED CI SCRAP</t>
  </si>
  <si>
    <t>REFRACTORY</t>
  </si>
  <si>
    <t>FSNL</t>
  </si>
  <si>
    <t>OPERATION POWER(NEW)</t>
  </si>
  <si>
    <t>COB-11 ( CCHP,Battery, CDCP, BPP)</t>
  </si>
  <si>
    <t>Blast Furnace</t>
  </si>
  <si>
    <t>SMS(BOF, LF &amp; CCP)</t>
  </si>
  <si>
    <t>Oxygen Plant</t>
  </si>
  <si>
    <t>WTP (WMD)</t>
  </si>
  <si>
    <t>RSPH (NEW)</t>
  </si>
  <si>
    <t xml:space="preserve">New Plant Misc. Consu  </t>
  </si>
  <si>
    <t>OPERATION POWER(OLD)</t>
  </si>
  <si>
    <t>COB-10( CO operation, BPP &amp; Benzol plant)</t>
  </si>
  <si>
    <t>Old Iron zone operation(Excl. COB-10)</t>
  </si>
  <si>
    <t>old steel zone operation</t>
  </si>
  <si>
    <t xml:space="preserve">0.2* RSPH (OLD) </t>
  </si>
  <si>
    <t>TOTAL NON-OPERATION POWER</t>
  </si>
  <si>
    <t>NON-OPERATION POWER(NEW)</t>
  </si>
  <si>
    <t>PBS-2 Aux</t>
  </si>
  <si>
    <t>NON-OPERATION POWER(OLD)</t>
  </si>
  <si>
    <t>Old plant Non-operation (Excluding Township)</t>
  </si>
  <si>
    <t>Township</t>
  </si>
  <si>
    <t>0.8*RSPH (Old)</t>
  </si>
  <si>
    <t>PBS-1 Aux(Including RPH 2 contribution)</t>
  </si>
  <si>
    <t>TOTAL OPERATION POWER</t>
  </si>
  <si>
    <t>Old Plant/Auxiliries</t>
  </si>
  <si>
    <t>Sr. No.</t>
  </si>
  <si>
    <t>GROSS POWER AVAILABLE</t>
  </si>
  <si>
    <t>TOTAL LOSSES</t>
  </si>
  <si>
    <t>NET POWER AVAILABLE</t>
  </si>
  <si>
    <t>TOTAL POWER DISTRIBUTED</t>
  </si>
  <si>
    <t>4.1.1</t>
  </si>
  <si>
    <t>4.1.1.1</t>
  </si>
  <si>
    <t>4.1.1.2</t>
  </si>
  <si>
    <t>4.1.1.3</t>
  </si>
  <si>
    <t>4.1.1.4</t>
  </si>
  <si>
    <t>4.1.1.5</t>
  </si>
  <si>
    <t>4.1.1.6</t>
  </si>
  <si>
    <t>4.1.1.7</t>
  </si>
  <si>
    <t>PBS-1 Aux (Including RPH-2 contribution)</t>
  </si>
  <si>
    <t>4.1.1.8</t>
  </si>
  <si>
    <t xml:space="preserve">PBS-2 Aux. </t>
  </si>
  <si>
    <t>4.1.1.9</t>
  </si>
  <si>
    <t>4.1.1.10</t>
  </si>
  <si>
    <t>4.1.1.11</t>
  </si>
  <si>
    <t>Township(PBS-1, old steel zone &amp; old iron zone)</t>
  </si>
  <si>
    <t>4.1.1.12</t>
  </si>
  <si>
    <t>4.1.1.13</t>
  </si>
  <si>
    <t>RSPH (New + Old)</t>
  </si>
  <si>
    <t>4.1.1.14</t>
  </si>
  <si>
    <t>4.1.2</t>
  </si>
  <si>
    <t>4.1.2.1</t>
  </si>
  <si>
    <t>4.1.2.2</t>
  </si>
  <si>
    <t>4.1.2.3</t>
  </si>
  <si>
    <t>TOTAL CONSUMPTION (New + Old)</t>
  </si>
  <si>
    <t>4.2.1</t>
  </si>
  <si>
    <t>4.2.1.1</t>
  </si>
  <si>
    <t>4.2.2</t>
  </si>
  <si>
    <t>4.2.2.1</t>
  </si>
  <si>
    <t>4.2.2.2</t>
  </si>
  <si>
    <t>4.2.2.3</t>
  </si>
  <si>
    <t>4.2.2.4</t>
  </si>
  <si>
    <t>Power Cons-CCHP,Battery, CDCP, BPP</t>
  </si>
  <si>
    <t>Sp Power Cons-CCHP,Battery, CDCP, BPP</t>
  </si>
  <si>
    <t>Power Cons-(CO operation, BPP &amp; Benzol plant)</t>
  </si>
  <si>
    <t>Sp Power Cons-(CO operation, BPP &amp; Benzol plant)</t>
  </si>
  <si>
    <t>COKING COAL CONSUMPTION INC OF HANDLING LOSS</t>
  </si>
  <si>
    <t>Iron Ore Fines</t>
  </si>
  <si>
    <t>Dolomite</t>
  </si>
  <si>
    <t>Limestone</t>
  </si>
  <si>
    <t>LD Slag(-10mm)</t>
  </si>
  <si>
    <t>Flue Dust</t>
  </si>
  <si>
    <t>Total Base Mix</t>
  </si>
  <si>
    <t>SP Trimming</t>
  </si>
  <si>
    <t>Trimming Dolomite SP</t>
  </si>
  <si>
    <t>Trimming Limestone SP</t>
  </si>
  <si>
    <t>BF Return Received</t>
  </si>
  <si>
    <t>Dispatch</t>
  </si>
  <si>
    <t>Iron Ore Lump to BF</t>
  </si>
  <si>
    <t>Quartzite to BF</t>
  </si>
  <si>
    <t>LD Slag (+10mm) to BF</t>
  </si>
  <si>
    <t>Limestone LDCP</t>
  </si>
  <si>
    <t>Dolomite LDCP</t>
  </si>
  <si>
    <t>Iron Ore Lump to BOF</t>
  </si>
  <si>
    <t>Dolomite to BOF</t>
  </si>
  <si>
    <t>Calcined Lime Dust</t>
  </si>
  <si>
    <t xml:space="preserve">Calcined Lime Dust </t>
  </si>
  <si>
    <t>Limestone fines(basemix input)+limestone trimming (Sinter input)</t>
  </si>
  <si>
    <t>Dolomite fines(basemix input)+Dolo trimming (Sinter input)</t>
  </si>
  <si>
    <t>Coke Breeze (basemix input)+Coke Breeze trimming (Sinter input)</t>
  </si>
  <si>
    <t>BLAST FURNACE NET RAW MATERIALS CONSUMPTION (DRY)</t>
  </si>
  <si>
    <t xml:space="preserve">SMS Raw Materials Net Consumption Rate </t>
  </si>
  <si>
    <t>BASE MIX INPUT FOR SINTER PLANT</t>
  </si>
  <si>
    <t>SINTER PLANT INPUT</t>
  </si>
  <si>
    <t>PBS 1</t>
  </si>
  <si>
    <t>LIMESTONE</t>
  </si>
  <si>
    <t>DOLOMITE</t>
  </si>
  <si>
    <t>Coal</t>
  </si>
  <si>
    <t>Opening Stock as on 01.05.20</t>
  </si>
  <si>
    <t>Received</t>
  </si>
  <si>
    <t>Consumption</t>
  </si>
  <si>
    <t>Closing stock</t>
  </si>
  <si>
    <t>Limestone to LDCP</t>
  </si>
  <si>
    <t>SAP</t>
  </si>
  <si>
    <t>According to RMHP</t>
  </si>
  <si>
    <t>Acc to LDCP</t>
  </si>
  <si>
    <t>Calcined lime Fines Generation</t>
  </si>
  <si>
    <t>Raw limestone fines(-25MM)</t>
  </si>
  <si>
    <t>Net limestone consumption</t>
  </si>
  <si>
    <t>Calcined lime Production</t>
  </si>
  <si>
    <t>Heating Coke (Dry)</t>
  </si>
  <si>
    <t>ICC (MOZ)/Benga</t>
  </si>
  <si>
    <t>6 WRC SAE 1008</t>
  </si>
  <si>
    <t>8 WRC SAE 1008</t>
  </si>
  <si>
    <t>WPB 240*240*60.32</t>
  </si>
  <si>
    <t>WPB 240*240*47.39</t>
  </si>
  <si>
    <t>C-20 (TLT)- AlK</t>
  </si>
  <si>
    <t>SAIL TOWER- V</t>
  </si>
  <si>
    <t>Thailand</t>
  </si>
  <si>
    <t>Secondary Sales</t>
  </si>
  <si>
    <t>BENZOL</t>
  </si>
  <si>
    <t>LIGHT SOLVENT NAPHTHA</t>
  </si>
  <si>
    <t>TOLUENE</t>
  </si>
  <si>
    <t>BF SLAG BOULDER</t>
  </si>
  <si>
    <t>OLD, USED &amp; REJECTED EMPTY GREASE DRUMS</t>
  </si>
  <si>
    <t>MIXED STRUCTURAL SCRAP</t>
  </si>
  <si>
    <t>OLD, USED &amp; REJECTED STEEL SCRAP</t>
  </si>
  <si>
    <t>STEEL BASED SCRAPED ROLLS</t>
  </si>
  <si>
    <t>BY PIPELINE</t>
  </si>
  <si>
    <t>OXYGEN GAS</t>
  </si>
  <si>
    <t>NON ROLLABLE ASSORTED BLOOM SCRAP</t>
  </si>
  <si>
    <t>QTR 1</t>
  </si>
  <si>
    <t>Mn Metal</t>
  </si>
  <si>
    <t>CaFe</t>
  </si>
  <si>
    <t>Scrap Cu</t>
  </si>
  <si>
    <t>Oxygen enrichment %</t>
  </si>
  <si>
    <t>Scrap Generation (COBBLE/chop)</t>
  </si>
  <si>
    <t>Crop</t>
  </si>
  <si>
    <t>Scale</t>
  </si>
  <si>
    <t>Scrap Generation(Cobble+Chop)</t>
  </si>
  <si>
    <t xml:space="preserve"> Scales</t>
  </si>
  <si>
    <t xml:space="preserve">CRUDE STEEL PRODN </t>
  </si>
  <si>
    <t>Prime Scrap Charged - Mt</t>
  </si>
  <si>
    <t>Process Scrap Charged - Mt</t>
  </si>
  <si>
    <t xml:space="preserve"> CDCP and By product</t>
  </si>
  <si>
    <t>LDCP,CDI,MISC</t>
  </si>
  <si>
    <t>CCP,GPO</t>
  </si>
  <si>
    <t>5.5 WRC HC62B</t>
  </si>
  <si>
    <t>5.5 WRC SAE 1006</t>
  </si>
  <si>
    <t>10 WRC GR 7 M(SAE1018)</t>
  </si>
  <si>
    <t>12 WRC GR 7 M(SAE1018)</t>
  </si>
  <si>
    <t xml:space="preserve">SAILTOWER-GR6 NB(A)-SI(R) </t>
  </si>
  <si>
    <t>ISPEXPT-10</t>
  </si>
  <si>
    <t>Sri Lanka</t>
  </si>
  <si>
    <t xml:space="preserve"> ISP EXP-03 </t>
  </si>
  <si>
    <t>STILL BOTTOM OIL</t>
  </si>
  <si>
    <t>WHIZZED NAPHTHALENE</t>
  </si>
  <si>
    <t>DISMANTLED MILD STEEL SCRAP</t>
  </si>
  <si>
    <t>HC88B</t>
  </si>
  <si>
    <t>SAE 1006- (CAQ)-SiK</t>
  </si>
  <si>
    <t>Spl Steel of total Bar Mill Prod</t>
  </si>
  <si>
    <t>Spl Steel Production</t>
  </si>
  <si>
    <t>Spl Steel of total WR Mill Prod</t>
  </si>
  <si>
    <t>SMS Sinter consumption</t>
  </si>
  <si>
    <t xml:space="preserve">HM consumed in BOF  </t>
  </si>
  <si>
    <t>Scrap Consumption rate</t>
  </si>
  <si>
    <t>Aug'20</t>
  </si>
  <si>
    <t>% of Mill Arisings</t>
  </si>
  <si>
    <t>REJECTIONS</t>
  </si>
  <si>
    <t>PRIME Production</t>
  </si>
  <si>
    <t>Total Rejections</t>
  </si>
  <si>
    <t xml:space="preserve">Total Mill Arisings </t>
  </si>
  <si>
    <t>Material Balance</t>
  </si>
  <si>
    <t>Charged wt</t>
  </si>
  <si>
    <t>Rejections</t>
  </si>
  <si>
    <t>prime production</t>
  </si>
  <si>
    <t>Yield weight/ Production</t>
  </si>
  <si>
    <t>Yield weight/Production</t>
  </si>
  <si>
    <t>Mill Arisings/scrap generation (Cobble/chop/crop)</t>
  </si>
  <si>
    <t>Mill Arisings/ Scrap generation (Cobble/chop/crop)</t>
  </si>
  <si>
    <t>Charged wt - Mill Arisings - Scale - Yield wt</t>
  </si>
  <si>
    <t>5 M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</si>
  <si>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</si>
  <si>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</si>
  <si>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</si>
  <si>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</si>
  <si>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</si>
  <si>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</si>
  <si>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</si>
  <si>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</si>
  <si>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</si>
  <si>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</si>
  <si>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</si>
  <si>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</si>
  <si>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Tundish Loss</t>
  </si>
  <si>
    <t xml:space="preserve">METAL LOSS INCL LADLE SKULL </t>
  </si>
  <si>
    <t xml:space="preserve">EMERGENCY BOX LOSSES </t>
  </si>
  <si>
    <t xml:space="preserve">LAUNDER SCRAP &amp; CROP END </t>
  </si>
  <si>
    <t xml:space="preserve">SCALE LOSS </t>
  </si>
  <si>
    <t>PCI Generation</t>
  </si>
  <si>
    <t>Net PCI Generation</t>
  </si>
  <si>
    <t>PROCESSED CI SCRAP Sold</t>
  </si>
  <si>
    <t>Generation of rejected finished materials</t>
  </si>
  <si>
    <t>Cob/Chop</t>
  </si>
  <si>
    <t>Scrap Generation</t>
  </si>
  <si>
    <t>Scale loss</t>
  </si>
  <si>
    <t>Scrap Data 2020-21</t>
  </si>
  <si>
    <t>REJECTED NON-ROLLABLE BEAM BLANK SCRAP</t>
  </si>
  <si>
    <t>6.5 WRC SAE 1008</t>
  </si>
  <si>
    <t>7.7 mtr CHINA</t>
  </si>
  <si>
    <t>12 mtr CHINA</t>
  </si>
  <si>
    <t>DISMANTLED CAST IRON SCRAP</t>
  </si>
  <si>
    <t>OLD ,USED &amp; REJECTED MAINTENANCE SCRAP</t>
  </si>
  <si>
    <t>USED &amp; REJECTED EMPTY DRUMS</t>
  </si>
  <si>
    <t>DART</t>
  </si>
  <si>
    <t>LCFeMn</t>
  </si>
  <si>
    <t>Sep'20</t>
  </si>
  <si>
    <t>QTR 2</t>
  </si>
  <si>
    <t>BF Coke Yield</t>
  </si>
  <si>
    <t>Equivalent Dry Coal</t>
  </si>
  <si>
    <t>Equivalent Wet Coal</t>
  </si>
  <si>
    <t>Handling Loss</t>
  </si>
  <si>
    <t>DISMANTLED REFRACTORY SCRAP</t>
  </si>
  <si>
    <t>LIQUID MEDICAL OXYGEN</t>
  </si>
  <si>
    <t>BOKARO</t>
  </si>
  <si>
    <t>DURGAPUR</t>
  </si>
  <si>
    <t>BILLET IS7904 HCT1130Cr (PC115)</t>
  </si>
  <si>
    <t>11 mtr CHINA</t>
  </si>
  <si>
    <t xml:space="preserve">NET CHARGE WEIGHT </t>
  </si>
  <si>
    <t>Oct'20</t>
  </si>
  <si>
    <t>Al wire +bar</t>
  </si>
  <si>
    <t>Spl Steel of total US Mill Prod</t>
  </si>
  <si>
    <t>Grade</t>
  </si>
  <si>
    <t>sectional wt</t>
  </si>
  <si>
    <t>IPE300</t>
  </si>
  <si>
    <t>IPE400</t>
  </si>
  <si>
    <t>IPE400A</t>
  </si>
  <si>
    <t>IPE500</t>
  </si>
  <si>
    <t xml:space="preserve">IPE600 </t>
  </si>
  <si>
    <t xml:space="preserve">32 mm TMT </t>
  </si>
  <si>
    <t xml:space="preserve">40 mm TMT </t>
  </si>
  <si>
    <t xml:space="preserve">20 mm TMT </t>
  </si>
  <si>
    <t xml:space="preserve">16 mm TMT </t>
  </si>
  <si>
    <t xml:space="preserve">12 mm TMT </t>
  </si>
  <si>
    <t xml:space="preserve">10 mm TMT </t>
  </si>
  <si>
    <t xml:space="preserve">8 mm TMT </t>
  </si>
  <si>
    <t>Fe-500D SEQR</t>
  </si>
  <si>
    <t xml:space="preserve">22 mm Plain Coil </t>
  </si>
  <si>
    <t xml:space="preserve">16 mm Plain Coil </t>
  </si>
  <si>
    <t xml:space="preserve">12 mm Plain Coil </t>
  </si>
  <si>
    <t xml:space="preserve">10 mm Plain Coil </t>
  </si>
  <si>
    <t xml:space="preserve">8 mm Plain Coil </t>
  </si>
  <si>
    <t xml:space="preserve">7 mm Plain Coil </t>
  </si>
  <si>
    <t xml:space="preserve">6 mm Plain Coil </t>
  </si>
  <si>
    <t xml:space="preserve">5.5 mm Plain Coil </t>
  </si>
  <si>
    <t xml:space="preserve">6 mm TMT Coil </t>
  </si>
  <si>
    <t xml:space="preserve">8 mm TMT Coil </t>
  </si>
  <si>
    <t>EWNR</t>
  </si>
  <si>
    <t>CAQ</t>
  </si>
  <si>
    <t>MIG</t>
  </si>
  <si>
    <t>Fe-500D</t>
  </si>
  <si>
    <t>Fe-500D SeQR</t>
  </si>
  <si>
    <t xml:space="preserve">14 mm Plain Coil </t>
  </si>
  <si>
    <t>EN8D</t>
  </si>
  <si>
    <t>Total Fe-Mn</t>
  </si>
  <si>
    <t>OLD,USED &amp; REJECTED CONVEYER BELT</t>
  </si>
  <si>
    <t>COPPER SCRAP</t>
  </si>
  <si>
    <t>ROURKELA</t>
  </si>
  <si>
    <t>SAIL TOWER Gr VI (V)</t>
  </si>
  <si>
    <t xml:space="preserve">20 mm Plain Coil </t>
  </si>
  <si>
    <t>IS11169 21C10BT/SAE10B21</t>
  </si>
  <si>
    <t>IS11169 26C10BT/SAE15B25</t>
  </si>
  <si>
    <t>HC62 B</t>
  </si>
  <si>
    <t>IS7904/HCT1130CR PC115</t>
  </si>
  <si>
    <t xml:space="preserve">22 mm TMT </t>
  </si>
  <si>
    <t xml:space="preserve">36 mm TMT </t>
  </si>
  <si>
    <t>Fe-500 D SEQR</t>
  </si>
  <si>
    <t>Fe-550D</t>
  </si>
  <si>
    <t xml:space="preserve">IPE-300 O </t>
  </si>
  <si>
    <t xml:space="preserve">IPE-300 </t>
  </si>
  <si>
    <t xml:space="preserve">IPE-300 A </t>
  </si>
  <si>
    <t xml:space="preserve">IPE-400 A </t>
  </si>
  <si>
    <t xml:space="preserve">IPE-400 </t>
  </si>
  <si>
    <t xml:space="preserve">IPE-450 </t>
  </si>
  <si>
    <t xml:space="preserve">IPE-450 A </t>
  </si>
  <si>
    <t xml:space="preserve">IPE-500 </t>
  </si>
  <si>
    <t xml:space="preserve">IPE-500 O </t>
  </si>
  <si>
    <t xml:space="preserve">IPE-600 </t>
  </si>
  <si>
    <t xml:space="preserve">IPE-600 O </t>
  </si>
  <si>
    <t xml:space="preserve">Angle 150 / 150 / 12 </t>
  </si>
  <si>
    <t xml:space="preserve">Angle 150 / 150 / 10 </t>
  </si>
  <si>
    <t xml:space="preserve">Angle 200 / 200 /18 </t>
  </si>
  <si>
    <t xml:space="preserve">Angle 200 / 200 / 25 </t>
  </si>
  <si>
    <t xml:space="preserve">Angle 200 / 200 / 20 </t>
  </si>
  <si>
    <t>IS 2062 E350 BR-150/8/49.32</t>
  </si>
  <si>
    <t>IS 2062 E350 BR-150/7.1/42.24</t>
  </si>
  <si>
    <t>IS 2062 E250 BR-150/7.1/42.24</t>
  </si>
  <si>
    <t>IS 2062 E350 BR-150/6.1/36.52</t>
  </si>
  <si>
    <t>IS 2062 E350 BR-180/7/57.38</t>
  </si>
  <si>
    <t>IS 2062 E350 BR-180/8.6/66.3</t>
  </si>
  <si>
    <t>IS 2062 E250 BR-180/8.6/66.3</t>
  </si>
  <si>
    <t>IS 2062 E350 BR-190/ 9.4/77.57</t>
  </si>
  <si>
    <t>IS 2062 E250 BR-190/ 9.4/77.57</t>
  </si>
  <si>
    <t>IS 2062 E350 BR-190 7.6/67.15</t>
  </si>
  <si>
    <t>IS 2062 E350 BR-190/11/92.4</t>
  </si>
  <si>
    <t>IS 2062 E350 BR-200/10.2/90.68</t>
  </si>
  <si>
    <t>IS 2062 E350 BR-200/12/107.31</t>
  </si>
  <si>
    <t>IS 2062 E350 BR-220/12/122.45</t>
  </si>
  <si>
    <t>IS 2062 E350 BR-220/15/154</t>
  </si>
  <si>
    <t>NPB 750</t>
  </si>
  <si>
    <t>IS 2062 E350 BR-8.4/79.36</t>
  </si>
  <si>
    <t>IPE-500 A</t>
  </si>
  <si>
    <t>IS 2062 E350 BR-270/174.54</t>
  </si>
  <si>
    <t xml:space="preserve">NPB 750 </t>
  </si>
  <si>
    <t>IS 2062 E350 BR</t>
  </si>
  <si>
    <t>IS 2062 E250 BR</t>
  </si>
  <si>
    <t>GR 8 M(SAE1020)</t>
  </si>
  <si>
    <t>HC52 B</t>
  </si>
  <si>
    <t>EN8D AlK</t>
  </si>
  <si>
    <t>IS7887GR7M/SAE1018 AlK</t>
  </si>
  <si>
    <t>IS7887GR4/SAE1010/SWR 14 AlK</t>
  </si>
  <si>
    <t>IS7887GR7M/SAE1018</t>
  </si>
  <si>
    <t>IS 7887GR3 SWR10/SAE 1008</t>
  </si>
  <si>
    <t>Nov'20</t>
  </si>
  <si>
    <t>IPE300O</t>
  </si>
  <si>
    <t>Rejected IPE 300</t>
  </si>
  <si>
    <t>Rejected IPE 400</t>
  </si>
  <si>
    <t>USED &amp; REJECTED REFRACTORY SCRAPS</t>
  </si>
  <si>
    <t>OLD ,U/ R STEEL MAINTENANCE SCRAP</t>
  </si>
  <si>
    <t xml:space="preserve">10 mm TMT Coil </t>
  </si>
  <si>
    <t>HC78 B</t>
  </si>
  <si>
    <t>IS 2062 E250 BR-190 7.6/67.15</t>
  </si>
  <si>
    <t>IS 2062 E250 BR-220/12/122.45</t>
  </si>
  <si>
    <t>QTR 3</t>
  </si>
  <si>
    <t>9 M</t>
  </si>
  <si>
    <t>Dec'20</t>
  </si>
  <si>
    <t>Bhelated</t>
  </si>
  <si>
    <t>Jamabad</t>
  </si>
  <si>
    <t>EN8D Cr</t>
  </si>
  <si>
    <t>IPE450</t>
  </si>
  <si>
    <t>CI SCRAP</t>
  </si>
  <si>
    <t>IS 2062 E250 BR-200/10.2/90.68</t>
  </si>
  <si>
    <t>HC78B/PC115/HCT1130Cr</t>
  </si>
  <si>
    <t>INDIGENOUS DRY COAL AT COB #10</t>
  </si>
  <si>
    <t>INDIGENOUS DRY COAL AT COB #11</t>
  </si>
  <si>
    <t>Moisture On HL</t>
  </si>
  <si>
    <t xml:space="preserve">TOTAL GROSS INDIGENOUS </t>
  </si>
  <si>
    <t>Coal Consumption (Finance)</t>
  </si>
  <si>
    <t>IMPORTED DRY COAL AT COB #10</t>
  </si>
  <si>
    <t>IMPORTED DRY COAL AT COB #11</t>
  </si>
  <si>
    <t>Moisture of blend coal COB#10</t>
  </si>
  <si>
    <t>Moisture of blend coal COB#11</t>
  </si>
  <si>
    <t>Wet Coal Consumption COB#10</t>
  </si>
  <si>
    <t>Wet Coal Consumption COB#11</t>
  </si>
  <si>
    <t>TOTAL GROSS IMPORTED</t>
  </si>
  <si>
    <t>TOTAL COAL CONSUMPTION</t>
  </si>
  <si>
    <t>Screening Loss</t>
  </si>
  <si>
    <t>Wet Consumption</t>
  </si>
  <si>
    <t>Nut coke</t>
  </si>
  <si>
    <t>LD Slag</t>
  </si>
  <si>
    <t>Iron Ore Lump(Bed+BF) screening loss</t>
  </si>
  <si>
    <t>Dry consumption</t>
  </si>
  <si>
    <t>Finance consumption calculation</t>
  </si>
  <si>
    <t>Iron Ore Lump(Bed+BOF) screening loss</t>
  </si>
  <si>
    <t>Iron ore Fines</t>
  </si>
  <si>
    <t>Finance calculation</t>
  </si>
  <si>
    <t>Handling loss</t>
  </si>
  <si>
    <t>kg/Tsinter</t>
  </si>
  <si>
    <t>Iron Ore Fines (dry)</t>
  </si>
  <si>
    <t>Return iron ore fines</t>
  </si>
  <si>
    <t>IOF Moisture</t>
  </si>
  <si>
    <t>IOL Moisture</t>
  </si>
  <si>
    <t>Total Iron ore fines purchased</t>
  </si>
  <si>
    <t>Gross Iron ore fines</t>
  </si>
  <si>
    <t>Gross Return iron ore fines</t>
  </si>
  <si>
    <t>screening loss</t>
  </si>
  <si>
    <t>Dolomite to LDCP</t>
  </si>
  <si>
    <t>Limestone for Sinter</t>
  </si>
  <si>
    <t>Dolomite for  Sinter</t>
  </si>
  <si>
    <t>Gross consumption</t>
  </si>
  <si>
    <t>Calcined lime</t>
  </si>
  <si>
    <t>Calcined lime screening loss</t>
  </si>
  <si>
    <t>Calcined lime consumption at SMS</t>
  </si>
  <si>
    <t>Screen loss</t>
  </si>
  <si>
    <t>Calcined Dolo consumption at SMS</t>
  </si>
  <si>
    <t>Calcined Dolo screening loss</t>
  </si>
  <si>
    <t>Gross WET</t>
  </si>
  <si>
    <t>FE VANADIUM</t>
  </si>
  <si>
    <t>GRAPHITE ELECTRODE</t>
  </si>
  <si>
    <t>FE CROME</t>
  </si>
  <si>
    <t>FE NIOBIUM</t>
  </si>
  <si>
    <t>COPPER</t>
  </si>
  <si>
    <t>CASI</t>
  </si>
  <si>
    <t>FERRO TITANIUM</t>
  </si>
  <si>
    <t>CAFÉ</t>
  </si>
  <si>
    <t>FE MANG (0.85 % moisture)</t>
  </si>
  <si>
    <t>FE SILICON (0.85 %  moisture)</t>
  </si>
  <si>
    <t>SILI MANG  (0.85 % moisture)</t>
  </si>
  <si>
    <t>ALUMINIUM (2 %  moisture)</t>
  </si>
  <si>
    <t>PETROLEUM COKE (2 %  moisture)</t>
  </si>
  <si>
    <t>BAUXITE (2 %  moisture)</t>
  </si>
  <si>
    <t xml:space="preserve">Net Iron ore fines </t>
  </si>
  <si>
    <t>FEB'21</t>
  </si>
  <si>
    <t>Jan'21</t>
  </si>
  <si>
    <t>BASE MIX INPUT FOR SINTER PLANT WET (Mt)</t>
  </si>
  <si>
    <t>BASE MIX INPUT FOR SINTER PLANT WET (Kg/T)</t>
  </si>
  <si>
    <t>SINTER PLANT INPUT WET (Mt)</t>
  </si>
  <si>
    <t>SINTER PLANT INPUT WET (Kg/T)</t>
  </si>
  <si>
    <t>Jamabad/Jamadoba</t>
  </si>
  <si>
    <t>Channels</t>
  </si>
  <si>
    <t>Iron Ore Fines Screened</t>
  </si>
  <si>
    <t>HC38B</t>
  </si>
  <si>
    <t>ISMC300</t>
  </si>
  <si>
    <t>Rejected ISMC300</t>
  </si>
  <si>
    <t>HC80 B</t>
  </si>
  <si>
    <t>Angle 200 / 200 / 16</t>
  </si>
  <si>
    <t>CHANNEL 300*90*7.8</t>
  </si>
  <si>
    <t>IS 2830:12 C20MMnA CU</t>
  </si>
  <si>
    <t xml:space="preserve">IPT (IS 2830-C20) </t>
  </si>
  <si>
    <t>DISMANTLED RUSTED MILD STEEL SHEETS</t>
  </si>
  <si>
    <t>OLD, USED &amp; REJECTED MILD STEEL SCRAP</t>
  </si>
  <si>
    <t>ISPEXPT10</t>
  </si>
  <si>
    <t>IS: 2830/2012, C20MMn A (Cu)</t>
  </si>
  <si>
    <t>IS: 2062/2011, E350C (Nb)</t>
  </si>
  <si>
    <t>FIELD MACHINERY EQUIPMENT SCRAP</t>
  </si>
  <si>
    <t xml:space="preserve">OLD,USED &amp; REJECTED CGI Sheets </t>
  </si>
  <si>
    <t>QTR 4</t>
  </si>
  <si>
    <t>2021-22</t>
  </si>
  <si>
    <t>E350</t>
  </si>
  <si>
    <t>IS 2062 E450 BR-150/8/49.32</t>
  </si>
  <si>
    <t>IS 2062 E450 BR-180/8.6/66.3</t>
  </si>
  <si>
    <t>WPB 240*240*83.20</t>
  </si>
  <si>
    <t>Singapore</t>
  </si>
  <si>
    <t xml:space="preserve">Hongkong </t>
  </si>
  <si>
    <t>Indonesia</t>
  </si>
  <si>
    <t xml:space="preserve">KENYA/ EGYPT </t>
  </si>
  <si>
    <t>Apr'21</t>
  </si>
  <si>
    <t>9.5-10.5</t>
  </si>
  <si>
    <t xml:space="preserve">28 mm TMT </t>
  </si>
  <si>
    <t xml:space="preserve">EN8D </t>
  </si>
  <si>
    <t>E250A</t>
  </si>
  <si>
    <t>28 mm TMT</t>
  </si>
  <si>
    <t>IS2830C25HMN</t>
  </si>
  <si>
    <t>PROCESSED 0-10 MM LD SLAG</t>
  </si>
  <si>
    <t>NON FERROUS</t>
  </si>
  <si>
    <t>BRASS SCRAP</t>
  </si>
  <si>
    <t>CALCIUM SILICIDE CORED WIRE,13MM</t>
  </si>
  <si>
    <t>SULPHURIC ACID,PURITY:98%</t>
  </si>
  <si>
    <t>BHILAI</t>
  </si>
  <si>
    <t>SAE1008 (SiK)</t>
  </si>
  <si>
    <t>Hot Metal Production</t>
  </si>
  <si>
    <t>BF Coke Requirement (Dry)</t>
  </si>
  <si>
    <t>Nut Coke Requirement (Dry)</t>
  </si>
  <si>
    <t>BF Return Fines (Dry)</t>
  </si>
  <si>
    <t>Total  Coke Requirment</t>
  </si>
  <si>
    <t xml:space="preserve">Heating Coke </t>
  </si>
  <si>
    <t>Total Coking Coal (With HL loss)</t>
  </si>
  <si>
    <t>CDI Coal Requirment</t>
  </si>
  <si>
    <t xml:space="preserve">Total CDI Requirment </t>
  </si>
  <si>
    <t>Total Coal Requirment</t>
  </si>
  <si>
    <t xml:space="preserve">Coal to HM </t>
  </si>
  <si>
    <t>Mill</t>
  </si>
  <si>
    <t>April'21</t>
  </si>
  <si>
    <t>Total WR Mill</t>
  </si>
  <si>
    <t>Total Bar Mill</t>
  </si>
  <si>
    <t xml:space="preserve">Total US Mill </t>
  </si>
  <si>
    <t>SAE 1006 / GR 2</t>
  </si>
  <si>
    <t>HC 38B</t>
  </si>
  <si>
    <t>SAE 1008 / GR 3 / SWR 10</t>
  </si>
  <si>
    <t>HC 62B</t>
  </si>
  <si>
    <t>HC 52B</t>
  </si>
  <si>
    <t>HC 72B</t>
  </si>
  <si>
    <t>HC 82B</t>
  </si>
  <si>
    <t>SAE 1018 / GR 7</t>
  </si>
  <si>
    <t xml:space="preserve">150 Billets </t>
  </si>
  <si>
    <t xml:space="preserve">Saleable GRADES </t>
  </si>
  <si>
    <t>Special Saleable</t>
  </si>
  <si>
    <t xml:space="preserve">200 Blooms </t>
  </si>
  <si>
    <t>Special Salebale Steel</t>
  </si>
  <si>
    <t>% Special Salebale Steel</t>
  </si>
  <si>
    <t xml:space="preserve">% </t>
  </si>
  <si>
    <t>MILL</t>
  </si>
  <si>
    <t>8 TMTC</t>
  </si>
  <si>
    <t>10 TMTC</t>
  </si>
  <si>
    <t>6 TMTC</t>
  </si>
  <si>
    <t>BAR Mill</t>
  </si>
  <si>
    <t>8 TMT</t>
  </si>
  <si>
    <t>16 TMT</t>
  </si>
  <si>
    <t>12 TMT</t>
  </si>
  <si>
    <t>10 TMT</t>
  </si>
  <si>
    <t xml:space="preserve">Total SEQR </t>
  </si>
  <si>
    <t>Production</t>
  </si>
  <si>
    <t xml:space="preserve">Dispatch </t>
  </si>
  <si>
    <t>APR'21</t>
  </si>
  <si>
    <t>5th relining life (carried on 28.02.20-05.03.20): 4003 Heats (lasted from 06.03.20-12.01.21);
6th carried on 13.01.21-23.01.21 which has resulted in 1760 Heats till 30.04.21</t>
  </si>
  <si>
    <t>7th carried on from 29.03.19-06.04.19 (from 07.04.19-25.04.19 shutdown due to BF problem) which has resulted in 3619 Heats till 13.03.20. 
8th relining carried on from 14.03.20-22.03.20. Started from 28.05.20 and resulted in 2829 Heats till 30.04.21</t>
  </si>
  <si>
    <t>MAJOR DESPATCH SUMMARY 2021-22(As per Finance CENVAT report)</t>
  </si>
  <si>
    <t>May'21</t>
  </si>
  <si>
    <t>HC 80B</t>
  </si>
  <si>
    <t>SAIL Tower</t>
  </si>
  <si>
    <t xml:space="preserve">SAE 1010 </t>
  </si>
  <si>
    <t>MAY'21</t>
  </si>
  <si>
    <t>CRUDE STEEL GRADE SUMMARY AS PER RCL - 2021-22 (Unit: MT)</t>
  </si>
  <si>
    <t>SAE 1010</t>
  </si>
  <si>
    <t xml:space="preserve"> CHANNEL IS 2062 E250BR 300*90*7.8 </t>
  </si>
  <si>
    <t xml:space="preserve"> NPB IS 2062 E350 BR 500*200*79.36 </t>
  </si>
  <si>
    <t>5th relining life (carried on 28.02.20-05.03.20): 4003 Heats (lasted from 06.03.20-12.01.21);
6th carried on 13.01.21-23.01.21 which has resulted in 1991 Heats till 31.05.21</t>
  </si>
  <si>
    <t>7th carried on from 29.03.19-06.04.19 (from 07.04.19-25.04.19 shutdown due to BF problem) which has resulted in 3619 Heats till 13.03.20. 
8th relining carried on from 14.03.20-22.03.20. Started from 28.05.20 and resulted in 2979  Heats till 31.05.21</t>
  </si>
  <si>
    <t>6th relining life (carried on 15.06.19-22.06.19): 5260 Heats ( Lasted from 23.06.19-27.05.20);
7th carried on 28.06.20-06.07.20, started from 07.07.20 which has resulted in 4157 Heats till 30.04.21</t>
  </si>
  <si>
    <t>6th relining life (carried on 15.06.19-22.06.19): 5260 Heats ( Lasted from 23.06.19-27.05.20);
7th carried on 28.06.20-06.07.20, started from 07.07.20  to 16.03.21 resulted in 4157  Heats.8th Relining carries out from 16.03.21 to 23.05.21 , started from 23.05.21 resulted in 150 Heats till 31.05.21</t>
  </si>
  <si>
    <t>Jun'21</t>
  </si>
  <si>
    <t>June'21</t>
  </si>
  <si>
    <t>PIG IRON MIXED MOG</t>
  </si>
  <si>
    <t>Trimming Coke Breeze SP</t>
  </si>
  <si>
    <t>FERRO VANADIUM,50%MIN</t>
  </si>
  <si>
    <t>LVHR</t>
  </si>
  <si>
    <t>JUN'21</t>
  </si>
  <si>
    <t>Th. NM³/Hr</t>
  </si>
  <si>
    <t>Th.NM3/Hr</t>
  </si>
  <si>
    <t>IS: 2062/2011; E250A Cu</t>
  </si>
  <si>
    <t>IS: 2062/2011; E250B</t>
  </si>
  <si>
    <t>HC38 B</t>
  </si>
  <si>
    <t>IS 2062 E250 BR-180/7/57.38</t>
  </si>
  <si>
    <t>IS 2062 E250 BR-150/7.1/49.32</t>
  </si>
  <si>
    <t xml:space="preserve"> NPB IS 2062 E250 BR 400*180*57.38</t>
  </si>
  <si>
    <t>5.5 WRC SAE 1008</t>
  </si>
  <si>
    <t>7 WRC GR4(SWR14)/SAE1010</t>
  </si>
  <si>
    <t>ISPEXPT-11</t>
  </si>
  <si>
    <t>LEAKAGE/ BLEEDER LOSS/MOISTURE LOSS</t>
  </si>
  <si>
    <t>5th relining life (carried on 28.02.20-05.03.20): 4003 Heats (lasted from 06.03.20-12.01.21);
6th carried on 13.01.21-23.01.21 which has resulted in 2309 Heats till 30.06.21</t>
  </si>
  <si>
    <t>7th carried on from 29.03.19-06.04.19 (from 07.04.19-25.04.19 shutdown due to BF problem) which has resulted in 3619 Heats till 13.03.20. 
8th relining carried on from 14.03.20-22.03.20. Started from 28.05.20 and resulted in 3428  Heats till 30.06.21</t>
  </si>
  <si>
    <t>6th relining life (carried on 15.06.19-22.06.19): 5260 Heats ( Lasted from 23.06.19-27.05.20);
7th carried on 28.06.20-06.07.20, started from 07.07.20  to 16.03.21 resulted in 4157  Heats.8th Relining carried out from 16.03.21 to 23.05.21 , started from 23.05.21 resulted in 657 Heats till 30.06.21</t>
  </si>
  <si>
    <t>MAJOR TECHNO PARAMETERS 2021-22</t>
  </si>
  <si>
    <t>COAL TO HOT METAL RATIO</t>
  </si>
  <si>
    <t>SPECIAL STEEL</t>
  </si>
  <si>
    <t>SEQR PRODUCTION AND DISPATCH</t>
  </si>
  <si>
    <t>JUL'21</t>
  </si>
  <si>
    <t>Jul'21</t>
  </si>
  <si>
    <t>HCR FE500D</t>
  </si>
  <si>
    <t>AWSA5.18ER70S-6(MIG)</t>
  </si>
  <si>
    <t xml:space="preserve">6.5 mm Plain Coil </t>
  </si>
  <si>
    <t>Fe-500D HCR</t>
  </si>
  <si>
    <t>Fe-550D HCR</t>
  </si>
  <si>
    <t>IS 2062 E250A CU</t>
  </si>
  <si>
    <t>ISPEXPT-7</t>
  </si>
  <si>
    <t>SAIL TOWER Gr VI (NB)-A</t>
  </si>
  <si>
    <t>IS: 1786/2008, Fe500HCRM C</t>
  </si>
  <si>
    <t>JIS G3131 SPHC</t>
  </si>
  <si>
    <t>Bhelatand</t>
  </si>
  <si>
    <t>July'21</t>
  </si>
  <si>
    <t>OLD,USED &amp; REJ MECH. MACHINERY SCRAP</t>
  </si>
  <si>
    <t>CARDAN SPINDLE #01 &amp; #3, 0.221145.E/002</t>
  </si>
  <si>
    <t>TOTAL ISP DIRECT SALES (inc. export)</t>
  </si>
  <si>
    <t>TOTAL IPT SALES</t>
  </si>
  <si>
    <t>BF Return Sinter fines</t>
  </si>
  <si>
    <t>BF Return Coke fines</t>
  </si>
  <si>
    <t>BF Return Iron ore fines</t>
  </si>
  <si>
    <t>SAE10B06</t>
  </si>
  <si>
    <t>6.5 mm Plain Coil</t>
  </si>
  <si>
    <t>5th relining life (carried on 28.02.20-05.03.20): 4003 Heats (lasted from 06.03.20-12.01.21);
6th carried on 13.01.21-23.01.21 which has resulted in 2661 Heats till 31.07.21</t>
  </si>
  <si>
    <t>7th carried on from 29.03.19-06.04.19 (from 07.04.19-25.04.19 shutdown due to BF problem) which has resulted in 3619 Heats till 13.03.20. 
8th relining carried on from 14.03.20-22.03.20. Started from 28.05.20 and resulted in 3846  Heats till 31.07.21</t>
  </si>
  <si>
    <t>6th relining life (carried on 15.06.19-22.06.19): 5260 Heats ( Lasted from 23.06.19-27.05.20);
7th carried on 28.06.20-06.07.20, started from 07.07.20  to 16.03.21 resulted in 4157  Heats.8th Relining carried out from 16.03.21 to 23.05.21 , started from 23.05.21 resulted in 1127 Heats till 31.07.21</t>
  </si>
  <si>
    <t>Fe 500 D/HCR</t>
  </si>
  <si>
    <t xml:space="preserve">ISMC300 </t>
  </si>
  <si>
    <t>E250</t>
  </si>
  <si>
    <t>E250 Cu</t>
  </si>
  <si>
    <t>ISPEXPT 7</t>
  </si>
  <si>
    <t>Rejected IPE 450</t>
  </si>
  <si>
    <t>BOBS</t>
  </si>
  <si>
    <t>BOXN</t>
  </si>
  <si>
    <t>RAKE (No)</t>
  </si>
  <si>
    <t>Quantity (Tonnes)</t>
  </si>
  <si>
    <t>IRON ORE LUMP RECEIVED</t>
  </si>
  <si>
    <t>GUA</t>
  </si>
  <si>
    <t>BOLANI</t>
  </si>
  <si>
    <t>IRON ORE FINES RECEIVED</t>
  </si>
  <si>
    <t>SMS DOLOMITE RECEIVED</t>
  </si>
  <si>
    <t>BYLHA</t>
  </si>
  <si>
    <t>DALGAON</t>
  </si>
  <si>
    <t>SP DOLOMITE RECEIVED</t>
  </si>
  <si>
    <t>BRMS LUMP</t>
  </si>
  <si>
    <t>BRMS FINES</t>
  </si>
  <si>
    <t>TOTAL DOLOMITE RECEIVED</t>
  </si>
  <si>
    <t>LIMESTONE RECEIVED</t>
  </si>
  <si>
    <t>RSMML</t>
  </si>
  <si>
    <t>IMPORTED</t>
  </si>
  <si>
    <t>QUARTZITE RECEIVED</t>
  </si>
  <si>
    <t>PCC</t>
  </si>
  <si>
    <t>ICC</t>
  </si>
  <si>
    <t>Chasnala</t>
  </si>
  <si>
    <t>Australia Hard</t>
  </si>
  <si>
    <t>US Hard</t>
  </si>
  <si>
    <t>Benga Hard</t>
  </si>
  <si>
    <t>Australia Soft</t>
  </si>
  <si>
    <t>Kestral Soft</t>
  </si>
  <si>
    <t>COB #10 ICC RECEIPT PORT WISE</t>
  </si>
  <si>
    <t>HDCB (Haldia)</t>
  </si>
  <si>
    <t>DPCB (Damra)</t>
  </si>
  <si>
    <t>CBSP (Paradip)</t>
  </si>
  <si>
    <t>COB#10 and COB#11 TOTAL</t>
  </si>
  <si>
    <t>PCI RECEIVED</t>
  </si>
  <si>
    <t>COB #11 ICC RECEIPT PORT WISE INCLUDING PCI</t>
  </si>
  <si>
    <t>RAKE (No) (PCC+ICC)</t>
  </si>
  <si>
    <t>Quantity (Tonnes) (PCC+ICC)</t>
  </si>
  <si>
    <t>Total (PCC + ICC)</t>
  </si>
  <si>
    <t>COB#10 and COB #11 Total  ICC RECEIPT PORT WISE including PCI</t>
  </si>
  <si>
    <t>RAW MATERIAL RECEIPT AS PER TRAFFIC 2021-22</t>
  </si>
  <si>
    <t>COB#10 COAL RECEIVED</t>
  </si>
  <si>
    <t>COB#11 COAL RECEIVED</t>
  </si>
  <si>
    <t>Aug'21</t>
  </si>
  <si>
    <t>PROCESSED 0-10 MM LD SLAG Dispatch</t>
  </si>
  <si>
    <t>AUG'21</t>
  </si>
  <si>
    <t>PASSANGER VEHICLE SCRAP</t>
  </si>
  <si>
    <t>OLD, USED &amp; REJECTED TYRES</t>
  </si>
  <si>
    <t>OLD, USED &amp; REJECTED WIRE ROPE SCRAP</t>
  </si>
  <si>
    <t>SAE 1006- (CAQ)</t>
  </si>
  <si>
    <t>IS7904/2018; HC78B/PC115</t>
  </si>
  <si>
    <t>ISPEXPT12</t>
  </si>
  <si>
    <t xml:space="preserve">JIS G3101 400 </t>
  </si>
  <si>
    <t>IS: 2062/2011, E350B</t>
  </si>
  <si>
    <t>JSM</t>
  </si>
  <si>
    <t>Saleable production Plan: 91500 (500 T has been kept in plan for Internal consumption)</t>
  </si>
  <si>
    <t>Saleable production Plan: 222855 (500 T has been kept in plan for Internal consumption)</t>
  </si>
  <si>
    <t xml:space="preserve">RMHP </t>
  </si>
  <si>
    <t>Fines</t>
  </si>
  <si>
    <t>Pure Calcium</t>
  </si>
  <si>
    <t>5th relining life (carried on 28.02.20-05.03.20): 4003 Heats (lasted from 06.03.20-12.01.21);
6th carried on 13.01.21-23.01.21 which has resulted in 3214 Heats till 31.08.21</t>
  </si>
  <si>
    <t>8th relining carried on from 14.03.20-22.03.20. Started from 28.05.20 and resulted in 4053  Heats till 15.08.21
9th carried on 16.08.21-26.08.21 (started on 27.08.21) which has resulted in 93 Heats till 31.08.21</t>
  </si>
  <si>
    <t>6th relining life (carried on 15.06.19-22.06.19): 5260 Heats ( Lasted from 23.06.19-27.05.20);
7th carried on 28.06.20-06.07.20, started from 07.07.20  to 16.03.21 resulted in 4157  Heats.8th Relining carried out from 16.03.21 to 23.05.21 , started from 23.05.21 resulted in 1625 Heats till 31.08.21</t>
  </si>
  <si>
    <t>Consumption at RMHP</t>
  </si>
  <si>
    <t>Consumption at BF</t>
  </si>
  <si>
    <t>16 mm</t>
  </si>
  <si>
    <t>12 mm</t>
  </si>
  <si>
    <t xml:space="preserve">20 mm </t>
  </si>
  <si>
    <t xml:space="preserve">10 mm </t>
  </si>
  <si>
    <t>7 mm</t>
  </si>
  <si>
    <t>8 mm</t>
  </si>
  <si>
    <t>6.5 mm</t>
  </si>
  <si>
    <t>6 mm</t>
  </si>
  <si>
    <t xml:space="preserve">5.5 mm </t>
  </si>
  <si>
    <t>SAE 1010/ GR 4/ SWR 14 Al Killed</t>
  </si>
  <si>
    <t>SAE 1018 / GR 7 Al Killed</t>
  </si>
  <si>
    <t xml:space="preserve">Saleable Steel Production </t>
  </si>
  <si>
    <t>Total Billets 150X150</t>
  </si>
  <si>
    <t>Total Blooms 200X280</t>
  </si>
  <si>
    <t>Fe-500 D/ EQR</t>
  </si>
  <si>
    <t>Fe-550 D/ EQR</t>
  </si>
  <si>
    <t>Fe-550 D/ HCR</t>
  </si>
  <si>
    <t>Dispatch via secondary sales</t>
  </si>
  <si>
    <t>7 mm Plain Coil</t>
  </si>
  <si>
    <t>10 mm Plain Coil</t>
  </si>
  <si>
    <t>12 mm Plain Coil</t>
  </si>
  <si>
    <t>40 mm</t>
  </si>
  <si>
    <t xml:space="preserve">36 mm </t>
  </si>
  <si>
    <t>32 mm</t>
  </si>
  <si>
    <t>TOTAL (CASTER 1 + CASTER 2)</t>
  </si>
  <si>
    <t>ISPEXPT-12</t>
  </si>
  <si>
    <t>Dubai</t>
  </si>
  <si>
    <t>JIS G3101 SS400</t>
  </si>
  <si>
    <t>THAILAND</t>
  </si>
  <si>
    <t>ABP 2021-22</t>
  </si>
  <si>
    <t>Sp. Productivity</t>
  </si>
  <si>
    <t>Sp. Power</t>
  </si>
  <si>
    <t xml:space="preserve">COB#10           </t>
  </si>
  <si>
    <t xml:space="preserve">                      M40 </t>
  </si>
  <si>
    <t>CSR</t>
  </si>
  <si>
    <t>CRI</t>
  </si>
  <si>
    <t xml:space="preserve">COB#11  </t>
  </si>
  <si>
    <t xml:space="preserve">                               M40 </t>
  </si>
  <si>
    <t>Hot Blast Temp</t>
  </si>
  <si>
    <t>Slag Rate</t>
  </si>
  <si>
    <t>Cast Weight</t>
  </si>
  <si>
    <t>T/ Cast</t>
  </si>
  <si>
    <t>Utilization</t>
  </si>
  <si>
    <t>Yield</t>
  </si>
  <si>
    <t>BLAST FURNACE</t>
  </si>
  <si>
    <t>SMS</t>
  </si>
  <si>
    <t>MILLS</t>
  </si>
  <si>
    <t>ENERGY &amp; POWER</t>
  </si>
  <si>
    <t>ENVIRONMENT</t>
  </si>
  <si>
    <t>LABOR PRODUCTIVITY</t>
  </si>
  <si>
    <t>DEPARTMENTS</t>
  </si>
  <si>
    <t>Downgraded</t>
  </si>
  <si>
    <t>E250 A</t>
  </si>
  <si>
    <t>2021-22 Norm</t>
  </si>
  <si>
    <t>2021-22 ABP</t>
  </si>
  <si>
    <t>Sep'21</t>
  </si>
  <si>
    <t>Saleable production Plan: 2370000 (1500 T has been kept in plan for Internal consumption)</t>
  </si>
  <si>
    <t>908 Kg/THM</t>
  </si>
  <si>
    <t>&lt;4.5</t>
  </si>
  <si>
    <t>&lt;2.8</t>
  </si>
  <si>
    <t>8.5-9.5</t>
  </si>
  <si>
    <t>1.70-1.85</t>
  </si>
  <si>
    <t>&lt;26</t>
  </si>
  <si>
    <t>SEP'21</t>
  </si>
  <si>
    <t>9 mm Plain Coil</t>
  </si>
  <si>
    <t>SAE 15B25</t>
  </si>
  <si>
    <t>SAE 10B21</t>
  </si>
  <si>
    <t>40 mm 500 D EQR</t>
  </si>
  <si>
    <t>16 mm 500 D EQR</t>
  </si>
  <si>
    <t>CARES</t>
  </si>
  <si>
    <t>ISMC250</t>
  </si>
  <si>
    <t>IPE450 A</t>
  </si>
  <si>
    <t>ISPEXPT13</t>
  </si>
  <si>
    <t>IS 2830C25HMN MA V55</t>
  </si>
  <si>
    <t>IS 2830C25HMN MA V65</t>
  </si>
  <si>
    <t>CHANNEL 250*82*9</t>
  </si>
  <si>
    <t>ISPEXPT-13</t>
  </si>
  <si>
    <t>Philippines</t>
  </si>
  <si>
    <t>DISMANTLED  STAINLESS STEEL SCRAP</t>
  </si>
  <si>
    <t>BILLET EN8M-SiK</t>
  </si>
  <si>
    <t xml:space="preserve">IS 2830C25HMN MA V65 </t>
  </si>
  <si>
    <t xml:space="preserve">IS 2830C25HMN MA V55 </t>
  </si>
  <si>
    <t>BB1 IS: 2062/2011; E250C</t>
  </si>
  <si>
    <t>BB1</t>
  </si>
  <si>
    <t>Total BB1</t>
  </si>
  <si>
    <t>Other</t>
  </si>
  <si>
    <t>JOIST SCRAP</t>
  </si>
  <si>
    <t>NARROW PARALLEL BEAM SCRAP</t>
  </si>
  <si>
    <t>WIDE PARALLEL BEAM SCRAP</t>
  </si>
  <si>
    <t>REJECTED TMT BAR SCRAP</t>
  </si>
  <si>
    <t>INTERNAL CONSUMPTION</t>
  </si>
  <si>
    <t>END CUT &amp; ARISINGS SCRAP OF WRM &amp; BM</t>
  </si>
  <si>
    <t>TOTAL INTERNAL CONSUMPTION</t>
  </si>
  <si>
    <t>NON ROLLABLE ASSORTED BILLET SCRAP (ROAD)</t>
  </si>
  <si>
    <t>NON ROLLABLE ASSORTED BILLET SCRAP (RAIL)</t>
  </si>
  <si>
    <t>DOMESTIC (RAIL)</t>
  </si>
  <si>
    <t>DOMESTIC (ROAD)</t>
  </si>
  <si>
    <t>EXPORT (RAIL)</t>
  </si>
  <si>
    <r>
      <t>(NH4)</t>
    </r>
    <r>
      <rPr>
        <sz val="12"/>
        <rFont val="Calibri"/>
        <family val="2"/>
      </rPr>
      <t>₂</t>
    </r>
    <r>
      <rPr>
        <sz val="12"/>
        <rFont val="Times New Roman"/>
        <family val="1"/>
      </rPr>
      <t>SO4 (Existing Plant)</t>
    </r>
  </si>
  <si>
    <r>
      <t>Total (NH4)</t>
    </r>
    <r>
      <rPr>
        <b/>
        <sz val="12"/>
        <rFont val="Calibri"/>
        <family val="2"/>
      </rPr>
      <t>₂</t>
    </r>
    <r>
      <rPr>
        <b/>
        <sz val="12"/>
        <rFont val="Times New Roman"/>
        <family val="1"/>
      </rPr>
      <t>SO4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</si>
  <si>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</t>
    </r>
  </si>
  <si>
    <t>5th relining life (carried on 28.02.20-05.03.20): 4003 Heats (lasted from 06.03.20-12.01.21);
6th carried on 13.01.21-23.01.21 which has resulted in 3584 Heats till 30.09.21</t>
  </si>
  <si>
    <t>8th relining carried on from 14.03.20-22.03.20. Started from 28.05.20 and resulted in 4053  Heats till 15.08.21
9th carried on 16.08.21-26.08.21 (started on 27.08.21) which has resulted in 607 Heats till 30.09.21</t>
  </si>
  <si>
    <t>6th relining life (carried on 15.06.19-22.06.19): 5260 Heats ( Lasted from 23.06.19-27.05.20);
7th carried on 28.06.20-06.07.20, started from 07.07.20  to 16.03.21 resulted in 4157  Heats.8th Relining carried out from 16.03.21 to 23.05.21 , started from 23.05.21 resulted in 2051 Heats till 30.09.21</t>
  </si>
  <si>
    <t>Short length (&lt;6 m)</t>
  </si>
  <si>
    <t>Charged wt - Mill Arisings - Scale - Yield wt-short length</t>
  </si>
  <si>
    <r>
      <t>BF Sinter return fines (wet) to BMP-</t>
    </r>
    <r>
      <rPr>
        <b/>
        <sz val="11"/>
        <rFont val="Times New Roman"/>
        <family val="1"/>
      </rPr>
      <t>As per RMHP</t>
    </r>
  </si>
  <si>
    <r>
      <t xml:space="preserve">BF Diverter Sinter (Wet)- </t>
    </r>
    <r>
      <rPr>
        <b/>
        <sz val="11"/>
        <rFont val="Times New Roman"/>
        <family val="1"/>
      </rPr>
      <t>As per Sinter Plant</t>
    </r>
  </si>
  <si>
    <r>
      <t>10</t>
    </r>
    <r>
      <rPr>
        <sz val="14"/>
        <rFont val="Calibri"/>
        <family val="2"/>
      </rPr>
      <t>⁶</t>
    </r>
    <r>
      <rPr>
        <sz val="14"/>
        <rFont val="Times New Roman"/>
        <family val="1"/>
      </rPr>
      <t xml:space="preserve"> k.cal/tls</t>
    </r>
  </si>
  <si>
    <r>
      <t>10</t>
    </r>
    <r>
      <rPr>
        <sz val="14"/>
        <rFont val="Calibri"/>
        <family val="2"/>
      </rPr>
      <t>⁶</t>
    </r>
    <r>
      <rPr>
        <sz val="14"/>
        <rFont val="Times New Roman"/>
        <family val="1"/>
      </rPr>
      <t xml:space="preserve"> k.cal/tcs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</si>
  <si>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K.Cal/tcw</t>
    </r>
  </si>
  <si>
    <t>POWER &amp; BLOWING STATION</t>
  </si>
  <si>
    <r>
      <t>Th NM</t>
    </r>
    <r>
      <rPr>
        <sz val="11"/>
        <rFont val="Calibri"/>
        <family val="2"/>
      </rPr>
      <t>³</t>
    </r>
  </si>
  <si>
    <r>
      <t>000Sm</t>
    </r>
    <r>
      <rPr>
        <sz val="11"/>
        <rFont val="Calibri"/>
        <family val="2"/>
      </rPr>
      <t>³</t>
    </r>
  </si>
  <si>
    <t>Jamadoba (JDWS)</t>
  </si>
  <si>
    <t>Moonidih/Bhelatad (PBWB)</t>
  </si>
  <si>
    <t>Oct'21</t>
  </si>
  <si>
    <t>7 M</t>
  </si>
  <si>
    <t>OCT'21</t>
  </si>
  <si>
    <t>yield change</t>
  </si>
  <si>
    <t>IS:2062/2011;E450A</t>
  </si>
  <si>
    <t>SAE 1006 (BORON)</t>
  </si>
  <si>
    <t>5.5 WRC JIS G 3506 SWRH52B</t>
  </si>
  <si>
    <t>5.5 WRC JIS G 3506 SWRH72B</t>
  </si>
  <si>
    <t>5.5 WRC SAE1006 (BORON)</t>
  </si>
  <si>
    <t>HONGKONG</t>
  </si>
  <si>
    <t>ISPEXPT-15</t>
  </si>
  <si>
    <t>Austria</t>
  </si>
  <si>
    <t>CAST HOUSE DEBRIS</t>
  </si>
  <si>
    <t>USED &amp; REJECETD PIG MOULD SCRAP</t>
  </si>
  <si>
    <t>CONNECTION CABLE,55067-100</t>
  </si>
  <si>
    <t>MUD CLAY GUN,F/BLAST FURNACE</t>
  </si>
  <si>
    <t>EN8M</t>
  </si>
  <si>
    <t xml:space="preserve">22 mm </t>
  </si>
  <si>
    <t>IPE300A</t>
  </si>
  <si>
    <t>Nagpur</t>
  </si>
  <si>
    <t xml:space="preserve">PHC </t>
  </si>
  <si>
    <t>IS2830C15HMNALKNB15</t>
  </si>
  <si>
    <t>IS: 2062/2011; E250A</t>
  </si>
  <si>
    <t>IS: 2062/2011, E350B (V)</t>
  </si>
  <si>
    <r>
      <t xml:space="preserve">TMT SAMPLE NOT FOR SALE. FOR TESTING </t>
    </r>
    <r>
      <rPr>
        <b/>
        <sz val="12"/>
        <color rgb="FFFF0000"/>
        <rFont val="Times New Roman"/>
        <family val="1"/>
      </rPr>
      <t>(EXPORT)</t>
    </r>
  </si>
  <si>
    <r>
      <t xml:space="preserve">ROURKELA </t>
    </r>
    <r>
      <rPr>
        <b/>
        <sz val="14"/>
        <color rgb="FFFF0000"/>
        <rFont val="Times New Roman"/>
        <family val="1"/>
      </rPr>
      <t>(SMALL SINTER)</t>
    </r>
  </si>
  <si>
    <t>HIGH CARBON FERRO MANGANESE,25-50MM</t>
  </si>
  <si>
    <t>BF Gran  Slag (Shipping mode-wise)</t>
  </si>
  <si>
    <t>BF Gran  Slag (Sale Type-wise)</t>
  </si>
  <si>
    <t>6th relining life (carried on 13.01.21-23.01.21): 3875 Heats (lasted from 24.01.21-21.10.21);
7th carried on 22.10.21-29.10.21 which has resulted in 17 Heats till 31.10.21</t>
  </si>
  <si>
    <t>8th relining carried on from 14.03.20-22.03.20. Started from 28.05.20 and resulted in 4053  Heats till 15.08.21
9th carried on 16.08.21-26.08.21 (started on 27.08.21) which has resulted in 1212 Heats till 31.10.21</t>
  </si>
  <si>
    <t>6th relining life (carried on 15.06.19-22.06.19): 5260 Heats ( Lasted from 23.06.19-27.05.20);
7th carried on 28.06.20-06.07.20, started from 07.07.20  to 16.03.21 resulted in 4157  Heats.8th Relining carried out from 16.03.21 to 23.05.21 , started from 23.05.21 resulted in 2529 Heats till 31.10.21</t>
  </si>
  <si>
    <t xml:space="preserve"> Assorted</t>
  </si>
  <si>
    <t>Non Rollable/Assorted</t>
  </si>
  <si>
    <t xml:space="preserve">Chasnala </t>
  </si>
  <si>
    <t>High Carbon grades Production</t>
  </si>
  <si>
    <t>considered</t>
  </si>
  <si>
    <t>Nov'21</t>
  </si>
  <si>
    <t>8 M</t>
  </si>
  <si>
    <t>% DIRECT (CMO+ITD+Plant Sales+IPT)</t>
  </si>
  <si>
    <t>6th relining life (carried on 13.01.21-23.01.21): 3875 Heats (lasted from 24.01.21-21.10.21);
7th carried on 22.10.21-29.10.21 which has resulted in 497 Heats till 30.11.21</t>
  </si>
  <si>
    <t>8th relining carried on from 14.03.20-22.03.20. Started from 28.05.20 and resulted in 4053  Heats till 15.08.21
9th carried on 16.08.21-26.08.21 (started on 27.08.21) which has resulted in 1628 Heats till 30.11.21</t>
  </si>
  <si>
    <t>6th relining life (carried on 15.06.19-22.06.19): 5260 Heats ( Lasted from 23.06.19-27.05.20);
7th carried on 28.06.20-06.07.20, started from 07.07.20  to 16.03.21 resulted in 4157  Heats.8th Relining carried out from 16.03.21 to 23.05.21 , started from 23.05.21 resulted in 2932 Heats till 30.11.21</t>
  </si>
  <si>
    <t>Calcined Lime(LDCP) (LF)</t>
  </si>
  <si>
    <t>HE200*200</t>
  </si>
  <si>
    <t>HE200A</t>
  </si>
  <si>
    <t>HE200AA</t>
  </si>
  <si>
    <t>HE200B</t>
  </si>
  <si>
    <t>IPE600O</t>
  </si>
  <si>
    <t>2020-21 Actual</t>
  </si>
  <si>
    <t>NOV'21</t>
  </si>
  <si>
    <t xml:space="preserve">IS2830 C18MMNC-ALK </t>
  </si>
  <si>
    <t>BB1 IS: 2062/2011; E250B</t>
  </si>
  <si>
    <t>BB1 IS: 2062/2011; E250A CU</t>
  </si>
  <si>
    <t>REJECTED BEAM BLANK</t>
  </si>
  <si>
    <t>FERRO NIOBIUM</t>
  </si>
  <si>
    <t>LED 120W FL FIXTURE, COOL WHITE,120°</t>
  </si>
  <si>
    <r>
      <t xml:space="preserve">BOKARO </t>
    </r>
    <r>
      <rPr>
        <b/>
        <sz val="12"/>
        <color rgb="FFFF0000"/>
        <rFont val="Times New Roman"/>
        <family val="1"/>
      </rPr>
      <t>(SMALL SINTER)</t>
    </r>
  </si>
  <si>
    <t>IS 2062 E350 BR-150/7.1/49.32</t>
  </si>
  <si>
    <t>IS2830 C18MMNC-ALK</t>
  </si>
  <si>
    <t xml:space="preserve">IS2830C15HMNALKNB15 </t>
  </si>
  <si>
    <t>Production : High Carbon Grades</t>
  </si>
  <si>
    <t>Dec'21</t>
  </si>
  <si>
    <t>check point</t>
  </si>
  <si>
    <t>DIRECT SALES/INTERNAL CONSUMPTION/IPT DETAILS</t>
  </si>
  <si>
    <r>
      <t xml:space="preserve">INTER PLANT TRANSFER </t>
    </r>
    <r>
      <rPr>
        <b/>
        <sz val="20"/>
        <color rgb="FFFF6699"/>
        <rFont val="Times New Roman"/>
        <family val="1"/>
      </rPr>
      <t>(OUTGOING)</t>
    </r>
    <r>
      <rPr>
        <b/>
        <sz val="20"/>
        <rFont val="Times New Roman"/>
        <family val="1"/>
      </rPr>
      <t>:</t>
    </r>
  </si>
  <si>
    <t>ALLOY STEELS PLANT</t>
  </si>
  <si>
    <t>SAIL GROWTH WORKS, KULTI</t>
  </si>
  <si>
    <t>LIQUID ARGON (ASP)</t>
  </si>
  <si>
    <t>BILLET CB IS2830C20MMNC 150*150- Bhilai</t>
  </si>
  <si>
    <r>
      <t xml:space="preserve">INTER PLANT TRANSFER </t>
    </r>
    <r>
      <rPr>
        <b/>
        <sz val="20"/>
        <color rgb="FFFF6699"/>
        <rFont val="Times New Roman"/>
        <family val="1"/>
      </rPr>
      <t>(INCOMING)</t>
    </r>
    <r>
      <rPr>
        <b/>
        <sz val="20"/>
        <rFont val="Times New Roman"/>
        <family val="1"/>
      </rPr>
      <t>:</t>
    </r>
  </si>
  <si>
    <t xml:space="preserve">BILLET </t>
  </si>
  <si>
    <t>COKE BREEZE</t>
  </si>
  <si>
    <t>IRON ORE FINES</t>
  </si>
  <si>
    <t>IRON ORE LUMP</t>
  </si>
  <si>
    <t>SILICO MANGANESE</t>
  </si>
  <si>
    <t>CHANDRAPUR FERRO ALLOY PLANT</t>
  </si>
  <si>
    <t>FERRO CHROME</t>
  </si>
  <si>
    <t>SALEM</t>
  </si>
  <si>
    <t>FERRO MANGANESE</t>
  </si>
  <si>
    <t>EN8A Cr</t>
  </si>
  <si>
    <t>COLOMBO, SRILANKA</t>
  </si>
  <si>
    <t>8 WRC HC82B</t>
  </si>
  <si>
    <t xml:space="preserve">Fe-550D </t>
  </si>
  <si>
    <t>32 mm TMT (Fe-500D)</t>
  </si>
  <si>
    <t>16 mm TMT (Fe-500D)</t>
  </si>
  <si>
    <t xml:space="preserve"> NPB E350 BR 400*180*57.38 NEPAL</t>
  </si>
  <si>
    <t>SAIL TOWER 6- V</t>
  </si>
  <si>
    <t>DISMANTLED WOOD SCRAP</t>
  </si>
  <si>
    <t>USED &amp; REJECTED EMPTY BAGS</t>
  </si>
  <si>
    <t>Saleable production Plan: 224470 (500 T has been kept in plan for Internal consumption)</t>
  </si>
  <si>
    <t>Consideration in internal consumption</t>
  </si>
  <si>
    <t>SAIL TOWER Gr VI (V)-Alk</t>
  </si>
  <si>
    <t>DEC'21</t>
  </si>
  <si>
    <t>SAE10B33-Alk</t>
  </si>
  <si>
    <t>SAE-1008-AlK</t>
  </si>
  <si>
    <t>BILLET EN8D(Cr)-AlK</t>
  </si>
  <si>
    <t>BILLET EN8A-AlK</t>
  </si>
  <si>
    <t xml:space="preserve">SAILTOWER-GR6-NB(A) </t>
  </si>
  <si>
    <t>6th relining life (carried on 13.01.21-23.01.21): 3875 Heats (lasted from 24.01.21-21.10.21);
7th carried on 22.10.21-29.10.21 which has resulted in 1009 Heats till 31.12.21</t>
  </si>
  <si>
    <t>8th relining carried on from 14.03.20-22.03.20. Started from 28.05.20 and resulted in 4053  Heats till 15.08.21
9th carried on 16.08.21-26.08.21 (started on 27.08.21) which has resulted in 2106 Heats till 31.12.21</t>
  </si>
  <si>
    <t>6th relining life (carried on 15.06.19-22.06.19): 5260 Heats ( Lasted from 23.06.19-27.05.20);
7th carried on 28.06.20-06.07.20, started from 07.07.20  to 16.03.21 resulted in 4157  Heats.8th Relining carried out from 16.03.21 to 23.05.21 , started from 23.05.21 resulted in 3385 Heats till 31.12.21</t>
  </si>
  <si>
    <t>SAE 1008 / GR 3 / SWR 10 AlK</t>
  </si>
  <si>
    <t>SAE 10B33</t>
  </si>
  <si>
    <t>14 mm</t>
  </si>
  <si>
    <t>8 mm WRC</t>
  </si>
  <si>
    <t>8 mm TMTC</t>
  </si>
  <si>
    <t>Rejections from the production of previous months</t>
  </si>
  <si>
    <t>6 mm SAE1006/Gr-2</t>
  </si>
  <si>
    <t>2.05 MT</t>
  </si>
  <si>
    <t>29.11.21</t>
  </si>
  <si>
    <t>Fe-600 D</t>
  </si>
  <si>
    <t>10 mm TMT</t>
  </si>
  <si>
    <t>03.02.21</t>
  </si>
  <si>
    <t>101.8 MT</t>
  </si>
  <si>
    <t>8 mm TMT</t>
  </si>
  <si>
    <t>12 mm TMT</t>
  </si>
  <si>
    <t>2.6 MT</t>
  </si>
  <si>
    <t>E350 C</t>
  </si>
  <si>
    <t>REJECTED CHANNEL SCRAP</t>
  </si>
  <si>
    <t>OTHER</t>
  </si>
  <si>
    <t>BISRA</t>
  </si>
  <si>
    <t>PSBD (Baradwar)</t>
  </si>
  <si>
    <t>10-50 mm consumption in SMS</t>
  </si>
  <si>
    <t>MIXED COKE</t>
  </si>
  <si>
    <t>Civil road building</t>
  </si>
  <si>
    <t>Jan'22</t>
  </si>
  <si>
    <t>10 M</t>
  </si>
  <si>
    <t>JAN'22</t>
  </si>
  <si>
    <t>OLD USED &amp; REJECTED MOTOR SCRAP</t>
  </si>
  <si>
    <t>USED &amp; REJECTED STEEL SCRAP</t>
  </si>
  <si>
    <t>USED &amp; REJECTED SLEEPER</t>
  </si>
  <si>
    <t>USED &amp; REJECTED BATTERIES</t>
  </si>
  <si>
    <t>USED &amp; REJECTED CONVEYER BELT</t>
  </si>
  <si>
    <t>LOW CARBON FERRO MANGANESE</t>
  </si>
  <si>
    <t>PCPF &amp; BF RUNNER</t>
  </si>
  <si>
    <t>ACCMON GB 20 SC C ISP- CALDERYS</t>
  </si>
  <si>
    <t>SHEAR BLADES,KNIVES</t>
  </si>
  <si>
    <t>LOWER BLADE,MOD-0705,3</t>
  </si>
  <si>
    <t>LOWER BLADE,MOD-0705,6</t>
  </si>
  <si>
    <t>LOWER BLADE,MOD-0705,7</t>
  </si>
  <si>
    <t>UPPER BLADE,MOD-0705,10</t>
  </si>
  <si>
    <t>UPPER BLADE,MOD-0705,11</t>
  </si>
  <si>
    <t>UPPER BLADE,MOD-0705,12</t>
  </si>
  <si>
    <t>HC68B</t>
  </si>
  <si>
    <t>HC62A</t>
  </si>
  <si>
    <t>Fe-550D EQR</t>
  </si>
  <si>
    <t>7 WRC HC82B</t>
  </si>
  <si>
    <t>WPB 200*200*37.34</t>
  </si>
  <si>
    <t>IS2062 E250B0</t>
  </si>
  <si>
    <t xml:space="preserve"> CHANNEL IS 2062 E250BR 250*82 </t>
  </si>
  <si>
    <t>CB 45 C8</t>
  </si>
  <si>
    <t>BLOOM CB IS2830C20MMNC 200*280- Bhilai</t>
  </si>
  <si>
    <t>BILLET EN8D-AlK</t>
  </si>
  <si>
    <t>BLOOM CB 45 C8 150*150</t>
  </si>
  <si>
    <t>IS: 2062/2011; E450BR (V)</t>
  </si>
  <si>
    <t>IS: 2062/2011; E350C (Nb)</t>
  </si>
  <si>
    <t>Mixed PCC (Jamadoba + bhelatand)</t>
  </si>
  <si>
    <t>11 mm</t>
  </si>
  <si>
    <t>HC 62A</t>
  </si>
  <si>
    <t>HC 68B</t>
  </si>
  <si>
    <t xml:space="preserve">11 mm Plain Coil </t>
  </si>
  <si>
    <t xml:space="preserve">13 mm Plain Coil </t>
  </si>
  <si>
    <t xml:space="preserve">13.5 mm Plain Coil </t>
  </si>
  <si>
    <t>1.7-1.85</t>
  </si>
  <si>
    <t>6th relining life (carried on 13.01.21-23.01.21): 3875 Heats (lasted from 24.01.21-21.10.21);
7th carried on 22.10.21-29.10.21 which has resulted in 1587 Heats till 31.01.22</t>
  </si>
  <si>
    <t>8th relining carried on from 14.03.20-22.03.20. Started from 28.05.20 and resulted in 4053  Heats till 15.08.21
9th carried on 16.08.21-26.08.21 (started on 27.08.21) which has resulted in 2644 Heats till 31.01.22</t>
  </si>
  <si>
    <t>6th relining life (carried on 15.06.19-22.06.19): 5260 Heats ( Lasted from 23.06.19-27.05.20);
7th carried on 28.06.20-06.07.20, started from 07.07.20  to 16.03.21 resulted in 4157  Heats.8th Relining carried out from 16.03.21 to 23.05.21 , started from 23.05.21 resulted in 3726 Heats till 31.01.22</t>
  </si>
  <si>
    <t>SAE 1010/ GR 4/ SWR 14</t>
  </si>
  <si>
    <t>Beam Blank shifted to MRD</t>
  </si>
  <si>
    <t>WT-1106</t>
  </si>
  <si>
    <t>WT-6620</t>
  </si>
  <si>
    <t>WT-4603</t>
  </si>
  <si>
    <t>Sodium Hypochloride(Mat. Code: 35410701000108)</t>
  </si>
  <si>
    <t>WT-3303</t>
  </si>
  <si>
    <t>WT-3391</t>
  </si>
  <si>
    <t>Sulfuric Acid</t>
  </si>
  <si>
    <t>RMHP Figure</t>
  </si>
  <si>
    <t>Feb'22</t>
  </si>
  <si>
    <t>FEB'22</t>
  </si>
  <si>
    <t>OTHER TECHNO-ECONOMIC PARAMETERS</t>
  </si>
  <si>
    <t>DISMANTLED CONVEYOR  BELT SCRAPS</t>
  </si>
  <si>
    <t>SOR FERROUS SPARES</t>
  </si>
  <si>
    <t>USED &amp; REJECTED EMPTY PVC DRUMS</t>
  </si>
  <si>
    <t>WASTE/USED PVC CORRUGATED PACKING FILLS</t>
  </si>
  <si>
    <t>SAE-1015-Sik</t>
  </si>
  <si>
    <t>IS: 7904/2018; HC78B/PC115</t>
  </si>
  <si>
    <t>BILLET LOW CARBON C25</t>
  </si>
  <si>
    <t>IS: 2062/2011; E250C</t>
  </si>
  <si>
    <t xml:space="preserve">SAILTOWER6 NB </t>
  </si>
  <si>
    <t>IS: 2062/2011; E550B (V)</t>
  </si>
  <si>
    <t xml:space="preserve">9 mm Plain Coil </t>
  </si>
  <si>
    <t>NPB 600*220*122.45 E350 BR</t>
  </si>
  <si>
    <t>NPB IS 2062 E350 BR 400*180*57.38</t>
  </si>
  <si>
    <t xml:space="preserve"> NPB  300*150*42.24 NEPAL E350BR</t>
  </si>
  <si>
    <t>NPB IS2062 E250BR 300*150*42.24</t>
  </si>
  <si>
    <t>IS2830C25HMNMAV65SiK</t>
  </si>
  <si>
    <t>7 WRC SAE 1008</t>
  </si>
  <si>
    <t>Feb '22</t>
  </si>
  <si>
    <t>6th relining life (carried on 13.01.21-23.01.21): 3875 Heats (lasted from 24.01.21-21.10.21);
7th carried on 22.10.21-29.10.21 which has resulted in 2073 Heats till 28.02.22</t>
  </si>
  <si>
    <t>8th relining carried on from 14.03.20-22.03.20. Started from 28.05.20 and resulted in 4053  Heats till 15.08.21
9th carried on 16.08.21-26.08.21 (started on 27.08.21) which has resulted in 3122 Heats till 28.02.22</t>
  </si>
  <si>
    <t>7th relining life (carried on 28.05.20-06.07.20): 4157 Heats ( Lasted from 07.07.20  to 16.04.21);
8th carried on 17.04.21-22.05.21, started from 23.05.21  to 03.02.22 resulted in 3748  Heats.9th Relining carried out from 04.02.22 to 11.02.22 , started from 12.02.22 resulted in 305 Heats till 28.02.22</t>
  </si>
  <si>
    <t>HC 78B</t>
  </si>
  <si>
    <t>SAE 1015</t>
  </si>
  <si>
    <t xml:space="preserve">9 mm </t>
  </si>
  <si>
    <t>406.35 tonnes of 8 TMT SEQR is from 125x125 billets</t>
  </si>
  <si>
    <t>EA150X12</t>
  </si>
  <si>
    <t>E450</t>
  </si>
  <si>
    <t>IS7904/HCT1130CR(PC) "PC115"</t>
  </si>
  <si>
    <t>9 mm</t>
  </si>
  <si>
    <t>Mar'22</t>
  </si>
  <si>
    <t>Bar  MILL</t>
  </si>
  <si>
    <t>US  MILL</t>
  </si>
  <si>
    <t>CHECK POINTS</t>
  </si>
  <si>
    <t>DESPATCH SHEET CROSSCHECK</t>
  </si>
  <si>
    <t>Mar '22</t>
  </si>
  <si>
    <t>Parallel Flange Beams</t>
  </si>
  <si>
    <t>Mixed PCC (Jamadoba+bhelatand)</t>
  </si>
  <si>
    <t>MAR'22</t>
  </si>
  <si>
    <t>12M</t>
  </si>
  <si>
    <t>TOTAL 12 M</t>
  </si>
  <si>
    <t>TOTAL 12M</t>
  </si>
  <si>
    <t>6th relining life (carried on 13.01.21-23.01.21): 3875 Heats (lasted from 24.01.21-21.10.21);
7th carried on 22.10.21-29.10.21 which has resulted in 2540 Heats till 31.03.22</t>
  </si>
  <si>
    <t>8th relining carried on from 14.03.20-22.03.20. Started from 28.05.20 and resulted in 4053  Heats till 15.08.21
9th carried on 16.08.21-26.08.21 (started on 27.08.21) which has resulted in 3579 Heats till 31.03.22</t>
  </si>
  <si>
    <t>7th relining life (carried on 28.05.20-06.07.20): 4157 Heats ( Lasted from 07.07.20  to 16.04.21);
8th carried on 17.04.21-22.05.21, started from 23.05.21  to 03.02.22 resulted in 3748  Heats.9th Relining carried out from 04.02.22 to 11.02.22 , started from 12.02.22 resulted in 844 Heats till 31.03.22</t>
  </si>
  <si>
    <t>Slag Reducer</t>
  </si>
  <si>
    <t>Fe-550 D/ SEQR</t>
  </si>
  <si>
    <t>Rejected WPB 200</t>
  </si>
  <si>
    <t xml:space="preserve"> IS2830C25HMNMAV65SiK</t>
  </si>
  <si>
    <t>Fe-550 D SEQR</t>
  </si>
  <si>
    <t>IS 2062 E450 BR 500*200*90.68</t>
  </si>
  <si>
    <t>WPB 240*240*156.67</t>
  </si>
  <si>
    <t>WR COIL SCRP</t>
  </si>
  <si>
    <t>REJECTED WIRE ROD COIL SCRAP</t>
  </si>
  <si>
    <t>FLUX/ METALGL C-WIRE</t>
  </si>
  <si>
    <t>MEDICINES</t>
  </si>
  <si>
    <t>TABLET,ALLOPURINOL,100MG</t>
  </si>
  <si>
    <t>SAIL-BHILAI STEEL PLANT</t>
  </si>
  <si>
    <t>TABLET,CLOPIDOGREL,75MG</t>
  </si>
  <si>
    <t>PVC POWER CABLE:LMFG</t>
  </si>
  <si>
    <t>PIG IRON - SAIL-ALLOY STEELS PLANT</t>
  </si>
  <si>
    <t>TMT BARS</t>
  </si>
  <si>
    <t>IS 1786 FE415D 12 - SALEM STEEL PLANT</t>
  </si>
  <si>
    <t>IS 1786 FE415D 20 - SALEM STEEL PLANT</t>
  </si>
  <si>
    <t xml:space="preserve">IS7887GR4/SAE1010/SWR 14 </t>
  </si>
  <si>
    <t>HC82 B</t>
  </si>
  <si>
    <t>IS7887GR4/SAE1010/SWR 14</t>
  </si>
  <si>
    <t>GR 2/SAE1006</t>
  </si>
  <si>
    <t>GR 2/CAQ</t>
  </si>
  <si>
    <t>IS 7887GR3 SWR10/SAE 1008 AlK</t>
  </si>
  <si>
    <t>SAE 10B06</t>
  </si>
  <si>
    <t xml:space="preserve">JIS G 3506 SWRH52 B </t>
  </si>
  <si>
    <t xml:space="preserve">JIS G 3506 SWRH72 B </t>
  </si>
  <si>
    <t>HC72 B</t>
  </si>
  <si>
    <t>HC68 B</t>
  </si>
  <si>
    <t>HC62 A</t>
  </si>
  <si>
    <t>Fe-600D/RB</t>
  </si>
  <si>
    <t>EWNR/ IS 2879</t>
  </si>
  <si>
    <t>GRADE</t>
  </si>
  <si>
    <t>SWR 10</t>
  </si>
  <si>
    <t>NPB  300*150*49.32 IS:2062 E 250 BR : 194 Tonnes was rejected which was rolled in the month of Jun'21</t>
  </si>
  <si>
    <t>IS2062 E250BR 750*270*202.48</t>
  </si>
  <si>
    <t>available for distribution is same as total actual distribution</t>
  </si>
  <si>
    <t>generation is same as ABP sheet</t>
  </si>
  <si>
    <t>net available for distribution is same as ABP sheet</t>
  </si>
  <si>
    <t>total actual distribution is same as ABP sheet</t>
  </si>
  <si>
    <t>M3/TCS</t>
  </si>
  <si>
    <t>T/TCS</t>
  </si>
  <si>
    <t>Saleable production</t>
  </si>
  <si>
    <t>Caustic</t>
  </si>
  <si>
    <t>Hydrazine</t>
  </si>
  <si>
    <t>Ammonia</t>
  </si>
  <si>
    <t>TSP</t>
  </si>
  <si>
    <t>Ferric Chloride</t>
  </si>
  <si>
    <t>Sodium Hypochloride(Mat. Code:70410600080050)</t>
  </si>
  <si>
    <t>Hydrated Lime</t>
  </si>
  <si>
    <t>SMBS</t>
  </si>
  <si>
    <t>ANTISCALANT</t>
  </si>
  <si>
    <t>POLY</t>
  </si>
  <si>
    <t>MT(100% Basis)</t>
  </si>
  <si>
    <t>LTR</t>
  </si>
  <si>
    <t>Marketing</t>
  </si>
  <si>
    <t>Land filling</t>
  </si>
  <si>
    <t>Bloom check point</t>
  </si>
  <si>
    <t>beam blank check point</t>
  </si>
  <si>
    <t>Assorted</t>
  </si>
  <si>
    <t>New Consumptiond</t>
  </si>
  <si>
    <r>
      <t>10</t>
    </r>
    <r>
      <rPr>
        <sz val="11"/>
        <color theme="1"/>
        <rFont val="Calibri"/>
        <family val="2"/>
      </rPr>
      <t>⁶</t>
    </r>
    <r>
      <rPr>
        <sz val="11"/>
        <color theme="1"/>
        <rFont val="Times New Roman"/>
        <family val="1"/>
      </rPr>
      <t>.K.Cal/T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</si>
</sst>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&quot;₹&quot;\ * #,##0.00_ ;_ &quot;₹&quot;\ * \-#,##0.00_ ;_ &quot;₹&quot;\ * &quot;-&quot;??_ ;_ @_ "/>
    <numFmt numFmtId="165" formatCode="_ * #,##0.00_ ;_ * \-#,##0.00_ ;_ * &quot;-&quot;??_ ;_ @_ "/>
    <numFmt numFmtId="166" formatCode="0.0"/>
    <numFmt numFmtId="167" formatCode="General_)"/>
    <numFmt numFmtId="168" formatCode="0.000"/>
    <numFmt numFmtId="169" formatCode="0.0000"/>
    <numFmt numFmtId="170" formatCode="0.00000"/>
    <numFmt numFmtId="171" formatCode="0.0%"/>
    <numFmt numFmtId="172" formatCode="_(* #,##0.00_);_(* \(#,##0.00\);_(* &quot;-&quot;_);_(@_)"/>
    <numFmt numFmtId="173" formatCode="&quot;Rs.&quot;\ #,##0;[Red]&quot;Rs.&quot;\ \-#,##0"/>
    <numFmt numFmtId="174" formatCode="_(* #,##0_);_(* \(#,##0\);_(* &quot;-&quot;??_);_(@_)"/>
  </numFmts>
  <fonts count="185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Courier"/>
      <family val="3"/>
    </font>
    <font>
      <b/>
      <sz val="18"/>
      <name val="Times New Roman"/>
      <family val="1"/>
    </font>
    <font>
      <b/>
      <sz val="14"/>
      <color indexed="8"/>
      <name val="Times New Roman"/>
      <family val="1"/>
    </font>
    <font>
      <b/>
      <sz val="14"/>
      <name val="Times New Roman"/>
      <family val="1"/>
    </font>
    <font>
      <b/>
      <u/>
      <sz val="14"/>
      <color indexed="8"/>
      <name val="Times New Roman"/>
      <family val="1"/>
    </font>
    <font>
      <b/>
      <u/>
      <sz val="14"/>
      <name val="Times New Roman"/>
      <family val="1"/>
    </font>
    <font>
      <sz val="11"/>
      <color indexed="8"/>
      <name val="Calibri"/>
      <family val="2"/>
    </font>
    <font>
      <sz val="14"/>
      <color indexed="8"/>
      <name val="Times New Roman"/>
      <family val="1"/>
    </font>
    <font>
      <sz val="14"/>
      <name val="Times New Roman"/>
      <family val="1"/>
    </font>
    <font>
      <b/>
      <sz val="16"/>
      <name val="Times New Roman"/>
      <family val="1"/>
    </font>
    <font>
      <sz val="18"/>
      <color indexed="8"/>
      <name val="Calibri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sz val="16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sz val="18"/>
      <color theme="1"/>
      <name val="Calibri"/>
      <family val="2"/>
      <scheme val="minor"/>
    </font>
    <font>
      <b/>
      <sz val="14"/>
      <color rgb="FFC00000"/>
      <name val="Times New Roman"/>
      <family val="1"/>
    </font>
    <font>
      <sz val="14"/>
      <color rgb="FFC00000"/>
      <name val="Times New Roman"/>
      <family val="1"/>
    </font>
    <font>
      <b/>
      <sz val="16"/>
      <color rgb="FFC00000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u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u/>
      <sz val="16"/>
      <color rgb="FFC00000"/>
      <name val="Times New Roman"/>
      <family val="1"/>
    </font>
    <font>
      <b/>
      <u/>
      <sz val="11"/>
      <name val="Times New Roman"/>
      <family val="1"/>
    </font>
    <font>
      <b/>
      <sz val="12"/>
      <color rgb="FFC00000"/>
      <name val="Times New Roman"/>
      <family val="1"/>
    </font>
    <font>
      <b/>
      <u/>
      <sz val="18"/>
      <color theme="1"/>
      <name val="Times New Roman"/>
      <family val="1"/>
    </font>
    <font>
      <b/>
      <u/>
      <sz val="12"/>
      <name val="Times New Roman"/>
      <family val="1"/>
    </font>
    <font>
      <b/>
      <sz val="18"/>
      <color theme="1"/>
      <name val="Times New Roman"/>
      <family val="1"/>
    </font>
    <font>
      <b/>
      <sz val="18"/>
      <color rgb="FFC00000"/>
      <name val="Times New Roman"/>
      <family val="1"/>
    </font>
    <font>
      <b/>
      <sz val="8"/>
      <name val="Times New Roman"/>
      <family val="1"/>
    </font>
    <font>
      <sz val="8"/>
      <color theme="1"/>
      <name val="Times New Roman"/>
      <family val="1"/>
    </font>
    <font>
      <b/>
      <u/>
      <sz val="12"/>
      <color rgb="FFC00000"/>
      <name val="Times New Roman"/>
      <family val="1"/>
    </font>
    <font>
      <sz val="14"/>
      <color theme="1"/>
      <name val="Times New Roman"/>
      <family val="1"/>
    </font>
    <font>
      <sz val="11"/>
      <color rgb="FFC00000"/>
      <name val="Times New Roman"/>
      <family val="1"/>
    </font>
    <font>
      <b/>
      <sz val="12"/>
      <color rgb="FFC00000"/>
      <name val="Calibri"/>
      <family val="2"/>
      <scheme val="minor"/>
    </font>
    <font>
      <sz val="10"/>
      <name val="Times New Roman"/>
      <family val="1"/>
    </font>
    <font>
      <b/>
      <u/>
      <sz val="16"/>
      <name val="Times New Roman"/>
      <family val="1"/>
    </font>
    <font>
      <b/>
      <sz val="18"/>
      <color rgb="FF0070C0"/>
      <name val="Times New Roman"/>
      <family val="1"/>
    </font>
    <font>
      <sz val="8"/>
      <color theme="1"/>
      <name val="Calibri"/>
      <family val="2"/>
      <scheme val="minor"/>
    </font>
    <font>
      <sz val="9"/>
      <name val="Times New Roman"/>
      <family val="1"/>
    </font>
    <font>
      <sz val="8"/>
      <name val="Times New Roman"/>
      <family val="1"/>
    </font>
    <font>
      <sz val="11"/>
      <name val="Calibri"/>
      <family val="2"/>
      <scheme val="minor"/>
    </font>
    <font>
      <b/>
      <u/>
      <sz val="14"/>
      <color theme="1"/>
      <name val="Times New Roman"/>
      <family val="1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u/>
      <sz val="12"/>
      <color theme="1"/>
      <name val="Times New Roman"/>
      <family val="1"/>
    </font>
    <font>
      <b/>
      <sz val="11"/>
      <color rgb="FFC00000"/>
      <name val="Calibri"/>
      <family val="2"/>
      <scheme val="minor"/>
    </font>
    <font>
      <b/>
      <u/>
      <sz val="14"/>
      <color rgb="FFC00000"/>
      <name val="Times New Roman"/>
      <family val="1"/>
    </font>
    <font>
      <sz val="8"/>
      <color rgb="FFC00000"/>
      <name val="Times New Roman"/>
      <family val="1"/>
    </font>
    <font>
      <sz val="8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Times New Roman"/>
      <family val="1"/>
    </font>
    <font>
      <sz val="11"/>
      <color theme="0"/>
      <name val="Times New Roman"/>
      <family val="1"/>
    </font>
    <font>
      <sz val="12"/>
      <color theme="1"/>
      <name val="Calibri"/>
      <family val="2"/>
      <scheme val="minor"/>
    </font>
    <font>
      <sz val="10"/>
      <color theme="0"/>
      <name val="Times New Roman"/>
      <family val="1"/>
    </font>
    <font>
      <sz val="11"/>
      <color rgb="FFFF0000"/>
      <name val="Calibri"/>
      <family val="2"/>
      <scheme val="minor"/>
    </font>
    <font>
      <sz val="10"/>
      <name val="Courier"/>
      <family val="3"/>
    </font>
    <font>
      <sz val="11"/>
      <color rgb="FF7030A0"/>
      <name val="Calibri"/>
      <family val="2"/>
      <scheme val="minor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color theme="1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sz val="14"/>
      <name val="Calibri"/>
      <family val="2"/>
      <scheme val="minor"/>
    </font>
    <font>
      <sz val="18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u/>
      <sz val="18"/>
      <color rgb="FF000000"/>
      <name val="Times New Roman"/>
      <family val="1"/>
    </font>
    <font>
      <b/>
      <u/>
      <sz val="16"/>
      <color rgb="FF000000"/>
      <name val="Times New Roman"/>
      <family val="1"/>
    </font>
    <font>
      <b/>
      <sz val="16"/>
      <color rgb="FF7030A0"/>
      <name val="Calibri"/>
      <family val="2"/>
      <scheme val="minor"/>
    </font>
    <font>
      <b/>
      <sz val="16"/>
      <color rgb="FF000000"/>
      <name val="Times New Roman"/>
      <family val="1"/>
    </font>
    <font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rgb="FFC00000"/>
      <name val="Times New Roman"/>
      <family val="1"/>
    </font>
    <font>
      <sz val="10"/>
      <color rgb="FFC00000"/>
      <name val="Times New Roman"/>
      <family val="1"/>
    </font>
    <font>
      <sz val="11"/>
      <color rgb="FF000000"/>
      <name val="Calibri"/>
      <family val="2"/>
    </font>
    <font>
      <sz val="10"/>
      <name val="Lucida Sans"/>
      <family val="2"/>
    </font>
    <font>
      <b/>
      <u/>
      <sz val="18"/>
      <name val="Times New Roman"/>
      <family val="1"/>
    </font>
    <font>
      <b/>
      <sz val="8"/>
      <color rgb="FFC00000"/>
      <name val="Times New Roman"/>
      <family val="1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0"/>
      <color indexed="9"/>
      <name val="Calibri"/>
      <family val="2"/>
    </font>
    <font>
      <b/>
      <sz val="10"/>
      <color indexed="8"/>
      <name val="Calibri"/>
      <family val="2"/>
    </font>
    <font>
      <sz val="10"/>
      <color indexed="10"/>
      <name val="Calibri"/>
      <family val="2"/>
    </font>
    <font>
      <b/>
      <sz val="10"/>
      <color indexed="9"/>
      <name val="Calibri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sz val="12"/>
      <color indexed="8"/>
      <name val="Calibri"/>
      <family val="2"/>
    </font>
    <font>
      <u/>
      <sz val="10"/>
      <color indexed="12"/>
      <name val="Calibri"/>
      <family val="2"/>
    </font>
    <font>
      <sz val="10"/>
      <color indexed="19"/>
      <name val="Calibri"/>
      <family val="2"/>
    </font>
    <font>
      <sz val="10"/>
      <color indexed="63"/>
      <name val="Calibri"/>
      <family val="2"/>
    </font>
    <font>
      <b/>
      <sz val="16"/>
      <color theme="3"/>
      <name val="Calibri"/>
      <family val="2"/>
      <scheme val="minor"/>
    </font>
    <font>
      <b/>
      <sz val="20"/>
      <color rgb="FF7030A0"/>
      <name val="Calibri"/>
      <family val="2"/>
      <scheme val="minor"/>
    </font>
    <font>
      <b/>
      <sz val="16"/>
      <color rgb="FF7030A0"/>
      <name val="Times New Roman"/>
      <family val="1"/>
    </font>
    <font>
      <b/>
      <sz val="12"/>
      <color rgb="FFFF0000"/>
      <name val="Times New Roman"/>
      <family val="1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FF0000"/>
      <name val="Times New Roman"/>
      <family val="1"/>
    </font>
    <font>
      <sz val="10"/>
      <name val="Arial"/>
      <family val="2"/>
      <charset val="1"/>
    </font>
    <font>
      <sz val="11"/>
      <name val="Calibri"/>
      <family val="2"/>
    </font>
    <font>
      <sz val="11"/>
      <color rgb="FF000000"/>
      <name val="Calibri"/>
      <family val="2"/>
      <charset val="1"/>
    </font>
    <font>
      <sz val="10"/>
      <name val="Courier"/>
      <family val="3"/>
    </font>
    <font>
      <u/>
      <sz val="12"/>
      <name val="Times New Roman"/>
      <family val="1"/>
    </font>
    <font>
      <b/>
      <sz val="16"/>
      <color theme="4"/>
      <name val="Times New Roman"/>
      <family val="1"/>
    </font>
    <font>
      <b/>
      <sz val="11"/>
      <color theme="3"/>
      <name val="Calibri"/>
      <family val="2"/>
      <scheme val="minor"/>
    </font>
    <font>
      <b/>
      <sz val="14"/>
      <color theme="3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rgb="FFC00000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3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4"/>
      <color theme="4"/>
      <name val="Times New Roman"/>
      <family val="1"/>
    </font>
    <font>
      <sz val="11"/>
      <color theme="4"/>
      <name val="Times New Roman"/>
      <family val="1"/>
    </font>
    <font>
      <sz val="11"/>
      <color theme="4"/>
      <name val="Calibri"/>
      <family val="2"/>
      <scheme val="minor"/>
    </font>
    <font>
      <sz val="14"/>
      <color theme="4"/>
      <name val="Calibri"/>
      <family val="2"/>
      <scheme val="minor"/>
    </font>
    <font>
      <sz val="14"/>
      <color theme="4"/>
      <name val="Times New Roman"/>
      <family val="1"/>
    </font>
    <font>
      <b/>
      <u/>
      <sz val="14"/>
      <color theme="4"/>
      <name val="Times New Roman"/>
      <family val="1"/>
    </font>
    <font>
      <b/>
      <sz val="14"/>
      <color theme="0"/>
      <name val="Calibri"/>
      <family val="2"/>
      <scheme val="minor"/>
    </font>
    <font>
      <b/>
      <sz val="9"/>
      <name val="Calibri"/>
      <family val="2"/>
      <scheme val="minor"/>
    </font>
    <font>
      <b/>
      <sz val="20"/>
      <name val="Times New Roman"/>
      <family val="1"/>
    </font>
    <font>
      <sz val="12"/>
      <name val="Calibri"/>
      <family val="2"/>
    </font>
    <font>
      <b/>
      <sz val="12"/>
      <name val="Calibri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26"/>
      <name val="Calibri"/>
      <family val="2"/>
      <scheme val="minor"/>
    </font>
    <font>
      <sz val="14"/>
      <name val="Calibri"/>
      <family val="2"/>
    </font>
    <font>
      <b/>
      <u/>
      <sz val="14"/>
      <name val="Calibri"/>
      <family val="2"/>
      <scheme val="minor"/>
    </font>
    <font>
      <sz val="10"/>
      <name val="Arial"/>
      <family val="2"/>
    </font>
    <font>
      <b/>
      <sz val="14"/>
      <color rgb="FF000000"/>
      <name val="Times New Roman"/>
      <family val="1"/>
    </font>
    <font>
      <b/>
      <sz val="28"/>
      <name val="Calibri"/>
      <family val="2"/>
      <scheme val="minor"/>
    </font>
    <font>
      <b/>
      <sz val="20"/>
      <color rgb="FFFF6699"/>
      <name val="Times New Roman"/>
      <family val="1"/>
    </font>
    <font>
      <b/>
      <sz val="18"/>
      <color rgb="FFFF6699"/>
      <name val="Times New Roman"/>
      <family val="1"/>
    </font>
    <font>
      <b/>
      <sz val="14"/>
      <color rgb="FFFF0000"/>
      <name val="Calibri"/>
      <family val="2"/>
      <scheme val="minor"/>
    </font>
    <font>
      <b/>
      <sz val="28"/>
      <name val="Times New Roman"/>
      <family val="1"/>
    </font>
    <font>
      <u/>
      <sz val="14"/>
      <color theme="1"/>
      <name val="Times New Roman"/>
      <family val="1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indexed="81"/>
      <name val="Tahoma"/>
      <family val="2"/>
    </font>
    <font>
      <b/>
      <sz val="12"/>
      <color indexed="81"/>
      <name val="Tahoma"/>
      <family val="2"/>
    </font>
    <font>
      <b/>
      <sz val="11"/>
      <color indexed="81"/>
      <name val="Tahoma"/>
      <family val="2"/>
    </font>
    <font>
      <b/>
      <sz val="14"/>
      <color indexed="81"/>
      <name val="Tahoma"/>
      <family val="2"/>
    </font>
    <font>
      <b/>
      <sz val="12"/>
      <name val="Arial"/>
      <family val="2"/>
    </font>
    <font>
      <b/>
      <i/>
      <sz val="11"/>
      <color rgb="FFC00000"/>
      <name val="Calibri"/>
      <family val="2"/>
      <scheme val="minor"/>
    </font>
    <font>
      <b/>
      <i/>
      <sz val="12"/>
      <color rgb="FFC00000"/>
      <name val="Times New Roman"/>
      <family val="1"/>
    </font>
    <font>
      <b/>
      <i/>
      <sz val="16"/>
      <color rgb="FFC00000"/>
      <name val="Times New Roman"/>
      <family val="1"/>
    </font>
    <font>
      <sz val="16"/>
      <color rgb="FF000000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Calibri"/>
      <family val="2"/>
    </font>
  </fonts>
  <fills count="5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7"/>
      </patternFill>
    </fill>
    <fill>
      <patternFill patternType="solid">
        <fgColor indexed="47"/>
        <bgColor indexed="31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6BCF6"/>
        <bgColor indexed="64"/>
      </patternFill>
    </fill>
    <fill>
      <patternFill patternType="solid">
        <fgColor rgb="FF92D050"/>
        <bgColor indexed="64"/>
      </patternFill>
    </fill>
  </fills>
  <borders count="1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ck">
        <color auto="1"/>
      </top>
      <bottom style="thin">
        <color indexed="64"/>
      </bottom>
      <diagonal/>
    </border>
    <border>
      <left/>
      <right style="thick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/>
      <diagonal/>
    </border>
    <border>
      <left/>
      <right style="thick">
        <color auto="1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ck">
        <color auto="1"/>
      </top>
      <bottom style="thin">
        <color indexed="64"/>
      </bottom>
      <diagonal/>
    </border>
    <border>
      <left/>
      <right style="medium">
        <color indexed="64"/>
      </right>
      <top style="thick">
        <color auto="1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</borders>
  <cellStyleXfs count="412">
    <xf numFmtId="0" fontId="0" fillId="0" borderId="0"/>
    <xf numFmtId="167" fontId="1" fillId="0" borderId="0" applyBorder="0"/>
    <xf numFmtId="167" fontId="2" fillId="0" borderId="0" applyBorder="0"/>
    <xf numFmtId="167" fontId="2" fillId="0" borderId="0" applyBorder="0"/>
    <xf numFmtId="167" fontId="2" fillId="0" borderId="0" applyBorder="0"/>
    <xf numFmtId="167" fontId="2" fillId="0" borderId="0" applyBorder="0"/>
    <xf numFmtId="167" fontId="2" fillId="0" borderId="0" applyBorder="0"/>
    <xf numFmtId="0" fontId="58" fillId="0" borderId="0"/>
    <xf numFmtId="0" fontId="58" fillId="0" borderId="0"/>
    <xf numFmtId="43" fontId="13" fillId="0" borderId="0" applyFont="0" applyFill="0" applyBorder="0" applyAlignment="0" applyProtection="0"/>
    <xf numFmtId="0" fontId="58" fillId="0" borderId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167" fontId="1" fillId="0" borderId="0" applyBorder="0"/>
    <xf numFmtId="0" fontId="13" fillId="0" borderId="0"/>
    <xf numFmtId="167" fontId="1" fillId="0" borderId="0" applyBorder="0"/>
    <xf numFmtId="167" fontId="1" fillId="0" borderId="0" applyBorder="0"/>
    <xf numFmtId="167" fontId="1" fillId="0" borderId="0" applyBorder="0"/>
    <xf numFmtId="167" fontId="1" fillId="0" borderId="0" applyBorder="0"/>
    <xf numFmtId="0" fontId="58" fillId="0" borderId="0"/>
    <xf numFmtId="9" fontId="58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13" fillId="0" borderId="0" applyFont="0" applyFill="0" applyBorder="0" applyAlignment="0" applyProtection="0"/>
    <xf numFmtId="167" fontId="71" fillId="0" borderId="0"/>
    <xf numFmtId="167" fontId="1" fillId="0" borderId="0"/>
    <xf numFmtId="167" fontId="1" fillId="0" borderId="0"/>
    <xf numFmtId="0" fontId="13" fillId="0" borderId="0"/>
    <xf numFmtId="0" fontId="58" fillId="0" borderId="0"/>
    <xf numFmtId="0" fontId="58" fillId="0" borderId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4" fillId="12" borderId="0" applyNumberFormat="0" applyBorder="0" applyAlignment="0" applyProtection="0"/>
    <xf numFmtId="0" fontId="74" fillId="12" borderId="0" applyNumberFormat="0" applyBorder="0" applyAlignment="0" applyProtection="0"/>
    <xf numFmtId="0" fontId="75" fillId="29" borderId="118" applyNumberFormat="0" applyAlignment="0" applyProtection="0"/>
    <xf numFmtId="0" fontId="75" fillId="29" borderId="118" applyNumberFormat="0" applyAlignment="0" applyProtection="0"/>
    <xf numFmtId="0" fontId="76" fillId="30" borderId="119" applyNumberFormat="0" applyAlignment="0" applyProtection="0"/>
    <xf numFmtId="0" fontId="76" fillId="30" borderId="119" applyNumberFormat="0" applyAlignment="0" applyProtection="0"/>
    <xf numFmtId="0" fontId="58" fillId="0" borderId="0" applyFont="0" applyFill="0" applyBorder="0" applyAlignment="0" applyProtection="0"/>
    <xf numFmtId="44" fontId="58" fillId="0" borderId="0" applyFon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8" fillId="13" borderId="0" applyNumberFormat="0" applyBorder="0" applyAlignment="0" applyProtection="0"/>
    <xf numFmtId="0" fontId="78" fillId="13" borderId="0" applyNumberFormat="0" applyBorder="0" applyAlignment="0" applyProtection="0"/>
    <xf numFmtId="0" fontId="79" fillId="0" borderId="120" applyNumberFormat="0" applyFill="0" applyAlignment="0" applyProtection="0"/>
    <xf numFmtId="0" fontId="79" fillId="0" borderId="120" applyNumberFormat="0" applyFill="0" applyAlignment="0" applyProtection="0"/>
    <xf numFmtId="0" fontId="80" fillId="0" borderId="121" applyNumberFormat="0" applyFill="0" applyAlignment="0" applyProtection="0"/>
    <xf numFmtId="0" fontId="80" fillId="0" borderId="121" applyNumberFormat="0" applyFill="0" applyAlignment="0" applyProtection="0"/>
    <xf numFmtId="0" fontId="81" fillId="0" borderId="122" applyNumberFormat="0" applyFill="0" applyAlignment="0" applyProtection="0"/>
    <xf numFmtId="0" fontId="81" fillId="0" borderId="122" applyNumberFormat="0" applyFill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2" fillId="0" borderId="0" applyNumberFormat="0" applyFill="0" applyBorder="0" applyAlignment="0" applyProtection="0">
      <alignment vertical="top"/>
      <protection locked="0"/>
    </xf>
    <xf numFmtId="0" fontId="83" fillId="16" borderId="118" applyNumberFormat="0" applyAlignment="0" applyProtection="0"/>
    <xf numFmtId="0" fontId="83" fillId="16" borderId="118" applyNumberFormat="0" applyAlignment="0" applyProtection="0"/>
    <xf numFmtId="0" fontId="84" fillId="0" borderId="123" applyNumberFormat="0" applyFill="0" applyAlignment="0" applyProtection="0"/>
    <xf numFmtId="0" fontId="84" fillId="0" borderId="123" applyNumberFormat="0" applyFill="0" applyAlignment="0" applyProtection="0"/>
    <xf numFmtId="0" fontId="85" fillId="31" borderId="0" applyNumberFormat="0" applyBorder="0" applyAlignment="0" applyProtection="0"/>
    <xf numFmtId="0" fontId="85" fillId="31" borderId="0" applyNumberFormat="0" applyBorder="0" applyAlignment="0" applyProtection="0"/>
    <xf numFmtId="0" fontId="58" fillId="0" borderId="0"/>
    <xf numFmtId="0" fontId="58" fillId="0" borderId="0"/>
    <xf numFmtId="0" fontId="58" fillId="0" borderId="0">
      <alignment horizontal="left"/>
    </xf>
    <xf numFmtId="0" fontId="58" fillId="0" borderId="0"/>
    <xf numFmtId="167" fontId="1" fillId="0" borderId="0" applyBorder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167" fontId="1" fillId="0" borderId="0" applyBorder="0"/>
    <xf numFmtId="167" fontId="1" fillId="0" borderId="0" applyBorder="0"/>
    <xf numFmtId="167" fontId="1" fillId="0" borderId="0" applyBorder="0"/>
    <xf numFmtId="167" fontId="1" fillId="0" borderId="0" applyBorder="0"/>
    <xf numFmtId="167" fontId="1" fillId="0" borderId="0" applyBorder="0"/>
    <xf numFmtId="0" fontId="58" fillId="0" borderId="0"/>
    <xf numFmtId="0" fontId="58" fillId="0" borderId="0"/>
    <xf numFmtId="0" fontId="58" fillId="0" borderId="0"/>
    <xf numFmtId="167" fontId="1" fillId="0" borderId="0" applyBorder="0"/>
    <xf numFmtId="167" fontId="1" fillId="0" borderId="0" applyBorder="0"/>
    <xf numFmtId="167" fontId="1" fillId="0" borderId="0" applyBorder="0"/>
    <xf numFmtId="167" fontId="1" fillId="0" borderId="0" applyBorder="0"/>
    <xf numFmtId="167" fontId="1" fillId="0" borderId="0" applyBorder="0"/>
    <xf numFmtId="167" fontId="1" fillId="0" borderId="0" applyBorder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86" fillId="0" borderId="0"/>
    <xf numFmtId="0" fontId="86" fillId="0" borderId="0"/>
    <xf numFmtId="167" fontId="1" fillId="0" borderId="0" applyBorder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167" fontId="1" fillId="0" borderId="0" applyBorder="0"/>
    <xf numFmtId="167" fontId="1" fillId="0" borderId="0" applyBorder="0"/>
    <xf numFmtId="167" fontId="1" fillId="0" borderId="0" applyBorder="0"/>
    <xf numFmtId="167" fontId="1" fillId="0" borderId="0" applyBorder="0"/>
    <xf numFmtId="0" fontId="86" fillId="0" borderId="0"/>
    <xf numFmtId="0" fontId="86" fillId="0" borderId="0"/>
    <xf numFmtId="167" fontId="1" fillId="0" borderId="0" applyBorder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167" fontId="1" fillId="0" borderId="0" applyBorder="0"/>
    <xf numFmtId="167" fontId="1" fillId="0" borderId="0" applyBorder="0"/>
    <xf numFmtId="167" fontId="1" fillId="0" borderId="0" applyBorder="0"/>
    <xf numFmtId="167" fontId="1" fillId="0" borderId="0" applyBorder="0"/>
    <xf numFmtId="0" fontId="58" fillId="0" borderId="0"/>
    <xf numFmtId="167" fontId="1" fillId="0" borderId="0" applyBorder="0"/>
    <xf numFmtId="167" fontId="1" fillId="0" borderId="0" applyBorder="0"/>
    <xf numFmtId="167" fontId="1" fillId="0" borderId="0" applyBorder="0"/>
    <xf numFmtId="167" fontId="1" fillId="0" borderId="0" applyBorder="0"/>
    <xf numFmtId="167" fontId="1" fillId="0" borderId="0" applyBorder="0"/>
    <xf numFmtId="0" fontId="13" fillId="0" borderId="0"/>
    <xf numFmtId="167" fontId="1" fillId="0" borderId="0" applyBorder="0"/>
    <xf numFmtId="167" fontId="1" fillId="0" borderId="0" applyBorder="0"/>
    <xf numFmtId="167" fontId="1" fillId="0" borderId="0" applyBorder="0"/>
    <xf numFmtId="167" fontId="1" fillId="0" borderId="0" applyBorder="0"/>
    <xf numFmtId="167" fontId="1" fillId="0" borderId="0" applyBorder="0"/>
    <xf numFmtId="0" fontId="13" fillId="0" borderId="0"/>
    <xf numFmtId="0" fontId="8" fillId="32" borderId="124" applyNumberFormat="0" applyFont="0" applyAlignment="0" applyProtection="0"/>
    <xf numFmtId="0" fontId="58" fillId="32" borderId="124" applyNumberFormat="0" applyFont="0" applyAlignment="0" applyProtection="0"/>
    <xf numFmtId="0" fontId="87" fillId="29" borderId="125" applyNumberFormat="0" applyAlignment="0" applyProtection="0"/>
    <xf numFmtId="0" fontId="87" fillId="29" borderId="125" applyNumberFormat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9" fillId="0" borderId="126" applyNumberFormat="0" applyFill="0" applyAlignment="0" applyProtection="0"/>
    <xf numFmtId="0" fontId="89" fillId="0" borderId="126" applyNumberFormat="0" applyFill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5" fillId="0" borderId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8" fontId="106" fillId="0" borderId="0" applyBorder="0" applyProtection="0"/>
    <xf numFmtId="0" fontId="79" fillId="0" borderId="127" applyNumberFormat="0" applyFill="0" applyAlignment="0" applyProtection="0"/>
    <xf numFmtId="0" fontId="79" fillId="0" borderId="127" applyNumberFormat="0" applyFill="0" applyAlignment="0" applyProtection="0"/>
    <xf numFmtId="0" fontId="80" fillId="0" borderId="128" applyNumberFormat="0" applyFill="0" applyAlignment="0" applyProtection="0"/>
    <xf numFmtId="0" fontId="80" fillId="0" borderId="128" applyNumberFormat="0" applyFill="0" applyAlignment="0" applyProtection="0"/>
    <xf numFmtId="0" fontId="58" fillId="0" borderId="0"/>
    <xf numFmtId="0" fontId="5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13" fillId="0" borderId="0"/>
    <xf numFmtId="0" fontId="13" fillId="0" borderId="0"/>
    <xf numFmtId="0" fontId="13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7" fontId="1" fillId="0" borderId="0" applyBorder="0"/>
    <xf numFmtId="167" fontId="1" fillId="0" borderId="0" applyBorder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107" fillId="0" borderId="0" applyNumberFormat="0" applyFill="0" applyBorder="0" applyAlignment="0" applyProtection="0"/>
    <xf numFmtId="0" fontId="114" fillId="36" borderId="0" applyNumberFormat="0" applyBorder="0" applyAlignment="0" applyProtection="0"/>
    <xf numFmtId="0" fontId="114" fillId="37" borderId="0" applyNumberFormat="0" applyBorder="0" applyAlignment="0" applyProtection="0"/>
    <xf numFmtId="0" fontId="115" fillId="38" borderId="0" applyNumberFormat="0" applyBorder="0" applyAlignment="0" applyProtection="0"/>
    <xf numFmtId="0" fontId="115" fillId="0" borderId="0" applyNumberFormat="0" applyFill="0" applyBorder="0" applyAlignment="0" applyProtection="0"/>
    <xf numFmtId="0" fontId="116" fillId="39" borderId="0" applyNumberFormat="0" applyBorder="0" applyAlignment="0" applyProtection="0"/>
    <xf numFmtId="0" fontId="117" fillId="40" borderId="0" applyNumberFormat="0" applyBorder="0" applyAlignment="0" applyProtection="0"/>
    <xf numFmtId="0" fontId="118" fillId="0" borderId="0" applyNumberFormat="0" applyFill="0" applyBorder="0" applyAlignment="0" applyProtection="0"/>
    <xf numFmtId="0" fontId="119" fillId="41" borderId="0" applyNumberFormat="0" applyBorder="0" applyAlignment="0" applyProtection="0"/>
    <xf numFmtId="0" fontId="12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2" fillId="42" borderId="0" applyNumberFormat="0" applyBorder="0" applyAlignment="0" applyProtection="0"/>
    <xf numFmtId="0" fontId="123" fillId="42" borderId="118" applyNumberFormat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131" fillId="0" borderId="0"/>
    <xf numFmtId="0" fontId="13" fillId="0" borderId="0"/>
    <xf numFmtId="0" fontId="132" fillId="0" borderId="0">
      <alignment vertical="center"/>
    </xf>
    <xf numFmtId="0" fontId="13" fillId="0" borderId="0"/>
    <xf numFmtId="0" fontId="13" fillId="0" borderId="0"/>
    <xf numFmtId="0" fontId="132" fillId="0" borderId="0">
      <protection locked="0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3" fillId="0" borderId="0"/>
    <xf numFmtId="0" fontId="13" fillId="0" borderId="0"/>
    <xf numFmtId="43" fontId="8" fillId="0" borderId="0" applyFont="0" applyFill="0" applyBorder="0" applyAlignment="0" applyProtection="0"/>
    <xf numFmtId="167" fontId="1" fillId="0" borderId="0" applyBorder="0"/>
    <xf numFmtId="167" fontId="1" fillId="0" borderId="0" applyBorder="0"/>
    <xf numFmtId="167" fontId="1" fillId="0" borderId="0" applyBorder="0"/>
    <xf numFmtId="0" fontId="58" fillId="0" borderId="0"/>
    <xf numFmtId="167" fontId="1" fillId="0" borderId="0"/>
    <xf numFmtId="167" fontId="1" fillId="0" borderId="0"/>
    <xf numFmtId="0" fontId="79" fillId="0" borderId="129" applyNumberFormat="0" applyFill="0" applyAlignment="0" applyProtection="0"/>
    <xf numFmtId="0" fontId="79" fillId="0" borderId="129" applyNumberFormat="0" applyFill="0" applyAlignment="0" applyProtection="0"/>
    <xf numFmtId="0" fontId="80" fillId="0" borderId="130" applyNumberFormat="0" applyFill="0" applyAlignment="0" applyProtection="0"/>
    <xf numFmtId="0" fontId="80" fillId="0" borderId="130" applyNumberFormat="0" applyFill="0" applyAlignment="0" applyProtection="0"/>
    <xf numFmtId="167" fontId="1" fillId="0" borderId="0" applyBorder="0"/>
    <xf numFmtId="0" fontId="79" fillId="0" borderId="129" applyNumberFormat="0" applyFill="0" applyAlignment="0" applyProtection="0"/>
    <xf numFmtId="0" fontId="79" fillId="0" borderId="129" applyNumberFormat="0" applyFill="0" applyAlignment="0" applyProtection="0"/>
    <xf numFmtId="0" fontId="80" fillId="0" borderId="130" applyNumberFormat="0" applyFill="0" applyAlignment="0" applyProtection="0"/>
    <xf numFmtId="0" fontId="80" fillId="0" borderId="130" applyNumberFormat="0" applyFill="0" applyAlignment="0" applyProtection="0"/>
    <xf numFmtId="0" fontId="13" fillId="0" borderId="0"/>
    <xf numFmtId="44" fontId="8" fillId="0" borderId="0" applyFont="0" applyFill="0" applyBorder="0" applyAlignment="0" applyProtection="0"/>
    <xf numFmtId="0" fontId="133" fillId="0" borderId="0"/>
    <xf numFmtId="0" fontId="14" fillId="0" borderId="0"/>
    <xf numFmtId="0" fontId="58" fillId="0" borderId="0"/>
    <xf numFmtId="167" fontId="1" fillId="0" borderId="0"/>
    <xf numFmtId="167" fontId="1" fillId="0" borderId="0"/>
    <xf numFmtId="0" fontId="13" fillId="0" borderId="0"/>
    <xf numFmtId="165" fontId="8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133" fillId="0" borderId="0"/>
    <xf numFmtId="0" fontId="58" fillId="0" borderId="0"/>
    <xf numFmtId="167" fontId="1" fillId="0" borderId="0" applyBorder="0"/>
    <xf numFmtId="167" fontId="1" fillId="0" borderId="0" applyBorder="0"/>
    <xf numFmtId="167" fontId="1" fillId="0" borderId="0" applyBorder="0"/>
    <xf numFmtId="0" fontId="58" fillId="0" borderId="0" applyFont="0" applyFill="0" applyBorder="0" applyAlignment="0" applyProtection="0"/>
    <xf numFmtId="44" fontId="58" fillId="0" borderId="0" applyFont="0" applyFill="0" applyBorder="0" applyAlignment="0" applyProtection="0"/>
    <xf numFmtId="0" fontId="79" fillId="0" borderId="131" applyNumberFormat="0" applyFill="0" applyAlignment="0" applyProtection="0"/>
    <xf numFmtId="0" fontId="79" fillId="0" borderId="131" applyNumberFormat="0" applyFill="0" applyAlignment="0" applyProtection="0"/>
    <xf numFmtId="0" fontId="80" fillId="0" borderId="132" applyNumberFormat="0" applyFill="0" applyAlignment="0" applyProtection="0"/>
    <xf numFmtId="0" fontId="80" fillId="0" borderId="132" applyNumberFormat="0" applyFill="0" applyAlignment="0" applyProtection="0"/>
    <xf numFmtId="0" fontId="75" fillId="29" borderId="118" applyNumberFormat="0" applyAlignment="0" applyProtection="0"/>
    <xf numFmtId="0" fontId="75" fillId="29" borderId="118" applyNumberFormat="0" applyAlignment="0" applyProtection="0"/>
    <xf numFmtId="0" fontId="83" fillId="16" borderId="118" applyNumberFormat="0" applyAlignment="0" applyProtection="0"/>
    <xf numFmtId="0" fontId="83" fillId="16" borderId="118" applyNumberFormat="0" applyAlignment="0" applyProtection="0"/>
    <xf numFmtId="0" fontId="8" fillId="32" borderId="124" applyNumberFormat="0" applyFont="0" applyAlignment="0" applyProtection="0"/>
    <xf numFmtId="0" fontId="58" fillId="32" borderId="124" applyNumberFormat="0" applyFont="0" applyAlignment="0" applyProtection="0"/>
    <xf numFmtId="0" fontId="87" fillId="29" borderId="125" applyNumberFormat="0" applyAlignment="0" applyProtection="0"/>
    <xf numFmtId="0" fontId="87" fillId="29" borderId="125" applyNumberFormat="0" applyAlignment="0" applyProtection="0"/>
    <xf numFmtId="0" fontId="89" fillId="0" borderId="126" applyNumberFormat="0" applyFill="0" applyAlignment="0" applyProtection="0"/>
    <xf numFmtId="0" fontId="89" fillId="0" borderId="126" applyNumberFormat="0" applyFill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75" fillId="29" borderId="118" applyNumberFormat="0" applyAlignment="0" applyProtection="0"/>
    <xf numFmtId="0" fontId="75" fillId="29" borderId="118" applyNumberFormat="0" applyAlignment="0" applyProtection="0"/>
    <xf numFmtId="0" fontId="83" fillId="16" borderId="118" applyNumberFormat="0" applyAlignment="0" applyProtection="0"/>
    <xf numFmtId="0" fontId="83" fillId="16" borderId="118" applyNumberFormat="0" applyAlignment="0" applyProtection="0"/>
    <xf numFmtId="0" fontId="8" fillId="32" borderId="124" applyNumberFormat="0" applyFont="0" applyAlignment="0" applyProtection="0"/>
    <xf numFmtId="0" fontId="58" fillId="32" borderId="124" applyNumberFormat="0" applyFont="0" applyAlignment="0" applyProtection="0"/>
    <xf numFmtId="0" fontId="87" fillId="29" borderId="125" applyNumberFormat="0" applyAlignment="0" applyProtection="0"/>
    <xf numFmtId="0" fontId="87" fillId="29" borderId="125" applyNumberFormat="0" applyAlignment="0" applyProtection="0"/>
    <xf numFmtId="0" fontId="89" fillId="0" borderId="126" applyNumberFormat="0" applyFill="0" applyAlignment="0" applyProtection="0"/>
    <xf numFmtId="0" fontId="89" fillId="0" borderId="126" applyNumberFormat="0" applyFill="0" applyAlignment="0" applyProtection="0"/>
    <xf numFmtId="0" fontId="68" fillId="0" borderId="0"/>
    <xf numFmtId="0" fontId="79" fillId="0" borderId="131" applyNumberFormat="0" applyFill="0" applyAlignment="0" applyProtection="0"/>
    <xf numFmtId="0" fontId="79" fillId="0" borderId="131" applyNumberFormat="0" applyFill="0" applyAlignment="0" applyProtection="0"/>
    <xf numFmtId="0" fontId="80" fillId="0" borderId="132" applyNumberFormat="0" applyFill="0" applyAlignment="0" applyProtection="0"/>
    <xf numFmtId="0" fontId="80" fillId="0" borderId="132" applyNumberFormat="0" applyFill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79" fillId="0" borderId="131" applyNumberFormat="0" applyFill="0" applyAlignment="0" applyProtection="0"/>
    <xf numFmtId="0" fontId="79" fillId="0" borderId="131" applyNumberFormat="0" applyFill="0" applyAlignment="0" applyProtection="0"/>
    <xf numFmtId="0" fontId="80" fillId="0" borderId="132" applyNumberFormat="0" applyFill="0" applyAlignment="0" applyProtection="0"/>
    <xf numFmtId="0" fontId="80" fillId="0" borderId="132" applyNumberFormat="0" applyFill="0" applyAlignment="0" applyProtection="0"/>
    <xf numFmtId="0" fontId="58" fillId="0" borderId="0"/>
    <xf numFmtId="0" fontId="8" fillId="0" borderId="0"/>
    <xf numFmtId="167" fontId="134" fillId="0" borderId="0"/>
    <xf numFmtId="0" fontId="145" fillId="0" borderId="0"/>
    <xf numFmtId="0" fontId="162" fillId="0" borderId="0"/>
    <xf numFmtId="165" fontId="58" fillId="0" borderId="0" applyFont="0" applyFill="0" applyBorder="0" applyAlignment="0" applyProtection="0"/>
    <xf numFmtId="173" fontId="58" fillId="0" borderId="0" applyFont="0" applyFill="0" applyBorder="0" applyAlignment="0" applyProtection="0"/>
    <xf numFmtId="174" fontId="5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58" fillId="0" borderId="0" applyFont="0" applyFill="0" applyBorder="0" applyAlignment="0" applyProtection="0"/>
    <xf numFmtId="0" fontId="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13" fillId="0" borderId="0"/>
  </cellStyleXfs>
  <cellXfs count="5476">
    <xf numFmtId="0" fontId="0" fillId="0" borderId="0" xfId="0"/>
    <xf numFmtId="0" fontId="24" fillId="0" borderId="7" xfId="0" applyFont="1" applyBorder="1" applyAlignment="1">
      <alignment vertical="center"/>
    </xf>
    <xf numFmtId="0" fontId="0" fillId="0" borderId="31" xfId="0" applyBorder="1"/>
    <xf numFmtId="0" fontId="32" fillId="0" borderId="31" xfId="0" applyFont="1" applyBorder="1" applyAlignment="1">
      <alignment vertical="center"/>
    </xf>
    <xf numFmtId="0" fontId="32" fillId="0" borderId="31" xfId="0" applyFont="1" applyBorder="1" applyAlignment="1">
      <alignment horizontal="right" vertical="center"/>
    </xf>
    <xf numFmtId="0" fontId="15" fillId="0" borderId="0" xfId="0" applyFont="1"/>
    <xf numFmtId="0" fontId="33" fillId="0" borderId="28" xfId="0" applyFont="1" applyBorder="1" applyAlignment="1">
      <alignment horizontal="center" vertical="center"/>
    </xf>
    <xf numFmtId="0" fontId="33" fillId="0" borderId="26" xfId="0" applyFont="1" applyBorder="1" applyAlignment="1">
      <alignment horizontal="center" vertical="center"/>
    </xf>
    <xf numFmtId="0" fontId="15" fillId="0" borderId="48" xfId="0" applyFont="1" applyBorder="1" applyAlignment="1">
      <alignment horizontal="center" vertical="center"/>
    </xf>
    <xf numFmtId="0" fontId="15" fillId="0" borderId="31" xfId="0" applyFont="1" applyBorder="1"/>
    <xf numFmtId="0" fontId="15" fillId="0" borderId="37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65" xfId="0" applyFont="1" applyBorder="1" applyAlignment="1">
      <alignment horizontal="center" vertical="center"/>
    </xf>
    <xf numFmtId="0" fontId="15" fillId="0" borderId="63" xfId="0" applyFont="1" applyBorder="1"/>
    <xf numFmtId="0" fontId="15" fillId="0" borderId="66" xfId="0" applyFont="1" applyBorder="1" applyAlignment="1">
      <alignment horizontal="center" vertical="center"/>
    </xf>
    <xf numFmtId="0" fontId="15" fillId="0" borderId="42" xfId="0" applyFont="1" applyBorder="1" applyAlignment="1">
      <alignment horizontal="center" vertical="center"/>
    </xf>
    <xf numFmtId="0" fontId="15" fillId="0" borderId="32" xfId="0" applyFont="1" applyBorder="1"/>
    <xf numFmtId="0" fontId="32" fillId="0" borderId="62" xfId="0" applyFont="1" applyBorder="1" applyAlignment="1">
      <alignment vertical="center"/>
    </xf>
    <xf numFmtId="0" fontId="32" fillId="0" borderId="34" xfId="0" applyFont="1" applyBorder="1" applyAlignment="1">
      <alignment vertical="center"/>
    </xf>
    <xf numFmtId="0" fontId="15" fillId="0" borderId="33" xfId="0" applyFont="1" applyBorder="1" applyAlignment="1">
      <alignment horizontal="center" vertical="center"/>
    </xf>
    <xf numFmtId="0" fontId="33" fillId="0" borderId="17" xfId="0" applyFont="1" applyBorder="1" applyAlignment="1">
      <alignment horizontal="center" vertical="center"/>
    </xf>
    <xf numFmtId="0" fontId="26" fillId="0" borderId="62" xfId="0" applyFont="1" applyBorder="1" applyAlignment="1">
      <alignment horizontal="right" vertical="center" wrapText="1"/>
    </xf>
    <xf numFmtId="0" fontId="24" fillId="0" borderId="1" xfId="0" applyFont="1" applyBorder="1" applyAlignment="1">
      <alignment horizontal="right" vertical="center"/>
    </xf>
    <xf numFmtId="0" fontId="26" fillId="0" borderId="34" xfId="0" applyFont="1" applyBorder="1" applyAlignment="1">
      <alignment horizontal="left" vertical="center" wrapText="1"/>
    </xf>
    <xf numFmtId="0" fontId="36" fillId="0" borderId="24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26" fillId="0" borderId="31" xfId="0" applyFont="1" applyBorder="1" applyAlignment="1">
      <alignment horizontal="right" vertical="center"/>
    </xf>
    <xf numFmtId="0" fontId="26" fillId="0" borderId="34" xfId="0" applyFont="1" applyBorder="1" applyAlignment="1">
      <alignment vertical="center"/>
    </xf>
    <xf numFmtId="0" fontId="26" fillId="0" borderId="31" xfId="0" applyFont="1" applyBorder="1" applyAlignment="1">
      <alignment vertical="center"/>
    </xf>
    <xf numFmtId="0" fontId="17" fillId="0" borderId="1" xfId="0" applyFont="1" applyBorder="1"/>
    <xf numFmtId="0" fontId="24" fillId="0" borderId="34" xfId="0" applyFont="1" applyBorder="1" applyAlignment="1">
      <alignment vertical="center"/>
    </xf>
    <xf numFmtId="0" fontId="26" fillId="0" borderId="32" xfId="0" applyFont="1" applyBorder="1" applyAlignment="1">
      <alignment vertical="center"/>
    </xf>
    <xf numFmtId="0" fontId="24" fillId="0" borderId="1" xfId="0" applyFont="1" applyBorder="1" applyAlignment="1">
      <alignment vertical="center"/>
    </xf>
    <xf numFmtId="0" fontId="26" fillId="0" borderId="17" xfId="0" applyFont="1" applyBorder="1" applyAlignment="1">
      <alignment horizontal="center" vertical="center"/>
    </xf>
    <xf numFmtId="0" fontId="26" fillId="0" borderId="72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6" fillId="0" borderId="53" xfId="0" applyFont="1" applyBorder="1" applyAlignment="1">
      <alignment horizontal="center" vertical="center"/>
    </xf>
    <xf numFmtId="0" fontId="38" fillId="0" borderId="0" xfId="0" applyFont="1"/>
    <xf numFmtId="0" fontId="39" fillId="0" borderId="6" xfId="0" applyFont="1" applyBorder="1" applyAlignment="1">
      <alignment vertical="center"/>
    </xf>
    <xf numFmtId="1" fontId="26" fillId="0" borderId="29" xfId="0" applyNumberFormat="1" applyFont="1" applyBorder="1" applyAlignment="1">
      <alignment horizontal="center" vertical="center"/>
    </xf>
    <xf numFmtId="1" fontId="26" fillId="0" borderId="17" xfId="0" applyNumberFormat="1" applyFont="1" applyBorder="1" applyAlignment="1">
      <alignment horizontal="center" vertical="center"/>
    </xf>
    <xf numFmtId="2" fontId="27" fillId="0" borderId="17" xfId="0" quotePrefix="1" applyNumberFormat="1" applyFont="1" applyBorder="1" applyAlignment="1">
      <alignment horizontal="center" vertical="center"/>
    </xf>
    <xf numFmtId="2" fontId="27" fillId="0" borderId="72" xfId="0" quotePrefix="1" applyNumberFormat="1" applyFont="1" applyBorder="1" applyAlignment="1">
      <alignment horizontal="center" vertical="center"/>
    </xf>
    <xf numFmtId="2" fontId="5" fillId="0" borderId="33" xfId="0" quotePrefix="1" applyNumberFormat="1" applyFont="1" applyBorder="1" applyAlignment="1">
      <alignment horizontal="center" vertical="center"/>
    </xf>
    <xf numFmtId="0" fontId="32" fillId="0" borderId="31" xfId="0" applyFont="1" applyBorder="1"/>
    <xf numFmtId="0" fontId="32" fillId="0" borderId="62" xfId="0" applyFont="1" applyBorder="1"/>
    <xf numFmtId="0" fontId="32" fillId="0" borderId="0" xfId="0" applyFont="1"/>
    <xf numFmtId="0" fontId="15" fillId="0" borderId="0" xfId="0" applyFont="1" applyAlignment="1">
      <alignment horizontal="center" vertical="center"/>
    </xf>
    <xf numFmtId="1" fontId="0" fillId="0" borderId="0" xfId="0" applyNumberFormat="1"/>
    <xf numFmtId="0" fontId="27" fillId="0" borderId="34" xfId="0" applyFont="1" applyBorder="1" applyAlignment="1">
      <alignment vertical="center"/>
    </xf>
    <xf numFmtId="1" fontId="26" fillId="0" borderId="37" xfId="0" applyNumberFormat="1" applyFont="1" applyBorder="1" applyAlignment="1">
      <alignment horizontal="center" vertical="center"/>
    </xf>
    <xf numFmtId="1" fontId="26" fillId="0" borderId="65" xfId="0" applyNumberFormat="1" applyFont="1" applyBorder="1" applyAlignment="1">
      <alignment horizontal="center" vertical="center"/>
    </xf>
    <xf numFmtId="1" fontId="24" fillId="0" borderId="4" xfId="0" applyNumberFormat="1" applyFont="1" applyBorder="1" applyAlignment="1">
      <alignment horizontal="center" vertical="center"/>
    </xf>
    <xf numFmtId="1" fontId="24" fillId="0" borderId="67" xfId="0" applyNumberFormat="1" applyFont="1" applyBorder="1" applyAlignment="1">
      <alignment horizontal="center" vertical="center"/>
    </xf>
    <xf numFmtId="1" fontId="26" fillId="0" borderId="53" xfId="0" applyNumberFormat="1" applyFont="1" applyBorder="1" applyAlignment="1">
      <alignment horizontal="center" vertical="center"/>
    </xf>
    <xf numFmtId="166" fontId="24" fillId="0" borderId="11" xfId="0" applyNumberFormat="1" applyFont="1" applyBorder="1" applyAlignment="1">
      <alignment horizontal="center" vertical="center"/>
    </xf>
    <xf numFmtId="1" fontId="24" fillId="0" borderId="11" xfId="0" applyNumberFormat="1" applyFont="1" applyBorder="1" applyAlignment="1">
      <alignment horizontal="center" vertical="center"/>
    </xf>
    <xf numFmtId="1" fontId="26" fillId="0" borderId="48" xfId="0" applyNumberFormat="1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0" fontId="23" fillId="0" borderId="0" xfId="0" applyFont="1"/>
    <xf numFmtId="0" fontId="33" fillId="8" borderId="28" xfId="0" applyFont="1" applyFill="1" applyBorder="1" applyAlignment="1">
      <alignment horizontal="center" vertical="center"/>
    </xf>
    <xf numFmtId="1" fontId="15" fillId="8" borderId="42" xfId="0" applyNumberFormat="1" applyFont="1" applyFill="1" applyBorder="1" applyAlignment="1">
      <alignment horizontal="center" vertical="center"/>
    </xf>
    <xf numFmtId="0" fontId="15" fillId="8" borderId="17" xfId="0" applyFont="1" applyFill="1" applyBorder="1" applyAlignment="1">
      <alignment horizontal="center" vertical="center"/>
    </xf>
    <xf numFmtId="166" fontId="15" fillId="8" borderId="63" xfId="0" applyNumberFormat="1" applyFont="1" applyFill="1" applyBorder="1" applyAlignment="1">
      <alignment horizontal="center" vertical="center"/>
    </xf>
    <xf numFmtId="1" fontId="15" fillId="8" borderId="31" xfId="0" applyNumberFormat="1" applyFont="1" applyFill="1" applyBorder="1" applyAlignment="1">
      <alignment horizontal="center" vertical="center"/>
    </xf>
    <xf numFmtId="1" fontId="15" fillId="8" borderId="17" xfId="0" applyNumberFormat="1" applyFont="1" applyFill="1" applyBorder="1" applyAlignment="1">
      <alignment horizontal="center" vertical="center"/>
    </xf>
    <xf numFmtId="166" fontId="15" fillId="8" borderId="34" xfId="0" applyNumberFormat="1" applyFont="1" applyFill="1" applyBorder="1" applyAlignment="1">
      <alignment horizontal="center" vertical="center"/>
    </xf>
    <xf numFmtId="2" fontId="15" fillId="8" borderId="17" xfId="0" applyNumberFormat="1" applyFont="1" applyFill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168" fontId="26" fillId="0" borderId="33" xfId="0" applyNumberFormat="1" applyFont="1" applyBorder="1" applyAlignment="1">
      <alignment horizontal="center" vertical="center"/>
    </xf>
    <xf numFmtId="1" fontId="15" fillId="8" borderId="63" xfId="0" applyNumberFormat="1" applyFont="1" applyFill="1" applyBorder="1" applyAlignment="1">
      <alignment horizontal="center" vertical="center"/>
    </xf>
    <xf numFmtId="0" fontId="44" fillId="0" borderId="6" xfId="0" applyFont="1" applyBorder="1" applyAlignment="1">
      <alignment vertical="center"/>
    </xf>
    <xf numFmtId="1" fontId="15" fillId="8" borderId="33" xfId="0" applyNumberFormat="1" applyFont="1" applyFill="1" applyBorder="1" applyAlignment="1">
      <alignment horizontal="center" vertical="center"/>
    </xf>
    <xf numFmtId="1" fontId="15" fillId="8" borderId="9" xfId="0" applyNumberFormat="1" applyFont="1" applyFill="1" applyBorder="1" applyAlignment="1">
      <alignment horizontal="center" vertical="center"/>
    </xf>
    <xf numFmtId="0" fontId="39" fillId="0" borderId="90" xfId="0" applyFont="1" applyBorder="1" applyAlignment="1">
      <alignment vertical="center"/>
    </xf>
    <xf numFmtId="0" fontId="27" fillId="0" borderId="99" xfId="0" applyFont="1" applyBorder="1" applyAlignment="1">
      <alignment vertical="center"/>
    </xf>
    <xf numFmtId="0" fontId="27" fillId="0" borderId="101" xfId="0" applyFont="1" applyBorder="1" applyAlignment="1">
      <alignment vertical="center"/>
    </xf>
    <xf numFmtId="0" fontId="24" fillId="0" borderId="102" xfId="0" applyFont="1" applyBorder="1" applyAlignment="1">
      <alignment vertical="center"/>
    </xf>
    <xf numFmtId="0" fontId="5" fillId="0" borderId="90" xfId="0" applyFont="1" applyBorder="1" applyAlignment="1">
      <alignment vertical="center"/>
    </xf>
    <xf numFmtId="0" fontId="26" fillId="0" borderId="99" xfId="0" applyFont="1" applyBorder="1" applyAlignment="1">
      <alignment horizontal="right" vertical="center"/>
    </xf>
    <xf numFmtId="0" fontId="26" fillId="0" borderId="101" xfId="0" applyFont="1" applyBorder="1" applyAlignment="1">
      <alignment horizontal="right" vertical="center"/>
    </xf>
    <xf numFmtId="0" fontId="24" fillId="0" borderId="102" xfId="0" applyFont="1" applyBorder="1" applyAlignment="1">
      <alignment horizontal="right" vertical="center"/>
    </xf>
    <xf numFmtId="0" fontId="5" fillId="0" borderId="112" xfId="0" applyFont="1" applyBorder="1" applyAlignment="1">
      <alignment vertical="center" wrapText="1"/>
    </xf>
    <xf numFmtId="0" fontId="26" fillId="0" borderId="105" xfId="0" applyFont="1" applyBorder="1" applyAlignment="1">
      <alignment vertical="center"/>
    </xf>
    <xf numFmtId="0" fontId="26" fillId="0" borderId="99" xfId="0" applyFont="1" applyBorder="1" applyAlignment="1">
      <alignment vertical="center"/>
    </xf>
    <xf numFmtId="0" fontId="26" fillId="2" borderId="99" xfId="0" applyFont="1" applyFill="1" applyBorder="1" applyAlignment="1">
      <alignment vertical="center"/>
    </xf>
    <xf numFmtId="2" fontId="26" fillId="0" borderId="99" xfId="0" applyNumberFormat="1" applyFont="1" applyBorder="1" applyAlignment="1">
      <alignment horizontal="left" vertical="center"/>
    </xf>
    <xf numFmtId="1" fontId="10" fillId="0" borderId="42" xfId="0" applyNumberFormat="1" applyFont="1" applyBorder="1" applyAlignment="1">
      <alignment horizontal="center" vertical="center"/>
    </xf>
    <xf numFmtId="0" fontId="46" fillId="0" borderId="36" xfId="0" applyFont="1" applyBorder="1" applyAlignment="1">
      <alignment horizontal="center" vertical="center"/>
    </xf>
    <xf numFmtId="0" fontId="36" fillId="0" borderId="106" xfId="0" applyFont="1" applyBorder="1" applyAlignment="1">
      <alignment vertical="center"/>
    </xf>
    <xf numFmtId="0" fontId="24" fillId="0" borderId="73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 vertical="center"/>
    </xf>
    <xf numFmtId="1" fontId="26" fillId="0" borderId="33" xfId="0" applyNumberFormat="1" applyFont="1" applyBorder="1" applyAlignment="1">
      <alignment horizontal="center" vertical="center"/>
    </xf>
    <xf numFmtId="1" fontId="26" fillId="0" borderId="34" xfId="0" applyNumberFormat="1" applyFont="1" applyBorder="1" applyAlignment="1">
      <alignment horizontal="center" vertical="center"/>
    </xf>
    <xf numFmtId="0" fontId="24" fillId="8" borderId="11" xfId="0" applyFont="1" applyFill="1" applyBorder="1" applyAlignment="1">
      <alignment horizontal="center" vertical="center"/>
    </xf>
    <xf numFmtId="1" fontId="26" fillId="8" borderId="17" xfId="0" applyNumberFormat="1" applyFont="1" applyFill="1" applyBorder="1" applyAlignment="1">
      <alignment horizontal="center" vertical="center"/>
    </xf>
    <xf numFmtId="1" fontId="24" fillId="8" borderId="1" xfId="0" applyNumberFormat="1" applyFont="1" applyFill="1" applyBorder="1" applyAlignment="1">
      <alignment horizontal="center" vertical="center"/>
    </xf>
    <xf numFmtId="1" fontId="24" fillId="8" borderId="11" xfId="0" applyNumberFormat="1" applyFont="1" applyFill="1" applyBorder="1" applyAlignment="1">
      <alignment horizontal="center" vertical="center"/>
    </xf>
    <xf numFmtId="166" fontId="24" fillId="8" borderId="11" xfId="0" applyNumberFormat="1" applyFont="1" applyFill="1" applyBorder="1" applyAlignment="1">
      <alignment horizontal="center" vertical="center"/>
    </xf>
    <xf numFmtId="1" fontId="26" fillId="8" borderId="42" xfId="0" applyNumberFormat="1" applyFont="1" applyFill="1" applyBorder="1" applyAlignment="1">
      <alignment horizontal="center" vertical="center"/>
    </xf>
    <xf numFmtId="1" fontId="26" fillId="8" borderId="33" xfId="0" applyNumberFormat="1" applyFont="1" applyFill="1" applyBorder="1" applyAlignment="1">
      <alignment horizontal="center" vertical="center"/>
    </xf>
    <xf numFmtId="1" fontId="15" fillId="8" borderId="73" xfId="0" applyNumberFormat="1" applyFont="1" applyFill="1" applyBorder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48" fillId="0" borderId="0" xfId="0" applyFont="1"/>
    <xf numFmtId="0" fontId="26" fillId="0" borderId="0" xfId="0" applyFont="1"/>
    <xf numFmtId="0" fontId="18" fillId="0" borderId="0" xfId="0" applyFont="1"/>
    <xf numFmtId="0" fontId="29" fillId="0" borderId="0" xfId="0" applyFont="1"/>
    <xf numFmtId="0" fontId="24" fillId="0" borderId="6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25" fillId="0" borderId="37" xfId="0" applyFont="1" applyBorder="1" applyAlignment="1">
      <alignment horizontal="center" vertical="center"/>
    </xf>
    <xf numFmtId="0" fontId="25" fillId="0" borderId="65" xfId="0" applyFont="1" applyBorder="1" applyAlignment="1">
      <alignment horizontal="center" vertical="center"/>
    </xf>
    <xf numFmtId="0" fontId="5" fillId="0" borderId="67" xfId="0" applyFont="1" applyBorder="1" applyAlignment="1">
      <alignment horizontal="center" vertical="center"/>
    </xf>
    <xf numFmtId="0" fontId="25" fillId="0" borderId="48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1" fontId="5" fillId="8" borderId="78" xfId="0" applyNumberFormat="1" applyFont="1" applyFill="1" applyBorder="1" applyAlignment="1">
      <alignment horizontal="center" vertical="center"/>
    </xf>
    <xf numFmtId="0" fontId="49" fillId="0" borderId="24" xfId="0" applyFont="1" applyBorder="1" applyAlignment="1">
      <alignment vertical="center"/>
    </xf>
    <xf numFmtId="166" fontId="26" fillId="0" borderId="29" xfId="0" applyNumberFormat="1" applyFont="1" applyBorder="1" applyAlignment="1">
      <alignment horizontal="center" vertical="center"/>
    </xf>
    <xf numFmtId="166" fontId="26" fillId="0" borderId="37" xfId="0" applyNumberFormat="1" applyFont="1" applyBorder="1" applyAlignment="1">
      <alignment horizontal="center" vertical="center"/>
    </xf>
    <xf numFmtId="166" fontId="26" fillId="8" borderId="31" xfId="0" applyNumberFormat="1" applyFont="1" applyFill="1" applyBorder="1" applyAlignment="1">
      <alignment horizontal="center" vertical="center"/>
    </xf>
    <xf numFmtId="166" fontId="26" fillId="0" borderId="48" xfId="0" applyNumberFormat="1" applyFont="1" applyBorder="1" applyAlignment="1">
      <alignment horizontal="center" vertical="center"/>
    </xf>
    <xf numFmtId="166" fontId="26" fillId="8" borderId="34" xfId="0" applyNumberFormat="1" applyFont="1" applyFill="1" applyBorder="1" applyAlignment="1">
      <alignment horizontal="center" vertical="center"/>
    </xf>
    <xf numFmtId="0" fontId="7" fillId="0" borderId="24" xfId="0" applyFont="1" applyBorder="1" applyAlignment="1">
      <alignment vertical="center"/>
    </xf>
    <xf numFmtId="166" fontId="5" fillId="0" borderId="67" xfId="0" applyNumberFormat="1" applyFont="1" applyBorder="1" applyAlignment="1">
      <alignment horizontal="center" vertical="center"/>
    </xf>
    <xf numFmtId="166" fontId="5" fillId="0" borderId="17" xfId="0" applyNumberFormat="1" applyFont="1" applyBorder="1" applyAlignment="1">
      <alignment horizontal="center" vertical="center"/>
    </xf>
    <xf numFmtId="0" fontId="49" fillId="0" borderId="106" xfId="0" applyFont="1" applyBorder="1" applyAlignment="1">
      <alignment vertical="center"/>
    </xf>
    <xf numFmtId="0" fontId="24" fillId="0" borderId="90" xfId="0" applyFont="1" applyBorder="1" applyAlignment="1">
      <alignment vertical="center"/>
    </xf>
    <xf numFmtId="0" fontId="25" fillId="0" borderId="99" xfId="0" applyFont="1" applyBorder="1" applyAlignment="1">
      <alignment vertical="center"/>
    </xf>
    <xf numFmtId="166" fontId="26" fillId="8" borderId="83" xfId="0" applyNumberFormat="1" applyFont="1" applyFill="1" applyBorder="1" applyAlignment="1">
      <alignment horizontal="center" vertical="center"/>
    </xf>
    <xf numFmtId="0" fontId="25" fillId="0" borderId="101" xfId="0" applyFont="1" applyBorder="1" applyAlignment="1">
      <alignment vertical="center"/>
    </xf>
    <xf numFmtId="0" fontId="5" fillId="0" borderId="102" xfId="0" applyFont="1" applyBorder="1" applyAlignment="1">
      <alignment vertical="center"/>
    </xf>
    <xf numFmtId="0" fontId="25" fillId="0" borderId="105" xfId="0" applyFont="1" applyBorder="1" applyAlignment="1">
      <alignment vertical="center"/>
    </xf>
    <xf numFmtId="0" fontId="5" fillId="0" borderId="99" xfId="0" applyFont="1" applyBorder="1" applyAlignment="1">
      <alignment vertical="center"/>
    </xf>
    <xf numFmtId="166" fontId="5" fillId="8" borderId="83" xfId="0" applyNumberFormat="1" applyFont="1" applyFill="1" applyBorder="1" applyAlignment="1">
      <alignment horizontal="center" vertical="center"/>
    </xf>
    <xf numFmtId="0" fontId="7" fillId="0" borderId="90" xfId="0" applyFont="1" applyBorder="1" applyAlignment="1">
      <alignment vertical="center"/>
    </xf>
    <xf numFmtId="0" fontId="5" fillId="0" borderId="102" xfId="0" applyFont="1" applyBorder="1" applyAlignment="1">
      <alignment horizontal="right" vertical="center"/>
    </xf>
    <xf numFmtId="0" fontId="7" fillId="0" borderId="106" xfId="0" applyFont="1" applyBorder="1" applyAlignment="1">
      <alignment vertical="center"/>
    </xf>
    <xf numFmtId="0" fontId="32" fillId="0" borderId="34" xfId="0" applyFont="1" applyBorder="1"/>
    <xf numFmtId="0" fontId="32" fillId="0" borderId="74" xfId="0" applyFont="1" applyBorder="1"/>
    <xf numFmtId="0" fontId="26" fillId="0" borderId="48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6" fillId="8" borderId="53" xfId="0" applyFont="1" applyFill="1" applyBorder="1" applyAlignment="1">
      <alignment horizontal="center" vertical="center"/>
    </xf>
    <xf numFmtId="1" fontId="26" fillId="8" borderId="31" xfId="0" applyNumberFormat="1" applyFont="1" applyFill="1" applyBorder="1" applyAlignment="1">
      <alignment horizontal="center" vertical="center"/>
    </xf>
    <xf numFmtId="1" fontId="26" fillId="8" borderId="53" xfId="0" applyNumberFormat="1" applyFont="1" applyFill="1" applyBorder="1" applyAlignment="1">
      <alignment horizontal="center" vertical="center"/>
    </xf>
    <xf numFmtId="1" fontId="24" fillId="8" borderId="21" xfId="0" applyNumberFormat="1" applyFont="1" applyFill="1" applyBorder="1" applyAlignment="1">
      <alignment horizontal="center" vertical="center"/>
    </xf>
    <xf numFmtId="166" fontId="27" fillId="8" borderId="11" xfId="0" applyNumberFormat="1" applyFont="1" applyFill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2" fontId="24" fillId="0" borderId="0" xfId="0" applyNumberFormat="1" applyFont="1" applyAlignment="1">
      <alignment horizontal="center" vertical="center"/>
    </xf>
    <xf numFmtId="1" fontId="26" fillId="0" borderId="63" xfId="0" applyNumberFormat="1" applyFont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/>
    </xf>
    <xf numFmtId="1" fontId="26" fillId="8" borderId="50" xfId="0" applyNumberFormat="1" applyFont="1" applyFill="1" applyBorder="1" applyAlignment="1">
      <alignment horizontal="center" vertical="center"/>
    </xf>
    <xf numFmtId="0" fontId="33" fillId="6" borderId="28" xfId="0" applyFont="1" applyFill="1" applyBorder="1" applyAlignment="1">
      <alignment horizontal="center" vertical="center"/>
    </xf>
    <xf numFmtId="0" fontId="15" fillId="6" borderId="17" xfId="0" applyFont="1" applyFill="1" applyBorder="1" applyAlignment="1">
      <alignment horizontal="center" vertical="center"/>
    </xf>
    <xf numFmtId="1" fontId="15" fillId="6" borderId="17" xfId="0" applyNumberFormat="1" applyFont="1" applyFill="1" applyBorder="1" applyAlignment="1">
      <alignment horizontal="center" vertical="center"/>
    </xf>
    <xf numFmtId="1" fontId="15" fillId="6" borderId="63" xfId="0" applyNumberFormat="1" applyFont="1" applyFill="1" applyBorder="1" applyAlignment="1">
      <alignment horizontal="center" vertical="center"/>
    </xf>
    <xf numFmtId="1" fontId="15" fillId="6" borderId="31" xfId="0" applyNumberFormat="1" applyFont="1" applyFill="1" applyBorder="1" applyAlignment="1">
      <alignment horizontal="center" vertical="center"/>
    </xf>
    <xf numFmtId="1" fontId="15" fillId="6" borderId="32" xfId="0" applyNumberFormat="1" applyFont="1" applyFill="1" applyBorder="1" applyAlignment="1">
      <alignment horizontal="center" vertical="center"/>
    </xf>
    <xf numFmtId="1" fontId="24" fillId="6" borderId="11" xfId="0" applyNumberFormat="1" applyFont="1" applyFill="1" applyBorder="1" applyAlignment="1">
      <alignment horizontal="center" vertical="center"/>
    </xf>
    <xf numFmtId="1" fontId="15" fillId="6" borderId="42" xfId="0" applyNumberFormat="1" applyFont="1" applyFill="1" applyBorder="1" applyAlignment="1">
      <alignment horizontal="center" vertical="center"/>
    </xf>
    <xf numFmtId="1" fontId="15" fillId="6" borderId="33" xfId="0" applyNumberFormat="1" applyFont="1" applyFill="1" applyBorder="1" applyAlignment="1">
      <alignment horizontal="center" vertical="center"/>
    </xf>
    <xf numFmtId="1" fontId="26" fillId="6" borderId="29" xfId="0" applyNumberFormat="1" applyFont="1" applyFill="1" applyBorder="1" applyAlignment="1">
      <alignment horizontal="center" vertical="center"/>
    </xf>
    <xf numFmtId="1" fontId="26" fillId="6" borderId="17" xfId="0" applyNumberFormat="1" applyFont="1" applyFill="1" applyBorder="1" applyAlignment="1">
      <alignment horizontal="center" vertical="center"/>
    </xf>
    <xf numFmtId="166" fontId="27" fillId="6" borderId="11" xfId="0" applyNumberFormat="1" applyFont="1" applyFill="1" applyBorder="1" applyAlignment="1">
      <alignment horizontal="center" vertical="center"/>
    </xf>
    <xf numFmtId="0" fontId="24" fillId="6" borderId="11" xfId="0" applyFont="1" applyFill="1" applyBorder="1" applyAlignment="1">
      <alignment horizontal="center" vertical="center"/>
    </xf>
    <xf numFmtId="166" fontId="24" fillId="6" borderId="11" xfId="0" applyNumberFormat="1" applyFont="1" applyFill="1" applyBorder="1" applyAlignment="1">
      <alignment horizontal="center" vertical="center"/>
    </xf>
    <xf numFmtId="1" fontId="26" fillId="6" borderId="31" xfId="0" applyNumberFormat="1" applyFont="1" applyFill="1" applyBorder="1" applyAlignment="1">
      <alignment horizontal="center" vertical="center"/>
    </xf>
    <xf numFmtId="1" fontId="26" fillId="6" borderId="42" xfId="0" applyNumberFormat="1" applyFont="1" applyFill="1" applyBorder="1" applyAlignment="1">
      <alignment horizontal="center" vertical="center"/>
    </xf>
    <xf numFmtId="1" fontId="26" fillId="6" borderId="33" xfId="0" applyNumberFormat="1" applyFont="1" applyFill="1" applyBorder="1" applyAlignment="1">
      <alignment horizontal="center" vertical="center"/>
    </xf>
    <xf numFmtId="1" fontId="15" fillId="6" borderId="73" xfId="0" applyNumberFormat="1" applyFont="1" applyFill="1" applyBorder="1" applyAlignment="1">
      <alignment horizontal="center" vertical="center"/>
    </xf>
    <xf numFmtId="1" fontId="5" fillId="6" borderId="76" xfId="0" applyNumberFormat="1" applyFont="1" applyFill="1" applyBorder="1" applyAlignment="1">
      <alignment horizontal="center" vertical="center"/>
    </xf>
    <xf numFmtId="1" fontId="5" fillId="6" borderId="78" xfId="0" applyNumberFormat="1" applyFont="1" applyFill="1" applyBorder="1" applyAlignment="1">
      <alignment horizontal="center" vertical="center"/>
    </xf>
    <xf numFmtId="166" fontId="26" fillId="6" borderId="31" xfId="0" applyNumberFormat="1" applyFont="1" applyFill="1" applyBorder="1" applyAlignment="1">
      <alignment horizontal="center" vertical="center"/>
    </xf>
    <xf numFmtId="166" fontId="26" fillId="6" borderId="83" xfId="0" applyNumberFormat="1" applyFont="1" applyFill="1" applyBorder="1" applyAlignment="1">
      <alignment horizontal="center" vertical="center"/>
    </xf>
    <xf numFmtId="166" fontId="5" fillId="6" borderId="1" xfId="0" applyNumberFormat="1" applyFont="1" applyFill="1" applyBorder="1" applyAlignment="1">
      <alignment horizontal="center" vertical="center"/>
    </xf>
    <xf numFmtId="166" fontId="5" fillId="6" borderId="103" xfId="0" applyNumberFormat="1" applyFont="1" applyFill="1" applyBorder="1" applyAlignment="1">
      <alignment horizontal="center" vertical="center"/>
    </xf>
    <xf numFmtId="166" fontId="5" fillId="6" borderId="31" xfId="0" applyNumberFormat="1" applyFont="1" applyFill="1" applyBorder="1" applyAlignment="1">
      <alignment horizontal="center" vertical="center"/>
    </xf>
    <xf numFmtId="166" fontId="5" fillId="6" borderId="83" xfId="0" applyNumberFormat="1" applyFont="1" applyFill="1" applyBorder="1" applyAlignment="1">
      <alignment horizontal="center" vertical="center"/>
    </xf>
    <xf numFmtId="0" fontId="40" fillId="0" borderId="24" xfId="0" applyFont="1" applyBorder="1"/>
    <xf numFmtId="1" fontId="26" fillId="0" borderId="61" xfId="0" applyNumberFormat="1" applyFont="1" applyBorder="1" applyAlignment="1">
      <alignment horizontal="center" vertical="center"/>
    </xf>
    <xf numFmtId="2" fontId="26" fillId="0" borderId="17" xfId="0" applyNumberFormat="1" applyFont="1" applyBorder="1" applyAlignment="1">
      <alignment horizontal="center" vertical="center"/>
    </xf>
    <xf numFmtId="2" fontId="26" fillId="8" borderId="31" xfId="0" applyNumberFormat="1" applyFont="1" applyFill="1" applyBorder="1" applyAlignment="1">
      <alignment horizontal="center" vertical="center"/>
    </xf>
    <xf numFmtId="0" fontId="26" fillId="6" borderId="53" xfId="0" applyFont="1" applyFill="1" applyBorder="1" applyAlignment="1">
      <alignment horizontal="center" vertical="center"/>
    </xf>
    <xf numFmtId="1" fontId="26" fillId="6" borderId="53" xfId="0" applyNumberFormat="1" applyFont="1" applyFill="1" applyBorder="1" applyAlignment="1">
      <alignment horizontal="center" vertical="center"/>
    </xf>
    <xf numFmtId="1" fontId="24" fillId="6" borderId="21" xfId="0" applyNumberFormat="1" applyFont="1" applyFill="1" applyBorder="1" applyAlignment="1">
      <alignment horizontal="center" vertical="center"/>
    </xf>
    <xf numFmtId="2" fontId="15" fillId="8" borderId="42" xfId="0" applyNumberFormat="1" applyFont="1" applyFill="1" applyBorder="1" applyAlignment="1">
      <alignment horizontal="center" vertical="center"/>
    </xf>
    <xf numFmtId="1" fontId="26" fillId="0" borderId="50" xfId="0" applyNumberFormat="1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56" fillId="0" borderId="0" xfId="0" applyFont="1"/>
    <xf numFmtId="1" fontId="26" fillId="0" borderId="42" xfId="0" applyNumberFormat="1" applyFont="1" applyBorder="1" applyAlignment="1">
      <alignment horizontal="center" vertical="center"/>
    </xf>
    <xf numFmtId="2" fontId="26" fillId="8" borderId="19" xfId="0" applyNumberFormat="1" applyFont="1" applyFill="1" applyBorder="1" applyAlignment="1">
      <alignment horizontal="center" vertical="center"/>
    </xf>
    <xf numFmtId="1" fontId="26" fillId="8" borderId="19" xfId="0" applyNumberFormat="1" applyFont="1" applyFill="1" applyBorder="1" applyAlignment="1">
      <alignment horizontal="center" vertical="center"/>
    </xf>
    <xf numFmtId="0" fontId="32" fillId="0" borderId="63" xfId="0" applyFont="1" applyBorder="1" applyAlignment="1">
      <alignment vertical="center"/>
    </xf>
    <xf numFmtId="1" fontId="27" fillId="6" borderId="53" xfId="0" applyNumberFormat="1" applyFont="1" applyFill="1" applyBorder="1" applyAlignment="1">
      <alignment horizontal="center" vertical="center"/>
    </xf>
    <xf numFmtId="2" fontId="26" fillId="6" borderId="53" xfId="0" applyNumberFormat="1" applyFont="1" applyFill="1" applyBorder="1" applyAlignment="1">
      <alignment horizontal="center" vertical="center"/>
    </xf>
    <xf numFmtId="0" fontId="33" fillId="6" borderId="1" xfId="0" applyFont="1" applyFill="1" applyBorder="1" applyAlignment="1">
      <alignment horizontal="center" vertical="center"/>
    </xf>
    <xf numFmtId="1" fontId="24" fillId="6" borderId="53" xfId="0" applyNumberFormat="1" applyFont="1" applyFill="1" applyBorder="1" applyAlignment="1">
      <alignment horizontal="center" vertical="center"/>
    </xf>
    <xf numFmtId="166" fontId="46" fillId="6" borderId="31" xfId="0" applyNumberFormat="1" applyFont="1" applyFill="1" applyBorder="1" applyAlignment="1">
      <alignment horizontal="center" vertical="center"/>
    </xf>
    <xf numFmtId="1" fontId="24" fillId="0" borderId="21" xfId="0" applyNumberFormat="1" applyFont="1" applyBorder="1" applyAlignment="1">
      <alignment horizontal="center" vertical="center"/>
    </xf>
    <xf numFmtId="0" fontId="54" fillId="0" borderId="0" xfId="0" applyFont="1"/>
    <xf numFmtId="2" fontId="26" fillId="0" borderId="42" xfId="0" applyNumberFormat="1" applyFont="1" applyBorder="1" applyAlignment="1">
      <alignment horizontal="center" vertical="center"/>
    </xf>
    <xf numFmtId="2" fontId="26" fillId="6" borderId="42" xfId="0" applyNumberFormat="1" applyFont="1" applyFill="1" applyBorder="1" applyAlignment="1">
      <alignment horizontal="center" vertical="center"/>
    </xf>
    <xf numFmtId="2" fontId="26" fillId="6" borderId="17" xfId="0" applyNumberFormat="1" applyFont="1" applyFill="1" applyBorder="1" applyAlignment="1">
      <alignment horizontal="center" vertical="center"/>
    </xf>
    <xf numFmtId="0" fontId="0" fillId="5" borderId="0" xfId="0" applyFill="1"/>
    <xf numFmtId="0" fontId="33" fillId="6" borderId="4" xfId="0" applyFont="1" applyFill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33" fillId="8" borderId="1" xfId="0" applyFont="1" applyFill="1" applyBorder="1" applyAlignment="1">
      <alignment horizontal="center" vertical="center"/>
    </xf>
    <xf numFmtId="2" fontId="26" fillId="8" borderId="53" xfId="0" applyNumberFormat="1" applyFont="1" applyFill="1" applyBorder="1" applyAlignment="1">
      <alignment horizontal="center" vertical="center"/>
    </xf>
    <xf numFmtId="2" fontId="26" fillId="0" borderId="37" xfId="0" applyNumberFormat="1" applyFont="1" applyBorder="1" applyAlignment="1">
      <alignment horizontal="center" vertical="center"/>
    </xf>
    <xf numFmtId="1" fontId="15" fillId="6" borderId="34" xfId="0" applyNumberFormat="1" applyFont="1" applyFill="1" applyBorder="1" applyAlignment="1">
      <alignment horizontal="center" vertical="center"/>
    </xf>
    <xf numFmtId="0" fontId="59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63" xfId="0" applyFont="1" applyBorder="1" applyAlignment="1">
      <alignment vertical="center"/>
    </xf>
    <xf numFmtId="0" fontId="18" fillId="0" borderId="41" xfId="0" applyFont="1" applyBorder="1" applyAlignment="1">
      <alignment horizontal="center" vertical="center"/>
    </xf>
    <xf numFmtId="0" fontId="18" fillId="0" borderId="62" xfId="0" applyFont="1" applyBorder="1" applyAlignment="1">
      <alignment vertical="center"/>
    </xf>
    <xf numFmtId="0" fontId="18" fillId="0" borderId="46" xfId="0" applyFont="1" applyBorder="1" applyAlignment="1">
      <alignment horizontal="center" vertical="center"/>
    </xf>
    <xf numFmtId="0" fontId="18" fillId="0" borderId="10" xfId="0" applyFont="1" applyBorder="1" applyAlignment="1">
      <alignment vertical="center"/>
    </xf>
    <xf numFmtId="0" fontId="27" fillId="8" borderId="53" xfId="0" applyFont="1" applyFill="1" applyBorder="1" applyAlignment="1">
      <alignment horizontal="center" vertical="center"/>
    </xf>
    <xf numFmtId="1" fontId="24" fillId="8" borderId="53" xfId="0" applyNumberFormat="1" applyFont="1" applyFill="1" applyBorder="1" applyAlignment="1">
      <alignment horizontal="center" vertical="center"/>
    </xf>
    <xf numFmtId="1" fontId="27" fillId="8" borderId="53" xfId="0" applyNumberFormat="1" applyFont="1" applyFill="1" applyBorder="1" applyAlignment="1">
      <alignment horizontal="center" vertical="center"/>
    </xf>
    <xf numFmtId="1" fontId="26" fillId="0" borderId="66" xfId="0" applyNumberFormat="1" applyFont="1" applyBorder="1" applyAlignment="1">
      <alignment horizontal="center" vertical="center"/>
    </xf>
    <xf numFmtId="2" fontId="24" fillId="0" borderId="67" xfId="0" applyNumberFormat="1" applyFont="1" applyBorder="1" applyAlignment="1">
      <alignment horizontal="center" vertical="center"/>
    </xf>
    <xf numFmtId="2" fontId="26" fillId="8" borderId="17" xfId="0" applyNumberFormat="1" applyFont="1" applyFill="1" applyBorder="1" applyAlignment="1">
      <alignment horizontal="center" vertical="center"/>
    </xf>
    <xf numFmtId="166" fontId="26" fillId="0" borderId="17" xfId="0" applyNumberFormat="1" applyFont="1" applyBorder="1" applyAlignment="1">
      <alignment horizontal="center" vertical="center"/>
    </xf>
    <xf numFmtId="0" fontId="33" fillId="0" borderId="69" xfId="0" applyFont="1" applyBorder="1" applyAlignment="1">
      <alignment horizontal="center" vertical="center"/>
    </xf>
    <xf numFmtId="166" fontId="46" fillId="0" borderId="29" xfId="0" applyNumberFormat="1" applyFont="1" applyBorder="1" applyAlignment="1">
      <alignment horizontal="center" vertical="center"/>
    </xf>
    <xf numFmtId="2" fontId="46" fillId="0" borderId="29" xfId="0" applyNumberFormat="1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166" fontId="26" fillId="0" borderId="10" xfId="0" applyNumberFormat="1" applyFont="1" applyBorder="1" applyAlignment="1">
      <alignment horizontal="center" vertical="center"/>
    </xf>
    <xf numFmtId="166" fontId="5" fillId="0" borderId="5" xfId="0" applyNumberFormat="1" applyFont="1" applyBorder="1" applyAlignment="1">
      <alignment horizontal="center" vertical="center"/>
    </xf>
    <xf numFmtId="166" fontId="26" fillId="0" borderId="30" xfId="0" applyNumberFormat="1" applyFont="1" applyBorder="1" applyAlignment="1">
      <alignment horizontal="center" vertical="center"/>
    </xf>
    <xf numFmtId="0" fontId="18" fillId="0" borderId="31" xfId="0" applyFont="1" applyBorder="1" applyAlignment="1">
      <alignment vertical="center"/>
    </xf>
    <xf numFmtId="0" fontId="18" fillId="0" borderId="32" xfId="0" applyFont="1" applyBorder="1" applyAlignment="1">
      <alignment vertical="center"/>
    </xf>
    <xf numFmtId="0" fontId="18" fillId="0" borderId="23" xfId="0" applyFont="1" applyBorder="1" applyAlignment="1">
      <alignment vertical="center"/>
    </xf>
    <xf numFmtId="0" fontId="27" fillId="0" borderId="10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1" fontId="26" fillId="0" borderId="10" xfId="0" applyNumberFormat="1" applyFont="1" applyBorder="1" applyAlignment="1">
      <alignment horizontal="center" vertical="center"/>
    </xf>
    <xf numFmtId="166" fontId="46" fillId="8" borderId="31" xfId="0" applyNumberFormat="1" applyFont="1" applyFill="1" applyBorder="1" applyAlignment="1">
      <alignment horizontal="center" vertical="center"/>
    </xf>
    <xf numFmtId="2" fontId="46" fillId="8" borderId="31" xfId="0" applyNumberFormat="1" applyFont="1" applyFill="1" applyBorder="1" applyAlignment="1">
      <alignment horizontal="center" vertical="center"/>
    </xf>
    <xf numFmtId="166" fontId="46" fillId="0" borderId="36" xfId="0" applyNumberFormat="1" applyFont="1" applyBorder="1" applyAlignment="1">
      <alignment horizontal="center" vertical="center"/>
    </xf>
    <xf numFmtId="2" fontId="46" fillId="0" borderId="8" xfId="0" applyNumberFormat="1" applyFont="1" applyBorder="1" applyAlignment="1">
      <alignment horizontal="center" vertical="center"/>
    </xf>
    <xf numFmtId="166" fontId="26" fillId="8" borderId="19" xfId="0" applyNumberFormat="1" applyFont="1" applyFill="1" applyBorder="1" applyAlignment="1">
      <alignment horizontal="center" vertical="center"/>
    </xf>
    <xf numFmtId="166" fontId="26" fillId="0" borderId="6" xfId="0" applyNumberFormat="1" applyFont="1" applyBorder="1" applyAlignment="1">
      <alignment horizontal="center" vertical="center"/>
    </xf>
    <xf numFmtId="166" fontId="26" fillId="8" borderId="17" xfId="0" applyNumberFormat="1" applyFont="1" applyFill="1" applyBorder="1" applyAlignment="1">
      <alignment horizontal="center" vertical="center"/>
    </xf>
    <xf numFmtId="166" fontId="26" fillId="8" borderId="72" xfId="0" applyNumberFormat="1" applyFont="1" applyFill="1" applyBorder="1" applyAlignment="1">
      <alignment horizontal="center" vertical="center"/>
    </xf>
    <xf numFmtId="1" fontId="24" fillId="0" borderId="5" xfId="0" applyNumberFormat="1" applyFont="1" applyBorder="1" applyAlignment="1">
      <alignment horizontal="center" vertical="center"/>
    </xf>
    <xf numFmtId="1" fontId="26" fillId="0" borderId="23" xfId="0" applyNumberFormat="1" applyFont="1" applyBorder="1" applyAlignment="1">
      <alignment horizontal="center" vertical="center"/>
    </xf>
    <xf numFmtId="166" fontId="27" fillId="0" borderId="5" xfId="0" applyNumberFormat="1" applyFont="1" applyBorder="1" applyAlignment="1">
      <alignment horizontal="center" vertical="center"/>
    </xf>
    <xf numFmtId="166" fontId="24" fillId="0" borderId="5" xfId="0" applyNumberFormat="1" applyFont="1" applyBorder="1" applyAlignment="1">
      <alignment horizontal="center" vertical="center"/>
    </xf>
    <xf numFmtId="1" fontId="26" fillId="0" borderId="6" xfId="0" applyNumberFormat="1" applyFont="1" applyBorder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40" fillId="0" borderId="0" xfId="0" applyFont="1" applyAlignment="1">
      <alignment vertical="center"/>
    </xf>
    <xf numFmtId="0" fontId="40" fillId="0" borderId="26" xfId="0" applyFont="1" applyBorder="1" applyAlignment="1">
      <alignment vertical="center"/>
    </xf>
    <xf numFmtId="166" fontId="15" fillId="8" borderId="9" xfId="0" applyNumberFormat="1" applyFont="1" applyFill="1" applyBorder="1" applyAlignment="1">
      <alignment horizontal="center" vertical="center"/>
    </xf>
    <xf numFmtId="2" fontId="15" fillId="8" borderId="73" xfId="0" applyNumberFormat="1" applyFont="1" applyFill="1" applyBorder="1" applyAlignment="1">
      <alignment horizontal="center" vertical="center"/>
    </xf>
    <xf numFmtId="2" fontId="20" fillId="0" borderId="4" xfId="0" applyNumberFormat="1" applyFont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46" fillId="0" borderId="0" xfId="0" applyFont="1"/>
    <xf numFmtId="166" fontId="26" fillId="6" borderId="19" xfId="0" applyNumberFormat="1" applyFont="1" applyFill="1" applyBorder="1" applyAlignment="1">
      <alignment horizontal="center" vertical="center"/>
    </xf>
    <xf numFmtId="166" fontId="26" fillId="6" borderId="17" xfId="0" applyNumberFormat="1" applyFont="1" applyFill="1" applyBorder="1" applyAlignment="1">
      <alignment horizontal="center" vertical="center"/>
    </xf>
    <xf numFmtId="166" fontId="26" fillId="6" borderId="72" xfId="0" applyNumberFormat="1" applyFont="1" applyFill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49" fillId="0" borderId="7" xfId="0" applyFont="1" applyBorder="1" applyAlignment="1">
      <alignment vertical="center"/>
    </xf>
    <xf numFmtId="2" fontId="27" fillId="6" borderId="11" xfId="0" applyNumberFormat="1" applyFont="1" applyFill="1" applyBorder="1" applyAlignment="1">
      <alignment horizontal="center" vertical="center"/>
    </xf>
    <xf numFmtId="1" fontId="26" fillId="0" borderId="31" xfId="0" applyNumberFormat="1" applyFont="1" applyBorder="1" applyAlignment="1">
      <alignment horizontal="center" vertical="center"/>
    </xf>
    <xf numFmtId="2" fontId="20" fillId="0" borderId="5" xfId="0" applyNumberFormat="1" applyFont="1" applyBorder="1" applyAlignment="1">
      <alignment horizontal="center" vertical="center"/>
    </xf>
    <xf numFmtId="2" fontId="20" fillId="8" borderId="1" xfId="0" applyNumberFormat="1" applyFont="1" applyFill="1" applyBorder="1" applyAlignment="1">
      <alignment horizontal="center" vertical="center"/>
    </xf>
    <xf numFmtId="2" fontId="20" fillId="6" borderId="1" xfId="0" applyNumberFormat="1" applyFont="1" applyFill="1" applyBorder="1" applyAlignment="1">
      <alignment horizontal="center" vertical="center"/>
    </xf>
    <xf numFmtId="1" fontId="54" fillId="0" borderId="0" xfId="0" applyNumberFormat="1" applyFont="1"/>
    <xf numFmtId="0" fontId="4" fillId="0" borderId="1" xfId="0" applyFont="1" applyBorder="1" applyAlignment="1">
      <alignment vertical="center"/>
    </xf>
    <xf numFmtId="0" fontId="6" fillId="0" borderId="39" xfId="0" applyFont="1" applyBorder="1" applyAlignment="1">
      <alignment vertical="center"/>
    </xf>
    <xf numFmtId="0" fontId="29" fillId="0" borderId="67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166" fontId="46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right" vertical="center"/>
    </xf>
    <xf numFmtId="2" fontId="15" fillId="0" borderId="0" xfId="0" applyNumberFormat="1" applyFont="1" applyAlignment="1">
      <alignment horizontal="right" vertical="center"/>
    </xf>
    <xf numFmtId="2" fontId="46" fillId="8" borderId="34" xfId="0" applyNumberFormat="1" applyFont="1" applyFill="1" applyBorder="1" applyAlignment="1">
      <alignment horizontal="center" vertical="center"/>
    </xf>
    <xf numFmtId="166" fontId="46" fillId="8" borderId="62" xfId="0" applyNumberFormat="1" applyFont="1" applyFill="1" applyBorder="1" applyAlignment="1">
      <alignment horizontal="center" vertical="center"/>
    </xf>
    <xf numFmtId="0" fontId="36" fillId="0" borderId="24" xfId="0" applyFont="1" applyBorder="1"/>
    <xf numFmtId="1" fontId="24" fillId="0" borderId="55" xfId="0" applyNumberFormat="1" applyFont="1" applyBorder="1" applyAlignment="1">
      <alignment vertical="center"/>
    </xf>
    <xf numFmtId="166" fontId="26" fillId="0" borderId="50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2" fontId="46" fillId="6" borderId="31" xfId="0" applyNumberFormat="1" applyFont="1" applyFill="1" applyBorder="1" applyAlignment="1">
      <alignment horizontal="center" vertical="center"/>
    </xf>
    <xf numFmtId="0" fontId="26" fillId="6" borderId="42" xfId="0" applyFont="1" applyFill="1" applyBorder="1" applyAlignment="1">
      <alignment horizontal="center" vertical="center"/>
    </xf>
    <xf numFmtId="2" fontId="46" fillId="6" borderId="34" xfId="0" applyNumberFormat="1" applyFont="1" applyFill="1" applyBorder="1" applyAlignment="1">
      <alignment horizontal="center" vertical="center"/>
    </xf>
    <xf numFmtId="2" fontId="46" fillId="6" borderId="63" xfId="0" applyNumberFormat="1" applyFont="1" applyFill="1" applyBorder="1" applyAlignment="1">
      <alignment horizontal="center" vertical="center"/>
    </xf>
    <xf numFmtId="1" fontId="26" fillId="6" borderId="100" xfId="0" applyNumberFormat="1" applyFont="1" applyFill="1" applyBorder="1" applyAlignment="1">
      <alignment horizontal="center" vertical="center"/>
    </xf>
    <xf numFmtId="1" fontId="24" fillId="6" borderId="103" xfId="0" applyNumberFormat="1" applyFont="1" applyFill="1" applyBorder="1" applyAlignment="1">
      <alignment horizontal="center" vertical="center"/>
    </xf>
    <xf numFmtId="166" fontId="26" fillId="6" borderId="53" xfId="0" applyNumberFormat="1" applyFont="1" applyFill="1" applyBorder="1" applyAlignment="1">
      <alignment horizontal="center" vertical="center"/>
    </xf>
    <xf numFmtId="1" fontId="26" fillId="8" borderId="61" xfId="0" applyNumberFormat="1" applyFont="1" applyFill="1" applyBorder="1" applyAlignment="1">
      <alignment horizontal="center" vertical="center"/>
    </xf>
    <xf numFmtId="2" fontId="46" fillId="8" borderId="63" xfId="0" applyNumberFormat="1" applyFont="1" applyFill="1" applyBorder="1" applyAlignment="1">
      <alignment horizontal="center" vertical="center"/>
    </xf>
    <xf numFmtId="1" fontId="26" fillId="0" borderId="19" xfId="0" applyNumberFormat="1" applyFont="1" applyBorder="1" applyAlignment="1">
      <alignment horizontal="center" vertical="center"/>
    </xf>
    <xf numFmtId="1" fontId="26" fillId="6" borderId="19" xfId="0" applyNumberFormat="1" applyFont="1" applyFill="1" applyBorder="1" applyAlignment="1">
      <alignment horizontal="center" vertical="center"/>
    </xf>
    <xf numFmtId="166" fontId="46" fillId="6" borderId="62" xfId="0" applyNumberFormat="1" applyFont="1" applyFill="1" applyBorder="1" applyAlignment="1">
      <alignment horizontal="center" vertical="center"/>
    </xf>
    <xf numFmtId="168" fontId="26" fillId="0" borderId="17" xfId="0" applyNumberFormat="1" applyFont="1" applyBorder="1" applyAlignment="1">
      <alignment horizontal="center" vertical="center"/>
    </xf>
    <xf numFmtId="1" fontId="26" fillId="0" borderId="72" xfId="0" applyNumberFormat="1" applyFont="1" applyBorder="1" applyAlignment="1">
      <alignment horizontal="center" vertical="center"/>
    </xf>
    <xf numFmtId="166" fontId="26" fillId="8" borderId="53" xfId="0" applyNumberFormat="1" applyFont="1" applyFill="1" applyBorder="1" applyAlignment="1">
      <alignment horizontal="center" vertical="center"/>
    </xf>
    <xf numFmtId="0" fontId="3" fillId="0" borderId="24" xfId="0" applyFont="1" applyBorder="1"/>
    <xf numFmtId="1" fontId="5" fillId="0" borderId="42" xfId="0" applyNumberFormat="1" applyFont="1" applyBorder="1" applyAlignment="1">
      <alignment horizontal="center" vertical="center"/>
    </xf>
    <xf numFmtId="1" fontId="24" fillId="0" borderId="42" xfId="0" applyNumberFormat="1" applyFont="1" applyBorder="1" applyAlignment="1">
      <alignment horizontal="center" vertical="center"/>
    </xf>
    <xf numFmtId="1" fontId="24" fillId="0" borderId="69" xfId="0" applyNumberFormat="1" applyFont="1" applyBorder="1" applyAlignment="1">
      <alignment horizontal="center" vertical="center"/>
    </xf>
    <xf numFmtId="166" fontId="26" fillId="8" borderId="33" xfId="0" applyNumberFormat="1" applyFont="1" applyFill="1" applyBorder="1" applyAlignment="1">
      <alignment horizontal="center" vertical="center"/>
    </xf>
    <xf numFmtId="0" fontId="26" fillId="8" borderId="72" xfId="0" applyFont="1" applyFill="1" applyBorder="1" applyAlignment="1">
      <alignment horizontal="center" vertical="center"/>
    </xf>
    <xf numFmtId="2" fontId="26" fillId="0" borderId="19" xfId="0" applyNumberFormat="1" applyFont="1" applyBorder="1" applyAlignment="1">
      <alignment horizontal="center" vertical="center"/>
    </xf>
    <xf numFmtId="166" fontId="26" fillId="0" borderId="19" xfId="0" applyNumberFormat="1" applyFont="1" applyBorder="1" applyAlignment="1">
      <alignment horizontal="center" vertical="center"/>
    </xf>
    <xf numFmtId="166" fontId="26" fillId="0" borderId="72" xfId="0" applyNumberFormat="1" applyFont="1" applyBorder="1" applyAlignment="1">
      <alignment horizontal="center" vertical="center"/>
    </xf>
    <xf numFmtId="166" fontId="26" fillId="9" borderId="17" xfId="0" applyNumberFormat="1" applyFont="1" applyFill="1" applyBorder="1" applyAlignment="1">
      <alignment horizontal="center" vertical="center"/>
    </xf>
    <xf numFmtId="2" fontId="26" fillId="0" borderId="33" xfId="0" applyNumberFormat="1" applyFont="1" applyBorder="1" applyAlignment="1">
      <alignment horizontal="center" vertical="center"/>
    </xf>
    <xf numFmtId="1" fontId="5" fillId="0" borderId="67" xfId="0" applyNumberFormat="1" applyFont="1" applyBorder="1" applyAlignment="1">
      <alignment horizontal="center" vertical="center"/>
    </xf>
    <xf numFmtId="1" fontId="26" fillId="9" borderId="48" xfId="0" applyNumberFormat="1" applyFont="1" applyFill="1" applyBorder="1" applyAlignment="1">
      <alignment horizontal="center" vertical="center"/>
    </xf>
    <xf numFmtId="1" fontId="26" fillId="9" borderId="37" xfId="0" applyNumberFormat="1" applyFont="1" applyFill="1" applyBorder="1" applyAlignment="1">
      <alignment horizontal="center" vertical="center"/>
    </xf>
    <xf numFmtId="1" fontId="26" fillId="9" borderId="65" xfId="0" applyNumberFormat="1" applyFont="1" applyFill="1" applyBorder="1" applyAlignment="1">
      <alignment horizontal="center" vertical="center"/>
    </xf>
    <xf numFmtId="0" fontId="3" fillId="0" borderId="77" xfId="0" applyFont="1" applyBorder="1"/>
    <xf numFmtId="0" fontId="3" fillId="0" borderId="88" xfId="0" applyFont="1" applyBorder="1"/>
    <xf numFmtId="1" fontId="5" fillId="0" borderId="53" xfId="0" applyNumberFormat="1" applyFont="1" applyBorder="1" applyAlignment="1">
      <alignment horizontal="center" vertical="center"/>
    </xf>
    <xf numFmtId="168" fontId="26" fillId="0" borderId="48" xfId="0" applyNumberFormat="1" applyFont="1" applyBorder="1" applyAlignment="1">
      <alignment horizontal="center" vertical="center"/>
    </xf>
    <xf numFmtId="166" fontId="26" fillId="0" borderId="49" xfId="0" applyNumberFormat="1" applyFont="1" applyBorder="1" applyAlignment="1">
      <alignment horizontal="center" vertical="center"/>
    </xf>
    <xf numFmtId="1" fontId="24" fillId="0" borderId="55" xfId="0" applyNumberFormat="1" applyFont="1" applyBorder="1" applyAlignment="1">
      <alignment horizontal="center" vertical="center"/>
    </xf>
    <xf numFmtId="2" fontId="46" fillId="6" borderId="10" xfId="0" applyNumberFormat="1" applyFont="1" applyFill="1" applyBorder="1" applyAlignment="1">
      <alignment horizontal="center" vertical="center"/>
    </xf>
    <xf numFmtId="2" fontId="46" fillId="8" borderId="10" xfId="0" applyNumberFormat="1" applyFont="1" applyFill="1" applyBorder="1" applyAlignment="1">
      <alignment horizontal="center" vertical="center"/>
    </xf>
    <xf numFmtId="1" fontId="24" fillId="0" borderId="53" xfId="0" applyNumberFormat="1" applyFont="1" applyBorder="1" applyAlignment="1">
      <alignment horizontal="center" vertical="center"/>
    </xf>
    <xf numFmtId="1" fontId="5" fillId="0" borderId="11" xfId="0" applyNumberFormat="1" applyFont="1" applyBorder="1" applyAlignment="1">
      <alignment horizontal="center" vertical="center"/>
    </xf>
    <xf numFmtId="1" fontId="27" fillId="0" borderId="11" xfId="0" applyNumberFormat="1" applyFont="1" applyBorder="1" applyAlignment="1">
      <alignment horizontal="center" vertical="center"/>
    </xf>
    <xf numFmtId="1" fontId="27" fillId="0" borderId="67" xfId="0" applyNumberFormat="1" applyFont="1" applyBorder="1" applyAlignment="1">
      <alignment horizontal="center" vertical="center"/>
    </xf>
    <xf numFmtId="166" fontId="26" fillId="0" borderId="7" xfId="0" applyNumberFormat="1" applyFont="1" applyBorder="1" applyAlignment="1">
      <alignment horizontal="center" vertical="center"/>
    </xf>
    <xf numFmtId="166" fontId="5" fillId="0" borderId="11" xfId="0" applyNumberFormat="1" applyFont="1" applyBorder="1" applyAlignment="1">
      <alignment horizontal="center" vertical="center"/>
    </xf>
    <xf numFmtId="166" fontId="26" fillId="0" borderId="42" xfId="0" applyNumberFormat="1" applyFont="1" applyBorder="1" applyAlignment="1">
      <alignment horizontal="center" vertical="center"/>
    </xf>
    <xf numFmtId="166" fontId="27" fillId="0" borderId="19" xfId="0" applyNumberFormat="1" applyFont="1" applyBorder="1" applyAlignment="1">
      <alignment horizontal="center" vertical="center"/>
    </xf>
    <xf numFmtId="0" fontId="27" fillId="8" borderId="4" xfId="0" applyFont="1" applyFill="1" applyBorder="1" applyAlignment="1">
      <alignment horizontal="center" vertical="center"/>
    </xf>
    <xf numFmtId="2" fontId="46" fillId="0" borderId="10" xfId="0" applyNumberFormat="1" applyFont="1" applyBorder="1" applyAlignment="1">
      <alignment horizontal="center" vertical="center"/>
    </xf>
    <xf numFmtId="0" fontId="65" fillId="0" borderId="0" xfId="0" applyFont="1"/>
    <xf numFmtId="0" fontId="65" fillId="9" borderId="0" xfId="0" applyFont="1" applyFill="1"/>
    <xf numFmtId="0" fontId="0" fillId="9" borderId="0" xfId="0" applyFill="1"/>
    <xf numFmtId="0" fontId="0" fillId="9" borderId="0" xfId="0" applyFill="1" applyAlignment="1">
      <alignment horizontal="center" vertical="center"/>
    </xf>
    <xf numFmtId="1" fontId="15" fillId="9" borderId="10" xfId="0" applyNumberFormat="1" applyFont="1" applyFill="1" applyBorder="1" applyAlignment="1">
      <alignment horizontal="center" vertical="center"/>
    </xf>
    <xf numFmtId="166" fontId="5" fillId="0" borderId="10" xfId="0" applyNumberFormat="1" applyFont="1" applyBorder="1" applyAlignment="1">
      <alignment horizontal="center" vertical="center"/>
    </xf>
    <xf numFmtId="1" fontId="15" fillId="9" borderId="41" xfId="0" applyNumberFormat="1" applyFont="1" applyFill="1" applyBorder="1" applyAlignment="1">
      <alignment horizontal="center" vertical="center"/>
    </xf>
    <xf numFmtId="0" fontId="68" fillId="0" borderId="0" xfId="0" applyFont="1"/>
    <xf numFmtId="0" fontId="69" fillId="0" borderId="0" xfId="0" applyFont="1"/>
    <xf numFmtId="0" fontId="15" fillId="9" borderId="17" xfId="0" applyFont="1" applyFill="1" applyBorder="1" applyAlignment="1">
      <alignment horizontal="center" vertical="center"/>
    </xf>
    <xf numFmtId="0" fontId="56" fillId="9" borderId="10" xfId="0" applyFont="1" applyFill="1" applyBorder="1" applyAlignment="1">
      <alignment horizontal="center" vertical="center"/>
    </xf>
    <xf numFmtId="0" fontId="54" fillId="9" borderId="0" xfId="0" applyFont="1" applyFill="1"/>
    <xf numFmtId="1" fontId="15" fillId="9" borderId="23" xfId="0" applyNumberFormat="1" applyFont="1" applyFill="1" applyBorder="1" applyAlignment="1">
      <alignment horizontal="center" vertical="center"/>
    </xf>
    <xf numFmtId="1" fontId="26" fillId="9" borderId="31" xfId="0" applyNumberFormat="1" applyFont="1" applyFill="1" applyBorder="1" applyAlignment="1">
      <alignment horizontal="center" vertical="center"/>
    </xf>
    <xf numFmtId="1" fontId="26" fillId="9" borderId="33" xfId="0" applyNumberFormat="1" applyFont="1" applyFill="1" applyBorder="1" applyAlignment="1">
      <alignment horizontal="center" vertical="center"/>
    </xf>
    <xf numFmtId="2" fontId="46" fillId="0" borderId="3" xfId="0" applyNumberFormat="1" applyFont="1" applyBorder="1" applyAlignment="1">
      <alignment horizontal="center" vertical="center"/>
    </xf>
    <xf numFmtId="2" fontId="46" fillId="0" borderId="41" xfId="0" applyNumberFormat="1" applyFont="1" applyBorder="1" applyAlignment="1">
      <alignment horizontal="center" vertical="center"/>
    </xf>
    <xf numFmtId="166" fontId="46" fillId="0" borderId="10" xfId="0" applyNumberFormat="1" applyFont="1" applyBorder="1" applyAlignment="1">
      <alignment horizontal="center" vertical="center"/>
    </xf>
    <xf numFmtId="166" fontId="46" fillId="0" borderId="45" xfId="0" applyNumberFormat="1" applyFont="1" applyBorder="1" applyAlignment="1">
      <alignment horizontal="center" vertical="center"/>
    </xf>
    <xf numFmtId="2" fontId="46" fillId="0" borderId="30" xfId="0" applyNumberFormat="1" applyFont="1" applyBorder="1" applyAlignment="1">
      <alignment horizontal="center" vertical="center"/>
    </xf>
    <xf numFmtId="0" fontId="46" fillId="0" borderId="45" xfId="0" applyFont="1" applyBorder="1" applyAlignment="1">
      <alignment horizontal="center" vertical="center"/>
    </xf>
    <xf numFmtId="0" fontId="27" fillId="0" borderId="69" xfId="0" applyFont="1" applyBorder="1" applyAlignment="1">
      <alignment horizontal="center" vertical="center"/>
    </xf>
    <xf numFmtId="1" fontId="26" fillId="0" borderId="41" xfId="0" applyNumberFormat="1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2" fontId="26" fillId="0" borderId="30" xfId="0" applyNumberFormat="1" applyFont="1" applyBorder="1" applyAlignment="1">
      <alignment horizontal="center" vertical="center"/>
    </xf>
    <xf numFmtId="2" fontId="26" fillId="0" borderId="23" xfId="0" applyNumberFormat="1" applyFont="1" applyBorder="1" applyAlignment="1">
      <alignment horizontal="center" vertical="center"/>
    </xf>
    <xf numFmtId="1" fontId="27" fillId="0" borderId="5" xfId="0" applyNumberFormat="1" applyFont="1" applyBorder="1" applyAlignment="1">
      <alignment horizontal="center" vertical="center"/>
    </xf>
    <xf numFmtId="166" fontId="26" fillId="0" borderId="41" xfId="0" applyNumberFormat="1" applyFont="1" applyBorder="1" applyAlignment="1">
      <alignment horizontal="center" vertical="center"/>
    </xf>
    <xf numFmtId="166" fontId="26" fillId="0" borderId="45" xfId="0" applyNumberFormat="1" applyFont="1" applyBorder="1" applyAlignment="1">
      <alignment horizontal="center" vertical="center"/>
    </xf>
    <xf numFmtId="166" fontId="25" fillId="0" borderId="10" xfId="0" applyNumberFormat="1" applyFont="1" applyBorder="1" applyAlignment="1">
      <alignment horizontal="center" vertical="center"/>
    </xf>
    <xf numFmtId="2" fontId="24" fillId="0" borderId="5" xfId="0" applyNumberFormat="1" applyFont="1" applyBorder="1" applyAlignment="1">
      <alignment horizontal="center" vertical="center"/>
    </xf>
    <xf numFmtId="1" fontId="26" fillId="0" borderId="3" xfId="0" applyNumberFormat="1" applyFont="1" applyBorder="1" applyAlignment="1">
      <alignment horizontal="center" vertical="center"/>
    </xf>
    <xf numFmtId="166" fontId="27" fillId="0" borderId="29" xfId="0" applyNumberFormat="1" applyFont="1" applyBorder="1" applyAlignment="1">
      <alignment horizontal="center" vertical="center"/>
    </xf>
    <xf numFmtId="2" fontId="26" fillId="0" borderId="10" xfId="0" applyNumberFormat="1" applyFont="1" applyBorder="1" applyAlignment="1">
      <alignment horizontal="center" vertical="center"/>
    </xf>
    <xf numFmtId="168" fontId="26" fillId="0" borderId="23" xfId="0" applyNumberFormat="1" applyFont="1" applyBorder="1" applyAlignment="1">
      <alignment horizontal="center" vertical="center"/>
    </xf>
    <xf numFmtId="166" fontId="26" fillId="0" borderId="8" xfId="0" applyNumberFormat="1" applyFont="1" applyBorder="1" applyAlignment="1">
      <alignment horizontal="center" vertical="center"/>
    </xf>
    <xf numFmtId="2" fontId="26" fillId="0" borderId="29" xfId="0" applyNumberFormat="1" applyFont="1" applyBorder="1" applyAlignment="1">
      <alignment horizontal="center" vertical="center"/>
    </xf>
    <xf numFmtId="2" fontId="26" fillId="9" borderId="10" xfId="0" applyNumberFormat="1" applyFont="1" applyFill="1" applyBorder="1" applyAlignment="1">
      <alignment horizontal="center" vertical="center"/>
    </xf>
    <xf numFmtId="2" fontId="26" fillId="0" borderId="5" xfId="0" applyNumberFormat="1" applyFont="1" applyBorder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/>
    </xf>
    <xf numFmtId="2" fontId="26" fillId="0" borderId="41" xfId="0" applyNumberFormat="1" applyFont="1" applyBorder="1" applyAlignment="1">
      <alignment horizontal="center" vertical="center"/>
    </xf>
    <xf numFmtId="0" fontId="26" fillId="0" borderId="45" xfId="0" applyFont="1" applyBorder="1" applyAlignment="1">
      <alignment horizontal="center" vertical="center"/>
    </xf>
    <xf numFmtId="0" fontId="27" fillId="0" borderId="26" xfId="0" applyFont="1" applyBorder="1" applyAlignment="1">
      <alignment horizontal="center" vertical="center"/>
    </xf>
    <xf numFmtId="166" fontId="24" fillId="0" borderId="67" xfId="0" applyNumberFormat="1" applyFont="1" applyBorder="1" applyAlignment="1">
      <alignment horizontal="center" vertical="center"/>
    </xf>
    <xf numFmtId="2" fontId="26" fillId="9" borderId="17" xfId="0" applyNumberFormat="1" applyFont="1" applyFill="1" applyBorder="1" applyAlignment="1">
      <alignment horizontal="center" vertical="center"/>
    </xf>
    <xf numFmtId="2" fontId="5" fillId="0" borderId="67" xfId="0" applyNumberFormat="1" applyFont="1" applyBorder="1" applyAlignment="1">
      <alignment horizontal="center" vertical="center"/>
    </xf>
    <xf numFmtId="2" fontId="26" fillId="0" borderId="66" xfId="0" applyNumberFormat="1" applyFont="1" applyBorder="1" applyAlignment="1">
      <alignment horizontal="center" vertical="center"/>
    </xf>
    <xf numFmtId="166" fontId="26" fillId="0" borderId="65" xfId="0" applyNumberFormat="1" applyFont="1" applyBorder="1" applyAlignment="1">
      <alignment horizontal="center" vertical="center"/>
    </xf>
    <xf numFmtId="0" fontId="26" fillId="0" borderId="65" xfId="0" applyFont="1" applyBorder="1" applyAlignment="1">
      <alignment horizontal="center" vertical="center"/>
    </xf>
    <xf numFmtId="0" fontId="27" fillId="8" borderId="28" xfId="0" applyFont="1" applyFill="1" applyBorder="1" applyAlignment="1">
      <alignment horizontal="center" vertical="center"/>
    </xf>
    <xf numFmtId="0" fontId="26" fillId="8" borderId="17" xfId="0" applyFont="1" applyFill="1" applyBorder="1" applyAlignment="1">
      <alignment horizontal="center" vertical="center"/>
    </xf>
    <xf numFmtId="2" fontId="26" fillId="8" borderId="33" xfId="0" applyNumberFormat="1" applyFont="1" applyFill="1" applyBorder="1" applyAlignment="1">
      <alignment horizontal="center" vertical="center"/>
    </xf>
    <xf numFmtId="1" fontId="27" fillId="8" borderId="11" xfId="0" applyNumberFormat="1" applyFont="1" applyFill="1" applyBorder="1" applyAlignment="1">
      <alignment horizontal="center" vertical="center"/>
    </xf>
    <xf numFmtId="1" fontId="26" fillId="8" borderId="72" xfId="0" applyNumberFormat="1" applyFont="1" applyFill="1" applyBorder="1" applyAlignment="1">
      <alignment horizontal="center" vertical="center"/>
    </xf>
    <xf numFmtId="166" fontId="26" fillId="8" borderId="42" xfId="0" applyNumberFormat="1" applyFont="1" applyFill="1" applyBorder="1" applyAlignment="1">
      <alignment horizontal="center" vertical="center"/>
    </xf>
    <xf numFmtId="166" fontId="25" fillId="8" borderId="17" xfId="0" applyNumberFormat="1" applyFont="1" applyFill="1" applyBorder="1" applyAlignment="1">
      <alignment horizontal="center" vertical="center"/>
    </xf>
    <xf numFmtId="166" fontId="26" fillId="8" borderId="50" xfId="0" applyNumberFormat="1" applyFont="1" applyFill="1" applyBorder="1" applyAlignment="1">
      <alignment horizontal="center" vertical="center"/>
    </xf>
    <xf numFmtId="166" fontId="27" fillId="8" borderId="19" xfId="0" applyNumberFormat="1" applyFont="1" applyFill="1" applyBorder="1" applyAlignment="1">
      <alignment horizontal="center" vertical="center"/>
    </xf>
    <xf numFmtId="2" fontId="26" fillId="8" borderId="11" xfId="0" applyNumberFormat="1" applyFont="1" applyFill="1" applyBorder="1" applyAlignment="1">
      <alignment horizontal="center" vertical="center"/>
    </xf>
    <xf numFmtId="2" fontId="5" fillId="8" borderId="11" xfId="0" applyNumberFormat="1" applyFont="1" applyFill="1" applyBorder="1" applyAlignment="1">
      <alignment horizontal="center" vertical="center"/>
    </xf>
    <xf numFmtId="166" fontId="5" fillId="8" borderId="11" xfId="0" applyNumberFormat="1" applyFont="1" applyFill="1" applyBorder="1" applyAlignment="1">
      <alignment horizontal="center" vertical="center"/>
    </xf>
    <xf numFmtId="2" fontId="26" fillId="8" borderId="42" xfId="0" applyNumberFormat="1" applyFont="1" applyFill="1" applyBorder="1" applyAlignment="1">
      <alignment horizontal="center" vertical="center"/>
    </xf>
    <xf numFmtId="2" fontId="26" fillId="9" borderId="19" xfId="0" applyNumberFormat="1" applyFont="1" applyFill="1" applyBorder="1" applyAlignment="1">
      <alignment horizontal="center" vertical="center"/>
    </xf>
    <xf numFmtId="0" fontId="27" fillId="6" borderId="28" xfId="0" applyFont="1" applyFill="1" applyBorder="1" applyAlignment="1">
      <alignment horizontal="center" vertical="center"/>
    </xf>
    <xf numFmtId="0" fontId="26" fillId="6" borderId="17" xfId="0" applyFont="1" applyFill="1" applyBorder="1" applyAlignment="1">
      <alignment horizontal="center" vertical="center"/>
    </xf>
    <xf numFmtId="2" fontId="26" fillId="6" borderId="33" xfId="0" applyNumberFormat="1" applyFont="1" applyFill="1" applyBorder="1" applyAlignment="1">
      <alignment horizontal="center" vertical="center"/>
    </xf>
    <xf numFmtId="1" fontId="27" fillId="6" borderId="11" xfId="0" applyNumberFormat="1" applyFont="1" applyFill="1" applyBorder="1" applyAlignment="1">
      <alignment horizontal="center" vertical="center"/>
    </xf>
    <xf numFmtId="1" fontId="26" fillId="6" borderId="72" xfId="0" applyNumberFormat="1" applyFont="1" applyFill="1" applyBorder="1" applyAlignment="1">
      <alignment horizontal="center" vertical="center"/>
    </xf>
    <xf numFmtId="166" fontId="26" fillId="6" borderId="42" xfId="0" applyNumberFormat="1" applyFont="1" applyFill="1" applyBorder="1" applyAlignment="1">
      <alignment horizontal="center" vertical="center"/>
    </xf>
    <xf numFmtId="166" fontId="25" fillId="6" borderId="17" xfId="0" applyNumberFormat="1" applyFont="1" applyFill="1" applyBorder="1" applyAlignment="1">
      <alignment horizontal="center" vertical="center"/>
    </xf>
    <xf numFmtId="1" fontId="26" fillId="6" borderId="61" xfId="0" applyNumberFormat="1" applyFont="1" applyFill="1" applyBorder="1" applyAlignment="1">
      <alignment horizontal="center" vertical="center"/>
    </xf>
    <xf numFmtId="166" fontId="26" fillId="6" borderId="50" xfId="0" applyNumberFormat="1" applyFont="1" applyFill="1" applyBorder="1" applyAlignment="1">
      <alignment horizontal="center" vertical="center"/>
    </xf>
    <xf numFmtId="166" fontId="27" fillId="6" borderId="19" xfId="0" applyNumberFormat="1" applyFont="1" applyFill="1" applyBorder="1" applyAlignment="1">
      <alignment horizontal="center" vertical="center"/>
    </xf>
    <xf numFmtId="2" fontId="26" fillId="6" borderId="19" xfId="0" applyNumberFormat="1" applyFont="1" applyFill="1" applyBorder="1" applyAlignment="1">
      <alignment horizontal="center" vertical="center"/>
    </xf>
    <xf numFmtId="166" fontId="26" fillId="6" borderId="33" xfId="0" applyNumberFormat="1" applyFont="1" applyFill="1" applyBorder="1" applyAlignment="1">
      <alignment horizontal="center" vertical="center"/>
    </xf>
    <xf numFmtId="2" fontId="26" fillId="6" borderId="11" xfId="0" applyNumberFormat="1" applyFont="1" applyFill="1" applyBorder="1" applyAlignment="1">
      <alignment horizontal="center" vertical="center"/>
    </xf>
    <xf numFmtId="2" fontId="5" fillId="6" borderId="11" xfId="0" applyNumberFormat="1" applyFont="1" applyFill="1" applyBorder="1" applyAlignment="1">
      <alignment horizontal="center" vertical="center"/>
    </xf>
    <xf numFmtId="0" fontId="26" fillId="6" borderId="72" xfId="0" applyFont="1" applyFill="1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72" fillId="0" borderId="0" xfId="0" applyFont="1"/>
    <xf numFmtId="168" fontId="26" fillId="0" borderId="10" xfId="0" applyNumberFormat="1" applyFont="1" applyBorder="1" applyAlignment="1">
      <alignment horizontal="center" vertical="center"/>
    </xf>
    <xf numFmtId="1" fontId="24" fillId="0" borderId="30" xfId="0" applyNumberFormat="1" applyFont="1" applyBorder="1" applyAlignment="1">
      <alignment horizontal="center" vertical="center"/>
    </xf>
    <xf numFmtId="166" fontId="26" fillId="8" borderId="27" xfId="0" applyNumberFormat="1" applyFont="1" applyFill="1" applyBorder="1" applyAlignment="1">
      <alignment horizontal="center" vertical="center"/>
    </xf>
    <xf numFmtId="166" fontId="26" fillId="6" borderId="27" xfId="0" applyNumberFormat="1" applyFont="1" applyFill="1" applyBorder="1" applyAlignment="1">
      <alignment horizontal="center" vertical="center"/>
    </xf>
    <xf numFmtId="1" fontId="26" fillId="9" borderId="17" xfId="0" applyNumberFormat="1" applyFont="1" applyFill="1" applyBorder="1" applyAlignment="1">
      <alignment horizontal="center" vertical="center"/>
    </xf>
    <xf numFmtId="1" fontId="24" fillId="8" borderId="17" xfId="0" applyNumberFormat="1" applyFont="1" applyFill="1" applyBorder="1" applyAlignment="1">
      <alignment horizontal="center" vertical="center"/>
    </xf>
    <xf numFmtId="1" fontId="24" fillId="0" borderId="17" xfId="0" applyNumberFormat="1" applyFont="1" applyBorder="1" applyAlignment="1">
      <alignment horizontal="center" vertical="center"/>
    </xf>
    <xf numFmtId="0" fontId="32" fillId="9" borderId="31" xfId="0" applyFont="1" applyFill="1" applyBorder="1"/>
    <xf numFmtId="0" fontId="0" fillId="0" borderId="10" xfId="0" applyBorder="1"/>
    <xf numFmtId="171" fontId="0" fillId="0" borderId="0" xfId="22" applyNumberFormat="1" applyFont="1"/>
    <xf numFmtId="1" fontId="70" fillId="0" borderId="0" xfId="0" applyNumberFormat="1" applyFont="1"/>
    <xf numFmtId="0" fontId="10" fillId="0" borderId="63" xfId="0" applyFont="1" applyBorder="1" applyAlignment="1">
      <alignment horizontal="left" vertical="center" wrapText="1"/>
    </xf>
    <xf numFmtId="0" fontId="10" fillId="0" borderId="31" xfId="0" applyFont="1" applyBorder="1" applyAlignment="1">
      <alignment horizontal="left" vertical="center" wrapText="1"/>
    </xf>
    <xf numFmtId="0" fontId="10" fillId="0" borderId="32" xfId="0" applyFont="1" applyBorder="1" applyAlignment="1">
      <alignment horizontal="left" vertical="center" wrapText="1"/>
    </xf>
    <xf numFmtId="0" fontId="45" fillId="0" borderId="68" xfId="0" applyFont="1" applyBorder="1" applyAlignment="1">
      <alignment horizontal="center" vertical="center"/>
    </xf>
    <xf numFmtId="0" fontId="10" fillId="0" borderId="62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0" fillId="0" borderId="34" xfId="0" applyFont="1" applyBorder="1" applyAlignment="1">
      <alignment horizontal="left" vertical="center" wrapText="1"/>
    </xf>
    <xf numFmtId="0" fontId="10" fillId="0" borderId="74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166" fontId="21" fillId="9" borderId="29" xfId="0" applyNumberFormat="1" applyFont="1" applyFill="1" applyBorder="1" applyAlignment="1">
      <alignment horizontal="center" vertical="center"/>
    </xf>
    <xf numFmtId="1" fontId="21" fillId="6" borderId="29" xfId="0" applyNumberFormat="1" applyFont="1" applyFill="1" applyBorder="1" applyAlignment="1">
      <alignment horizontal="center" vertical="center"/>
    </xf>
    <xf numFmtId="166" fontId="21" fillId="8" borderId="29" xfId="0" applyNumberFormat="1" applyFont="1" applyFill="1" applyBorder="1" applyAlignment="1">
      <alignment horizontal="center" vertical="center"/>
    </xf>
    <xf numFmtId="166" fontId="21" fillId="6" borderId="29" xfId="0" applyNumberFormat="1" applyFont="1" applyFill="1" applyBorder="1" applyAlignment="1">
      <alignment horizontal="center" vertical="center"/>
    </xf>
    <xf numFmtId="0" fontId="5" fillId="0" borderId="63" xfId="0" applyFont="1" applyBorder="1" applyAlignment="1">
      <alignment horizontal="right" vertical="center"/>
    </xf>
    <xf numFmtId="0" fontId="5" fillId="0" borderId="31" xfId="0" applyFont="1" applyBorder="1" applyAlignment="1">
      <alignment horizontal="right" vertical="center"/>
    </xf>
    <xf numFmtId="0" fontId="5" fillId="0" borderId="9" xfId="0" applyFont="1" applyBorder="1" applyAlignment="1">
      <alignment horizontal="right" vertical="center"/>
    </xf>
    <xf numFmtId="166" fontId="92" fillId="0" borderId="0" xfId="0" applyNumberFormat="1" applyFont="1" applyAlignment="1">
      <alignment horizontal="center" vertical="center"/>
    </xf>
    <xf numFmtId="166" fontId="19" fillId="0" borderId="0" xfId="0" applyNumberFormat="1" applyFont="1" applyAlignment="1">
      <alignment horizontal="center" vertical="center"/>
    </xf>
    <xf numFmtId="1" fontId="92" fillId="0" borderId="0" xfId="0" applyNumberFormat="1" applyFont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0" fontId="5" fillId="9" borderId="39" xfId="0" applyFont="1" applyFill="1" applyBorder="1" applyAlignment="1">
      <alignment horizontal="center" vertical="center"/>
    </xf>
    <xf numFmtId="0" fontId="5" fillId="9" borderId="39" xfId="0" applyFont="1" applyFill="1" applyBorder="1" applyAlignment="1">
      <alignment vertical="center"/>
    </xf>
    <xf numFmtId="0" fontId="33" fillId="0" borderId="10" xfId="0" applyFont="1" applyBorder="1" applyAlignment="1">
      <alignment horizontal="center" vertical="center"/>
    </xf>
    <xf numFmtId="0" fontId="33" fillId="8" borderId="10" xfId="0" applyFont="1" applyFill="1" applyBorder="1" applyAlignment="1">
      <alignment horizontal="center" vertical="center"/>
    </xf>
    <xf numFmtId="0" fontId="33" fillId="6" borderId="10" xfId="0" applyFont="1" applyFill="1" applyBorder="1" applyAlignment="1">
      <alignment horizontal="center" vertical="center"/>
    </xf>
    <xf numFmtId="166" fontId="26" fillId="9" borderId="10" xfId="0" applyNumberFormat="1" applyFont="1" applyFill="1" applyBorder="1" applyAlignment="1">
      <alignment horizontal="center" vertical="center"/>
    </xf>
    <xf numFmtId="166" fontId="26" fillId="9" borderId="23" xfId="0" applyNumberFormat="1" applyFont="1" applyFill="1" applyBorder="1" applyAlignment="1">
      <alignment horizontal="center" vertical="center"/>
    </xf>
    <xf numFmtId="2" fontId="26" fillId="9" borderId="41" xfId="0" applyNumberFormat="1" applyFont="1" applyFill="1" applyBorder="1" applyAlignment="1">
      <alignment horizontal="center" vertical="center"/>
    </xf>
    <xf numFmtId="2" fontId="26" fillId="9" borderId="30" xfId="0" applyNumberFormat="1" applyFont="1" applyFill="1" applyBorder="1" applyAlignment="1">
      <alignment horizontal="center" vertical="center"/>
    </xf>
    <xf numFmtId="0" fontId="24" fillId="8" borderId="53" xfId="0" applyFont="1" applyFill="1" applyBorder="1" applyAlignment="1">
      <alignment horizontal="center" vertical="center"/>
    </xf>
    <xf numFmtId="0" fontId="26" fillId="8" borderId="42" xfId="0" applyFont="1" applyFill="1" applyBorder="1" applyAlignment="1">
      <alignment horizontal="center" vertical="center"/>
    </xf>
    <xf numFmtId="168" fontId="27" fillId="8" borderId="50" xfId="0" applyNumberFormat="1" applyFont="1" applyFill="1" applyBorder="1" applyAlignment="1">
      <alignment horizontal="center" vertical="center"/>
    </xf>
    <xf numFmtId="168" fontId="26" fillId="8" borderId="19" xfId="0" applyNumberFormat="1" applyFont="1" applyFill="1" applyBorder="1" applyAlignment="1">
      <alignment horizontal="center" vertical="center"/>
    </xf>
    <xf numFmtId="0" fontId="24" fillId="6" borderId="53" xfId="0" applyFont="1" applyFill="1" applyBorder="1" applyAlignment="1">
      <alignment horizontal="center" vertical="center"/>
    </xf>
    <xf numFmtId="2" fontId="27" fillId="6" borderId="53" xfId="0" applyNumberFormat="1" applyFont="1" applyFill="1" applyBorder="1" applyAlignment="1">
      <alignment horizontal="center" vertical="center"/>
    </xf>
    <xf numFmtId="168" fontId="26" fillId="6" borderId="19" xfId="0" applyNumberFormat="1" applyFont="1" applyFill="1" applyBorder="1" applyAlignment="1">
      <alignment horizontal="center" vertical="center"/>
    </xf>
    <xf numFmtId="1" fontId="26" fillId="8" borderId="73" xfId="0" applyNumberFormat="1" applyFont="1" applyFill="1" applyBorder="1" applyAlignment="1">
      <alignment horizontal="center" vertical="center"/>
    </xf>
    <xf numFmtId="0" fontId="5" fillId="0" borderId="34" xfId="0" applyFont="1" applyBorder="1" applyAlignment="1">
      <alignment horizontal="left" vertical="center"/>
    </xf>
    <xf numFmtId="0" fontId="0" fillId="0" borderId="0" xfId="0"/>
    <xf numFmtId="1" fontId="0" fillId="0" borderId="0" xfId="0" applyNumberFormat="1" applyAlignment="1">
      <alignment horizontal="center" vertical="center"/>
    </xf>
    <xf numFmtId="1" fontId="26" fillId="0" borderId="32" xfId="0" applyNumberFormat="1" applyFont="1" applyBorder="1" applyAlignment="1">
      <alignment horizontal="center" vertical="center"/>
    </xf>
    <xf numFmtId="1" fontId="27" fillId="0" borderId="1" xfId="0" applyNumberFormat="1" applyFont="1" applyBorder="1" applyAlignment="1">
      <alignment horizontal="center" vertical="center"/>
    </xf>
    <xf numFmtId="0" fontId="15" fillId="0" borderId="48" xfId="0" applyFont="1" applyBorder="1" applyAlignment="1">
      <alignment horizontal="center"/>
    </xf>
    <xf numFmtId="0" fontId="54" fillId="0" borderId="0" xfId="0" quotePrefix="1" applyFont="1"/>
    <xf numFmtId="0" fontId="0" fillId="0" borderId="0" xfId="0" quotePrefix="1"/>
    <xf numFmtId="1" fontId="5" fillId="0" borderId="5" xfId="0" applyNumberFormat="1" applyFont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1" fontId="24" fillId="0" borderId="45" xfId="0" applyNumberFormat="1" applyFont="1" applyBorder="1" applyAlignment="1">
      <alignment horizontal="center" vertical="center"/>
    </xf>
    <xf numFmtId="1" fontId="5" fillId="8" borderId="11" xfId="0" applyNumberFormat="1" applyFont="1" applyFill="1" applyBorder="1" applyAlignment="1">
      <alignment horizontal="center" vertical="center"/>
    </xf>
    <xf numFmtId="1" fontId="24" fillId="8" borderId="72" xfId="0" applyNumberFormat="1" applyFont="1" applyFill="1" applyBorder="1" applyAlignment="1">
      <alignment horizontal="center" vertical="center"/>
    </xf>
    <xf numFmtId="1" fontId="54" fillId="0" borderId="69" xfId="0" applyNumberFormat="1" applyFont="1" applyBorder="1" applyAlignment="1">
      <alignment horizontal="center" vertical="center"/>
    </xf>
    <xf numFmtId="1" fontId="26" fillId="9" borderId="10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56" fillId="9" borderId="0" xfId="0" applyFont="1" applyFill="1"/>
    <xf numFmtId="1" fontId="5" fillId="0" borderId="21" xfId="0" applyNumberFormat="1" applyFont="1" applyBorder="1" applyAlignment="1">
      <alignment horizontal="center" vertical="center"/>
    </xf>
    <xf numFmtId="1" fontId="5" fillId="8" borderId="21" xfId="0" applyNumberFormat="1" applyFont="1" applyFill="1" applyBorder="1" applyAlignment="1">
      <alignment horizontal="center" vertical="center"/>
    </xf>
    <xf numFmtId="1" fontId="24" fillId="0" borderId="41" xfId="0" applyNumberFormat="1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6" fillId="9" borderId="41" xfId="0" applyFont="1" applyFill="1" applyBorder="1" applyAlignment="1">
      <alignment horizontal="center" vertical="center"/>
    </xf>
    <xf numFmtId="0" fontId="26" fillId="9" borderId="10" xfId="0" applyFont="1" applyFill="1" applyBorder="1" applyAlignment="1">
      <alignment horizontal="center" vertical="center"/>
    </xf>
    <xf numFmtId="0" fontId="26" fillId="9" borderId="45" xfId="0" applyFont="1" applyFill="1" applyBorder="1" applyAlignment="1">
      <alignment horizontal="center" vertical="center"/>
    </xf>
    <xf numFmtId="0" fontId="5" fillId="0" borderId="6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1" fontId="10" fillId="0" borderId="41" xfId="0" applyNumberFormat="1" applyFont="1" applyBorder="1" applyAlignment="1">
      <alignment horizontal="center" vertical="center"/>
    </xf>
    <xf numFmtId="1" fontId="10" fillId="0" borderId="30" xfId="0" applyNumberFormat="1" applyFont="1" applyBorder="1" applyAlignment="1">
      <alignment horizontal="center" vertical="center"/>
    </xf>
    <xf numFmtId="1" fontId="5" fillId="0" borderId="41" xfId="0" applyNumberFormat="1" applyFont="1" applyBorder="1" applyAlignment="1">
      <alignment horizontal="center" vertical="center"/>
    </xf>
    <xf numFmtId="1" fontId="5" fillId="0" borderId="14" xfId="0" applyNumberFormat="1" applyFont="1" applyBorder="1" applyAlignment="1">
      <alignment horizontal="center" vertical="center"/>
    </xf>
    <xf numFmtId="1" fontId="10" fillId="0" borderId="45" xfId="0" applyNumberFormat="1" applyFont="1" applyBorder="1" applyAlignment="1">
      <alignment horizontal="center" vertical="center"/>
    </xf>
    <xf numFmtId="166" fontId="10" fillId="0" borderId="10" xfId="0" applyNumberFormat="1" applyFont="1" applyBorder="1" applyAlignment="1">
      <alignment horizontal="center" vertical="center"/>
    </xf>
    <xf numFmtId="1" fontId="10" fillId="0" borderId="10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  <xf numFmtId="168" fontId="10" fillId="0" borderId="10" xfId="0" applyNumberFormat="1" applyFont="1" applyBorder="1" applyAlignment="1">
      <alignment horizontal="center" vertical="center"/>
    </xf>
    <xf numFmtId="168" fontId="10" fillId="0" borderId="45" xfId="0" applyNumberFormat="1" applyFont="1" applyBorder="1" applyAlignment="1">
      <alignment horizontal="center" vertical="center"/>
    </xf>
    <xf numFmtId="2" fontId="5" fillId="9" borderId="41" xfId="0" applyNumberFormat="1" applyFont="1" applyFill="1" applyBorder="1" applyAlignment="1">
      <alignment horizontal="center" vertical="center"/>
    </xf>
    <xf numFmtId="2" fontId="5" fillId="9" borderId="10" xfId="0" applyNumberFormat="1" applyFont="1" applyFill="1" applyBorder="1" applyAlignment="1">
      <alignment horizontal="center" vertical="center"/>
    </xf>
    <xf numFmtId="2" fontId="5" fillId="9" borderId="14" xfId="0" applyNumberFormat="1" applyFont="1" applyFill="1" applyBorder="1" applyAlignment="1">
      <alignment horizontal="center" vertical="center"/>
    </xf>
    <xf numFmtId="1" fontId="94" fillId="0" borderId="0" xfId="0" applyNumberFormat="1" applyFont="1" applyAlignment="1">
      <alignment horizontal="center" vertical="center"/>
    </xf>
    <xf numFmtId="166" fontId="94" fillId="0" borderId="0" xfId="0" applyNumberFormat="1" applyFont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1" fontId="10" fillId="0" borderId="53" xfId="0" applyNumberFormat="1" applyFont="1" applyBorder="1" applyAlignment="1">
      <alignment horizontal="center" vertical="center"/>
    </xf>
    <xf numFmtId="1" fontId="10" fillId="0" borderId="17" xfId="0" applyNumberFormat="1" applyFont="1" applyBorder="1" applyAlignment="1">
      <alignment horizontal="center" vertical="center"/>
    </xf>
    <xf numFmtId="1" fontId="10" fillId="0" borderId="72" xfId="0" applyNumberFormat="1" applyFont="1" applyBorder="1" applyAlignment="1">
      <alignment horizontal="center" vertical="center"/>
    </xf>
    <xf numFmtId="168" fontId="10" fillId="0" borderId="17" xfId="0" applyNumberFormat="1" applyFont="1" applyBorder="1" applyAlignment="1">
      <alignment horizontal="center" vertical="center"/>
    </xf>
    <xf numFmtId="1" fontId="10" fillId="0" borderId="37" xfId="0" applyNumberFormat="1" applyFont="1" applyBorder="1" applyAlignment="1">
      <alignment horizontal="center" vertical="center"/>
    </xf>
    <xf numFmtId="166" fontId="27" fillId="9" borderId="10" xfId="0" applyNumberFormat="1" applyFont="1" applyFill="1" applyBorder="1" applyAlignment="1">
      <alignment horizontal="center" vertical="center"/>
    </xf>
    <xf numFmtId="0" fontId="5" fillId="8" borderId="28" xfId="0" applyFont="1" applyFill="1" applyBorder="1" applyAlignment="1">
      <alignment horizontal="center" vertical="center"/>
    </xf>
    <xf numFmtId="1" fontId="10" fillId="8" borderId="53" xfId="0" applyNumberFormat="1" applyFont="1" applyFill="1" applyBorder="1" applyAlignment="1">
      <alignment horizontal="center" vertical="center"/>
    </xf>
    <xf numFmtId="1" fontId="5" fillId="8" borderId="73" xfId="0" applyNumberFormat="1" applyFont="1" applyFill="1" applyBorder="1" applyAlignment="1">
      <alignment horizontal="center" vertical="center"/>
    </xf>
    <xf numFmtId="1" fontId="10" fillId="8" borderId="72" xfId="0" applyNumberFormat="1" applyFont="1" applyFill="1" applyBorder="1" applyAlignment="1">
      <alignment horizontal="center" vertical="center"/>
    </xf>
    <xf numFmtId="1" fontId="10" fillId="8" borderId="17" xfId="0" applyNumberFormat="1" applyFont="1" applyFill="1" applyBorder="1" applyAlignment="1">
      <alignment horizontal="center" vertical="center"/>
    </xf>
    <xf numFmtId="168" fontId="10" fillId="8" borderId="17" xfId="0" applyNumberFormat="1" applyFont="1" applyFill="1" applyBorder="1" applyAlignment="1">
      <alignment horizontal="center" vertical="center"/>
    </xf>
    <xf numFmtId="0" fontId="27" fillId="8" borderId="10" xfId="0" applyFont="1" applyFill="1" applyBorder="1" applyAlignment="1">
      <alignment horizontal="center" vertical="center"/>
    </xf>
    <xf numFmtId="0" fontId="36" fillId="0" borderId="3" xfId="0" applyFont="1" applyBorder="1"/>
    <xf numFmtId="1" fontId="24" fillId="0" borderId="87" xfId="0" applyNumberFormat="1" applyFont="1" applyBorder="1" applyAlignment="1">
      <alignment horizontal="center" vertical="center"/>
    </xf>
    <xf numFmtId="2" fontId="27" fillId="0" borderId="10" xfId="0" applyNumberFormat="1" applyFont="1" applyBorder="1" applyAlignment="1">
      <alignment horizontal="center" vertical="center"/>
    </xf>
    <xf numFmtId="2" fontId="26" fillId="0" borderId="27" xfId="0" applyNumberFormat="1" applyFont="1" applyBorder="1" applyAlignment="1">
      <alignment horizontal="center" vertical="center"/>
    </xf>
    <xf numFmtId="1" fontId="5" fillId="0" borderId="50" xfId="0" applyNumberFormat="1" applyFont="1" applyBorder="1" applyAlignment="1">
      <alignment horizontal="center" vertical="center"/>
    </xf>
    <xf numFmtId="2" fontId="5" fillId="0" borderId="27" xfId="0" applyNumberFormat="1" applyFont="1" applyBorder="1" applyAlignment="1">
      <alignment horizontal="center" vertical="center"/>
    </xf>
    <xf numFmtId="0" fontId="41" fillId="0" borderId="24" xfId="0" applyFont="1" applyBorder="1"/>
    <xf numFmtId="0" fontId="3" fillId="0" borderId="7" xfId="0" applyFont="1" applyBorder="1"/>
    <xf numFmtId="1" fontId="24" fillId="0" borderId="39" xfId="0" applyNumberFormat="1" applyFont="1" applyBorder="1" applyAlignment="1">
      <alignment horizontal="center" vertical="center"/>
    </xf>
    <xf numFmtId="1" fontId="25" fillId="0" borderId="42" xfId="0" applyNumberFormat="1" applyFont="1" applyBorder="1" applyAlignment="1">
      <alignment horizontal="center" vertical="center"/>
    </xf>
    <xf numFmtId="2" fontId="26" fillId="0" borderId="59" xfId="0" applyNumberFormat="1" applyFont="1" applyBorder="1" applyAlignment="1">
      <alignment horizontal="center" vertical="center"/>
    </xf>
    <xf numFmtId="0" fontId="27" fillId="8" borderId="82" xfId="0" applyFont="1" applyFill="1" applyBorder="1" applyAlignment="1">
      <alignment horizontal="center" vertical="center"/>
    </xf>
    <xf numFmtId="0" fontId="26" fillId="8" borderId="100" xfId="0" applyFont="1" applyFill="1" applyBorder="1" applyAlignment="1">
      <alignment horizontal="center" vertical="center"/>
    </xf>
    <xf numFmtId="0" fontId="26" fillId="8" borderId="83" xfId="0" applyFont="1" applyFill="1" applyBorder="1" applyAlignment="1">
      <alignment horizontal="center" vertical="center"/>
    </xf>
    <xf numFmtId="1" fontId="26" fillId="8" borderId="83" xfId="0" applyNumberFormat="1" applyFont="1" applyFill="1" applyBorder="1" applyAlignment="1">
      <alignment horizontal="center" vertical="center"/>
    </xf>
    <xf numFmtId="1" fontId="24" fillId="8" borderId="103" xfId="0" applyNumberFormat="1" applyFont="1" applyFill="1" applyBorder="1" applyAlignment="1">
      <alignment horizontal="center" vertical="center"/>
    </xf>
    <xf numFmtId="1" fontId="26" fillId="8" borderId="100" xfId="0" applyNumberFormat="1" applyFont="1" applyFill="1" applyBorder="1" applyAlignment="1">
      <alignment horizontal="center" vertical="center"/>
    </xf>
    <xf numFmtId="2" fontId="26" fillId="8" borderId="83" xfId="0" applyNumberFormat="1" applyFont="1" applyFill="1" applyBorder="1" applyAlignment="1">
      <alignment horizontal="center" vertical="center"/>
    </xf>
    <xf numFmtId="2" fontId="26" fillId="8" borderId="94" xfId="0" applyNumberFormat="1" applyFont="1" applyFill="1" applyBorder="1" applyAlignment="1">
      <alignment horizontal="center" vertical="center"/>
    </xf>
    <xf numFmtId="2" fontId="24" fillId="8" borderId="103" xfId="0" applyNumberFormat="1" applyFont="1" applyFill="1" applyBorder="1" applyAlignment="1">
      <alignment horizontal="center" vertical="center"/>
    </xf>
    <xf numFmtId="1" fontId="26" fillId="8" borderId="81" xfId="0" applyNumberFormat="1" applyFont="1" applyFill="1" applyBorder="1" applyAlignment="1">
      <alignment horizontal="center" vertical="center"/>
    </xf>
    <xf numFmtId="1" fontId="26" fillId="8" borderId="93" xfId="0" applyNumberFormat="1" applyFont="1" applyFill="1" applyBorder="1" applyAlignment="1">
      <alignment horizontal="center" vertical="center"/>
    </xf>
    <xf numFmtId="1" fontId="26" fillId="8" borderId="95" xfId="0" applyNumberFormat="1" applyFont="1" applyFill="1" applyBorder="1" applyAlignment="1">
      <alignment horizontal="center" vertical="center"/>
    </xf>
    <xf numFmtId="1" fontId="24" fillId="8" borderId="110" xfId="0" applyNumberFormat="1" applyFont="1" applyFill="1" applyBorder="1" applyAlignment="1">
      <alignment horizontal="center" vertical="center"/>
    </xf>
    <xf numFmtId="1" fontId="24" fillId="8" borderId="82" xfId="0" applyNumberFormat="1" applyFont="1" applyFill="1" applyBorder="1" applyAlignment="1">
      <alignment horizontal="center" vertical="center"/>
    </xf>
    <xf numFmtId="1" fontId="26" fillId="8" borderId="107" xfId="0" applyNumberFormat="1" applyFont="1" applyFill="1" applyBorder="1" applyAlignment="1">
      <alignment horizontal="center" vertical="center"/>
    </xf>
    <xf numFmtId="2" fontId="26" fillId="8" borderId="95" xfId="0" applyNumberFormat="1" applyFont="1" applyFill="1" applyBorder="1" applyAlignment="1">
      <alignment horizontal="center" vertical="center"/>
    </xf>
    <xf numFmtId="1" fontId="5" fillId="8" borderId="81" xfId="0" applyNumberFormat="1" applyFont="1" applyFill="1" applyBorder="1" applyAlignment="1">
      <alignment horizontal="center" vertical="center"/>
    </xf>
    <xf numFmtId="0" fontId="46" fillId="9" borderId="0" xfId="0" applyFont="1" applyFill="1"/>
    <xf numFmtId="2" fontId="26" fillId="9" borderId="42" xfId="0" applyNumberFormat="1" applyFont="1" applyFill="1" applyBorder="1" applyAlignment="1">
      <alignment horizontal="center" vertical="center"/>
    </xf>
    <xf numFmtId="0" fontId="26" fillId="9" borderId="17" xfId="0" applyFont="1" applyFill="1" applyBorder="1" applyAlignment="1">
      <alignment horizontal="center" vertical="center"/>
    </xf>
    <xf numFmtId="1" fontId="26" fillId="9" borderId="45" xfId="0" applyNumberFormat="1" applyFont="1" applyFill="1" applyBorder="1" applyAlignment="1">
      <alignment horizontal="center" vertical="center"/>
    </xf>
    <xf numFmtId="1" fontId="24" fillId="6" borderId="17" xfId="0" applyNumberFormat="1" applyFont="1" applyFill="1" applyBorder="1" applyAlignment="1">
      <alignment horizontal="center" vertical="center"/>
    </xf>
    <xf numFmtId="0" fontId="27" fillId="9" borderId="4" xfId="0" applyFont="1" applyFill="1" applyBorder="1" applyAlignment="1">
      <alignment horizontal="center" vertical="center"/>
    </xf>
    <xf numFmtId="0" fontId="70" fillId="0" borderId="0" xfId="0" applyFont="1"/>
    <xf numFmtId="1" fontId="26" fillId="9" borderId="23" xfId="0" applyNumberFormat="1" applyFont="1" applyFill="1" applyBorder="1" applyAlignment="1">
      <alignment horizontal="center" vertical="center"/>
    </xf>
    <xf numFmtId="0" fontId="26" fillId="9" borderId="30" xfId="0" applyFont="1" applyFill="1" applyBorder="1" applyAlignment="1">
      <alignment horizontal="center" vertical="center"/>
    </xf>
    <xf numFmtId="1" fontId="24" fillId="9" borderId="5" xfId="0" applyNumberFormat="1" applyFont="1" applyFill="1" applyBorder="1" applyAlignment="1">
      <alignment horizontal="center" vertical="center"/>
    </xf>
    <xf numFmtId="0" fontId="95" fillId="0" borderId="0" xfId="186" applyFill="1" applyBorder="1" applyAlignment="1">
      <alignment horizontal="left" vertical="center"/>
    </xf>
    <xf numFmtId="0" fontId="95" fillId="0" borderId="0" xfId="186" applyFill="1" applyBorder="1" applyAlignment="1">
      <alignment horizontal="left" vertical="top"/>
    </xf>
    <xf numFmtId="0" fontId="96" fillId="0" borderId="22" xfId="186" applyFont="1" applyFill="1" applyBorder="1" applyAlignment="1">
      <alignment horizontal="left" vertical="center"/>
    </xf>
    <xf numFmtId="0" fontId="96" fillId="0" borderId="12" xfId="186" applyFont="1" applyFill="1" applyBorder="1" applyAlignment="1">
      <alignment horizontal="left" vertical="center"/>
    </xf>
    <xf numFmtId="1" fontId="97" fillId="0" borderId="10" xfId="186" applyNumberFormat="1" applyFont="1" applyFill="1" applyBorder="1" applyAlignment="1">
      <alignment horizontal="center" vertical="center"/>
    </xf>
    <xf numFmtId="1" fontId="97" fillId="0" borderId="29" xfId="186" applyNumberFormat="1" applyFont="1" applyFill="1" applyBorder="1" applyAlignment="1">
      <alignment horizontal="center" vertical="center"/>
    </xf>
    <xf numFmtId="0" fontId="96" fillId="0" borderId="60" xfId="186" applyFont="1" applyFill="1" applyBorder="1" applyAlignment="1">
      <alignment horizontal="left" vertical="center"/>
    </xf>
    <xf numFmtId="1" fontId="97" fillId="0" borderId="45" xfId="186" applyNumberFormat="1" applyFont="1" applyFill="1" applyBorder="1" applyAlignment="1">
      <alignment horizontal="center" vertical="center"/>
    </xf>
    <xf numFmtId="1" fontId="95" fillId="0" borderId="0" xfId="186" applyNumberFormat="1" applyFill="1" applyBorder="1" applyAlignment="1">
      <alignment horizontal="left" vertical="top"/>
    </xf>
    <xf numFmtId="1" fontId="97" fillId="9" borderId="10" xfId="186" applyNumberFormat="1" applyFont="1" applyFill="1" applyBorder="1" applyAlignment="1">
      <alignment horizontal="center" vertical="center"/>
    </xf>
    <xf numFmtId="0" fontId="24" fillId="9" borderId="24" xfId="0" applyFont="1" applyFill="1" applyBorder="1" applyAlignment="1">
      <alignment vertical="center"/>
    </xf>
    <xf numFmtId="1" fontId="37" fillId="8" borderId="17" xfId="0" applyNumberFormat="1" applyFont="1" applyFill="1" applyBorder="1" applyAlignment="1">
      <alignment horizontal="center" vertical="center"/>
    </xf>
    <xf numFmtId="0" fontId="0" fillId="0" borderId="0" xfId="0"/>
    <xf numFmtId="1" fontId="26" fillId="6" borderId="83" xfId="0" applyNumberFormat="1" applyFont="1" applyFill="1" applyBorder="1" applyAlignment="1">
      <alignment horizontal="center" vertical="center"/>
    </xf>
    <xf numFmtId="2" fontId="26" fillId="6" borderId="104" xfId="0" applyNumberFormat="1" applyFont="1" applyFill="1" applyBorder="1" applyAlignment="1">
      <alignment horizontal="center" vertical="center"/>
    </xf>
    <xf numFmtId="2" fontId="24" fillId="6" borderId="103" xfId="0" applyNumberFormat="1" applyFont="1" applyFill="1" applyBorder="1" applyAlignment="1">
      <alignment horizontal="center" vertical="center"/>
    </xf>
    <xf numFmtId="1" fontId="26" fillId="6" borderId="81" xfId="0" applyNumberFormat="1" applyFont="1" applyFill="1" applyBorder="1" applyAlignment="1">
      <alignment horizontal="center" vertical="center"/>
    </xf>
    <xf numFmtId="1" fontId="26" fillId="6" borderId="93" xfId="0" applyNumberFormat="1" applyFont="1" applyFill="1" applyBorder="1" applyAlignment="1">
      <alignment horizontal="center" vertical="center"/>
    </xf>
    <xf numFmtId="1" fontId="26" fillId="6" borderId="95" xfId="0" applyNumberFormat="1" applyFont="1" applyFill="1" applyBorder="1" applyAlignment="1">
      <alignment horizontal="center" vertical="center"/>
    </xf>
    <xf numFmtId="166" fontId="26" fillId="6" borderId="34" xfId="0" applyNumberFormat="1" applyFont="1" applyFill="1" applyBorder="1" applyAlignment="1">
      <alignment horizontal="center" vertical="center"/>
    </xf>
    <xf numFmtId="1" fontId="24" fillId="6" borderId="110" xfId="0" applyNumberFormat="1" applyFont="1" applyFill="1" applyBorder="1" applyAlignment="1">
      <alignment horizontal="center" vertical="center"/>
    </xf>
    <xf numFmtId="1" fontId="24" fillId="6" borderId="82" xfId="0" applyNumberFormat="1" applyFont="1" applyFill="1" applyBorder="1" applyAlignment="1">
      <alignment horizontal="center" vertical="center"/>
    </xf>
    <xf numFmtId="0" fontId="26" fillId="6" borderId="83" xfId="0" applyFont="1" applyFill="1" applyBorder="1" applyAlignment="1">
      <alignment horizontal="center" vertical="center"/>
    </xf>
    <xf numFmtId="1" fontId="26" fillId="6" borderId="115" xfId="0" applyNumberFormat="1" applyFont="1" applyFill="1" applyBorder="1" applyAlignment="1">
      <alignment horizontal="center" vertical="center"/>
    </xf>
    <xf numFmtId="2" fontId="26" fillId="6" borderId="116" xfId="0" applyNumberFormat="1" applyFont="1" applyFill="1" applyBorder="1" applyAlignment="1">
      <alignment horizontal="center" vertical="center"/>
    </xf>
    <xf numFmtId="1" fontId="5" fillId="6" borderId="117" xfId="0" applyNumberFormat="1" applyFont="1" applyFill="1" applyBorder="1" applyAlignment="1">
      <alignment horizontal="center" vertical="center"/>
    </xf>
    <xf numFmtId="1" fontId="46" fillId="6" borderId="31" xfId="0" applyNumberFormat="1" applyFont="1" applyFill="1" applyBorder="1" applyAlignment="1">
      <alignment horizontal="center" vertical="center"/>
    </xf>
    <xf numFmtId="0" fontId="96" fillId="0" borderId="40" xfId="186" applyFont="1" applyFill="1" applyBorder="1" applyAlignment="1">
      <alignment horizontal="left" vertical="center"/>
    </xf>
    <xf numFmtId="1" fontId="97" fillId="9" borderId="45" xfId="186" applyNumberFormat="1" applyFont="1" applyFill="1" applyBorder="1" applyAlignment="1">
      <alignment horizontal="center" vertical="center"/>
    </xf>
    <xf numFmtId="17" fontId="22" fillId="35" borderId="13" xfId="186" applyNumberFormat="1" applyFont="1" applyFill="1" applyBorder="1" applyAlignment="1">
      <alignment horizontal="left" vertical="center"/>
    </xf>
    <xf numFmtId="1" fontId="101" fillId="35" borderId="4" xfId="186" applyNumberFormat="1" applyFont="1" applyFill="1" applyBorder="1" applyAlignment="1">
      <alignment horizontal="center" vertical="center"/>
    </xf>
    <xf numFmtId="1" fontId="97" fillId="9" borderId="46" xfId="186" applyNumberFormat="1" applyFont="1" applyFill="1" applyBorder="1" applyAlignment="1">
      <alignment horizontal="center" vertical="center"/>
    </xf>
    <xf numFmtId="167" fontId="1" fillId="0" borderId="38" xfId="1" applyBorder="1"/>
    <xf numFmtId="167" fontId="1" fillId="0" borderId="46" xfId="1" applyBorder="1"/>
    <xf numFmtId="167" fontId="1" fillId="0" borderId="71" xfId="1" applyBorder="1"/>
    <xf numFmtId="0" fontId="101" fillId="34" borderId="13" xfId="186" applyFont="1" applyFill="1" applyBorder="1" applyAlignment="1">
      <alignment horizontal="left" vertical="center"/>
    </xf>
    <xf numFmtId="1" fontId="11" fillId="34" borderId="4" xfId="1" applyNumberFormat="1" applyFont="1" applyFill="1" applyBorder="1" applyAlignment="1">
      <alignment horizontal="center" vertical="center"/>
    </xf>
    <xf numFmtId="1" fontId="46" fillId="8" borderId="31" xfId="0" applyNumberFormat="1" applyFont="1" applyFill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10" fillId="0" borderId="31" xfId="0" applyFont="1" applyBorder="1" applyAlignment="1">
      <alignment horizontal="right" vertical="center"/>
    </xf>
    <xf numFmtId="0" fontId="10" fillId="0" borderId="62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1" fontId="10" fillId="8" borderId="33" xfId="0" applyNumberFormat="1" applyFont="1" applyFill="1" applyBorder="1" applyAlignment="1">
      <alignment horizontal="center" vertical="center"/>
    </xf>
    <xf numFmtId="1" fontId="5" fillId="0" borderId="17" xfId="0" applyNumberFormat="1" applyFont="1" applyBorder="1" applyAlignment="1">
      <alignment horizontal="center" vertical="center"/>
    </xf>
    <xf numFmtId="1" fontId="5" fillId="8" borderId="17" xfId="0" applyNumberFormat="1" applyFont="1" applyFill="1" applyBorder="1" applyAlignment="1">
      <alignment horizontal="center" vertical="center"/>
    </xf>
    <xf numFmtId="1" fontId="5" fillId="0" borderId="72" xfId="0" applyNumberFormat="1" applyFont="1" applyBorder="1" applyAlignment="1">
      <alignment horizontal="center" vertical="center"/>
    </xf>
    <xf numFmtId="1" fontId="5" fillId="8" borderId="72" xfId="0" applyNumberFormat="1" applyFont="1" applyFill="1" applyBorder="1" applyAlignment="1">
      <alignment horizontal="center" vertical="center"/>
    </xf>
    <xf numFmtId="1" fontId="5" fillId="8" borderId="19" xfId="0" applyNumberFormat="1" applyFont="1" applyFill="1" applyBorder="1" applyAlignment="1">
      <alignment horizontal="center" vertical="center"/>
    </xf>
    <xf numFmtId="1" fontId="10" fillId="8" borderId="10" xfId="0" applyNumberFormat="1" applyFont="1" applyFill="1" applyBorder="1" applyAlignment="1">
      <alignment horizontal="center" vertical="center"/>
    </xf>
    <xf numFmtId="0" fontId="93" fillId="9" borderId="42" xfId="0" applyFont="1" applyFill="1" applyBorder="1"/>
    <xf numFmtId="1" fontId="5" fillId="9" borderId="39" xfId="0" applyNumberFormat="1" applyFont="1" applyFill="1" applyBorder="1" applyAlignment="1">
      <alignment horizontal="center" vertical="center"/>
    </xf>
    <xf numFmtId="0" fontId="14" fillId="9" borderId="0" xfId="0" applyFont="1" applyFill="1"/>
    <xf numFmtId="1" fontId="10" fillId="9" borderId="17" xfId="0" applyNumberFormat="1" applyFont="1" applyFill="1" applyBorder="1" applyAlignment="1">
      <alignment horizontal="center" vertical="center"/>
    </xf>
    <xf numFmtId="1" fontId="10" fillId="6" borderId="17" xfId="0" applyNumberFormat="1" applyFont="1" applyFill="1" applyBorder="1" applyAlignment="1">
      <alignment horizontal="center" vertical="center"/>
    </xf>
    <xf numFmtId="1" fontId="5" fillId="9" borderId="33" xfId="0" applyNumberFormat="1" applyFont="1" applyFill="1" applyBorder="1" applyAlignment="1">
      <alignment horizontal="center" vertical="center"/>
    </xf>
    <xf numFmtId="1" fontId="5" fillId="9" borderId="33" xfId="0" applyNumberFormat="1" applyFont="1" applyFill="1" applyBorder="1" applyAlignment="1">
      <alignment horizontal="center"/>
    </xf>
    <xf numFmtId="0" fontId="91" fillId="9" borderId="0" xfId="0" applyFont="1" applyFill="1"/>
    <xf numFmtId="41" fontId="10" fillId="0" borderId="31" xfId="0" quotePrefix="1" applyNumberFormat="1" applyFont="1" applyBorder="1" applyAlignment="1">
      <alignment horizontal="left" vertical="center"/>
    </xf>
    <xf numFmtId="1" fontId="45" fillId="0" borderId="68" xfId="0" applyNumberFormat="1" applyFont="1" applyBorder="1" applyAlignment="1">
      <alignment horizontal="center" vertical="center"/>
    </xf>
    <xf numFmtId="1" fontId="10" fillId="9" borderId="10" xfId="0" applyNumberFormat="1" applyFont="1" applyFill="1" applyBorder="1" applyAlignment="1">
      <alignment horizontal="center" vertical="center"/>
    </xf>
    <xf numFmtId="1" fontId="10" fillId="8" borderId="41" xfId="0" applyNumberFormat="1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vertical="center"/>
    </xf>
    <xf numFmtId="1" fontId="10" fillId="0" borderId="23" xfId="0" applyNumberFormat="1" applyFont="1" applyBorder="1" applyAlignment="1">
      <alignment horizontal="center" vertical="center"/>
    </xf>
    <xf numFmtId="1" fontId="10" fillId="6" borderId="10" xfId="0" applyNumberFormat="1" applyFont="1" applyFill="1" applyBorder="1" applyAlignment="1">
      <alignment horizontal="center" vertical="center"/>
    </xf>
    <xf numFmtId="0" fontId="5" fillId="9" borderId="24" xfId="0" applyFont="1" applyFill="1" applyBorder="1" applyAlignment="1">
      <alignment vertical="center"/>
    </xf>
    <xf numFmtId="1" fontId="97" fillId="9" borderId="38" xfId="186" applyNumberFormat="1" applyFont="1" applyFill="1" applyBorder="1" applyAlignment="1">
      <alignment horizontal="center" vertical="center"/>
    </xf>
    <xf numFmtId="1" fontId="96" fillId="9" borderId="71" xfId="186" applyNumberFormat="1" applyFont="1" applyFill="1" applyBorder="1" applyAlignment="1">
      <alignment horizontal="center" vertical="center"/>
    </xf>
    <xf numFmtId="0" fontId="24" fillId="9" borderId="6" xfId="0" applyFont="1" applyFill="1" applyBorder="1" applyAlignment="1">
      <alignment vertical="center"/>
    </xf>
    <xf numFmtId="0" fontId="24" fillId="9" borderId="6" xfId="0" applyFont="1" applyFill="1" applyBorder="1" applyAlignment="1">
      <alignment horizontal="center" vertical="center"/>
    </xf>
    <xf numFmtId="1" fontId="10" fillId="6" borderId="33" xfId="0" applyNumberFormat="1" applyFont="1" applyFill="1" applyBorder="1" applyAlignment="1">
      <alignment horizontal="center" vertical="center"/>
    </xf>
    <xf numFmtId="0" fontId="96" fillId="0" borderId="47" xfId="186" applyFont="1" applyFill="1" applyBorder="1" applyAlignment="1">
      <alignment horizontal="left" vertical="center"/>
    </xf>
    <xf numFmtId="1" fontId="26" fillId="9" borderId="53" xfId="0" applyNumberFormat="1" applyFont="1" applyFill="1" applyBorder="1" applyAlignment="1">
      <alignment horizontal="center" vertical="center"/>
    </xf>
    <xf numFmtId="0" fontId="96" fillId="0" borderId="52" xfId="186" applyFont="1" applyFill="1" applyBorder="1" applyAlignment="1">
      <alignment horizontal="left" vertical="center"/>
    </xf>
    <xf numFmtId="0" fontId="96" fillId="0" borderId="70" xfId="186" applyFont="1" applyFill="1" applyBorder="1" applyAlignment="1">
      <alignment horizontal="left" vertical="center"/>
    </xf>
    <xf numFmtId="1" fontId="5" fillId="9" borderId="73" xfId="0" applyNumberFormat="1" applyFont="1" applyFill="1" applyBorder="1" applyAlignment="1">
      <alignment horizontal="center" vertical="center"/>
    </xf>
    <xf numFmtId="1" fontId="5" fillId="9" borderId="17" xfId="0" applyNumberFormat="1" applyFont="1" applyFill="1" applyBorder="1" applyAlignment="1">
      <alignment horizontal="center" vertical="center"/>
    </xf>
    <xf numFmtId="1" fontId="5" fillId="9" borderId="21" xfId="0" applyNumberFormat="1" applyFont="1" applyFill="1" applyBorder="1" applyAlignment="1">
      <alignment horizontal="center" vertical="center"/>
    </xf>
    <xf numFmtId="1" fontId="5" fillId="9" borderId="11" xfId="0" applyNumberFormat="1" applyFont="1" applyFill="1" applyBorder="1" applyAlignment="1">
      <alignment horizontal="center" vertical="center"/>
    </xf>
    <xf numFmtId="1" fontId="24" fillId="6" borderId="73" xfId="0" applyNumberFormat="1" applyFont="1" applyFill="1" applyBorder="1" applyAlignment="1">
      <alignment horizontal="center" vertical="center"/>
    </xf>
    <xf numFmtId="0" fontId="24" fillId="0" borderId="105" xfId="0" applyFont="1" applyBorder="1"/>
    <xf numFmtId="0" fontId="26" fillId="0" borderId="99" xfId="0" applyFont="1" applyBorder="1" applyAlignment="1">
      <alignment horizontal="right"/>
    </xf>
    <xf numFmtId="1" fontId="27" fillId="0" borderId="10" xfId="0" applyNumberFormat="1" applyFont="1" applyBorder="1" applyAlignment="1">
      <alignment horizontal="center" vertical="center"/>
    </xf>
    <xf numFmtId="0" fontId="7" fillId="9" borderId="21" xfId="0" applyFont="1" applyFill="1" applyBorder="1" applyAlignment="1">
      <alignment vertical="center"/>
    </xf>
    <xf numFmtId="0" fontId="7" fillId="9" borderId="39" xfId="0" applyFont="1" applyFill="1" applyBorder="1" applyAlignment="1">
      <alignment vertical="center"/>
    </xf>
    <xf numFmtId="0" fontId="6" fillId="9" borderId="44" xfId="0" applyFont="1" applyFill="1" applyBorder="1" applyAlignment="1">
      <alignment vertical="center"/>
    </xf>
    <xf numFmtId="0" fontId="27" fillId="8" borderId="54" xfId="0" applyFont="1" applyFill="1" applyBorder="1" applyAlignment="1">
      <alignment horizontal="center" vertical="center"/>
    </xf>
    <xf numFmtId="1" fontId="24" fillId="8" borderId="10" xfId="0" applyNumberFormat="1" applyFont="1" applyFill="1" applyBorder="1" applyAlignment="1">
      <alignment horizontal="center" vertical="center"/>
    </xf>
    <xf numFmtId="0" fontId="24" fillId="9" borderId="8" xfId="0" applyFont="1" applyFill="1" applyBorder="1" applyAlignment="1">
      <alignment horizontal="center" vertical="center"/>
    </xf>
    <xf numFmtId="41" fontId="10" fillId="9" borderId="31" xfId="0" quotePrefix="1" applyNumberFormat="1" applyFont="1" applyFill="1" applyBorder="1" applyAlignment="1">
      <alignment horizontal="left" vertical="center"/>
    </xf>
    <xf numFmtId="0" fontId="0" fillId="9" borderId="0" xfId="0" applyFill="1" applyAlignment="1"/>
    <xf numFmtId="0" fontId="96" fillId="9" borderId="47" xfId="186" applyFont="1" applyFill="1" applyBorder="1" applyAlignment="1">
      <alignment horizontal="left" vertical="center"/>
    </xf>
    <xf numFmtId="1" fontId="5" fillId="9" borderId="55" xfId="0" applyNumberFormat="1" applyFont="1" applyFill="1" applyBorder="1" applyAlignment="1">
      <alignment horizontal="center" vertical="center"/>
    </xf>
    <xf numFmtId="1" fontId="97" fillId="0" borderId="30" xfId="186" applyNumberFormat="1" applyFont="1" applyFill="1" applyBorder="1" applyAlignment="1">
      <alignment horizontal="center" vertical="center"/>
    </xf>
    <xf numFmtId="1" fontId="97" fillId="0" borderId="7" xfId="186" applyNumberFormat="1" applyFont="1" applyFill="1" applyBorder="1" applyAlignment="1">
      <alignment horizontal="center" vertical="center"/>
    </xf>
    <xf numFmtId="1" fontId="96" fillId="10" borderId="50" xfId="186" applyNumberFormat="1" applyFont="1" applyFill="1" applyBorder="1" applyAlignment="1">
      <alignment horizontal="center" vertical="center"/>
    </xf>
    <xf numFmtId="0" fontId="96" fillId="33" borderId="30" xfId="186" applyFont="1" applyFill="1" applyBorder="1" applyAlignment="1">
      <alignment horizontal="center" vertical="center"/>
    </xf>
    <xf numFmtId="1" fontId="97" fillId="6" borderId="30" xfId="186" applyNumberFormat="1" applyFont="1" applyFill="1" applyBorder="1" applyAlignment="1">
      <alignment horizontal="center" vertical="center"/>
    </xf>
    <xf numFmtId="1" fontId="97" fillId="4" borderId="30" xfId="186" applyNumberFormat="1" applyFont="1" applyFill="1" applyBorder="1" applyAlignment="1">
      <alignment horizontal="center" vertical="center"/>
    </xf>
    <xf numFmtId="1" fontId="96" fillId="8" borderId="30" xfId="186" applyNumberFormat="1" applyFont="1" applyFill="1" applyBorder="1" applyAlignment="1">
      <alignment horizontal="center" vertical="center"/>
    </xf>
    <xf numFmtId="0" fontId="95" fillId="9" borderId="0" xfId="186" applyFill="1" applyBorder="1" applyAlignment="1">
      <alignment horizontal="left" vertical="top"/>
    </xf>
    <xf numFmtId="0" fontId="0" fillId="0" borderId="0" xfId="0"/>
    <xf numFmtId="0" fontId="0" fillId="0" borderId="0" xfId="0"/>
    <xf numFmtId="0" fontId="0" fillId="0" borderId="0" xfId="0"/>
    <xf numFmtId="0" fontId="26" fillId="9" borderId="53" xfId="0" applyFont="1" applyFill="1" applyBorder="1" applyAlignment="1">
      <alignment horizontal="center" vertical="center"/>
    </xf>
    <xf numFmtId="1" fontId="97" fillId="9" borderId="30" xfId="186" applyNumberFormat="1" applyFont="1" applyFill="1" applyBorder="1" applyAlignment="1">
      <alignment horizontal="center" vertical="center"/>
    </xf>
    <xf numFmtId="1" fontId="95" fillId="9" borderId="0" xfId="186" applyNumberFormat="1" applyFill="1" applyBorder="1" applyAlignment="1">
      <alignment horizontal="left" vertical="top"/>
    </xf>
    <xf numFmtId="1" fontId="97" fillId="9" borderId="37" xfId="186" applyNumberFormat="1" applyFont="1" applyFill="1" applyBorder="1" applyAlignment="1">
      <alignment horizontal="center" vertical="center"/>
    </xf>
    <xf numFmtId="1" fontId="93" fillId="9" borderId="0" xfId="0" applyNumberFormat="1" applyFont="1" applyFill="1"/>
    <xf numFmtId="0" fontId="0" fillId="0" borderId="0" xfId="0"/>
    <xf numFmtId="0" fontId="33" fillId="0" borderId="28" xfId="0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25" fillId="0" borderId="10" xfId="0" applyFont="1" applyBorder="1" applyAlignment="1">
      <alignment horizontal="center" vertical="center"/>
    </xf>
    <xf numFmtId="0" fontId="27" fillId="0" borderId="31" xfId="0" applyFont="1" applyBorder="1" applyAlignment="1">
      <alignment horizontal="left" vertical="center"/>
    </xf>
    <xf numFmtId="1" fontId="24" fillId="9" borderId="17" xfId="0" applyNumberFormat="1" applyFont="1" applyFill="1" applyBorder="1" applyAlignment="1">
      <alignment horizontal="center" vertical="center"/>
    </xf>
    <xf numFmtId="1" fontId="26" fillId="9" borderId="30" xfId="0" applyNumberFormat="1" applyFont="1" applyFill="1" applyBorder="1" applyAlignment="1">
      <alignment horizontal="center" vertical="center"/>
    </xf>
    <xf numFmtId="2" fontId="26" fillId="0" borderId="38" xfId="0" applyNumberFormat="1" applyFont="1" applyBorder="1" applyAlignment="1">
      <alignment horizontal="center"/>
    </xf>
    <xf numFmtId="168" fontId="26" fillId="9" borderId="10" xfId="0" applyNumberFormat="1" applyFont="1" applyFill="1" applyBorder="1" applyAlignment="1">
      <alignment horizontal="center" vertical="center"/>
    </xf>
    <xf numFmtId="166" fontId="10" fillId="0" borderId="30" xfId="0" applyNumberFormat="1" applyFont="1" applyBorder="1" applyAlignment="1">
      <alignment horizontal="center" vertical="center"/>
    </xf>
    <xf numFmtId="168" fontId="10" fillId="0" borderId="42" xfId="0" applyNumberFormat="1" applyFont="1" applyBorder="1" applyAlignment="1">
      <alignment horizontal="center" vertical="center"/>
    </xf>
    <xf numFmtId="0" fontId="10" fillId="0" borderId="33" xfId="0" applyFont="1" applyBorder="1" applyAlignment="1">
      <alignment vertical="center"/>
    </xf>
    <xf numFmtId="168" fontId="10" fillId="0" borderId="23" xfId="0" applyNumberFormat="1" applyFont="1" applyBorder="1" applyAlignment="1">
      <alignment horizontal="center" vertical="center"/>
    </xf>
    <xf numFmtId="0" fontId="5" fillId="9" borderId="24" xfId="0" applyFont="1" applyFill="1" applyBorder="1" applyAlignment="1">
      <alignment horizontal="center" vertical="center"/>
    </xf>
    <xf numFmtId="0" fontId="20" fillId="9" borderId="24" xfId="0" applyFont="1" applyFill="1" applyBorder="1" applyAlignment="1">
      <alignment vertical="center"/>
    </xf>
    <xf numFmtId="0" fontId="5" fillId="9" borderId="3" xfId="0" applyFont="1" applyFill="1" applyBorder="1" applyAlignment="1">
      <alignment vertical="center"/>
    </xf>
    <xf numFmtId="0" fontId="24" fillId="9" borderId="7" xfId="0" applyFont="1" applyFill="1" applyBorder="1" applyAlignment="1">
      <alignment horizontal="center" vertical="center"/>
    </xf>
    <xf numFmtId="0" fontId="24" fillId="9" borderId="7" xfId="0" applyFont="1" applyFill="1" applyBorder="1" applyAlignment="1">
      <alignment vertical="center"/>
    </xf>
    <xf numFmtId="166" fontId="26" fillId="8" borderId="10" xfId="0" applyNumberFormat="1" applyFont="1" applyFill="1" applyBorder="1" applyAlignment="1">
      <alignment horizontal="center" vertical="center"/>
    </xf>
    <xf numFmtId="0" fontId="5" fillId="9" borderId="52" xfId="0" applyFont="1" applyFill="1" applyBorder="1" applyAlignment="1">
      <alignment vertical="center"/>
    </xf>
    <xf numFmtId="1" fontId="5" fillId="9" borderId="7" xfId="0" applyNumberFormat="1" applyFont="1" applyFill="1" applyBorder="1" applyAlignment="1">
      <alignment horizontal="center" vertical="center"/>
    </xf>
    <xf numFmtId="0" fontId="5" fillId="9" borderId="44" xfId="0" applyFont="1" applyFill="1" applyBorder="1" applyAlignment="1">
      <alignment vertical="center"/>
    </xf>
    <xf numFmtId="0" fontId="5" fillId="9" borderId="61" xfId="0" applyFont="1" applyFill="1" applyBorder="1" applyAlignment="1">
      <alignment vertical="center"/>
    </xf>
    <xf numFmtId="1" fontId="25" fillId="8" borderId="45" xfId="0" applyNumberFormat="1" applyFont="1" applyFill="1" applyBorder="1" applyAlignment="1">
      <alignment horizontal="center" vertical="center"/>
    </xf>
    <xf numFmtId="0" fontId="5" fillId="9" borderId="7" xfId="0" applyFont="1" applyFill="1" applyBorder="1" applyAlignment="1">
      <alignment vertical="center"/>
    </xf>
    <xf numFmtId="0" fontId="104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104" fillId="0" borderId="0" xfId="0" applyNumberFormat="1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" fillId="9" borderId="10" xfId="0" applyFont="1" applyFill="1" applyBorder="1" applyAlignment="1">
      <alignment vertical="center"/>
    </xf>
    <xf numFmtId="0" fontId="5" fillId="9" borderId="10" xfId="0" applyFont="1" applyFill="1" applyBorder="1" applyAlignment="1">
      <alignment horizontal="center" vertical="center"/>
    </xf>
    <xf numFmtId="0" fontId="54" fillId="0" borderId="10" xfId="0" applyFont="1" applyBorder="1"/>
    <xf numFmtId="0" fontId="5" fillId="9" borderId="61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5" fillId="9" borderId="0" xfId="0" applyFont="1" applyFill="1" applyBorder="1" applyAlignment="1">
      <alignment horizontal="center" vertical="center"/>
    </xf>
    <xf numFmtId="0" fontId="5" fillId="9" borderId="0" xfId="0" applyFont="1" applyFill="1" applyBorder="1" applyAlignment="1">
      <alignment vertical="center"/>
    </xf>
    <xf numFmtId="0" fontId="24" fillId="9" borderId="30" xfId="0" applyFont="1" applyFill="1" applyBorder="1" applyAlignment="1">
      <alignment horizontal="center" vertical="center"/>
    </xf>
    <xf numFmtId="0" fontId="24" fillId="9" borderId="30" xfId="0" applyFont="1" applyFill="1" applyBorder="1" applyAlignment="1">
      <alignment vertical="center"/>
    </xf>
    <xf numFmtId="0" fontId="5" fillId="9" borderId="44" xfId="0" applyFont="1" applyFill="1" applyBorder="1"/>
    <xf numFmtId="0" fontId="5" fillId="9" borderId="24" xfId="0" applyFont="1" applyFill="1" applyBorder="1"/>
    <xf numFmtId="0" fontId="27" fillId="9" borderId="47" xfId="0" applyFont="1" applyFill="1" applyBorder="1" applyAlignment="1">
      <alignment vertical="center"/>
    </xf>
    <xf numFmtId="0" fontId="27" fillId="9" borderId="6" xfId="0" applyFont="1" applyFill="1" applyBorder="1" applyAlignment="1">
      <alignment vertical="center"/>
    </xf>
    <xf numFmtId="0" fontId="27" fillId="9" borderId="29" xfId="0" applyFont="1" applyFill="1" applyBorder="1" applyAlignment="1">
      <alignment vertical="center"/>
    </xf>
    <xf numFmtId="168" fontId="27" fillId="8" borderId="31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10" xfId="0" applyBorder="1" applyAlignment="1">
      <alignment horizontal="center" vertical="center"/>
    </xf>
    <xf numFmtId="1" fontId="26" fillId="9" borderId="41" xfId="0" applyNumberFormat="1" applyFont="1" applyFill="1" applyBorder="1" applyAlignment="1">
      <alignment horizontal="center" vertical="center"/>
    </xf>
    <xf numFmtId="1" fontId="26" fillId="8" borderId="45" xfId="0" applyNumberFormat="1" applyFont="1" applyFill="1" applyBorder="1" applyAlignment="1">
      <alignment horizontal="center" vertical="center"/>
    </xf>
    <xf numFmtId="1" fontId="26" fillId="9" borderId="42" xfId="0" applyNumberFormat="1" applyFont="1" applyFill="1" applyBorder="1" applyAlignment="1">
      <alignment horizontal="center" vertical="center"/>
    </xf>
    <xf numFmtId="0" fontId="26" fillId="0" borderId="31" xfId="0" applyFont="1" applyBorder="1" applyAlignment="1">
      <alignment horizontal="left" vertical="center" wrapText="1"/>
    </xf>
    <xf numFmtId="0" fontId="26" fillId="0" borderId="62" xfId="0" applyFont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5" fillId="9" borderId="44" xfId="0" applyFont="1" applyFill="1" applyBorder="1" applyAlignment="1">
      <alignment horizontal="left" vertical="center" wrapText="1"/>
    </xf>
    <xf numFmtId="0" fontId="26" fillId="0" borderId="52" xfId="0" applyFont="1" applyBorder="1" applyAlignment="1">
      <alignment horizontal="left" vertical="center" wrapText="1"/>
    </xf>
    <xf numFmtId="0" fontId="26" fillId="0" borderId="32" xfId="0" applyFont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30" fillId="0" borderId="0" xfId="0" applyFont="1" applyAlignment="1">
      <alignment horizontal="left" vertical="center" wrapText="1"/>
    </xf>
    <xf numFmtId="0" fontId="27" fillId="0" borderId="0" xfId="0" applyFont="1" applyAlignment="1">
      <alignment horizontal="left" vertical="center" wrapText="1"/>
    </xf>
    <xf numFmtId="0" fontId="0" fillId="0" borderId="0" xfId="0"/>
    <xf numFmtId="1" fontId="93" fillId="9" borderId="42" xfId="0" applyNumberFormat="1" applyFont="1" applyFill="1" applyBorder="1"/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26" fillId="0" borderId="0" xfId="0" applyNumberFormat="1" applyFont="1" applyAlignment="1">
      <alignment horizontal="center" vertical="center"/>
    </xf>
    <xf numFmtId="0" fontId="0" fillId="0" borderId="0" xfId="0"/>
    <xf numFmtId="1" fontId="21" fillId="8" borderId="29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54" fillId="0" borderId="0" xfId="0" applyFont="1" applyFill="1"/>
    <xf numFmtId="0" fontId="43" fillId="0" borderId="0" xfId="0" applyFont="1" applyAlignment="1">
      <alignment horizontal="right" vertical="center"/>
    </xf>
    <xf numFmtId="0" fontId="50" fillId="0" borderId="24" xfId="0" applyFont="1" applyBorder="1" applyAlignment="1">
      <alignment vertical="center"/>
    </xf>
    <xf numFmtId="0" fontId="33" fillId="0" borderId="10" xfId="0" applyFont="1" applyBorder="1" applyAlignment="1">
      <alignment horizontal="right" vertical="center"/>
    </xf>
    <xf numFmtId="0" fontId="33" fillId="0" borderId="37" xfId="0" applyFont="1" applyBorder="1" applyAlignment="1">
      <alignment horizontal="right" vertical="center"/>
    </xf>
    <xf numFmtId="0" fontId="31" fillId="0" borderId="49" xfId="0" applyFont="1" applyBorder="1"/>
    <xf numFmtId="0" fontId="32" fillId="0" borderId="8" xfId="0" applyFont="1" applyBorder="1"/>
    <xf numFmtId="0" fontId="0" fillId="0" borderId="10" xfId="0" applyBorder="1" applyAlignment="1">
      <alignment horizontal="right" vertical="center"/>
    </xf>
    <xf numFmtId="0" fontId="0" fillId="0" borderId="37" xfId="0" applyBorder="1" applyAlignment="1">
      <alignment horizontal="right" vertical="center"/>
    </xf>
    <xf numFmtId="0" fontId="32" fillId="0" borderId="29" xfId="0" applyFont="1" applyBorder="1"/>
    <xf numFmtId="1" fontId="0" fillId="0" borderId="10" xfId="0" applyNumberFormat="1" applyFill="1" applyBorder="1" applyAlignment="1">
      <alignment horizontal="right" vertical="center"/>
    </xf>
    <xf numFmtId="1" fontId="0" fillId="0" borderId="37" xfId="0" applyNumberFormat="1" applyFill="1" applyBorder="1" applyAlignment="1">
      <alignment horizontal="right" vertical="center"/>
    </xf>
    <xf numFmtId="0" fontId="32" fillId="9" borderId="29" xfId="0" applyFont="1" applyFill="1" applyBorder="1"/>
    <xf numFmtId="0" fontId="32" fillId="0" borderId="36" xfId="0" applyFont="1" applyBorder="1"/>
    <xf numFmtId="0" fontId="17" fillId="0" borderId="4" xfId="0" applyFont="1" applyBorder="1"/>
    <xf numFmtId="0" fontId="24" fillId="0" borderId="10" xfId="0" applyFont="1" applyFill="1" applyBorder="1" applyAlignment="1">
      <alignment horizontal="right" vertical="center"/>
    </xf>
    <xf numFmtId="0" fontId="24" fillId="0" borderId="37" xfId="0" applyFont="1" applyFill="1" applyBorder="1" applyAlignment="1">
      <alignment horizontal="right" vertical="center"/>
    </xf>
    <xf numFmtId="0" fontId="32" fillId="0" borderId="38" xfId="0" applyFont="1" applyBorder="1"/>
    <xf numFmtId="0" fontId="17" fillId="0" borderId="87" xfId="0" applyFont="1" applyBorder="1"/>
    <xf numFmtId="1" fontId="24" fillId="0" borderId="10" xfId="0" applyNumberFormat="1" applyFont="1" applyFill="1" applyBorder="1" applyAlignment="1">
      <alignment horizontal="right" vertical="center"/>
    </xf>
    <xf numFmtId="1" fontId="24" fillId="0" borderId="37" xfId="0" applyNumberFormat="1" applyFont="1" applyFill="1" applyBorder="1" applyAlignment="1">
      <alignment horizontal="right" vertical="center"/>
    </xf>
    <xf numFmtId="0" fontId="23" fillId="0" borderId="10" xfId="0" applyFont="1" applyBorder="1"/>
    <xf numFmtId="0" fontId="0" fillId="0" borderId="29" xfId="0" applyBorder="1"/>
    <xf numFmtId="0" fontId="17" fillId="0" borderId="10" xfId="0" applyFont="1" applyBorder="1" applyAlignment="1">
      <alignment horizontal="left" vertical="center"/>
    </xf>
    <xf numFmtId="0" fontId="22" fillId="0" borderId="4" xfId="0" applyFont="1" applyBorder="1" applyAlignment="1">
      <alignment vertical="center"/>
    </xf>
    <xf numFmtId="0" fontId="25" fillId="0" borderId="67" xfId="0" applyFont="1" applyBorder="1" applyAlignment="1">
      <alignment horizontal="center" vertical="center"/>
    </xf>
    <xf numFmtId="1" fontId="0" fillId="0" borderId="10" xfId="0" applyNumberFormat="1" applyBorder="1" applyAlignment="1">
      <alignment horizontal="right"/>
    </xf>
    <xf numFmtId="1" fontId="0" fillId="0" borderId="37" xfId="0" applyNumberFormat="1" applyBorder="1" applyAlignment="1">
      <alignment horizontal="right"/>
    </xf>
    <xf numFmtId="0" fontId="65" fillId="9" borderId="0" xfId="0" applyFont="1" applyFill="1" applyAlignment="1">
      <alignment horizontal="center" vertical="center"/>
    </xf>
    <xf numFmtId="0" fontId="17" fillId="0" borderId="0" xfId="0" applyFont="1" applyBorder="1"/>
    <xf numFmtId="0" fontId="66" fillId="9" borderId="0" xfId="0" applyFont="1" applyFill="1" applyBorder="1" applyAlignment="1">
      <alignment horizontal="center" vertical="center"/>
    </xf>
    <xf numFmtId="0" fontId="65" fillId="9" borderId="0" xfId="0" applyFont="1" applyFill="1" applyAlignment="1">
      <alignment horizontal="right"/>
    </xf>
    <xf numFmtId="0" fontId="67" fillId="9" borderId="0" xfId="0" applyFont="1" applyFill="1" applyAlignment="1">
      <alignment horizontal="center"/>
    </xf>
    <xf numFmtId="2" fontId="26" fillId="0" borderId="8" xfId="0" applyNumberFormat="1" applyFont="1" applyBorder="1" applyAlignment="1">
      <alignment horizontal="right" vertical="center"/>
    </xf>
    <xf numFmtId="2" fontId="27" fillId="0" borderId="8" xfId="0" applyNumberFormat="1" applyFont="1" applyBorder="1" applyAlignment="1">
      <alignment horizontal="right" vertical="center"/>
    </xf>
    <xf numFmtId="0" fontId="17" fillId="0" borderId="76" xfId="0" applyFont="1" applyBorder="1"/>
    <xf numFmtId="0" fontId="24" fillId="0" borderId="85" xfId="0" applyFont="1" applyBorder="1" applyAlignment="1">
      <alignment horizontal="center" vertical="center"/>
    </xf>
    <xf numFmtId="0" fontId="17" fillId="0" borderId="63" xfId="0" applyFont="1" applyBorder="1"/>
    <xf numFmtId="0" fontId="28" fillId="0" borderId="17" xfId="0" applyFont="1" applyBorder="1" applyAlignment="1">
      <alignment horizontal="center"/>
    </xf>
    <xf numFmtId="0" fontId="0" fillId="0" borderId="17" xfId="0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17" xfId="0" applyNumberFormat="1" applyBorder="1" applyAlignment="1">
      <alignment horizontal="center"/>
    </xf>
    <xf numFmtId="1" fontId="28" fillId="0" borderId="10" xfId="0" applyNumberFormat="1" applyFont="1" applyBorder="1" applyAlignment="1">
      <alignment horizontal="center"/>
    </xf>
    <xf numFmtId="1" fontId="28" fillId="0" borderId="17" xfId="0" applyNumberFormat="1" applyFont="1" applyBorder="1" applyAlignment="1">
      <alignment horizontal="center"/>
    </xf>
    <xf numFmtId="1" fontId="37" fillId="0" borderId="17" xfId="0" applyNumberFormat="1" applyFont="1" applyBorder="1" applyAlignment="1">
      <alignment horizontal="center" vertical="center"/>
    </xf>
    <xf numFmtId="1" fontId="23" fillId="0" borderId="10" xfId="0" applyNumberFormat="1" applyFont="1" applyBorder="1" applyAlignment="1">
      <alignment horizontal="center"/>
    </xf>
    <xf numFmtId="1" fontId="23" fillId="0" borderId="17" xfId="0" applyNumberFormat="1" applyFont="1" applyBorder="1" applyAlignment="1">
      <alignment horizontal="center"/>
    </xf>
    <xf numFmtId="1" fontId="0" fillId="0" borderId="33" xfId="0" applyNumberFormat="1" applyBorder="1" applyAlignment="1">
      <alignment horizontal="center"/>
    </xf>
    <xf numFmtId="2" fontId="28" fillId="0" borderId="10" xfId="0" applyNumberFormat="1" applyFont="1" applyBorder="1" applyAlignment="1">
      <alignment horizontal="center"/>
    </xf>
    <xf numFmtId="2" fontId="28" fillId="0" borderId="17" xfId="0" applyNumberFormat="1" applyFon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37" fillId="0" borderId="10" xfId="0" applyNumberFormat="1" applyFont="1" applyBorder="1" applyAlignment="1">
      <alignment horizontal="center" vertical="center"/>
    </xf>
    <xf numFmtId="2" fontId="37" fillId="0" borderId="17" xfId="0" applyNumberFormat="1" applyFont="1" applyBorder="1" applyAlignment="1">
      <alignment horizontal="center" vertical="center"/>
    </xf>
    <xf numFmtId="2" fontId="23" fillId="0" borderId="10" xfId="0" applyNumberFormat="1" applyFont="1" applyBorder="1" applyAlignment="1">
      <alignment horizontal="center"/>
    </xf>
    <xf numFmtId="2" fontId="23" fillId="0" borderId="17" xfId="0" applyNumberFormat="1" applyFont="1" applyBorder="1" applyAlignment="1">
      <alignment horizontal="center"/>
    </xf>
    <xf numFmtId="2" fontId="0" fillId="0" borderId="33" xfId="0" applyNumberFormat="1" applyBorder="1" applyAlignment="1">
      <alignment horizontal="center"/>
    </xf>
    <xf numFmtId="0" fontId="33" fillId="8" borderId="17" xfId="0" applyFont="1" applyFill="1" applyBorder="1" applyAlignment="1">
      <alignment horizontal="center" vertical="center"/>
    </xf>
    <xf numFmtId="0" fontId="28" fillId="8" borderId="17" xfId="0" applyFont="1" applyFill="1" applyBorder="1" applyAlignment="1">
      <alignment horizontal="center"/>
    </xf>
    <xf numFmtId="0" fontId="0" fillId="8" borderId="17" xfId="0" applyFill="1" applyBorder="1" applyAlignment="1">
      <alignment horizontal="center"/>
    </xf>
    <xf numFmtId="1" fontId="0" fillId="8" borderId="17" xfId="0" applyNumberFormat="1" applyFill="1" applyBorder="1" applyAlignment="1">
      <alignment horizontal="center"/>
    </xf>
    <xf numFmtId="1" fontId="28" fillId="8" borderId="17" xfId="0" applyNumberFormat="1" applyFont="1" applyFill="1" applyBorder="1" applyAlignment="1">
      <alignment horizontal="center"/>
    </xf>
    <xf numFmtId="1" fontId="23" fillId="8" borderId="17" xfId="0" applyNumberFormat="1" applyFont="1" applyFill="1" applyBorder="1" applyAlignment="1">
      <alignment horizontal="center"/>
    </xf>
    <xf numFmtId="1" fontId="0" fillId="8" borderId="33" xfId="0" applyNumberFormat="1" applyFill="1" applyBorder="1" applyAlignment="1">
      <alignment horizontal="center"/>
    </xf>
    <xf numFmtId="2" fontId="28" fillId="8" borderId="17" xfId="0" applyNumberFormat="1" applyFont="1" applyFill="1" applyBorder="1" applyAlignment="1">
      <alignment horizontal="center"/>
    </xf>
    <xf numFmtId="2" fontId="0" fillId="8" borderId="17" xfId="0" applyNumberFormat="1" applyFill="1" applyBorder="1" applyAlignment="1">
      <alignment horizontal="center"/>
    </xf>
    <xf numFmtId="2" fontId="37" fillId="8" borderId="17" xfId="0" applyNumberFormat="1" applyFont="1" applyFill="1" applyBorder="1" applyAlignment="1">
      <alignment horizontal="center" vertical="center"/>
    </xf>
    <xf numFmtId="2" fontId="23" fillId="8" borderId="17" xfId="0" applyNumberFormat="1" applyFont="1" applyFill="1" applyBorder="1" applyAlignment="1">
      <alignment horizontal="center"/>
    </xf>
    <xf numFmtId="2" fontId="0" fillId="8" borderId="33" xfId="0" applyNumberFormat="1" applyFill="1" applyBorder="1" applyAlignment="1">
      <alignment horizontal="center"/>
    </xf>
    <xf numFmtId="0" fontId="51" fillId="9" borderId="0" xfId="0" applyFont="1" applyFill="1" applyAlignment="1">
      <alignment horizontal="center" vertical="center"/>
    </xf>
    <xf numFmtId="0" fontId="32" fillId="9" borderId="0" xfId="0" applyFont="1" applyFill="1"/>
    <xf numFmtId="0" fontId="15" fillId="9" borderId="0" xfId="0" applyFont="1" applyFill="1" applyAlignment="1">
      <alignment horizontal="center" vertical="center"/>
    </xf>
    <xf numFmtId="0" fontId="43" fillId="9" borderId="0" xfId="0" applyFont="1" applyFill="1" applyAlignment="1">
      <alignment horizontal="right" vertical="center"/>
    </xf>
    <xf numFmtId="0" fontId="0" fillId="9" borderId="0" xfId="0" applyFill="1" applyAlignment="1">
      <alignment horizontal="left"/>
    </xf>
    <xf numFmtId="0" fontId="0" fillId="9" borderId="0" xfId="0" applyFill="1" applyAlignment="1">
      <alignment horizontal="center"/>
    </xf>
    <xf numFmtId="0" fontId="33" fillId="9" borderId="0" xfId="0" applyFont="1" applyFill="1" applyAlignment="1">
      <alignment horizontal="center" vertical="center"/>
    </xf>
    <xf numFmtId="0" fontId="50" fillId="9" borderId="44" xfId="0" applyFont="1" applyFill="1" applyBorder="1" applyAlignment="1">
      <alignment vertical="center"/>
    </xf>
    <xf numFmtId="0" fontId="33" fillId="9" borderId="0" xfId="0" applyFont="1" applyFill="1" applyAlignment="1">
      <alignment horizontal="right" vertical="center"/>
    </xf>
    <xf numFmtId="0" fontId="31" fillId="9" borderId="51" xfId="0" applyFont="1" applyFill="1" applyBorder="1"/>
    <xf numFmtId="0" fontId="33" fillId="9" borderId="10" xfId="0" applyFont="1" applyFill="1" applyBorder="1" applyAlignment="1">
      <alignment horizontal="right" vertical="center"/>
    </xf>
    <xf numFmtId="168" fontId="26" fillId="9" borderId="0" xfId="0" applyNumberFormat="1" applyFont="1" applyFill="1" applyAlignment="1">
      <alignment horizontal="center" vertical="center"/>
    </xf>
    <xf numFmtId="0" fontId="32" fillId="9" borderId="34" xfId="0" applyFont="1" applyFill="1" applyBorder="1"/>
    <xf numFmtId="2" fontId="26" fillId="9" borderId="8" xfId="0" applyNumberFormat="1" applyFont="1" applyFill="1" applyBorder="1" applyAlignment="1">
      <alignment horizontal="right" vertical="center"/>
    </xf>
    <xf numFmtId="2" fontId="26" fillId="9" borderId="0" xfId="0" applyNumberFormat="1" applyFont="1" applyFill="1" applyAlignment="1">
      <alignment horizontal="center" vertical="center"/>
    </xf>
    <xf numFmtId="0" fontId="54" fillId="0" borderId="0" xfId="0" applyFont="1" applyFill="1" applyAlignment="1">
      <alignment horizontal="center" vertical="center"/>
    </xf>
    <xf numFmtId="166" fontId="26" fillId="9" borderId="59" xfId="0" applyNumberFormat="1" applyFont="1" applyFill="1" applyBorder="1" applyAlignment="1">
      <alignment horizontal="center" vertical="center"/>
    </xf>
    <xf numFmtId="1" fontId="26" fillId="9" borderId="29" xfId="0" applyNumberFormat="1" applyFont="1" applyFill="1" applyBorder="1" applyAlignment="1">
      <alignment horizontal="center" vertical="center"/>
    </xf>
    <xf numFmtId="166" fontId="26" fillId="8" borderId="30" xfId="0" applyNumberFormat="1" applyFont="1" applyFill="1" applyBorder="1" applyAlignment="1">
      <alignment horizontal="center" vertical="center"/>
    </xf>
    <xf numFmtId="2" fontId="26" fillId="8" borderId="38" xfId="0" applyNumberFormat="1" applyFont="1" applyFill="1" applyBorder="1" applyAlignment="1">
      <alignment horizontal="center"/>
    </xf>
    <xf numFmtId="1" fontId="5" fillId="8" borderId="5" xfId="0" applyNumberFormat="1" applyFont="1" applyFill="1" applyBorder="1" applyAlignment="1">
      <alignment horizontal="center" vertical="center"/>
    </xf>
    <xf numFmtId="0" fontId="10" fillId="8" borderId="10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10" fillId="8" borderId="41" xfId="0" applyFont="1" applyFill="1" applyBorder="1" applyAlignment="1">
      <alignment horizontal="center" vertical="center"/>
    </xf>
    <xf numFmtId="0" fontId="10" fillId="8" borderId="23" xfId="0" applyFont="1" applyFill="1" applyBorder="1" applyAlignment="1">
      <alignment horizontal="center" vertical="center"/>
    </xf>
    <xf numFmtId="0" fontId="10" fillId="8" borderId="30" xfId="0" applyFont="1" applyFill="1" applyBorder="1" applyAlignment="1">
      <alignment horizontal="center" vertical="center"/>
    </xf>
    <xf numFmtId="1" fontId="5" fillId="8" borderId="41" xfId="0" applyNumberFormat="1" applyFont="1" applyFill="1" applyBorder="1" applyAlignment="1">
      <alignment horizontal="center" vertical="center"/>
    </xf>
    <xf numFmtId="1" fontId="5" fillId="8" borderId="14" xfId="0" applyNumberFormat="1" applyFont="1" applyFill="1" applyBorder="1" applyAlignment="1">
      <alignment horizontal="center" vertical="center"/>
    </xf>
    <xf numFmtId="166" fontId="10" fillId="8" borderId="10" xfId="0" applyNumberFormat="1" applyFont="1" applyFill="1" applyBorder="1" applyAlignment="1">
      <alignment horizontal="center" vertical="center"/>
    </xf>
    <xf numFmtId="166" fontId="10" fillId="8" borderId="30" xfId="0" applyNumberFormat="1" applyFont="1" applyFill="1" applyBorder="1" applyAlignment="1">
      <alignment horizontal="center" vertical="center"/>
    </xf>
    <xf numFmtId="2" fontId="10" fillId="8" borderId="10" xfId="0" applyNumberFormat="1" applyFont="1" applyFill="1" applyBorder="1" applyAlignment="1">
      <alignment horizontal="center" vertical="center"/>
    </xf>
    <xf numFmtId="2" fontId="10" fillId="8" borderId="29" xfId="0" applyNumberFormat="1" applyFont="1" applyFill="1" applyBorder="1" applyAlignment="1">
      <alignment horizontal="center" vertical="center"/>
    </xf>
    <xf numFmtId="168" fontId="10" fillId="8" borderId="45" xfId="0" applyNumberFormat="1" applyFont="1" applyFill="1" applyBorder="1" applyAlignment="1">
      <alignment horizontal="center" vertical="center"/>
    </xf>
    <xf numFmtId="168" fontId="10" fillId="8" borderId="23" xfId="0" applyNumberFormat="1" applyFont="1" applyFill="1" applyBorder="1" applyAlignment="1">
      <alignment horizontal="center" vertical="center"/>
    </xf>
    <xf numFmtId="168" fontId="10" fillId="8" borderId="42" xfId="0" applyNumberFormat="1" applyFont="1" applyFill="1" applyBorder="1" applyAlignment="1">
      <alignment horizontal="center" vertical="center"/>
    </xf>
    <xf numFmtId="0" fontId="10" fillId="8" borderId="33" xfId="0" applyFont="1" applyFill="1" applyBorder="1" applyAlignment="1">
      <alignment vertical="center"/>
    </xf>
    <xf numFmtId="2" fontId="5" fillId="8" borderId="41" xfId="0" applyNumberFormat="1" applyFont="1" applyFill="1" applyBorder="1" applyAlignment="1">
      <alignment horizontal="center" vertical="center"/>
    </xf>
    <xf numFmtId="2" fontId="5" fillId="8" borderId="10" xfId="0" applyNumberFormat="1" applyFont="1" applyFill="1" applyBorder="1" applyAlignment="1">
      <alignment horizontal="center" vertical="center"/>
    </xf>
    <xf numFmtId="2" fontId="5" fillId="8" borderId="14" xfId="0" applyNumberFormat="1" applyFont="1" applyFill="1" applyBorder="1" applyAlignment="1">
      <alignment horizontal="center" vertical="center"/>
    </xf>
    <xf numFmtId="0" fontId="5" fillId="9" borderId="44" xfId="0" applyFont="1" applyFill="1" applyBorder="1" applyAlignment="1">
      <alignment vertical="center" wrapText="1"/>
    </xf>
    <xf numFmtId="0" fontId="5" fillId="9" borderId="24" xfId="0" applyFont="1" applyFill="1" applyBorder="1" applyAlignment="1">
      <alignment vertical="center" wrapText="1"/>
    </xf>
    <xf numFmtId="0" fontId="61" fillId="9" borderId="6" xfId="0" applyFont="1" applyFill="1" applyBorder="1" applyAlignment="1">
      <alignment vertical="center"/>
    </xf>
    <xf numFmtId="0" fontId="7" fillId="9" borderId="29" xfId="0" applyFont="1" applyFill="1" applyBorder="1" applyAlignment="1">
      <alignment vertical="center"/>
    </xf>
    <xf numFmtId="0" fontId="7" fillId="9" borderId="6" xfId="0" applyFont="1" applyFill="1" applyBorder="1" applyAlignment="1">
      <alignment vertical="center"/>
    </xf>
    <xf numFmtId="1" fontId="10" fillId="8" borderId="29" xfId="0" applyNumberFormat="1" applyFont="1" applyFill="1" applyBorder="1" applyAlignment="1">
      <alignment horizontal="center" vertical="center"/>
    </xf>
    <xf numFmtId="0" fontId="68" fillId="9" borderId="0" xfId="0" applyFont="1" applyFill="1"/>
    <xf numFmtId="0" fontId="9" fillId="0" borderId="32" xfId="0" applyFont="1" applyBorder="1" applyAlignment="1">
      <alignment horizontal="left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60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 applyAlignment="1">
      <alignment wrapText="1"/>
    </xf>
    <xf numFmtId="0" fontId="0" fillId="9" borderId="0" xfId="0" applyFill="1" applyAlignment="1">
      <alignment wrapText="1"/>
    </xf>
    <xf numFmtId="0" fontId="0" fillId="0" borderId="10" xfId="0" applyBorder="1" applyAlignment="1">
      <alignment horizontal="center" vertical="center" wrapText="1"/>
    </xf>
    <xf numFmtId="1" fontId="0" fillId="0" borderId="10" xfId="0" applyNumberFormat="1" applyBorder="1" applyAlignment="1">
      <alignment horizontal="center" vertical="center"/>
    </xf>
    <xf numFmtId="0" fontId="0" fillId="5" borderId="0" xfId="0" applyFill="1" applyAlignment="1">
      <alignment horizontal="left" wrapText="1"/>
    </xf>
    <xf numFmtId="0" fontId="60" fillId="0" borderId="0" xfId="0" applyFont="1" applyAlignment="1">
      <alignment horizontal="left" wrapText="1"/>
    </xf>
    <xf numFmtId="0" fontId="0" fillId="5" borderId="0" xfId="0" applyFill="1" applyAlignment="1">
      <alignment horizontal="left"/>
    </xf>
    <xf numFmtId="1" fontId="0" fillId="3" borderId="10" xfId="0" applyNumberFormat="1" applyFill="1" applyBorder="1" applyAlignment="1">
      <alignment horizontal="center" vertical="center"/>
    </xf>
    <xf numFmtId="1" fontId="97" fillId="0" borderId="38" xfId="186" applyNumberFormat="1" applyFont="1" applyFill="1" applyBorder="1" applyAlignment="1">
      <alignment horizontal="center" vertical="center"/>
    </xf>
    <xf numFmtId="166" fontId="26" fillId="6" borderId="10" xfId="0" applyNumberFormat="1" applyFont="1" applyFill="1" applyBorder="1" applyAlignment="1">
      <alignment horizontal="center" vertical="center"/>
    </xf>
    <xf numFmtId="1" fontId="27" fillId="9" borderId="6" xfId="0" applyNumberFormat="1" applyFont="1" applyFill="1" applyBorder="1" applyAlignment="1">
      <alignment vertical="center"/>
    </xf>
    <xf numFmtId="1" fontId="24" fillId="6" borderId="1" xfId="0" applyNumberFormat="1" applyFont="1" applyFill="1" applyBorder="1" applyAlignment="1">
      <alignment horizontal="center" vertical="center"/>
    </xf>
    <xf numFmtId="168" fontId="27" fillId="6" borderId="31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166" fontId="26" fillId="8" borderId="48" xfId="0" applyNumberFormat="1" applyFont="1" applyFill="1" applyBorder="1" applyAlignment="1">
      <alignment horizontal="center" vertical="center"/>
    </xf>
    <xf numFmtId="166" fontId="5" fillId="8" borderId="67" xfId="0" applyNumberFormat="1" applyFont="1" applyFill="1" applyBorder="1" applyAlignment="1">
      <alignment horizontal="center" vertical="center"/>
    </xf>
    <xf numFmtId="166" fontId="26" fillId="8" borderId="37" xfId="0" applyNumberFormat="1" applyFont="1" applyFill="1" applyBorder="1" applyAlignment="1">
      <alignment horizontal="center" vertical="center"/>
    </xf>
    <xf numFmtId="166" fontId="26" fillId="6" borderId="48" xfId="0" applyNumberFormat="1" applyFont="1" applyFill="1" applyBorder="1" applyAlignment="1">
      <alignment horizontal="center" vertical="center"/>
    </xf>
    <xf numFmtId="166" fontId="5" fillId="6" borderId="67" xfId="0" applyNumberFormat="1" applyFont="1" applyFill="1" applyBorder="1" applyAlignment="1">
      <alignment horizontal="center" vertical="center"/>
    </xf>
    <xf numFmtId="166" fontId="26" fillId="6" borderId="37" xfId="0" applyNumberFormat="1" applyFont="1" applyFill="1" applyBorder="1" applyAlignment="1">
      <alignment horizontal="center" vertical="center"/>
    </xf>
    <xf numFmtId="1" fontId="10" fillId="6" borderId="72" xfId="0" applyNumberFormat="1" applyFont="1" applyFill="1" applyBorder="1" applyAlignment="1">
      <alignment horizontal="center" vertical="center"/>
    </xf>
    <xf numFmtId="1" fontId="5" fillId="6" borderId="11" xfId="0" applyNumberFormat="1" applyFont="1" applyFill="1" applyBorder="1" applyAlignment="1">
      <alignment horizontal="center" vertical="center"/>
    </xf>
    <xf numFmtId="1" fontId="5" fillId="6" borderId="73" xfId="0" applyNumberFormat="1" applyFont="1" applyFill="1" applyBorder="1" applyAlignment="1">
      <alignment horizontal="center" vertical="center"/>
    </xf>
    <xf numFmtId="1" fontId="10" fillId="6" borderId="53" xfId="0" applyNumberFormat="1" applyFont="1" applyFill="1" applyBorder="1" applyAlignment="1">
      <alignment horizontal="center" vertical="center"/>
    </xf>
    <xf numFmtId="1" fontId="5" fillId="6" borderId="17" xfId="0" applyNumberFormat="1" applyFont="1" applyFill="1" applyBorder="1" applyAlignment="1">
      <alignment horizontal="center" vertical="center"/>
    </xf>
    <xf numFmtId="1" fontId="5" fillId="6" borderId="72" xfId="0" applyNumberFormat="1" applyFont="1" applyFill="1" applyBorder="1" applyAlignment="1">
      <alignment horizontal="center" vertical="center"/>
    </xf>
    <xf numFmtId="1" fontId="5" fillId="6" borderId="21" xfId="0" applyNumberFormat="1" applyFont="1" applyFill="1" applyBorder="1" applyAlignment="1">
      <alignment horizontal="center" vertical="center"/>
    </xf>
    <xf numFmtId="1" fontId="5" fillId="6" borderId="19" xfId="0" applyNumberFormat="1" applyFont="1" applyFill="1" applyBorder="1" applyAlignment="1">
      <alignment horizontal="center" vertical="center"/>
    </xf>
    <xf numFmtId="1" fontId="10" fillId="6" borderId="41" xfId="0" applyNumberFormat="1" applyFont="1" applyFill="1" applyBorder="1" applyAlignment="1">
      <alignment horizontal="center" vertical="center"/>
    </xf>
    <xf numFmtId="1" fontId="7" fillId="9" borderId="24" xfId="0" applyNumberFormat="1" applyFont="1" applyFill="1" applyBorder="1" applyAlignment="1">
      <alignment vertical="center"/>
    </xf>
    <xf numFmtId="0" fontId="7" fillId="9" borderId="24" xfId="0" applyFont="1" applyFill="1" applyBorder="1" applyAlignment="1">
      <alignment vertical="center"/>
    </xf>
    <xf numFmtId="0" fontId="7" fillId="9" borderId="55" xfId="0" applyFont="1" applyFill="1" applyBorder="1" applyAlignment="1">
      <alignment vertical="center"/>
    </xf>
    <xf numFmtId="0" fontId="93" fillId="9" borderId="0" xfId="0" applyFont="1" applyFill="1"/>
    <xf numFmtId="0" fontId="7" fillId="9" borderId="44" xfId="0" applyFont="1" applyFill="1" applyBorder="1" applyAlignment="1">
      <alignment vertical="center"/>
    </xf>
    <xf numFmtId="0" fontId="7" fillId="9" borderId="24" xfId="0" applyFont="1" applyFill="1" applyBorder="1"/>
    <xf numFmtId="0" fontId="7" fillId="9" borderId="47" xfId="0" applyFont="1" applyFill="1" applyBorder="1" applyAlignment="1">
      <alignment vertical="center"/>
    </xf>
    <xf numFmtId="0" fontId="0" fillId="0" borderId="0" xfId="0"/>
    <xf numFmtId="0" fontId="0" fillId="0" borderId="0" xfId="0" applyAlignment="1">
      <alignment horizontal="center" vertical="center"/>
    </xf>
    <xf numFmtId="1" fontId="46" fillId="0" borderId="10" xfId="0" applyNumberFormat="1" applyFont="1" applyBorder="1" applyAlignment="1">
      <alignment horizontal="center" vertical="center"/>
    </xf>
    <xf numFmtId="1" fontId="46" fillId="6" borderId="10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  <xf numFmtId="0" fontId="33" fillId="6" borderId="17" xfId="0" applyFont="1" applyFill="1" applyBorder="1" applyAlignment="1">
      <alignment horizontal="center" vertical="center"/>
    </xf>
    <xf numFmtId="0" fontId="0" fillId="6" borderId="17" xfId="0" applyFill="1" applyBorder="1" applyAlignment="1">
      <alignment horizontal="center"/>
    </xf>
    <xf numFmtId="1" fontId="0" fillId="6" borderId="17" xfId="0" applyNumberFormat="1" applyFill="1" applyBorder="1" applyAlignment="1">
      <alignment horizontal="center"/>
    </xf>
    <xf numFmtId="1" fontId="28" fillId="6" borderId="17" xfId="0" applyNumberFormat="1" applyFont="1" applyFill="1" applyBorder="1" applyAlignment="1">
      <alignment horizontal="center"/>
    </xf>
    <xf numFmtId="2" fontId="28" fillId="6" borderId="17" xfId="0" applyNumberFormat="1" applyFont="1" applyFill="1" applyBorder="1" applyAlignment="1">
      <alignment horizontal="center"/>
    </xf>
    <xf numFmtId="2" fontId="0" fillId="6" borderId="17" xfId="0" applyNumberFormat="1" applyFill="1" applyBorder="1" applyAlignment="1">
      <alignment horizontal="center"/>
    </xf>
    <xf numFmtId="2" fontId="37" fillId="6" borderId="17" xfId="0" applyNumberFormat="1" applyFont="1" applyFill="1" applyBorder="1" applyAlignment="1">
      <alignment horizontal="center" vertical="center"/>
    </xf>
    <xf numFmtId="2" fontId="23" fillId="6" borderId="17" xfId="0" applyNumberFormat="1" applyFont="1" applyFill="1" applyBorder="1" applyAlignment="1">
      <alignment horizontal="center"/>
    </xf>
    <xf numFmtId="2" fontId="0" fillId="6" borderId="33" xfId="0" applyNumberFormat="1" applyFill="1" applyBorder="1" applyAlignment="1">
      <alignment horizontal="center"/>
    </xf>
    <xf numFmtId="0" fontId="54" fillId="9" borderId="26" xfId="0" applyFont="1" applyFill="1" applyBorder="1" applyAlignment="1">
      <alignment horizontal="center" vertical="center"/>
    </xf>
    <xf numFmtId="166" fontId="26" fillId="0" borderId="11" xfId="0" applyNumberFormat="1" applyFont="1" applyBorder="1" applyAlignment="1">
      <alignment horizontal="center" vertical="center"/>
    </xf>
    <xf numFmtId="2" fontId="26" fillId="9" borderId="53" xfId="0" applyNumberFormat="1" applyFont="1" applyFill="1" applyBorder="1" applyAlignment="1">
      <alignment horizontal="center" vertical="center"/>
    </xf>
    <xf numFmtId="0" fontId="24" fillId="9" borderId="67" xfId="0" applyFont="1" applyFill="1" applyBorder="1" applyAlignment="1">
      <alignment horizontal="center" vertical="center"/>
    </xf>
    <xf numFmtId="1" fontId="28" fillId="9" borderId="17" xfId="0" applyNumberFormat="1" applyFont="1" applyFill="1" applyBorder="1" applyAlignment="1">
      <alignment horizontal="center"/>
    </xf>
    <xf numFmtId="168" fontId="10" fillId="6" borderId="42" xfId="0" applyNumberFormat="1" applyFont="1" applyFill="1" applyBorder="1" applyAlignment="1">
      <alignment horizontal="center" vertical="center"/>
    </xf>
    <xf numFmtId="168" fontId="10" fillId="6" borderId="17" xfId="0" applyNumberFormat="1" applyFont="1" applyFill="1" applyBorder="1" applyAlignment="1">
      <alignment horizontal="center" vertical="center"/>
    </xf>
    <xf numFmtId="0" fontId="10" fillId="6" borderId="33" xfId="0" applyFont="1" applyFill="1" applyBorder="1" applyAlignment="1">
      <alignment vertical="center"/>
    </xf>
    <xf numFmtId="0" fontId="10" fillId="6" borderId="63" xfId="0" applyFont="1" applyFill="1" applyBorder="1" applyAlignment="1">
      <alignment horizontal="left" vertical="center" wrapText="1"/>
    </xf>
    <xf numFmtId="0" fontId="10" fillId="6" borderId="31" xfId="0" applyFont="1" applyFill="1" applyBorder="1" applyAlignment="1">
      <alignment horizontal="left" vertical="center" wrapText="1"/>
    </xf>
    <xf numFmtId="0" fontId="10" fillId="6" borderId="32" xfId="0" applyFont="1" applyFill="1" applyBorder="1" applyAlignment="1">
      <alignment horizontal="left" vertical="center" wrapText="1"/>
    </xf>
    <xf numFmtId="1" fontId="5" fillId="6" borderId="67" xfId="0" applyNumberFormat="1" applyFont="1" applyFill="1" applyBorder="1" applyAlignment="1">
      <alignment horizontal="center" vertical="center"/>
    </xf>
    <xf numFmtId="166" fontId="24" fillId="9" borderId="4" xfId="0" applyNumberFormat="1" applyFont="1" applyFill="1" applyBorder="1" applyAlignment="1">
      <alignment horizontal="center" vertical="center"/>
    </xf>
    <xf numFmtId="166" fontId="25" fillId="9" borderId="53" xfId="0" applyNumberFormat="1" applyFont="1" applyFill="1" applyBorder="1" applyAlignment="1">
      <alignment horizontal="center" vertical="center"/>
    </xf>
    <xf numFmtId="166" fontId="24" fillId="9" borderId="1" xfId="0" applyNumberFormat="1" applyFont="1" applyFill="1" applyBorder="1" applyAlignment="1">
      <alignment horizontal="center" vertical="center"/>
    </xf>
    <xf numFmtId="0" fontId="57" fillId="0" borderId="10" xfId="0" applyFont="1" applyBorder="1" applyAlignment="1">
      <alignment horizontal="center" vertical="center"/>
    </xf>
    <xf numFmtId="1" fontId="54" fillId="0" borderId="10" xfId="0" applyNumberFormat="1" applyFont="1" applyBorder="1" applyAlignment="1">
      <alignment horizontal="center" vertical="center"/>
    </xf>
    <xf numFmtId="1" fontId="54" fillId="8" borderId="10" xfId="0" applyNumberFormat="1" applyFont="1" applyFill="1" applyBorder="1" applyAlignment="1">
      <alignment horizontal="center" vertical="center"/>
    </xf>
    <xf numFmtId="1" fontId="26" fillId="9" borderId="63" xfId="0" applyNumberFormat="1" applyFont="1" applyFill="1" applyBorder="1" applyAlignment="1">
      <alignment horizontal="center" vertical="center"/>
    </xf>
    <xf numFmtId="1" fontId="26" fillId="9" borderId="9" xfId="0" applyNumberFormat="1" applyFont="1" applyFill="1" applyBorder="1" applyAlignment="1">
      <alignment horizontal="center" vertical="center"/>
    </xf>
    <xf numFmtId="1" fontId="26" fillId="8" borderId="12" xfId="0" applyNumberFormat="1" applyFont="1" applyFill="1" applyBorder="1" applyAlignment="1">
      <alignment horizontal="center" vertical="center"/>
    </xf>
    <xf numFmtId="0" fontId="10" fillId="9" borderId="30" xfId="0" applyFont="1" applyFill="1" applyBorder="1" applyAlignment="1">
      <alignment vertical="center"/>
    </xf>
    <xf numFmtId="0" fontId="10" fillId="9" borderId="48" xfId="0" applyFont="1" applyFill="1" applyBorder="1" applyAlignment="1">
      <alignment vertical="center"/>
    </xf>
    <xf numFmtId="0" fontId="10" fillId="9" borderId="7" xfId="0" applyFont="1" applyFill="1" applyBorder="1" applyAlignment="1">
      <alignment vertical="center"/>
    </xf>
    <xf numFmtId="1" fontId="26" fillId="9" borderId="72" xfId="0" applyNumberFormat="1" applyFont="1" applyFill="1" applyBorder="1" applyAlignment="1">
      <alignment horizontal="center" vertical="center"/>
    </xf>
    <xf numFmtId="0" fontId="105" fillId="0" borderId="0" xfId="0" applyFont="1"/>
    <xf numFmtId="1" fontId="24" fillId="9" borderId="2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" fontId="37" fillId="0" borderId="10" xfId="0" applyNumberFormat="1" applyFont="1" applyBorder="1" applyAlignment="1">
      <alignment horizontal="center" vertical="center"/>
    </xf>
    <xf numFmtId="0" fontId="0" fillId="0" borderId="0" xfId="0"/>
    <xf numFmtId="1" fontId="0" fillId="0" borderId="17" xfId="0" applyNumberFormat="1" applyBorder="1"/>
    <xf numFmtId="0" fontId="0" fillId="0" borderId="0" xfId="0"/>
    <xf numFmtId="1" fontId="46" fillId="0" borderId="10" xfId="0" applyNumberFormat="1" applyFont="1" applyBorder="1" applyAlignment="1">
      <alignment horizontal="center" vertical="center"/>
    </xf>
    <xf numFmtId="1" fontId="24" fillId="0" borderId="23" xfId="0" applyNumberFormat="1" applyFont="1" applyBorder="1" applyAlignment="1">
      <alignment horizontal="center" vertical="center"/>
    </xf>
    <xf numFmtId="1" fontId="26" fillId="8" borderId="41" xfId="0" applyNumberFormat="1" applyFont="1" applyFill="1" applyBorder="1" applyAlignment="1">
      <alignment horizontal="center" vertical="center"/>
    </xf>
    <xf numFmtId="1" fontId="24" fillId="8" borderId="23" xfId="0" applyNumberFormat="1" applyFont="1" applyFill="1" applyBorder="1" applyAlignment="1">
      <alignment horizontal="center" vertical="center"/>
    </xf>
    <xf numFmtId="2" fontId="26" fillId="8" borderId="10" xfId="0" applyNumberFormat="1" applyFont="1" applyFill="1" applyBorder="1" applyAlignment="1">
      <alignment horizontal="center" vertical="center"/>
    </xf>
    <xf numFmtId="1" fontId="27" fillId="8" borderId="10" xfId="0" applyNumberFormat="1" applyFont="1" applyFill="1" applyBorder="1" applyAlignment="1">
      <alignment horizontal="center" vertical="center"/>
    </xf>
    <xf numFmtId="2" fontId="26" fillId="6" borderId="10" xfId="0" applyNumberFormat="1" applyFont="1" applyFill="1" applyBorder="1" applyAlignment="1">
      <alignment horizontal="center" vertical="center"/>
    </xf>
    <xf numFmtId="1" fontId="27" fillId="6" borderId="10" xfId="0" applyNumberFormat="1" applyFont="1" applyFill="1" applyBorder="1" applyAlignment="1">
      <alignment horizontal="center" vertical="center"/>
    </xf>
    <xf numFmtId="168" fontId="26" fillId="8" borderId="31" xfId="0" applyNumberFormat="1" applyFont="1" applyFill="1" applyBorder="1" applyAlignment="1">
      <alignment horizontal="center" vertical="center"/>
    </xf>
    <xf numFmtId="168" fontId="26" fillId="6" borderId="31" xfId="0" applyNumberFormat="1" applyFont="1" applyFill="1" applyBorder="1" applyAlignment="1">
      <alignment horizontal="center" vertical="center"/>
    </xf>
    <xf numFmtId="1" fontId="10" fillId="9" borderId="72" xfId="0" applyNumberFormat="1" applyFont="1" applyFill="1" applyBorder="1" applyAlignment="1">
      <alignment horizontal="center" vertical="center"/>
    </xf>
    <xf numFmtId="2" fontId="26" fillId="0" borderId="48" xfId="0" applyNumberFormat="1" applyFont="1" applyBorder="1" applyAlignment="1">
      <alignment horizontal="center" vertical="center"/>
    </xf>
    <xf numFmtId="168" fontId="26" fillId="8" borderId="10" xfId="0" applyNumberFormat="1" applyFont="1" applyFill="1" applyBorder="1" applyAlignment="1">
      <alignment horizontal="center" vertical="center"/>
    </xf>
    <xf numFmtId="168" fontId="26" fillId="6" borderId="10" xfId="0" applyNumberFormat="1" applyFont="1" applyFill="1" applyBorder="1" applyAlignment="1">
      <alignment horizontal="center" vertical="center"/>
    </xf>
    <xf numFmtId="1" fontId="27" fillId="9" borderId="42" xfId="0" applyNumberFormat="1" applyFont="1" applyFill="1" applyBorder="1" applyAlignment="1">
      <alignment horizontal="center" vertical="center"/>
    </xf>
    <xf numFmtId="9" fontId="27" fillId="9" borderId="27" xfId="22" applyFont="1" applyFill="1" applyBorder="1" applyAlignment="1">
      <alignment horizontal="center" vertical="center"/>
    </xf>
    <xf numFmtId="0" fontId="26" fillId="8" borderId="34" xfId="0" applyFont="1" applyFill="1" applyBorder="1" applyAlignment="1">
      <alignment horizontal="center" vertical="center"/>
    </xf>
    <xf numFmtId="2" fontId="26" fillId="6" borderId="31" xfId="0" applyNumberFormat="1" applyFont="1" applyFill="1" applyBorder="1" applyAlignment="1">
      <alignment horizontal="center" vertical="center"/>
    </xf>
    <xf numFmtId="2" fontId="0" fillId="9" borderId="10" xfId="0" applyNumberFormat="1" applyFill="1" applyBorder="1" applyAlignment="1">
      <alignment horizontal="center"/>
    </xf>
    <xf numFmtId="2" fontId="23" fillId="9" borderId="10" xfId="0" applyNumberFormat="1" applyFont="1" applyFill="1" applyBorder="1" applyAlignment="1">
      <alignment horizontal="center"/>
    </xf>
    <xf numFmtId="2" fontId="28" fillId="9" borderId="10" xfId="0" applyNumberFormat="1" applyFont="1" applyFill="1" applyBorder="1" applyAlignment="1">
      <alignment horizontal="center"/>
    </xf>
    <xf numFmtId="2" fontId="0" fillId="9" borderId="23" xfId="0" applyNumberFormat="1" applyFill="1" applyBorder="1" applyAlignment="1">
      <alignment horizontal="center"/>
    </xf>
    <xf numFmtId="166" fontId="26" fillId="9" borderId="37" xfId="0" applyNumberFormat="1" applyFont="1" applyFill="1" applyBorder="1" applyAlignment="1">
      <alignment horizontal="center" vertical="center"/>
    </xf>
    <xf numFmtId="166" fontId="26" fillId="9" borderId="48" xfId="0" applyNumberFormat="1" applyFont="1" applyFill="1" applyBorder="1" applyAlignment="1">
      <alignment horizontal="center" vertical="center"/>
    </xf>
    <xf numFmtId="1" fontId="27" fillId="9" borderId="67" xfId="0" applyNumberFormat="1" applyFont="1" applyFill="1" applyBorder="1" applyAlignment="1">
      <alignment horizontal="center" vertical="center"/>
    </xf>
    <xf numFmtId="168" fontId="26" fillId="9" borderId="33" xfId="0" applyNumberFormat="1" applyFont="1" applyFill="1" applyBorder="1" applyAlignment="1">
      <alignment horizontal="center" vertical="center"/>
    </xf>
    <xf numFmtId="0" fontId="108" fillId="0" borderId="0" xfId="0" applyFont="1"/>
    <xf numFmtId="166" fontId="26" fillId="8" borderId="29" xfId="0" applyNumberFormat="1" applyFont="1" applyFill="1" applyBorder="1" applyAlignment="1">
      <alignment horizontal="center" vertical="center"/>
    </xf>
    <xf numFmtId="166" fontId="26" fillId="6" borderId="29" xfId="0" applyNumberFormat="1" applyFont="1" applyFill="1" applyBorder="1" applyAlignment="1">
      <alignment horizontal="center" vertical="center"/>
    </xf>
    <xf numFmtId="168" fontId="26" fillId="8" borderId="59" xfId="0" applyNumberFormat="1" applyFont="1" applyFill="1" applyBorder="1" applyAlignment="1">
      <alignment horizontal="center" vertical="center"/>
    </xf>
    <xf numFmtId="168" fontId="26" fillId="6" borderId="59" xfId="0" applyNumberFormat="1" applyFont="1" applyFill="1" applyBorder="1" applyAlignment="1">
      <alignment horizontal="center" vertical="center"/>
    </xf>
    <xf numFmtId="168" fontId="26" fillId="8" borderId="32" xfId="0" applyNumberFormat="1" applyFont="1" applyFill="1" applyBorder="1" applyAlignment="1">
      <alignment horizontal="center" vertical="center"/>
    </xf>
    <xf numFmtId="168" fontId="26" fillId="6" borderId="32" xfId="0" applyNumberFormat="1" applyFont="1" applyFill="1" applyBorder="1" applyAlignment="1">
      <alignment horizontal="center" vertical="center"/>
    </xf>
    <xf numFmtId="166" fontId="26" fillId="9" borderId="6" xfId="0" applyNumberFormat="1" applyFont="1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1" fontId="54" fillId="9" borderId="10" xfId="0" applyNumberFormat="1" applyFont="1" applyFill="1" applyBorder="1" applyAlignment="1">
      <alignment horizontal="center" vertical="center"/>
    </xf>
    <xf numFmtId="168" fontId="26" fillId="9" borderId="37" xfId="0" applyNumberFormat="1" applyFont="1" applyFill="1" applyBorder="1" applyAlignment="1">
      <alignment horizontal="center" vertical="center"/>
    </xf>
    <xf numFmtId="2" fontId="26" fillId="9" borderId="37" xfId="0" applyNumberFormat="1" applyFont="1" applyFill="1" applyBorder="1" applyAlignment="1">
      <alignment horizontal="center" vertical="center"/>
    </xf>
    <xf numFmtId="168" fontId="26" fillId="9" borderId="17" xfId="0" applyNumberFormat="1" applyFont="1" applyFill="1" applyBorder="1" applyAlignment="1">
      <alignment horizontal="center" vertical="center"/>
    </xf>
    <xf numFmtId="0" fontId="53" fillId="9" borderId="0" xfId="0" applyFont="1" applyFill="1" applyAlignment="1">
      <alignment horizontal="center" vertical="center"/>
    </xf>
    <xf numFmtId="0" fontId="27" fillId="9" borderId="28" xfId="0" applyFont="1" applyFill="1" applyBorder="1" applyAlignment="1">
      <alignment horizontal="center" vertical="center"/>
    </xf>
    <xf numFmtId="1" fontId="24" fillId="9" borderId="11" xfId="0" applyNumberFormat="1" applyFont="1" applyFill="1" applyBorder="1" applyAlignment="1">
      <alignment horizontal="center" vertical="center"/>
    </xf>
    <xf numFmtId="1" fontId="24" fillId="9" borderId="67" xfId="0" applyNumberFormat="1" applyFont="1" applyFill="1" applyBorder="1" applyAlignment="1">
      <alignment horizontal="center" vertical="center"/>
    </xf>
    <xf numFmtId="2" fontId="27" fillId="9" borderId="53" xfId="0" applyNumberFormat="1" applyFont="1" applyFill="1" applyBorder="1" applyAlignment="1">
      <alignment horizontal="center" vertical="center"/>
    </xf>
    <xf numFmtId="0" fontId="57" fillId="9" borderId="10" xfId="0" applyFont="1" applyFill="1" applyBorder="1" applyAlignment="1">
      <alignment horizontal="center" vertical="center"/>
    </xf>
    <xf numFmtId="2" fontId="27" fillId="8" borderId="10" xfId="0" applyNumberFormat="1" applyFont="1" applyFill="1" applyBorder="1" applyAlignment="1">
      <alignment horizontal="center" vertical="center"/>
    </xf>
    <xf numFmtId="0" fontId="10" fillId="9" borderId="0" xfId="0" applyFont="1" applyFill="1" applyBorder="1" applyAlignment="1">
      <alignment vertical="center"/>
    </xf>
    <xf numFmtId="166" fontId="5" fillId="9" borderId="55" xfId="0" applyNumberFormat="1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5" fillId="9" borderId="28" xfId="0" applyFont="1" applyFill="1" applyBorder="1" applyAlignment="1">
      <alignment horizontal="center" vertical="center"/>
    </xf>
    <xf numFmtId="1" fontId="5" fillId="9" borderId="5" xfId="0" applyNumberFormat="1" applyFont="1" applyFill="1" applyBorder="1" applyAlignment="1">
      <alignment horizontal="center" vertical="center"/>
    </xf>
    <xf numFmtId="0" fontId="10" fillId="9" borderId="10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0" fontId="10" fillId="9" borderId="41" xfId="0" applyFont="1" applyFill="1" applyBorder="1" applyAlignment="1">
      <alignment horizontal="center" vertical="center"/>
    </xf>
    <xf numFmtId="0" fontId="10" fillId="9" borderId="23" xfId="0" applyFont="1" applyFill="1" applyBorder="1" applyAlignment="1">
      <alignment horizontal="center" vertical="center"/>
    </xf>
    <xf numFmtId="0" fontId="10" fillId="9" borderId="30" xfId="0" applyFont="1" applyFill="1" applyBorder="1" applyAlignment="1">
      <alignment horizontal="center" vertical="center"/>
    </xf>
    <xf numFmtId="1" fontId="10" fillId="9" borderId="30" xfId="0" applyNumberFormat="1" applyFont="1" applyFill="1" applyBorder="1" applyAlignment="1">
      <alignment horizontal="center" vertical="center"/>
    </xf>
    <xf numFmtId="166" fontId="10" fillId="8" borderId="29" xfId="0" applyNumberFormat="1" applyFont="1" applyFill="1" applyBorder="1" applyAlignment="1">
      <alignment horizontal="center" vertical="center"/>
    </xf>
    <xf numFmtId="168" fontId="10" fillId="8" borderId="29" xfId="0" applyNumberFormat="1" applyFont="1" applyFill="1" applyBorder="1" applyAlignment="1">
      <alignment horizontal="center" vertical="center"/>
    </xf>
    <xf numFmtId="168" fontId="10" fillId="8" borderId="36" xfId="0" applyNumberFormat="1" applyFont="1" applyFill="1" applyBorder="1" applyAlignment="1">
      <alignment horizontal="center" vertical="center"/>
    </xf>
    <xf numFmtId="1" fontId="5" fillId="6" borderId="5" xfId="0" applyNumberFormat="1" applyFont="1" applyFill="1" applyBorder="1" applyAlignment="1">
      <alignment horizontal="center" vertical="center"/>
    </xf>
    <xf numFmtId="0" fontId="10" fillId="6" borderId="10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10" fillId="6" borderId="41" xfId="0" applyFont="1" applyFill="1" applyBorder="1" applyAlignment="1">
      <alignment horizontal="center" vertical="center"/>
    </xf>
    <xf numFmtId="0" fontId="10" fillId="6" borderId="23" xfId="0" applyFont="1" applyFill="1" applyBorder="1" applyAlignment="1">
      <alignment horizontal="center" vertical="center"/>
    </xf>
    <xf numFmtId="0" fontId="10" fillId="6" borderId="30" xfId="0" applyFont="1" applyFill="1" applyBorder="1" applyAlignment="1">
      <alignment horizontal="center" vertical="center"/>
    </xf>
    <xf numFmtId="1" fontId="10" fillId="6" borderId="30" xfId="0" applyNumberFormat="1" applyFont="1" applyFill="1" applyBorder="1" applyAlignment="1">
      <alignment horizontal="center" vertical="center"/>
    </xf>
    <xf numFmtId="1" fontId="5" fillId="6" borderId="41" xfId="0" applyNumberFormat="1" applyFont="1" applyFill="1" applyBorder="1" applyAlignment="1">
      <alignment horizontal="center" vertical="center"/>
    </xf>
    <xf numFmtId="1" fontId="5" fillId="6" borderId="14" xfId="0" applyNumberFormat="1" applyFont="1" applyFill="1" applyBorder="1" applyAlignment="1">
      <alignment horizontal="center" vertical="center"/>
    </xf>
    <xf numFmtId="166" fontId="10" fillId="6" borderId="10" xfId="0" applyNumberFormat="1" applyFont="1" applyFill="1" applyBorder="1" applyAlignment="1">
      <alignment horizontal="center" vertical="center"/>
    </xf>
    <xf numFmtId="166" fontId="10" fillId="6" borderId="30" xfId="0" applyNumberFormat="1" applyFont="1" applyFill="1" applyBorder="1" applyAlignment="1">
      <alignment horizontal="center" vertical="center"/>
    </xf>
    <xf numFmtId="2" fontId="10" fillId="6" borderId="10" xfId="0" applyNumberFormat="1" applyFont="1" applyFill="1" applyBorder="1" applyAlignment="1">
      <alignment horizontal="center" vertical="center"/>
    </xf>
    <xf numFmtId="2" fontId="10" fillId="6" borderId="29" xfId="0" applyNumberFormat="1" applyFont="1" applyFill="1" applyBorder="1" applyAlignment="1">
      <alignment horizontal="center" vertical="center"/>
    </xf>
    <xf numFmtId="166" fontId="10" fillId="6" borderId="29" xfId="0" applyNumberFormat="1" applyFont="1" applyFill="1" applyBorder="1" applyAlignment="1">
      <alignment horizontal="center" vertical="center"/>
    </xf>
    <xf numFmtId="1" fontId="10" fillId="6" borderId="29" xfId="0" applyNumberFormat="1" applyFont="1" applyFill="1" applyBorder="1" applyAlignment="1">
      <alignment horizontal="center" vertical="center"/>
    </xf>
    <xf numFmtId="168" fontId="10" fillId="6" borderId="29" xfId="0" applyNumberFormat="1" applyFont="1" applyFill="1" applyBorder="1" applyAlignment="1">
      <alignment horizontal="center" vertical="center"/>
    </xf>
    <xf numFmtId="168" fontId="10" fillId="6" borderId="36" xfId="0" applyNumberFormat="1" applyFont="1" applyFill="1" applyBorder="1" applyAlignment="1">
      <alignment horizontal="center" vertical="center"/>
    </xf>
    <xf numFmtId="168" fontId="10" fillId="6" borderId="45" xfId="0" applyNumberFormat="1" applyFont="1" applyFill="1" applyBorder="1" applyAlignment="1">
      <alignment horizontal="center" vertical="center"/>
    </xf>
    <xf numFmtId="168" fontId="10" fillId="6" borderId="23" xfId="0" applyNumberFormat="1" applyFont="1" applyFill="1" applyBorder="1" applyAlignment="1">
      <alignment horizontal="center" vertical="center"/>
    </xf>
    <xf numFmtId="2" fontId="5" fillId="6" borderId="41" xfId="0" applyNumberFormat="1" applyFont="1" applyFill="1" applyBorder="1" applyAlignment="1">
      <alignment horizontal="center" vertical="center"/>
    </xf>
    <xf numFmtId="2" fontId="5" fillId="6" borderId="10" xfId="0" applyNumberFormat="1" applyFont="1" applyFill="1" applyBorder="1" applyAlignment="1">
      <alignment horizontal="center" vertical="center"/>
    </xf>
    <xf numFmtId="2" fontId="5" fillId="6" borderId="14" xfId="0" applyNumberFormat="1" applyFont="1" applyFill="1" applyBorder="1" applyAlignment="1">
      <alignment horizontal="center" vertical="center"/>
    </xf>
    <xf numFmtId="166" fontId="10" fillId="9" borderId="10" xfId="0" applyNumberFormat="1" applyFont="1" applyFill="1" applyBorder="1" applyAlignment="1">
      <alignment horizontal="center" vertical="center"/>
    </xf>
    <xf numFmtId="1" fontId="10" fillId="9" borderId="45" xfId="0" applyNumberFormat="1" applyFont="1" applyFill="1" applyBorder="1" applyAlignment="1">
      <alignment horizontal="center" vertical="center"/>
    </xf>
    <xf numFmtId="1" fontId="10" fillId="9" borderId="41" xfId="0" applyNumberFormat="1" applyFont="1" applyFill="1" applyBorder="1" applyAlignment="1">
      <alignment horizontal="center" vertical="center"/>
    </xf>
    <xf numFmtId="2" fontId="10" fillId="9" borderId="10" xfId="0" applyNumberFormat="1" applyFont="1" applyFill="1" applyBorder="1" applyAlignment="1">
      <alignment horizontal="center" vertical="center"/>
    </xf>
    <xf numFmtId="168" fontId="10" fillId="9" borderId="10" xfId="0" applyNumberFormat="1" applyFont="1" applyFill="1" applyBorder="1" applyAlignment="1">
      <alignment horizontal="center" vertical="center"/>
    </xf>
    <xf numFmtId="168" fontId="10" fillId="9" borderId="45" xfId="0" applyNumberFormat="1" applyFont="1" applyFill="1" applyBorder="1" applyAlignment="1">
      <alignment horizontal="center" vertical="center"/>
    </xf>
    <xf numFmtId="1" fontId="5" fillId="9" borderId="41" xfId="0" applyNumberFormat="1" applyFont="1" applyFill="1" applyBorder="1" applyAlignment="1">
      <alignment horizontal="center" vertical="center"/>
    </xf>
    <xf numFmtId="1" fontId="5" fillId="9" borderId="14" xfId="0" applyNumberFormat="1" applyFont="1" applyFill="1" applyBorder="1" applyAlignment="1">
      <alignment horizontal="center" vertical="center"/>
    </xf>
    <xf numFmtId="2" fontId="26" fillId="9" borderId="31" xfId="0" applyNumberFormat="1" applyFont="1" applyFill="1" applyBorder="1" applyAlignment="1">
      <alignment horizontal="center" vertical="center"/>
    </xf>
    <xf numFmtId="1" fontId="26" fillId="9" borderId="34" xfId="0" applyNumberFormat="1" applyFont="1" applyFill="1" applyBorder="1" applyAlignment="1">
      <alignment horizontal="center" vertical="center"/>
    </xf>
    <xf numFmtId="1" fontId="24" fillId="6" borderId="72" xfId="0" applyNumberFormat="1" applyFont="1" applyFill="1" applyBorder="1" applyAlignment="1">
      <alignment horizontal="center" vertical="center"/>
    </xf>
    <xf numFmtId="0" fontId="35" fillId="9" borderId="44" xfId="0" applyFont="1" applyFill="1" applyBorder="1" applyAlignment="1">
      <alignment vertical="center"/>
    </xf>
    <xf numFmtId="2" fontId="27" fillId="9" borderId="10" xfId="0" applyNumberFormat="1" applyFont="1" applyFill="1" applyBorder="1" applyAlignment="1">
      <alignment horizontal="center" vertical="center"/>
    </xf>
    <xf numFmtId="2" fontId="5" fillId="9" borderId="33" xfId="0" applyNumberFormat="1" applyFont="1" applyFill="1" applyBorder="1" applyAlignment="1">
      <alignment horizontal="center" vertical="center"/>
    </xf>
    <xf numFmtId="1" fontId="25" fillId="9" borderId="41" xfId="0" applyNumberFormat="1" applyFont="1" applyFill="1" applyBorder="1" applyAlignment="1">
      <alignment horizontal="center" vertical="center"/>
    </xf>
    <xf numFmtId="1" fontId="10" fillId="9" borderId="42" xfId="0" applyNumberFormat="1" applyFont="1" applyFill="1" applyBorder="1" applyAlignment="1">
      <alignment horizontal="center" vertical="center"/>
    </xf>
    <xf numFmtId="166" fontId="26" fillId="9" borderId="53" xfId="0" applyNumberFormat="1" applyFont="1" applyFill="1" applyBorder="1" applyAlignment="1">
      <alignment horizontal="center" vertical="center"/>
    </xf>
    <xf numFmtId="1" fontId="25" fillId="9" borderId="42" xfId="0" applyNumberFormat="1" applyFont="1" applyFill="1" applyBorder="1" applyAlignment="1">
      <alignment horizontal="center" vertical="center"/>
    </xf>
    <xf numFmtId="2" fontId="24" fillId="0" borderId="72" xfId="0" quotePrefix="1" applyNumberFormat="1" applyFont="1" applyBorder="1" applyAlignment="1">
      <alignment horizontal="center" vertical="center"/>
    </xf>
    <xf numFmtId="0" fontId="25" fillId="0" borderId="109" xfId="0" applyFont="1" applyBorder="1" applyAlignment="1">
      <alignment vertical="center"/>
    </xf>
    <xf numFmtId="0" fontId="24" fillId="0" borderId="111" xfId="0" applyFont="1" applyBorder="1" applyAlignment="1">
      <alignment horizontal="left" vertical="center"/>
    </xf>
    <xf numFmtId="2" fontId="24" fillId="0" borderId="33" xfId="0" quotePrefix="1" applyNumberFormat="1" applyFont="1" applyBorder="1" applyAlignment="1">
      <alignment horizontal="center" vertical="center"/>
    </xf>
    <xf numFmtId="0" fontId="5" fillId="0" borderId="109" xfId="0" applyFont="1" applyBorder="1" applyAlignment="1">
      <alignment vertical="center"/>
    </xf>
    <xf numFmtId="0" fontId="5" fillId="0" borderId="111" xfId="0" applyFont="1" applyBorder="1" applyAlignment="1">
      <alignment horizontal="left" vertical="center"/>
    </xf>
    <xf numFmtId="0" fontId="36" fillId="9" borderId="90" xfId="0" applyFont="1" applyFill="1" applyBorder="1" applyAlignment="1">
      <alignment vertical="center"/>
    </xf>
    <xf numFmtId="0" fontId="36" fillId="9" borderId="6" xfId="0" applyFont="1" applyFill="1" applyBorder="1" applyAlignment="1">
      <alignment vertical="center"/>
    </xf>
    <xf numFmtId="166" fontId="24" fillId="9" borderId="36" xfId="0" quotePrefix="1" applyNumberFormat="1" applyFont="1" applyFill="1" applyBorder="1" applyAlignment="1">
      <alignment horizontal="center" vertical="center"/>
    </xf>
    <xf numFmtId="0" fontId="5" fillId="0" borderId="75" xfId="0" applyFont="1" applyBorder="1" applyAlignment="1">
      <alignment vertical="center"/>
    </xf>
    <xf numFmtId="1" fontId="26" fillId="8" borderId="18" xfId="0" applyNumberFormat="1" applyFont="1" applyFill="1" applyBorder="1" applyAlignment="1">
      <alignment horizontal="center" vertical="center"/>
    </xf>
    <xf numFmtId="2" fontId="27" fillId="8" borderId="12" xfId="0" applyNumberFormat="1" applyFont="1" applyFill="1" applyBorder="1" applyAlignment="1">
      <alignment horizontal="center" vertical="center"/>
    </xf>
    <xf numFmtId="1" fontId="10" fillId="8" borderId="18" xfId="0" applyNumberFormat="1" applyFont="1" applyFill="1" applyBorder="1" applyAlignment="1">
      <alignment horizontal="center" vertical="center"/>
    </xf>
    <xf numFmtId="2" fontId="5" fillId="8" borderId="20" xfId="0" applyNumberFormat="1" applyFont="1" applyFill="1" applyBorder="1" applyAlignment="1">
      <alignment horizontal="center" vertical="center"/>
    </xf>
    <xf numFmtId="166" fontId="27" fillId="8" borderId="12" xfId="0" applyNumberFormat="1" applyFont="1" applyFill="1" applyBorder="1" applyAlignment="1">
      <alignment horizontal="center" vertical="center"/>
    </xf>
    <xf numFmtId="166" fontId="24" fillId="8" borderId="60" xfId="0" quotePrefix="1" applyNumberFormat="1" applyFont="1" applyFill="1" applyBorder="1" applyAlignment="1">
      <alignment horizontal="center" vertical="center"/>
    </xf>
    <xf numFmtId="1" fontId="25" fillId="8" borderId="18" xfId="0" applyNumberFormat="1" applyFont="1" applyFill="1" applyBorder="1" applyAlignment="1">
      <alignment horizontal="center" vertical="center"/>
    </xf>
    <xf numFmtId="166" fontId="25" fillId="8" borderId="22" xfId="0" applyNumberFormat="1" applyFont="1" applyFill="1" applyBorder="1" applyAlignment="1">
      <alignment horizontal="center" vertical="center"/>
    </xf>
    <xf numFmtId="1" fontId="5" fillId="8" borderId="20" xfId="0" applyNumberFormat="1" applyFont="1" applyFill="1" applyBorder="1" applyAlignment="1">
      <alignment horizontal="center" vertical="center"/>
    </xf>
    <xf numFmtId="1" fontId="26" fillId="6" borderId="18" xfId="0" applyNumberFormat="1" applyFont="1" applyFill="1" applyBorder="1" applyAlignment="1">
      <alignment horizontal="center" vertical="center"/>
    </xf>
    <xf numFmtId="2" fontId="27" fillId="6" borderId="12" xfId="0" applyNumberFormat="1" applyFont="1" applyFill="1" applyBorder="1" applyAlignment="1">
      <alignment horizontal="center" vertical="center"/>
    </xf>
    <xf numFmtId="1" fontId="26" fillId="6" borderId="12" xfId="0" applyNumberFormat="1" applyFont="1" applyFill="1" applyBorder="1" applyAlignment="1">
      <alignment horizontal="center" vertical="center"/>
    </xf>
    <xf numFmtId="1" fontId="10" fillId="6" borderId="18" xfId="0" applyNumberFormat="1" applyFont="1" applyFill="1" applyBorder="1" applyAlignment="1">
      <alignment horizontal="center" vertical="center"/>
    </xf>
    <xf numFmtId="2" fontId="5" fillId="6" borderId="20" xfId="0" applyNumberFormat="1" applyFont="1" applyFill="1" applyBorder="1" applyAlignment="1">
      <alignment horizontal="center" vertical="center"/>
    </xf>
    <xf numFmtId="166" fontId="27" fillId="6" borderId="12" xfId="0" applyNumberFormat="1" applyFont="1" applyFill="1" applyBorder="1" applyAlignment="1">
      <alignment horizontal="center" vertical="center"/>
    </xf>
    <xf numFmtId="166" fontId="24" fillId="6" borderId="60" xfId="0" quotePrefix="1" applyNumberFormat="1" applyFont="1" applyFill="1" applyBorder="1" applyAlignment="1">
      <alignment horizontal="center" vertical="center"/>
    </xf>
    <xf numFmtId="1" fontId="25" fillId="6" borderId="18" xfId="0" applyNumberFormat="1" applyFont="1" applyFill="1" applyBorder="1" applyAlignment="1">
      <alignment horizontal="center" vertical="center"/>
    </xf>
    <xf numFmtId="166" fontId="25" fillId="6" borderId="22" xfId="0" applyNumberFormat="1" applyFont="1" applyFill="1" applyBorder="1" applyAlignment="1">
      <alignment horizontal="center" vertical="center"/>
    </xf>
    <xf numFmtId="1" fontId="5" fillId="6" borderId="20" xfId="0" applyNumberFormat="1" applyFont="1" applyFill="1" applyBorder="1" applyAlignment="1">
      <alignment horizontal="center" vertical="center"/>
    </xf>
    <xf numFmtId="166" fontId="26" fillId="8" borderId="8" xfId="0" applyNumberFormat="1" applyFont="1" applyFill="1" applyBorder="1" applyAlignment="1">
      <alignment horizontal="center" vertical="center"/>
    </xf>
    <xf numFmtId="166" fontId="26" fillId="6" borderId="8" xfId="0" applyNumberFormat="1" applyFont="1" applyFill="1" applyBorder="1" applyAlignment="1">
      <alignment horizontal="center" vertical="center"/>
    </xf>
    <xf numFmtId="0" fontId="0" fillId="0" borderId="0" xfId="0"/>
    <xf numFmtId="1" fontId="26" fillId="8" borderId="29" xfId="0" applyNumberFormat="1" applyFont="1" applyFill="1" applyBorder="1" applyAlignment="1">
      <alignment horizontal="center" vertical="center"/>
    </xf>
    <xf numFmtId="9" fontId="54" fillId="0" borderId="10" xfId="22" applyFont="1" applyBorder="1" applyAlignment="1">
      <alignment horizontal="center" vertical="center"/>
    </xf>
    <xf numFmtId="9" fontId="54" fillId="8" borderId="10" xfId="22" applyFont="1" applyFill="1" applyBorder="1" applyAlignment="1">
      <alignment horizontal="center" vertical="center"/>
    </xf>
    <xf numFmtId="9" fontId="54" fillId="6" borderId="10" xfId="22" applyFont="1" applyFill="1" applyBorder="1" applyAlignment="1">
      <alignment horizontal="center" vertical="center"/>
    </xf>
    <xf numFmtId="0" fontId="0" fillId="9" borderId="10" xfId="0" applyFill="1" applyBorder="1"/>
    <xf numFmtId="9" fontId="54" fillId="9" borderId="10" xfId="22" applyFont="1" applyFill="1" applyBorder="1" applyAlignment="1">
      <alignment horizontal="center" vertical="center"/>
    </xf>
    <xf numFmtId="1" fontId="54" fillId="9" borderId="10" xfId="22" applyNumberFormat="1" applyFont="1" applyFill="1" applyBorder="1" applyAlignment="1">
      <alignment horizontal="center" vertical="center"/>
    </xf>
    <xf numFmtId="1" fontId="54" fillId="8" borderId="10" xfId="22" applyNumberFormat="1" applyFont="1" applyFill="1" applyBorder="1" applyAlignment="1">
      <alignment horizontal="center" vertical="center"/>
    </xf>
    <xf numFmtId="1" fontId="54" fillId="6" borderId="10" xfId="22" applyNumberFormat="1" applyFont="1" applyFill="1" applyBorder="1" applyAlignment="1">
      <alignment horizontal="center" vertical="center"/>
    </xf>
    <xf numFmtId="1" fontId="54" fillId="6" borderId="10" xfId="0" applyNumberFormat="1" applyFont="1" applyFill="1" applyBorder="1" applyAlignment="1">
      <alignment horizontal="center" vertical="center"/>
    </xf>
    <xf numFmtId="0" fontId="0" fillId="0" borderId="0" xfId="0"/>
    <xf numFmtId="1" fontId="46" fillId="0" borderId="29" xfId="0" applyNumberFormat="1" applyFont="1" applyBorder="1" applyAlignment="1">
      <alignment horizontal="center" vertical="center"/>
    </xf>
    <xf numFmtId="0" fontId="46" fillId="6" borderId="62" xfId="0" applyFont="1" applyFill="1" applyBorder="1" applyAlignment="1">
      <alignment horizontal="center" vertical="center"/>
    </xf>
    <xf numFmtId="0" fontId="46" fillId="8" borderId="62" xfId="0" applyFont="1" applyFill="1" applyBorder="1" applyAlignment="1">
      <alignment horizontal="center" vertical="center"/>
    </xf>
    <xf numFmtId="0" fontId="43" fillId="9" borderId="0" xfId="0" applyFont="1" applyFill="1" applyAlignment="1">
      <alignment horizontal="center" vertical="center"/>
    </xf>
    <xf numFmtId="0" fontId="54" fillId="0" borderId="0" xfId="0" applyFont="1" applyAlignment="1">
      <alignment horizontal="center" vertical="center"/>
    </xf>
    <xf numFmtId="1" fontId="54" fillId="9" borderId="0" xfId="0" applyNumberFormat="1" applyFont="1" applyFill="1" applyAlignment="1">
      <alignment horizontal="center" vertical="center"/>
    </xf>
    <xf numFmtId="1" fontId="26" fillId="9" borderId="6" xfId="0" applyNumberFormat="1" applyFont="1" applyFill="1" applyBorder="1" applyAlignment="1">
      <alignment horizontal="center" vertical="center"/>
    </xf>
    <xf numFmtId="0" fontId="27" fillId="9" borderId="10" xfId="0" applyFont="1" applyFill="1" applyBorder="1" applyAlignment="1">
      <alignment horizontal="left" vertical="center"/>
    </xf>
    <xf numFmtId="0" fontId="25" fillId="9" borderId="10" xfId="0" applyFont="1" applyFill="1" applyBorder="1" applyAlignment="1">
      <alignment horizontal="center" vertical="center"/>
    </xf>
    <xf numFmtId="1" fontId="26" fillId="9" borderId="24" xfId="0" applyNumberFormat="1" applyFont="1" applyFill="1" applyBorder="1" applyAlignment="1">
      <alignment horizontal="center" vertical="center"/>
    </xf>
    <xf numFmtId="0" fontId="109" fillId="0" borderId="0" xfId="0" applyFont="1" applyAlignment="1">
      <alignment horizontal="center" vertical="center"/>
    </xf>
    <xf numFmtId="166" fontId="26" fillId="6" borderId="30" xfId="0" applyNumberFormat="1" applyFont="1" applyFill="1" applyBorder="1" applyAlignment="1">
      <alignment horizontal="center" vertical="center"/>
    </xf>
    <xf numFmtId="0" fontId="0" fillId="0" borderId="0" xfId="0"/>
    <xf numFmtId="1" fontId="26" fillId="9" borderId="8" xfId="0" applyNumberFormat="1" applyFont="1" applyFill="1" applyBorder="1" applyAlignment="1">
      <alignment horizontal="center" vertical="center"/>
    </xf>
    <xf numFmtId="1" fontId="26" fillId="9" borderId="59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vertical="center" wrapText="1"/>
    </xf>
    <xf numFmtId="1" fontId="0" fillId="0" borderId="10" xfId="0" quotePrefix="1" applyNumberForma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0" xfId="0"/>
    <xf numFmtId="0" fontId="0" fillId="0" borderId="0" xfId="0"/>
    <xf numFmtId="166" fontId="26" fillId="9" borderId="29" xfId="0" applyNumberFormat="1" applyFont="1" applyFill="1" applyBorder="1" applyAlignment="1">
      <alignment horizontal="center" vertical="center"/>
    </xf>
    <xf numFmtId="2" fontId="26" fillId="9" borderId="29" xfId="0" applyNumberFormat="1" applyFont="1" applyFill="1" applyBorder="1" applyAlignment="1">
      <alignment horizontal="center" vertical="center"/>
    </xf>
    <xf numFmtId="2" fontId="10" fillId="0" borderId="17" xfId="0" applyNumberFormat="1" applyFont="1" applyBorder="1" applyAlignment="1">
      <alignment horizontal="center" vertical="center"/>
    </xf>
    <xf numFmtId="166" fontId="10" fillId="8" borderId="17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1" fontId="15" fillId="7" borderId="17" xfId="0" applyNumberFormat="1" applyFont="1" applyFill="1" applyBorder="1" applyAlignment="1">
      <alignment horizontal="center" vertical="center"/>
    </xf>
    <xf numFmtId="0" fontId="56" fillId="7" borderId="0" xfId="0" applyFont="1" applyFill="1"/>
    <xf numFmtId="0" fontId="0" fillId="7" borderId="0" xfId="0" applyFill="1"/>
    <xf numFmtId="1" fontId="26" fillId="7" borderId="17" xfId="0" applyNumberFormat="1" applyFont="1" applyFill="1" applyBorder="1" applyAlignment="1">
      <alignment horizontal="center" vertical="center"/>
    </xf>
    <xf numFmtId="0" fontId="0" fillId="0" borderId="0" xfId="0"/>
    <xf numFmtId="0" fontId="46" fillId="8" borderId="62" xfId="0" applyFont="1" applyFill="1" applyBorder="1" applyAlignment="1">
      <alignment horizontal="center" vertical="center"/>
    </xf>
    <xf numFmtId="1" fontId="24" fillId="9" borderId="1" xfId="0" applyNumberFormat="1" applyFont="1" applyFill="1" applyBorder="1" applyAlignment="1">
      <alignment horizontal="center" vertical="center"/>
    </xf>
    <xf numFmtId="1" fontId="26" fillId="6" borderId="8" xfId="0" applyNumberFormat="1" applyFont="1" applyFill="1" applyBorder="1" applyAlignment="1">
      <alignment horizontal="center" vertical="center"/>
    </xf>
    <xf numFmtId="1" fontId="27" fillId="9" borderId="10" xfId="0" applyNumberFormat="1" applyFont="1" applyFill="1" applyBorder="1" applyAlignment="1">
      <alignment horizontal="center" vertical="center"/>
    </xf>
    <xf numFmtId="1" fontId="26" fillId="7" borderId="42" xfId="0" applyNumberFormat="1" applyFont="1" applyFill="1" applyBorder="1" applyAlignment="1">
      <alignment horizontal="center" vertical="center"/>
    </xf>
    <xf numFmtId="1" fontId="26" fillId="7" borderId="33" xfId="0" applyNumberFormat="1" applyFont="1" applyFill="1" applyBorder="1" applyAlignment="1">
      <alignment horizontal="center" vertical="center"/>
    </xf>
    <xf numFmtId="1" fontId="24" fillId="7" borderId="11" xfId="0" applyNumberFormat="1" applyFont="1" applyFill="1" applyBorder="1" applyAlignment="1">
      <alignment horizontal="center" vertical="center"/>
    </xf>
    <xf numFmtId="166" fontId="24" fillId="7" borderId="11" xfId="0" applyNumberFormat="1" applyFont="1" applyFill="1" applyBorder="1" applyAlignment="1">
      <alignment horizontal="center" vertical="center"/>
    </xf>
    <xf numFmtId="0" fontId="5" fillId="9" borderId="63" xfId="0" applyFont="1" applyFill="1" applyBorder="1" applyAlignment="1">
      <alignment horizontal="left" vertical="center" wrapText="1"/>
    </xf>
    <xf numFmtId="166" fontId="26" fillId="7" borderId="34" xfId="0" applyNumberFormat="1" applyFont="1" applyFill="1" applyBorder="1" applyAlignment="1">
      <alignment horizontal="center" vertical="center"/>
    </xf>
    <xf numFmtId="1" fontId="24" fillId="7" borderId="1" xfId="0" applyNumberFormat="1" applyFont="1" applyFill="1" applyBorder="1" applyAlignment="1">
      <alignment horizontal="center" vertical="center"/>
    </xf>
    <xf numFmtId="168" fontId="27" fillId="7" borderId="31" xfId="0" applyNumberFormat="1" applyFont="1" applyFill="1" applyBorder="1" applyAlignment="1">
      <alignment horizontal="center" vertical="center"/>
    </xf>
    <xf numFmtId="2" fontId="26" fillId="7" borderId="17" xfId="0" applyNumberFormat="1" applyFont="1" applyFill="1" applyBorder="1" applyAlignment="1">
      <alignment horizontal="center" vertical="center"/>
    </xf>
    <xf numFmtId="1" fontId="46" fillId="7" borderId="10" xfId="0" applyNumberFormat="1" applyFont="1" applyFill="1" applyBorder="1" applyAlignment="1">
      <alignment horizontal="center" vertical="center"/>
    </xf>
    <xf numFmtId="1" fontId="26" fillId="7" borderId="10" xfId="0" applyNumberFormat="1" applyFont="1" applyFill="1" applyBorder="1" applyAlignment="1">
      <alignment horizontal="center" vertical="center"/>
    </xf>
    <xf numFmtId="166" fontId="26" fillId="7" borderId="10" xfId="0" applyNumberFormat="1" applyFont="1" applyFill="1" applyBorder="1" applyAlignment="1">
      <alignment horizontal="center" vertical="center"/>
    </xf>
    <xf numFmtId="0" fontId="111" fillId="0" borderId="0" xfId="0" applyFont="1" applyAlignment="1">
      <alignment horizontal="center" vertical="center"/>
    </xf>
    <xf numFmtId="0" fontId="27" fillId="7" borderId="28" xfId="0" applyFont="1" applyFill="1" applyBorder="1" applyAlignment="1">
      <alignment horizontal="center" vertical="center"/>
    </xf>
    <xf numFmtId="1" fontId="24" fillId="7" borderId="53" xfId="0" applyNumberFormat="1" applyFont="1" applyFill="1" applyBorder="1" applyAlignment="1">
      <alignment horizontal="center" vertical="center"/>
    </xf>
    <xf numFmtId="1" fontId="26" fillId="7" borderId="29" xfId="0" applyNumberFormat="1" applyFont="1" applyFill="1" applyBorder="1" applyAlignment="1">
      <alignment horizontal="center" vertical="center"/>
    </xf>
    <xf numFmtId="168" fontId="26" fillId="7" borderId="31" xfId="0" applyNumberFormat="1" applyFont="1" applyFill="1" applyBorder="1" applyAlignment="1">
      <alignment horizontal="center" vertical="center"/>
    </xf>
    <xf numFmtId="2" fontId="26" fillId="7" borderId="31" xfId="0" applyNumberFormat="1" applyFont="1" applyFill="1" applyBorder="1" applyAlignment="1">
      <alignment horizontal="center" vertical="center"/>
    </xf>
    <xf numFmtId="1" fontId="54" fillId="7" borderId="10" xfId="0" applyNumberFormat="1" applyFont="1" applyFill="1" applyBorder="1" applyAlignment="1">
      <alignment horizontal="center" vertical="center"/>
    </xf>
    <xf numFmtId="166" fontId="26" fillId="7" borderId="19" xfId="0" applyNumberFormat="1" applyFont="1" applyFill="1" applyBorder="1" applyAlignment="1">
      <alignment horizontal="center" vertical="center"/>
    </xf>
    <xf numFmtId="166" fontId="26" fillId="7" borderId="30" xfId="0" applyNumberFormat="1" applyFont="1" applyFill="1" applyBorder="1" applyAlignment="1">
      <alignment horizontal="center" vertical="center"/>
    </xf>
    <xf numFmtId="1" fontId="27" fillId="7" borderId="11" xfId="0" applyNumberFormat="1" applyFont="1" applyFill="1" applyBorder="1" applyAlignment="1">
      <alignment horizontal="center" vertical="center"/>
    </xf>
    <xf numFmtId="166" fontId="26" fillId="7" borderId="17" xfId="0" applyNumberFormat="1" applyFont="1" applyFill="1" applyBorder="1" applyAlignment="1">
      <alignment horizontal="center" vertical="center"/>
    </xf>
    <xf numFmtId="2" fontId="26" fillId="7" borderId="53" xfId="0" applyNumberFormat="1" applyFont="1" applyFill="1" applyBorder="1" applyAlignment="1">
      <alignment horizontal="center" vertical="center"/>
    </xf>
    <xf numFmtId="2" fontId="26" fillId="7" borderId="33" xfId="0" applyNumberFormat="1" applyFont="1" applyFill="1" applyBorder="1" applyAlignment="1">
      <alignment horizontal="center" vertical="center"/>
    </xf>
    <xf numFmtId="1" fontId="26" fillId="7" borderId="53" xfId="0" applyNumberFormat="1" applyFont="1" applyFill="1" applyBorder="1" applyAlignment="1">
      <alignment horizontal="center" vertical="center"/>
    </xf>
    <xf numFmtId="1" fontId="26" fillId="7" borderId="72" xfId="0" applyNumberFormat="1" applyFont="1" applyFill="1" applyBorder="1" applyAlignment="1">
      <alignment horizontal="center" vertical="center"/>
    </xf>
    <xf numFmtId="166" fontId="26" fillId="7" borderId="42" xfId="0" applyNumberFormat="1" applyFont="1" applyFill="1" applyBorder="1" applyAlignment="1">
      <alignment horizontal="center" vertical="center"/>
    </xf>
    <xf numFmtId="166" fontId="26" fillId="7" borderId="72" xfId="0" applyNumberFormat="1" applyFont="1" applyFill="1" applyBorder="1" applyAlignment="1">
      <alignment horizontal="center" vertical="center"/>
    </xf>
    <xf numFmtId="166" fontId="26" fillId="7" borderId="53" xfId="0" applyNumberFormat="1" applyFont="1" applyFill="1" applyBorder="1" applyAlignment="1">
      <alignment horizontal="center" vertical="center"/>
    </xf>
    <xf numFmtId="166" fontId="25" fillId="7" borderId="17" xfId="0" applyNumberFormat="1" applyFont="1" applyFill="1" applyBorder="1" applyAlignment="1">
      <alignment horizontal="center" vertical="center"/>
    </xf>
    <xf numFmtId="166" fontId="26" fillId="7" borderId="50" xfId="0" applyNumberFormat="1" applyFont="1" applyFill="1" applyBorder="1" applyAlignment="1">
      <alignment horizontal="center" vertical="center"/>
    </xf>
    <xf numFmtId="166" fontId="27" fillId="7" borderId="19" xfId="0" applyNumberFormat="1" applyFont="1" applyFill="1" applyBorder="1" applyAlignment="1">
      <alignment horizontal="center" vertical="center"/>
    </xf>
    <xf numFmtId="166" fontId="26" fillId="7" borderId="29" xfId="0" applyNumberFormat="1" applyFont="1" applyFill="1" applyBorder="1" applyAlignment="1">
      <alignment horizontal="center" vertical="center"/>
    </xf>
    <xf numFmtId="168" fontId="26" fillId="7" borderId="59" xfId="0" applyNumberFormat="1" applyFont="1" applyFill="1" applyBorder="1" applyAlignment="1">
      <alignment horizontal="center" vertical="center"/>
    </xf>
    <xf numFmtId="1" fontId="26" fillId="7" borderId="19" xfId="0" applyNumberFormat="1" applyFont="1" applyFill="1" applyBorder="1" applyAlignment="1">
      <alignment horizontal="center" vertical="center"/>
    </xf>
    <xf numFmtId="0" fontId="26" fillId="7" borderId="17" xfId="0" applyFont="1" applyFill="1" applyBorder="1" applyAlignment="1">
      <alignment horizontal="center" vertical="center"/>
    </xf>
    <xf numFmtId="2" fontId="26" fillId="7" borderId="19" xfId="0" applyNumberFormat="1" applyFont="1" applyFill="1" applyBorder="1" applyAlignment="1">
      <alignment horizontal="center" vertical="center"/>
    </xf>
    <xf numFmtId="168" fontId="26" fillId="7" borderId="32" xfId="0" applyNumberFormat="1" applyFont="1" applyFill="1" applyBorder="1" applyAlignment="1">
      <alignment horizontal="center" vertical="center"/>
    </xf>
    <xf numFmtId="166" fontId="5" fillId="7" borderId="67" xfId="0" applyNumberFormat="1" applyFont="1" applyFill="1" applyBorder="1" applyAlignment="1">
      <alignment horizontal="center" vertical="center"/>
    </xf>
    <xf numFmtId="166" fontId="26" fillId="7" borderId="37" xfId="0" applyNumberFormat="1" applyFont="1" applyFill="1" applyBorder="1" applyAlignment="1">
      <alignment horizontal="center" vertical="center"/>
    </xf>
    <xf numFmtId="1" fontId="27" fillId="6" borderId="73" xfId="0" applyNumberFormat="1" applyFont="1" applyFill="1" applyBorder="1" applyAlignment="1">
      <alignment horizontal="center" vertical="center"/>
    </xf>
    <xf numFmtId="1" fontId="26" fillId="6" borderId="30" xfId="0" applyNumberFormat="1" applyFont="1" applyFill="1" applyBorder="1" applyAlignment="1">
      <alignment horizontal="center" vertical="center"/>
    </xf>
    <xf numFmtId="1" fontId="26" fillId="6" borderId="23" xfId="0" applyNumberFormat="1" applyFont="1" applyFill="1" applyBorder="1" applyAlignment="1">
      <alignment horizontal="center" vertical="center"/>
    </xf>
    <xf numFmtId="2" fontId="26" fillId="6" borderId="34" xfId="0" applyNumberFormat="1" applyFont="1" applyFill="1" applyBorder="1" applyAlignment="1">
      <alignment horizontal="center" vertical="center"/>
    </xf>
    <xf numFmtId="0" fontId="7" fillId="9" borderId="29" xfId="0" applyFont="1" applyFill="1" applyBorder="1" applyAlignment="1">
      <alignment horizontal="center" vertical="center"/>
    </xf>
    <xf numFmtId="0" fontId="7" fillId="9" borderId="6" xfId="0" applyFont="1" applyFill="1" applyBorder="1" applyAlignment="1">
      <alignment horizontal="center" vertical="center"/>
    </xf>
    <xf numFmtId="1" fontId="5" fillId="9" borderId="24" xfId="0" applyNumberFormat="1" applyFont="1" applyFill="1" applyBorder="1" applyAlignment="1">
      <alignment horizontal="center" vertical="center"/>
    </xf>
    <xf numFmtId="0" fontId="7" fillId="9" borderId="49" xfId="0" applyFont="1" applyFill="1" applyBorder="1" applyAlignment="1">
      <alignment vertical="center"/>
    </xf>
    <xf numFmtId="0" fontId="24" fillId="9" borderId="3" xfId="0" applyFont="1" applyFill="1" applyBorder="1" applyAlignment="1">
      <alignment horizontal="center" vertical="center"/>
    </xf>
    <xf numFmtId="0" fontId="24" fillId="9" borderId="24" xfId="0" applyFont="1" applyFill="1" applyBorder="1" applyAlignment="1">
      <alignment horizontal="center" vertical="center"/>
    </xf>
    <xf numFmtId="0" fontId="7" fillId="9" borderId="7" xfId="0" applyFont="1" applyFill="1" applyBorder="1" applyAlignment="1">
      <alignment horizontal="center" vertical="center"/>
    </xf>
    <xf numFmtId="0" fontId="36" fillId="9" borderId="29" xfId="0" applyFont="1" applyFill="1" applyBorder="1" applyAlignment="1">
      <alignment horizontal="center" vertical="center"/>
    </xf>
    <xf numFmtId="0" fontId="36" fillId="9" borderId="6" xfId="0" applyFont="1" applyFill="1" applyBorder="1" applyAlignment="1">
      <alignment horizontal="center" vertical="center"/>
    </xf>
    <xf numFmtId="0" fontId="7" fillId="9" borderId="8" xfId="0" applyFont="1" applyFill="1" applyBorder="1" applyAlignment="1">
      <alignment horizontal="center" vertical="center"/>
    </xf>
    <xf numFmtId="0" fontId="24" fillId="9" borderId="29" xfId="0" applyFont="1" applyFill="1" applyBorder="1" applyAlignment="1">
      <alignment horizontal="center" vertical="center"/>
    </xf>
    <xf numFmtId="0" fontId="27" fillId="9" borderId="87" xfId="0" applyFont="1" applyFill="1" applyBorder="1" applyAlignment="1">
      <alignment horizontal="center" vertical="center"/>
    </xf>
    <xf numFmtId="0" fontId="27" fillId="9" borderId="55" xfId="0" applyFont="1" applyFill="1" applyBorder="1" applyAlignment="1">
      <alignment vertical="center"/>
    </xf>
    <xf numFmtId="0" fontId="27" fillId="9" borderId="39" xfId="0" applyFont="1" applyFill="1" applyBorder="1" applyAlignment="1">
      <alignment horizontal="center" vertical="center"/>
    </xf>
    <xf numFmtId="0" fontId="0" fillId="0" borderId="0" xfId="0"/>
    <xf numFmtId="1" fontId="27" fillId="7" borderId="53" xfId="0" applyNumberFormat="1" applyFont="1" applyFill="1" applyBorder="1" applyAlignment="1">
      <alignment horizontal="center" vertical="center"/>
    </xf>
    <xf numFmtId="0" fontId="26" fillId="7" borderId="42" xfId="0" applyFont="1" applyFill="1" applyBorder="1" applyAlignment="1">
      <alignment horizontal="center" vertical="center"/>
    </xf>
    <xf numFmtId="168" fontId="27" fillId="7" borderId="50" xfId="0" applyNumberFormat="1" applyFont="1" applyFill="1" applyBorder="1" applyAlignment="1">
      <alignment horizontal="center" vertical="center"/>
    </xf>
    <xf numFmtId="166" fontId="26" fillId="7" borderId="33" xfId="0" applyNumberFormat="1" applyFont="1" applyFill="1" applyBorder="1" applyAlignment="1">
      <alignment horizontal="center" vertical="center"/>
    </xf>
    <xf numFmtId="2" fontId="26" fillId="7" borderId="10" xfId="0" applyNumberFormat="1" applyFont="1" applyFill="1" applyBorder="1" applyAlignment="1">
      <alignment horizontal="center" vertical="center"/>
    </xf>
    <xf numFmtId="1" fontId="26" fillId="7" borderId="73" xfId="0" applyNumberFormat="1" applyFont="1" applyFill="1" applyBorder="1" applyAlignment="1">
      <alignment horizontal="center" vertical="center"/>
    </xf>
    <xf numFmtId="2" fontId="27" fillId="7" borderId="10" xfId="0" applyNumberFormat="1" applyFont="1" applyFill="1" applyBorder="1" applyAlignment="1">
      <alignment horizontal="center" vertical="center"/>
    </xf>
    <xf numFmtId="0" fontId="0" fillId="0" borderId="0" xfId="0"/>
    <xf numFmtId="0" fontId="27" fillId="9" borderId="26" xfId="0" applyFont="1" applyFill="1" applyBorder="1" applyAlignment="1">
      <alignment horizontal="center" vertical="center"/>
    </xf>
    <xf numFmtId="1" fontId="47" fillId="6" borderId="17" xfId="0" applyNumberFormat="1" applyFont="1" applyFill="1" applyBorder="1" applyAlignment="1">
      <alignment horizontal="center"/>
    </xf>
    <xf numFmtId="0" fontId="24" fillId="0" borderId="67" xfId="0" applyFont="1" applyBorder="1" applyAlignment="1">
      <alignment horizontal="center" vertical="center"/>
    </xf>
    <xf numFmtId="1" fontId="26" fillId="9" borderId="19" xfId="0" applyNumberFormat="1" applyFont="1" applyFill="1" applyBorder="1" applyAlignment="1">
      <alignment horizontal="center" vertical="center"/>
    </xf>
    <xf numFmtId="0" fontId="7" fillId="9" borderId="56" xfId="0" applyFont="1" applyFill="1" applyBorder="1" applyAlignment="1">
      <alignment vertical="center"/>
    </xf>
    <xf numFmtId="0" fontId="5" fillId="7" borderId="28" xfId="0" applyFont="1" applyFill="1" applyBorder="1" applyAlignment="1">
      <alignment horizontal="center" vertical="center"/>
    </xf>
    <xf numFmtId="1" fontId="5" fillId="7" borderId="5" xfId="0" applyNumberFormat="1" applyFont="1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10" fillId="7" borderId="41" xfId="0" applyFont="1" applyFill="1" applyBorder="1" applyAlignment="1">
      <alignment horizontal="center" vertical="center"/>
    </xf>
    <xf numFmtId="0" fontId="10" fillId="7" borderId="23" xfId="0" applyFont="1" applyFill="1" applyBorder="1" applyAlignment="1">
      <alignment horizontal="center" vertical="center"/>
    </xf>
    <xf numFmtId="1" fontId="10" fillId="7" borderId="41" xfId="0" applyNumberFormat="1" applyFont="1" applyFill="1" applyBorder="1" applyAlignment="1">
      <alignment horizontal="center" vertical="center"/>
    </xf>
    <xf numFmtId="1" fontId="5" fillId="7" borderId="41" xfId="0" applyNumberFormat="1" applyFont="1" applyFill="1" applyBorder="1" applyAlignment="1">
      <alignment horizontal="center" vertical="center"/>
    </xf>
    <xf numFmtId="1" fontId="5" fillId="7" borderId="14" xfId="0" applyNumberFormat="1" applyFont="1" applyFill="1" applyBorder="1" applyAlignment="1">
      <alignment horizontal="center" vertical="center"/>
    </xf>
    <xf numFmtId="166" fontId="10" fillId="7" borderId="10" xfId="0" applyNumberFormat="1" applyFont="1" applyFill="1" applyBorder="1" applyAlignment="1">
      <alignment horizontal="center" vertical="center"/>
    </xf>
    <xf numFmtId="1" fontId="21" fillId="7" borderId="29" xfId="0" applyNumberFormat="1" applyFont="1" applyFill="1" applyBorder="1" applyAlignment="1">
      <alignment horizontal="center" vertical="center"/>
    </xf>
    <xf numFmtId="1" fontId="10" fillId="7" borderId="10" xfId="0" applyNumberFormat="1" applyFont="1" applyFill="1" applyBorder="1" applyAlignment="1">
      <alignment horizontal="center" vertical="center"/>
    </xf>
    <xf numFmtId="166" fontId="10" fillId="7" borderId="30" xfId="0" applyNumberFormat="1" applyFont="1" applyFill="1" applyBorder="1" applyAlignment="1">
      <alignment horizontal="center" vertical="center"/>
    </xf>
    <xf numFmtId="2" fontId="10" fillId="7" borderId="10" xfId="0" applyNumberFormat="1" applyFont="1" applyFill="1" applyBorder="1" applyAlignment="1">
      <alignment horizontal="center" vertical="center"/>
    </xf>
    <xf numFmtId="2" fontId="10" fillId="7" borderId="29" xfId="0" applyNumberFormat="1" applyFont="1" applyFill="1" applyBorder="1" applyAlignment="1">
      <alignment horizontal="center" vertical="center"/>
    </xf>
    <xf numFmtId="166" fontId="21" fillId="7" borderId="29" xfId="0" applyNumberFormat="1" applyFont="1" applyFill="1" applyBorder="1" applyAlignment="1">
      <alignment horizontal="center" vertical="center"/>
    </xf>
    <xf numFmtId="166" fontId="10" fillId="7" borderId="29" xfId="0" applyNumberFormat="1" applyFont="1" applyFill="1" applyBorder="1" applyAlignment="1">
      <alignment horizontal="center" vertical="center"/>
    </xf>
    <xf numFmtId="1" fontId="10" fillId="7" borderId="29" xfId="0" applyNumberFormat="1" applyFont="1" applyFill="1" applyBorder="1" applyAlignment="1">
      <alignment horizontal="center" vertical="center"/>
    </xf>
    <xf numFmtId="168" fontId="10" fillId="7" borderId="29" xfId="0" applyNumberFormat="1" applyFont="1" applyFill="1" applyBorder="1" applyAlignment="1">
      <alignment horizontal="center" vertical="center"/>
    </xf>
    <xf numFmtId="168" fontId="10" fillId="7" borderId="36" xfId="0" applyNumberFormat="1" applyFont="1" applyFill="1" applyBorder="1" applyAlignment="1">
      <alignment horizontal="center" vertical="center"/>
    </xf>
    <xf numFmtId="168" fontId="10" fillId="7" borderId="45" xfId="0" applyNumberFormat="1" applyFont="1" applyFill="1" applyBorder="1" applyAlignment="1">
      <alignment horizontal="center" vertical="center"/>
    </xf>
    <xf numFmtId="168" fontId="10" fillId="7" borderId="23" xfId="0" applyNumberFormat="1" applyFont="1" applyFill="1" applyBorder="1" applyAlignment="1">
      <alignment horizontal="center" vertical="center"/>
    </xf>
    <xf numFmtId="168" fontId="10" fillId="7" borderId="42" xfId="0" applyNumberFormat="1" applyFont="1" applyFill="1" applyBorder="1" applyAlignment="1">
      <alignment horizontal="center" vertical="center"/>
    </xf>
    <xf numFmtId="168" fontId="10" fillId="7" borderId="17" xfId="0" applyNumberFormat="1" applyFont="1" applyFill="1" applyBorder="1" applyAlignment="1">
      <alignment horizontal="center" vertical="center"/>
    </xf>
    <xf numFmtId="166" fontId="10" fillId="7" borderId="17" xfId="0" applyNumberFormat="1" applyFont="1" applyFill="1" applyBorder="1" applyAlignment="1">
      <alignment horizontal="center" vertical="center"/>
    </xf>
    <xf numFmtId="0" fontId="10" fillId="7" borderId="33" xfId="0" applyFont="1" applyFill="1" applyBorder="1" applyAlignment="1">
      <alignment vertical="center"/>
    </xf>
    <xf numFmtId="2" fontId="5" fillId="7" borderId="10" xfId="0" applyNumberFormat="1" applyFont="1" applyFill="1" applyBorder="1" applyAlignment="1">
      <alignment horizontal="center" vertical="center"/>
    </xf>
    <xf numFmtId="0" fontId="0" fillId="0" borderId="0" xfId="0"/>
    <xf numFmtId="166" fontId="10" fillId="0" borderId="29" xfId="0" applyNumberFormat="1" applyFont="1" applyBorder="1" applyAlignment="1">
      <alignment horizontal="center" vertical="center"/>
    </xf>
    <xf numFmtId="166" fontId="10" fillId="9" borderId="29" xfId="0" applyNumberFormat="1" applyFont="1" applyFill="1" applyBorder="1" applyAlignment="1">
      <alignment horizontal="center" vertical="center"/>
    </xf>
    <xf numFmtId="166" fontId="10" fillId="0" borderId="17" xfId="0" applyNumberFormat="1" applyFont="1" applyBorder="1" applyAlignment="1">
      <alignment horizontal="center" vertical="center"/>
    </xf>
    <xf numFmtId="166" fontId="10" fillId="6" borderId="17" xfId="0" applyNumberFormat="1" applyFont="1" applyFill="1" applyBorder="1" applyAlignment="1">
      <alignment horizontal="center" vertical="center"/>
    </xf>
    <xf numFmtId="0" fontId="5" fillId="9" borderId="26" xfId="0" applyFont="1" applyFill="1" applyBorder="1" applyAlignment="1">
      <alignment horizontal="center" vertical="center"/>
    </xf>
    <xf numFmtId="0" fontId="26" fillId="9" borderId="26" xfId="0" applyFont="1" applyFill="1" applyBorder="1"/>
    <xf numFmtId="1" fontId="10" fillId="0" borderId="66" xfId="0" applyNumberFormat="1" applyFont="1" applyBorder="1" applyAlignment="1">
      <alignment horizontal="center" vertical="center"/>
    </xf>
    <xf numFmtId="1" fontId="10" fillId="8" borderId="42" xfId="0" applyNumberFormat="1" applyFont="1" applyFill="1" applyBorder="1" applyAlignment="1">
      <alignment horizontal="center" vertical="center"/>
    </xf>
    <xf numFmtId="1" fontId="10" fillId="6" borderId="42" xfId="0" applyNumberFormat="1" applyFont="1" applyFill="1" applyBorder="1" applyAlignment="1">
      <alignment horizontal="center" vertical="center"/>
    </xf>
    <xf numFmtId="0" fontId="27" fillId="7" borderId="82" xfId="0" applyFont="1" applyFill="1" applyBorder="1" applyAlignment="1">
      <alignment horizontal="center" vertical="center"/>
    </xf>
    <xf numFmtId="1" fontId="26" fillId="7" borderId="100" xfId="0" applyNumberFormat="1" applyFont="1" applyFill="1" applyBorder="1" applyAlignment="1">
      <alignment horizontal="center" vertical="center"/>
    </xf>
    <xf numFmtId="1" fontId="26" fillId="7" borderId="83" xfId="0" applyNumberFormat="1" applyFont="1" applyFill="1" applyBorder="1" applyAlignment="1">
      <alignment horizontal="center" vertical="center"/>
    </xf>
    <xf numFmtId="1" fontId="24" fillId="7" borderId="103" xfId="0" applyNumberFormat="1" applyFont="1" applyFill="1" applyBorder="1" applyAlignment="1">
      <alignment horizontal="center" vertical="center"/>
    </xf>
    <xf numFmtId="166" fontId="26" fillId="7" borderId="83" xfId="0" applyNumberFormat="1" applyFont="1" applyFill="1" applyBorder="1" applyAlignment="1">
      <alignment horizontal="center" vertical="center"/>
    </xf>
    <xf numFmtId="2" fontId="26" fillId="7" borderId="104" xfId="0" applyNumberFormat="1" applyFont="1" applyFill="1" applyBorder="1" applyAlignment="1">
      <alignment horizontal="center" vertical="center"/>
    </xf>
    <xf numFmtId="2" fontId="24" fillId="7" borderId="103" xfId="0" applyNumberFormat="1" applyFont="1" applyFill="1" applyBorder="1" applyAlignment="1">
      <alignment horizontal="center" vertical="center"/>
    </xf>
    <xf numFmtId="1" fontId="26" fillId="7" borderId="81" xfId="0" applyNumberFormat="1" applyFont="1" applyFill="1" applyBorder="1" applyAlignment="1">
      <alignment horizontal="center" vertical="center"/>
    </xf>
    <xf numFmtId="1" fontId="26" fillId="7" borderId="93" xfId="0" applyNumberFormat="1" applyFont="1" applyFill="1" applyBorder="1" applyAlignment="1">
      <alignment horizontal="center" vertical="center"/>
    </xf>
    <xf numFmtId="1" fontId="26" fillId="7" borderId="95" xfId="0" applyNumberFormat="1" applyFont="1" applyFill="1" applyBorder="1" applyAlignment="1">
      <alignment horizontal="center" vertical="center"/>
    </xf>
    <xf numFmtId="166" fontId="26" fillId="7" borderId="8" xfId="0" applyNumberFormat="1" applyFont="1" applyFill="1" applyBorder="1" applyAlignment="1">
      <alignment horizontal="center" vertical="center"/>
    </xf>
    <xf numFmtId="0" fontId="36" fillId="9" borderId="3" xfId="0" applyFont="1" applyFill="1" applyBorder="1"/>
    <xf numFmtId="0" fontId="36" fillId="9" borderId="24" xfId="0" applyFont="1" applyFill="1" applyBorder="1"/>
    <xf numFmtId="0" fontId="5" fillId="9" borderId="90" xfId="0" applyFont="1" applyFill="1" applyBorder="1"/>
    <xf numFmtId="0" fontId="5" fillId="9" borderId="6" xfId="0" applyFont="1" applyFill="1" applyBorder="1"/>
    <xf numFmtId="0" fontId="5" fillId="9" borderId="8" xfId="0" applyFont="1" applyFill="1" applyBorder="1"/>
    <xf numFmtId="1" fontId="26" fillId="7" borderId="18" xfId="0" applyNumberFormat="1" applyFont="1" applyFill="1" applyBorder="1" applyAlignment="1">
      <alignment horizontal="center" vertical="center"/>
    </xf>
    <xf numFmtId="2" fontId="27" fillId="7" borderId="12" xfId="0" applyNumberFormat="1" applyFont="1" applyFill="1" applyBorder="1" applyAlignment="1">
      <alignment horizontal="center" vertical="center"/>
    </xf>
    <xf numFmtId="1" fontId="26" fillId="7" borderId="12" xfId="0" applyNumberFormat="1" applyFont="1" applyFill="1" applyBorder="1" applyAlignment="1">
      <alignment horizontal="center" vertical="center"/>
    </xf>
    <xf numFmtId="1" fontId="10" fillId="7" borderId="18" xfId="0" applyNumberFormat="1" applyFont="1" applyFill="1" applyBorder="1" applyAlignment="1">
      <alignment horizontal="center" vertical="center"/>
    </xf>
    <xf numFmtId="2" fontId="5" fillId="7" borderId="20" xfId="0" applyNumberFormat="1" applyFont="1" applyFill="1" applyBorder="1" applyAlignment="1">
      <alignment horizontal="center" vertical="center"/>
    </xf>
    <xf numFmtId="166" fontId="27" fillId="7" borderId="12" xfId="0" applyNumberFormat="1" applyFont="1" applyFill="1" applyBorder="1" applyAlignment="1">
      <alignment horizontal="center" vertical="center"/>
    </xf>
    <xf numFmtId="166" fontId="24" fillId="7" borderId="60" xfId="0" quotePrefix="1" applyNumberFormat="1" applyFont="1" applyFill="1" applyBorder="1" applyAlignment="1">
      <alignment horizontal="center" vertical="center"/>
    </xf>
    <xf numFmtId="1" fontId="25" fillId="7" borderId="18" xfId="0" applyNumberFormat="1" applyFont="1" applyFill="1" applyBorder="1" applyAlignment="1">
      <alignment horizontal="center" vertical="center"/>
    </xf>
    <xf numFmtId="166" fontId="25" fillId="7" borderId="22" xfId="0" applyNumberFormat="1" applyFont="1" applyFill="1" applyBorder="1" applyAlignment="1">
      <alignment horizontal="center" vertical="center"/>
    </xf>
    <xf numFmtId="1" fontId="5" fillId="7" borderId="20" xfId="0" applyNumberFormat="1" applyFont="1" applyFill="1" applyBorder="1" applyAlignment="1">
      <alignment horizontal="center" vertical="center"/>
    </xf>
    <xf numFmtId="1" fontId="24" fillId="7" borderId="110" xfId="0" applyNumberFormat="1" applyFont="1" applyFill="1" applyBorder="1" applyAlignment="1">
      <alignment horizontal="center" vertical="center"/>
    </xf>
    <xf numFmtId="1" fontId="24" fillId="7" borderId="82" xfId="0" applyNumberFormat="1" applyFont="1" applyFill="1" applyBorder="1" applyAlignment="1">
      <alignment horizontal="center" vertical="center"/>
    </xf>
    <xf numFmtId="1" fontId="5" fillId="7" borderId="78" xfId="0" applyNumberFormat="1" applyFont="1" applyFill="1" applyBorder="1" applyAlignment="1">
      <alignment horizontal="center" vertical="center"/>
    </xf>
    <xf numFmtId="166" fontId="5" fillId="7" borderId="103" xfId="0" applyNumberFormat="1" applyFont="1" applyFill="1" applyBorder="1" applyAlignment="1">
      <alignment horizontal="center" vertical="center"/>
    </xf>
    <xf numFmtId="166" fontId="5" fillId="7" borderId="83" xfId="0" applyNumberFormat="1" applyFont="1" applyFill="1" applyBorder="1" applyAlignment="1">
      <alignment horizontal="center" vertical="center"/>
    </xf>
    <xf numFmtId="168" fontId="26" fillId="7" borderId="83" xfId="0" applyNumberFormat="1" applyFont="1" applyFill="1" applyBorder="1" applyAlignment="1">
      <alignment horizontal="center" vertical="center"/>
    </xf>
    <xf numFmtId="0" fontId="26" fillId="7" borderId="83" xfId="0" applyFont="1" applyFill="1" applyBorder="1" applyAlignment="1">
      <alignment horizontal="center" vertical="center"/>
    </xf>
    <xf numFmtId="1" fontId="24" fillId="7" borderId="72" xfId="0" applyNumberFormat="1" applyFont="1" applyFill="1" applyBorder="1" applyAlignment="1">
      <alignment horizontal="center" vertical="center"/>
    </xf>
    <xf numFmtId="1" fontId="24" fillId="7" borderId="17" xfId="0" applyNumberFormat="1" applyFont="1" applyFill="1" applyBorder="1" applyAlignment="1">
      <alignment horizontal="center" vertical="center"/>
    </xf>
    <xf numFmtId="166" fontId="5" fillId="9" borderId="5" xfId="0" applyNumberFormat="1" applyFont="1" applyFill="1" applyBorder="1" applyAlignment="1">
      <alignment horizontal="center" vertical="center"/>
    </xf>
    <xf numFmtId="0" fontId="0" fillId="0" borderId="0" xfId="0"/>
    <xf numFmtId="0" fontId="33" fillId="9" borderId="11" xfId="0" applyFont="1" applyFill="1" applyBorder="1" applyAlignment="1">
      <alignment horizontal="center" vertical="center"/>
    </xf>
    <xf numFmtId="2" fontId="26" fillId="9" borderId="5" xfId="0" applyNumberFormat="1" applyFont="1" applyFill="1" applyBorder="1" applyAlignment="1">
      <alignment horizontal="center" vertical="center"/>
    </xf>
    <xf numFmtId="168" fontId="26" fillId="9" borderId="23" xfId="0" applyNumberFormat="1" applyFont="1" applyFill="1" applyBorder="1" applyAlignment="1">
      <alignment horizontal="center" vertical="center"/>
    </xf>
    <xf numFmtId="0" fontId="26" fillId="9" borderId="38" xfId="0" applyFont="1" applyFill="1" applyBorder="1"/>
    <xf numFmtId="1" fontId="26" fillId="9" borderId="50" xfId="0" applyNumberFormat="1" applyFont="1" applyFill="1" applyBorder="1" applyAlignment="1">
      <alignment horizontal="center" vertical="center"/>
    </xf>
    <xf numFmtId="1" fontId="5" fillId="9" borderId="72" xfId="0" applyNumberFormat="1" applyFont="1" applyFill="1" applyBorder="1" applyAlignment="1">
      <alignment horizontal="center" vertical="center"/>
    </xf>
    <xf numFmtId="1" fontId="25" fillId="0" borderId="37" xfId="0" applyNumberFormat="1" applyFont="1" applyBorder="1" applyAlignment="1">
      <alignment horizontal="center" vertical="center"/>
    </xf>
    <xf numFmtId="168" fontId="26" fillId="9" borderId="48" xfId="0" applyNumberFormat="1" applyFont="1" applyFill="1" applyBorder="1" applyAlignment="1">
      <alignment horizontal="center" vertical="center"/>
    </xf>
    <xf numFmtId="166" fontId="26" fillId="9" borderId="49" xfId="0" applyNumberFormat="1" applyFont="1" applyFill="1" applyBorder="1" applyAlignment="1">
      <alignment horizontal="center" vertical="center"/>
    </xf>
    <xf numFmtId="2" fontId="46" fillId="7" borderId="10" xfId="0" applyNumberFormat="1" applyFont="1" applyFill="1" applyBorder="1" applyAlignment="1">
      <alignment horizontal="center" vertical="center"/>
    </xf>
    <xf numFmtId="0" fontId="15" fillId="7" borderId="17" xfId="0" applyFont="1" applyFill="1" applyBorder="1" applyAlignment="1">
      <alignment horizontal="center" vertical="center"/>
    </xf>
    <xf numFmtId="1" fontId="24" fillId="7" borderId="10" xfId="0" applyNumberFormat="1" applyFont="1" applyFill="1" applyBorder="1" applyAlignment="1">
      <alignment horizontal="center" vertical="center"/>
    </xf>
    <xf numFmtId="0" fontId="24" fillId="9" borderId="1" xfId="0" applyFont="1" applyFill="1" applyBorder="1" applyAlignment="1">
      <alignment horizontal="left" vertical="center"/>
    </xf>
    <xf numFmtId="1" fontId="33" fillId="9" borderId="1" xfId="0" applyNumberFormat="1" applyFont="1" applyFill="1" applyBorder="1" applyAlignment="1">
      <alignment horizontal="center" vertical="center"/>
    </xf>
    <xf numFmtId="1" fontId="33" fillId="9" borderId="11" xfId="0" applyNumberFormat="1" applyFont="1" applyFill="1" applyBorder="1" applyAlignment="1">
      <alignment horizontal="center" vertical="center"/>
    </xf>
    <xf numFmtId="1" fontId="97" fillId="6" borderId="8" xfId="186" applyNumberFormat="1" applyFont="1" applyFill="1" applyBorder="1" applyAlignment="1">
      <alignment horizontal="center" vertical="center"/>
    </xf>
    <xf numFmtId="1" fontId="10" fillId="7" borderId="17" xfId="0" applyNumberFormat="1" applyFont="1" applyFill="1" applyBorder="1" applyAlignment="1">
      <alignment horizontal="center" vertical="center"/>
    </xf>
    <xf numFmtId="1" fontId="10" fillId="7" borderId="72" xfId="0" applyNumberFormat="1" applyFont="1" applyFill="1" applyBorder="1" applyAlignment="1">
      <alignment horizontal="center" vertical="center"/>
    </xf>
    <xf numFmtId="1" fontId="5" fillId="7" borderId="11" xfId="0" applyNumberFormat="1" applyFont="1" applyFill="1" applyBorder="1" applyAlignment="1">
      <alignment horizontal="center" vertical="center"/>
    </xf>
    <xf numFmtId="1" fontId="10" fillId="7" borderId="33" xfId="0" applyNumberFormat="1" applyFont="1" applyFill="1" applyBorder="1" applyAlignment="1">
      <alignment horizontal="center" vertical="center"/>
    </xf>
    <xf numFmtId="1" fontId="5" fillId="7" borderId="73" xfId="0" applyNumberFormat="1" applyFont="1" applyFill="1" applyBorder="1" applyAlignment="1">
      <alignment horizontal="center" vertical="center"/>
    </xf>
    <xf numFmtId="1" fontId="10" fillId="7" borderId="53" xfId="0" applyNumberFormat="1" applyFont="1" applyFill="1" applyBorder="1" applyAlignment="1">
      <alignment horizontal="center" vertical="center"/>
    </xf>
    <xf numFmtId="1" fontId="5" fillId="7" borderId="17" xfId="0" applyNumberFormat="1" applyFont="1" applyFill="1" applyBorder="1" applyAlignment="1">
      <alignment horizontal="center" vertical="center"/>
    </xf>
    <xf numFmtId="1" fontId="5" fillId="7" borderId="72" xfId="0" applyNumberFormat="1" applyFont="1" applyFill="1" applyBorder="1" applyAlignment="1">
      <alignment horizontal="center" vertical="center"/>
    </xf>
    <xf numFmtId="1" fontId="5" fillId="7" borderId="21" xfId="0" applyNumberFormat="1" applyFont="1" applyFill="1" applyBorder="1" applyAlignment="1">
      <alignment horizontal="center" vertical="center"/>
    </xf>
    <xf numFmtId="1" fontId="5" fillId="7" borderId="19" xfId="0" applyNumberFormat="1" applyFont="1" applyFill="1" applyBorder="1" applyAlignment="1">
      <alignment horizontal="center" vertical="center"/>
    </xf>
    <xf numFmtId="0" fontId="102" fillId="9" borderId="0" xfId="0" applyFont="1" applyFill="1"/>
    <xf numFmtId="1" fontId="91" fillId="9" borderId="0" xfId="0" applyNumberFormat="1" applyFont="1" applyFill="1"/>
    <xf numFmtId="0" fontId="55" fillId="9" borderId="0" xfId="0" applyFont="1" applyFill="1"/>
    <xf numFmtId="0" fontId="45" fillId="9" borderId="0" xfId="0" applyFont="1" applyFill="1"/>
    <xf numFmtId="0" fontId="21" fillId="9" borderId="0" xfId="0" applyFont="1" applyFill="1"/>
    <xf numFmtId="0" fontId="10" fillId="9" borderId="0" xfId="0" applyFont="1" applyFill="1"/>
    <xf numFmtId="0" fontId="5" fillId="6" borderId="28" xfId="0" applyFont="1" applyFill="1" applyBorder="1" applyAlignment="1">
      <alignment horizontal="center" vertical="center"/>
    </xf>
    <xf numFmtId="0" fontId="5" fillId="9" borderId="6" xfId="0" applyFont="1" applyFill="1" applyBorder="1" applyAlignment="1">
      <alignment vertical="center"/>
    </xf>
    <xf numFmtId="0" fontId="10" fillId="8" borderId="72" xfId="0" applyFont="1" applyFill="1" applyBorder="1" applyAlignment="1">
      <alignment horizontal="center" vertical="center"/>
    </xf>
    <xf numFmtId="0" fontId="10" fillId="6" borderId="72" xfId="0" applyFont="1" applyFill="1" applyBorder="1" applyAlignment="1">
      <alignment horizontal="center" vertical="center"/>
    </xf>
    <xf numFmtId="0" fontId="10" fillId="7" borderId="72" xfId="0" applyFont="1" applyFill="1" applyBorder="1" applyAlignment="1">
      <alignment horizontal="center" vertical="center"/>
    </xf>
    <xf numFmtId="1" fontId="5" fillId="9" borderId="24" xfId="0" applyNumberFormat="1" applyFont="1" applyFill="1" applyBorder="1" applyAlignment="1">
      <alignment vertical="center"/>
    </xf>
    <xf numFmtId="0" fontId="112" fillId="9" borderId="10" xfId="0" applyFont="1" applyFill="1" applyBorder="1" applyAlignment="1"/>
    <xf numFmtId="0" fontId="0" fillId="0" borderId="0" xfId="0"/>
    <xf numFmtId="0" fontId="0" fillId="0" borderId="0" xfId="0"/>
    <xf numFmtId="1" fontId="46" fillId="0" borderId="29" xfId="0" applyNumberFormat="1" applyFont="1" applyBorder="1" applyAlignment="1">
      <alignment horizontal="center" vertical="center"/>
    </xf>
    <xf numFmtId="0" fontId="46" fillId="8" borderId="62" xfId="0" applyFont="1" applyFill="1" applyBorder="1" applyAlignment="1">
      <alignment horizontal="center" vertical="center"/>
    </xf>
    <xf numFmtId="2" fontId="26" fillId="0" borderId="48" xfId="0" applyNumberFormat="1" applyFont="1" applyBorder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1" fontId="15" fillId="8" borderId="34" xfId="0" applyNumberFormat="1" applyFont="1" applyFill="1" applyBorder="1" applyAlignment="1">
      <alignment horizontal="center" vertical="center"/>
    </xf>
    <xf numFmtId="1" fontId="10" fillId="7" borderId="42" xfId="0" applyNumberFormat="1" applyFont="1" applyFill="1" applyBorder="1" applyAlignment="1">
      <alignment horizontal="center" vertical="center"/>
    </xf>
    <xf numFmtId="1" fontId="26" fillId="7" borderId="61" xfId="0" applyNumberFormat="1" applyFont="1" applyFill="1" applyBorder="1" applyAlignment="1">
      <alignment horizontal="center" vertical="center"/>
    </xf>
    <xf numFmtId="0" fontId="0" fillId="0" borderId="0" xfId="0"/>
    <xf numFmtId="1" fontId="46" fillId="8" borderId="10" xfId="0" applyNumberFormat="1" applyFont="1" applyFill="1" applyBorder="1" applyAlignment="1">
      <alignment horizontal="center" vertical="center"/>
    </xf>
    <xf numFmtId="0" fontId="0" fillId="0" borderId="0" xfId="0"/>
    <xf numFmtId="0" fontId="26" fillId="9" borderId="0" xfId="0" applyFont="1" applyFill="1"/>
    <xf numFmtId="0" fontId="65" fillId="0" borderId="10" xfId="0" applyFont="1" applyBorder="1"/>
    <xf numFmtId="0" fontId="0" fillId="0" borderId="0" xfId="0" applyBorder="1" applyAlignment="1">
      <alignment horizontal="center" vertical="center"/>
    </xf>
    <xf numFmtId="1" fontId="26" fillId="8" borderId="37" xfId="0" applyNumberFormat="1" applyFont="1" applyFill="1" applyBorder="1" applyAlignment="1">
      <alignment horizontal="center" vertical="center"/>
    </xf>
    <xf numFmtId="1" fontId="26" fillId="6" borderId="37" xfId="0" applyNumberFormat="1" applyFont="1" applyFill="1" applyBorder="1" applyAlignment="1">
      <alignment horizontal="center" vertical="center"/>
    </xf>
    <xf numFmtId="166" fontId="26" fillId="0" borderId="23" xfId="0" applyNumberFormat="1" applyFont="1" applyBorder="1" applyAlignment="1">
      <alignment horizontal="center" vertical="center"/>
    </xf>
    <xf numFmtId="0" fontId="0" fillId="0" borderId="0" xfId="0"/>
    <xf numFmtId="0" fontId="5" fillId="9" borderId="31" xfId="0" applyFont="1" applyFill="1" applyBorder="1" applyAlignment="1">
      <alignment horizontal="left" vertical="center"/>
    </xf>
    <xf numFmtId="0" fontId="103" fillId="9" borderId="0" xfId="0" applyFont="1" applyFill="1"/>
    <xf numFmtId="1" fontId="10" fillId="0" borderId="19" xfId="0" applyNumberFormat="1" applyFont="1" applyBorder="1" applyAlignment="1">
      <alignment horizontal="center" vertical="center"/>
    </xf>
    <xf numFmtId="1" fontId="10" fillId="9" borderId="19" xfId="0" applyNumberFormat="1" applyFont="1" applyFill="1" applyBorder="1" applyAlignment="1">
      <alignment horizontal="center" vertical="center"/>
    </xf>
    <xf numFmtId="1" fontId="10" fillId="9" borderId="48" xfId="0" applyNumberFormat="1" applyFont="1" applyFill="1" applyBorder="1" applyAlignment="1">
      <alignment horizontal="center" vertical="center"/>
    </xf>
    <xf numFmtId="1" fontId="10" fillId="7" borderId="19" xfId="0" applyNumberFormat="1" applyFont="1" applyFill="1" applyBorder="1" applyAlignment="1">
      <alignment horizontal="center" vertical="center"/>
    </xf>
    <xf numFmtId="1" fontId="10" fillId="6" borderId="6" xfId="0" applyNumberFormat="1" applyFont="1" applyFill="1" applyBorder="1" applyAlignment="1">
      <alignment horizontal="center" vertical="center"/>
    </xf>
    <xf numFmtId="1" fontId="10" fillId="8" borderId="19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3" fillId="0" borderId="10" xfId="0" applyFont="1" applyBorder="1" applyAlignment="1">
      <alignment horizontal="center" vertical="center"/>
    </xf>
    <xf numFmtId="0" fontId="0" fillId="0" borderId="0" xfId="0"/>
    <xf numFmtId="0" fontId="33" fillId="0" borderId="4" xfId="0" applyFont="1" applyBorder="1" applyAlignment="1">
      <alignment horizontal="center" vertical="center"/>
    </xf>
    <xf numFmtId="0" fontId="0" fillId="0" borderId="0" xfId="0"/>
    <xf numFmtId="1" fontId="97" fillId="9" borderId="48" xfId="186" applyNumberFormat="1" applyFont="1" applyFill="1" applyBorder="1" applyAlignment="1">
      <alignment horizontal="center" vertical="center"/>
    </xf>
    <xf numFmtId="0" fontId="96" fillId="33" borderId="14" xfId="186" applyFont="1" applyFill="1" applyBorder="1" applyAlignment="1">
      <alignment horizontal="center" vertical="center"/>
    </xf>
    <xf numFmtId="0" fontId="96" fillId="6" borderId="15" xfId="186" applyFont="1" applyFill="1" applyBorder="1" applyAlignment="1">
      <alignment horizontal="center" vertical="center"/>
    </xf>
    <xf numFmtId="0" fontId="96" fillId="33" borderId="73" xfId="186" applyFont="1" applyFill="1" applyBorder="1" applyAlignment="1">
      <alignment horizontal="center" vertical="center"/>
    </xf>
    <xf numFmtId="0" fontId="96" fillId="4" borderId="15" xfId="186" applyFont="1" applyFill="1" applyBorder="1" applyAlignment="1">
      <alignment horizontal="center" vertical="center"/>
    </xf>
    <xf numFmtId="0" fontId="96" fillId="33" borderId="16" xfId="186" applyFont="1" applyFill="1" applyBorder="1" applyAlignment="1">
      <alignment horizontal="center" vertical="center"/>
    </xf>
    <xf numFmtId="0" fontId="96" fillId="33" borderId="28" xfId="186" applyFont="1" applyFill="1" applyBorder="1" applyAlignment="1">
      <alignment horizontal="center" vertical="center"/>
    </xf>
    <xf numFmtId="0" fontId="96" fillId="10" borderId="16" xfId="186" applyFont="1" applyFill="1" applyBorder="1" applyAlignment="1">
      <alignment horizontal="center" vertical="center"/>
    </xf>
    <xf numFmtId="0" fontId="96" fillId="10" borderId="13" xfId="186" applyFont="1" applyFill="1" applyBorder="1" applyAlignment="1">
      <alignment horizontal="center" vertical="center"/>
    </xf>
    <xf numFmtId="0" fontId="113" fillId="0" borderId="0" xfId="0" applyFont="1"/>
    <xf numFmtId="0" fontId="0" fillId="0" borderId="0" xfId="0"/>
    <xf numFmtId="0" fontId="0" fillId="0" borderId="0" xfId="0"/>
    <xf numFmtId="1" fontId="46" fillId="0" borderId="29" xfId="0" applyNumberFormat="1" applyFont="1" applyBorder="1" applyAlignment="1">
      <alignment horizontal="center" vertical="center"/>
    </xf>
    <xf numFmtId="0" fontId="46" fillId="8" borderId="62" xfId="0" applyFont="1" applyFill="1" applyBorder="1" applyAlignment="1">
      <alignment horizontal="center" vertical="center"/>
    </xf>
    <xf numFmtId="2" fontId="26" fillId="0" borderId="48" xfId="0" applyNumberFormat="1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33" fillId="0" borderId="10" xfId="0" applyFont="1" applyBorder="1" applyAlignment="1">
      <alignment horizontal="center" vertical="center"/>
    </xf>
    <xf numFmtId="0" fontId="0" fillId="0" borderId="0" xfId="0"/>
    <xf numFmtId="1" fontId="15" fillId="8" borderId="32" xfId="0" applyNumberFormat="1" applyFont="1" applyFill="1" applyBorder="1" applyAlignment="1">
      <alignment horizontal="center" vertical="center"/>
    </xf>
    <xf numFmtId="166" fontId="0" fillId="0" borderId="0" xfId="0" applyNumberFormat="1"/>
    <xf numFmtId="0" fontId="0" fillId="0" borderId="0" xfId="0"/>
    <xf numFmtId="0" fontId="0" fillId="0" borderId="0" xfId="0"/>
    <xf numFmtId="1" fontId="26" fillId="8" borderId="48" xfId="0" applyNumberFormat="1" applyFont="1" applyFill="1" applyBorder="1" applyAlignment="1">
      <alignment horizontal="center" vertical="center"/>
    </xf>
    <xf numFmtId="1" fontId="26" fillId="8" borderId="64" xfId="0" applyNumberFormat="1" applyFont="1" applyFill="1" applyBorder="1" applyAlignment="1">
      <alignment horizontal="center" vertical="center"/>
    </xf>
    <xf numFmtId="1" fontId="26" fillId="6" borderId="71" xfId="0" applyNumberFormat="1" applyFont="1" applyFill="1" applyBorder="1" applyAlignment="1">
      <alignment horizontal="center" vertical="center"/>
    </xf>
    <xf numFmtId="1" fontId="26" fillId="8" borderId="71" xfId="0" applyNumberFormat="1" applyFont="1" applyFill="1" applyBorder="1" applyAlignment="1">
      <alignment horizontal="center" vertical="center"/>
    </xf>
    <xf numFmtId="1" fontId="26" fillId="0" borderId="64" xfId="0" applyNumberFormat="1" applyFont="1" applyBorder="1" applyAlignment="1">
      <alignment horizontal="center" vertical="center"/>
    </xf>
    <xf numFmtId="1" fontId="26" fillId="9" borderId="64" xfId="0" applyNumberFormat="1" applyFont="1" applyFill="1" applyBorder="1" applyAlignment="1">
      <alignment horizontal="center" vertical="center"/>
    </xf>
    <xf numFmtId="0" fontId="7" fillId="9" borderId="7" xfId="0" applyFont="1" applyFill="1" applyBorder="1" applyAlignment="1">
      <alignment vertical="center"/>
    </xf>
    <xf numFmtId="1" fontId="24" fillId="0" borderId="1" xfId="0" applyNumberFormat="1" applyFont="1" applyBorder="1" applyAlignment="1">
      <alignment horizontal="center" vertical="center"/>
    </xf>
    <xf numFmtId="166" fontId="27" fillId="0" borderId="36" xfId="0" applyNumberFormat="1" applyFont="1" applyBorder="1" applyAlignment="1">
      <alignment horizontal="center" vertical="center"/>
    </xf>
    <xf numFmtId="166" fontId="27" fillId="0" borderId="58" xfId="0" applyNumberFormat="1" applyFont="1" applyBorder="1" applyAlignment="1">
      <alignment horizontal="center" vertical="center"/>
    </xf>
    <xf numFmtId="166" fontId="27" fillId="8" borderId="58" xfId="0" applyNumberFormat="1" applyFont="1" applyFill="1" applyBorder="1" applyAlignment="1">
      <alignment horizontal="center" vertical="center"/>
    </xf>
    <xf numFmtId="166" fontId="27" fillId="0" borderId="75" xfId="0" applyNumberFormat="1" applyFont="1" applyBorder="1" applyAlignment="1">
      <alignment horizontal="center" vertical="center"/>
    </xf>
    <xf numFmtId="166" fontId="27" fillId="6" borderId="58" xfId="0" applyNumberFormat="1" applyFont="1" applyFill="1" applyBorder="1" applyAlignment="1">
      <alignment horizontal="center" vertical="center"/>
    </xf>
    <xf numFmtId="1" fontId="5" fillId="8" borderId="67" xfId="0" applyNumberFormat="1" applyFont="1" applyFill="1" applyBorder="1" applyAlignment="1">
      <alignment horizontal="center" vertical="center"/>
    </xf>
    <xf numFmtId="1" fontId="5" fillId="7" borderId="67" xfId="0" applyNumberFormat="1" applyFont="1" applyFill="1" applyBorder="1" applyAlignment="1">
      <alignment horizontal="center" vertical="center"/>
    </xf>
    <xf numFmtId="1" fontId="26" fillId="9" borderId="0" xfId="0" applyNumberFormat="1" applyFont="1" applyFill="1" applyBorder="1" applyAlignment="1">
      <alignment horizontal="center" vertical="center"/>
    </xf>
    <xf numFmtId="1" fontId="24" fillId="0" borderId="14" xfId="0" applyNumberFormat="1" applyFont="1" applyBorder="1" applyAlignment="1">
      <alignment horizontal="center" vertical="center"/>
    </xf>
    <xf numFmtId="1" fontId="25" fillId="0" borderId="17" xfId="0" applyNumberFormat="1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27" fillId="0" borderId="4" xfId="0" applyFont="1" applyBorder="1" applyAlignment="1">
      <alignment horizontal="center" vertical="center"/>
    </xf>
    <xf numFmtId="0" fontId="27" fillId="6" borderId="1" xfId="0" applyFont="1" applyFill="1" applyBorder="1" applyAlignment="1">
      <alignment horizontal="center" vertical="center"/>
    </xf>
    <xf numFmtId="0" fontId="27" fillId="6" borderId="4" xfId="0" applyFont="1" applyFill="1" applyBorder="1" applyAlignment="1">
      <alignment horizontal="center" vertical="center"/>
    </xf>
    <xf numFmtId="1" fontId="21" fillId="9" borderId="29" xfId="0" applyNumberFormat="1" applyFont="1" applyFill="1" applyBorder="1" applyAlignment="1">
      <alignment horizontal="center" vertical="center"/>
    </xf>
    <xf numFmtId="1" fontId="21" fillId="6" borderId="30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7" fillId="7" borderId="4" xfId="0" applyFont="1" applyFill="1" applyBorder="1" applyAlignment="1">
      <alignment horizontal="center" vertical="center"/>
    </xf>
    <xf numFmtId="0" fontId="0" fillId="0" borderId="10" xfId="0" applyBorder="1" applyAlignment="1">
      <alignment horizontal="right"/>
    </xf>
    <xf numFmtId="1" fontId="56" fillId="0" borderId="10" xfId="0" applyNumberFormat="1" applyFont="1" applyBorder="1" applyAlignment="1">
      <alignment horizontal="center"/>
    </xf>
    <xf numFmtId="1" fontId="56" fillId="0" borderId="10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right"/>
    </xf>
    <xf numFmtId="1" fontId="54" fillId="0" borderId="10" xfId="0" applyNumberFormat="1" applyFont="1" applyBorder="1" applyAlignment="1">
      <alignment horizontal="center"/>
    </xf>
    <xf numFmtId="1" fontId="64" fillId="0" borderId="10" xfId="0" applyNumberFormat="1" applyFont="1" applyBorder="1" applyAlignment="1">
      <alignment horizontal="center" vertical="center"/>
    </xf>
    <xf numFmtId="1" fontId="112" fillId="0" borderId="10" xfId="0" applyNumberFormat="1" applyFont="1" applyBorder="1" applyAlignment="1">
      <alignment horizontal="center" vertical="center"/>
    </xf>
    <xf numFmtId="0" fontId="60" fillId="0" borderId="10" xfId="0" applyFont="1" applyFill="1" applyBorder="1" applyAlignment="1">
      <alignment horizontal="right"/>
    </xf>
    <xf numFmtId="1" fontId="124" fillId="0" borderId="10" xfId="0" applyNumberFormat="1" applyFont="1" applyBorder="1" applyAlignment="1">
      <alignment horizontal="center" vertical="center"/>
    </xf>
    <xf numFmtId="1" fontId="56" fillId="8" borderId="10" xfId="0" applyNumberFormat="1" applyFont="1" applyFill="1" applyBorder="1" applyAlignment="1">
      <alignment horizontal="center" vertical="center"/>
    </xf>
    <xf numFmtId="1" fontId="64" fillId="8" borderId="10" xfId="0" applyNumberFormat="1" applyFont="1" applyFill="1" applyBorder="1" applyAlignment="1">
      <alignment horizontal="center" vertical="center"/>
    </xf>
    <xf numFmtId="1" fontId="112" fillId="8" borderId="10" xfId="0" applyNumberFormat="1" applyFont="1" applyFill="1" applyBorder="1" applyAlignment="1">
      <alignment horizontal="center" vertical="center"/>
    </xf>
    <xf numFmtId="1" fontId="56" fillId="8" borderId="10" xfId="0" applyNumberFormat="1" applyFont="1" applyFill="1" applyBorder="1" applyAlignment="1">
      <alignment horizontal="center"/>
    </xf>
    <xf numFmtId="1" fontId="54" fillId="8" borderId="10" xfId="0" applyNumberFormat="1" applyFont="1" applyFill="1" applyBorder="1" applyAlignment="1">
      <alignment horizontal="center"/>
    </xf>
    <xf numFmtId="1" fontId="124" fillId="8" borderId="10" xfId="0" applyNumberFormat="1" applyFont="1" applyFill="1" applyBorder="1" applyAlignment="1">
      <alignment horizontal="center" vertical="center"/>
    </xf>
    <xf numFmtId="1" fontId="56" fillId="6" borderId="10" xfId="0" applyNumberFormat="1" applyFont="1" applyFill="1" applyBorder="1" applyAlignment="1">
      <alignment horizontal="center" vertical="center"/>
    </xf>
    <xf numFmtId="1" fontId="64" fillId="6" borderId="10" xfId="0" applyNumberFormat="1" applyFont="1" applyFill="1" applyBorder="1" applyAlignment="1">
      <alignment horizontal="center" vertical="center"/>
    </xf>
    <xf numFmtId="1" fontId="112" fillId="6" borderId="10" xfId="0" applyNumberFormat="1" applyFont="1" applyFill="1" applyBorder="1" applyAlignment="1">
      <alignment horizontal="center" vertical="center"/>
    </xf>
    <xf numFmtId="1" fontId="56" fillId="6" borderId="10" xfId="0" applyNumberFormat="1" applyFont="1" applyFill="1" applyBorder="1" applyAlignment="1">
      <alignment horizontal="center"/>
    </xf>
    <xf numFmtId="1" fontId="54" fillId="6" borderId="10" xfId="0" applyNumberFormat="1" applyFont="1" applyFill="1" applyBorder="1" applyAlignment="1">
      <alignment horizontal="center"/>
    </xf>
    <xf numFmtId="1" fontId="124" fillId="6" borderId="10" xfId="0" applyNumberFormat="1" applyFont="1" applyFill="1" applyBorder="1" applyAlignment="1">
      <alignment horizontal="center" vertical="center"/>
    </xf>
    <xf numFmtId="0" fontId="125" fillId="0" borderId="1" xfId="0" applyFont="1" applyFill="1" applyBorder="1" applyAlignment="1">
      <alignment horizontal="right"/>
    </xf>
    <xf numFmtId="0" fontId="56" fillId="0" borderId="5" xfId="0" applyFont="1" applyBorder="1"/>
    <xf numFmtId="1" fontId="100" fillId="0" borderId="5" xfId="0" applyNumberFormat="1" applyFont="1" applyBorder="1" applyAlignment="1">
      <alignment horizontal="center" vertical="center"/>
    </xf>
    <xf numFmtId="1" fontId="125" fillId="0" borderId="5" xfId="0" applyNumberFormat="1" applyFont="1" applyBorder="1" applyAlignment="1">
      <alignment horizontal="center" vertical="center"/>
    </xf>
    <xf numFmtId="0" fontId="126" fillId="0" borderId="48" xfId="0" applyFont="1" applyBorder="1" applyAlignment="1">
      <alignment horizontal="center"/>
    </xf>
    <xf numFmtId="0" fontId="14" fillId="0" borderId="0" xfId="0" applyFont="1"/>
    <xf numFmtId="0" fontId="103" fillId="0" borderId="0" xfId="0" applyFont="1"/>
    <xf numFmtId="0" fontId="14" fillId="0" borderId="0" xfId="0" applyFont="1" applyAlignment="1">
      <alignment horizontal="center" vertical="center"/>
    </xf>
    <xf numFmtId="0" fontId="5" fillId="8" borderId="24" xfId="0" applyFont="1" applyFill="1" applyBorder="1" applyAlignment="1">
      <alignment vertical="center"/>
    </xf>
    <xf numFmtId="0" fontId="28" fillId="0" borderId="25" xfId="0" applyFont="1" applyBorder="1"/>
    <xf numFmtId="0" fontId="28" fillId="0" borderId="55" xfId="0" applyFont="1" applyBorder="1" applyAlignment="1">
      <alignment horizontal="center" vertical="center"/>
    </xf>
    <xf numFmtId="1" fontId="47" fillId="0" borderId="55" xfId="0" applyNumberFormat="1" applyFont="1" applyBorder="1" applyAlignment="1">
      <alignment horizontal="center" vertical="center"/>
    </xf>
    <xf numFmtId="0" fontId="0" fillId="0" borderId="45" xfId="0" applyBorder="1"/>
    <xf numFmtId="0" fontId="0" fillId="0" borderId="45" xfId="0" applyBorder="1" applyAlignment="1">
      <alignment horizontal="center" vertical="center"/>
    </xf>
    <xf numFmtId="1" fontId="56" fillId="0" borderId="45" xfId="0" applyNumberFormat="1" applyFont="1" applyBorder="1" applyAlignment="1">
      <alignment horizontal="center" vertical="center"/>
    </xf>
    <xf numFmtId="0" fontId="23" fillId="0" borderId="10" xfId="0" applyFont="1" applyFill="1" applyBorder="1"/>
    <xf numFmtId="0" fontId="23" fillId="0" borderId="10" xfId="0" applyFont="1" applyFill="1" applyBorder="1" applyAlignment="1">
      <alignment horizontal="right"/>
    </xf>
    <xf numFmtId="0" fontId="23" fillId="0" borderId="10" xfId="0" applyFont="1" applyBorder="1" applyAlignment="1">
      <alignment horizontal="center" vertical="center"/>
    </xf>
    <xf numFmtId="0" fontId="0" fillId="0" borderId="0" xfId="0" applyBorder="1"/>
    <xf numFmtId="1" fontId="27" fillId="7" borderId="10" xfId="0" applyNumberFormat="1" applyFont="1" applyFill="1" applyBorder="1" applyAlignment="1">
      <alignment horizontal="center" vertical="center"/>
    </xf>
    <xf numFmtId="0" fontId="27" fillId="6" borderId="10" xfId="0" applyFont="1" applyFill="1" applyBorder="1" applyAlignment="1">
      <alignment horizontal="center" vertical="center"/>
    </xf>
    <xf numFmtId="2" fontId="15" fillId="9" borderId="17" xfId="0" applyNumberFormat="1" applyFont="1" applyFill="1" applyBorder="1" applyAlignment="1">
      <alignment horizontal="center" vertical="center"/>
    </xf>
    <xf numFmtId="0" fontId="15" fillId="0" borderId="10" xfId="0" applyFont="1" applyBorder="1"/>
    <xf numFmtId="0" fontId="15" fillId="0" borderId="10" xfId="0" applyFont="1" applyBorder="1" applyAlignment="1">
      <alignment horizontal="right"/>
    </xf>
    <xf numFmtId="166" fontId="21" fillId="6" borderId="30" xfId="0" applyNumberFormat="1" applyFont="1" applyFill="1" applyBorder="1" applyAlignment="1">
      <alignment horizontal="center" vertical="center"/>
    </xf>
    <xf numFmtId="2" fontId="15" fillId="6" borderId="17" xfId="0" applyNumberFormat="1" applyFont="1" applyFill="1" applyBorder="1" applyAlignment="1">
      <alignment horizontal="center" vertical="center"/>
    </xf>
    <xf numFmtId="2" fontId="15" fillId="7" borderId="17" xfId="0" applyNumberFormat="1" applyFont="1" applyFill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1" fontId="15" fillId="9" borderId="17" xfId="0" applyNumberFormat="1" applyFont="1" applyFill="1" applyBorder="1" applyAlignment="1">
      <alignment horizontal="center" vertical="center"/>
    </xf>
    <xf numFmtId="1" fontId="27" fillId="0" borderId="45" xfId="0" applyNumberFormat="1" applyFont="1" applyBorder="1" applyAlignment="1">
      <alignment horizontal="center" vertical="center"/>
    </xf>
    <xf numFmtId="1" fontId="27" fillId="8" borderId="45" xfId="0" applyNumberFormat="1" applyFont="1" applyFill="1" applyBorder="1" applyAlignment="1">
      <alignment horizontal="center" vertical="center"/>
    </xf>
    <xf numFmtId="0" fontId="27" fillId="0" borderId="45" xfId="0" applyFont="1" applyBorder="1" applyAlignment="1">
      <alignment horizontal="center" vertical="center"/>
    </xf>
    <xf numFmtId="1" fontId="27" fillId="6" borderId="45" xfId="0" applyNumberFormat="1" applyFont="1" applyFill="1" applyBorder="1" applyAlignment="1">
      <alignment horizontal="center" vertical="center"/>
    </xf>
    <xf numFmtId="1" fontId="27" fillId="9" borderId="45" xfId="0" applyNumberFormat="1" applyFont="1" applyFill="1" applyBorder="1" applyAlignment="1">
      <alignment horizontal="center" vertical="center"/>
    </xf>
    <xf numFmtId="0" fontId="27" fillId="8" borderId="45" xfId="0" applyFont="1" applyFill="1" applyBorder="1" applyAlignment="1">
      <alignment horizontal="center" vertical="center"/>
    </xf>
    <xf numFmtId="1" fontId="27" fillId="7" borderId="45" xfId="0" applyNumberFormat="1" applyFont="1" applyFill="1" applyBorder="1" applyAlignment="1">
      <alignment horizontal="center" vertical="center"/>
    </xf>
    <xf numFmtId="0" fontId="27" fillId="6" borderId="45" xfId="0" applyFont="1" applyFill="1" applyBorder="1" applyAlignment="1">
      <alignment horizontal="center" vertical="center"/>
    </xf>
    <xf numFmtId="1" fontId="27" fillId="8" borderId="5" xfId="0" applyNumberFormat="1" applyFont="1" applyFill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1" fontId="27" fillId="6" borderId="5" xfId="0" applyNumberFormat="1" applyFont="1" applyFill="1" applyBorder="1" applyAlignment="1">
      <alignment horizontal="center" vertical="center"/>
    </xf>
    <xf numFmtId="1" fontId="27" fillId="9" borderId="5" xfId="0" applyNumberFormat="1" applyFont="1" applyFill="1" applyBorder="1" applyAlignment="1">
      <alignment horizontal="center" vertical="center"/>
    </xf>
    <xf numFmtId="0" fontId="27" fillId="8" borderId="5" xfId="0" applyFont="1" applyFill="1" applyBorder="1" applyAlignment="1">
      <alignment horizontal="center" vertical="center"/>
    </xf>
    <xf numFmtId="1" fontId="27" fillId="7" borderId="5" xfId="0" applyNumberFormat="1" applyFont="1" applyFill="1" applyBorder="1" applyAlignment="1">
      <alignment horizontal="center" vertical="center"/>
    </xf>
    <xf numFmtId="0" fontId="27" fillId="6" borderId="5" xfId="0" applyFont="1" applyFill="1" applyBorder="1" applyAlignment="1">
      <alignment horizontal="center" vertical="center"/>
    </xf>
    <xf numFmtId="0" fontId="23" fillId="0" borderId="45" xfId="0" applyFont="1" applyFill="1" applyBorder="1" applyAlignment="1">
      <alignment horizontal="right"/>
    </xf>
    <xf numFmtId="0" fontId="23" fillId="0" borderId="45" xfId="0" applyFont="1" applyBorder="1" applyAlignment="1">
      <alignment horizontal="center" vertical="center"/>
    </xf>
    <xf numFmtId="0" fontId="23" fillId="0" borderId="1" xfId="0" applyFont="1" applyBorder="1" applyAlignment="1">
      <alignment horizontal="right"/>
    </xf>
    <xf numFmtId="0" fontId="23" fillId="0" borderId="5" xfId="0" applyFont="1" applyBorder="1" applyAlignment="1">
      <alignment horizontal="center" vertical="center"/>
    </xf>
    <xf numFmtId="0" fontId="0" fillId="0" borderId="4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/>
    <xf numFmtId="166" fontId="27" fillId="8" borderId="5" xfId="0" applyNumberFormat="1" applyFont="1" applyFill="1" applyBorder="1" applyAlignment="1">
      <alignment horizontal="center" vertical="center"/>
    </xf>
    <xf numFmtId="166" fontId="27" fillId="6" borderId="5" xfId="0" applyNumberFormat="1" applyFont="1" applyFill="1" applyBorder="1" applyAlignment="1">
      <alignment horizontal="center" vertical="center"/>
    </xf>
    <xf numFmtId="166" fontId="27" fillId="9" borderId="5" xfId="0" applyNumberFormat="1" applyFont="1" applyFill="1" applyBorder="1" applyAlignment="1">
      <alignment horizontal="center" vertical="center"/>
    </xf>
    <xf numFmtId="166" fontId="27" fillId="7" borderId="5" xfId="0" applyNumberFormat="1" applyFont="1" applyFill="1" applyBorder="1" applyAlignment="1">
      <alignment horizontal="center" vertical="center"/>
    </xf>
    <xf numFmtId="0" fontId="0" fillId="0" borderId="0" xfId="0"/>
    <xf numFmtId="0" fontId="27" fillId="0" borderId="4" xfId="0" applyFont="1" applyBorder="1" applyAlignment="1">
      <alignment horizontal="center" vertical="center"/>
    </xf>
    <xf numFmtId="0" fontId="27" fillId="8" borderId="1" xfId="0" applyFont="1" applyFill="1" applyBorder="1" applyAlignment="1">
      <alignment horizontal="center" vertical="center"/>
    </xf>
    <xf numFmtId="1" fontId="46" fillId="0" borderId="29" xfId="0" applyNumberFormat="1" applyFont="1" applyBorder="1" applyAlignment="1">
      <alignment horizontal="center" vertical="center"/>
    </xf>
    <xf numFmtId="2" fontId="26" fillId="0" borderId="48" xfId="0" applyNumberFormat="1" applyFont="1" applyBorder="1" applyAlignment="1">
      <alignment horizontal="center" vertical="center"/>
    </xf>
    <xf numFmtId="1" fontId="56" fillId="7" borderId="10" xfId="0" applyNumberFormat="1" applyFont="1" applyFill="1" applyBorder="1" applyAlignment="1">
      <alignment horizontal="center" vertical="center"/>
    </xf>
    <xf numFmtId="1" fontId="64" fillId="7" borderId="10" xfId="0" applyNumberFormat="1" applyFont="1" applyFill="1" applyBorder="1" applyAlignment="1">
      <alignment horizontal="center" vertical="center"/>
    </xf>
    <xf numFmtId="1" fontId="112" fillId="7" borderId="10" xfId="0" applyNumberFormat="1" applyFont="1" applyFill="1" applyBorder="1" applyAlignment="1">
      <alignment horizontal="center" vertical="center"/>
    </xf>
    <xf numFmtId="1" fontId="56" fillId="7" borderId="10" xfId="0" applyNumberFormat="1" applyFont="1" applyFill="1" applyBorder="1" applyAlignment="1">
      <alignment horizontal="center"/>
    </xf>
    <xf numFmtId="1" fontId="54" fillId="7" borderId="10" xfId="0" applyNumberFormat="1" applyFont="1" applyFill="1" applyBorder="1" applyAlignment="1">
      <alignment horizontal="center"/>
    </xf>
    <xf numFmtId="1" fontId="124" fillId="7" borderId="10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33" fillId="0" borderId="4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0" fillId="0" borderId="0" xfId="0"/>
    <xf numFmtId="1" fontId="0" fillId="9" borderId="0" xfId="0" applyNumberFormat="1" applyFill="1"/>
    <xf numFmtId="0" fontId="0" fillId="0" borderId="0" xfId="0"/>
    <xf numFmtId="0" fontId="33" fillId="0" borderId="4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8" borderId="1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5" fillId="0" borderId="4" xfId="0" applyFont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60" fillId="0" borderId="10" xfId="0" applyFont="1" applyBorder="1"/>
    <xf numFmtId="0" fontId="0" fillId="0" borderId="0" xfId="0"/>
    <xf numFmtId="0" fontId="5" fillId="0" borderId="4" xfId="0" applyFont="1" applyBorder="1" applyAlignment="1">
      <alignment horizontal="center" vertical="center"/>
    </xf>
    <xf numFmtId="2" fontId="26" fillId="0" borderId="48" xfId="0" applyNumberFormat="1" applyFont="1" applyBorder="1" applyAlignment="1">
      <alignment horizontal="center" vertical="center"/>
    </xf>
    <xf numFmtId="2" fontId="26" fillId="0" borderId="53" xfId="0" applyNumberFormat="1" applyFont="1" applyBorder="1" applyAlignment="1">
      <alignment horizontal="center" vertical="center"/>
    </xf>
    <xf numFmtId="1" fontId="27" fillId="6" borderId="31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6" fillId="0" borderId="37" xfId="0" applyFont="1" applyBorder="1" applyAlignment="1">
      <alignment horizontal="center" vertical="center"/>
    </xf>
    <xf numFmtId="0" fontId="0" fillId="0" borderId="0" xfId="0"/>
    <xf numFmtId="0" fontId="0" fillId="0" borderId="0" xfId="0"/>
    <xf numFmtId="1" fontId="26" fillId="0" borderId="0" xfId="0" applyNumberFormat="1" applyFont="1" applyBorder="1" applyAlignment="1">
      <alignment horizontal="center" vertical="center"/>
    </xf>
    <xf numFmtId="0" fontId="0" fillId="0" borderId="0" xfId="0"/>
    <xf numFmtId="1" fontId="10" fillId="0" borderId="50" xfId="0" applyNumberFormat="1" applyFont="1" applyFill="1" applyBorder="1" applyAlignment="1">
      <alignment horizontal="center" vertical="center"/>
    </xf>
    <xf numFmtId="0" fontId="34" fillId="0" borderId="0" xfId="0" applyFont="1"/>
    <xf numFmtId="0" fontId="25" fillId="9" borderId="53" xfId="0" applyFont="1" applyFill="1" applyBorder="1" applyAlignment="1">
      <alignment vertical="center"/>
    </xf>
    <xf numFmtId="1" fontId="25" fillId="0" borderId="72" xfId="0" applyNumberFormat="1" applyFont="1" applyBorder="1" applyAlignment="1">
      <alignment horizontal="center" vertical="center"/>
    </xf>
    <xf numFmtId="1" fontId="25" fillId="9" borderId="72" xfId="0" applyNumberFormat="1" applyFont="1" applyFill="1" applyBorder="1" applyAlignment="1">
      <alignment horizontal="center" vertical="center"/>
    </xf>
    <xf numFmtId="1" fontId="24" fillId="9" borderId="72" xfId="0" applyNumberFormat="1" applyFont="1" applyFill="1" applyBorder="1" applyAlignment="1">
      <alignment horizontal="center" vertical="center"/>
    </xf>
    <xf numFmtId="166" fontId="0" fillId="0" borderId="10" xfId="0" applyNumberFormat="1" applyBorder="1" applyAlignment="1">
      <alignment horizontal="center"/>
    </xf>
    <xf numFmtId="0" fontId="54" fillId="0" borderId="0" xfId="0" applyFont="1" applyBorder="1"/>
    <xf numFmtId="0" fontId="0" fillId="9" borderId="0" xfId="0" applyFill="1" applyBorder="1"/>
    <xf numFmtId="1" fontId="95" fillId="0" borderId="0" xfId="186" applyNumberFormat="1" applyFill="1" applyBorder="1" applyAlignment="1">
      <alignment horizontal="center" vertical="top"/>
    </xf>
    <xf numFmtId="0" fontId="29" fillId="0" borderId="10" xfId="0" applyFont="1" applyBorder="1" applyAlignment="1">
      <alignment horizontal="center"/>
    </xf>
    <xf numFmtId="0" fontId="45" fillId="0" borderId="10" xfId="0" applyFont="1" applyBorder="1"/>
    <xf numFmtId="1" fontId="45" fillId="0" borderId="10" xfId="0" applyNumberFormat="1" applyFont="1" applyBorder="1" applyAlignment="1">
      <alignment horizontal="center"/>
    </xf>
    <xf numFmtId="0" fontId="29" fillId="0" borderId="10" xfId="0" applyFont="1" applyBorder="1"/>
    <xf numFmtId="1" fontId="29" fillId="0" borderId="10" xfId="0" applyNumberFormat="1" applyFont="1" applyBorder="1" applyAlignment="1">
      <alignment horizontal="center"/>
    </xf>
    <xf numFmtId="0" fontId="45" fillId="0" borderId="10" xfId="0" applyFont="1" applyFill="1" applyBorder="1"/>
    <xf numFmtId="1" fontId="33" fillId="0" borderId="13" xfId="0" applyNumberFormat="1" applyFont="1" applyBorder="1" applyAlignment="1">
      <alignment horizontal="center"/>
    </xf>
    <xf numFmtId="1" fontId="15" fillId="0" borderId="47" xfId="0" applyNumberFormat="1" applyFont="1" applyBorder="1" applyAlignment="1">
      <alignment horizontal="center"/>
    </xf>
    <xf numFmtId="1" fontId="15" fillId="0" borderId="20" xfId="0" applyNumberFormat="1" applyFont="1" applyBorder="1" applyAlignment="1">
      <alignment horizontal="center"/>
    </xf>
    <xf numFmtId="1" fontId="27" fillId="0" borderId="13" xfId="0" applyNumberFormat="1" applyFont="1" applyBorder="1" applyAlignment="1">
      <alignment horizontal="center"/>
    </xf>
    <xf numFmtId="1" fontId="15" fillId="0" borderId="60" xfId="0" applyNumberFormat="1" applyFont="1" applyBorder="1" applyAlignment="1">
      <alignment horizontal="center"/>
    </xf>
    <xf numFmtId="1" fontId="27" fillId="0" borderId="51" xfId="0" applyNumberFormat="1" applyFont="1" applyBorder="1" applyAlignment="1">
      <alignment horizontal="center"/>
    </xf>
    <xf numFmtId="1" fontId="15" fillId="0" borderId="12" xfId="0" applyNumberFormat="1" applyFont="1" applyBorder="1" applyAlignment="1">
      <alignment horizontal="center"/>
    </xf>
    <xf numFmtId="0" fontId="33" fillId="0" borderId="25" xfId="0" applyFont="1" applyBorder="1" applyAlignment="1">
      <alignment horizontal="left" vertical="center"/>
    </xf>
    <xf numFmtId="1" fontId="15" fillId="0" borderId="51" xfId="0" applyNumberFormat="1" applyFont="1" applyBorder="1" applyAlignment="1">
      <alignment horizontal="center"/>
    </xf>
    <xf numFmtId="0" fontId="15" fillId="0" borderId="70" xfId="0" applyFont="1" applyBorder="1" applyAlignment="1">
      <alignment horizontal="center"/>
    </xf>
    <xf numFmtId="0" fontId="15" fillId="0" borderId="47" xfId="0" applyFont="1" applyBorder="1" applyAlignment="1">
      <alignment horizontal="center"/>
    </xf>
    <xf numFmtId="1" fontId="33" fillId="0" borderId="25" xfId="0" applyNumberFormat="1" applyFont="1" applyBorder="1" applyAlignment="1">
      <alignment horizontal="center"/>
    </xf>
    <xf numFmtId="0" fontId="33" fillId="0" borderId="25" xfId="0" applyFont="1" applyBorder="1" applyAlignment="1">
      <alignment horizontal="left"/>
    </xf>
    <xf numFmtId="0" fontId="15" fillId="0" borderId="51" xfId="0" applyFont="1" applyBorder="1" applyAlignment="1">
      <alignment horizontal="left"/>
    </xf>
    <xf numFmtId="0" fontId="27" fillId="0" borderId="25" xfId="0" applyFont="1" applyBorder="1" applyAlignment="1">
      <alignment horizontal="left"/>
    </xf>
    <xf numFmtId="0" fontId="15" fillId="0" borderId="70" xfId="0" applyFont="1" applyBorder="1" applyAlignment="1">
      <alignment horizontal="left"/>
    </xf>
    <xf numFmtId="0" fontId="15" fillId="0" borderId="47" xfId="0" applyFont="1" applyBorder="1" applyAlignment="1">
      <alignment horizontal="left"/>
    </xf>
    <xf numFmtId="0" fontId="33" fillId="0" borderId="13" xfId="0" applyFont="1" applyBorder="1" applyAlignment="1">
      <alignment horizontal="center" vertical="center"/>
    </xf>
    <xf numFmtId="1" fontId="15" fillId="0" borderId="70" xfId="0" applyNumberFormat="1" applyFont="1" applyBorder="1" applyAlignment="1">
      <alignment horizontal="center"/>
    </xf>
    <xf numFmtId="1" fontId="27" fillId="0" borderId="25" xfId="0" applyNumberFormat="1" applyFont="1" applyBorder="1" applyAlignment="1">
      <alignment horizontal="center"/>
    </xf>
    <xf numFmtId="0" fontId="0" fillId="0" borderId="0" xfId="0"/>
    <xf numFmtId="0" fontId="27" fillId="0" borderId="10" xfId="0" applyFont="1" applyFill="1" applyBorder="1" applyAlignment="1">
      <alignment horizontal="center" vertical="center"/>
    </xf>
    <xf numFmtId="0" fontId="56" fillId="0" borderId="0" xfId="0" applyFont="1" applyFill="1"/>
    <xf numFmtId="0" fontId="0" fillId="0" borderId="0" xfId="0" applyAlignment="1"/>
    <xf numFmtId="1" fontId="27" fillId="0" borderId="20" xfId="0" applyNumberFormat="1" applyFont="1" applyBorder="1" applyAlignment="1">
      <alignment horizontal="center"/>
    </xf>
    <xf numFmtId="0" fontId="0" fillId="9" borderId="0" xfId="0" quotePrefix="1" applyFill="1"/>
    <xf numFmtId="1" fontId="10" fillId="9" borderId="11" xfId="0" applyNumberFormat="1" applyFont="1" applyFill="1" applyBorder="1" applyAlignment="1">
      <alignment horizontal="center" vertical="center"/>
    </xf>
    <xf numFmtId="1" fontId="26" fillId="8" borderId="30" xfId="0" applyNumberFormat="1" applyFont="1" applyFill="1" applyBorder="1" applyAlignment="1">
      <alignment horizontal="center" vertical="center"/>
    </xf>
    <xf numFmtId="2" fontId="26" fillId="8" borderId="85" xfId="0" applyNumberFormat="1" applyFont="1" applyFill="1" applyBorder="1" applyAlignment="1">
      <alignment horizontal="center" vertical="center"/>
    </xf>
    <xf numFmtId="2" fontId="26" fillId="8" borderId="10" xfId="0" applyNumberFormat="1" applyFont="1" applyFill="1" applyBorder="1" applyAlignment="1">
      <alignment horizontal="center"/>
    </xf>
    <xf numFmtId="0" fontId="0" fillId="0" borderId="0" xfId="0"/>
    <xf numFmtId="0" fontId="0" fillId="0" borderId="0" xfId="0"/>
    <xf numFmtId="0" fontId="33" fillId="8" borderId="1" xfId="0" applyFont="1" applyFill="1" applyBorder="1" applyAlignment="1">
      <alignment horizontal="center" vertical="center"/>
    </xf>
    <xf numFmtId="0" fontId="33" fillId="9" borderId="4" xfId="0" applyFont="1" applyFill="1" applyBorder="1" applyAlignment="1">
      <alignment horizontal="center" vertical="center"/>
    </xf>
    <xf numFmtId="0" fontId="0" fillId="0" borderId="0" xfId="0"/>
    <xf numFmtId="1" fontId="37" fillId="9" borderId="42" xfId="0" applyNumberFormat="1" applyFont="1" applyFill="1" applyBorder="1" applyAlignment="1">
      <alignment horizontal="center" vertical="center"/>
    </xf>
    <xf numFmtId="1" fontId="37" fillId="9" borderId="54" xfId="0" applyNumberFormat="1" applyFont="1" applyFill="1" applyBorder="1" applyAlignment="1">
      <alignment horizontal="center" vertical="center"/>
    </xf>
    <xf numFmtId="0" fontId="37" fillId="9" borderId="17" xfId="0" applyFont="1" applyFill="1" applyBorder="1" applyAlignment="1">
      <alignment horizontal="center" vertical="center"/>
    </xf>
    <xf numFmtId="0" fontId="37" fillId="9" borderId="33" xfId="0" applyFont="1" applyFill="1" applyBorder="1" applyAlignment="1">
      <alignment horizontal="center" vertical="center"/>
    </xf>
    <xf numFmtId="0" fontId="0" fillId="0" borderId="0" xfId="0" applyFont="1"/>
    <xf numFmtId="1" fontId="10" fillId="0" borderId="17" xfId="0" applyNumberFormat="1" applyFont="1" applyFill="1" applyBorder="1" applyAlignment="1">
      <alignment horizontal="center" vertical="center"/>
    </xf>
    <xf numFmtId="0" fontId="0" fillId="0" borderId="0" xfId="0"/>
    <xf numFmtId="1" fontId="46" fillId="0" borderId="29" xfId="0" applyNumberFormat="1" applyFont="1" applyBorder="1" applyAlignment="1">
      <alignment horizontal="center" vertical="center"/>
    </xf>
    <xf numFmtId="1" fontId="25" fillId="6" borderId="10" xfId="0" applyNumberFormat="1" applyFont="1" applyFill="1" applyBorder="1" applyAlignment="1">
      <alignment horizontal="center" vertical="center"/>
    </xf>
    <xf numFmtId="1" fontId="24" fillId="0" borderId="46" xfId="0" applyNumberFormat="1" applyFont="1" applyBorder="1" applyAlignment="1">
      <alignment horizontal="center" vertical="center"/>
    </xf>
    <xf numFmtId="1" fontId="24" fillId="8" borderId="71" xfId="0" applyNumberFormat="1" applyFont="1" applyFill="1" applyBorder="1" applyAlignment="1">
      <alignment horizontal="center" vertical="center"/>
    </xf>
    <xf numFmtId="1" fontId="24" fillId="0" borderId="71" xfId="0" applyNumberFormat="1" applyFont="1" applyBorder="1" applyAlignment="1">
      <alignment horizontal="center" vertical="center"/>
    </xf>
    <xf numFmtId="1" fontId="24" fillId="6" borderId="71" xfId="0" applyNumberFormat="1" applyFont="1" applyFill="1" applyBorder="1" applyAlignment="1">
      <alignment horizontal="center" vertical="center"/>
    </xf>
    <xf numFmtId="1" fontId="24" fillId="8" borderId="73" xfId="0" applyNumberFormat="1" applyFont="1" applyFill="1" applyBorder="1" applyAlignment="1">
      <alignment horizontal="center" vertical="center"/>
    </xf>
    <xf numFmtId="1" fontId="24" fillId="9" borderId="10" xfId="0" applyNumberFormat="1" applyFont="1" applyFill="1" applyBorder="1" applyAlignment="1">
      <alignment horizontal="center" vertical="center"/>
    </xf>
    <xf numFmtId="0" fontId="39" fillId="9" borderId="10" xfId="0" applyFont="1" applyFill="1" applyBorder="1" applyAlignment="1">
      <alignment horizontal="center" vertical="center"/>
    </xf>
    <xf numFmtId="0" fontId="54" fillId="9" borderId="0" xfId="0" applyFont="1" applyFill="1" applyAlignment="1">
      <alignment horizontal="center" vertical="center"/>
    </xf>
    <xf numFmtId="1" fontId="5" fillId="8" borderId="1" xfId="0" applyNumberFormat="1" applyFont="1" applyFill="1" applyBorder="1" applyAlignment="1">
      <alignment horizontal="center" vertical="center"/>
    </xf>
    <xf numFmtId="0" fontId="45" fillId="9" borderId="10" xfId="0" applyFont="1" applyFill="1" applyBorder="1" applyAlignment="1">
      <alignment horizontal="center"/>
    </xf>
    <xf numFmtId="1" fontId="45" fillId="9" borderId="10" xfId="0" applyNumberFormat="1" applyFont="1" applyFill="1" applyBorder="1" applyAlignment="1">
      <alignment horizontal="center"/>
    </xf>
    <xf numFmtId="0" fontId="5" fillId="0" borderId="8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10" xfId="0" applyFont="1" applyBorder="1" applyAlignment="1">
      <alignment vertical="center"/>
    </xf>
    <xf numFmtId="1" fontId="14" fillId="0" borderId="0" xfId="0" applyNumberFormat="1" applyFont="1"/>
    <xf numFmtId="0" fontId="0" fillId="0" borderId="0" xfId="0"/>
    <xf numFmtId="1" fontId="97" fillId="9" borderId="65" xfId="186" applyNumberFormat="1" applyFont="1" applyFill="1" applyBorder="1" applyAlignment="1">
      <alignment horizontal="center" vertical="center"/>
    </xf>
    <xf numFmtId="1" fontId="25" fillId="8" borderId="10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1" fontId="10" fillId="9" borderId="75" xfId="0" applyNumberFormat="1" applyFont="1" applyFill="1" applyBorder="1" applyAlignment="1">
      <alignment horizontal="center" vertical="center"/>
    </xf>
    <xf numFmtId="1" fontId="10" fillId="9" borderId="65" xfId="0" applyNumberFormat="1" applyFont="1" applyFill="1" applyBorder="1" applyAlignment="1">
      <alignment horizontal="center" vertical="center"/>
    </xf>
    <xf numFmtId="1" fontId="10" fillId="0" borderId="65" xfId="0" applyNumberFormat="1" applyFont="1" applyBorder="1" applyAlignment="1">
      <alignment horizontal="center" vertical="center"/>
    </xf>
    <xf numFmtId="1" fontId="27" fillId="8" borderId="31" xfId="0" applyNumberFormat="1" applyFont="1" applyFill="1" applyBorder="1" applyAlignment="1">
      <alignment horizontal="center" vertical="center"/>
    </xf>
    <xf numFmtId="1" fontId="25" fillId="8" borderId="71" xfId="0" applyNumberFormat="1" applyFont="1" applyFill="1" applyBorder="1" applyAlignment="1">
      <alignment horizontal="center" vertical="center"/>
    </xf>
    <xf numFmtId="0" fontId="135" fillId="9" borderId="10" xfId="0" applyFont="1" applyFill="1" applyBorder="1" applyAlignment="1">
      <alignment horizontal="center" vertical="center"/>
    </xf>
    <xf numFmtId="1" fontId="26" fillId="8" borderId="23" xfId="0" applyNumberFormat="1" applyFont="1" applyFill="1" applyBorder="1" applyAlignment="1">
      <alignment horizontal="center" vertical="center"/>
    </xf>
    <xf numFmtId="2" fontId="26" fillId="6" borderId="67" xfId="0" applyNumberFormat="1" applyFont="1" applyFill="1" applyBorder="1" applyAlignment="1">
      <alignment horizontal="center" vertical="center"/>
    </xf>
    <xf numFmtId="0" fontId="26" fillId="9" borderId="0" xfId="0" applyFont="1" applyFill="1" applyBorder="1"/>
    <xf numFmtId="2" fontId="26" fillId="0" borderId="10" xfId="0" applyNumberFormat="1" applyFont="1" applyBorder="1" applyAlignment="1">
      <alignment horizontal="center"/>
    </xf>
    <xf numFmtId="0" fontId="26" fillId="8" borderId="10" xfId="0" applyFont="1" applyFill="1" applyBorder="1" applyAlignment="1">
      <alignment horizontal="center" vertical="center"/>
    </xf>
    <xf numFmtId="0" fontId="5" fillId="9" borderId="41" xfId="0" applyFont="1" applyFill="1" applyBorder="1" applyAlignment="1">
      <alignment vertical="center"/>
    </xf>
    <xf numFmtId="0" fontId="5" fillId="9" borderId="41" xfId="0" applyFont="1" applyFill="1" applyBorder="1" applyAlignment="1">
      <alignment horizontal="center" vertical="center"/>
    </xf>
    <xf numFmtId="0" fontId="5" fillId="9" borderId="42" xfId="0" applyFont="1" applyFill="1" applyBorder="1" applyAlignment="1">
      <alignment horizontal="center" vertical="center"/>
    </xf>
    <xf numFmtId="168" fontId="26" fillId="8" borderId="17" xfId="0" applyNumberFormat="1" applyFont="1" applyFill="1" applyBorder="1" applyAlignment="1">
      <alignment horizontal="center" vertical="center"/>
    </xf>
    <xf numFmtId="166" fontId="26" fillId="8" borderId="23" xfId="0" applyNumberFormat="1" applyFont="1" applyFill="1" applyBorder="1" applyAlignment="1">
      <alignment horizontal="center" vertical="center"/>
    </xf>
    <xf numFmtId="166" fontId="26" fillId="6" borderId="23" xfId="0" applyNumberFormat="1" applyFont="1" applyFill="1" applyBorder="1" applyAlignment="1">
      <alignment horizontal="center" vertical="center"/>
    </xf>
    <xf numFmtId="1" fontId="25" fillId="8" borderId="72" xfId="0" applyNumberFormat="1" applyFont="1" applyFill="1" applyBorder="1" applyAlignment="1">
      <alignment horizontal="center" vertical="center"/>
    </xf>
    <xf numFmtId="1" fontId="25" fillId="6" borderId="72" xfId="0" applyNumberFormat="1" applyFont="1" applyFill="1" applyBorder="1" applyAlignment="1">
      <alignment horizontal="center" vertical="center"/>
    </xf>
    <xf numFmtId="1" fontId="25" fillId="9" borderId="53" xfId="0" applyNumberFormat="1" applyFont="1" applyFill="1" applyBorder="1" applyAlignment="1">
      <alignment vertical="center"/>
    </xf>
    <xf numFmtId="1" fontId="25" fillId="9" borderId="48" xfId="0" applyNumberFormat="1" applyFont="1" applyFill="1" applyBorder="1" applyAlignment="1">
      <alignment vertical="center"/>
    </xf>
    <xf numFmtId="1" fontId="25" fillId="9" borderId="7" xfId="0" applyNumberFormat="1" applyFont="1" applyFill="1" applyBorder="1" applyAlignment="1">
      <alignment vertical="center"/>
    </xf>
    <xf numFmtId="1" fontId="3" fillId="9" borderId="11" xfId="0" applyNumberFormat="1" applyFont="1" applyFill="1" applyBorder="1" applyAlignment="1">
      <alignment horizontal="center" vertical="center"/>
    </xf>
    <xf numFmtId="1" fontId="26" fillId="8" borderId="6" xfId="0" applyNumberFormat="1" applyFont="1" applyFill="1" applyBorder="1" applyAlignment="1">
      <alignment horizontal="center" vertical="center"/>
    </xf>
    <xf numFmtId="1" fontId="26" fillId="6" borderId="6" xfId="0" applyNumberFormat="1" applyFont="1" applyFill="1" applyBorder="1" applyAlignment="1">
      <alignment horizontal="center" vertical="center"/>
    </xf>
    <xf numFmtId="1" fontId="25" fillId="9" borderId="10" xfId="0" applyNumberFormat="1" applyFont="1" applyFill="1" applyBorder="1" applyAlignment="1">
      <alignment horizontal="center" vertical="center"/>
    </xf>
    <xf numFmtId="1" fontId="25" fillId="0" borderId="10" xfId="0" applyNumberFormat="1" applyFont="1" applyBorder="1" applyAlignment="1">
      <alignment horizontal="center" vertical="center"/>
    </xf>
    <xf numFmtId="0" fontId="5" fillId="9" borderId="62" xfId="0" applyFont="1" applyFill="1" applyBorder="1" applyAlignment="1">
      <alignment horizontal="left" vertical="center"/>
    </xf>
    <xf numFmtId="0" fontId="5" fillId="9" borderId="45" xfId="0" applyFont="1" applyFill="1" applyBorder="1" applyAlignment="1">
      <alignment horizontal="center" vertical="center"/>
    </xf>
    <xf numFmtId="0" fontId="10" fillId="9" borderId="10" xfId="0" applyFont="1" applyFill="1" applyBorder="1" applyAlignment="1">
      <alignment horizontal="right" vertical="center"/>
    </xf>
    <xf numFmtId="0" fontId="0" fillId="0" borderId="0" xfId="0"/>
    <xf numFmtId="1" fontId="5" fillId="9" borderId="1" xfId="0" applyNumberFormat="1" applyFont="1" applyFill="1" applyBorder="1" applyAlignment="1">
      <alignment horizontal="center" vertical="center"/>
    </xf>
    <xf numFmtId="1" fontId="26" fillId="0" borderId="0" xfId="0" applyNumberFormat="1" applyFont="1"/>
    <xf numFmtId="1" fontId="39" fillId="9" borderId="10" xfId="0" applyNumberFormat="1" applyFont="1" applyFill="1" applyBorder="1" applyAlignment="1">
      <alignment vertical="center"/>
    </xf>
    <xf numFmtId="0" fontId="0" fillId="0" borderId="0" xfId="0"/>
    <xf numFmtId="0" fontId="27" fillId="0" borderId="37" xfId="0" applyFont="1" applyBorder="1" applyAlignment="1">
      <alignment horizontal="center" vertical="center"/>
    </xf>
    <xf numFmtId="0" fontId="7" fillId="9" borderId="34" xfId="0" applyFont="1" applyFill="1" applyBorder="1" applyAlignment="1">
      <alignment vertical="center"/>
    </xf>
    <xf numFmtId="0" fontId="26" fillId="9" borderId="0" xfId="0" applyFont="1" applyFill="1" applyAlignment="1">
      <alignment vertical="center"/>
    </xf>
    <xf numFmtId="2" fontId="26" fillId="8" borderId="41" xfId="0" applyNumberFormat="1" applyFont="1" applyFill="1" applyBorder="1" applyAlignment="1">
      <alignment horizontal="center" vertical="center"/>
    </xf>
    <xf numFmtId="166" fontId="5" fillId="8" borderId="133" xfId="0" applyNumberFormat="1" applyFont="1" applyFill="1" applyBorder="1" applyAlignment="1">
      <alignment horizontal="center" vertical="center"/>
    </xf>
    <xf numFmtId="166" fontId="5" fillId="6" borderId="133" xfId="0" applyNumberFormat="1" applyFont="1" applyFill="1" applyBorder="1" applyAlignment="1">
      <alignment horizontal="center" vertical="center"/>
    </xf>
    <xf numFmtId="168" fontId="26" fillId="0" borderId="37" xfId="0" applyNumberFormat="1" applyFont="1" applyBorder="1" applyAlignment="1">
      <alignment horizontal="center" vertical="center"/>
    </xf>
    <xf numFmtId="166" fontId="26" fillId="8" borderId="45" xfId="0" applyNumberFormat="1" applyFont="1" applyFill="1" applyBorder="1" applyAlignment="1">
      <alignment horizontal="center" vertical="center"/>
    </xf>
    <xf numFmtId="166" fontId="5" fillId="8" borderId="5" xfId="0" applyNumberFormat="1" applyFont="1" applyFill="1" applyBorder="1" applyAlignment="1">
      <alignment horizontal="center" vertical="center"/>
    </xf>
    <xf numFmtId="166" fontId="5" fillId="6" borderId="5" xfId="0" applyNumberFormat="1" applyFont="1" applyFill="1" applyBorder="1" applyAlignment="1">
      <alignment horizontal="center" vertical="center"/>
    </xf>
    <xf numFmtId="1" fontId="24" fillId="9" borderId="63" xfId="0" quotePrefix="1" applyNumberFormat="1" applyFont="1" applyFill="1" applyBorder="1" applyAlignment="1">
      <alignment horizontal="center" vertical="center"/>
    </xf>
    <xf numFmtId="1" fontId="5" fillId="9" borderId="63" xfId="0" applyNumberFormat="1" applyFont="1" applyFill="1" applyBorder="1" applyAlignment="1">
      <alignment horizontal="center" vertical="center"/>
    </xf>
    <xf numFmtId="166" fontId="7" fillId="0" borderId="6" xfId="0" applyNumberFormat="1" applyFont="1" applyBorder="1" applyAlignment="1">
      <alignment vertical="center"/>
    </xf>
    <xf numFmtId="166" fontId="7" fillId="9" borderId="24" xfId="0" applyNumberFormat="1" applyFont="1" applyFill="1" applyBorder="1" applyAlignment="1">
      <alignment vertical="center"/>
    </xf>
    <xf numFmtId="168" fontId="7" fillId="0" borderId="6" xfId="0" applyNumberFormat="1" applyFont="1" applyBorder="1" applyAlignment="1">
      <alignment vertical="center"/>
    </xf>
    <xf numFmtId="0" fontId="3" fillId="0" borderId="88" xfId="0" applyFont="1" applyBorder="1" applyAlignment="1"/>
    <xf numFmtId="0" fontId="27" fillId="0" borderId="102" xfId="0" applyFont="1" applyBorder="1" applyAlignment="1">
      <alignment horizontal="center" vertical="center"/>
    </xf>
    <xf numFmtId="0" fontId="27" fillId="9" borderId="39" xfId="0" applyFont="1" applyFill="1" applyBorder="1" applyAlignment="1">
      <alignment vertical="center"/>
    </xf>
    <xf numFmtId="1" fontId="26" fillId="0" borderId="73" xfId="0" applyNumberFormat="1" applyFont="1" applyBorder="1" applyAlignment="1">
      <alignment horizontal="center" vertical="center"/>
    </xf>
    <xf numFmtId="0" fontId="24" fillId="9" borderId="61" xfId="0" applyFont="1" applyFill="1" applyBorder="1" applyAlignment="1">
      <alignment vertical="center"/>
    </xf>
    <xf numFmtId="2" fontId="27" fillId="0" borderId="73" xfId="0" applyNumberFormat="1" applyFont="1" applyBorder="1" applyAlignment="1">
      <alignment horizontal="center" vertical="center"/>
    </xf>
    <xf numFmtId="2" fontId="27" fillId="6" borderId="73" xfId="0" applyNumberFormat="1" applyFont="1" applyFill="1" applyBorder="1" applyAlignment="1">
      <alignment horizontal="center" vertical="center"/>
    </xf>
    <xf numFmtId="2" fontId="27" fillId="9" borderId="73" xfId="0" applyNumberFormat="1" applyFont="1" applyFill="1" applyBorder="1" applyAlignment="1">
      <alignment horizontal="center" vertical="center"/>
    </xf>
    <xf numFmtId="1" fontId="26" fillId="9" borderId="73" xfId="0" applyNumberFormat="1" applyFont="1" applyFill="1" applyBorder="1" applyAlignment="1">
      <alignment horizontal="center" vertical="center"/>
    </xf>
    <xf numFmtId="2" fontId="27" fillId="0" borderId="71" xfId="0" applyNumberFormat="1" applyFont="1" applyBorder="1" applyAlignment="1">
      <alignment horizontal="center" vertical="center"/>
    </xf>
    <xf numFmtId="2" fontId="27" fillId="8" borderId="46" xfId="0" applyNumberFormat="1" applyFont="1" applyFill="1" applyBorder="1" applyAlignment="1">
      <alignment horizontal="center" vertical="center"/>
    </xf>
    <xf numFmtId="2" fontId="27" fillId="6" borderId="71" xfId="0" applyNumberFormat="1" applyFont="1" applyFill="1" applyBorder="1" applyAlignment="1">
      <alignment horizontal="center" vertical="center"/>
    </xf>
    <xf numFmtId="2" fontId="27" fillId="9" borderId="71" xfId="0" applyNumberFormat="1" applyFont="1" applyFill="1" applyBorder="1" applyAlignment="1">
      <alignment horizontal="center" vertical="center"/>
    </xf>
    <xf numFmtId="2" fontId="27" fillId="0" borderId="42" xfId="0" applyNumberFormat="1" applyFont="1" applyBorder="1" applyAlignment="1">
      <alignment horizontal="center" vertical="center"/>
    </xf>
    <xf numFmtId="2" fontId="27" fillId="8" borderId="41" xfId="0" applyNumberFormat="1" applyFont="1" applyFill="1" applyBorder="1" applyAlignment="1">
      <alignment horizontal="center" vertical="center"/>
    </xf>
    <xf numFmtId="2" fontId="27" fillId="6" borderId="42" xfId="0" applyNumberFormat="1" applyFont="1" applyFill="1" applyBorder="1" applyAlignment="1">
      <alignment horizontal="center" vertical="center"/>
    </xf>
    <xf numFmtId="2" fontId="27" fillId="8" borderId="42" xfId="0" applyNumberFormat="1" applyFont="1" applyFill="1" applyBorder="1" applyAlignment="1">
      <alignment horizontal="center" vertical="center"/>
    </xf>
    <xf numFmtId="2" fontId="27" fillId="8" borderId="17" xfId="0" applyNumberFormat="1" applyFont="1" applyFill="1" applyBorder="1" applyAlignment="1">
      <alignment horizontal="center" vertical="center"/>
    </xf>
    <xf numFmtId="2" fontId="27" fillId="8" borderId="23" xfId="0" applyNumberFormat="1" applyFont="1" applyFill="1" applyBorder="1" applyAlignment="1">
      <alignment horizontal="center" vertical="center"/>
    </xf>
    <xf numFmtId="2" fontId="27" fillId="8" borderId="33" xfId="0" applyNumberFormat="1" applyFont="1" applyFill="1" applyBorder="1" applyAlignment="1">
      <alignment horizontal="center" vertical="center"/>
    </xf>
    <xf numFmtId="166" fontId="10" fillId="0" borderId="23" xfId="0" applyNumberFormat="1" applyFont="1" applyBorder="1" applyAlignment="1">
      <alignment horizontal="center" vertical="center"/>
    </xf>
    <xf numFmtId="168" fontId="10" fillId="0" borderId="33" xfId="0" applyNumberFormat="1" applyFont="1" applyBorder="1" applyAlignment="1">
      <alignment vertical="center"/>
    </xf>
    <xf numFmtId="1" fontId="95" fillId="4" borderId="0" xfId="186" applyNumberFormat="1" applyFill="1" applyBorder="1" applyAlignment="1">
      <alignment horizontal="left" vertical="top"/>
    </xf>
    <xf numFmtId="1" fontId="95" fillId="9" borderId="10" xfId="186" applyNumberFormat="1" applyFill="1" applyBorder="1" applyAlignment="1">
      <alignment horizontal="center" vertical="top"/>
    </xf>
    <xf numFmtId="1" fontId="24" fillId="0" borderId="68" xfId="0" applyNumberFormat="1" applyFont="1" applyBorder="1" applyAlignment="1">
      <alignment horizontal="center" vertical="center"/>
    </xf>
    <xf numFmtId="1" fontId="24" fillId="0" borderId="26" xfId="0" applyNumberFormat="1" applyFont="1" applyBorder="1" applyAlignment="1">
      <alignment horizontal="center" vertical="center"/>
    </xf>
    <xf numFmtId="0" fontId="27" fillId="0" borderId="38" xfId="0" applyFont="1" applyBorder="1" applyAlignment="1">
      <alignment horizontal="center" vertical="center"/>
    </xf>
    <xf numFmtId="0" fontId="27" fillId="8" borderId="87" xfId="0" applyFont="1" applyFill="1" applyBorder="1" applyAlignment="1">
      <alignment horizontal="center" vertical="center"/>
    </xf>
    <xf numFmtId="0" fontId="0" fillId="0" borderId="10" xfId="0" applyBorder="1" applyAlignment="1"/>
    <xf numFmtId="0" fontId="33" fillId="0" borderId="39" xfId="0" applyFont="1" applyBorder="1" applyAlignment="1">
      <alignment horizontal="left" vertical="center"/>
    </xf>
    <xf numFmtId="0" fontId="33" fillId="0" borderId="0" xfId="0" applyFont="1" applyBorder="1" applyAlignment="1">
      <alignment horizontal="left" vertical="center"/>
    </xf>
    <xf numFmtId="0" fontId="23" fillId="0" borderId="10" xfId="0" applyFont="1" applyBorder="1" applyAlignment="1"/>
    <xf numFmtId="0" fontId="0" fillId="8" borderId="10" xfId="0" applyFill="1" applyBorder="1"/>
    <xf numFmtId="0" fontId="0" fillId="6" borderId="10" xfId="0" applyFill="1" applyBorder="1"/>
    <xf numFmtId="1" fontId="0" fillId="8" borderId="10" xfId="0" applyNumberFormat="1" applyFill="1" applyBorder="1" applyAlignment="1">
      <alignment horizontal="center"/>
    </xf>
    <xf numFmtId="1" fontId="0" fillId="6" borderId="10" xfId="0" applyNumberFormat="1" applyFill="1" applyBorder="1" applyAlignment="1">
      <alignment horizontal="center"/>
    </xf>
    <xf numFmtId="166" fontId="0" fillId="0" borderId="10" xfId="0" applyNumberFormat="1" applyBorder="1" applyAlignment="1">
      <alignment horizontal="center" vertical="center"/>
    </xf>
    <xf numFmtId="0" fontId="60" fillId="9" borderId="10" xfId="0" applyFont="1" applyFill="1" applyBorder="1"/>
    <xf numFmtId="0" fontId="0" fillId="9" borderId="10" xfId="0" applyFill="1" applyBorder="1" applyAlignment="1"/>
    <xf numFmtId="0" fontId="137" fillId="34" borderId="10" xfId="0" applyFont="1" applyFill="1" applyBorder="1"/>
    <xf numFmtId="0" fontId="0" fillId="34" borderId="10" xfId="0" applyFill="1" applyBorder="1"/>
    <xf numFmtId="1" fontId="137" fillId="34" borderId="10" xfId="0" applyNumberFormat="1" applyFont="1" applyFill="1" applyBorder="1" applyAlignment="1">
      <alignment horizontal="center" vertical="center"/>
    </xf>
    <xf numFmtId="0" fontId="138" fillId="34" borderId="10" xfId="0" applyFont="1" applyFill="1" applyBorder="1"/>
    <xf numFmtId="0" fontId="14" fillId="34" borderId="10" xfId="0" applyFont="1" applyFill="1" applyBorder="1"/>
    <xf numFmtId="1" fontId="138" fillId="34" borderId="10" xfId="0" applyNumberFormat="1" applyFont="1" applyFill="1" applyBorder="1" applyAlignment="1">
      <alignment horizontal="center" vertical="center"/>
    </xf>
    <xf numFmtId="0" fontId="138" fillId="9" borderId="10" xfId="0" applyFont="1" applyFill="1" applyBorder="1"/>
    <xf numFmtId="0" fontId="14" fillId="9" borderId="10" xfId="0" applyFont="1" applyFill="1" applyBorder="1"/>
    <xf numFmtId="1" fontId="138" fillId="9" borderId="10" xfId="0" applyNumberFormat="1" applyFont="1" applyFill="1" applyBorder="1" applyAlignment="1">
      <alignment horizontal="center" vertical="center"/>
    </xf>
    <xf numFmtId="0" fontId="138" fillId="34" borderId="10" xfId="0" applyFont="1" applyFill="1" applyBorder="1" applyAlignment="1"/>
    <xf numFmtId="0" fontId="138" fillId="34" borderId="10" xfId="0" applyFont="1" applyFill="1" applyBorder="1" applyAlignment="1">
      <alignment horizontal="center" vertical="center"/>
    </xf>
    <xf numFmtId="0" fontId="138" fillId="34" borderId="10" xfId="0" applyFont="1" applyFill="1" applyBorder="1" applyAlignment="1">
      <alignment horizontal="center"/>
    </xf>
    <xf numFmtId="1" fontId="138" fillId="34" borderId="10" xfId="0" applyNumberFormat="1" applyFont="1" applyFill="1" applyBorder="1" applyAlignment="1">
      <alignment horizontal="center"/>
    </xf>
    <xf numFmtId="0" fontId="139" fillId="34" borderId="10" xfId="0" applyFont="1" applyFill="1" applyBorder="1" applyAlignment="1">
      <alignment horizontal="right"/>
    </xf>
    <xf numFmtId="0" fontId="142" fillId="43" borderId="10" xfId="0" applyFont="1" applyFill="1" applyBorder="1" applyAlignment="1">
      <alignment horizontal="center"/>
    </xf>
    <xf numFmtId="0" fontId="142" fillId="43" borderId="10" xfId="0" applyFont="1" applyFill="1" applyBorder="1"/>
    <xf numFmtId="0" fontId="142" fillId="43" borderId="10" xfId="0" applyFont="1" applyFill="1" applyBorder="1" applyAlignment="1"/>
    <xf numFmtId="0" fontId="143" fillId="43" borderId="10" xfId="0" applyFont="1" applyFill="1" applyBorder="1" applyAlignment="1">
      <alignment horizontal="center"/>
    </xf>
    <xf numFmtId="0" fontId="143" fillId="43" borderId="10" xfId="0" applyFont="1" applyFill="1" applyBorder="1"/>
    <xf numFmtId="0" fontId="143" fillId="43" borderId="10" xfId="0" applyFont="1" applyFill="1" applyBorder="1" applyAlignment="1"/>
    <xf numFmtId="0" fontId="0" fillId="9" borderId="10" xfId="0" applyFill="1" applyBorder="1" applyAlignment="1">
      <alignment horizontal="center"/>
    </xf>
    <xf numFmtId="1" fontId="0" fillId="9" borderId="10" xfId="0" applyNumberFormat="1" applyFill="1" applyBorder="1" applyAlignment="1">
      <alignment horizontal="center" vertical="center"/>
    </xf>
    <xf numFmtId="1" fontId="142" fillId="43" borderId="10" xfId="0" applyNumberFormat="1" applyFont="1" applyFill="1" applyBorder="1" applyAlignment="1">
      <alignment horizontal="center"/>
    </xf>
    <xf numFmtId="1" fontId="143" fillId="43" borderId="10" xfId="0" applyNumberFormat="1" applyFont="1" applyFill="1" applyBorder="1" applyAlignment="1">
      <alignment horizontal="center"/>
    </xf>
    <xf numFmtId="0" fontId="68" fillId="0" borderId="10" xfId="0" applyFont="1" applyBorder="1" applyAlignment="1">
      <alignment horizontal="right"/>
    </xf>
    <xf numFmtId="0" fontId="139" fillId="9" borderId="10" xfId="0" applyFont="1" applyFill="1" applyBorder="1"/>
    <xf numFmtId="0" fontId="139" fillId="9" borderId="10" xfId="0" applyFont="1" applyFill="1" applyBorder="1" applyAlignment="1"/>
    <xf numFmtId="0" fontId="68" fillId="0" borderId="10" xfId="0" applyFont="1" applyBorder="1" applyAlignment="1">
      <alignment horizontal="center" vertical="center"/>
    </xf>
    <xf numFmtId="1" fontId="138" fillId="34" borderId="10" xfId="0" applyNumberFormat="1" applyFont="1" applyFill="1" applyBorder="1" applyAlignment="1"/>
    <xf numFmtId="1" fontId="68" fillId="0" borderId="10" xfId="0" applyNumberFormat="1" applyFont="1" applyBorder="1" applyAlignment="1">
      <alignment horizontal="center" vertical="center"/>
    </xf>
    <xf numFmtId="1" fontId="139" fillId="9" borderId="10" xfId="0" applyNumberFormat="1" applyFont="1" applyFill="1" applyBorder="1" applyAlignment="1">
      <alignment horizontal="center" vertical="center"/>
    </xf>
    <xf numFmtId="168" fontId="27" fillId="0" borderId="10" xfId="0" applyNumberFormat="1" applyFont="1" applyBorder="1" applyAlignment="1">
      <alignment horizontal="center" vertical="center"/>
    </xf>
    <xf numFmtId="168" fontId="27" fillId="8" borderId="10" xfId="0" applyNumberFormat="1" applyFont="1" applyFill="1" applyBorder="1" applyAlignment="1">
      <alignment horizontal="center" vertical="center"/>
    </xf>
    <xf numFmtId="168" fontId="27" fillId="6" borderId="10" xfId="0" applyNumberFormat="1" applyFont="1" applyFill="1" applyBorder="1" applyAlignment="1">
      <alignment horizontal="center" vertical="center"/>
    </xf>
    <xf numFmtId="168" fontId="27" fillId="9" borderId="10" xfId="0" applyNumberFormat="1" applyFont="1" applyFill="1" applyBorder="1" applyAlignment="1">
      <alignment horizontal="center" vertical="center"/>
    </xf>
    <xf numFmtId="166" fontId="27" fillId="9" borderId="42" xfId="0" applyNumberFormat="1" applyFont="1" applyFill="1" applyBorder="1" applyAlignment="1">
      <alignment horizontal="center" vertical="center"/>
    </xf>
    <xf numFmtId="9" fontId="0" fillId="0" borderId="0" xfId="22" applyFont="1" applyAlignment="1">
      <alignment horizontal="center"/>
    </xf>
    <xf numFmtId="1" fontId="26" fillId="6" borderId="41" xfId="0" applyNumberFormat="1" applyFont="1" applyFill="1" applyBorder="1" applyAlignment="1">
      <alignment horizontal="center" vertical="center"/>
    </xf>
    <xf numFmtId="166" fontId="26" fillId="7" borderId="23" xfId="0" applyNumberFormat="1" applyFont="1" applyFill="1" applyBorder="1" applyAlignment="1">
      <alignment horizontal="center" vertical="center"/>
    </xf>
    <xf numFmtId="166" fontId="27" fillId="0" borderId="10" xfId="0" applyNumberFormat="1" applyFont="1" applyBorder="1" applyAlignment="1">
      <alignment horizontal="center" vertical="center"/>
    </xf>
    <xf numFmtId="166" fontId="27" fillId="8" borderId="10" xfId="0" applyNumberFormat="1" applyFont="1" applyFill="1" applyBorder="1" applyAlignment="1">
      <alignment horizontal="center" vertical="center"/>
    </xf>
    <xf numFmtId="166" fontId="27" fillId="6" borderId="10" xfId="0" applyNumberFormat="1" applyFont="1" applyFill="1" applyBorder="1" applyAlignment="1">
      <alignment horizontal="center" vertical="center"/>
    </xf>
    <xf numFmtId="166" fontId="27" fillId="7" borderId="10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1" fontId="46" fillId="8" borderId="10" xfId="0" applyNumberFormat="1" applyFont="1" applyFill="1" applyBorder="1" applyAlignment="1">
      <alignment horizontal="center" vertical="center"/>
    </xf>
    <xf numFmtId="0" fontId="46" fillId="8" borderId="62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1" fontId="21" fillId="6" borderId="30" xfId="0" applyNumberFormat="1" applyFont="1" applyFill="1" applyBorder="1" applyAlignment="1">
      <alignment horizontal="center" vertical="center"/>
    </xf>
    <xf numFmtId="1" fontId="21" fillId="9" borderId="29" xfId="0" applyNumberFormat="1" applyFont="1" applyFill="1" applyBorder="1" applyAlignment="1">
      <alignment horizontal="center" vertical="center"/>
    </xf>
    <xf numFmtId="1" fontId="46" fillId="8" borderId="10" xfId="0" applyNumberFormat="1" applyFont="1" applyFill="1" applyBorder="1" applyAlignment="1">
      <alignment horizontal="center" vertical="center"/>
    </xf>
    <xf numFmtId="1" fontId="5" fillId="9" borderId="10" xfId="0" applyNumberFormat="1" applyFont="1" applyFill="1" applyBorder="1" applyAlignment="1">
      <alignment horizontal="center" vertical="center"/>
    </xf>
    <xf numFmtId="166" fontId="10" fillId="0" borderId="42" xfId="0" applyNumberFormat="1" applyFont="1" applyBorder="1" applyAlignment="1">
      <alignment horizontal="center" vertical="center"/>
    </xf>
    <xf numFmtId="0" fontId="23" fillId="0" borderId="10" xfId="0" applyFont="1" applyBorder="1" applyAlignment="1">
      <alignment horizontal="right"/>
    </xf>
    <xf numFmtId="0" fontId="54" fillId="0" borderId="10" xfId="0" applyFont="1" applyBorder="1" applyAlignment="1">
      <alignment horizontal="center" vertical="center"/>
    </xf>
    <xf numFmtId="0" fontId="54" fillId="9" borderId="0" xfId="0" applyFont="1" applyFill="1" applyAlignment="1">
      <alignment horizontal="center"/>
    </xf>
    <xf numFmtId="9" fontId="27" fillId="9" borderId="10" xfId="22" applyFont="1" applyFill="1" applyBorder="1" applyAlignment="1">
      <alignment horizontal="center" vertical="center"/>
    </xf>
    <xf numFmtId="0" fontId="5" fillId="9" borderId="38" xfId="0" applyFont="1" applyFill="1" applyBorder="1" applyAlignment="1">
      <alignment horizontal="center" vertical="center"/>
    </xf>
    <xf numFmtId="1" fontId="14" fillId="0" borderId="10" xfId="0" applyNumberFormat="1" applyFont="1" applyBorder="1" applyAlignment="1">
      <alignment horizontal="center" vertical="center"/>
    </xf>
    <xf numFmtId="1" fontId="45" fillId="8" borderId="10" xfId="0" applyNumberFormat="1" applyFont="1" applyFill="1" applyBorder="1" applyAlignment="1">
      <alignment horizontal="center"/>
    </xf>
    <xf numFmtId="1" fontId="29" fillId="8" borderId="10" xfId="0" applyNumberFormat="1" applyFont="1" applyFill="1" applyBorder="1" applyAlignment="1">
      <alignment horizontal="center"/>
    </xf>
    <xf numFmtId="0" fontId="45" fillId="8" borderId="10" xfId="0" applyFont="1" applyFill="1" applyBorder="1" applyAlignment="1">
      <alignment horizontal="center"/>
    </xf>
    <xf numFmtId="0" fontId="0" fillId="8" borderId="0" xfId="0" applyFill="1"/>
    <xf numFmtId="1" fontId="14" fillId="8" borderId="10" xfId="0" applyNumberFormat="1" applyFont="1" applyFill="1" applyBorder="1" applyAlignment="1">
      <alignment horizontal="center" vertical="center"/>
    </xf>
    <xf numFmtId="1" fontId="45" fillId="6" borderId="10" xfId="0" applyNumberFormat="1" applyFont="1" applyFill="1" applyBorder="1" applyAlignment="1">
      <alignment horizontal="center"/>
    </xf>
    <xf numFmtId="1" fontId="29" fillId="6" borderId="10" xfId="0" applyNumberFormat="1" applyFont="1" applyFill="1" applyBorder="1" applyAlignment="1">
      <alignment horizontal="center"/>
    </xf>
    <xf numFmtId="0" fontId="45" fillId="6" borderId="10" xfId="0" applyFont="1" applyFill="1" applyBorder="1" applyAlignment="1">
      <alignment horizontal="center"/>
    </xf>
    <xf numFmtId="0" fontId="0" fillId="6" borderId="0" xfId="0" applyFill="1"/>
    <xf numFmtId="1" fontId="14" fillId="6" borderId="10" xfId="0" applyNumberFormat="1" applyFont="1" applyFill="1" applyBorder="1" applyAlignment="1">
      <alignment horizontal="center" vertical="center"/>
    </xf>
    <xf numFmtId="0" fontId="29" fillId="44" borderId="10" xfId="0" applyFont="1" applyFill="1" applyBorder="1"/>
    <xf numFmtId="1" fontId="29" fillId="44" borderId="10" xfId="0" applyNumberFormat="1" applyFont="1" applyFill="1" applyBorder="1" applyAlignment="1">
      <alignment horizontal="center"/>
    </xf>
    <xf numFmtId="1" fontId="45" fillId="44" borderId="10" xfId="0" applyNumberFormat="1" applyFont="1" applyFill="1" applyBorder="1" applyAlignment="1">
      <alignment horizontal="center"/>
    </xf>
    <xf numFmtId="1" fontId="0" fillId="44" borderId="10" xfId="0" applyNumberFormat="1" applyFill="1" applyBorder="1"/>
    <xf numFmtId="0" fontId="0" fillId="44" borderId="10" xfId="0" applyFill="1" applyBorder="1"/>
    <xf numFmtId="0" fontId="29" fillId="44" borderId="10" xfId="0" applyFont="1" applyFill="1" applyBorder="1" applyAlignment="1">
      <alignment horizontal="center"/>
    </xf>
    <xf numFmtId="9" fontId="29" fillId="0" borderId="10" xfId="22" applyFont="1" applyBorder="1" applyAlignment="1">
      <alignment horizontal="center"/>
    </xf>
    <xf numFmtId="0" fontId="95" fillId="0" borderId="0" xfId="186"/>
    <xf numFmtId="0" fontId="38" fillId="0" borderId="35" xfId="0" applyFont="1" applyBorder="1"/>
    <xf numFmtId="0" fontId="38" fillId="0" borderId="0" xfId="0" applyFont="1" applyBorder="1"/>
    <xf numFmtId="0" fontId="15" fillId="0" borderId="0" xfId="0" applyFont="1" applyBorder="1"/>
    <xf numFmtId="0" fontId="104" fillId="0" borderId="0" xfId="0" applyFont="1" applyBorder="1" applyAlignment="1">
      <alignment horizontal="center" vertical="center"/>
    </xf>
    <xf numFmtId="0" fontId="52" fillId="0" borderId="0" xfId="0" applyFont="1" applyBorder="1" applyAlignment="1">
      <alignment horizontal="center" vertical="center"/>
    </xf>
    <xf numFmtId="1" fontId="104" fillId="0" borderId="0" xfId="0" applyNumberFormat="1" applyFont="1" applyBorder="1" applyAlignment="1">
      <alignment horizontal="center" vertical="center"/>
    </xf>
    <xf numFmtId="1" fontId="52" fillId="0" borderId="0" xfId="0" applyNumberFormat="1" applyFont="1" applyBorder="1" applyAlignment="1">
      <alignment horizontal="center" vertical="center"/>
    </xf>
    <xf numFmtId="0" fontId="62" fillId="0" borderId="0" xfId="0" applyFont="1" applyBorder="1" applyAlignment="1">
      <alignment horizontal="center" vertical="center"/>
    </xf>
    <xf numFmtId="0" fontId="53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43" fillId="0" borderId="0" xfId="0" applyFont="1" applyBorder="1" applyAlignment="1">
      <alignment horizontal="center" vertical="center"/>
    </xf>
    <xf numFmtId="0" fontId="0" fillId="0" borderId="54" xfId="0" applyBorder="1"/>
    <xf numFmtId="0" fontId="64" fillId="9" borderId="31" xfId="0" applyFont="1" applyFill="1" applyBorder="1"/>
    <xf numFmtId="0" fontId="0" fillId="9" borderId="31" xfId="0" applyFill="1" applyBorder="1"/>
    <xf numFmtId="0" fontId="60" fillId="9" borderId="31" xfId="0" applyFont="1" applyFill="1" applyBorder="1"/>
    <xf numFmtId="0" fontId="138" fillId="9" borderId="34" xfId="0" applyFont="1" applyFill="1" applyBorder="1" applyAlignment="1">
      <alignment horizontal="center" vertical="center"/>
    </xf>
    <xf numFmtId="0" fontId="0" fillId="0" borderId="35" xfId="0" applyBorder="1"/>
    <xf numFmtId="1" fontId="0" fillId="0" borderId="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27" fillId="0" borderId="1" xfId="0" applyNumberFormat="1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45" xfId="0" applyFont="1" applyBorder="1"/>
    <xf numFmtId="0" fontId="23" fillId="0" borderId="37" xfId="0" applyFont="1" applyBorder="1" applyAlignment="1">
      <alignment horizontal="center" vertical="center"/>
    </xf>
    <xf numFmtId="0" fontId="23" fillId="0" borderId="65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2" fontId="24" fillId="0" borderId="10" xfId="0" applyNumberFormat="1" applyFont="1" applyBorder="1" applyAlignment="1">
      <alignment horizontal="center" vertical="center"/>
    </xf>
    <xf numFmtId="1" fontId="27" fillId="9" borderId="29" xfId="0" applyNumberFormat="1" applyFont="1" applyFill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8" borderId="4" xfId="0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1" fontId="21" fillId="9" borderId="29" xfId="0" applyNumberFormat="1" applyFont="1" applyFill="1" applyBorder="1" applyAlignment="1">
      <alignment horizontal="center" vertical="center"/>
    </xf>
    <xf numFmtId="1" fontId="46" fillId="8" borderId="10" xfId="0" applyNumberFormat="1" applyFont="1" applyFill="1" applyBorder="1" applyAlignment="1">
      <alignment horizontal="center" vertical="center"/>
    </xf>
    <xf numFmtId="1" fontId="46" fillId="6" borderId="10" xfId="0" applyNumberFormat="1" applyFont="1" applyFill="1" applyBorder="1" applyAlignment="1">
      <alignment horizontal="center" vertical="center"/>
    </xf>
    <xf numFmtId="1" fontId="26" fillId="7" borderId="31" xfId="0" applyNumberFormat="1" applyFont="1" applyFill="1" applyBorder="1" applyAlignment="1">
      <alignment horizontal="center" vertical="center"/>
    </xf>
    <xf numFmtId="0" fontId="26" fillId="9" borderId="0" xfId="0" applyFont="1" applyFill="1" applyAlignment="1">
      <alignment horizontal="center" vertical="center"/>
    </xf>
    <xf numFmtId="0" fontId="54" fillId="9" borderId="10" xfId="0" applyFont="1" applyFill="1" applyBorder="1"/>
    <xf numFmtId="0" fontId="0" fillId="9" borderId="0" xfId="0" applyFill="1" applyBorder="1" applyAlignment="1">
      <alignment horizontal="center" vertical="center"/>
    </xf>
    <xf numFmtId="1" fontId="10" fillId="8" borderId="6" xfId="0" applyNumberFormat="1" applyFont="1" applyFill="1" applyBorder="1" applyAlignment="1">
      <alignment horizontal="center" vertical="center"/>
    </xf>
    <xf numFmtId="0" fontId="34" fillId="9" borderId="0" xfId="0" applyFont="1" applyFill="1"/>
    <xf numFmtId="0" fontId="24" fillId="9" borderId="55" xfId="0" applyFont="1" applyFill="1" applyBorder="1" applyAlignment="1">
      <alignment horizontal="center" vertical="center"/>
    </xf>
    <xf numFmtId="1" fontId="25" fillId="7" borderId="72" xfId="0" applyNumberFormat="1" applyFont="1" applyFill="1" applyBorder="1" applyAlignment="1">
      <alignment horizontal="center" vertical="center"/>
    </xf>
    <xf numFmtId="2" fontId="26" fillId="7" borderId="10" xfId="0" applyNumberFormat="1" applyFont="1" applyFill="1" applyBorder="1" applyAlignment="1">
      <alignment horizontal="center"/>
    </xf>
    <xf numFmtId="2" fontId="26" fillId="6" borderId="10" xfId="0" applyNumberFormat="1" applyFont="1" applyFill="1" applyBorder="1" applyAlignment="1">
      <alignment horizontal="center"/>
    </xf>
    <xf numFmtId="2" fontId="5" fillId="6" borderId="67" xfId="0" applyNumberFormat="1" applyFont="1" applyFill="1" applyBorder="1" applyAlignment="1">
      <alignment horizontal="center" vertical="center"/>
    </xf>
    <xf numFmtId="2" fontId="5" fillId="7" borderId="67" xfId="0" applyNumberFormat="1" applyFont="1" applyFill="1" applyBorder="1" applyAlignment="1">
      <alignment horizontal="center" vertical="center"/>
    </xf>
    <xf numFmtId="0" fontId="29" fillId="44" borderId="10" xfId="0" applyFont="1" applyFill="1" applyBorder="1" applyAlignment="1">
      <alignment horizontal="center"/>
    </xf>
    <xf numFmtId="0" fontId="147" fillId="0" borderId="0" xfId="0" applyFont="1"/>
    <xf numFmtId="0" fontId="148" fillId="0" borderId="0" xfId="0" applyFont="1"/>
    <xf numFmtId="0" fontId="148" fillId="9" borderId="0" xfId="0" applyFont="1" applyFill="1"/>
    <xf numFmtId="0" fontId="149" fillId="0" borderId="0" xfId="0" applyFont="1"/>
    <xf numFmtId="0" fontId="150" fillId="9" borderId="0" xfId="0" applyFont="1" applyFill="1"/>
    <xf numFmtId="0" fontId="149" fillId="9" borderId="0" xfId="0" applyFont="1" applyFill="1"/>
    <xf numFmtId="0" fontId="151" fillId="0" borderId="0" xfId="0" applyFont="1" applyBorder="1" applyAlignment="1">
      <alignment vertical="center"/>
    </xf>
    <xf numFmtId="0" fontId="147" fillId="0" borderId="66" xfId="0" applyFont="1" applyBorder="1" applyAlignment="1">
      <alignment horizontal="center" vertical="center"/>
    </xf>
    <xf numFmtId="0" fontId="147" fillId="0" borderId="37" xfId="0" applyFont="1" applyBorder="1" applyAlignment="1">
      <alignment horizontal="center" vertical="center"/>
    </xf>
    <xf numFmtId="0" fontId="147" fillId="0" borderId="65" xfId="0" applyFont="1" applyBorder="1" applyAlignment="1">
      <alignment horizontal="center" vertical="center"/>
    </xf>
    <xf numFmtId="0" fontId="146" fillId="0" borderId="67" xfId="0" applyFont="1" applyBorder="1" applyAlignment="1">
      <alignment horizontal="center" vertical="center"/>
    </xf>
    <xf numFmtId="0" fontId="147" fillId="0" borderId="48" xfId="0" applyFont="1" applyBorder="1" applyAlignment="1">
      <alignment horizontal="center" vertical="center"/>
    </xf>
    <xf numFmtId="0" fontId="147" fillId="0" borderId="48" xfId="0" applyFont="1" applyBorder="1" applyAlignment="1">
      <alignment horizontal="center"/>
    </xf>
    <xf numFmtId="0" fontId="136" fillId="0" borderId="64" xfId="0" applyFont="1" applyBorder="1" applyAlignment="1">
      <alignment horizontal="center"/>
    </xf>
    <xf numFmtId="0" fontId="5" fillId="0" borderId="48" xfId="0" applyFont="1" applyBorder="1" applyAlignment="1">
      <alignment horizontal="center" vertical="center"/>
    </xf>
    <xf numFmtId="0" fontId="0" fillId="7" borderId="10" xfId="0" applyFill="1" applyBorder="1"/>
    <xf numFmtId="0" fontId="27" fillId="9" borderId="6" xfId="0" applyFont="1" applyFill="1" applyBorder="1" applyAlignment="1">
      <alignment horizontal="center" vertical="center"/>
    </xf>
    <xf numFmtId="0" fontId="39" fillId="9" borderId="6" xfId="0" applyFont="1" applyFill="1" applyBorder="1" applyAlignment="1">
      <alignment horizontal="center" vertical="center"/>
    </xf>
    <xf numFmtId="1" fontId="0" fillId="7" borderId="10" xfId="0" applyNumberFormat="1" applyFill="1" applyBorder="1" applyAlignment="1">
      <alignment horizontal="center"/>
    </xf>
    <xf numFmtId="0" fontId="27" fillId="9" borderId="29" xfId="0" applyFont="1" applyFill="1" applyBorder="1" applyAlignment="1">
      <alignment horizontal="center" vertical="center"/>
    </xf>
    <xf numFmtId="0" fontId="39" fillId="9" borderId="29" xfId="0" applyFont="1" applyFill="1" applyBorder="1" applyAlignment="1">
      <alignment horizontal="center" vertical="center"/>
    </xf>
    <xf numFmtId="0" fontId="24" fillId="9" borderId="0" xfId="0" applyFont="1" applyFill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54" fillId="0" borderId="0" xfId="0" applyFont="1" applyBorder="1" applyAlignment="1">
      <alignment horizontal="center" vertical="center"/>
    </xf>
    <xf numFmtId="0" fontId="148" fillId="0" borderId="0" xfId="0" applyFont="1" applyAlignment="1">
      <alignment horizontal="center" vertical="center"/>
    </xf>
    <xf numFmtId="0" fontId="54" fillId="6" borderId="10" xfId="0" applyFont="1" applyFill="1" applyBorder="1" applyAlignment="1">
      <alignment horizontal="center" vertical="center"/>
    </xf>
    <xf numFmtId="0" fontId="54" fillId="8" borderId="10" xfId="0" applyFont="1" applyFill="1" applyBorder="1" applyAlignment="1">
      <alignment horizontal="center" vertical="center"/>
    </xf>
    <xf numFmtId="0" fontId="152" fillId="0" borderId="0" xfId="0" applyFont="1"/>
    <xf numFmtId="1" fontId="5" fillId="0" borderId="10" xfId="0" applyNumberFormat="1" applyFont="1" applyBorder="1" applyAlignment="1">
      <alignment horizontal="center" vertical="center"/>
    </xf>
    <xf numFmtId="1" fontId="5" fillId="8" borderId="10" xfId="0" applyNumberFormat="1" applyFont="1" applyFill="1" applyBorder="1" applyAlignment="1">
      <alignment horizontal="center" vertical="center"/>
    </xf>
    <xf numFmtId="1" fontId="5" fillId="6" borderId="10" xfId="0" applyNumberFormat="1" applyFont="1" applyFill="1" applyBorder="1" applyAlignment="1">
      <alignment horizontal="center" vertical="center"/>
    </xf>
    <xf numFmtId="1" fontId="5" fillId="7" borderId="10" xfId="0" applyNumberFormat="1" applyFont="1" applyFill="1" applyBorder="1" applyAlignment="1">
      <alignment horizontal="center" vertical="center"/>
    </xf>
    <xf numFmtId="0" fontId="103" fillId="0" borderId="0" xfId="0" applyFont="1" applyBorder="1" applyAlignment="1">
      <alignment horizontal="center" vertical="center"/>
    </xf>
    <xf numFmtId="0" fontId="103" fillId="0" borderId="0" xfId="0" applyFont="1" applyBorder="1"/>
    <xf numFmtId="1" fontId="27" fillId="9" borderId="6" xfId="0" applyNumberFormat="1" applyFont="1" applyFill="1" applyBorder="1" applyAlignment="1">
      <alignment horizontal="center" vertical="center"/>
    </xf>
    <xf numFmtId="1" fontId="24" fillId="9" borderId="6" xfId="0" applyNumberFormat="1" applyFont="1" applyFill="1" applyBorder="1" applyAlignment="1">
      <alignment horizontal="center" vertical="center"/>
    </xf>
    <xf numFmtId="168" fontId="26" fillId="7" borderId="37" xfId="0" applyNumberFormat="1" applyFont="1" applyFill="1" applyBorder="1" applyAlignment="1">
      <alignment horizontal="center" vertical="center"/>
    </xf>
    <xf numFmtId="2" fontId="26" fillId="7" borderId="37" xfId="0" applyNumberFormat="1" applyFont="1" applyFill="1" applyBorder="1" applyAlignment="1">
      <alignment horizontal="center" vertical="center"/>
    </xf>
    <xf numFmtId="1" fontId="26" fillId="7" borderId="37" xfId="0" applyNumberFormat="1" applyFont="1" applyFill="1" applyBorder="1" applyAlignment="1">
      <alignment horizontal="center" vertical="center"/>
    </xf>
    <xf numFmtId="0" fontId="57" fillId="7" borderId="10" xfId="0" applyFont="1" applyFill="1" applyBorder="1" applyAlignment="1">
      <alignment horizontal="center" vertical="center"/>
    </xf>
    <xf numFmtId="168" fontId="26" fillId="6" borderId="37" xfId="0" applyNumberFormat="1" applyFont="1" applyFill="1" applyBorder="1" applyAlignment="1">
      <alignment horizontal="center" vertical="center"/>
    </xf>
    <xf numFmtId="2" fontId="26" fillId="6" borderId="37" xfId="0" applyNumberFormat="1" applyFont="1" applyFill="1" applyBorder="1" applyAlignment="1">
      <alignment horizontal="center" vertical="center"/>
    </xf>
    <xf numFmtId="0" fontId="57" fillId="6" borderId="10" xfId="0" applyFont="1" applyFill="1" applyBorder="1" applyAlignment="1">
      <alignment horizontal="center" vertical="center"/>
    </xf>
    <xf numFmtId="0" fontId="57" fillId="8" borderId="10" xfId="0" applyFont="1" applyFill="1" applyBorder="1" applyAlignment="1">
      <alignment horizontal="center" vertical="center"/>
    </xf>
    <xf numFmtId="0" fontId="149" fillId="0" borderId="0" xfId="0" applyFont="1" applyAlignment="1">
      <alignment horizontal="center" vertical="center"/>
    </xf>
    <xf numFmtId="1" fontId="10" fillId="0" borderId="3" xfId="0" applyNumberFormat="1" applyFont="1" applyBorder="1" applyAlignment="1">
      <alignment horizontal="center" vertical="center"/>
    </xf>
    <xf numFmtId="1" fontId="10" fillId="0" borderId="29" xfId="0" applyNumberFormat="1" applyFont="1" applyBorder="1" applyAlignment="1">
      <alignment horizontal="center" vertical="center"/>
    </xf>
    <xf numFmtId="2" fontId="10" fillId="0" borderId="29" xfId="0" applyNumberFormat="1" applyFont="1" applyBorder="1" applyAlignment="1">
      <alignment horizontal="center" vertical="center"/>
    </xf>
    <xf numFmtId="168" fontId="10" fillId="0" borderId="29" xfId="0" applyNumberFormat="1" applyFont="1" applyBorder="1" applyAlignment="1">
      <alignment horizontal="center" vertical="center"/>
    </xf>
    <xf numFmtId="168" fontId="10" fillId="0" borderId="36" xfId="0" applyNumberFormat="1" applyFont="1" applyBorder="1" applyAlignment="1">
      <alignment horizontal="center" vertical="center"/>
    </xf>
    <xf numFmtId="168" fontId="10" fillId="0" borderId="59" xfId="0" applyNumberFormat="1" applyFont="1" applyBorder="1" applyAlignment="1">
      <alignment horizontal="center" vertical="center"/>
    </xf>
    <xf numFmtId="1" fontId="24" fillId="7" borderId="73" xfId="0" applyNumberFormat="1" applyFont="1" applyFill="1" applyBorder="1" applyAlignment="1">
      <alignment horizontal="center" vertical="center"/>
    </xf>
    <xf numFmtId="1" fontId="25" fillId="7" borderId="10" xfId="0" applyNumberFormat="1" applyFont="1" applyFill="1" applyBorder="1" applyAlignment="1">
      <alignment horizontal="center" vertical="center"/>
    </xf>
    <xf numFmtId="168" fontId="26" fillId="7" borderId="10" xfId="0" applyNumberFormat="1" applyFont="1" applyFill="1" applyBorder="1" applyAlignment="1">
      <alignment horizontal="center" vertical="center"/>
    </xf>
    <xf numFmtId="9" fontId="54" fillId="7" borderId="10" xfId="22" applyFont="1" applyFill="1" applyBorder="1" applyAlignment="1">
      <alignment horizontal="center" vertical="center"/>
    </xf>
    <xf numFmtId="1" fontId="54" fillId="7" borderId="10" xfId="22" applyNumberFormat="1" applyFont="1" applyFill="1" applyBorder="1" applyAlignment="1">
      <alignment horizontal="center" vertical="center"/>
    </xf>
    <xf numFmtId="0" fontId="124" fillId="45" borderId="10" xfId="0" applyFont="1" applyFill="1" applyBorder="1"/>
    <xf numFmtId="0" fontId="124" fillId="45" borderId="10" xfId="0" applyFont="1" applyFill="1" applyBorder="1" applyAlignment="1"/>
    <xf numFmtId="1" fontId="24" fillId="6" borderId="38" xfId="0" applyNumberFormat="1" applyFont="1" applyFill="1" applyBorder="1" applyAlignment="1">
      <alignment horizontal="center" vertical="center"/>
    </xf>
    <xf numFmtId="1" fontId="24" fillId="7" borderId="38" xfId="0" applyNumberFormat="1" applyFont="1" applyFill="1" applyBorder="1" applyAlignment="1">
      <alignment horizontal="center" vertical="center"/>
    </xf>
    <xf numFmtId="166" fontId="26" fillId="7" borderId="31" xfId="0" applyNumberFormat="1" applyFont="1" applyFill="1" applyBorder="1" applyAlignment="1">
      <alignment horizontal="center" vertical="center"/>
    </xf>
    <xf numFmtId="2" fontId="26" fillId="7" borderId="27" xfId="0" applyNumberFormat="1" applyFont="1" applyFill="1" applyBorder="1" applyAlignment="1">
      <alignment horizontal="center" vertical="center"/>
    </xf>
    <xf numFmtId="1" fontId="5" fillId="7" borderId="50" xfId="0" applyNumberFormat="1" applyFont="1" applyFill="1" applyBorder="1" applyAlignment="1">
      <alignment horizontal="center" vertical="center"/>
    </xf>
    <xf numFmtId="2" fontId="5" fillId="0" borderId="59" xfId="0" applyNumberFormat="1" applyFont="1" applyBorder="1" applyAlignment="1">
      <alignment horizontal="center" vertical="center"/>
    </xf>
    <xf numFmtId="2" fontId="5" fillId="8" borderId="95" xfId="0" applyNumberFormat="1" applyFont="1" applyFill="1" applyBorder="1" applyAlignment="1">
      <alignment horizontal="center" vertical="center"/>
    </xf>
    <xf numFmtId="2" fontId="5" fillId="6" borderId="116" xfId="0" applyNumberFormat="1" applyFont="1" applyFill="1" applyBorder="1" applyAlignment="1">
      <alignment horizontal="center" vertical="center"/>
    </xf>
    <xf numFmtId="2" fontId="5" fillId="7" borderId="27" xfId="0" applyNumberFormat="1" applyFont="1" applyFill="1" applyBorder="1" applyAlignment="1">
      <alignment horizontal="center" vertical="center"/>
    </xf>
    <xf numFmtId="166" fontId="26" fillId="0" borderId="33" xfId="0" applyNumberFormat="1" applyFont="1" applyBorder="1" applyAlignment="1">
      <alignment horizontal="center" vertical="center"/>
    </xf>
    <xf numFmtId="0" fontId="27" fillId="8" borderId="26" xfId="0" applyFont="1" applyFill="1" applyBorder="1" applyAlignment="1">
      <alignment horizontal="center" vertical="center"/>
    </xf>
    <xf numFmtId="1" fontId="24" fillId="8" borderId="67" xfId="0" applyNumberFormat="1" applyFont="1" applyFill="1" applyBorder="1" applyAlignment="1">
      <alignment horizontal="center" vertical="center"/>
    </xf>
    <xf numFmtId="2" fontId="26" fillId="8" borderId="65" xfId="0" applyNumberFormat="1" applyFont="1" applyFill="1" applyBorder="1" applyAlignment="1">
      <alignment horizontal="center" vertical="center"/>
    </xf>
    <xf numFmtId="2" fontId="24" fillId="8" borderId="67" xfId="0" applyNumberFormat="1" applyFont="1" applyFill="1" applyBorder="1" applyAlignment="1">
      <alignment horizontal="center" vertical="center"/>
    </xf>
    <xf numFmtId="1" fontId="26" fillId="8" borderId="7" xfId="0" applyNumberFormat="1" applyFont="1" applyFill="1" applyBorder="1" applyAlignment="1">
      <alignment horizontal="center" vertical="center"/>
    </xf>
    <xf numFmtId="1" fontId="26" fillId="8" borderId="49" xfId="0" applyNumberFormat="1" applyFont="1" applyFill="1" applyBorder="1" applyAlignment="1">
      <alignment horizontal="center" vertical="center"/>
    </xf>
    <xf numFmtId="166" fontId="26" fillId="8" borderId="7" xfId="0" applyNumberFormat="1" applyFont="1" applyFill="1" applyBorder="1" applyAlignment="1">
      <alignment horizontal="center" vertical="center"/>
    </xf>
    <xf numFmtId="1" fontId="26" fillId="8" borderId="44" xfId="0" applyNumberFormat="1" applyFont="1" applyFill="1" applyBorder="1" applyAlignment="1">
      <alignment horizontal="center" vertical="center"/>
    </xf>
    <xf numFmtId="2" fontId="27" fillId="8" borderId="47" xfId="0" applyNumberFormat="1" applyFont="1" applyFill="1" applyBorder="1" applyAlignment="1">
      <alignment horizontal="center" vertical="center"/>
    </xf>
    <xf numFmtId="1" fontId="26" fillId="8" borderId="47" xfId="0" applyNumberFormat="1" applyFont="1" applyFill="1" applyBorder="1" applyAlignment="1">
      <alignment horizontal="center" vertical="center"/>
    </xf>
    <xf numFmtId="1" fontId="10" fillId="8" borderId="44" xfId="0" applyNumberFormat="1" applyFont="1" applyFill="1" applyBorder="1" applyAlignment="1">
      <alignment horizontal="center" vertical="center"/>
    </xf>
    <xf numFmtId="2" fontId="5" fillId="8" borderId="51" xfId="0" applyNumberFormat="1" applyFont="1" applyFill="1" applyBorder="1" applyAlignment="1">
      <alignment horizontal="center" vertical="center"/>
    </xf>
    <xf numFmtId="166" fontId="27" fillId="8" borderId="47" xfId="0" applyNumberFormat="1" applyFont="1" applyFill="1" applyBorder="1" applyAlignment="1">
      <alignment horizontal="center" vertical="center"/>
    </xf>
    <xf numFmtId="1" fontId="24" fillId="9" borderId="44" xfId="0" quotePrefix="1" applyNumberFormat="1" applyFont="1" applyFill="1" applyBorder="1" applyAlignment="1">
      <alignment horizontal="center" vertical="center"/>
    </xf>
    <xf numFmtId="166" fontId="24" fillId="8" borderId="70" xfId="0" quotePrefix="1" applyNumberFormat="1" applyFont="1" applyFill="1" applyBorder="1" applyAlignment="1">
      <alignment horizontal="center" vertical="center"/>
    </xf>
    <xf numFmtId="1" fontId="25" fillId="8" borderId="44" xfId="0" applyNumberFormat="1" applyFont="1" applyFill="1" applyBorder="1" applyAlignment="1">
      <alignment horizontal="center" vertical="center"/>
    </xf>
    <xf numFmtId="166" fontId="25" fillId="8" borderId="52" xfId="0" applyNumberFormat="1" applyFont="1" applyFill="1" applyBorder="1" applyAlignment="1">
      <alignment horizontal="center" vertical="center"/>
    </xf>
    <xf numFmtId="1" fontId="5" fillId="9" borderId="44" xfId="0" applyNumberFormat="1" applyFont="1" applyFill="1" applyBorder="1" applyAlignment="1">
      <alignment horizontal="center" vertical="center"/>
    </xf>
    <xf numFmtId="1" fontId="5" fillId="8" borderId="51" xfId="0" applyNumberFormat="1" applyFont="1" applyFill="1" applyBorder="1" applyAlignment="1">
      <alignment horizontal="center" vertical="center"/>
    </xf>
    <xf numFmtId="1" fontId="24" fillId="8" borderId="66" xfId="0" applyNumberFormat="1" applyFont="1" applyFill="1" applyBorder="1" applyAlignment="1">
      <alignment horizontal="center" vertical="center"/>
    </xf>
    <xf numFmtId="1" fontId="24" fillId="8" borderId="26" xfId="0" applyNumberFormat="1" applyFont="1" applyFill="1" applyBorder="1" applyAlignment="1">
      <alignment horizontal="center" vertical="center"/>
    </xf>
    <xf numFmtId="1" fontId="5" fillId="8" borderId="0" xfId="0" applyNumberFormat="1" applyFont="1" applyFill="1" applyBorder="1" applyAlignment="1">
      <alignment horizontal="center" vertical="center"/>
    </xf>
    <xf numFmtId="166" fontId="5" fillId="8" borderId="15" xfId="0" applyNumberFormat="1" applyFont="1" applyFill="1" applyBorder="1" applyAlignment="1">
      <alignment horizontal="center" vertical="center"/>
    </xf>
    <xf numFmtId="166" fontId="5" fillId="8" borderId="37" xfId="0" applyNumberFormat="1" applyFont="1" applyFill="1" applyBorder="1" applyAlignment="1">
      <alignment horizontal="center" vertical="center"/>
    </xf>
    <xf numFmtId="166" fontId="26" fillId="8" borderId="65" xfId="0" applyNumberFormat="1" applyFont="1" applyFill="1" applyBorder="1" applyAlignment="1">
      <alignment horizontal="center" vertical="center"/>
    </xf>
    <xf numFmtId="2" fontId="26" fillId="8" borderId="37" xfId="0" applyNumberFormat="1" applyFont="1" applyFill="1" applyBorder="1" applyAlignment="1">
      <alignment horizontal="center" vertical="center"/>
    </xf>
    <xf numFmtId="168" fontId="26" fillId="8" borderId="37" xfId="0" applyNumberFormat="1" applyFont="1" applyFill="1" applyBorder="1" applyAlignment="1">
      <alignment horizontal="center" vertical="center"/>
    </xf>
    <xf numFmtId="0" fontId="26" fillId="8" borderId="37" xfId="0" applyFont="1" applyFill="1" applyBorder="1" applyAlignment="1">
      <alignment horizontal="center" vertical="center"/>
    </xf>
    <xf numFmtId="2" fontId="26" fillId="8" borderId="51" xfId="0" applyNumberFormat="1" applyFont="1" applyFill="1" applyBorder="1" applyAlignment="1">
      <alignment horizontal="center" vertical="center"/>
    </xf>
    <xf numFmtId="1" fontId="5" fillId="8" borderId="52" xfId="0" applyNumberFormat="1" applyFont="1" applyFill="1" applyBorder="1" applyAlignment="1">
      <alignment horizontal="center" vertical="center"/>
    </xf>
    <xf numFmtId="0" fontId="3" fillId="0" borderId="61" xfId="0" applyFont="1" applyBorder="1"/>
    <xf numFmtId="0" fontId="39" fillId="0" borderId="47" xfId="0" applyFont="1" applyBorder="1" applyAlignment="1">
      <alignment vertical="center"/>
    </xf>
    <xf numFmtId="0" fontId="39" fillId="0" borderId="19" xfId="0" applyFont="1" applyBorder="1" applyAlignment="1">
      <alignment vertical="center"/>
    </xf>
    <xf numFmtId="0" fontId="5" fillId="9" borderId="19" xfId="0" applyFont="1" applyFill="1" applyBorder="1"/>
    <xf numFmtId="0" fontId="36" fillId="9" borderId="61" xfId="0" applyFont="1" applyFill="1" applyBorder="1"/>
    <xf numFmtId="1" fontId="24" fillId="0" borderId="21" xfId="0" applyNumberFormat="1" applyFont="1" applyBorder="1" applyAlignment="1">
      <alignment vertical="center"/>
    </xf>
    <xf numFmtId="0" fontId="36" fillId="0" borderId="61" xfId="0" applyFont="1" applyBorder="1"/>
    <xf numFmtId="0" fontId="3" fillId="0" borderId="135" xfId="0" applyFont="1" applyBorder="1"/>
    <xf numFmtId="0" fontId="5" fillId="0" borderId="19" xfId="0" applyFont="1" applyBorder="1" applyAlignment="1">
      <alignment vertical="center"/>
    </xf>
    <xf numFmtId="2" fontId="27" fillId="9" borderId="17" xfId="0" applyNumberFormat="1" applyFont="1" applyFill="1" applyBorder="1" applyAlignment="1">
      <alignment horizontal="center" vertical="center"/>
    </xf>
    <xf numFmtId="166" fontId="27" fillId="9" borderId="17" xfId="0" applyNumberFormat="1" applyFont="1" applyFill="1" applyBorder="1" applyAlignment="1">
      <alignment horizontal="center" vertical="center"/>
    </xf>
    <xf numFmtId="1" fontId="24" fillId="9" borderId="18" xfId="0" quotePrefix="1" applyNumberFormat="1" applyFont="1" applyFill="1" applyBorder="1" applyAlignment="1">
      <alignment horizontal="center" vertical="center"/>
    </xf>
    <xf numFmtId="166" fontId="24" fillId="9" borderId="58" xfId="0" quotePrefix="1" applyNumberFormat="1" applyFont="1" applyFill="1" applyBorder="1" applyAlignment="1">
      <alignment horizontal="center" vertical="center"/>
    </xf>
    <xf numFmtId="1" fontId="5" fillId="9" borderId="18" xfId="0" applyNumberFormat="1" applyFont="1" applyFill="1" applyBorder="1" applyAlignment="1">
      <alignment horizontal="center" vertical="center"/>
    </xf>
    <xf numFmtId="0" fontId="36" fillId="0" borderId="61" xfId="0" applyFont="1" applyBorder="1" applyAlignment="1">
      <alignment vertical="center"/>
    </xf>
    <xf numFmtId="1" fontId="24" fillId="0" borderId="28" xfId="0" applyNumberFormat="1" applyFont="1" applyBorder="1" applyAlignment="1">
      <alignment horizontal="center" vertical="center"/>
    </xf>
    <xf numFmtId="1" fontId="5" fillId="0" borderId="54" xfId="0" applyNumberFormat="1" applyFont="1" applyBorder="1" applyAlignment="1">
      <alignment horizontal="center" vertical="center"/>
    </xf>
    <xf numFmtId="0" fontId="49" fillId="0" borderId="61" xfId="0" applyFont="1" applyBorder="1" applyAlignment="1">
      <alignment vertical="center"/>
    </xf>
    <xf numFmtId="0" fontId="24" fillId="0" borderId="19" xfId="0" applyFont="1" applyBorder="1" applyAlignment="1">
      <alignment vertical="center"/>
    </xf>
    <xf numFmtId="166" fontId="26" fillId="0" borderId="53" xfId="0" applyNumberFormat="1" applyFont="1" applyBorder="1" applyAlignment="1">
      <alignment horizontal="center" vertical="center"/>
    </xf>
    <xf numFmtId="168" fontId="7" fillId="0" borderId="19" xfId="0" applyNumberFormat="1" applyFont="1" applyBorder="1" applyAlignment="1">
      <alignment vertical="center"/>
    </xf>
    <xf numFmtId="166" fontId="7" fillId="9" borderId="61" xfId="0" applyNumberFormat="1" applyFont="1" applyFill="1" applyBorder="1" applyAlignment="1">
      <alignment vertical="center"/>
    </xf>
    <xf numFmtId="0" fontId="36" fillId="9" borderId="19" xfId="0" applyFont="1" applyFill="1" applyBorder="1" applyAlignment="1">
      <alignment vertical="center"/>
    </xf>
    <xf numFmtId="0" fontId="3" fillId="0" borderId="137" xfId="0" applyFont="1" applyBorder="1"/>
    <xf numFmtId="166" fontId="26" fillId="0" borderId="27" xfId="0" applyNumberFormat="1" applyFont="1" applyBorder="1" applyAlignment="1">
      <alignment horizontal="center" vertical="center"/>
    </xf>
    <xf numFmtId="166" fontId="5" fillId="0" borderId="27" xfId="0" applyNumberFormat="1" applyFont="1" applyBorder="1" applyAlignment="1">
      <alignment horizontal="center" vertical="center"/>
    </xf>
    <xf numFmtId="0" fontId="27" fillId="6" borderId="26" xfId="0" applyFont="1" applyFill="1" applyBorder="1" applyAlignment="1">
      <alignment horizontal="center" vertical="center"/>
    </xf>
    <xf numFmtId="1" fontId="26" fillId="6" borderId="48" xfId="0" applyNumberFormat="1" applyFont="1" applyFill="1" applyBorder="1" applyAlignment="1">
      <alignment horizontal="center" vertical="center"/>
    </xf>
    <xf numFmtId="1" fontId="24" fillId="6" borderId="67" xfId="0" applyNumberFormat="1" applyFont="1" applyFill="1" applyBorder="1" applyAlignment="1">
      <alignment horizontal="center" vertical="center"/>
    </xf>
    <xf numFmtId="2" fontId="26" fillId="6" borderId="65" xfId="0" applyNumberFormat="1" applyFont="1" applyFill="1" applyBorder="1" applyAlignment="1">
      <alignment horizontal="center" vertical="center"/>
    </xf>
    <xf numFmtId="2" fontId="24" fillId="6" borderId="67" xfId="0" applyNumberFormat="1" applyFont="1" applyFill="1" applyBorder="1" applyAlignment="1">
      <alignment horizontal="center" vertical="center"/>
    </xf>
    <xf numFmtId="1" fontId="26" fillId="6" borderId="7" xfId="0" applyNumberFormat="1" applyFont="1" applyFill="1" applyBorder="1" applyAlignment="1">
      <alignment horizontal="center" vertical="center"/>
    </xf>
    <xf numFmtId="1" fontId="26" fillId="6" borderId="49" xfId="0" applyNumberFormat="1" applyFont="1" applyFill="1" applyBorder="1" applyAlignment="1">
      <alignment horizontal="center" vertical="center"/>
    </xf>
    <xf numFmtId="166" fontId="26" fillId="6" borderId="7" xfId="0" applyNumberFormat="1" applyFont="1" applyFill="1" applyBorder="1" applyAlignment="1">
      <alignment horizontal="center" vertical="center"/>
    </xf>
    <xf numFmtId="1" fontId="26" fillId="6" borderId="44" xfId="0" applyNumberFormat="1" applyFont="1" applyFill="1" applyBorder="1" applyAlignment="1">
      <alignment horizontal="center" vertical="center"/>
    </xf>
    <xf numFmtId="2" fontId="27" fillId="6" borderId="47" xfId="0" applyNumberFormat="1" applyFont="1" applyFill="1" applyBorder="1" applyAlignment="1">
      <alignment horizontal="center" vertical="center"/>
    </xf>
    <xf numFmtId="1" fontId="26" fillId="6" borderId="47" xfId="0" applyNumberFormat="1" applyFont="1" applyFill="1" applyBorder="1" applyAlignment="1">
      <alignment horizontal="center" vertical="center"/>
    </xf>
    <xf numFmtId="1" fontId="10" fillId="6" borderId="44" xfId="0" applyNumberFormat="1" applyFont="1" applyFill="1" applyBorder="1" applyAlignment="1">
      <alignment horizontal="center" vertical="center"/>
    </xf>
    <xf numFmtId="2" fontId="5" fillId="6" borderId="51" xfId="0" applyNumberFormat="1" applyFont="1" applyFill="1" applyBorder="1" applyAlignment="1">
      <alignment horizontal="center" vertical="center"/>
    </xf>
    <xf numFmtId="166" fontId="27" fillId="6" borderId="47" xfId="0" applyNumberFormat="1" applyFont="1" applyFill="1" applyBorder="1" applyAlignment="1">
      <alignment horizontal="center" vertical="center"/>
    </xf>
    <xf numFmtId="166" fontId="24" fillId="6" borderId="70" xfId="0" quotePrefix="1" applyNumberFormat="1" applyFont="1" applyFill="1" applyBorder="1" applyAlignment="1">
      <alignment horizontal="center" vertical="center"/>
    </xf>
    <xf numFmtId="1" fontId="25" fillId="6" borderId="44" xfId="0" applyNumberFormat="1" applyFont="1" applyFill="1" applyBorder="1" applyAlignment="1">
      <alignment horizontal="center" vertical="center"/>
    </xf>
    <xf numFmtId="166" fontId="25" fillId="6" borderId="52" xfId="0" applyNumberFormat="1" applyFont="1" applyFill="1" applyBorder="1" applyAlignment="1">
      <alignment horizontal="center" vertical="center"/>
    </xf>
    <xf numFmtId="1" fontId="5" fillId="6" borderId="51" xfId="0" applyNumberFormat="1" applyFont="1" applyFill="1" applyBorder="1" applyAlignment="1">
      <alignment horizontal="center" vertical="center"/>
    </xf>
    <xf numFmtId="1" fontId="24" fillId="6" borderId="66" xfId="0" applyNumberFormat="1" applyFont="1" applyFill="1" applyBorder="1" applyAlignment="1">
      <alignment horizontal="center" vertical="center"/>
    </xf>
    <xf numFmtId="1" fontId="24" fillId="6" borderId="26" xfId="0" applyNumberFormat="1" applyFont="1" applyFill="1" applyBorder="1" applyAlignment="1">
      <alignment horizontal="center" vertical="center"/>
    </xf>
    <xf numFmtId="1" fontId="5" fillId="6" borderId="0" xfId="0" applyNumberFormat="1" applyFont="1" applyFill="1" applyBorder="1" applyAlignment="1">
      <alignment horizontal="center" vertical="center"/>
    </xf>
    <xf numFmtId="166" fontId="5" fillId="6" borderId="15" xfId="0" applyNumberFormat="1" applyFont="1" applyFill="1" applyBorder="1" applyAlignment="1">
      <alignment horizontal="center" vertical="center"/>
    </xf>
    <xf numFmtId="166" fontId="5" fillId="6" borderId="37" xfId="0" applyNumberFormat="1" applyFont="1" applyFill="1" applyBorder="1" applyAlignment="1">
      <alignment horizontal="center" vertical="center"/>
    </xf>
    <xf numFmtId="166" fontId="26" fillId="6" borderId="65" xfId="0" applyNumberFormat="1" applyFont="1" applyFill="1" applyBorder="1" applyAlignment="1">
      <alignment horizontal="center" vertical="center"/>
    </xf>
    <xf numFmtId="0" fontId="26" fillId="6" borderId="37" xfId="0" applyFont="1" applyFill="1" applyBorder="1" applyAlignment="1">
      <alignment horizontal="center" vertical="center"/>
    </xf>
    <xf numFmtId="2" fontId="26" fillId="6" borderId="51" xfId="0" applyNumberFormat="1" applyFont="1" applyFill="1" applyBorder="1" applyAlignment="1">
      <alignment horizontal="center" vertical="center"/>
    </xf>
    <xf numFmtId="1" fontId="5" fillId="6" borderId="52" xfId="0" applyNumberFormat="1" applyFont="1" applyFill="1" applyBorder="1" applyAlignment="1">
      <alignment horizontal="center" vertical="center"/>
    </xf>
    <xf numFmtId="9" fontId="29" fillId="6" borderId="10" xfId="22" applyFont="1" applyFill="1" applyBorder="1" applyAlignment="1">
      <alignment horizontal="center"/>
    </xf>
    <xf numFmtId="1" fontId="45" fillId="7" borderId="10" xfId="0" applyNumberFormat="1" applyFont="1" applyFill="1" applyBorder="1" applyAlignment="1">
      <alignment horizontal="center"/>
    </xf>
    <xf numFmtId="9" fontId="29" fillId="7" borderId="10" xfId="22" applyFont="1" applyFill="1" applyBorder="1" applyAlignment="1">
      <alignment horizontal="center"/>
    </xf>
    <xf numFmtId="0" fontId="27" fillId="46" borderId="28" xfId="0" applyFont="1" applyFill="1" applyBorder="1" applyAlignment="1">
      <alignment horizontal="center" vertical="center"/>
    </xf>
    <xf numFmtId="1" fontId="24" fillId="46" borderId="53" xfId="0" applyNumberFormat="1" applyFont="1" applyFill="1" applyBorder="1" applyAlignment="1">
      <alignment horizontal="center" vertical="center"/>
    </xf>
    <xf numFmtId="1" fontId="26" fillId="46" borderId="10" xfId="0" applyNumberFormat="1" applyFont="1" applyFill="1" applyBorder="1" applyAlignment="1">
      <alignment horizontal="center" vertical="center"/>
    </xf>
    <xf numFmtId="1" fontId="26" fillId="46" borderId="31" xfId="0" applyNumberFormat="1" applyFont="1" applyFill="1" applyBorder="1" applyAlignment="1">
      <alignment horizontal="center" vertical="center"/>
    </xf>
    <xf numFmtId="166" fontId="26" fillId="46" borderId="31" xfId="0" applyNumberFormat="1" applyFont="1" applyFill="1" applyBorder="1" applyAlignment="1">
      <alignment horizontal="center" vertical="center"/>
    </xf>
    <xf numFmtId="166" fontId="26" fillId="46" borderId="19" xfId="0" applyNumberFormat="1" applyFont="1" applyFill="1" applyBorder="1" applyAlignment="1">
      <alignment horizontal="center" vertical="center"/>
    </xf>
    <xf numFmtId="168" fontId="26" fillId="46" borderId="31" xfId="0" applyNumberFormat="1" applyFont="1" applyFill="1" applyBorder="1" applyAlignment="1">
      <alignment horizontal="center" vertical="center"/>
    </xf>
    <xf numFmtId="2" fontId="26" fillId="46" borderId="31" xfId="0" applyNumberFormat="1" applyFont="1" applyFill="1" applyBorder="1" applyAlignment="1">
      <alignment horizontal="center" vertical="center"/>
    </xf>
    <xf numFmtId="166" fontId="26" fillId="46" borderId="27" xfId="0" applyNumberFormat="1" applyFont="1" applyFill="1" applyBorder="1" applyAlignment="1">
      <alignment horizontal="center" vertical="center"/>
    </xf>
    <xf numFmtId="1" fontId="54" fillId="46" borderId="10" xfId="0" applyNumberFormat="1" applyFont="1" applyFill="1" applyBorder="1" applyAlignment="1">
      <alignment horizontal="center" vertical="center"/>
    </xf>
    <xf numFmtId="9" fontId="54" fillId="46" borderId="10" xfId="22" applyFont="1" applyFill="1" applyBorder="1" applyAlignment="1">
      <alignment horizontal="center" vertical="center"/>
    </xf>
    <xf numFmtId="1" fontId="97" fillId="0" borderId="37" xfId="186" applyNumberFormat="1" applyFont="1" applyFill="1" applyBorder="1" applyAlignment="1">
      <alignment horizontal="center" vertical="center"/>
    </xf>
    <xf numFmtId="0" fontId="96" fillId="9" borderId="70" xfId="186" applyFont="1" applyFill="1" applyBorder="1" applyAlignment="1">
      <alignment horizontal="left" vertical="center"/>
    </xf>
    <xf numFmtId="1" fontId="96" fillId="9" borderId="64" xfId="186" applyNumberFormat="1" applyFont="1" applyFill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6" borderId="1" xfId="0" applyFont="1" applyFill="1" applyBorder="1" applyAlignment="1">
      <alignment horizontal="center" vertical="center"/>
    </xf>
    <xf numFmtId="0" fontId="27" fillId="6" borderId="4" xfId="0" applyFont="1" applyFill="1" applyBorder="1" applyAlignment="1">
      <alignment horizontal="center" vertical="center"/>
    </xf>
    <xf numFmtId="0" fontId="27" fillId="8" borderId="4" xfId="0" applyFont="1" applyFill="1" applyBorder="1" applyAlignment="1">
      <alignment horizontal="center" vertical="center"/>
    </xf>
    <xf numFmtId="1" fontId="26" fillId="0" borderId="45" xfId="0" applyNumberFormat="1" applyFont="1" applyBorder="1" applyAlignment="1">
      <alignment horizontal="center" vertical="center"/>
    </xf>
    <xf numFmtId="1" fontId="26" fillId="0" borderId="30" xfId="0" applyNumberFormat="1" applyFont="1" applyBorder="1" applyAlignment="1">
      <alignment horizontal="center" vertical="center"/>
    </xf>
    <xf numFmtId="0" fontId="27" fillId="7" borderId="4" xfId="0" applyFont="1" applyFill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8" borderId="4" xfId="0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center" vertical="center"/>
    </xf>
    <xf numFmtId="0" fontId="27" fillId="6" borderId="1" xfId="0" applyFont="1" applyFill="1" applyBorder="1" applyAlignment="1">
      <alignment horizontal="center" vertical="center"/>
    </xf>
    <xf numFmtId="0" fontId="27" fillId="6" borderId="4" xfId="0" applyFont="1" applyFill="1" applyBorder="1" applyAlignment="1">
      <alignment horizontal="center" vertical="center"/>
    </xf>
    <xf numFmtId="0" fontId="5" fillId="0" borderId="76" xfId="0" applyFont="1" applyBorder="1" applyAlignment="1">
      <alignment horizontal="left" vertical="center"/>
    </xf>
    <xf numFmtId="0" fontId="5" fillId="0" borderId="25" xfId="0" applyFont="1" applyBorder="1" applyAlignment="1">
      <alignment horizontal="center" vertical="center"/>
    </xf>
    <xf numFmtId="0" fontId="5" fillId="8" borderId="25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5" fillId="7" borderId="25" xfId="0" applyFont="1" applyFill="1" applyBorder="1" applyAlignment="1">
      <alignment horizontal="center" vertical="center"/>
    </xf>
    <xf numFmtId="0" fontId="24" fillId="0" borderId="64" xfId="0" applyFont="1" applyBorder="1" applyAlignment="1">
      <alignment horizontal="center" vertical="center"/>
    </xf>
    <xf numFmtId="0" fontId="27" fillId="7" borderId="4" xfId="0" applyFont="1" applyFill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7" fillId="8" borderId="10" xfId="0" applyFont="1" applyFill="1" applyBorder="1" applyAlignment="1">
      <alignment horizontal="center" vertical="center"/>
    </xf>
    <xf numFmtId="0" fontId="27" fillId="6" borderId="10" xfId="0" applyFont="1" applyFill="1" applyBorder="1" applyAlignment="1">
      <alignment horizontal="center" vertical="center"/>
    </xf>
    <xf numFmtId="2" fontId="26" fillId="0" borderId="30" xfId="0" applyNumberFormat="1" applyFont="1" applyBorder="1" applyAlignment="1">
      <alignment horizontal="center" vertical="center"/>
    </xf>
    <xf numFmtId="0" fontId="26" fillId="0" borderId="31" xfId="0" applyFont="1" applyBorder="1" applyAlignment="1">
      <alignment horizontal="left" vertical="center"/>
    </xf>
    <xf numFmtId="171" fontId="26" fillId="9" borderId="71" xfId="22" applyNumberFormat="1" applyFont="1" applyFill="1" applyBorder="1" applyAlignment="1">
      <alignment horizontal="center" vertical="center"/>
    </xf>
    <xf numFmtId="9" fontId="26" fillId="9" borderId="71" xfId="22" applyFont="1" applyFill="1" applyBorder="1" applyAlignment="1">
      <alignment horizontal="center" vertical="center"/>
    </xf>
    <xf numFmtId="1" fontId="26" fillId="9" borderId="36" xfId="0" applyNumberFormat="1" applyFont="1" applyFill="1" applyBorder="1" applyAlignment="1">
      <alignment horizontal="center" vertical="center"/>
    </xf>
    <xf numFmtId="0" fontId="26" fillId="9" borderId="36" xfId="0" applyFont="1" applyFill="1" applyBorder="1" applyAlignment="1">
      <alignment horizontal="center" vertical="center"/>
    </xf>
    <xf numFmtId="1" fontId="26" fillId="7" borderId="8" xfId="0" applyNumberFormat="1" applyFont="1" applyFill="1" applyBorder="1" applyAlignment="1">
      <alignment horizontal="center" vertical="center"/>
    </xf>
    <xf numFmtId="1" fontId="24" fillId="9" borderId="4" xfId="0" applyNumberFormat="1" applyFont="1" applyFill="1" applyBorder="1" applyAlignment="1">
      <alignment horizontal="center" vertical="center"/>
    </xf>
    <xf numFmtId="1" fontId="26" fillId="8" borderId="63" xfId="0" applyNumberFormat="1" applyFont="1" applyFill="1" applyBorder="1" applyAlignment="1">
      <alignment horizontal="center" vertical="center"/>
    </xf>
    <xf numFmtId="1" fontId="26" fillId="6" borderId="63" xfId="0" applyNumberFormat="1" applyFont="1" applyFill="1" applyBorder="1" applyAlignment="1">
      <alignment horizontal="center" vertical="center"/>
    </xf>
    <xf numFmtId="1" fontId="26" fillId="7" borderId="63" xfId="0" applyNumberFormat="1" applyFont="1" applyFill="1" applyBorder="1" applyAlignment="1">
      <alignment horizontal="center" vertical="center"/>
    </xf>
    <xf numFmtId="1" fontId="26" fillId="9" borderId="62" xfId="0" applyNumberFormat="1" applyFont="1" applyFill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/>
    </xf>
    <xf numFmtId="1" fontId="5" fillId="6" borderId="1" xfId="0" applyNumberFormat="1" applyFont="1" applyFill="1" applyBorder="1" applyAlignment="1">
      <alignment horizontal="center" vertical="center"/>
    </xf>
    <xf numFmtId="1" fontId="5" fillId="7" borderId="1" xfId="0" applyNumberFormat="1" applyFont="1" applyFill="1" applyBorder="1" applyAlignment="1">
      <alignment horizontal="center" vertical="center"/>
    </xf>
    <xf numFmtId="1" fontId="26" fillId="8" borderId="3" xfId="0" applyNumberFormat="1" applyFont="1" applyFill="1" applyBorder="1" applyAlignment="1">
      <alignment horizontal="center" vertical="center"/>
    </xf>
    <xf numFmtId="1" fontId="26" fillId="6" borderId="3" xfId="0" applyNumberFormat="1" applyFont="1" applyFill="1" applyBorder="1" applyAlignment="1">
      <alignment horizontal="center" vertical="center"/>
    </xf>
    <xf numFmtId="0" fontId="24" fillId="9" borderId="0" xfId="0" applyFont="1" applyFill="1" applyBorder="1" applyAlignment="1">
      <alignment vertical="center"/>
    </xf>
    <xf numFmtId="1" fontId="26" fillId="8" borderId="34" xfId="0" applyNumberFormat="1" applyFont="1" applyFill="1" applyBorder="1" applyAlignment="1">
      <alignment horizontal="center" vertical="center"/>
    </xf>
    <xf numFmtId="1" fontId="5" fillId="9" borderId="32" xfId="0" applyNumberFormat="1" applyFont="1" applyFill="1" applyBorder="1" applyAlignment="1">
      <alignment horizontal="center" vertical="center"/>
    </xf>
    <xf numFmtId="1" fontId="5" fillId="9" borderId="59" xfId="0" applyNumberFormat="1" applyFont="1" applyFill="1" applyBorder="1" applyAlignment="1">
      <alignment horizontal="center" vertical="center"/>
    </xf>
    <xf numFmtId="1" fontId="26" fillId="6" borderId="32" xfId="0" applyNumberFormat="1" applyFont="1" applyFill="1" applyBorder="1" applyAlignment="1">
      <alignment horizontal="center" vertical="center"/>
    </xf>
    <xf numFmtId="1" fontId="26" fillId="9" borderId="32" xfId="0" applyNumberFormat="1" applyFont="1" applyFill="1" applyBorder="1" applyAlignment="1">
      <alignment horizontal="center" vertical="center"/>
    </xf>
    <xf numFmtId="1" fontId="26" fillId="8" borderId="59" xfId="0" applyNumberFormat="1" applyFont="1" applyFill="1" applyBorder="1" applyAlignment="1">
      <alignment horizontal="center" vertical="center"/>
    </xf>
    <xf numFmtId="1" fontId="26" fillId="8" borderId="32" xfId="0" applyNumberFormat="1" applyFont="1" applyFill="1" applyBorder="1" applyAlignment="1">
      <alignment horizontal="center" vertical="center"/>
    </xf>
    <xf numFmtId="1" fontId="26" fillId="7" borderId="32" xfId="0" applyNumberFormat="1" applyFont="1" applyFill="1" applyBorder="1" applyAlignment="1">
      <alignment horizontal="center" vertical="center"/>
    </xf>
    <xf numFmtId="0" fontId="108" fillId="0" borderId="0" xfId="0" applyFont="1" applyAlignment="1"/>
    <xf numFmtId="0" fontId="26" fillId="0" borderId="0" xfId="0" applyFont="1" applyAlignment="1">
      <alignment horizontal="left" wrapText="1"/>
    </xf>
    <xf numFmtId="1" fontId="54" fillId="9" borderId="0" xfId="0" applyNumberFormat="1" applyFont="1" applyFill="1"/>
    <xf numFmtId="0" fontId="153" fillId="9" borderId="0" xfId="0" applyFont="1" applyFill="1" applyAlignment="1">
      <alignment horizontal="left" vertical="center" wrapText="1"/>
    </xf>
    <xf numFmtId="1" fontId="27" fillId="8" borderId="9" xfId="0" applyNumberFormat="1" applyFont="1" applyFill="1" applyBorder="1" applyAlignment="1">
      <alignment vertical="center"/>
    </xf>
    <xf numFmtId="1" fontId="26" fillId="0" borderId="62" xfId="0" applyNumberFormat="1" applyFont="1" applyBorder="1" applyAlignment="1">
      <alignment horizontal="center" vertical="center"/>
    </xf>
    <xf numFmtId="1" fontId="24" fillId="8" borderId="4" xfId="0" applyNumberFormat="1" applyFont="1" applyFill="1" applyBorder="1" applyAlignment="1">
      <alignment horizontal="center" vertical="center"/>
    </xf>
    <xf numFmtId="1" fontId="24" fillId="6" borderId="4" xfId="0" applyNumberFormat="1" applyFont="1" applyFill="1" applyBorder="1" applyAlignment="1">
      <alignment horizontal="center" vertical="center"/>
    </xf>
    <xf numFmtId="1" fontId="24" fillId="7" borderId="4" xfId="0" applyNumberFormat="1" applyFont="1" applyFill="1" applyBorder="1" applyAlignment="1">
      <alignment horizontal="center" vertical="center"/>
    </xf>
    <xf numFmtId="1" fontId="27" fillId="0" borderId="62" xfId="0" applyNumberFormat="1" applyFont="1" applyBorder="1" applyAlignment="1"/>
    <xf numFmtId="1" fontId="27" fillId="8" borderId="62" xfId="0" applyNumberFormat="1" applyFont="1" applyFill="1" applyBorder="1" applyAlignment="1"/>
    <xf numFmtId="1" fontId="27" fillId="9" borderId="62" xfId="0" applyNumberFormat="1" applyFont="1" applyFill="1" applyBorder="1" applyAlignment="1"/>
    <xf numFmtId="1" fontId="27" fillId="6" borderId="62" xfId="0" applyNumberFormat="1" applyFont="1" applyFill="1" applyBorder="1" applyAlignment="1"/>
    <xf numFmtId="1" fontId="27" fillId="7" borderId="62" xfId="0" applyNumberFormat="1" applyFont="1" applyFill="1" applyBorder="1" applyAlignment="1"/>
    <xf numFmtId="1" fontId="27" fillId="0" borderId="74" xfId="0" applyNumberFormat="1" applyFont="1" applyBorder="1" applyAlignment="1"/>
    <xf numFmtId="1" fontId="27" fillId="8" borderId="74" xfId="0" applyNumberFormat="1" applyFont="1" applyFill="1" applyBorder="1" applyAlignment="1"/>
    <xf numFmtId="1" fontId="27" fillId="9" borderId="74" xfId="0" applyNumberFormat="1" applyFont="1" applyFill="1" applyBorder="1" applyAlignment="1"/>
    <xf numFmtId="1" fontId="27" fillId="6" borderId="74" xfId="0" applyNumberFormat="1" applyFont="1" applyFill="1" applyBorder="1" applyAlignment="1"/>
    <xf numFmtId="1" fontId="27" fillId="7" borderId="74" xfId="0" applyNumberFormat="1" applyFont="1" applyFill="1" applyBorder="1" applyAlignment="1"/>
    <xf numFmtId="1" fontId="27" fillId="8" borderId="13" xfId="0" applyNumberFormat="1" applyFont="1" applyFill="1" applyBorder="1" applyAlignment="1">
      <alignment horizontal="center" vertical="center"/>
    </xf>
    <xf numFmtId="1" fontId="27" fillId="6" borderId="13" xfId="0" applyNumberFormat="1" applyFont="1" applyFill="1" applyBorder="1" applyAlignment="1">
      <alignment horizontal="center" vertical="center"/>
    </xf>
    <xf numFmtId="1" fontId="27" fillId="7" borderId="13" xfId="0" applyNumberFormat="1" applyFont="1" applyFill="1" applyBorder="1" applyAlignment="1">
      <alignment horizontal="center" vertical="center"/>
    </xf>
    <xf numFmtId="1" fontId="26" fillId="9" borderId="61" xfId="0" applyNumberFormat="1" applyFont="1" applyFill="1" applyBorder="1" applyAlignment="1">
      <alignment horizontal="center" vertical="center"/>
    </xf>
    <xf numFmtId="0" fontId="26" fillId="0" borderId="33" xfId="0" applyFont="1" applyBorder="1" applyAlignment="1">
      <alignment horizontal="center" vertical="center"/>
    </xf>
    <xf numFmtId="1" fontId="26" fillId="9" borderId="28" xfId="0" applyNumberFormat="1" applyFont="1" applyFill="1" applyBorder="1" applyAlignment="1">
      <alignment horizontal="center" vertical="center"/>
    </xf>
    <xf numFmtId="166" fontId="27" fillId="9" borderId="29" xfId="0" applyNumberFormat="1" applyFont="1" applyFill="1" applyBorder="1" applyAlignment="1">
      <alignment horizontal="center" vertical="center"/>
    </xf>
    <xf numFmtId="1" fontId="27" fillId="0" borderId="29" xfId="0" applyNumberFormat="1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36" xfId="0" applyFont="1" applyBorder="1" applyAlignment="1">
      <alignment horizontal="center" vertical="center"/>
    </xf>
    <xf numFmtId="0" fontId="24" fillId="0" borderId="1" xfId="0" applyFont="1" applyBorder="1" applyAlignment="1">
      <alignment horizontal="left" vertical="center"/>
    </xf>
    <xf numFmtId="0" fontId="24" fillId="0" borderId="53" xfId="0" applyFont="1" applyBorder="1" applyAlignment="1">
      <alignment horizontal="center" vertical="center"/>
    </xf>
    <xf numFmtId="0" fontId="24" fillId="9" borderId="11" xfId="0" applyFont="1" applyFill="1" applyBorder="1" applyAlignment="1">
      <alignment horizontal="center" vertical="center"/>
    </xf>
    <xf numFmtId="2" fontId="26" fillId="9" borderId="34" xfId="0" applyNumberFormat="1" applyFont="1" applyFill="1" applyBorder="1" applyAlignment="1">
      <alignment horizontal="center" vertical="center"/>
    </xf>
    <xf numFmtId="2" fontId="26" fillId="9" borderId="8" xfId="0" applyNumberFormat="1" applyFont="1" applyFill="1" applyBorder="1" applyAlignment="1">
      <alignment horizontal="center" vertical="center"/>
    </xf>
    <xf numFmtId="0" fontId="26" fillId="0" borderId="31" xfId="0" applyFont="1" applyBorder="1"/>
    <xf numFmtId="2" fontId="26" fillId="8" borderId="29" xfId="0" applyNumberFormat="1" applyFont="1" applyFill="1" applyBorder="1" applyAlignment="1">
      <alignment horizontal="center" vertical="center"/>
    </xf>
    <xf numFmtId="0" fontId="26" fillId="0" borderId="32" xfId="0" applyFont="1" applyBorder="1" applyAlignment="1">
      <alignment horizontal="left" vertical="center"/>
    </xf>
    <xf numFmtId="0" fontId="5" fillId="0" borderId="86" xfId="0" applyFont="1" applyBorder="1" applyAlignment="1">
      <alignment horizontal="center" vertical="center"/>
    </xf>
    <xf numFmtId="0" fontId="5" fillId="9" borderId="18" xfId="0" applyFont="1" applyFill="1" applyBorder="1" applyAlignment="1">
      <alignment vertical="center"/>
    </xf>
    <xf numFmtId="0" fontId="7" fillId="9" borderId="12" xfId="0" applyFont="1" applyFill="1" applyBorder="1" applyAlignment="1">
      <alignment vertical="center"/>
    </xf>
    <xf numFmtId="0" fontId="10" fillId="0" borderId="37" xfId="0" applyFont="1" applyBorder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1" fontId="5" fillId="8" borderId="31" xfId="0" applyNumberFormat="1" applyFont="1" applyFill="1" applyBorder="1" applyAlignment="1">
      <alignment horizontal="center" vertical="center"/>
    </xf>
    <xf numFmtId="1" fontId="5" fillId="6" borderId="31" xfId="0" applyNumberFormat="1" applyFont="1" applyFill="1" applyBorder="1" applyAlignment="1">
      <alignment horizontal="center" vertical="center"/>
    </xf>
    <xf numFmtId="1" fontId="5" fillId="7" borderId="31" xfId="0" applyNumberFormat="1" applyFont="1" applyFill="1" applyBorder="1" applyAlignment="1">
      <alignment horizontal="center" vertical="center"/>
    </xf>
    <xf numFmtId="0" fontId="10" fillId="0" borderId="65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7" fillId="9" borderId="18" xfId="0" applyFont="1" applyFill="1" applyBorder="1" applyAlignment="1">
      <alignment vertical="center"/>
    </xf>
    <xf numFmtId="0" fontId="7" fillId="9" borderId="44" xfId="0" applyFont="1" applyFill="1" applyBorder="1"/>
    <xf numFmtId="1" fontId="5" fillId="0" borderId="1" xfId="0" applyNumberFormat="1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1" fontId="5" fillId="0" borderId="29" xfId="0" applyNumberFormat="1" applyFont="1" applyBorder="1" applyAlignment="1">
      <alignment horizontal="center" vertical="center"/>
    </xf>
    <xf numFmtId="1" fontId="5" fillId="9" borderId="31" xfId="0" applyNumberFormat="1" applyFont="1" applyFill="1" applyBorder="1" applyAlignment="1">
      <alignment horizontal="center" vertical="center"/>
    </xf>
    <xf numFmtId="1" fontId="5" fillId="9" borderId="62" xfId="0" applyNumberFormat="1" applyFont="1" applyFill="1" applyBorder="1" applyAlignment="1">
      <alignment horizontal="center"/>
    </xf>
    <xf numFmtId="0" fontId="10" fillId="0" borderId="22" xfId="0" applyFont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" fontId="5" fillId="0" borderId="31" xfId="0" applyNumberFormat="1" applyFont="1" applyBorder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62" xfId="0" applyFont="1" applyBorder="1" applyAlignment="1">
      <alignment horizontal="right" vertical="center"/>
    </xf>
    <xf numFmtId="0" fontId="5" fillId="0" borderId="65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1" fontId="10" fillId="0" borderId="8" xfId="0" applyNumberFormat="1" applyFont="1" applyBorder="1" applyAlignment="1">
      <alignment horizontal="center" vertical="center"/>
    </xf>
    <xf numFmtId="1" fontId="10" fillId="0" borderId="34" xfId="0" applyNumberFormat="1" applyFont="1" applyBorder="1" applyAlignment="1">
      <alignment horizontal="center" vertical="center"/>
    </xf>
    <xf numFmtId="1" fontId="10" fillId="0" borderId="31" xfId="0" applyNumberFormat="1" applyFont="1" applyBorder="1" applyAlignment="1">
      <alignment horizontal="center" vertical="center"/>
    </xf>
    <xf numFmtId="1" fontId="10" fillId="0" borderId="60" xfId="0" applyNumberFormat="1" applyFont="1" applyBorder="1" applyAlignment="1">
      <alignment horizontal="center" vertical="center"/>
    </xf>
    <xf numFmtId="1" fontId="5" fillId="0" borderId="16" xfId="0" applyNumberFormat="1" applyFont="1" applyBorder="1" applyAlignment="1">
      <alignment horizontal="center" vertical="center"/>
    </xf>
    <xf numFmtId="1" fontId="5" fillId="0" borderId="40" xfId="0" applyNumberFormat="1" applyFont="1" applyBorder="1" applyAlignment="1">
      <alignment horizontal="center" vertical="center"/>
    </xf>
    <xf numFmtId="1" fontId="5" fillId="0" borderId="38" xfId="0" applyNumberFormat="1" applyFont="1" applyBorder="1" applyAlignment="1">
      <alignment vertical="center"/>
    </xf>
    <xf numFmtId="1" fontId="5" fillId="0" borderId="9" xfId="0" applyNumberFormat="1" applyFont="1" applyBorder="1" applyAlignment="1">
      <alignment vertical="center"/>
    </xf>
    <xf numFmtId="0" fontId="5" fillId="8" borderId="9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0" fontId="7" fillId="9" borderId="44" xfId="0" applyFont="1" applyFill="1" applyBorder="1" applyAlignment="1">
      <alignment horizontal="left" vertical="center" wrapText="1"/>
    </xf>
    <xf numFmtId="0" fontId="7" fillId="9" borderId="22" xfId="0" applyFont="1" applyFill="1" applyBorder="1" applyAlignment="1">
      <alignment vertical="center"/>
    </xf>
    <xf numFmtId="0" fontId="10" fillId="0" borderId="31" xfId="0" quotePrefix="1" applyFont="1" applyBorder="1" applyAlignment="1">
      <alignment horizontal="left" vertical="center" wrapText="1"/>
    </xf>
    <xf numFmtId="0" fontId="10" fillId="0" borderId="37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1" fontId="10" fillId="0" borderId="29" xfId="0" applyNumberFormat="1" applyFont="1" applyBorder="1" applyAlignment="1">
      <alignment vertical="center"/>
    </xf>
    <xf numFmtId="1" fontId="10" fillId="0" borderId="10" xfId="0" applyNumberFormat="1" applyFont="1" applyBorder="1" applyAlignment="1">
      <alignment vertical="center"/>
    </xf>
    <xf numFmtId="0" fontId="10" fillId="9" borderId="31" xfId="0" quotePrefix="1" applyFont="1" applyFill="1" applyBorder="1" applyAlignment="1">
      <alignment horizontal="left" vertical="center" wrapText="1"/>
    </xf>
    <xf numFmtId="0" fontId="10" fillId="9" borderId="37" xfId="0" applyFont="1" applyFill="1" applyBorder="1" applyAlignment="1">
      <alignment horizontal="left" vertical="center"/>
    </xf>
    <xf numFmtId="0" fontId="10" fillId="9" borderId="12" xfId="0" applyFont="1" applyFill="1" applyBorder="1" applyAlignment="1">
      <alignment horizontal="left" vertical="center"/>
    </xf>
    <xf numFmtId="41" fontId="10" fillId="9" borderId="31" xfId="0" quotePrefix="1" applyNumberFormat="1" applyFont="1" applyFill="1" applyBorder="1" applyAlignment="1">
      <alignment horizontal="left" vertical="center" wrapText="1"/>
    </xf>
    <xf numFmtId="41" fontId="10" fillId="0" borderId="31" xfId="0" quotePrefix="1" applyNumberFormat="1" applyFont="1" applyBorder="1" applyAlignment="1">
      <alignment horizontal="left" vertical="center" wrapText="1"/>
    </xf>
    <xf numFmtId="1" fontId="10" fillId="9" borderId="10" xfId="0" applyNumberFormat="1" applyFont="1" applyFill="1" applyBorder="1" applyAlignment="1">
      <alignment vertical="center"/>
    </xf>
    <xf numFmtId="0" fontId="10" fillId="9" borderId="65" xfId="0" applyFont="1" applyFill="1" applyBorder="1" applyAlignment="1">
      <alignment horizontal="left" vertical="center"/>
    </xf>
    <xf numFmtId="0" fontId="10" fillId="9" borderId="60" xfId="0" applyFont="1" applyFill="1" applyBorder="1" applyAlignment="1">
      <alignment horizontal="left" vertical="center"/>
    </xf>
    <xf numFmtId="1" fontId="10" fillId="0" borderId="36" xfId="0" applyNumberFormat="1" applyFont="1" applyBorder="1" applyAlignment="1">
      <alignment vertical="center"/>
    </xf>
    <xf numFmtId="1" fontId="10" fillId="9" borderId="45" xfId="0" applyNumberFormat="1" applyFont="1" applyFill="1" applyBorder="1" applyAlignment="1">
      <alignment vertical="center"/>
    </xf>
    <xf numFmtId="1" fontId="10" fillId="0" borderId="45" xfId="0" applyNumberFormat="1" applyFont="1" applyBorder="1" applyAlignment="1">
      <alignment vertical="center"/>
    </xf>
    <xf numFmtId="41" fontId="10" fillId="9" borderId="74" xfId="0" quotePrefix="1" applyNumberFormat="1" applyFont="1" applyFill="1" applyBorder="1" applyAlignment="1">
      <alignment horizontal="left" vertical="center" wrapText="1"/>
    </xf>
    <xf numFmtId="0" fontId="10" fillId="9" borderId="65" xfId="0" applyFont="1" applyFill="1" applyBorder="1" applyAlignment="1">
      <alignment horizontal="center" vertical="center"/>
    </xf>
    <xf numFmtId="0" fontId="10" fillId="9" borderId="60" xfId="0" applyFont="1" applyFill="1" applyBorder="1" applyAlignment="1">
      <alignment horizontal="center" vertical="center"/>
    </xf>
    <xf numFmtId="41" fontId="5" fillId="9" borderId="1" xfId="0" applyNumberFormat="1" applyFont="1" applyFill="1" applyBorder="1" applyAlignment="1">
      <alignment horizontal="left" vertical="center"/>
    </xf>
    <xf numFmtId="0" fontId="5" fillId="9" borderId="67" xfId="0" applyFont="1" applyFill="1" applyBorder="1" applyAlignment="1">
      <alignment horizontal="center" vertical="center"/>
    </xf>
    <xf numFmtId="0" fontId="5" fillId="9" borderId="13" xfId="0" applyFont="1" applyFill="1" applyBorder="1" applyAlignment="1">
      <alignment horizontal="center" vertical="center"/>
    </xf>
    <xf numFmtId="1" fontId="5" fillId="9" borderId="4" xfId="0" applyNumberFormat="1" applyFont="1" applyFill="1" applyBorder="1" applyAlignment="1">
      <alignment horizontal="center" vertical="center"/>
    </xf>
    <xf numFmtId="0" fontId="5" fillId="9" borderId="63" xfId="0" applyFont="1" applyFill="1" applyBorder="1" applyAlignment="1">
      <alignment horizontal="left" vertical="center"/>
    </xf>
    <xf numFmtId="0" fontId="93" fillId="9" borderId="66" xfId="0" applyFont="1" applyFill="1" applyBorder="1"/>
    <xf numFmtId="0" fontId="93" fillId="9" borderId="18" xfId="0" applyFont="1" applyFill="1" applyBorder="1"/>
    <xf numFmtId="0" fontId="93" fillId="9" borderId="3" xfId="0" applyFont="1" applyFill="1" applyBorder="1"/>
    <xf numFmtId="0" fontId="93" fillId="9" borderId="41" xfId="0" applyFont="1" applyFill="1" applyBorder="1"/>
    <xf numFmtId="41" fontId="5" fillId="9" borderId="31" xfId="0" quotePrefix="1" applyNumberFormat="1" applyFont="1" applyFill="1" applyBorder="1" applyAlignment="1">
      <alignment horizontal="left" vertical="center"/>
    </xf>
    <xf numFmtId="0" fontId="10" fillId="9" borderId="37" xfId="0" applyFont="1" applyFill="1" applyBorder="1" applyAlignment="1">
      <alignment horizontal="center" vertical="center"/>
    </xf>
    <xf numFmtId="41" fontId="10" fillId="0" borderId="31" xfId="0" quotePrefix="1" applyNumberFormat="1" applyFont="1" applyBorder="1" applyAlignment="1">
      <alignment horizontal="right" vertical="center"/>
    </xf>
    <xf numFmtId="0" fontId="10" fillId="9" borderId="40" xfId="0" applyFont="1" applyFill="1" applyBorder="1" applyAlignment="1">
      <alignment horizontal="center" vertical="center"/>
    </xf>
    <xf numFmtId="41" fontId="10" fillId="9" borderId="31" xfId="0" quotePrefix="1" applyNumberFormat="1" applyFont="1" applyFill="1" applyBorder="1" applyAlignment="1">
      <alignment horizontal="right" vertical="center"/>
    </xf>
    <xf numFmtId="41" fontId="5" fillId="0" borderId="31" xfId="0" quotePrefix="1" applyNumberFormat="1" applyFont="1" applyBorder="1" applyAlignment="1">
      <alignment horizontal="left" vertical="center"/>
    </xf>
    <xf numFmtId="0" fontId="10" fillId="0" borderId="13" xfId="0" applyFont="1" applyBorder="1" applyAlignment="1">
      <alignment horizontal="center" vertical="center"/>
    </xf>
    <xf numFmtId="0" fontId="93" fillId="9" borderId="0" xfId="0" applyFont="1" applyFill="1" applyAlignment="1">
      <alignment horizontal="left"/>
    </xf>
    <xf numFmtId="0" fontId="93" fillId="9" borderId="40" xfId="0" applyFont="1" applyFill="1" applyBorder="1"/>
    <xf numFmtId="0" fontId="7" fillId="9" borderId="25" xfId="0" applyFont="1" applyFill="1" applyBorder="1" applyAlignment="1">
      <alignment horizontal="left" vertical="center"/>
    </xf>
    <xf numFmtId="0" fontId="7" fillId="9" borderId="43" xfId="0" applyFont="1" applyFill="1" applyBorder="1" applyAlignment="1">
      <alignment vertical="center"/>
    </xf>
    <xf numFmtId="0" fontId="7" fillId="9" borderId="25" xfId="0" applyFont="1" applyFill="1" applyBorder="1" applyAlignment="1">
      <alignment vertical="center"/>
    </xf>
    <xf numFmtId="0" fontId="10" fillId="9" borderId="48" xfId="0" applyFont="1" applyFill="1" applyBorder="1" applyAlignment="1">
      <alignment horizontal="left" vertical="center"/>
    </xf>
    <xf numFmtId="0" fontId="10" fillId="9" borderId="22" xfId="0" applyFont="1" applyFill="1" applyBorder="1" applyAlignment="1">
      <alignment horizontal="left" vertical="center"/>
    </xf>
    <xf numFmtId="1" fontId="93" fillId="9" borderId="29" xfId="0" applyNumberFormat="1" applyFont="1" applyFill="1" applyBorder="1" applyAlignment="1">
      <alignment vertical="center"/>
    </xf>
    <xf numFmtId="1" fontId="93" fillId="9" borderId="10" xfId="0" applyNumberFormat="1" applyFont="1" applyFill="1" applyBorder="1" applyAlignment="1">
      <alignment vertical="center"/>
    </xf>
    <xf numFmtId="1" fontId="10" fillId="8" borderId="10" xfId="0" applyNumberFormat="1" applyFont="1" applyFill="1" applyBorder="1" applyAlignment="1">
      <alignment vertical="center"/>
    </xf>
    <xf numFmtId="1" fontId="10" fillId="6" borderId="10" xfId="0" applyNumberFormat="1" applyFont="1" applyFill="1" applyBorder="1" applyAlignment="1">
      <alignment vertical="center"/>
    </xf>
    <xf numFmtId="1" fontId="10" fillId="7" borderId="10" xfId="0" applyNumberFormat="1" applyFont="1" applyFill="1" applyBorder="1" applyAlignment="1">
      <alignment vertical="center"/>
    </xf>
    <xf numFmtId="41" fontId="10" fillId="9" borderId="34" xfId="0" quotePrefix="1" applyNumberFormat="1" applyFont="1" applyFill="1" applyBorder="1" applyAlignment="1">
      <alignment horizontal="left" vertical="center"/>
    </xf>
    <xf numFmtId="1" fontId="93" fillId="9" borderId="29" xfId="0" applyNumberFormat="1" applyFont="1" applyFill="1" applyBorder="1" applyAlignment="1">
      <alignment horizontal="center" vertical="center"/>
    </xf>
    <xf numFmtId="1" fontId="93" fillId="9" borderId="10" xfId="0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/>
    </xf>
    <xf numFmtId="1" fontId="5" fillId="9" borderId="69" xfId="0" applyNumberFormat="1" applyFont="1" applyFill="1" applyBorder="1" applyAlignment="1">
      <alignment horizontal="center" vertical="center"/>
    </xf>
    <xf numFmtId="1" fontId="5" fillId="9" borderId="76" xfId="0" applyNumberFormat="1" applyFont="1" applyFill="1" applyBorder="1" applyAlignment="1">
      <alignment horizontal="center" vertical="center"/>
    </xf>
    <xf numFmtId="41" fontId="5" fillId="9" borderId="32" xfId="0" quotePrefix="1" applyNumberFormat="1" applyFont="1" applyFill="1" applyBorder="1" applyAlignment="1">
      <alignment horizontal="left" vertical="center"/>
    </xf>
    <xf numFmtId="0" fontId="5" fillId="9" borderId="68" xfId="0" applyFont="1" applyFill="1" applyBorder="1" applyAlignment="1">
      <alignment horizontal="center" vertical="center"/>
    </xf>
    <xf numFmtId="0" fontId="7" fillId="9" borderId="13" xfId="0" applyFont="1" applyFill="1" applyBorder="1" applyAlignment="1">
      <alignment vertical="center"/>
    </xf>
    <xf numFmtId="0" fontId="10" fillId="0" borderId="52" xfId="0" applyFont="1" applyBorder="1" applyAlignment="1">
      <alignment horizontal="left" vertical="center"/>
    </xf>
    <xf numFmtId="0" fontId="10" fillId="0" borderId="48" xfId="0" applyFont="1" applyBorder="1" applyAlignment="1">
      <alignment horizontal="left" vertical="center"/>
    </xf>
    <xf numFmtId="0" fontId="10" fillId="0" borderId="22" xfId="0" applyFont="1" applyBorder="1" applyAlignment="1">
      <alignment horizontal="left" vertical="center"/>
    </xf>
    <xf numFmtId="1" fontId="10" fillId="9" borderId="8" xfId="0" applyNumberFormat="1" applyFont="1" applyFill="1" applyBorder="1" applyAlignment="1">
      <alignment horizontal="center"/>
    </xf>
    <xf numFmtId="1" fontId="10" fillId="8" borderId="63" xfId="0" applyNumberFormat="1" applyFont="1" applyFill="1" applyBorder="1" applyAlignment="1">
      <alignment horizontal="center" vertical="center"/>
    </xf>
    <xf numFmtId="1" fontId="10" fillId="9" borderId="29" xfId="0" applyNumberFormat="1" applyFont="1" applyFill="1" applyBorder="1" applyAlignment="1">
      <alignment horizontal="center"/>
    </xf>
    <xf numFmtId="1" fontId="10" fillId="6" borderId="63" xfId="0" applyNumberFormat="1" applyFont="1" applyFill="1" applyBorder="1" applyAlignment="1">
      <alignment horizontal="center" vertical="center"/>
    </xf>
    <xf numFmtId="1" fontId="10" fillId="7" borderId="63" xfId="0" applyNumberFormat="1" applyFont="1" applyFill="1" applyBorder="1" applyAlignment="1">
      <alignment horizontal="center" vertical="center"/>
    </xf>
    <xf numFmtId="1" fontId="10" fillId="9" borderId="38" xfId="0" applyNumberFormat="1" applyFont="1" applyFill="1" applyBorder="1" applyAlignment="1">
      <alignment horizontal="center"/>
    </xf>
    <xf numFmtId="1" fontId="10" fillId="9" borderId="29" xfId="0" applyNumberFormat="1" applyFont="1" applyFill="1" applyBorder="1" applyAlignment="1">
      <alignment vertical="center"/>
    </xf>
    <xf numFmtId="41" fontId="10" fillId="9" borderId="10" xfId="0" quotePrefix="1" applyNumberFormat="1" applyFont="1" applyFill="1" applyBorder="1" applyAlignment="1">
      <alignment horizontal="left" vertical="center"/>
    </xf>
    <xf numFmtId="1" fontId="10" fillId="9" borderId="10" xfId="0" applyNumberFormat="1" applyFont="1" applyFill="1" applyBorder="1" applyAlignment="1">
      <alignment horizontal="center"/>
    </xf>
    <xf numFmtId="0" fontId="5" fillId="9" borderId="9" xfId="0" applyFont="1" applyFill="1" applyBorder="1" applyAlignment="1">
      <alignment horizontal="right" vertical="center"/>
    </xf>
    <xf numFmtId="0" fontId="5" fillId="9" borderId="15" xfId="0" applyFont="1" applyFill="1" applyBorder="1" applyAlignment="1">
      <alignment horizontal="center" vertical="center"/>
    </xf>
    <xf numFmtId="0" fontId="5" fillId="9" borderId="20" xfId="0" applyFont="1" applyFill="1" applyBorder="1" applyAlignment="1">
      <alignment horizontal="center" vertical="center"/>
    </xf>
    <xf numFmtId="0" fontId="5" fillId="9" borderId="25" xfId="0" applyFont="1" applyFill="1" applyBorder="1" applyAlignment="1">
      <alignment horizontal="right" vertical="center"/>
    </xf>
    <xf numFmtId="1" fontId="5" fillId="9" borderId="25" xfId="0" applyNumberFormat="1" applyFont="1" applyFill="1" applyBorder="1" applyAlignment="1">
      <alignment horizontal="center" vertical="center"/>
    </xf>
    <xf numFmtId="1" fontId="5" fillId="9" borderId="26" xfId="0" applyNumberFormat="1" applyFont="1" applyFill="1" applyBorder="1" applyAlignment="1">
      <alignment horizontal="center" vertical="center"/>
    </xf>
    <xf numFmtId="0" fontId="5" fillId="0" borderId="31" xfId="0" applyFont="1" applyBorder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0" fontId="10" fillId="9" borderId="67" xfId="0" applyFont="1" applyFill="1" applyBorder="1" applyAlignment="1">
      <alignment horizontal="center" vertical="center"/>
    </xf>
    <xf numFmtId="0" fontId="10" fillId="9" borderId="48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right" vertical="center"/>
    </xf>
    <xf numFmtId="0" fontId="7" fillId="9" borderId="2" xfId="0" applyFont="1" applyFill="1" applyBorder="1" applyAlignment="1">
      <alignment vertical="center"/>
    </xf>
    <xf numFmtId="0" fontId="7" fillId="9" borderId="10" xfId="0" applyFont="1" applyFill="1" applyBorder="1" applyAlignment="1">
      <alignment horizontal="left" vertical="center"/>
    </xf>
    <xf numFmtId="0" fontId="10" fillId="9" borderId="12" xfId="0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/>
    </xf>
    <xf numFmtId="0" fontId="7" fillId="9" borderId="30" xfId="0" applyFont="1" applyFill="1" applyBorder="1" applyAlignment="1">
      <alignment vertical="center"/>
    </xf>
    <xf numFmtId="0" fontId="7" fillId="0" borderId="2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8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7" fillId="7" borderId="30" xfId="0" applyFont="1" applyFill="1" applyBorder="1" applyAlignment="1">
      <alignment vertical="center"/>
    </xf>
    <xf numFmtId="0" fontId="7" fillId="7" borderId="10" xfId="0" applyFont="1" applyFill="1" applyBorder="1" applyAlignment="1">
      <alignment vertical="center"/>
    </xf>
    <xf numFmtId="0" fontId="10" fillId="9" borderId="29" xfId="0" applyFont="1" applyFill="1" applyBorder="1" applyAlignment="1">
      <alignment vertical="center"/>
    </xf>
    <xf numFmtId="0" fontId="10" fillId="9" borderId="10" xfId="0" applyFont="1" applyFill="1" applyBorder="1" applyAlignment="1">
      <alignment vertical="center"/>
    </xf>
    <xf numFmtId="0" fontId="10" fillId="0" borderId="10" xfId="0" applyFont="1" applyBorder="1" applyAlignment="1">
      <alignment horizontal="right" vertical="center"/>
    </xf>
    <xf numFmtId="0" fontId="10" fillId="0" borderId="2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6" borderId="10" xfId="0" applyFont="1" applyFill="1" applyBorder="1" applyAlignment="1">
      <alignment vertical="center"/>
    </xf>
    <xf numFmtId="0" fontId="10" fillId="7" borderId="10" xfId="0" applyFont="1" applyFill="1" applyBorder="1" applyAlignment="1">
      <alignment vertical="center"/>
    </xf>
    <xf numFmtId="0" fontId="10" fillId="8" borderId="10" xfId="0" applyFont="1" applyFill="1" applyBorder="1" applyAlignment="1">
      <alignment vertical="center"/>
    </xf>
    <xf numFmtId="0" fontId="10" fillId="7" borderId="45" xfId="0" applyFont="1" applyFill="1" applyBorder="1" applyAlignment="1">
      <alignment vertical="center"/>
    </xf>
    <xf numFmtId="0" fontId="10" fillId="6" borderId="14" xfId="0" applyFont="1" applyFill="1" applyBorder="1" applyAlignment="1">
      <alignment vertical="center"/>
    </xf>
    <xf numFmtId="0" fontId="10" fillId="7" borderId="23" xfId="0" applyFont="1" applyFill="1" applyBorder="1" applyAlignment="1">
      <alignment vertical="center"/>
    </xf>
    <xf numFmtId="0" fontId="5" fillId="9" borderId="16" xfId="0" applyFont="1" applyFill="1" applyBorder="1" applyAlignment="1">
      <alignment horizontal="center" vertical="center"/>
    </xf>
    <xf numFmtId="1" fontId="5" fillId="9" borderId="28" xfId="0" applyNumberFormat="1" applyFont="1" applyFill="1" applyBorder="1" applyAlignment="1">
      <alignment horizontal="center" vertical="center"/>
    </xf>
    <xf numFmtId="0" fontId="7" fillId="9" borderId="44" xfId="0" applyFont="1" applyFill="1" applyBorder="1" applyAlignment="1">
      <alignment vertical="center" wrapText="1"/>
    </xf>
    <xf numFmtId="1" fontId="5" fillId="9" borderId="19" xfId="0" applyNumberFormat="1" applyFont="1" applyFill="1" applyBorder="1" applyAlignment="1">
      <alignment horizontal="center" vertical="center"/>
    </xf>
    <xf numFmtId="0" fontId="5" fillId="9" borderId="57" xfId="0" applyFont="1" applyFill="1" applyBorder="1" applyAlignment="1">
      <alignment horizontal="left" vertical="center"/>
    </xf>
    <xf numFmtId="1" fontId="5" fillId="9" borderId="16" xfId="0" applyNumberFormat="1" applyFont="1" applyFill="1" applyBorder="1" applyAlignment="1">
      <alignment horizontal="center" vertical="center"/>
    </xf>
    <xf numFmtId="0" fontId="5" fillId="9" borderId="47" xfId="0" applyFont="1" applyFill="1" applyBorder="1" applyAlignment="1">
      <alignment vertical="center"/>
    </xf>
    <xf numFmtId="0" fontId="5" fillId="9" borderId="12" xfId="0" applyFont="1" applyFill="1" applyBorder="1" applyAlignment="1">
      <alignment vertical="center"/>
    </xf>
    <xf numFmtId="1" fontId="10" fillId="0" borderId="36" xfId="0" applyNumberFormat="1" applyFont="1" applyBorder="1" applyAlignment="1">
      <alignment horizontal="center" vertical="center"/>
    </xf>
    <xf numFmtId="0" fontId="112" fillId="9" borderId="37" xfId="0" applyFont="1" applyFill="1" applyBorder="1" applyAlignment="1"/>
    <xf numFmtId="0" fontId="112" fillId="9" borderId="12" xfId="0" applyFont="1" applyFill="1" applyBorder="1" applyAlignment="1"/>
    <xf numFmtId="0" fontId="112" fillId="9" borderId="29" xfId="0" applyFont="1" applyFill="1" applyBorder="1" applyAlignment="1"/>
    <xf numFmtId="0" fontId="5" fillId="9" borderId="31" xfId="0" applyFont="1" applyFill="1" applyBorder="1" applyAlignment="1">
      <alignment vertical="center"/>
    </xf>
    <xf numFmtId="1" fontId="10" fillId="9" borderId="31" xfId="0" applyNumberFormat="1" applyFont="1" applyFill="1" applyBorder="1" applyAlignment="1">
      <alignment horizontal="center" vertical="center"/>
    </xf>
    <xf numFmtId="1" fontId="5" fillId="9" borderId="29" xfId="0" applyNumberFormat="1" applyFont="1" applyFill="1" applyBorder="1" applyAlignment="1">
      <alignment horizontal="center" vertical="center"/>
    </xf>
    <xf numFmtId="0" fontId="26" fillId="9" borderId="31" xfId="0" applyFont="1" applyFill="1" applyBorder="1" applyAlignment="1">
      <alignment horizontal="right" vertical="center"/>
    </xf>
    <xf numFmtId="1" fontId="25" fillId="9" borderId="64" xfId="0" applyNumberFormat="1" applyFont="1" applyFill="1" applyBorder="1" applyAlignment="1">
      <alignment horizontal="center" vertical="center"/>
    </xf>
    <xf numFmtId="1" fontId="26" fillId="6" borderId="64" xfId="0" applyNumberFormat="1" applyFont="1" applyFill="1" applyBorder="1" applyAlignment="1">
      <alignment horizontal="center" vertical="center"/>
    </xf>
    <xf numFmtId="1" fontId="26" fillId="7" borderId="71" xfId="0" applyNumberFormat="1" applyFont="1" applyFill="1" applyBorder="1" applyAlignment="1">
      <alignment horizontal="center" vertical="center"/>
    </xf>
    <xf numFmtId="1" fontId="25" fillId="0" borderId="64" xfId="0" applyNumberFormat="1" applyFont="1" applyBorder="1" applyAlignment="1">
      <alignment horizontal="center" vertical="center"/>
    </xf>
    <xf numFmtId="0" fontId="93" fillId="0" borderId="10" xfId="0" applyFont="1" applyBorder="1"/>
    <xf numFmtId="0" fontId="93" fillId="0" borderId="10" xfId="0" applyFont="1" applyBorder="1" applyAlignment="1">
      <alignment horizontal="center"/>
    </xf>
    <xf numFmtId="1" fontId="93" fillId="0" borderId="10" xfId="0" applyNumberFormat="1" applyFont="1" applyBorder="1" applyAlignment="1">
      <alignment horizontal="center"/>
    </xf>
    <xf numFmtId="166" fontId="93" fillId="0" borderId="10" xfId="0" applyNumberFormat="1" applyFont="1" applyBorder="1" applyAlignment="1">
      <alignment horizontal="center"/>
    </xf>
    <xf numFmtId="1" fontId="93" fillId="9" borderId="10" xfId="0" applyNumberFormat="1" applyFont="1" applyFill="1" applyBorder="1" applyAlignment="1">
      <alignment horizontal="center"/>
    </xf>
    <xf numFmtId="0" fontId="112" fillId="0" borderId="10" xfId="0" applyFont="1" applyBorder="1"/>
    <xf numFmtId="0" fontId="112" fillId="0" borderId="10" xfId="0" applyFont="1" applyBorder="1" applyAlignment="1">
      <alignment horizontal="center"/>
    </xf>
    <xf numFmtId="1" fontId="112" fillId="0" borderId="10" xfId="0" applyNumberFormat="1" applyFont="1" applyBorder="1" applyAlignment="1">
      <alignment horizontal="center"/>
    </xf>
    <xf numFmtId="0" fontId="11" fillId="9" borderId="31" xfId="0" applyFont="1" applyFill="1" applyBorder="1" applyAlignment="1">
      <alignment horizontal="left" vertical="center"/>
    </xf>
    <xf numFmtId="0" fontId="27" fillId="9" borderId="31" xfId="0" applyFont="1" applyFill="1" applyBorder="1" applyAlignment="1">
      <alignment horizontal="left" vertical="center"/>
    </xf>
    <xf numFmtId="0" fontId="11" fillId="0" borderId="31" xfId="0" applyFont="1" applyBorder="1" applyAlignment="1">
      <alignment horizontal="right" vertical="center"/>
    </xf>
    <xf numFmtId="0" fontId="154" fillId="9" borderId="1" xfId="0" applyFont="1" applyFill="1" applyBorder="1" applyAlignment="1">
      <alignment horizontal="left" vertical="center"/>
    </xf>
    <xf numFmtId="0" fontId="27" fillId="0" borderId="28" xfId="0" applyFont="1" applyBorder="1" applyAlignment="1">
      <alignment horizontal="center" vertical="center"/>
    </xf>
    <xf numFmtId="0" fontId="26" fillId="0" borderId="62" xfId="0" applyFont="1" applyBorder="1"/>
    <xf numFmtId="0" fontId="27" fillId="0" borderId="1" xfId="0" applyFont="1" applyBorder="1"/>
    <xf numFmtId="0" fontId="27" fillId="0" borderId="67" xfId="0" applyFont="1" applyBorder="1" applyAlignment="1">
      <alignment horizontal="center" vertical="center"/>
    </xf>
    <xf numFmtId="1" fontId="27" fillId="0" borderId="55" xfId="0" applyNumberFormat="1" applyFont="1" applyBorder="1" applyAlignment="1">
      <alignment horizontal="center" vertical="center"/>
    </xf>
    <xf numFmtId="1" fontId="27" fillId="8" borderId="25" xfId="0" applyNumberFormat="1" applyFont="1" applyFill="1" applyBorder="1" applyAlignment="1">
      <alignment horizontal="center" vertical="center"/>
    </xf>
    <xf numFmtId="166" fontId="27" fillId="6" borderId="25" xfId="0" applyNumberFormat="1" applyFont="1" applyFill="1" applyBorder="1" applyAlignment="1">
      <alignment horizontal="center" vertical="center"/>
    </xf>
    <xf numFmtId="166" fontId="27" fillId="8" borderId="25" xfId="0" applyNumberFormat="1" applyFont="1" applyFill="1" applyBorder="1" applyAlignment="1">
      <alignment horizontal="center" vertical="center"/>
    </xf>
    <xf numFmtId="1" fontId="27" fillId="6" borderId="25" xfId="0" applyNumberFormat="1" applyFont="1" applyFill="1" applyBorder="1" applyAlignment="1">
      <alignment horizontal="center" vertical="center"/>
    </xf>
    <xf numFmtId="1" fontId="27" fillId="7" borderId="25" xfId="0" applyNumberFormat="1" applyFont="1" applyFill="1" applyBorder="1" applyAlignment="1">
      <alignment horizontal="center" vertical="center"/>
    </xf>
    <xf numFmtId="0" fontId="26" fillId="0" borderId="34" xfId="0" applyFont="1" applyBorder="1"/>
    <xf numFmtId="1" fontId="26" fillId="0" borderId="7" xfId="0" applyNumberFormat="1" applyFont="1" applyBorder="1" applyAlignment="1">
      <alignment horizontal="center" vertical="center"/>
    </xf>
    <xf numFmtId="0" fontId="26" fillId="0" borderId="32" xfId="0" applyFont="1" applyBorder="1"/>
    <xf numFmtId="0" fontId="26" fillId="0" borderId="68" xfId="0" applyFont="1" applyBorder="1" applyAlignment="1">
      <alignment horizontal="center" vertical="center"/>
    </xf>
    <xf numFmtId="1" fontId="26" fillId="0" borderId="49" xfId="0" applyNumberFormat="1" applyFont="1" applyBorder="1" applyAlignment="1">
      <alignment horizontal="center" vertical="center"/>
    </xf>
    <xf numFmtId="0" fontId="26" fillId="9" borderId="32" xfId="0" applyFont="1" applyFill="1" applyBorder="1" applyAlignment="1">
      <alignment horizontal="center" vertical="center"/>
    </xf>
    <xf numFmtId="0" fontId="24" fillId="9" borderId="44" xfId="0" applyFont="1" applyFill="1" applyBorder="1"/>
    <xf numFmtId="0" fontId="24" fillId="9" borderId="24" xfId="0" applyFont="1" applyFill="1" applyBorder="1"/>
    <xf numFmtId="0" fontId="26" fillId="0" borderId="34" xfId="0" applyFont="1" applyBorder="1" applyAlignment="1">
      <alignment horizontal="right"/>
    </xf>
    <xf numFmtId="2" fontId="26" fillId="0" borderId="7" xfId="0" applyNumberFormat="1" applyFont="1" applyBorder="1" applyAlignment="1">
      <alignment horizontal="center" vertical="center"/>
    </xf>
    <xf numFmtId="2" fontId="26" fillId="0" borderId="34" xfId="0" applyNumberFormat="1" applyFont="1" applyBorder="1" applyAlignment="1">
      <alignment horizontal="center" vertical="center"/>
    </xf>
    <xf numFmtId="2" fontId="26" fillId="8" borderId="34" xfId="0" applyNumberFormat="1" applyFont="1" applyFill="1" applyBorder="1" applyAlignment="1">
      <alignment horizontal="center" vertical="center"/>
    </xf>
    <xf numFmtId="2" fontId="26" fillId="0" borderId="8" xfId="0" applyNumberFormat="1" applyFont="1" applyBorder="1" applyAlignment="1">
      <alignment horizontal="center" vertical="center"/>
    </xf>
    <xf numFmtId="2" fontId="26" fillId="7" borderId="34" xfId="0" applyNumberFormat="1" applyFont="1" applyFill="1" applyBorder="1" applyAlignment="1">
      <alignment horizontal="center" vertical="center"/>
    </xf>
    <xf numFmtId="0" fontId="26" fillId="0" borderId="62" xfId="0" applyFont="1" applyBorder="1" applyAlignment="1">
      <alignment horizontal="right"/>
    </xf>
    <xf numFmtId="2" fontId="26" fillId="0" borderId="75" xfId="0" applyNumberFormat="1" applyFont="1" applyBorder="1" applyAlignment="1">
      <alignment horizontal="center" vertical="center"/>
    </xf>
    <xf numFmtId="2" fontId="26" fillId="0" borderId="32" xfId="0" applyNumberFormat="1" applyFont="1" applyBorder="1" applyAlignment="1">
      <alignment horizontal="center" vertical="center"/>
    </xf>
    <xf numFmtId="2" fontId="26" fillId="8" borderId="32" xfId="0" applyNumberFormat="1" applyFont="1" applyFill="1" applyBorder="1" applyAlignment="1">
      <alignment horizontal="center" vertical="center"/>
    </xf>
    <xf numFmtId="2" fontId="26" fillId="6" borderId="32" xfId="0" applyNumberFormat="1" applyFont="1" applyFill="1" applyBorder="1" applyAlignment="1">
      <alignment horizontal="center" vertical="center"/>
    </xf>
    <xf numFmtId="2" fontId="26" fillId="7" borderId="32" xfId="0" applyNumberFormat="1" applyFont="1" applyFill="1" applyBorder="1" applyAlignment="1">
      <alignment horizontal="center" vertical="center"/>
    </xf>
    <xf numFmtId="0" fontId="26" fillId="0" borderId="63" xfId="0" applyFont="1" applyBorder="1"/>
    <xf numFmtId="0" fontId="26" fillId="0" borderId="66" xfId="0" applyFont="1" applyBorder="1" applyAlignment="1">
      <alignment horizontal="center" vertical="center"/>
    </xf>
    <xf numFmtId="1" fontId="26" fillId="0" borderId="24" xfId="0" applyNumberFormat="1" applyFont="1" applyBorder="1" applyAlignment="1">
      <alignment horizontal="center" vertical="center"/>
    </xf>
    <xf numFmtId="0" fontId="26" fillId="0" borderId="63" xfId="0" applyFont="1" applyBorder="1" applyAlignment="1">
      <alignment horizontal="center" vertical="center"/>
    </xf>
    <xf numFmtId="1" fontId="26" fillId="7" borderId="24" xfId="0" applyNumberFormat="1" applyFont="1" applyFill="1" applyBorder="1" applyAlignment="1">
      <alignment horizontal="center" vertical="center"/>
    </xf>
    <xf numFmtId="1" fontId="26" fillId="8" borderId="52" xfId="0" applyNumberFormat="1" applyFont="1" applyFill="1" applyBorder="1" applyAlignment="1">
      <alignment horizontal="center" vertical="center"/>
    </xf>
    <xf numFmtId="1" fontId="26" fillId="6" borderId="52" xfId="0" applyNumberFormat="1" applyFont="1" applyFill="1" applyBorder="1" applyAlignment="1">
      <alignment horizontal="center" vertical="center"/>
    </xf>
    <xf numFmtId="1" fontId="26" fillId="7" borderId="7" xfId="0" applyNumberFormat="1" applyFont="1" applyFill="1" applyBorder="1" applyAlignment="1">
      <alignment horizontal="center" vertical="center"/>
    </xf>
    <xf numFmtId="1" fontId="27" fillId="0" borderId="4" xfId="0" applyNumberFormat="1" applyFont="1" applyBorder="1" applyAlignment="1">
      <alignment horizontal="center" vertical="center"/>
    </xf>
    <xf numFmtId="1" fontId="27" fillId="6" borderId="57" xfId="0" applyNumberFormat="1" applyFont="1" applyFill="1" applyBorder="1" applyAlignment="1">
      <alignment horizontal="center" vertical="center"/>
    </xf>
    <xf numFmtId="0" fontId="24" fillId="9" borderId="2" xfId="0" applyFont="1" applyFill="1" applyBorder="1"/>
    <xf numFmtId="0" fontId="27" fillId="9" borderId="39" xfId="0" applyFont="1" applyFill="1" applyBorder="1"/>
    <xf numFmtId="1" fontId="26" fillId="7" borderId="52" xfId="0" applyNumberFormat="1" applyFont="1" applyFill="1" applyBorder="1" applyAlignment="1">
      <alignment horizontal="center" vertical="center"/>
    </xf>
    <xf numFmtId="1" fontId="26" fillId="0" borderId="26" xfId="0" applyNumberFormat="1" applyFont="1" applyBorder="1" applyAlignment="1">
      <alignment horizontal="center" vertical="center"/>
    </xf>
    <xf numFmtId="1" fontId="26" fillId="0" borderId="69" xfId="0" applyNumberFormat="1" applyFont="1" applyBorder="1" applyAlignment="1">
      <alignment horizontal="center" vertical="center"/>
    </xf>
    <xf numFmtId="1" fontId="26" fillId="8" borderId="51" xfId="0" applyNumberFormat="1" applyFont="1" applyFill="1" applyBorder="1" applyAlignment="1">
      <alignment horizontal="center" vertical="center"/>
    </xf>
    <xf numFmtId="1" fontId="26" fillId="6" borderId="51" xfId="0" applyNumberFormat="1" applyFont="1" applyFill="1" applyBorder="1" applyAlignment="1">
      <alignment horizontal="center" vertical="center"/>
    </xf>
    <xf numFmtId="1" fontId="26" fillId="7" borderId="70" xfId="0" applyNumberFormat="1" applyFont="1" applyFill="1" applyBorder="1" applyAlignment="1">
      <alignment horizontal="center" vertical="center"/>
    </xf>
    <xf numFmtId="1" fontId="26" fillId="0" borderId="75" xfId="0" applyNumberFormat="1" applyFont="1" applyBorder="1" applyAlignment="1">
      <alignment horizontal="center" vertical="center"/>
    </xf>
    <xf numFmtId="1" fontId="26" fillId="8" borderId="70" xfId="0" applyNumberFormat="1" applyFont="1" applyFill="1" applyBorder="1" applyAlignment="1">
      <alignment horizontal="center" vertical="center"/>
    </xf>
    <xf numFmtId="1" fontId="26" fillId="6" borderId="70" xfId="0" applyNumberFormat="1" applyFont="1" applyFill="1" applyBorder="1" applyAlignment="1">
      <alignment horizontal="center" vertical="center"/>
    </xf>
    <xf numFmtId="1" fontId="27" fillId="6" borderId="1" xfId="0" applyNumberFormat="1" applyFont="1" applyFill="1" applyBorder="1" applyAlignment="1">
      <alignment horizontal="center" vertical="center"/>
    </xf>
    <xf numFmtId="1" fontId="27" fillId="7" borderId="1" xfId="0" applyNumberFormat="1" applyFont="1" applyFill="1" applyBorder="1" applyAlignment="1">
      <alignment horizontal="center" vertical="center"/>
    </xf>
    <xf numFmtId="166" fontId="26" fillId="0" borderId="24" xfId="0" applyNumberFormat="1" applyFont="1" applyBorder="1" applyAlignment="1">
      <alignment horizontal="center" vertical="center"/>
    </xf>
    <xf numFmtId="166" fontId="26" fillId="0" borderId="63" xfId="0" applyNumberFormat="1" applyFont="1" applyBorder="1" applyAlignment="1">
      <alignment horizontal="center" vertical="center"/>
    </xf>
    <xf numFmtId="166" fontId="26" fillId="8" borderId="63" xfId="0" applyNumberFormat="1" applyFont="1" applyFill="1" applyBorder="1" applyAlignment="1">
      <alignment horizontal="center" vertical="center"/>
    </xf>
    <xf numFmtId="166" fontId="26" fillId="0" borderId="3" xfId="0" applyNumberFormat="1" applyFont="1" applyBorder="1" applyAlignment="1">
      <alignment horizontal="center" vertical="center"/>
    </xf>
    <xf numFmtId="166" fontId="26" fillId="6" borderId="63" xfId="0" applyNumberFormat="1" applyFont="1" applyFill="1" applyBorder="1" applyAlignment="1">
      <alignment horizontal="center" vertical="center"/>
    </xf>
    <xf numFmtId="166" fontId="26" fillId="7" borderId="63" xfId="0" applyNumberFormat="1" applyFont="1" applyFill="1" applyBorder="1" applyAlignment="1">
      <alignment horizontal="center" vertical="center"/>
    </xf>
    <xf numFmtId="166" fontId="26" fillId="0" borderId="31" xfId="0" applyNumberFormat="1" applyFont="1" applyBorder="1" applyAlignment="1">
      <alignment horizontal="center" vertical="center"/>
    </xf>
    <xf numFmtId="166" fontId="26" fillId="0" borderId="75" xfId="0" applyNumberFormat="1" applyFont="1" applyBorder="1" applyAlignment="1">
      <alignment horizontal="center" vertical="center"/>
    </xf>
    <xf numFmtId="166" fontId="26" fillId="0" borderId="62" xfId="0" applyNumberFormat="1" applyFont="1" applyBorder="1" applyAlignment="1">
      <alignment horizontal="center" vertical="center"/>
    </xf>
    <xf numFmtId="166" fontId="26" fillId="8" borderId="62" xfId="0" applyNumberFormat="1" applyFont="1" applyFill="1" applyBorder="1" applyAlignment="1">
      <alignment horizontal="center" vertical="center"/>
    </xf>
    <xf numFmtId="166" fontId="26" fillId="0" borderId="36" xfId="0" applyNumberFormat="1" applyFont="1" applyBorder="1" applyAlignment="1">
      <alignment horizontal="center" vertical="center"/>
    </xf>
    <xf numFmtId="166" fontId="26" fillId="6" borderId="62" xfId="0" applyNumberFormat="1" applyFont="1" applyFill="1" applyBorder="1" applyAlignment="1">
      <alignment horizontal="center" vertical="center"/>
    </xf>
    <xf numFmtId="166" fontId="26" fillId="7" borderId="62" xfId="0" applyNumberFormat="1" applyFont="1" applyFill="1" applyBorder="1" applyAlignment="1">
      <alignment horizontal="center" vertical="center"/>
    </xf>
    <xf numFmtId="0" fontId="24" fillId="0" borderId="1" xfId="0" applyFont="1" applyBorder="1"/>
    <xf numFmtId="166" fontId="24" fillId="0" borderId="55" xfId="0" applyNumberFormat="1" applyFont="1" applyBorder="1" applyAlignment="1">
      <alignment horizontal="center" vertical="center"/>
    </xf>
    <xf numFmtId="166" fontId="24" fillId="0" borderId="1" xfId="0" applyNumberFormat="1" applyFont="1" applyBorder="1" applyAlignment="1">
      <alignment horizontal="center" vertical="center"/>
    </xf>
    <xf numFmtId="166" fontId="24" fillId="8" borderId="1" xfId="0" applyNumberFormat="1" applyFont="1" applyFill="1" applyBorder="1" applyAlignment="1">
      <alignment horizontal="center" vertical="center"/>
    </xf>
    <xf numFmtId="166" fontId="24" fillId="0" borderId="4" xfId="0" applyNumberFormat="1" applyFont="1" applyBorder="1" applyAlignment="1">
      <alignment horizontal="center" vertical="center"/>
    </xf>
    <xf numFmtId="166" fontId="24" fillId="6" borderId="1" xfId="0" applyNumberFormat="1" applyFont="1" applyFill="1" applyBorder="1" applyAlignment="1">
      <alignment horizontal="center" vertical="center"/>
    </xf>
    <xf numFmtId="166" fontId="24" fillId="7" borderId="1" xfId="0" applyNumberFormat="1" applyFont="1" applyFill="1" applyBorder="1" applyAlignment="1">
      <alignment horizontal="center" vertical="center"/>
    </xf>
    <xf numFmtId="0" fontId="26" fillId="0" borderId="31" xfId="0" applyFont="1" applyBorder="1" applyAlignment="1">
      <alignment horizontal="right"/>
    </xf>
    <xf numFmtId="0" fontId="24" fillId="0" borderId="1" xfId="0" applyFont="1" applyBorder="1" applyAlignment="1">
      <alignment horizontal="right"/>
    </xf>
    <xf numFmtId="166" fontId="26" fillId="9" borderId="8" xfId="0" applyNumberFormat="1" applyFont="1" applyFill="1" applyBorder="1" applyAlignment="1">
      <alignment horizontal="center" vertical="center"/>
    </xf>
    <xf numFmtId="0" fontId="24" fillId="9" borderId="47" xfId="0" applyFont="1" applyFill="1" applyBorder="1"/>
    <xf numFmtId="166" fontId="26" fillId="9" borderId="31" xfId="0" applyNumberFormat="1" applyFont="1" applyFill="1" applyBorder="1" applyAlignment="1">
      <alignment horizontal="center" vertical="center"/>
    </xf>
    <xf numFmtId="166" fontId="26" fillId="9" borderId="62" xfId="0" applyNumberFormat="1" applyFont="1" applyFill="1" applyBorder="1" applyAlignment="1">
      <alignment horizontal="center" vertical="center"/>
    </xf>
    <xf numFmtId="166" fontId="26" fillId="9" borderId="36" xfId="0" applyNumberFormat="1" applyFont="1" applyFill="1" applyBorder="1" applyAlignment="1">
      <alignment horizontal="center" vertical="center"/>
    </xf>
    <xf numFmtId="0" fontId="25" fillId="0" borderId="52" xfId="0" applyFont="1" applyBorder="1" applyAlignment="1">
      <alignment vertical="center"/>
    </xf>
    <xf numFmtId="0" fontId="25" fillId="0" borderId="35" xfId="0" applyFont="1" applyBorder="1" applyAlignment="1">
      <alignment vertical="center"/>
    </xf>
    <xf numFmtId="0" fontId="24" fillId="9" borderId="25" xfId="0" applyFont="1" applyFill="1" applyBorder="1" applyAlignment="1">
      <alignment vertical="center"/>
    </xf>
    <xf numFmtId="0" fontId="25" fillId="9" borderId="52" xfId="0" applyFont="1" applyFill="1" applyBorder="1" applyAlignment="1">
      <alignment vertical="center"/>
    </xf>
    <xf numFmtId="0" fontId="25" fillId="9" borderId="48" xfId="0" applyFont="1" applyFill="1" applyBorder="1" applyAlignment="1">
      <alignment horizontal="center" vertical="center"/>
    </xf>
    <xf numFmtId="0" fontId="25" fillId="9" borderId="35" xfId="0" applyFont="1" applyFill="1" applyBorder="1" applyAlignment="1">
      <alignment vertical="center"/>
    </xf>
    <xf numFmtId="0" fontId="25" fillId="9" borderId="65" xfId="0" applyFont="1" applyFill="1" applyBorder="1" applyAlignment="1">
      <alignment horizontal="center" vertical="center"/>
    </xf>
    <xf numFmtId="0" fontId="24" fillId="9" borderId="1" xfId="0" applyFont="1" applyFill="1" applyBorder="1" applyAlignment="1">
      <alignment horizontal="left"/>
    </xf>
    <xf numFmtId="0" fontId="26" fillId="0" borderId="17" xfId="0" applyFont="1" applyBorder="1" applyAlignment="1">
      <alignment horizontal="center"/>
    </xf>
    <xf numFmtId="0" fontId="26" fillId="0" borderId="62" xfId="0" applyFont="1" applyBorder="1" applyAlignment="1">
      <alignment vertical="center"/>
    </xf>
    <xf numFmtId="0" fontId="24" fillId="0" borderId="67" xfId="0" applyFont="1" applyBorder="1" applyAlignment="1">
      <alignment horizontal="center"/>
    </xf>
    <xf numFmtId="1" fontId="24" fillId="0" borderId="13" xfId="0" applyNumberFormat="1" applyFont="1" applyBorder="1" applyAlignment="1">
      <alignment horizontal="center" vertical="center"/>
    </xf>
    <xf numFmtId="0" fontId="26" fillId="0" borderId="48" xfId="0" applyFont="1" applyBorder="1" applyAlignment="1">
      <alignment horizontal="center"/>
    </xf>
    <xf numFmtId="1" fontId="26" fillId="9" borderId="40" xfId="0" applyNumberFormat="1" applyFont="1" applyFill="1" applyBorder="1" applyAlignment="1">
      <alignment horizontal="center" vertical="center"/>
    </xf>
    <xf numFmtId="1" fontId="26" fillId="9" borderId="60" xfId="0" applyNumberFormat="1" applyFont="1" applyFill="1" applyBorder="1" applyAlignment="1">
      <alignment horizontal="center" vertical="center"/>
    </xf>
    <xf numFmtId="0" fontId="24" fillId="0" borderId="11" xfId="0" applyFont="1" applyBorder="1" applyAlignment="1">
      <alignment horizontal="center"/>
    </xf>
    <xf numFmtId="0" fontId="24" fillId="0" borderId="76" xfId="0" applyFont="1" applyBorder="1" applyAlignment="1">
      <alignment vertical="center"/>
    </xf>
    <xf numFmtId="0" fontId="24" fillId="0" borderId="85" xfId="0" applyFont="1" applyBorder="1" applyAlignment="1">
      <alignment horizontal="center"/>
    </xf>
    <xf numFmtId="0" fontId="26" fillId="0" borderId="10" xfId="0" applyFont="1" applyBorder="1" applyAlignment="1">
      <alignment vertical="center"/>
    </xf>
    <xf numFmtId="0" fontId="26" fillId="0" borderId="10" xfId="0" applyFont="1" applyBorder="1" applyAlignment="1">
      <alignment horizontal="center"/>
    </xf>
    <xf numFmtId="0" fontId="24" fillId="0" borderId="9" xfId="0" applyFont="1" applyBorder="1" applyAlignment="1">
      <alignment vertical="center"/>
    </xf>
    <xf numFmtId="0" fontId="24" fillId="0" borderId="14" xfId="0" applyFont="1" applyBorder="1" applyAlignment="1">
      <alignment horizontal="center"/>
    </xf>
    <xf numFmtId="0" fontId="7" fillId="9" borderId="52" xfId="0" applyFont="1" applyFill="1" applyBorder="1" applyAlignment="1">
      <alignment vertical="center"/>
    </xf>
    <xf numFmtId="0" fontId="7" fillId="9" borderId="7" xfId="0" applyFont="1" applyFill="1" applyBorder="1" applyAlignment="1">
      <alignment horizontal="center"/>
    </xf>
    <xf numFmtId="0" fontId="26" fillId="0" borderId="65" xfId="0" applyFont="1" applyBorder="1" applyAlignment="1">
      <alignment horizontal="center"/>
    </xf>
    <xf numFmtId="1" fontId="26" fillId="6" borderId="35" xfId="0" applyNumberFormat="1" applyFont="1" applyFill="1" applyBorder="1" applyAlignment="1">
      <alignment horizontal="center" vertical="center"/>
    </xf>
    <xf numFmtId="0" fontId="26" fillId="0" borderId="74" xfId="0" applyFont="1" applyBorder="1" applyAlignment="1">
      <alignment vertical="center"/>
    </xf>
    <xf numFmtId="0" fontId="26" fillId="0" borderId="53" xfId="0" applyFont="1" applyBorder="1" applyAlignment="1">
      <alignment horizontal="center"/>
    </xf>
    <xf numFmtId="1" fontId="26" fillId="6" borderId="10" xfId="0" applyNumberFormat="1" applyFont="1" applyFill="1" applyBorder="1" applyAlignment="1">
      <alignment horizontal="center" vertical="center"/>
    </xf>
    <xf numFmtId="1" fontId="26" fillId="8" borderId="10" xfId="0" applyNumberFormat="1" applyFont="1" applyFill="1" applyBorder="1" applyAlignment="1">
      <alignment horizontal="center" vertical="center"/>
    </xf>
    <xf numFmtId="0" fontId="7" fillId="9" borderId="24" xfId="0" applyFont="1" applyFill="1" applyBorder="1" applyAlignment="1">
      <alignment horizontal="center"/>
    </xf>
    <xf numFmtId="0" fontId="26" fillId="0" borderId="72" xfId="0" applyFont="1" applyBorder="1" applyAlignment="1">
      <alignment horizontal="center"/>
    </xf>
    <xf numFmtId="0" fontId="24" fillId="0" borderId="86" xfId="0" applyFont="1" applyBorder="1" applyAlignment="1">
      <alignment horizontal="center"/>
    </xf>
    <xf numFmtId="0" fontId="7" fillId="9" borderId="70" xfId="0" applyFont="1" applyFill="1" applyBorder="1" applyAlignment="1">
      <alignment vertical="center"/>
    </xf>
    <xf numFmtId="0" fontId="7" fillId="9" borderId="75" xfId="0" applyFont="1" applyFill="1" applyBorder="1" applyAlignment="1">
      <alignment vertical="center"/>
    </xf>
    <xf numFmtId="1" fontId="7" fillId="9" borderId="75" xfId="0" applyNumberFormat="1" applyFont="1" applyFill="1" applyBorder="1" applyAlignment="1">
      <alignment horizontal="center" vertical="center"/>
    </xf>
    <xf numFmtId="0" fontId="24" fillId="9" borderId="44" xfId="0" applyFont="1" applyFill="1" applyBorder="1" applyAlignment="1">
      <alignment vertical="center"/>
    </xf>
    <xf numFmtId="0" fontId="27" fillId="0" borderId="31" xfId="0" applyFont="1" applyBorder="1" applyAlignment="1">
      <alignment horizontal="right" vertical="center"/>
    </xf>
    <xf numFmtId="0" fontId="27" fillId="0" borderId="17" xfId="0" applyFont="1" applyBorder="1" applyAlignment="1">
      <alignment horizontal="center" vertical="center"/>
    </xf>
    <xf numFmtId="1" fontId="27" fillId="6" borderId="29" xfId="0" applyNumberFormat="1" applyFont="1" applyFill="1" applyBorder="1" applyAlignment="1">
      <alignment horizontal="center" vertical="center"/>
    </xf>
    <xf numFmtId="1" fontId="27" fillId="7" borderId="29" xfId="0" applyNumberFormat="1" applyFont="1" applyFill="1" applyBorder="1" applyAlignment="1">
      <alignment horizontal="center" vertical="center"/>
    </xf>
    <xf numFmtId="0" fontId="7" fillId="9" borderId="47" xfId="0" applyFont="1" applyFill="1" applyBorder="1"/>
    <xf numFmtId="168" fontId="26" fillId="9" borderId="29" xfId="0" applyNumberFormat="1" applyFont="1" applyFill="1" applyBorder="1" applyAlignment="1">
      <alignment horizontal="center" vertical="center"/>
    </xf>
    <xf numFmtId="0" fontId="36" fillId="9" borderId="47" xfId="0" applyFont="1" applyFill="1" applyBorder="1"/>
    <xf numFmtId="167" fontId="26" fillId="0" borderId="31" xfId="0" applyNumberFormat="1" applyFont="1" applyBorder="1" applyAlignment="1">
      <alignment horizontal="left" vertical="center"/>
    </xf>
    <xf numFmtId="2" fontId="26" fillId="6" borderId="29" xfId="0" applyNumberFormat="1" applyFont="1" applyFill="1" applyBorder="1" applyAlignment="1">
      <alignment horizontal="center" vertical="center"/>
    </xf>
    <xf numFmtId="167" fontId="26" fillId="0" borderId="31" xfId="0" quotePrefix="1" applyNumberFormat="1" applyFont="1" applyBorder="1" applyAlignment="1">
      <alignment horizontal="left" vertical="center"/>
    </xf>
    <xf numFmtId="0" fontId="26" fillId="9" borderId="29" xfId="0" applyFont="1" applyFill="1" applyBorder="1" applyAlignment="1">
      <alignment horizontal="center" vertical="center"/>
    </xf>
    <xf numFmtId="0" fontId="26" fillId="8" borderId="29" xfId="0" applyFont="1" applyFill="1" applyBorder="1" applyAlignment="1">
      <alignment horizontal="center" vertical="center"/>
    </xf>
    <xf numFmtId="0" fontId="26" fillId="7" borderId="29" xfId="0" applyFont="1" applyFill="1" applyBorder="1" applyAlignment="1">
      <alignment horizontal="center" vertical="center"/>
    </xf>
    <xf numFmtId="2" fontId="26" fillId="7" borderId="29" xfId="0" applyNumberFormat="1" applyFont="1" applyFill="1" applyBorder="1" applyAlignment="1">
      <alignment horizontal="center" vertical="center"/>
    </xf>
    <xf numFmtId="167" fontId="26" fillId="0" borderId="32" xfId="0" applyNumberFormat="1" applyFont="1" applyBorder="1" applyAlignment="1">
      <alignment horizontal="left" vertical="center"/>
    </xf>
    <xf numFmtId="168" fontId="26" fillId="9" borderId="59" xfId="0" applyNumberFormat="1" applyFont="1" applyFill="1" applyBorder="1" applyAlignment="1">
      <alignment horizontal="center" vertical="center"/>
    </xf>
    <xf numFmtId="0" fontId="24" fillId="9" borderId="47" xfId="0" applyFont="1" applyFill="1" applyBorder="1" applyAlignment="1">
      <alignment vertical="center"/>
    </xf>
    <xf numFmtId="0" fontId="27" fillId="0" borderId="62" xfId="0" applyFont="1" applyBorder="1" applyAlignment="1">
      <alignment horizontal="right" vertical="center"/>
    </xf>
    <xf numFmtId="0" fontId="27" fillId="0" borderId="72" xfId="0" applyFont="1" applyBorder="1" applyAlignment="1">
      <alignment horizontal="center" vertical="center"/>
    </xf>
    <xf numFmtId="0" fontId="26" fillId="0" borderId="1" xfId="0" applyFont="1" applyBorder="1" applyAlignment="1">
      <alignment horizontal="right" vertical="center"/>
    </xf>
    <xf numFmtId="0" fontId="26" fillId="0" borderId="5" xfId="0" applyFont="1" applyBorder="1" applyAlignment="1">
      <alignment horizontal="center" vertical="center"/>
    </xf>
    <xf numFmtId="168" fontId="26" fillId="9" borderId="6" xfId="0" applyNumberFormat="1" applyFont="1" applyFill="1" applyBorder="1" applyAlignment="1">
      <alignment horizontal="center" vertical="center"/>
    </xf>
    <xf numFmtId="0" fontId="26" fillId="6" borderId="31" xfId="0" applyFont="1" applyFill="1" applyBorder="1" applyAlignment="1">
      <alignment horizontal="center" vertical="center"/>
    </xf>
    <xf numFmtId="168" fontId="26" fillId="9" borderId="32" xfId="0" applyNumberFormat="1" applyFont="1" applyFill="1" applyBorder="1" applyAlignment="1">
      <alignment horizontal="center" vertical="center"/>
    </xf>
    <xf numFmtId="0" fontId="54" fillId="9" borderId="35" xfId="0" applyFont="1" applyFill="1" applyBorder="1"/>
    <xf numFmtId="0" fontId="26" fillId="0" borderId="1" xfId="0" applyFont="1" applyBorder="1" applyAlignment="1">
      <alignment vertical="center"/>
    </xf>
    <xf numFmtId="0" fontId="26" fillId="0" borderId="11" xfId="0" applyFont="1" applyBorder="1" applyAlignment="1">
      <alignment horizontal="center" vertical="center"/>
    </xf>
    <xf numFmtId="2" fontId="26" fillId="9" borderId="1" xfId="0" applyNumberFormat="1" applyFont="1" applyFill="1" applyBorder="1" applyAlignment="1">
      <alignment horizontal="center" vertical="center"/>
    </xf>
    <xf numFmtId="2" fontId="26" fillId="8" borderId="87" xfId="0" applyNumberFormat="1" applyFont="1" applyFill="1" applyBorder="1" applyAlignment="1">
      <alignment horizontal="center" vertical="center"/>
    </xf>
    <xf numFmtId="2" fontId="26" fillId="9" borderId="4" xfId="0" applyNumberFormat="1" applyFont="1" applyFill="1" applyBorder="1" applyAlignment="1">
      <alignment horizontal="center" vertical="center"/>
    </xf>
    <xf numFmtId="2" fontId="26" fillId="6" borderId="4" xfId="0" applyNumberFormat="1" applyFont="1" applyFill="1" applyBorder="1" applyAlignment="1">
      <alignment horizontal="center" vertical="center"/>
    </xf>
    <xf numFmtId="2" fontId="26" fillId="9" borderId="63" xfId="0" applyNumberFormat="1" applyFont="1" applyFill="1" applyBorder="1" applyAlignment="1">
      <alignment horizontal="center" vertical="center"/>
    </xf>
    <xf numFmtId="0" fontId="54" fillId="0" borderId="1" xfId="0" applyFont="1" applyBorder="1"/>
    <xf numFmtId="2" fontId="26" fillId="8" borderId="23" xfId="0" applyNumberFormat="1" applyFont="1" applyFill="1" applyBorder="1" applyAlignment="1">
      <alignment horizontal="center"/>
    </xf>
    <xf numFmtId="0" fontId="5" fillId="0" borderId="1" xfId="0" applyFont="1" applyBorder="1" applyAlignment="1">
      <alignment vertical="center"/>
    </xf>
    <xf numFmtId="1" fontId="5" fillId="0" borderId="80" xfId="0" applyNumberFormat="1" applyFont="1" applyBorder="1" applyAlignment="1">
      <alignment horizontal="center" vertical="center"/>
    </xf>
    <xf numFmtId="1" fontId="5" fillId="8" borderId="80" xfId="0" applyNumberFormat="1" applyFont="1" applyFill="1" applyBorder="1" applyAlignment="1">
      <alignment horizontal="center" vertical="center"/>
    </xf>
    <xf numFmtId="1" fontId="5" fillId="6" borderId="80" xfId="0" applyNumberFormat="1" applyFont="1" applyFill="1" applyBorder="1" applyAlignment="1">
      <alignment horizontal="center" vertical="center"/>
    </xf>
    <xf numFmtId="1" fontId="5" fillId="7" borderId="80" xfId="0" applyNumberFormat="1" applyFont="1" applyFill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0" fontId="108" fillId="9" borderId="0" xfId="0" applyFont="1" applyFill="1"/>
    <xf numFmtId="0" fontId="27" fillId="0" borderId="26" xfId="0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1" fontId="24" fillId="8" borderId="3" xfId="0" applyNumberFormat="1" applyFont="1" applyFill="1" applyBorder="1" applyAlignment="1">
      <alignment horizontal="center" vertical="center"/>
    </xf>
    <xf numFmtId="1" fontId="24" fillId="6" borderId="3" xfId="0" applyNumberFormat="1" applyFont="1" applyFill="1" applyBorder="1" applyAlignment="1">
      <alignment horizontal="center" vertical="center"/>
    </xf>
    <xf numFmtId="0" fontId="26" fillId="6" borderId="34" xfId="0" applyFont="1" applyFill="1" applyBorder="1" applyAlignment="1">
      <alignment horizontal="center" vertical="center"/>
    </xf>
    <xf numFmtId="0" fontId="26" fillId="7" borderId="34" xfId="0" applyFont="1" applyFill="1" applyBorder="1" applyAlignment="1">
      <alignment horizontal="center" vertical="center"/>
    </xf>
    <xf numFmtId="2" fontId="26" fillId="8" borderId="47" xfId="0" applyNumberFormat="1" applyFont="1" applyFill="1" applyBorder="1" applyAlignment="1">
      <alignment horizontal="center" vertical="center"/>
    </xf>
    <xf numFmtId="2" fontId="26" fillId="7" borderId="47" xfId="0" applyNumberFormat="1" applyFont="1" applyFill="1" applyBorder="1" applyAlignment="1">
      <alignment horizontal="center" vertical="center"/>
    </xf>
    <xf numFmtId="0" fontId="26" fillId="6" borderId="62" xfId="0" applyFont="1" applyFill="1" applyBorder="1" applyAlignment="1">
      <alignment horizontal="center" vertical="center"/>
    </xf>
    <xf numFmtId="0" fontId="26" fillId="0" borderId="59" xfId="0" applyFont="1" applyBorder="1" applyAlignment="1">
      <alignment horizontal="center" vertical="center"/>
    </xf>
    <xf numFmtId="1" fontId="26" fillId="9" borderId="62" xfId="0" applyNumberFormat="1" applyFont="1" applyFill="1" applyBorder="1" applyAlignment="1">
      <alignment horizontal="center" vertical="center"/>
    </xf>
    <xf numFmtId="1" fontId="26" fillId="9" borderId="34" xfId="0" applyNumberFormat="1" applyFont="1" applyFill="1" applyBorder="1" applyAlignment="1">
      <alignment horizontal="center" vertical="center"/>
    </xf>
    <xf numFmtId="1" fontId="26" fillId="8" borderId="34" xfId="0" applyNumberFormat="1" applyFont="1" applyFill="1" applyBorder="1" applyAlignment="1">
      <alignment horizontal="center" vertical="center"/>
    </xf>
    <xf numFmtId="1" fontId="26" fillId="6" borderId="34" xfId="0" applyNumberFormat="1" applyFont="1" applyFill="1" applyBorder="1" applyAlignment="1">
      <alignment horizontal="center" vertical="center"/>
    </xf>
    <xf numFmtId="1" fontId="26" fillId="8" borderId="8" xfId="0" applyNumberFormat="1" applyFont="1" applyFill="1" applyBorder="1" applyAlignment="1">
      <alignment horizontal="center" vertical="center"/>
    </xf>
    <xf numFmtId="1" fontId="26" fillId="7" borderId="34" xfId="0" applyNumberFormat="1" applyFont="1" applyFill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6" borderId="4" xfId="0" applyFont="1" applyFill="1" applyBorder="1" applyAlignment="1">
      <alignment horizontal="center" vertical="center"/>
    </xf>
    <xf numFmtId="1" fontId="26" fillId="9" borderId="31" xfId="0" applyNumberFormat="1" applyFont="1" applyFill="1" applyBorder="1" applyAlignment="1">
      <alignment horizontal="center" vertical="center"/>
    </xf>
    <xf numFmtId="0" fontId="27" fillId="8" borderId="4" xfId="0" applyFont="1" applyFill="1" applyBorder="1" applyAlignment="1">
      <alignment horizontal="center" vertical="center"/>
    </xf>
    <xf numFmtId="0" fontId="5" fillId="0" borderId="71" xfId="0" applyFont="1" applyBorder="1" applyAlignment="1">
      <alignment horizontal="center" vertical="center"/>
    </xf>
    <xf numFmtId="1" fontId="5" fillId="7" borderId="34" xfId="0" applyNumberFormat="1" applyFont="1" applyFill="1" applyBorder="1" applyAlignment="1">
      <alignment horizontal="center" vertical="center"/>
    </xf>
    <xf numFmtId="1" fontId="5" fillId="6" borderId="34" xfId="0" applyNumberFormat="1" applyFont="1" applyFill="1" applyBorder="1" applyAlignment="1">
      <alignment horizontal="center" vertical="center"/>
    </xf>
    <xf numFmtId="1" fontId="5" fillId="8" borderId="34" xfId="0" applyNumberFormat="1" applyFont="1" applyFill="1" applyBorder="1" applyAlignment="1">
      <alignment horizontal="center" vertical="center"/>
    </xf>
    <xf numFmtId="1" fontId="5" fillId="0" borderId="38" xfId="0" applyNumberFormat="1" applyFont="1" applyBorder="1" applyAlignment="1">
      <alignment horizontal="center" vertical="center"/>
    </xf>
    <xf numFmtId="1" fontId="5" fillId="0" borderId="8" xfId="0" applyNumberFormat="1" applyFont="1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1" fontId="26" fillId="6" borderId="10" xfId="0" applyNumberFormat="1" applyFont="1" applyFill="1" applyBorder="1" applyAlignment="1">
      <alignment horizontal="center" vertical="center"/>
    </xf>
    <xf numFmtId="1" fontId="26" fillId="0" borderId="45" xfId="0" applyNumberFormat="1" applyFont="1" applyBorder="1" applyAlignment="1">
      <alignment horizontal="center" vertical="center"/>
    </xf>
    <xf numFmtId="1" fontId="26" fillId="9" borderId="30" xfId="0" applyNumberFormat="1" applyFont="1" applyFill="1" applyBorder="1" applyAlignment="1">
      <alignment horizontal="center" vertical="center"/>
    </xf>
    <xf numFmtId="1" fontId="26" fillId="8" borderId="10" xfId="0" applyNumberFormat="1" applyFont="1" applyFill="1" applyBorder="1" applyAlignment="1">
      <alignment horizontal="center" vertical="center"/>
    </xf>
    <xf numFmtId="0" fontId="27" fillId="7" borderId="4" xfId="0" applyFont="1" applyFill="1" applyBorder="1" applyAlignment="1">
      <alignment horizontal="center" vertical="center"/>
    </xf>
    <xf numFmtId="166" fontId="54" fillId="0" borderId="10" xfId="0" applyNumberFormat="1" applyFont="1" applyBorder="1" applyAlignment="1">
      <alignment horizontal="center" vertical="center"/>
    </xf>
    <xf numFmtId="0" fontId="27" fillId="7" borderId="10" xfId="0" applyFont="1" applyFill="1" applyBorder="1" applyAlignment="1">
      <alignment horizontal="center" vertical="center"/>
    </xf>
    <xf numFmtId="1" fontId="24" fillId="6" borderId="10" xfId="0" applyNumberFormat="1" applyFont="1" applyFill="1" applyBorder="1" applyAlignment="1">
      <alignment horizontal="center" vertical="center"/>
    </xf>
    <xf numFmtId="0" fontId="27" fillId="7" borderId="17" xfId="0" applyFont="1" applyFill="1" applyBorder="1" applyAlignment="1">
      <alignment horizontal="center" vertical="center"/>
    </xf>
    <xf numFmtId="0" fontId="93" fillId="0" borderId="10" xfId="0" applyFont="1" applyBorder="1" applyAlignment="1">
      <alignment horizontal="center" vertical="center"/>
    </xf>
    <xf numFmtId="0" fontId="25" fillId="0" borderId="10" xfId="0" applyFont="1" applyBorder="1"/>
    <xf numFmtId="0" fontId="157" fillId="0" borderId="10" xfId="0" applyFont="1" applyBorder="1"/>
    <xf numFmtId="0" fontId="24" fillId="0" borderId="10" xfId="0" applyFont="1" applyBorder="1" applyAlignment="1">
      <alignment horizontal="center" vertical="center"/>
    </xf>
    <xf numFmtId="2" fontId="25" fillId="9" borderId="10" xfId="0" applyNumberFormat="1" applyFont="1" applyFill="1" applyBorder="1" applyAlignment="1">
      <alignment horizontal="center" vertical="center"/>
    </xf>
    <xf numFmtId="2" fontId="25" fillId="8" borderId="10" xfId="0" applyNumberFormat="1" applyFont="1" applyFill="1" applyBorder="1" applyAlignment="1">
      <alignment horizontal="center" vertical="center"/>
    </xf>
    <xf numFmtId="2" fontId="25" fillId="6" borderId="10" xfId="0" applyNumberFormat="1" applyFont="1" applyFill="1" applyBorder="1" applyAlignment="1">
      <alignment horizontal="center" vertical="center"/>
    </xf>
    <xf numFmtId="2" fontId="25" fillId="7" borderId="10" xfId="0" applyNumberFormat="1" applyFont="1" applyFill="1" applyBorder="1" applyAlignment="1">
      <alignment horizontal="center" vertical="center"/>
    </xf>
    <xf numFmtId="2" fontId="24" fillId="8" borderId="10" xfId="0" applyNumberFormat="1" applyFont="1" applyFill="1" applyBorder="1" applyAlignment="1">
      <alignment horizontal="center" vertical="center"/>
    </xf>
    <xf numFmtId="2" fontId="24" fillId="6" borderId="10" xfId="0" applyNumberFormat="1" applyFont="1" applyFill="1" applyBorder="1" applyAlignment="1">
      <alignment horizontal="center" vertical="center"/>
    </xf>
    <xf numFmtId="2" fontId="24" fillId="7" borderId="10" xfId="0" applyNumberFormat="1" applyFont="1" applyFill="1" applyBorder="1" applyAlignment="1">
      <alignment horizontal="center" vertical="center"/>
    </xf>
    <xf numFmtId="166" fontId="25" fillId="6" borderId="10" xfId="0" applyNumberFormat="1" applyFont="1" applyFill="1" applyBorder="1" applyAlignment="1">
      <alignment horizontal="center" vertical="center"/>
    </xf>
    <xf numFmtId="166" fontId="25" fillId="8" borderId="10" xfId="0" applyNumberFormat="1" applyFont="1" applyFill="1" applyBorder="1" applyAlignment="1">
      <alignment horizontal="center" vertical="center"/>
    </xf>
    <xf numFmtId="166" fontId="25" fillId="9" borderId="10" xfId="0" applyNumberFormat="1" applyFont="1" applyFill="1" applyBorder="1" applyAlignment="1">
      <alignment horizontal="center" vertical="center"/>
    </xf>
    <xf numFmtId="166" fontId="25" fillId="7" borderId="10" xfId="0" applyNumberFormat="1" applyFont="1" applyFill="1" applyBorder="1" applyAlignment="1">
      <alignment horizontal="center" vertical="center"/>
    </xf>
    <xf numFmtId="1" fontId="25" fillId="0" borderId="10" xfId="0" applyNumberFormat="1" applyFont="1" applyBorder="1" applyAlignment="1">
      <alignment horizontal="center"/>
    </xf>
    <xf numFmtId="1" fontId="25" fillId="8" borderId="10" xfId="0" applyNumberFormat="1" applyFont="1" applyFill="1" applyBorder="1" applyAlignment="1">
      <alignment horizontal="center"/>
    </xf>
    <xf numFmtId="1" fontId="25" fillId="6" borderId="10" xfId="0" applyNumberFormat="1" applyFont="1" applyFill="1" applyBorder="1" applyAlignment="1">
      <alignment horizontal="center"/>
    </xf>
    <xf numFmtId="1" fontId="25" fillId="7" borderId="10" xfId="0" applyNumberFormat="1" applyFont="1" applyFill="1" applyBorder="1" applyAlignment="1">
      <alignment horizontal="center"/>
    </xf>
    <xf numFmtId="0" fontId="157" fillId="9" borderId="10" xfId="0" applyFont="1" applyFill="1" applyBorder="1"/>
    <xf numFmtId="0" fontId="157" fillId="0" borderId="10" xfId="0" applyFont="1" applyBorder="1" applyAlignment="1">
      <alignment horizontal="center" vertical="center"/>
    </xf>
    <xf numFmtId="1" fontId="157" fillId="0" borderId="10" xfId="0" applyNumberFormat="1" applyFont="1" applyBorder="1" applyAlignment="1">
      <alignment horizontal="center" vertical="center"/>
    </xf>
    <xf numFmtId="1" fontId="157" fillId="0" borderId="10" xfId="0" applyNumberFormat="1" applyFont="1" applyBorder="1" applyAlignment="1">
      <alignment horizontal="center"/>
    </xf>
    <xf numFmtId="0" fontId="39" fillId="0" borderId="10" xfId="0" applyFont="1" applyBorder="1"/>
    <xf numFmtId="0" fontId="158" fillId="0" borderId="10" xfId="0" applyFont="1" applyBorder="1"/>
    <xf numFmtId="0" fontId="158" fillId="0" borderId="10" xfId="0" applyFont="1" applyBorder="1" applyAlignment="1">
      <alignment wrapText="1"/>
    </xf>
    <xf numFmtId="0" fontId="158" fillId="0" borderId="10" xfId="0" applyFont="1" applyBorder="1" applyAlignment="1">
      <alignment horizontal="right"/>
    </xf>
    <xf numFmtId="0" fontId="158" fillId="33" borderId="10" xfId="0" applyFont="1" applyFill="1" applyBorder="1" applyAlignment="1">
      <alignment horizontal="left"/>
    </xf>
    <xf numFmtId="0" fontId="24" fillId="0" borderId="10" xfId="0" applyFont="1" applyBorder="1" applyAlignment="1">
      <alignment vertical="center"/>
    </xf>
    <xf numFmtId="0" fontId="24" fillId="9" borderId="10" xfId="0" applyFont="1" applyFill="1" applyBorder="1" applyAlignment="1">
      <alignment horizontal="center" vertical="center"/>
    </xf>
    <xf numFmtId="0" fontId="27" fillId="9" borderId="10" xfId="0" applyFont="1" applyFill="1" applyBorder="1" applyAlignment="1">
      <alignment horizontal="center" vertical="center"/>
    </xf>
    <xf numFmtId="166" fontId="24" fillId="9" borderId="10" xfId="0" applyNumberFormat="1" applyFont="1" applyFill="1" applyBorder="1" applyAlignment="1">
      <alignment horizontal="center" vertical="center"/>
    </xf>
    <xf numFmtId="166" fontId="24" fillId="8" borderId="10" xfId="0" applyNumberFormat="1" applyFont="1" applyFill="1" applyBorder="1" applyAlignment="1">
      <alignment horizontal="center" vertical="center"/>
    </xf>
    <xf numFmtId="166" fontId="24" fillId="6" borderId="10" xfId="0" applyNumberFormat="1" applyFont="1" applyFill="1" applyBorder="1" applyAlignment="1">
      <alignment horizontal="center" vertical="center"/>
    </xf>
    <xf numFmtId="1" fontId="24" fillId="9" borderId="10" xfId="0" applyNumberFormat="1" applyFont="1" applyFill="1" applyBorder="1" applyAlignment="1">
      <alignment horizontal="center" vertical="center"/>
    </xf>
    <xf numFmtId="166" fontId="24" fillId="7" borderId="10" xfId="0" applyNumberFormat="1" applyFont="1" applyFill="1" applyBorder="1" applyAlignment="1">
      <alignment horizontal="center" vertical="center"/>
    </xf>
    <xf numFmtId="166" fontId="24" fillId="0" borderId="10" xfId="0" applyNumberFormat="1" applyFont="1" applyBorder="1" applyAlignment="1">
      <alignment horizontal="center" vertical="center"/>
    </xf>
    <xf numFmtId="0" fontId="39" fillId="9" borderId="10" xfId="0" applyFont="1" applyFill="1" applyBorder="1" applyAlignment="1">
      <alignment vertical="center"/>
    </xf>
    <xf numFmtId="0" fontId="25" fillId="0" borderId="10" xfId="0" applyFont="1" applyBorder="1" applyAlignment="1">
      <alignment vertical="center"/>
    </xf>
    <xf numFmtId="0" fontId="25" fillId="8" borderId="10" xfId="0" applyFont="1" applyFill="1" applyBorder="1" applyAlignment="1">
      <alignment horizontal="center" vertical="center"/>
    </xf>
    <xf numFmtId="0" fontId="158" fillId="0" borderId="10" xfId="0" applyFont="1" applyBorder="1" applyAlignment="1">
      <alignment horizontal="center"/>
    </xf>
    <xf numFmtId="0" fontId="112" fillId="0" borderId="63" xfId="0" applyFont="1" applyBorder="1" applyAlignment="1">
      <alignment horizontal="left"/>
    </xf>
    <xf numFmtId="0" fontId="112" fillId="9" borderId="0" xfId="0" applyFont="1" applyFill="1" applyAlignment="1">
      <alignment horizontal="center"/>
    </xf>
    <xf numFmtId="0" fontId="10" fillId="0" borderId="63" xfId="0" applyFont="1" applyBorder="1" applyAlignment="1">
      <alignment horizontal="left" vertical="center"/>
    </xf>
    <xf numFmtId="0" fontId="10" fillId="0" borderId="66" xfId="0" applyFont="1" applyBorder="1" applyAlignment="1">
      <alignment horizontal="center" vertical="center"/>
    </xf>
    <xf numFmtId="0" fontId="10" fillId="0" borderId="31" xfId="0" applyFont="1" applyBorder="1" applyAlignment="1">
      <alignment horizontal="left" vertical="center"/>
    </xf>
    <xf numFmtId="0" fontId="10" fillId="0" borderId="62" xfId="0" applyFont="1" applyBorder="1" applyAlignment="1">
      <alignment horizontal="left" vertical="center"/>
    </xf>
    <xf numFmtId="1" fontId="5" fillId="9" borderId="67" xfId="0" applyNumberFormat="1" applyFont="1" applyFill="1" applyBorder="1" applyAlignment="1">
      <alignment horizontal="center" vertical="center"/>
    </xf>
    <xf numFmtId="0" fontId="26" fillId="0" borderId="41" xfId="0" applyFont="1" applyBorder="1" applyAlignment="1">
      <alignment horizontal="center" vertical="center"/>
    </xf>
    <xf numFmtId="0" fontId="112" fillId="0" borderId="41" xfId="0" applyFont="1" applyBorder="1" applyAlignment="1">
      <alignment horizontal="center"/>
    </xf>
    <xf numFmtId="1" fontId="10" fillId="9" borderId="37" xfId="0" applyNumberFormat="1" applyFont="1" applyFill="1" applyBorder="1" applyAlignment="1">
      <alignment horizontal="center" vertical="center"/>
    </xf>
    <xf numFmtId="0" fontId="10" fillId="0" borderId="32" xfId="0" applyFont="1" applyBorder="1" applyAlignment="1">
      <alignment horizontal="left" vertical="center"/>
    </xf>
    <xf numFmtId="0" fontId="10" fillId="0" borderId="68" xfId="0" applyFont="1" applyBorder="1" applyAlignment="1">
      <alignment horizontal="center" vertical="center"/>
    </xf>
    <xf numFmtId="1" fontId="10" fillId="0" borderId="68" xfId="0" applyNumberFormat="1" applyFont="1" applyBorder="1" applyAlignment="1">
      <alignment horizontal="center" vertical="center"/>
    </xf>
    <xf numFmtId="1" fontId="24" fillId="0" borderId="8" xfId="0" applyNumberFormat="1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8" borderId="8" xfId="0" applyFont="1" applyFill="1" applyBorder="1" applyAlignment="1">
      <alignment horizontal="center" vertical="center"/>
    </xf>
    <xf numFmtId="0" fontId="24" fillId="7" borderId="8" xfId="0" applyFont="1" applyFill="1" applyBorder="1" applyAlignment="1">
      <alignment horizontal="center" vertical="center"/>
    </xf>
    <xf numFmtId="167" fontId="26" fillId="0" borderId="31" xfId="0" applyNumberFormat="1" applyFont="1" applyBorder="1" applyAlignment="1">
      <alignment horizontal="right" vertical="center"/>
    </xf>
    <xf numFmtId="0" fontId="26" fillId="6" borderId="29" xfId="0" applyFont="1" applyFill="1" applyBorder="1" applyAlignment="1">
      <alignment horizontal="center" vertical="center"/>
    </xf>
    <xf numFmtId="1" fontId="26" fillId="9" borderId="8" xfId="0" quotePrefix="1" applyNumberFormat="1" applyFont="1" applyFill="1" applyBorder="1" applyAlignment="1">
      <alignment horizontal="center" vertical="center"/>
    </xf>
    <xf numFmtId="0" fontId="26" fillId="8" borderId="8" xfId="0" quotePrefix="1" applyFont="1" applyFill="1" applyBorder="1" applyAlignment="1">
      <alignment horizontal="center" vertical="center"/>
    </xf>
    <xf numFmtId="0" fontId="26" fillId="6" borderId="8" xfId="0" quotePrefix="1" applyFont="1" applyFill="1" applyBorder="1" applyAlignment="1">
      <alignment horizontal="center" vertical="center"/>
    </xf>
    <xf numFmtId="1" fontId="26" fillId="0" borderId="8" xfId="0" quotePrefix="1" applyNumberFormat="1" applyFont="1" applyBorder="1" applyAlignment="1">
      <alignment horizontal="center" vertical="center"/>
    </xf>
    <xf numFmtId="0" fontId="26" fillId="7" borderId="8" xfId="0" quotePrefix="1" applyFont="1" applyFill="1" applyBorder="1" applyAlignment="1">
      <alignment horizontal="center" vertical="center"/>
    </xf>
    <xf numFmtId="1" fontId="27" fillId="8" borderId="29" xfId="0" applyNumberFormat="1" applyFont="1" applyFill="1" applyBorder="1" applyAlignment="1">
      <alignment horizontal="center" vertical="center"/>
    </xf>
    <xf numFmtId="0" fontId="39" fillId="9" borderId="47" xfId="0" applyFont="1" applyFill="1" applyBorder="1" applyAlignment="1">
      <alignment vertical="center"/>
    </xf>
    <xf numFmtId="0" fontId="26" fillId="0" borderId="63" xfId="0" applyFont="1" applyBorder="1" applyAlignment="1">
      <alignment horizontal="left" vertical="center"/>
    </xf>
    <xf numFmtId="0" fontId="26" fillId="0" borderId="47" xfId="0" applyFont="1" applyBorder="1" applyAlignment="1">
      <alignment horizontal="left" vertical="center"/>
    </xf>
    <xf numFmtId="0" fontId="26" fillId="0" borderId="51" xfId="0" applyFont="1" applyBorder="1" applyAlignment="1">
      <alignment horizontal="left" vertical="center"/>
    </xf>
    <xf numFmtId="1" fontId="26" fillId="0" borderId="59" xfId="0" applyNumberFormat="1" applyFont="1" applyBorder="1" applyAlignment="1">
      <alignment horizontal="center" vertical="center"/>
    </xf>
    <xf numFmtId="0" fontId="39" fillId="9" borderId="52" xfId="0" applyFont="1" applyFill="1" applyBorder="1" applyAlignment="1">
      <alignment vertical="center"/>
    </xf>
    <xf numFmtId="0" fontId="39" fillId="9" borderId="70" xfId="0" applyFont="1" applyFill="1" applyBorder="1" applyAlignment="1">
      <alignment vertical="center"/>
    </xf>
    <xf numFmtId="0" fontId="24" fillId="9" borderId="75" xfId="0" applyFont="1" applyFill="1" applyBorder="1" applyAlignment="1">
      <alignment horizontal="center" vertical="center"/>
    </xf>
    <xf numFmtId="168" fontId="27" fillId="0" borderId="29" xfId="0" applyNumberFormat="1" applyFont="1" applyBorder="1" applyAlignment="1">
      <alignment horizontal="center" vertical="center"/>
    </xf>
    <xf numFmtId="166" fontId="26" fillId="6" borderId="51" xfId="0" applyNumberFormat="1" applyFont="1" applyFill="1" applyBorder="1" applyAlignment="1">
      <alignment horizontal="center" vertical="center"/>
    </xf>
    <xf numFmtId="166" fontId="26" fillId="7" borderId="51" xfId="0" applyNumberFormat="1" applyFont="1" applyFill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6" fillId="8" borderId="3" xfId="0" applyFont="1" applyFill="1" applyBorder="1" applyAlignment="1">
      <alignment horizontal="center" vertical="center"/>
    </xf>
    <xf numFmtId="0" fontId="26" fillId="6" borderId="3" xfId="0" applyFont="1" applyFill="1" applyBorder="1" applyAlignment="1">
      <alignment horizontal="center" vertical="center"/>
    </xf>
    <xf numFmtId="0" fontId="26" fillId="7" borderId="3" xfId="0" applyFont="1" applyFill="1" applyBorder="1" applyAlignment="1">
      <alignment horizontal="center" vertical="center"/>
    </xf>
    <xf numFmtId="0" fontId="26" fillId="0" borderId="74" xfId="0" applyFont="1" applyBorder="1" applyAlignment="1">
      <alignment horizontal="left" vertical="center"/>
    </xf>
    <xf numFmtId="0" fontId="26" fillId="0" borderId="64" xfId="0" applyFont="1" applyBorder="1" applyAlignment="1">
      <alignment horizontal="center" vertical="center"/>
    </xf>
    <xf numFmtId="0" fontId="26" fillId="0" borderId="32" xfId="0" applyFont="1" applyBorder="1" applyAlignment="1">
      <alignment horizontal="center" vertical="center"/>
    </xf>
    <xf numFmtId="0" fontId="26" fillId="7" borderId="38" xfId="0" applyFont="1" applyFill="1" applyBorder="1" applyAlignment="1">
      <alignment horizontal="center" vertical="center"/>
    </xf>
    <xf numFmtId="1" fontId="26" fillId="0" borderId="3" xfId="0" quotePrefix="1" applyNumberFormat="1" applyFont="1" applyBorder="1" applyAlignment="1">
      <alignment horizontal="center" vertical="center"/>
    </xf>
    <xf numFmtId="1" fontId="26" fillId="8" borderId="63" xfId="0" quotePrefix="1" applyNumberFormat="1" applyFont="1" applyFill="1" applyBorder="1" applyAlignment="1">
      <alignment horizontal="center" vertical="center"/>
    </xf>
    <xf numFmtId="1" fontId="26" fillId="6" borderId="63" xfId="0" quotePrefix="1" applyNumberFormat="1" applyFont="1" applyFill="1" applyBorder="1" applyAlignment="1">
      <alignment horizontal="center" vertical="center"/>
    </xf>
    <xf numFmtId="1" fontId="26" fillId="7" borderId="63" xfId="0" quotePrefix="1" applyNumberFormat="1" applyFont="1" applyFill="1" applyBorder="1" applyAlignment="1">
      <alignment horizontal="center" vertical="center"/>
    </xf>
    <xf numFmtId="1" fontId="26" fillId="8" borderId="31" xfId="0" quotePrefix="1" applyNumberFormat="1" applyFont="1" applyFill="1" applyBorder="1" applyAlignment="1">
      <alignment horizontal="center" vertical="center"/>
    </xf>
    <xf numFmtId="1" fontId="26" fillId="6" borderId="31" xfId="0" quotePrefix="1" applyNumberFormat="1" applyFont="1" applyFill="1" applyBorder="1" applyAlignment="1">
      <alignment horizontal="center" vertical="center"/>
    </xf>
    <xf numFmtId="1" fontId="26" fillId="7" borderId="31" xfId="0" quotePrefix="1" applyNumberFormat="1" applyFont="1" applyFill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0" fontId="26" fillId="9" borderId="3" xfId="0" quotePrefix="1" applyFont="1" applyFill="1" applyBorder="1" applyAlignment="1">
      <alignment horizontal="center" vertical="center"/>
    </xf>
    <xf numFmtId="0" fontId="26" fillId="9" borderId="63" xfId="0" quotePrefix="1" applyFont="1" applyFill="1" applyBorder="1" applyAlignment="1">
      <alignment horizontal="center" vertical="center"/>
    </xf>
    <xf numFmtId="1" fontId="26" fillId="8" borderId="74" xfId="0" quotePrefix="1" applyNumberFormat="1" applyFont="1" applyFill="1" applyBorder="1" applyAlignment="1">
      <alignment horizontal="center" vertical="center"/>
    </xf>
    <xf numFmtId="1" fontId="26" fillId="6" borderId="34" xfId="0" quotePrefix="1" applyNumberFormat="1" applyFont="1" applyFill="1" applyBorder="1" applyAlignment="1">
      <alignment horizontal="center" vertical="center"/>
    </xf>
    <xf numFmtId="1" fontId="26" fillId="7" borderId="74" xfId="0" quotePrefix="1" applyNumberFormat="1" applyFont="1" applyFill="1" applyBorder="1" applyAlignment="1">
      <alignment horizontal="center" vertical="center"/>
    </xf>
    <xf numFmtId="1" fontId="26" fillId="9" borderId="3" xfId="0" quotePrefix="1" applyNumberFormat="1" applyFont="1" applyFill="1" applyBorder="1" applyAlignment="1">
      <alignment horizontal="center" vertical="center"/>
    </xf>
    <xf numFmtId="1" fontId="26" fillId="9" borderId="63" xfId="0" quotePrefix="1" applyNumberFormat="1" applyFont="1" applyFill="1" applyBorder="1" applyAlignment="1">
      <alignment horizontal="center" vertical="center"/>
    </xf>
    <xf numFmtId="0" fontId="26" fillId="0" borderId="74" xfId="0" applyFont="1" applyBorder="1" applyAlignment="1">
      <alignment horizontal="left" vertical="center" wrapText="1"/>
    </xf>
    <xf numFmtId="1" fontId="26" fillId="9" borderId="54" xfId="0" quotePrefix="1" applyNumberFormat="1" applyFont="1" applyFill="1" applyBorder="1" applyAlignment="1">
      <alignment horizontal="center" vertical="center"/>
    </xf>
    <xf numFmtId="1" fontId="26" fillId="9" borderId="40" xfId="0" quotePrefix="1" applyNumberFormat="1" applyFont="1" applyFill="1" applyBorder="1" applyAlignment="1">
      <alignment horizontal="center" vertical="center"/>
    </xf>
    <xf numFmtId="1" fontId="27" fillId="8" borderId="35" xfId="0" quotePrefix="1" applyNumberFormat="1" applyFont="1" applyFill="1" applyBorder="1" applyAlignment="1">
      <alignment horizontal="center" vertical="center"/>
    </xf>
    <xf numFmtId="1" fontId="27" fillId="6" borderId="74" xfId="0" quotePrefix="1" applyNumberFormat="1" applyFont="1" applyFill="1" applyBorder="1" applyAlignment="1">
      <alignment horizontal="center" vertical="center"/>
    </xf>
    <xf numFmtId="1" fontId="27" fillId="6" borderId="1" xfId="0" quotePrefix="1" applyNumberFormat="1" applyFont="1" applyFill="1" applyBorder="1" applyAlignment="1">
      <alignment horizontal="center" vertical="center"/>
    </xf>
    <xf numFmtId="1" fontId="27" fillId="7" borderId="25" xfId="0" quotePrefix="1" applyNumberFormat="1" applyFont="1" applyFill="1" applyBorder="1" applyAlignment="1">
      <alignment horizontal="center" vertical="center"/>
    </xf>
    <xf numFmtId="0" fontId="27" fillId="0" borderId="63" xfId="0" applyFont="1" applyBorder="1" applyAlignment="1">
      <alignment horizontal="left" vertical="center" wrapText="1"/>
    </xf>
    <xf numFmtId="166" fontId="27" fillId="9" borderId="3" xfId="0" applyNumberFormat="1" applyFont="1" applyFill="1" applyBorder="1" applyAlignment="1">
      <alignment horizontal="center" vertical="center"/>
    </xf>
    <xf numFmtId="2" fontId="27" fillId="9" borderId="3" xfId="0" applyNumberFormat="1" applyFont="1" applyFill="1" applyBorder="1" applyAlignment="1">
      <alignment horizontal="center" vertical="center"/>
    </xf>
    <xf numFmtId="2" fontId="27" fillId="8" borderId="66" xfId="0" applyNumberFormat="1" applyFont="1" applyFill="1" applyBorder="1" applyAlignment="1">
      <alignment horizontal="center" vertical="center"/>
    </xf>
    <xf numFmtId="2" fontId="27" fillId="7" borderId="48" xfId="0" applyNumberFormat="1" applyFont="1" applyFill="1" applyBorder="1" applyAlignment="1">
      <alignment horizontal="center" vertical="center"/>
    </xf>
    <xf numFmtId="2" fontId="27" fillId="9" borderId="29" xfId="0" applyNumberFormat="1" applyFont="1" applyFill="1" applyBorder="1" applyAlignment="1">
      <alignment horizontal="center" vertical="center"/>
    </xf>
    <xf numFmtId="2" fontId="27" fillId="8" borderId="48" xfId="0" applyNumberFormat="1" applyFont="1" applyFill="1" applyBorder="1" applyAlignment="1">
      <alignment horizontal="center" vertical="center"/>
    </xf>
    <xf numFmtId="166" fontId="27" fillId="6" borderId="53" xfId="0" applyNumberFormat="1" applyFont="1" applyFill="1" applyBorder="1" applyAlignment="1">
      <alignment horizontal="center" vertical="center"/>
    </xf>
    <xf numFmtId="0" fontId="27" fillId="0" borderId="32" xfId="0" applyFont="1" applyBorder="1" applyAlignment="1">
      <alignment horizontal="left" vertical="center"/>
    </xf>
    <xf numFmtId="166" fontId="27" fillId="9" borderId="59" xfId="0" applyNumberFormat="1" applyFont="1" applyFill="1" applyBorder="1" applyAlignment="1">
      <alignment horizontal="center" vertical="center"/>
    </xf>
    <xf numFmtId="2" fontId="27" fillId="9" borderId="59" xfId="0" applyNumberFormat="1" applyFont="1" applyFill="1" applyBorder="1" applyAlignment="1">
      <alignment horizontal="center" vertical="center"/>
    </xf>
    <xf numFmtId="2" fontId="27" fillId="8" borderId="15" xfId="0" applyNumberFormat="1" applyFont="1" applyFill="1" applyBorder="1" applyAlignment="1">
      <alignment horizontal="center" vertical="center"/>
    </xf>
    <xf numFmtId="166" fontId="27" fillId="6" borderId="73" xfId="0" applyNumberFormat="1" applyFont="1" applyFill="1" applyBorder="1" applyAlignment="1">
      <alignment horizontal="center" vertical="center"/>
    </xf>
    <xf numFmtId="0" fontId="27" fillId="0" borderId="64" xfId="0" applyFont="1" applyBorder="1" applyAlignment="1">
      <alignment horizontal="center" vertical="center"/>
    </xf>
    <xf numFmtId="167" fontId="26" fillId="0" borderId="34" xfId="0" applyNumberFormat="1" applyFont="1" applyBorder="1"/>
    <xf numFmtId="167" fontId="26" fillId="0" borderId="31" xfId="0" applyNumberFormat="1" applyFont="1" applyBorder="1" applyAlignment="1">
      <alignment horizontal="left"/>
    </xf>
    <xf numFmtId="167" fontId="26" fillId="9" borderId="31" xfId="0" applyNumberFormat="1" applyFont="1" applyFill="1" applyBorder="1" applyAlignment="1">
      <alignment horizontal="left"/>
    </xf>
    <xf numFmtId="0" fontId="26" fillId="8" borderId="31" xfId="0" applyFont="1" applyFill="1" applyBorder="1" applyAlignment="1">
      <alignment horizontal="center" vertical="center"/>
    </xf>
    <xf numFmtId="0" fontId="26" fillId="7" borderId="31" xfId="0" applyFont="1" applyFill="1" applyBorder="1" applyAlignment="1">
      <alignment horizontal="center" vertical="center"/>
    </xf>
    <xf numFmtId="2" fontId="26" fillId="9" borderId="6" xfId="0" applyNumberFormat="1" applyFont="1" applyFill="1" applyBorder="1" applyAlignment="1">
      <alignment horizontal="center" vertical="center"/>
    </xf>
    <xf numFmtId="167" fontId="26" fillId="0" borderId="10" xfId="0" applyNumberFormat="1" applyFont="1" applyBorder="1" applyAlignment="1">
      <alignment horizontal="left" vertical="center"/>
    </xf>
    <xf numFmtId="166" fontId="26" fillId="8" borderId="32" xfId="0" applyNumberFormat="1" applyFont="1" applyFill="1" applyBorder="1" applyAlignment="1">
      <alignment horizontal="center" vertical="center"/>
    </xf>
    <xf numFmtId="0" fontId="57" fillId="0" borderId="10" xfId="0" applyFont="1" applyBorder="1"/>
    <xf numFmtId="0" fontId="57" fillId="0" borderId="29" xfId="0" applyFont="1" applyBorder="1" applyAlignment="1">
      <alignment horizontal="center" vertical="center"/>
    </xf>
    <xf numFmtId="0" fontId="54" fillId="9" borderId="10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29" xfId="0" applyFont="1" applyFill="1" applyBorder="1" applyAlignment="1">
      <alignment horizontal="center" vertical="center"/>
    </xf>
    <xf numFmtId="0" fontId="54" fillId="7" borderId="10" xfId="0" applyFont="1" applyFill="1" applyBorder="1" applyAlignment="1">
      <alignment horizontal="center" vertical="center"/>
    </xf>
    <xf numFmtId="0" fontId="57" fillId="0" borderId="0" xfId="0" applyFont="1" applyBorder="1"/>
    <xf numFmtId="0" fontId="112" fillId="0" borderId="37" xfId="0" applyFont="1" applyBorder="1" applyAlignment="1">
      <alignment horizontal="center" vertical="center"/>
    </xf>
    <xf numFmtId="0" fontId="5" fillId="9" borderId="29" xfId="0" applyFont="1" applyFill="1" applyBorder="1" applyAlignment="1">
      <alignment horizontal="center" vertical="center"/>
    </xf>
    <xf numFmtId="0" fontId="54" fillId="0" borderId="10" xfId="0" applyFont="1" applyBorder="1" applyAlignment="1">
      <alignment horizontal="right"/>
    </xf>
    <xf numFmtId="0" fontId="54" fillId="0" borderId="37" xfId="0" applyFont="1" applyBorder="1" applyAlignment="1">
      <alignment horizontal="center" vertical="center"/>
    </xf>
    <xf numFmtId="0" fontId="54" fillId="0" borderId="29" xfId="0" applyFont="1" applyBorder="1" applyAlignment="1">
      <alignment horizontal="center" vertical="center"/>
    </xf>
    <xf numFmtId="0" fontId="54" fillId="0" borderId="10" xfId="0" applyFont="1" applyBorder="1" applyAlignment="1">
      <alignment horizontal="left"/>
    </xf>
    <xf numFmtId="2" fontId="27" fillId="6" borderId="10" xfId="0" applyNumberFormat="1" applyFont="1" applyFill="1" applyBorder="1" applyAlignment="1">
      <alignment horizontal="center" vertical="center"/>
    </xf>
    <xf numFmtId="0" fontId="52" fillId="0" borderId="0" xfId="0" applyFont="1" applyAlignment="1">
      <alignment vertical="center"/>
    </xf>
    <xf numFmtId="0" fontId="52" fillId="0" borderId="0" xfId="0" applyFont="1"/>
    <xf numFmtId="0" fontId="52" fillId="0" borderId="0" xfId="0" applyFont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72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3" xfId="0" quotePrefix="1" applyFont="1" applyBorder="1" applyAlignment="1">
      <alignment horizontal="center" vertical="center"/>
    </xf>
    <xf numFmtId="0" fontId="10" fillId="8" borderId="3" xfId="0" quotePrefix="1" applyFont="1" applyFill="1" applyBorder="1" applyAlignment="1">
      <alignment horizontal="center" vertical="center"/>
    </xf>
    <xf numFmtId="0" fontId="10" fillId="6" borderId="3" xfId="0" quotePrefix="1" applyFont="1" applyFill="1" applyBorder="1" applyAlignment="1">
      <alignment horizontal="center" vertical="center"/>
    </xf>
    <xf numFmtId="0" fontId="10" fillId="7" borderId="3" xfId="0" quotePrefix="1" applyFont="1" applyFill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8" borderId="29" xfId="0" applyFont="1" applyFill="1" applyBorder="1" applyAlignment="1">
      <alignment horizontal="center" vertical="center"/>
    </xf>
    <xf numFmtId="0" fontId="10" fillId="6" borderId="29" xfId="0" applyFont="1" applyFill="1" applyBorder="1" applyAlignment="1">
      <alignment horizontal="center" vertical="center"/>
    </xf>
    <xf numFmtId="0" fontId="10" fillId="7" borderId="29" xfId="0" applyFont="1" applyFill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59" xfId="0" applyFont="1" applyBorder="1" applyAlignment="1">
      <alignment horizontal="center" vertical="center"/>
    </xf>
    <xf numFmtId="0" fontId="10" fillId="8" borderId="59" xfId="0" applyFont="1" applyFill="1" applyBorder="1" applyAlignment="1">
      <alignment horizontal="center" vertical="center"/>
    </xf>
    <xf numFmtId="0" fontId="10" fillId="6" borderId="59" xfId="0" applyFont="1" applyFill="1" applyBorder="1" applyAlignment="1">
      <alignment horizontal="center" vertical="center"/>
    </xf>
    <xf numFmtId="0" fontId="10" fillId="7" borderId="59" xfId="0" applyFont="1" applyFill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9" borderId="44" xfId="0" applyFont="1" applyFill="1" applyBorder="1" applyAlignment="1">
      <alignment horizontal="center" vertical="center" wrapText="1"/>
    </xf>
    <xf numFmtId="0" fontId="10" fillId="9" borderId="42" xfId="0" applyFont="1" applyFill="1" applyBorder="1" applyAlignment="1">
      <alignment horizontal="left" vertical="center" wrapText="1"/>
    </xf>
    <xf numFmtId="0" fontId="10" fillId="8" borderId="44" xfId="0" applyFont="1" applyFill="1" applyBorder="1" applyAlignment="1">
      <alignment horizontal="center" vertical="center" wrapText="1"/>
    </xf>
    <xf numFmtId="0" fontId="10" fillId="8" borderId="42" xfId="0" applyFont="1" applyFill="1" applyBorder="1" applyAlignment="1">
      <alignment horizontal="left" vertical="center" wrapText="1"/>
    </xf>
    <xf numFmtId="0" fontId="10" fillId="6" borderId="63" xfId="0" applyFont="1" applyFill="1" applyBorder="1" applyAlignment="1">
      <alignment horizontal="center" vertical="center" wrapText="1"/>
    </xf>
    <xf numFmtId="0" fontId="10" fillId="7" borderId="44" xfId="0" applyFont="1" applyFill="1" applyBorder="1" applyAlignment="1">
      <alignment horizontal="center" vertical="center" wrapText="1"/>
    </xf>
    <xf numFmtId="0" fontId="10" fillId="7" borderId="42" xfId="0" applyFont="1" applyFill="1" applyBorder="1" applyAlignment="1">
      <alignment horizontal="left" vertical="center" wrapText="1"/>
    </xf>
    <xf numFmtId="0" fontId="10" fillId="0" borderId="6" xfId="0" applyFont="1" applyBorder="1" applyAlignment="1">
      <alignment horizontal="center" vertical="center"/>
    </xf>
    <xf numFmtId="0" fontId="10" fillId="9" borderId="47" xfId="0" quotePrefix="1" applyFont="1" applyFill="1" applyBorder="1" applyAlignment="1">
      <alignment horizontal="center" vertical="center"/>
    </xf>
    <xf numFmtId="0" fontId="10" fillId="9" borderId="17" xfId="0" quotePrefix="1" applyFont="1" applyFill="1" applyBorder="1" applyAlignment="1">
      <alignment horizontal="left" vertical="center" wrapText="1"/>
    </xf>
    <xf numFmtId="0" fontId="10" fillId="8" borderId="47" xfId="0" quotePrefix="1" applyFont="1" applyFill="1" applyBorder="1" applyAlignment="1">
      <alignment horizontal="center" vertical="center"/>
    </xf>
    <xf numFmtId="0" fontId="10" fillId="8" borderId="17" xfId="0" quotePrefix="1" applyFont="1" applyFill="1" applyBorder="1" applyAlignment="1">
      <alignment horizontal="left" vertical="center" wrapText="1"/>
    </xf>
    <xf numFmtId="0" fontId="10" fillId="6" borderId="31" xfId="0" applyFont="1" applyFill="1" applyBorder="1" applyAlignment="1">
      <alignment horizontal="center" vertical="center" wrapText="1"/>
    </xf>
    <xf numFmtId="0" fontId="10" fillId="7" borderId="47" xfId="0" quotePrefix="1" applyFont="1" applyFill="1" applyBorder="1" applyAlignment="1">
      <alignment horizontal="center" vertical="center"/>
    </xf>
    <xf numFmtId="0" fontId="10" fillId="7" borderId="17" xfId="0" quotePrefix="1" applyFont="1" applyFill="1" applyBorder="1" applyAlignment="1">
      <alignment horizontal="left" vertical="center" wrapText="1"/>
    </xf>
    <xf numFmtId="0" fontId="10" fillId="0" borderId="49" xfId="0" applyFont="1" applyBorder="1" applyAlignment="1">
      <alignment horizontal="center" vertical="center"/>
    </xf>
    <xf numFmtId="0" fontId="10" fillId="9" borderId="51" xfId="0" quotePrefix="1" applyFont="1" applyFill="1" applyBorder="1" applyAlignment="1">
      <alignment horizontal="center" vertical="center"/>
    </xf>
    <xf numFmtId="0" fontId="10" fillId="9" borderId="33" xfId="0" quotePrefix="1" applyFont="1" applyFill="1" applyBorder="1" applyAlignment="1">
      <alignment horizontal="left" vertical="center" wrapText="1"/>
    </xf>
    <xf numFmtId="0" fontId="10" fillId="8" borderId="51" xfId="0" quotePrefix="1" applyFont="1" applyFill="1" applyBorder="1" applyAlignment="1">
      <alignment horizontal="center" vertical="center"/>
    </xf>
    <xf numFmtId="0" fontId="10" fillId="8" borderId="33" xfId="0" quotePrefix="1" applyFont="1" applyFill="1" applyBorder="1" applyAlignment="1">
      <alignment horizontal="left" vertical="center" wrapText="1"/>
    </xf>
    <xf numFmtId="0" fontId="10" fillId="6" borderId="32" xfId="0" applyFont="1" applyFill="1" applyBorder="1" applyAlignment="1">
      <alignment horizontal="center" vertical="center" wrapText="1"/>
    </xf>
    <xf numFmtId="0" fontId="10" fillId="7" borderId="51" xfId="0" quotePrefix="1" applyFont="1" applyFill="1" applyBorder="1" applyAlignment="1">
      <alignment horizontal="center" vertical="center"/>
    </xf>
    <xf numFmtId="0" fontId="10" fillId="7" borderId="33" xfId="0" quotePrefix="1" applyFont="1" applyFill="1" applyBorder="1" applyAlignment="1">
      <alignment horizontal="left" vertical="center" wrapText="1"/>
    </xf>
    <xf numFmtId="0" fontId="10" fillId="0" borderId="34" xfId="0" applyFont="1" applyBorder="1" applyAlignment="1">
      <alignment vertical="center"/>
    </xf>
    <xf numFmtId="0" fontId="10" fillId="0" borderId="53" xfId="0" applyFont="1" applyBorder="1" applyAlignment="1">
      <alignment horizontal="center" vertical="center"/>
    </xf>
    <xf numFmtId="1" fontId="10" fillId="0" borderId="7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62" xfId="0" applyFont="1" applyBorder="1" applyAlignment="1">
      <alignment vertical="center"/>
    </xf>
    <xf numFmtId="1" fontId="10" fillId="0" borderId="75" xfId="0" applyNumberFormat="1" applyFont="1" applyBorder="1" applyAlignment="1">
      <alignment horizontal="center" vertical="center"/>
    </xf>
    <xf numFmtId="1" fontId="10" fillId="0" borderId="32" xfId="0" applyNumberFormat="1" applyFont="1" applyBorder="1" applyAlignment="1">
      <alignment horizontal="center" vertical="center"/>
    </xf>
    <xf numFmtId="1" fontId="10" fillId="8" borderId="32" xfId="0" applyNumberFormat="1" applyFont="1" applyFill="1" applyBorder="1" applyAlignment="1">
      <alignment horizontal="center" vertical="center"/>
    </xf>
    <xf numFmtId="1" fontId="10" fillId="6" borderId="32" xfId="0" applyNumberFormat="1" applyFont="1" applyFill="1" applyBorder="1" applyAlignment="1">
      <alignment horizontal="center" vertical="center"/>
    </xf>
    <xf numFmtId="1" fontId="10" fillId="7" borderId="32" xfId="0" applyNumberFormat="1" applyFont="1" applyFill="1" applyBorder="1" applyAlignment="1">
      <alignment horizontal="center" vertical="center"/>
    </xf>
    <xf numFmtId="0" fontId="10" fillId="0" borderId="31" xfId="0" applyFont="1" applyBorder="1" applyAlignment="1">
      <alignment vertical="center"/>
    </xf>
    <xf numFmtId="0" fontId="10" fillId="0" borderId="32" xfId="0" applyFont="1" applyBorder="1" applyAlignment="1">
      <alignment vertical="center"/>
    </xf>
    <xf numFmtId="1" fontId="10" fillId="9" borderId="32" xfId="0" applyNumberFormat="1" applyFont="1" applyFill="1" applyBorder="1" applyAlignment="1">
      <alignment horizontal="center" vertical="center"/>
    </xf>
    <xf numFmtId="0" fontId="5" fillId="0" borderId="74" xfId="0" applyFont="1" applyBorder="1" applyAlignment="1">
      <alignment vertical="center"/>
    </xf>
    <xf numFmtId="0" fontId="5" fillId="9" borderId="25" xfId="0" applyFont="1" applyFill="1" applyBorder="1" applyAlignment="1">
      <alignment vertical="center"/>
    </xf>
    <xf numFmtId="0" fontId="5" fillId="9" borderId="55" xfId="0" applyFont="1" applyFill="1" applyBorder="1" applyAlignment="1">
      <alignment vertical="center"/>
    </xf>
    <xf numFmtId="0" fontId="5" fillId="0" borderId="34" xfId="0" applyFont="1" applyBorder="1" applyAlignment="1">
      <alignment horizontal="left" vertical="center" wrapText="1"/>
    </xf>
    <xf numFmtId="0" fontId="5" fillId="0" borderId="53" xfId="0" applyFont="1" applyBorder="1" applyAlignment="1">
      <alignment horizontal="center" vertical="center"/>
    </xf>
    <xf numFmtId="0" fontId="5" fillId="0" borderId="62" xfId="0" applyFont="1" applyBorder="1" applyAlignment="1">
      <alignment horizontal="left" vertical="center" wrapText="1"/>
    </xf>
    <xf numFmtId="0" fontId="5" fillId="0" borderId="72" xfId="0" applyFont="1" applyBorder="1" applyAlignment="1">
      <alignment horizontal="center" vertical="center"/>
    </xf>
    <xf numFmtId="0" fontId="10" fillId="0" borderId="71" xfId="0" applyFont="1" applyBorder="1" applyAlignment="1">
      <alignment horizontal="center" vertical="center"/>
    </xf>
    <xf numFmtId="0" fontId="10" fillId="9" borderId="31" xfId="0" applyFont="1" applyFill="1" applyBorder="1" applyAlignment="1">
      <alignment horizontal="right" vertical="center"/>
    </xf>
    <xf numFmtId="0" fontId="5" fillId="9" borderId="31" xfId="0" applyFont="1" applyFill="1" applyBorder="1" applyAlignment="1">
      <alignment horizontal="right" vertical="center"/>
    </xf>
    <xf numFmtId="0" fontId="5" fillId="9" borderId="37" xfId="0" applyFont="1" applyFill="1" applyBorder="1" applyAlignment="1">
      <alignment horizontal="center" vertical="center"/>
    </xf>
    <xf numFmtId="1" fontId="10" fillId="9" borderId="29" xfId="0" quotePrefix="1" applyNumberFormat="1" applyFont="1" applyFill="1" applyBorder="1" applyAlignment="1">
      <alignment horizontal="center" vertical="center"/>
    </xf>
    <xf numFmtId="1" fontId="10" fillId="8" borderId="29" xfId="0" quotePrefix="1" applyNumberFormat="1" applyFont="1" applyFill="1" applyBorder="1" applyAlignment="1">
      <alignment horizontal="center" vertical="center"/>
    </xf>
    <xf numFmtId="1" fontId="10" fillId="6" borderId="29" xfId="0" quotePrefix="1" applyNumberFormat="1" applyFont="1" applyFill="1" applyBorder="1" applyAlignment="1">
      <alignment horizontal="center" vertical="center"/>
    </xf>
    <xf numFmtId="1" fontId="10" fillId="7" borderId="29" xfId="0" quotePrefix="1" applyNumberFormat="1" applyFont="1" applyFill="1" applyBorder="1" applyAlignment="1">
      <alignment horizontal="center" vertical="center"/>
    </xf>
    <xf numFmtId="166" fontId="10" fillId="0" borderId="34" xfId="0" applyNumberFormat="1" applyFont="1" applyBorder="1" applyAlignment="1">
      <alignment horizontal="center" vertical="center"/>
    </xf>
    <xf numFmtId="166" fontId="10" fillId="8" borderId="34" xfId="0" applyNumberFormat="1" applyFont="1" applyFill="1" applyBorder="1" applyAlignment="1">
      <alignment horizontal="center" vertical="center"/>
    </xf>
    <xf numFmtId="166" fontId="10" fillId="6" borderId="34" xfId="0" applyNumberFormat="1" applyFont="1" applyFill="1" applyBorder="1" applyAlignment="1">
      <alignment horizontal="center" vertical="center"/>
    </xf>
    <xf numFmtId="166" fontId="10" fillId="7" borderId="34" xfId="0" applyNumberFormat="1" applyFont="1" applyFill="1" applyBorder="1" applyAlignment="1">
      <alignment horizontal="center" vertical="center"/>
    </xf>
    <xf numFmtId="166" fontId="10" fillId="0" borderId="31" xfId="0" applyNumberFormat="1" applyFont="1" applyBorder="1" applyAlignment="1">
      <alignment horizontal="center" vertical="center"/>
    </xf>
    <xf numFmtId="166" fontId="10" fillId="9" borderId="31" xfId="0" applyNumberFormat="1" applyFont="1" applyFill="1" applyBorder="1" applyAlignment="1">
      <alignment horizontal="center" vertical="center"/>
    </xf>
    <xf numFmtId="1" fontId="10" fillId="0" borderId="6" xfId="0" applyNumberFormat="1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1" fontId="5" fillId="0" borderId="76" xfId="0" applyNumberFormat="1" applyFont="1" applyBorder="1" applyAlignment="1">
      <alignment horizontal="center" vertical="center"/>
    </xf>
    <xf numFmtId="1" fontId="10" fillId="8" borderId="3" xfId="0" applyNumberFormat="1" applyFont="1" applyFill="1" applyBorder="1" applyAlignment="1">
      <alignment horizontal="center" vertical="center"/>
    </xf>
    <xf numFmtId="1" fontId="10" fillId="6" borderId="3" xfId="0" applyNumberFormat="1" applyFont="1" applyFill="1" applyBorder="1" applyAlignment="1">
      <alignment horizontal="center" vertical="center"/>
    </xf>
    <xf numFmtId="1" fontId="10" fillId="7" borderId="3" xfId="0" applyNumberFormat="1" applyFont="1" applyFill="1" applyBorder="1" applyAlignment="1">
      <alignment horizontal="center" vertical="center"/>
    </xf>
    <xf numFmtId="0" fontId="10" fillId="9" borderId="29" xfId="0" applyFont="1" applyFill="1" applyBorder="1" applyAlignment="1">
      <alignment horizontal="center" vertical="center"/>
    </xf>
    <xf numFmtId="2" fontId="10" fillId="9" borderId="29" xfId="0" applyNumberFormat="1" applyFont="1" applyFill="1" applyBorder="1" applyAlignment="1">
      <alignment horizontal="center" vertical="center"/>
    </xf>
    <xf numFmtId="168" fontId="10" fillId="9" borderId="29" xfId="0" applyNumberFormat="1" applyFont="1" applyFill="1" applyBorder="1" applyAlignment="1">
      <alignment horizontal="center" vertical="center"/>
    </xf>
    <xf numFmtId="168" fontId="10" fillId="9" borderId="36" xfId="0" applyNumberFormat="1" applyFont="1" applyFill="1" applyBorder="1" applyAlignment="1">
      <alignment horizontal="center" vertical="center"/>
    </xf>
    <xf numFmtId="1" fontId="10" fillId="6" borderId="36" xfId="0" applyNumberFormat="1" applyFont="1" applyFill="1" applyBorder="1" applyAlignment="1">
      <alignment horizontal="center" vertical="center"/>
    </xf>
    <xf numFmtId="1" fontId="10" fillId="7" borderId="36" xfId="0" applyNumberFormat="1" applyFont="1" applyFill="1" applyBorder="1" applyAlignment="1">
      <alignment horizontal="center" vertical="center"/>
    </xf>
    <xf numFmtId="0" fontId="10" fillId="9" borderId="62" xfId="0" applyFont="1" applyFill="1" applyBorder="1" applyAlignment="1">
      <alignment vertical="center"/>
    </xf>
    <xf numFmtId="0" fontId="93" fillId="0" borderId="65" xfId="0" applyFont="1" applyBorder="1" applyAlignment="1">
      <alignment horizontal="center" vertical="center"/>
    </xf>
    <xf numFmtId="168" fontId="93" fillId="0" borderId="10" xfId="0" applyNumberFormat="1" applyFont="1" applyBorder="1" applyAlignment="1">
      <alignment horizontal="center" vertical="center"/>
    </xf>
    <xf numFmtId="0" fontId="10" fillId="9" borderId="32" xfId="0" applyFont="1" applyFill="1" applyBorder="1" applyAlignment="1">
      <alignment vertical="center"/>
    </xf>
    <xf numFmtId="0" fontId="93" fillId="0" borderId="68" xfId="0" applyFont="1" applyBorder="1" applyAlignment="1">
      <alignment horizontal="center" vertical="center"/>
    </xf>
    <xf numFmtId="2" fontId="10" fillId="9" borderId="59" xfId="0" applyNumberFormat="1" applyFont="1" applyFill="1" applyBorder="1" applyAlignment="1">
      <alignment horizontal="center" vertical="center"/>
    </xf>
    <xf numFmtId="0" fontId="5" fillId="9" borderId="63" xfId="0" applyFont="1" applyFill="1" applyBorder="1" applyAlignment="1">
      <alignment vertical="center"/>
    </xf>
    <xf numFmtId="0" fontId="93" fillId="0" borderId="41" xfId="0" applyFont="1" applyBorder="1" applyAlignment="1">
      <alignment horizontal="center" vertical="center"/>
    </xf>
    <xf numFmtId="2" fontId="10" fillId="9" borderId="41" xfId="0" applyNumberFormat="1" applyFont="1" applyFill="1" applyBorder="1" applyAlignment="1">
      <alignment horizontal="center" vertical="center"/>
    </xf>
    <xf numFmtId="0" fontId="10" fillId="9" borderId="31" xfId="0" applyFont="1" applyFill="1" applyBorder="1" applyAlignment="1">
      <alignment vertical="center"/>
    </xf>
    <xf numFmtId="0" fontId="10" fillId="0" borderId="23" xfId="0" applyFont="1" applyBorder="1" applyAlignment="1">
      <alignment vertical="center"/>
    </xf>
    <xf numFmtId="0" fontId="5" fillId="0" borderId="4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66" fontId="5" fillId="8" borderId="9" xfId="0" applyNumberFormat="1" applyFont="1" applyFill="1" applyBorder="1" applyAlignment="1">
      <alignment horizontal="center" vertical="center"/>
    </xf>
    <xf numFmtId="166" fontId="5" fillId="6" borderId="9" xfId="0" applyNumberFormat="1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8" borderId="29" xfId="0" applyFont="1" applyFill="1" applyBorder="1" applyAlignment="1">
      <alignment horizontal="center" vertical="center"/>
    </xf>
    <xf numFmtId="0" fontId="5" fillId="6" borderId="29" xfId="0" applyFont="1" applyFill="1" applyBorder="1" applyAlignment="1">
      <alignment horizontal="center" vertical="center"/>
    </xf>
    <xf numFmtId="0" fontId="5" fillId="7" borderId="29" xfId="0" applyFont="1" applyFill="1" applyBorder="1" applyAlignment="1">
      <alignment horizontal="center" vertical="center"/>
    </xf>
    <xf numFmtId="0" fontId="5" fillId="8" borderId="69" xfId="0" applyFont="1" applyFill="1" applyBorder="1" applyAlignment="1">
      <alignment horizontal="center" vertical="center"/>
    </xf>
    <xf numFmtId="0" fontId="5" fillId="6" borderId="69" xfId="0" applyFont="1" applyFill="1" applyBorder="1" applyAlignment="1">
      <alignment horizontal="center" vertical="center"/>
    </xf>
    <xf numFmtId="0" fontId="5" fillId="7" borderId="69" xfId="0" applyFont="1" applyFill="1" applyBorder="1" applyAlignment="1">
      <alignment horizontal="center" vertical="center"/>
    </xf>
    <xf numFmtId="0" fontId="26" fillId="0" borderId="0" xfId="0" applyFont="1" applyFill="1"/>
    <xf numFmtId="0" fontId="53" fillId="0" borderId="0" xfId="0" applyFont="1" applyFill="1" applyAlignment="1">
      <alignment horizontal="center" vertical="center"/>
    </xf>
    <xf numFmtId="1" fontId="24" fillId="0" borderId="23" xfId="0" applyNumberFormat="1" applyFont="1" applyFill="1" applyBorder="1" applyAlignment="1">
      <alignment horizontal="center" vertical="center"/>
    </xf>
    <xf numFmtId="1" fontId="24" fillId="6" borderId="9" xfId="0" applyNumberFormat="1" applyFont="1" applyFill="1" applyBorder="1" applyAlignment="1">
      <alignment horizontal="center" vertical="center"/>
    </xf>
    <xf numFmtId="1" fontId="24" fillId="8" borderId="9" xfId="0" applyNumberFormat="1" applyFont="1" applyFill="1" applyBorder="1" applyAlignment="1">
      <alignment horizontal="center" vertical="center"/>
    </xf>
    <xf numFmtId="1" fontId="24" fillId="7" borderId="9" xfId="0" applyNumberFormat="1" applyFont="1" applyFill="1" applyBorder="1" applyAlignment="1">
      <alignment horizontal="center" vertical="center"/>
    </xf>
    <xf numFmtId="0" fontId="39" fillId="9" borderId="7" xfId="0" applyFont="1" applyFill="1" applyBorder="1" applyAlignment="1">
      <alignment vertical="center"/>
    </xf>
    <xf numFmtId="41" fontId="26" fillId="9" borderId="31" xfId="0" quotePrefix="1" applyNumberFormat="1" applyFont="1" applyFill="1" applyBorder="1" applyAlignment="1">
      <alignment horizontal="left" vertical="center"/>
    </xf>
    <xf numFmtId="0" fontId="26" fillId="0" borderId="37" xfId="0" applyFont="1" applyBorder="1" applyAlignment="1">
      <alignment horizontal="left" vertical="center"/>
    </xf>
    <xf numFmtId="0" fontId="24" fillId="0" borderId="10" xfId="0" applyFont="1" applyFill="1" applyBorder="1" applyAlignment="1">
      <alignment horizontal="center" vertical="center"/>
    </xf>
    <xf numFmtId="0" fontId="24" fillId="9" borderId="10" xfId="0" applyFont="1" applyFill="1" applyBorder="1" applyAlignment="1">
      <alignment vertical="center"/>
    </xf>
    <xf numFmtId="0" fontId="24" fillId="9" borderId="29" xfId="0" applyFont="1" applyFill="1" applyBorder="1" applyAlignment="1">
      <alignment vertical="center"/>
    </xf>
    <xf numFmtId="1" fontId="26" fillId="0" borderId="10" xfId="0" applyNumberFormat="1" applyFont="1" applyFill="1" applyBorder="1" applyAlignment="1">
      <alignment vertical="center"/>
    </xf>
    <xf numFmtId="1" fontId="26" fillId="8" borderId="10" xfId="0" applyNumberFormat="1" applyFont="1" applyFill="1" applyBorder="1" applyAlignment="1">
      <alignment vertical="center"/>
    </xf>
    <xf numFmtId="1" fontId="26" fillId="0" borderId="10" xfId="0" applyNumberFormat="1" applyFont="1" applyBorder="1" applyAlignment="1">
      <alignment vertical="center"/>
    </xf>
    <xf numFmtId="1" fontId="26" fillId="0" borderId="29" xfId="0" applyNumberFormat="1" applyFont="1" applyBorder="1" applyAlignment="1">
      <alignment vertical="center"/>
    </xf>
    <xf numFmtId="41" fontId="27" fillId="9" borderId="62" xfId="0" quotePrefix="1" applyNumberFormat="1" applyFont="1" applyFill="1" applyBorder="1" applyAlignment="1">
      <alignment horizontal="left" vertical="center"/>
    </xf>
    <xf numFmtId="0" fontId="26" fillId="9" borderId="75" xfId="0" applyFont="1" applyFill="1" applyBorder="1" applyAlignment="1">
      <alignment horizontal="left" vertical="center"/>
    </xf>
    <xf numFmtId="0" fontId="25" fillId="9" borderId="37" xfId="0" applyFont="1" applyFill="1" applyBorder="1" applyAlignment="1">
      <alignment horizontal="center" vertical="center"/>
    </xf>
    <xf numFmtId="1" fontId="26" fillId="9" borderId="10" xfId="0" applyNumberFormat="1" applyFont="1" applyFill="1" applyBorder="1" applyAlignment="1">
      <alignment vertical="center"/>
    </xf>
    <xf numFmtId="1" fontId="26" fillId="9" borderId="29" xfId="0" applyNumberFormat="1" applyFont="1" applyFill="1" applyBorder="1" applyAlignment="1">
      <alignment vertical="center"/>
    </xf>
    <xf numFmtId="41" fontId="24" fillId="9" borderId="62" xfId="0" quotePrefix="1" applyNumberFormat="1" applyFont="1" applyFill="1" applyBorder="1" applyAlignment="1">
      <alignment horizontal="left" vertical="center"/>
    </xf>
    <xf numFmtId="0" fontId="27" fillId="0" borderId="75" xfId="0" applyFont="1" applyBorder="1" applyAlignment="1">
      <alignment horizontal="left" vertical="center"/>
    </xf>
    <xf numFmtId="0" fontId="24" fillId="0" borderId="37" xfId="0" applyFont="1" applyBorder="1" applyAlignment="1">
      <alignment horizontal="center" vertical="center"/>
    </xf>
    <xf numFmtId="41" fontId="24" fillId="0" borderId="62" xfId="0" quotePrefix="1" applyNumberFormat="1" applyFont="1" applyBorder="1" applyAlignment="1">
      <alignment horizontal="left" vertical="center"/>
    </xf>
    <xf numFmtId="41" fontId="24" fillId="9" borderId="75" xfId="0" quotePrefix="1" applyNumberFormat="1" applyFont="1" applyFill="1" applyBorder="1" applyAlignment="1">
      <alignment horizontal="left" vertical="center"/>
    </xf>
    <xf numFmtId="0" fontId="24" fillId="9" borderId="37" xfId="0" applyFont="1" applyFill="1" applyBorder="1" applyAlignment="1">
      <alignment horizontal="center" vertical="center"/>
    </xf>
    <xf numFmtId="1" fontId="24" fillId="9" borderId="10" xfId="0" applyNumberFormat="1" applyFont="1" applyFill="1" applyBorder="1" applyAlignment="1">
      <alignment vertical="center"/>
    </xf>
    <xf numFmtId="1" fontId="24" fillId="9" borderId="29" xfId="0" applyNumberFormat="1" applyFont="1" applyFill="1" applyBorder="1" applyAlignment="1">
      <alignment vertical="center"/>
    </xf>
    <xf numFmtId="1" fontId="24" fillId="0" borderId="10" xfId="0" applyNumberFormat="1" applyFont="1" applyBorder="1" applyAlignment="1">
      <alignment vertical="center"/>
    </xf>
    <xf numFmtId="1" fontId="24" fillId="0" borderId="37" xfId="0" applyNumberFormat="1" applyFont="1" applyBorder="1" applyAlignment="1">
      <alignment horizontal="center" vertical="center"/>
    </xf>
    <xf numFmtId="1" fontId="24" fillId="8" borderId="10" xfId="0" applyNumberFormat="1" applyFont="1" applyFill="1" applyBorder="1" applyAlignment="1">
      <alignment vertical="center"/>
    </xf>
    <xf numFmtId="1" fontId="24" fillId="0" borderId="29" xfId="0" applyNumberFormat="1" applyFont="1" applyBorder="1" applyAlignment="1">
      <alignment vertical="center"/>
    </xf>
    <xf numFmtId="41" fontId="24" fillId="0" borderId="75" xfId="0" quotePrefix="1" applyNumberFormat="1" applyFont="1" applyBorder="1" applyAlignment="1">
      <alignment horizontal="left" vertical="center"/>
    </xf>
    <xf numFmtId="0" fontId="24" fillId="0" borderId="65" xfId="0" applyFont="1" applyBorder="1" applyAlignment="1">
      <alignment horizontal="center" vertical="center"/>
    </xf>
    <xf numFmtId="1" fontId="24" fillId="0" borderId="45" xfId="0" applyNumberFormat="1" applyFont="1" applyBorder="1" applyAlignment="1">
      <alignment vertical="center"/>
    </xf>
    <xf numFmtId="1" fontId="24" fillId="0" borderId="65" xfId="0" applyNumberFormat="1" applyFont="1" applyBorder="1" applyAlignment="1">
      <alignment horizontal="center" vertical="center"/>
    </xf>
    <xf numFmtId="1" fontId="26" fillId="0" borderId="45" xfId="0" applyNumberFormat="1" applyFont="1" applyFill="1" applyBorder="1" applyAlignment="1">
      <alignment vertical="center"/>
    </xf>
    <xf numFmtId="1" fontId="24" fillId="8" borderId="45" xfId="0" applyNumberFormat="1" applyFont="1" applyFill="1" applyBorder="1" applyAlignment="1">
      <alignment vertical="center"/>
    </xf>
    <xf numFmtId="1" fontId="25" fillId="6" borderId="45" xfId="0" applyNumberFormat="1" applyFont="1" applyFill="1" applyBorder="1" applyAlignment="1">
      <alignment horizontal="center" vertical="center"/>
    </xf>
    <xf numFmtId="1" fontId="24" fillId="0" borderId="36" xfId="0" applyNumberFormat="1" applyFont="1" applyBorder="1" applyAlignment="1">
      <alignment vertical="center"/>
    </xf>
    <xf numFmtId="1" fontId="25" fillId="7" borderId="45" xfId="0" applyNumberFormat="1" applyFont="1" applyFill="1" applyBorder="1" applyAlignment="1">
      <alignment horizontal="center" vertical="center"/>
    </xf>
    <xf numFmtId="41" fontId="24" fillId="0" borderId="10" xfId="0" applyNumberFormat="1" applyFont="1" applyBorder="1" applyAlignment="1">
      <alignment horizontal="left" vertical="center"/>
    </xf>
    <xf numFmtId="41" fontId="24" fillId="0" borderId="10" xfId="0" applyNumberFormat="1" applyFont="1" applyBorder="1" applyAlignment="1">
      <alignment horizontal="right" vertical="center"/>
    </xf>
    <xf numFmtId="41" fontId="24" fillId="0" borderId="10" xfId="0" applyNumberFormat="1" applyFont="1" applyBorder="1" applyAlignment="1">
      <alignment horizontal="center" vertical="center"/>
    </xf>
    <xf numFmtId="41" fontId="24" fillId="9" borderId="10" xfId="0" applyNumberFormat="1" applyFont="1" applyFill="1" applyBorder="1" applyAlignment="1">
      <alignment horizontal="right" vertical="center"/>
    </xf>
    <xf numFmtId="41" fontId="24" fillId="9" borderId="10" xfId="0" applyNumberFormat="1" applyFont="1" applyFill="1" applyBorder="1" applyAlignment="1">
      <alignment horizontal="center" vertical="center"/>
    </xf>
    <xf numFmtId="0" fontId="27" fillId="9" borderId="10" xfId="0" applyFont="1" applyFill="1" applyBorder="1" applyAlignment="1">
      <alignment vertical="center"/>
    </xf>
    <xf numFmtId="0" fontId="5" fillId="9" borderId="35" xfId="0" applyFont="1" applyFill="1" applyBorder="1" applyAlignment="1">
      <alignment vertical="center"/>
    </xf>
    <xf numFmtId="0" fontId="26" fillId="0" borderId="63" xfId="0" applyFont="1" applyBorder="1" applyAlignment="1">
      <alignment vertical="center"/>
    </xf>
    <xf numFmtId="0" fontId="26" fillId="0" borderId="24" xfId="0" applyFont="1" applyBorder="1" applyAlignment="1">
      <alignment vertical="center"/>
    </xf>
    <xf numFmtId="0" fontId="26" fillId="0" borderId="42" xfId="0" applyFont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8" borderId="44" xfId="0" applyFont="1" applyFill="1" applyBorder="1" applyAlignment="1">
      <alignment horizontal="center" vertical="center"/>
    </xf>
    <xf numFmtId="0" fontId="26" fillId="6" borderId="44" xfId="0" applyFont="1" applyFill="1" applyBorder="1" applyAlignment="1">
      <alignment horizontal="center" vertical="center"/>
    </xf>
    <xf numFmtId="0" fontId="26" fillId="7" borderId="44" xfId="0" applyFont="1" applyFill="1" applyBorder="1" applyAlignment="1">
      <alignment horizontal="center" vertical="center"/>
    </xf>
    <xf numFmtId="0" fontId="26" fillId="0" borderId="6" xfId="0" applyFont="1" applyBorder="1" applyAlignment="1">
      <alignment vertical="center"/>
    </xf>
    <xf numFmtId="166" fontId="26" fillId="0" borderId="29" xfId="0" applyNumberFormat="1" applyFont="1" applyFill="1" applyBorder="1" applyAlignment="1">
      <alignment horizontal="center" vertical="center"/>
    </xf>
    <xf numFmtId="166" fontId="26" fillId="8" borderId="47" xfId="0" applyNumberFormat="1" applyFont="1" applyFill="1" applyBorder="1" applyAlignment="1">
      <alignment horizontal="center" vertical="center"/>
    </xf>
    <xf numFmtId="166" fontId="26" fillId="6" borderId="47" xfId="0" applyNumberFormat="1" applyFont="1" applyFill="1" applyBorder="1" applyAlignment="1">
      <alignment horizontal="center" vertical="center"/>
    </xf>
    <xf numFmtId="166" fontId="26" fillId="7" borderId="47" xfId="0" applyNumberFormat="1" applyFont="1" applyFill="1" applyBorder="1" applyAlignment="1">
      <alignment horizontal="center" vertical="center"/>
    </xf>
    <xf numFmtId="1" fontId="26" fillId="0" borderId="29" xfId="0" applyNumberFormat="1" applyFont="1" applyFill="1" applyBorder="1" applyAlignment="1">
      <alignment horizontal="center" vertical="center"/>
    </xf>
    <xf numFmtId="1" fontId="26" fillId="7" borderId="47" xfId="0" applyNumberFormat="1" applyFont="1" applyFill="1" applyBorder="1" applyAlignment="1">
      <alignment horizontal="center" vertical="center"/>
    </xf>
    <xf numFmtId="166" fontId="26" fillId="0" borderId="31" xfId="0" applyNumberFormat="1" applyFont="1" applyFill="1" applyBorder="1" applyAlignment="1">
      <alignment horizontal="center" vertical="center"/>
    </xf>
    <xf numFmtId="168" fontId="26" fillId="0" borderId="29" xfId="0" applyNumberFormat="1" applyFont="1" applyFill="1" applyBorder="1" applyAlignment="1">
      <alignment horizontal="center" vertical="center"/>
    </xf>
    <xf numFmtId="168" fontId="26" fillId="8" borderId="47" xfId="0" applyNumberFormat="1" applyFont="1" applyFill="1" applyBorder="1" applyAlignment="1">
      <alignment horizontal="center" vertical="center"/>
    </xf>
    <xf numFmtId="168" fontId="26" fillId="6" borderId="47" xfId="0" applyNumberFormat="1" applyFont="1" applyFill="1" applyBorder="1" applyAlignment="1">
      <alignment horizontal="center" vertical="center"/>
    </xf>
    <xf numFmtId="168" fontId="26" fillId="7" borderId="47" xfId="0" applyNumberFormat="1" applyFont="1" applyFill="1" applyBorder="1" applyAlignment="1">
      <alignment horizontal="center" vertical="center"/>
    </xf>
    <xf numFmtId="2" fontId="26" fillId="6" borderId="47" xfId="0" applyNumberFormat="1" applyFont="1" applyFill="1" applyBorder="1" applyAlignment="1">
      <alignment horizontal="center" vertical="center"/>
    </xf>
    <xf numFmtId="2" fontId="26" fillId="0" borderId="29" xfId="0" applyNumberFormat="1" applyFont="1" applyFill="1" applyBorder="1" applyAlignment="1">
      <alignment horizontal="center" vertical="center"/>
    </xf>
    <xf numFmtId="0" fontId="26" fillId="0" borderId="49" xfId="0" applyFont="1" applyBorder="1" applyAlignment="1">
      <alignment vertical="center"/>
    </xf>
    <xf numFmtId="166" fontId="26" fillId="0" borderId="59" xfId="0" applyNumberFormat="1" applyFont="1" applyFill="1" applyBorder="1" applyAlignment="1">
      <alignment horizontal="center" vertical="center"/>
    </xf>
    <xf numFmtId="166" fontId="26" fillId="8" borderId="51" xfId="0" applyNumberFormat="1" applyFont="1" applyFill="1" applyBorder="1" applyAlignment="1">
      <alignment horizontal="center" vertical="center"/>
    </xf>
    <xf numFmtId="0" fontId="54" fillId="0" borderId="10" xfId="0" applyFont="1" applyFill="1" applyBorder="1"/>
    <xf numFmtId="0" fontId="54" fillId="8" borderId="10" xfId="0" applyFont="1" applyFill="1" applyBorder="1"/>
    <xf numFmtId="0" fontId="54" fillId="6" borderId="10" xfId="0" applyFont="1" applyFill="1" applyBorder="1"/>
    <xf numFmtId="0" fontId="54" fillId="6" borderId="10" xfId="0" applyFont="1" applyFill="1" applyBorder="1" applyAlignment="1">
      <alignment horizontal="center"/>
    </xf>
    <xf numFmtId="0" fontId="54" fillId="7" borderId="10" xfId="0" applyFont="1" applyFill="1" applyBorder="1" applyAlignment="1">
      <alignment horizontal="center"/>
    </xf>
    <xf numFmtId="166" fontId="54" fillId="0" borderId="10" xfId="0" applyNumberFormat="1" applyFont="1" applyBorder="1"/>
    <xf numFmtId="166" fontId="54" fillId="0" borderId="10" xfId="0" applyNumberFormat="1" applyFont="1" applyFill="1" applyBorder="1"/>
    <xf numFmtId="166" fontId="54" fillId="8" borderId="10" xfId="0" applyNumberFormat="1" applyFont="1" applyFill="1" applyBorder="1"/>
    <xf numFmtId="166" fontId="54" fillId="6" borderId="10" xfId="0" applyNumberFormat="1" applyFont="1" applyFill="1" applyBorder="1"/>
    <xf numFmtId="166" fontId="54" fillId="6" borderId="10" xfId="0" applyNumberFormat="1" applyFont="1" applyFill="1" applyBorder="1" applyAlignment="1">
      <alignment horizontal="center"/>
    </xf>
    <xf numFmtId="166" fontId="54" fillId="7" borderId="10" xfId="0" applyNumberFormat="1" applyFont="1" applyFill="1" applyBorder="1" applyAlignment="1">
      <alignment horizontal="center"/>
    </xf>
    <xf numFmtId="0" fontId="161" fillId="9" borderId="0" xfId="0" applyFont="1" applyFill="1" applyBorder="1"/>
    <xf numFmtId="0" fontId="54" fillId="0" borderId="10" xfId="0" applyFont="1" applyBorder="1" applyAlignment="1">
      <alignment horizontal="left" vertical="center" wrapText="1"/>
    </xf>
    <xf numFmtId="1" fontId="24" fillId="0" borderId="38" xfId="0" applyNumberFormat="1" applyFont="1" applyBorder="1" applyAlignment="1">
      <alignment horizontal="center" vertical="center"/>
    </xf>
    <xf numFmtId="1" fontId="24" fillId="8" borderId="38" xfId="0" applyNumberFormat="1" applyFont="1" applyFill="1" applyBorder="1" applyAlignment="1">
      <alignment horizontal="center" vertical="center"/>
    </xf>
    <xf numFmtId="0" fontId="39" fillId="9" borderId="6" xfId="0" applyFont="1" applyFill="1" applyBorder="1" applyAlignment="1">
      <alignment vertical="center"/>
    </xf>
    <xf numFmtId="41" fontId="26" fillId="0" borderId="47" xfId="0" quotePrefix="1" applyNumberFormat="1" applyFont="1" applyBorder="1" applyAlignment="1">
      <alignment horizontal="left" vertical="center"/>
    </xf>
    <xf numFmtId="41" fontId="26" fillId="0" borderId="10" xfId="0" quotePrefix="1" applyNumberFormat="1" applyFont="1" applyBorder="1" applyAlignment="1">
      <alignment horizontal="left" vertical="center"/>
    </xf>
    <xf numFmtId="41" fontId="27" fillId="9" borderId="47" xfId="0" quotePrefix="1" applyNumberFormat="1" applyFont="1" applyFill="1" applyBorder="1" applyAlignment="1">
      <alignment horizontal="left" vertical="center"/>
    </xf>
    <xf numFmtId="41" fontId="26" fillId="9" borderId="6" xfId="0" quotePrefix="1" applyNumberFormat="1" applyFont="1" applyFill="1" applyBorder="1" applyAlignment="1">
      <alignment horizontal="left" vertical="center"/>
    </xf>
    <xf numFmtId="0" fontId="26" fillId="9" borderId="37" xfId="0" applyFont="1" applyFill="1" applyBorder="1" applyAlignment="1">
      <alignment horizontal="center" vertical="center"/>
    </xf>
    <xf numFmtId="41" fontId="24" fillId="0" borderId="31" xfId="0" quotePrefix="1" applyNumberFormat="1" applyFont="1" applyBorder="1" applyAlignment="1">
      <alignment horizontal="left" vertical="center"/>
    </xf>
    <xf numFmtId="41" fontId="24" fillId="0" borderId="6" xfId="0" quotePrefix="1" applyNumberFormat="1" applyFont="1" applyBorder="1" applyAlignment="1">
      <alignment horizontal="left" vertical="center"/>
    </xf>
    <xf numFmtId="41" fontId="24" fillId="0" borderId="74" xfId="0" quotePrefix="1" applyNumberFormat="1" applyFont="1" applyBorder="1" applyAlignment="1">
      <alignment horizontal="left" vertical="center"/>
    </xf>
    <xf numFmtId="41" fontId="24" fillId="0" borderId="0" xfId="0" quotePrefix="1" applyNumberFormat="1" applyFont="1" applyBorder="1" applyAlignment="1">
      <alignment horizontal="left" vertical="center"/>
    </xf>
    <xf numFmtId="1" fontId="24" fillId="6" borderId="45" xfId="0" applyNumberFormat="1" applyFont="1" applyFill="1" applyBorder="1" applyAlignment="1">
      <alignment horizontal="center" vertical="center"/>
    </xf>
    <xf numFmtId="1" fontId="24" fillId="8" borderId="45" xfId="0" applyNumberFormat="1" applyFont="1" applyFill="1" applyBorder="1" applyAlignment="1">
      <alignment horizontal="center" vertical="center"/>
    </xf>
    <xf numFmtId="1" fontId="24" fillId="7" borderId="45" xfId="0" applyNumberFormat="1" applyFont="1" applyFill="1" applyBorder="1" applyAlignment="1">
      <alignment horizontal="center" vertical="center"/>
    </xf>
    <xf numFmtId="0" fontId="27" fillId="9" borderId="63" xfId="0" applyFont="1" applyFill="1" applyBorder="1" applyAlignment="1">
      <alignment vertical="center"/>
    </xf>
    <xf numFmtId="0" fontId="27" fillId="9" borderId="24" xfId="0" applyFont="1" applyFill="1" applyBorder="1" applyAlignment="1">
      <alignment vertical="center"/>
    </xf>
    <xf numFmtId="0" fontId="27" fillId="9" borderId="42" xfId="0" applyFont="1" applyFill="1" applyBorder="1" applyAlignment="1">
      <alignment horizontal="center" vertical="center"/>
    </xf>
    <xf numFmtId="171" fontId="27" fillId="9" borderId="36" xfId="0" applyNumberFormat="1" applyFont="1" applyFill="1" applyBorder="1" applyAlignment="1">
      <alignment horizontal="center" vertical="center"/>
    </xf>
    <xf numFmtId="0" fontId="26" fillId="0" borderId="23" xfId="0" applyFont="1" applyBorder="1" applyAlignment="1">
      <alignment vertical="center"/>
    </xf>
    <xf numFmtId="0" fontId="26" fillId="0" borderId="23" xfId="0" applyFont="1" applyBorder="1" applyAlignment="1">
      <alignment horizontal="center" vertical="center"/>
    </xf>
    <xf numFmtId="0" fontId="54" fillId="0" borderId="37" xfId="0" applyFont="1" applyBorder="1"/>
    <xf numFmtId="166" fontId="54" fillId="8" borderId="10" xfId="0" applyNumberFormat="1" applyFont="1" applyFill="1" applyBorder="1" applyAlignment="1">
      <alignment horizontal="center" vertical="center"/>
    </xf>
    <xf numFmtId="166" fontId="54" fillId="6" borderId="10" xfId="0" applyNumberFormat="1" applyFont="1" applyFill="1" applyBorder="1" applyAlignment="1">
      <alignment horizontal="center" vertical="center"/>
    </xf>
    <xf numFmtId="166" fontId="54" fillId="7" borderId="10" xfId="0" applyNumberFormat="1" applyFont="1" applyFill="1" applyBorder="1" applyAlignment="1">
      <alignment horizontal="center" vertical="center"/>
    </xf>
    <xf numFmtId="0" fontId="54" fillId="0" borderId="10" xfId="0" applyFont="1" applyBorder="1" applyAlignment="1">
      <alignment wrapText="1"/>
    </xf>
    <xf numFmtId="0" fontId="54" fillId="0" borderId="10" xfId="0" applyFont="1" applyBorder="1" applyAlignment="1">
      <alignment horizontal="center" vertical="center"/>
    </xf>
    <xf numFmtId="0" fontId="111" fillId="0" borderId="10" xfId="0" applyFont="1" applyBorder="1" applyAlignment="1">
      <alignment horizontal="left" vertical="center"/>
    </xf>
    <xf numFmtId="0" fontId="27" fillId="46" borderId="4" xfId="0" applyFont="1" applyFill="1" applyBorder="1" applyAlignment="1">
      <alignment horizontal="center" vertical="center"/>
    </xf>
    <xf numFmtId="0" fontId="24" fillId="0" borderId="30" xfId="0" applyFont="1" applyBorder="1" applyAlignment="1">
      <alignment vertical="center"/>
    </xf>
    <xf numFmtId="1" fontId="24" fillId="8" borderId="8" xfId="0" applyNumberFormat="1" applyFont="1" applyFill="1" applyBorder="1" applyAlignment="1">
      <alignment horizontal="center" vertical="center"/>
    </xf>
    <xf numFmtId="1" fontId="24" fillId="6" borderId="8" xfId="0" applyNumberFormat="1" applyFont="1" applyFill="1" applyBorder="1" applyAlignment="1">
      <alignment horizontal="center" vertical="center"/>
    </xf>
    <xf numFmtId="1" fontId="24" fillId="46" borderId="8" xfId="0" applyNumberFormat="1" applyFont="1" applyFill="1" applyBorder="1" applyAlignment="1">
      <alignment horizontal="center" vertical="center"/>
    </xf>
    <xf numFmtId="172" fontId="26" fillId="0" borderId="10" xfId="0" quotePrefix="1" applyNumberFormat="1" applyFont="1" applyBorder="1" applyAlignment="1">
      <alignment horizontal="center" vertical="center"/>
    </xf>
    <xf numFmtId="1" fontId="26" fillId="6" borderId="10" xfId="0" applyNumberFormat="1" applyFont="1" applyFill="1" applyBorder="1" applyAlignment="1">
      <alignment vertical="center"/>
    </xf>
    <xf numFmtId="1" fontId="26" fillId="46" borderId="10" xfId="0" applyNumberFormat="1" applyFont="1" applyFill="1" applyBorder="1" applyAlignment="1">
      <alignment vertical="center"/>
    </xf>
    <xf numFmtId="172" fontId="26" fillId="0" borderId="45" xfId="0" quotePrefix="1" applyNumberFormat="1" applyFont="1" applyBorder="1" applyAlignment="1">
      <alignment horizontal="center" vertical="center"/>
    </xf>
    <xf numFmtId="172" fontId="27" fillId="0" borderId="10" xfId="0" quotePrefix="1" applyNumberFormat="1" applyFont="1" applyBorder="1" applyAlignment="1">
      <alignment horizontal="center" vertical="center"/>
    </xf>
    <xf numFmtId="1" fontId="27" fillId="0" borderId="10" xfId="0" applyNumberFormat="1" applyFont="1" applyBorder="1" applyAlignment="1">
      <alignment vertical="center"/>
    </xf>
    <xf numFmtId="1" fontId="27" fillId="8" borderId="10" xfId="0" applyNumberFormat="1" applyFont="1" applyFill="1" applyBorder="1" applyAlignment="1">
      <alignment vertical="center"/>
    </xf>
    <xf numFmtId="1" fontId="27" fillId="6" borderId="10" xfId="0" applyNumberFormat="1" applyFont="1" applyFill="1" applyBorder="1" applyAlignment="1">
      <alignment vertical="center"/>
    </xf>
    <xf numFmtId="1" fontId="27" fillId="46" borderId="10" xfId="0" applyNumberFormat="1" applyFont="1" applyFill="1" applyBorder="1" applyAlignment="1">
      <alignment vertical="center"/>
    </xf>
    <xf numFmtId="41" fontId="24" fillId="9" borderId="1" xfId="0" applyNumberFormat="1" applyFont="1" applyFill="1" applyBorder="1" applyAlignment="1">
      <alignment horizontal="right" vertical="center"/>
    </xf>
    <xf numFmtId="41" fontId="24" fillId="9" borderId="1" xfId="0" applyNumberFormat="1" applyFont="1" applyFill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2" fontId="27" fillId="9" borderId="32" xfId="0" applyNumberFormat="1" applyFont="1" applyFill="1" applyBorder="1" applyAlignment="1">
      <alignment horizontal="center" vertical="center"/>
    </xf>
    <xf numFmtId="166" fontId="26" fillId="6" borderId="32" xfId="0" applyNumberFormat="1" applyFont="1" applyFill="1" applyBorder="1" applyAlignment="1">
      <alignment horizontal="center" vertical="center"/>
    </xf>
    <xf numFmtId="166" fontId="26" fillId="46" borderId="32" xfId="0" applyNumberFormat="1" applyFont="1" applyFill="1" applyBorder="1" applyAlignment="1">
      <alignment horizontal="center" vertical="center"/>
    </xf>
    <xf numFmtId="0" fontId="54" fillId="46" borderId="10" xfId="0" applyFont="1" applyFill="1" applyBorder="1"/>
    <xf numFmtId="166" fontId="54" fillId="46" borderId="10" xfId="0" applyNumberFormat="1" applyFont="1" applyFill="1" applyBorder="1"/>
    <xf numFmtId="0" fontId="54" fillId="0" borderId="0" xfId="0" applyFont="1" applyAlignment="1">
      <alignment horizontal="left"/>
    </xf>
    <xf numFmtId="0" fontId="54" fillId="0" borderId="0" xfId="0" applyFont="1" applyAlignment="1">
      <alignment horizontal="center"/>
    </xf>
    <xf numFmtId="0" fontId="54" fillId="0" borderId="63" xfId="0" applyFont="1" applyBorder="1" applyAlignment="1">
      <alignment horizontal="left"/>
    </xf>
    <xf numFmtId="0" fontId="3" fillId="0" borderId="41" xfId="0" applyFont="1" applyBorder="1" applyAlignment="1">
      <alignment vertical="center"/>
    </xf>
    <xf numFmtId="0" fontId="54" fillId="0" borderId="31" xfId="0" applyFont="1" applyBorder="1" applyAlignment="1">
      <alignment horizontal="left"/>
    </xf>
    <xf numFmtId="0" fontId="27" fillId="8" borderId="17" xfId="0" applyFont="1" applyFill="1" applyBorder="1" applyAlignment="1">
      <alignment horizontal="center" vertical="center"/>
    </xf>
    <xf numFmtId="0" fontId="27" fillId="6" borderId="17" xfId="0" applyFont="1" applyFill="1" applyBorder="1" applyAlignment="1">
      <alignment horizontal="center" vertical="center"/>
    </xf>
    <xf numFmtId="0" fontId="158" fillId="0" borderId="31" xfId="0" applyFont="1" applyBorder="1" applyAlignment="1">
      <alignment horizontal="left"/>
    </xf>
    <xf numFmtId="1" fontId="158" fillId="0" borderId="10" xfId="0" applyNumberFormat="1" applyFont="1" applyBorder="1" applyAlignment="1">
      <alignment horizontal="center"/>
    </xf>
    <xf numFmtId="0" fontId="158" fillId="0" borderId="17" xfId="0" applyFont="1" applyBorder="1" applyAlignment="1">
      <alignment horizontal="center"/>
    </xf>
    <xf numFmtId="0" fontId="158" fillId="8" borderId="17" xfId="0" applyFont="1" applyFill="1" applyBorder="1" applyAlignment="1">
      <alignment horizontal="center"/>
    </xf>
    <xf numFmtId="1" fontId="158" fillId="6" borderId="17" xfId="0" applyNumberFormat="1" applyFont="1" applyFill="1" applyBorder="1" applyAlignment="1">
      <alignment horizontal="center"/>
    </xf>
    <xf numFmtId="0" fontId="158" fillId="6" borderId="17" xfId="0" applyFont="1" applyFill="1" applyBorder="1" applyAlignment="1">
      <alignment horizontal="center"/>
    </xf>
    <xf numFmtId="1" fontId="158" fillId="8" borderId="17" xfId="0" applyNumberFormat="1" applyFont="1" applyFill="1" applyBorder="1" applyAlignment="1">
      <alignment horizontal="center"/>
    </xf>
    <xf numFmtId="1" fontId="158" fillId="7" borderId="17" xfId="0" applyNumberFormat="1" applyFont="1" applyFill="1" applyBorder="1" applyAlignment="1">
      <alignment horizontal="center"/>
    </xf>
    <xf numFmtId="0" fontId="158" fillId="7" borderId="17" xfId="0" applyFont="1" applyFill="1" applyBorder="1" applyAlignment="1">
      <alignment horizontal="center"/>
    </xf>
    <xf numFmtId="0" fontId="54" fillId="0" borderId="10" xfId="0" applyFont="1" applyBorder="1" applyAlignment="1">
      <alignment horizontal="center"/>
    </xf>
    <xf numFmtId="0" fontId="54" fillId="0" borderId="17" xfId="0" applyFont="1" applyBorder="1" applyAlignment="1">
      <alignment horizontal="center"/>
    </xf>
    <xf numFmtId="0" fontId="54" fillId="8" borderId="17" xfId="0" applyFont="1" applyFill="1" applyBorder="1" applyAlignment="1">
      <alignment horizontal="center"/>
    </xf>
    <xf numFmtId="0" fontId="54" fillId="6" borderId="17" xfId="0" applyFont="1" applyFill="1" applyBorder="1" applyAlignment="1">
      <alignment horizontal="center"/>
    </xf>
    <xf numFmtId="0" fontId="54" fillId="7" borderId="17" xfId="0" applyFont="1" applyFill="1" applyBorder="1" applyAlignment="1">
      <alignment horizontal="center"/>
    </xf>
    <xf numFmtId="166" fontId="54" fillId="0" borderId="10" xfId="0" applyNumberFormat="1" applyFont="1" applyBorder="1" applyAlignment="1">
      <alignment horizontal="center"/>
    </xf>
    <xf numFmtId="1" fontId="54" fillId="0" borderId="17" xfId="0" applyNumberFormat="1" applyFont="1" applyBorder="1" applyAlignment="1">
      <alignment horizontal="center"/>
    </xf>
    <xf numFmtId="1" fontId="54" fillId="8" borderId="17" xfId="0" applyNumberFormat="1" applyFont="1" applyFill="1" applyBorder="1" applyAlignment="1">
      <alignment horizontal="center"/>
    </xf>
    <xf numFmtId="1" fontId="54" fillId="6" borderId="17" xfId="0" applyNumberFormat="1" applyFont="1" applyFill="1" applyBorder="1" applyAlignment="1">
      <alignment horizontal="center"/>
    </xf>
    <xf numFmtId="1" fontId="54" fillId="7" borderId="17" xfId="0" applyNumberFormat="1" applyFont="1" applyFill="1" applyBorder="1" applyAlignment="1">
      <alignment horizontal="center"/>
    </xf>
    <xf numFmtId="1" fontId="158" fillId="0" borderId="17" xfId="0" applyNumberFormat="1" applyFont="1" applyBorder="1" applyAlignment="1">
      <alignment horizontal="center"/>
    </xf>
    <xf numFmtId="1" fontId="158" fillId="9" borderId="17" xfId="0" applyNumberFormat="1" applyFont="1" applyFill="1" applyBorder="1" applyAlignment="1">
      <alignment horizontal="center"/>
    </xf>
    <xf numFmtId="0" fontId="24" fillId="0" borderId="31" xfId="0" applyFont="1" applyBorder="1" applyAlignment="1">
      <alignment horizontal="left" vertical="center"/>
    </xf>
    <xf numFmtId="0" fontId="57" fillId="0" borderId="31" xfId="0" applyFont="1" applyBorder="1" applyAlignment="1">
      <alignment horizontal="left"/>
    </xf>
    <xf numFmtId="1" fontId="57" fillId="0" borderId="10" xfId="0" applyNumberFormat="1" applyFont="1" applyBorder="1" applyAlignment="1">
      <alignment horizontal="center"/>
    </xf>
    <xf numFmtId="1" fontId="57" fillId="0" borderId="17" xfId="0" applyNumberFormat="1" applyFont="1" applyBorder="1" applyAlignment="1">
      <alignment horizontal="center"/>
    </xf>
    <xf numFmtId="1" fontId="57" fillId="8" borderId="17" xfId="0" applyNumberFormat="1" applyFont="1" applyFill="1" applyBorder="1" applyAlignment="1">
      <alignment horizontal="center"/>
    </xf>
    <xf numFmtId="1" fontId="57" fillId="6" borderId="17" xfId="0" applyNumberFormat="1" applyFont="1" applyFill="1" applyBorder="1" applyAlignment="1">
      <alignment horizontal="center"/>
    </xf>
    <xf numFmtId="1" fontId="57" fillId="7" borderId="17" xfId="0" applyNumberFormat="1" applyFont="1" applyFill="1" applyBorder="1" applyAlignment="1">
      <alignment horizontal="center"/>
    </xf>
    <xf numFmtId="1" fontId="54" fillId="0" borderId="17" xfId="0" applyNumberFormat="1" applyFont="1" applyBorder="1"/>
    <xf numFmtId="0" fontId="54" fillId="0" borderId="32" xfId="0" applyFont="1" applyBorder="1" applyAlignment="1">
      <alignment horizontal="left"/>
    </xf>
    <xf numFmtId="0" fontId="54" fillId="0" borderId="23" xfId="0" applyFont="1" applyBorder="1"/>
    <xf numFmtId="1" fontId="54" fillId="0" borderId="23" xfId="0" applyNumberFormat="1" applyFont="1" applyBorder="1" applyAlignment="1">
      <alignment horizontal="center"/>
    </xf>
    <xf numFmtId="1" fontId="54" fillId="0" borderId="33" xfId="0" applyNumberFormat="1" applyFont="1" applyBorder="1" applyAlignment="1">
      <alignment horizontal="center"/>
    </xf>
    <xf numFmtId="1" fontId="54" fillId="8" borderId="33" xfId="0" applyNumberFormat="1" applyFont="1" applyFill="1" applyBorder="1" applyAlignment="1">
      <alignment horizontal="center"/>
    </xf>
    <xf numFmtId="1" fontId="54" fillId="6" borderId="33" xfId="0" applyNumberFormat="1" applyFont="1" applyFill="1" applyBorder="1" applyAlignment="1">
      <alignment horizontal="center"/>
    </xf>
    <xf numFmtId="1" fontId="54" fillId="7" borderId="33" xfId="0" applyNumberFormat="1" applyFont="1" applyFill="1" applyBorder="1" applyAlignment="1">
      <alignment horizontal="center"/>
    </xf>
    <xf numFmtId="0" fontId="54" fillId="9" borderId="0" xfId="0" applyFont="1" applyFill="1" applyAlignment="1">
      <alignment horizontal="left"/>
    </xf>
    <xf numFmtId="1" fontId="54" fillId="9" borderId="0" xfId="0" applyNumberFormat="1" applyFont="1" applyFill="1" applyAlignment="1">
      <alignment horizontal="center"/>
    </xf>
    <xf numFmtId="0" fontId="26" fillId="9" borderId="26" xfId="0" applyFont="1" applyFill="1" applyBorder="1" applyAlignment="1">
      <alignment horizontal="center" vertical="center"/>
    </xf>
    <xf numFmtId="2" fontId="158" fillId="0" borderId="10" xfId="0" applyNumberFormat="1" applyFont="1" applyBorder="1" applyAlignment="1">
      <alignment horizontal="center"/>
    </xf>
    <xf numFmtId="2" fontId="158" fillId="0" borderId="17" xfId="0" applyNumberFormat="1" applyFont="1" applyBorder="1" applyAlignment="1">
      <alignment horizontal="center"/>
    </xf>
    <xf numFmtId="2" fontId="158" fillId="8" borderId="17" xfId="0" applyNumberFormat="1" applyFont="1" applyFill="1" applyBorder="1" applyAlignment="1">
      <alignment horizontal="center"/>
    </xf>
    <xf numFmtId="2" fontId="158" fillId="6" borderId="17" xfId="0" applyNumberFormat="1" applyFont="1" applyFill="1" applyBorder="1" applyAlignment="1">
      <alignment horizontal="center"/>
    </xf>
    <xf numFmtId="2" fontId="158" fillId="7" borderId="17" xfId="0" applyNumberFormat="1" applyFont="1" applyFill="1" applyBorder="1" applyAlignment="1">
      <alignment horizontal="center"/>
    </xf>
    <xf numFmtId="2" fontId="54" fillId="9" borderId="10" xfId="0" applyNumberFormat="1" applyFont="1" applyFill="1" applyBorder="1" applyAlignment="1">
      <alignment horizontal="center"/>
    </xf>
    <xf numFmtId="2" fontId="54" fillId="0" borderId="10" xfId="0" applyNumberFormat="1" applyFont="1" applyBorder="1" applyAlignment="1">
      <alignment horizontal="center"/>
    </xf>
    <xf numFmtId="2" fontId="54" fillId="0" borderId="17" xfId="0" applyNumberFormat="1" applyFont="1" applyBorder="1" applyAlignment="1">
      <alignment horizontal="center"/>
    </xf>
    <xf numFmtId="2" fontId="54" fillId="8" borderId="17" xfId="0" applyNumberFormat="1" applyFont="1" applyFill="1" applyBorder="1" applyAlignment="1">
      <alignment horizontal="center"/>
    </xf>
    <xf numFmtId="2" fontId="54" fillId="6" borderId="17" xfId="0" applyNumberFormat="1" applyFont="1" applyFill="1" applyBorder="1" applyAlignment="1">
      <alignment horizontal="center"/>
    </xf>
    <xf numFmtId="2" fontId="54" fillId="7" borderId="17" xfId="0" applyNumberFormat="1" applyFont="1" applyFill="1" applyBorder="1" applyAlignment="1">
      <alignment horizontal="center"/>
    </xf>
    <xf numFmtId="2" fontId="158" fillId="9" borderId="10" xfId="0" applyNumberFormat="1" applyFont="1" applyFill="1" applyBorder="1" applyAlignment="1">
      <alignment horizontal="center"/>
    </xf>
    <xf numFmtId="2" fontId="24" fillId="0" borderId="17" xfId="0" applyNumberFormat="1" applyFont="1" applyBorder="1" applyAlignment="1">
      <alignment horizontal="center" vertical="center"/>
    </xf>
    <xf numFmtId="2" fontId="24" fillId="8" borderId="17" xfId="0" applyNumberFormat="1" applyFont="1" applyFill="1" applyBorder="1" applyAlignment="1">
      <alignment horizontal="center" vertical="center"/>
    </xf>
    <xf numFmtId="2" fontId="24" fillId="6" borderId="17" xfId="0" applyNumberFormat="1" applyFont="1" applyFill="1" applyBorder="1" applyAlignment="1">
      <alignment horizontal="center" vertical="center"/>
    </xf>
    <xf numFmtId="2" fontId="24" fillId="7" borderId="17" xfId="0" applyNumberFormat="1" applyFont="1" applyFill="1" applyBorder="1" applyAlignment="1">
      <alignment horizontal="center" vertical="center"/>
    </xf>
    <xf numFmtId="2" fontId="57" fillId="0" borderId="10" xfId="0" applyNumberFormat="1" applyFont="1" applyBorder="1" applyAlignment="1">
      <alignment horizontal="center"/>
    </xf>
    <xf numFmtId="2" fontId="57" fillId="0" borderId="17" xfId="0" applyNumberFormat="1" applyFont="1" applyBorder="1" applyAlignment="1">
      <alignment horizontal="center"/>
    </xf>
    <xf numFmtId="2" fontId="57" fillId="8" borderId="17" xfId="0" applyNumberFormat="1" applyFont="1" applyFill="1" applyBorder="1" applyAlignment="1">
      <alignment horizontal="center"/>
    </xf>
    <xf numFmtId="2" fontId="57" fillId="6" borderId="17" xfId="0" applyNumberFormat="1" applyFont="1" applyFill="1" applyBorder="1" applyAlignment="1">
      <alignment horizontal="center"/>
    </xf>
    <xf numFmtId="2" fontId="57" fillId="7" borderId="17" xfId="0" applyNumberFormat="1" applyFont="1" applyFill="1" applyBorder="1" applyAlignment="1">
      <alignment horizontal="center"/>
    </xf>
    <xf numFmtId="2" fontId="57" fillId="9" borderId="10" xfId="0" applyNumberFormat="1" applyFont="1" applyFill="1" applyBorder="1" applyAlignment="1">
      <alignment horizontal="center"/>
    </xf>
    <xf numFmtId="2" fontId="54" fillId="9" borderId="23" xfId="0" applyNumberFormat="1" applyFont="1" applyFill="1" applyBorder="1" applyAlignment="1">
      <alignment horizontal="center"/>
    </xf>
    <xf numFmtId="2" fontId="54" fillId="0" borderId="23" xfId="0" applyNumberFormat="1" applyFont="1" applyBorder="1" applyAlignment="1">
      <alignment horizontal="center"/>
    </xf>
    <xf numFmtId="2" fontId="54" fillId="0" borderId="33" xfId="0" applyNumberFormat="1" applyFont="1" applyBorder="1" applyAlignment="1">
      <alignment horizontal="center"/>
    </xf>
    <xf numFmtId="2" fontId="54" fillId="8" borderId="33" xfId="0" applyNumberFormat="1" applyFont="1" applyFill="1" applyBorder="1" applyAlignment="1">
      <alignment horizontal="center"/>
    </xf>
    <xf numFmtId="2" fontId="54" fillId="6" borderId="33" xfId="0" applyNumberFormat="1" applyFont="1" applyFill="1" applyBorder="1" applyAlignment="1">
      <alignment horizontal="center"/>
    </xf>
    <xf numFmtId="2" fontId="54" fillId="7" borderId="33" xfId="0" applyNumberFormat="1" applyFont="1" applyFill="1" applyBorder="1" applyAlignment="1">
      <alignment horizontal="center"/>
    </xf>
    <xf numFmtId="1" fontId="24" fillId="8" borderId="59" xfId="0" applyNumberFormat="1" applyFont="1" applyFill="1" applyBorder="1" applyAlignment="1">
      <alignment horizontal="center" vertical="center"/>
    </xf>
    <xf numFmtId="1" fontId="24" fillId="8" borderId="63" xfId="0" applyNumberFormat="1" applyFont="1" applyFill="1" applyBorder="1" applyAlignment="1">
      <alignment horizontal="center" vertical="center"/>
    </xf>
    <xf numFmtId="1" fontId="24" fillId="7" borderId="63" xfId="0" applyNumberFormat="1" applyFont="1" applyFill="1" applyBorder="1" applyAlignment="1">
      <alignment horizontal="center" vertical="center"/>
    </xf>
    <xf numFmtId="0" fontId="24" fillId="9" borderId="10" xfId="0" applyFont="1" applyFill="1" applyBorder="1"/>
    <xf numFmtId="0" fontId="26" fillId="6" borderId="10" xfId="0" applyFont="1" applyFill="1" applyBorder="1" applyAlignment="1">
      <alignment horizontal="center" vertical="center"/>
    </xf>
    <xf numFmtId="0" fontId="10" fillId="0" borderId="10" xfId="0" applyFont="1" applyBorder="1"/>
    <xf numFmtId="0" fontId="10" fillId="9" borderId="10" xfId="0" applyFont="1" applyFill="1" applyBorder="1"/>
    <xf numFmtId="0" fontId="25" fillId="9" borderId="10" xfId="0" applyFont="1" applyFill="1" applyBorder="1"/>
    <xf numFmtId="1" fontId="25" fillId="9" borderId="10" xfId="0" applyNumberFormat="1" applyFont="1" applyFill="1" applyBorder="1"/>
    <xf numFmtId="166" fontId="25" fillId="9" borderId="69" xfId="0" applyNumberFormat="1" applyFont="1" applyFill="1" applyBorder="1" applyAlignment="1">
      <alignment horizontal="center" vertical="center"/>
    </xf>
    <xf numFmtId="0" fontId="3" fillId="0" borderId="92" xfId="0" applyFont="1" applyBorder="1"/>
    <xf numFmtId="0" fontId="3" fillId="9" borderId="7" xfId="0" applyFont="1" applyFill="1" applyBorder="1"/>
    <xf numFmtId="0" fontId="3" fillId="0" borderId="44" xfId="0" applyFont="1" applyBorder="1"/>
    <xf numFmtId="0" fontId="26" fillId="9" borderId="8" xfId="0" applyFont="1" applyFill="1" applyBorder="1" applyAlignment="1">
      <alignment horizontal="center" vertical="center"/>
    </xf>
    <xf numFmtId="0" fontId="26" fillId="9" borderId="34" xfId="0" applyFont="1" applyFill="1" applyBorder="1" applyAlignment="1">
      <alignment horizontal="center" vertical="center"/>
    </xf>
    <xf numFmtId="0" fontId="26" fillId="9" borderId="36" xfId="0" quotePrefix="1" applyFont="1" applyFill="1" applyBorder="1" applyAlignment="1">
      <alignment horizontal="center" vertical="center"/>
    </xf>
    <xf numFmtId="0" fontId="26" fillId="9" borderId="62" xfId="0" applyFont="1" applyFill="1" applyBorder="1" applyAlignment="1">
      <alignment horizontal="center" vertical="center"/>
    </xf>
    <xf numFmtId="0" fontId="26" fillId="8" borderId="8" xfId="0" applyFont="1" applyFill="1" applyBorder="1" applyAlignment="1">
      <alignment horizontal="center" vertical="center"/>
    </xf>
    <xf numFmtId="0" fontId="26" fillId="6" borderId="8" xfId="0" applyFont="1" applyFill="1" applyBorder="1" applyAlignment="1">
      <alignment horizontal="center" vertical="center"/>
    </xf>
    <xf numFmtId="2" fontId="26" fillId="6" borderId="59" xfId="0" applyNumberFormat="1" applyFont="1" applyFill="1" applyBorder="1" applyAlignment="1">
      <alignment horizontal="center" vertical="center"/>
    </xf>
    <xf numFmtId="2" fontId="26" fillId="8" borderId="59" xfId="0" applyNumberFormat="1" applyFont="1" applyFill="1" applyBorder="1" applyAlignment="1">
      <alignment horizontal="center" vertical="center"/>
    </xf>
    <xf numFmtId="2" fontId="26" fillId="7" borderId="59" xfId="0" applyNumberFormat="1" applyFont="1" applyFill="1" applyBorder="1" applyAlignment="1">
      <alignment horizontal="center" vertical="center"/>
    </xf>
    <xf numFmtId="166" fontId="24" fillId="8" borderId="4" xfId="0" applyNumberFormat="1" applyFont="1" applyFill="1" applyBorder="1" applyAlignment="1">
      <alignment horizontal="center" vertical="center"/>
    </xf>
    <xf numFmtId="166" fontId="24" fillId="6" borderId="4" xfId="0" applyNumberFormat="1" applyFont="1" applyFill="1" applyBorder="1" applyAlignment="1">
      <alignment horizontal="center" vertical="center"/>
    </xf>
    <xf numFmtId="0" fontId="26" fillId="9" borderId="63" xfId="0" applyFont="1" applyFill="1" applyBorder="1" applyAlignment="1">
      <alignment horizontal="center" vertical="center"/>
    </xf>
    <xf numFmtId="0" fontId="26" fillId="7" borderId="8" xfId="0" applyFont="1" applyFill="1" applyBorder="1" applyAlignment="1">
      <alignment horizontal="center" vertical="center"/>
    </xf>
    <xf numFmtId="0" fontId="5" fillId="9" borderId="47" xfId="0" applyFont="1" applyFill="1" applyBorder="1"/>
    <xf numFmtId="0" fontId="26" fillId="0" borderId="101" xfId="0" applyFont="1" applyBorder="1" applyAlignment="1">
      <alignment horizontal="right"/>
    </xf>
    <xf numFmtId="0" fontId="26" fillId="8" borderId="62" xfId="0" applyFont="1" applyFill="1" applyBorder="1" applyAlignment="1">
      <alignment horizontal="center" vertical="center"/>
    </xf>
    <xf numFmtId="0" fontId="26" fillId="8" borderId="36" xfId="0" applyFont="1" applyFill="1" applyBorder="1" applyAlignment="1">
      <alignment horizontal="center" vertical="center"/>
    </xf>
    <xf numFmtId="0" fontId="26" fillId="6" borderId="36" xfId="0" applyFont="1" applyFill="1" applyBorder="1" applyAlignment="1">
      <alignment horizontal="center" vertical="center"/>
    </xf>
    <xf numFmtId="0" fontId="26" fillId="7" borderId="62" xfId="0" applyFont="1" applyFill="1" applyBorder="1" applyAlignment="1">
      <alignment horizontal="center" vertical="center"/>
    </xf>
    <xf numFmtId="0" fontId="24" fillId="0" borderId="102" xfId="0" applyFont="1" applyBorder="1" applyAlignment="1">
      <alignment horizontal="right"/>
    </xf>
    <xf numFmtId="0" fontId="24" fillId="9" borderId="1" xfId="0" applyFont="1" applyFill="1" applyBorder="1" applyAlignment="1">
      <alignment horizontal="center" vertical="center"/>
    </xf>
    <xf numFmtId="0" fontId="24" fillId="9" borderId="106" xfId="0" applyFont="1" applyFill="1" applyBorder="1"/>
    <xf numFmtId="0" fontId="36" fillId="9" borderId="44" xfId="0" applyFont="1" applyFill="1" applyBorder="1"/>
    <xf numFmtId="167" fontId="26" fillId="0" borderId="99" xfId="0" applyNumberFormat="1" applyFont="1" applyBorder="1" applyAlignment="1">
      <alignment horizontal="right" vertical="center"/>
    </xf>
    <xf numFmtId="166" fontId="26" fillId="8" borderId="59" xfId="0" applyNumberFormat="1" applyFont="1" applyFill="1" applyBorder="1" applyAlignment="1">
      <alignment horizontal="center" vertical="center"/>
    </xf>
    <xf numFmtId="166" fontId="26" fillId="6" borderId="59" xfId="0" applyNumberFormat="1" applyFont="1" applyFill="1" applyBorder="1" applyAlignment="1">
      <alignment horizontal="center" vertical="center"/>
    </xf>
    <xf numFmtId="166" fontId="26" fillId="7" borderId="32" xfId="0" applyNumberFormat="1" applyFont="1" applyFill="1" applyBorder="1" applyAlignment="1">
      <alignment horizontal="center" vertical="center"/>
    </xf>
    <xf numFmtId="0" fontId="24" fillId="0" borderId="91" xfId="0" applyFont="1" applyBorder="1" applyAlignment="1">
      <alignment horizontal="right"/>
    </xf>
    <xf numFmtId="0" fontId="24" fillId="0" borderId="39" xfId="0" applyFont="1" applyBorder="1" applyAlignment="1">
      <alignment horizontal="center" vertical="center"/>
    </xf>
    <xf numFmtId="1" fontId="24" fillId="9" borderId="55" xfId="0" applyNumberFormat="1" applyFont="1" applyFill="1" applyBorder="1" applyAlignment="1">
      <alignment vertical="center"/>
    </xf>
    <xf numFmtId="1" fontId="24" fillId="0" borderId="25" xfId="0" applyNumberFormat="1" applyFont="1" applyBorder="1" applyAlignment="1">
      <alignment vertical="center"/>
    </xf>
    <xf numFmtId="0" fontId="24" fillId="0" borderId="106" xfId="0" applyFont="1" applyBorder="1"/>
    <xf numFmtId="0" fontId="36" fillId="0" borderId="44" xfId="0" applyFont="1" applyBorder="1"/>
    <xf numFmtId="166" fontId="26" fillId="9" borderId="34" xfId="0" applyNumberFormat="1" applyFont="1" applyFill="1" applyBorder="1" applyAlignment="1">
      <alignment horizontal="center" vertical="center"/>
    </xf>
    <xf numFmtId="167" fontId="26" fillId="0" borderId="108" xfId="0" applyNumberFormat="1" applyFont="1" applyBorder="1" applyAlignment="1">
      <alignment horizontal="right" vertical="center"/>
    </xf>
    <xf numFmtId="0" fontId="26" fillId="0" borderId="84" xfId="0" applyFont="1" applyBorder="1" applyAlignment="1">
      <alignment horizontal="center" vertical="center"/>
    </xf>
    <xf numFmtId="0" fontId="3" fillId="0" borderId="89" xfId="0" applyFont="1" applyBorder="1"/>
    <xf numFmtId="0" fontId="3" fillId="9" borderId="77" xfId="0" applyFont="1" applyFill="1" applyBorder="1"/>
    <xf numFmtId="0" fontId="3" fillId="0" borderId="134" xfId="0" applyFont="1" applyBorder="1"/>
    <xf numFmtId="0" fontId="5" fillId="0" borderId="47" xfId="0" applyFont="1" applyBorder="1" applyAlignment="1">
      <alignment vertical="center"/>
    </xf>
    <xf numFmtId="1" fontId="26" fillId="9" borderId="62" xfId="0" quotePrefix="1" applyNumberFormat="1" applyFont="1" applyFill="1" applyBorder="1" applyAlignment="1">
      <alignment vertical="center"/>
    </xf>
    <xf numFmtId="1" fontId="26" fillId="9" borderId="74" xfId="0" quotePrefix="1" applyNumberFormat="1" applyFont="1" applyFill="1" applyBorder="1" applyAlignment="1">
      <alignment vertical="center"/>
    </xf>
    <xf numFmtId="1" fontId="10" fillId="9" borderId="63" xfId="0" quotePrefix="1" applyNumberFormat="1" applyFont="1" applyFill="1" applyBorder="1" applyAlignment="1">
      <alignment horizontal="center" vertical="center"/>
    </xf>
    <xf numFmtId="1" fontId="10" fillId="9" borderId="3" xfId="0" quotePrefix="1" applyNumberFormat="1" applyFont="1" applyFill="1" applyBorder="1" applyAlignment="1">
      <alignment horizontal="center" vertical="center"/>
    </xf>
    <xf numFmtId="1" fontId="10" fillId="8" borderId="24" xfId="0" applyNumberFormat="1" applyFont="1" applyFill="1" applyBorder="1" applyAlignment="1">
      <alignment horizontal="center" vertical="center"/>
    </xf>
    <xf numFmtId="1" fontId="10" fillId="6" borderId="24" xfId="0" applyNumberFormat="1" applyFont="1" applyFill="1" applyBorder="1" applyAlignment="1">
      <alignment horizontal="center" vertical="center"/>
    </xf>
    <xf numFmtId="1" fontId="10" fillId="7" borderId="44" xfId="0" applyNumberFormat="1" applyFont="1" applyFill="1" applyBorder="1" applyAlignment="1">
      <alignment horizontal="center" vertical="center"/>
    </xf>
    <xf numFmtId="2" fontId="5" fillId="9" borderId="9" xfId="0" quotePrefix="1" applyNumberFormat="1" applyFont="1" applyFill="1" applyBorder="1" applyAlignment="1">
      <alignment horizontal="center" vertical="center"/>
    </xf>
    <xf numFmtId="2" fontId="5" fillId="8" borderId="57" xfId="0" applyNumberFormat="1" applyFont="1" applyFill="1" applyBorder="1" applyAlignment="1">
      <alignment horizontal="center" vertical="center"/>
    </xf>
    <xf numFmtId="2" fontId="5" fillId="9" borderId="69" xfId="0" quotePrefix="1" applyNumberFormat="1" applyFont="1" applyFill="1" applyBorder="1" applyAlignment="1">
      <alignment horizontal="center" vertical="center"/>
    </xf>
    <xf numFmtId="2" fontId="5" fillId="6" borderId="57" xfId="0" applyNumberFormat="1" applyFont="1" applyFill="1" applyBorder="1" applyAlignment="1">
      <alignment horizontal="center" vertical="center"/>
    </xf>
    <xf numFmtId="2" fontId="5" fillId="8" borderId="26" xfId="0" applyNumberFormat="1" applyFont="1" applyFill="1" applyBorder="1" applyAlignment="1">
      <alignment horizontal="center" vertical="center"/>
    </xf>
    <xf numFmtId="166" fontId="5" fillId="9" borderId="9" xfId="0" quotePrefix="1" applyNumberFormat="1" applyFont="1" applyFill="1" applyBorder="1" applyAlignment="1">
      <alignment horizontal="center" vertical="center"/>
    </xf>
    <xf numFmtId="2" fontId="5" fillId="6" borderId="26" xfId="0" applyNumberFormat="1" applyFont="1" applyFill="1" applyBorder="1" applyAlignment="1">
      <alignment horizontal="center" vertical="center"/>
    </xf>
    <xf numFmtId="2" fontId="5" fillId="7" borderId="57" xfId="0" applyNumberFormat="1" applyFont="1" applyFill="1" applyBorder="1" applyAlignment="1">
      <alignment horizontal="center" vertical="center"/>
    </xf>
    <xf numFmtId="1" fontId="26" fillId="9" borderId="34" xfId="0" quotePrefix="1" applyNumberFormat="1" applyFont="1" applyFill="1" applyBorder="1" applyAlignment="1">
      <alignment horizontal="center" vertical="center"/>
    </xf>
    <xf numFmtId="2" fontId="27" fillId="9" borderId="31" xfId="0" quotePrefix="1" applyNumberFormat="1" applyFont="1" applyFill="1" applyBorder="1" applyAlignment="1">
      <alignment horizontal="center" vertical="center"/>
    </xf>
    <xf numFmtId="166" fontId="27" fillId="9" borderId="31" xfId="0" quotePrefix="1" applyNumberFormat="1" applyFont="1" applyFill="1" applyBorder="1" applyAlignment="1">
      <alignment horizontal="center" vertical="center"/>
    </xf>
    <xf numFmtId="166" fontId="27" fillId="9" borderId="29" xfId="0" quotePrefix="1" applyNumberFormat="1" applyFont="1" applyFill="1" applyBorder="1" applyAlignment="1">
      <alignment horizontal="center" vertical="center"/>
    </xf>
    <xf numFmtId="166" fontId="27" fillId="8" borderId="6" xfId="0" applyNumberFormat="1" applyFont="1" applyFill="1" applyBorder="1" applyAlignment="1">
      <alignment horizontal="center" vertical="center"/>
    </xf>
    <xf numFmtId="166" fontId="27" fillId="6" borderId="6" xfId="0" applyNumberFormat="1" applyFont="1" applyFill="1" applyBorder="1" applyAlignment="1">
      <alignment horizontal="center" vertical="center"/>
    </xf>
    <xf numFmtId="166" fontId="27" fillId="7" borderId="47" xfId="0" applyNumberFormat="1" applyFont="1" applyFill="1" applyBorder="1" applyAlignment="1">
      <alignment horizontal="center" vertical="center"/>
    </xf>
    <xf numFmtId="1" fontId="26" fillId="9" borderId="31" xfId="0" quotePrefix="1" applyNumberFormat="1" applyFont="1" applyFill="1" applyBorder="1" applyAlignment="1">
      <alignment horizontal="center" vertical="center"/>
    </xf>
    <xf numFmtId="1" fontId="26" fillId="9" borderId="29" xfId="0" quotePrefix="1" applyNumberFormat="1" applyFont="1" applyFill="1" applyBorder="1" applyAlignment="1">
      <alignment horizontal="center" vertical="center"/>
    </xf>
    <xf numFmtId="2" fontId="27" fillId="9" borderId="62" xfId="0" quotePrefix="1" applyNumberFormat="1" applyFont="1" applyFill="1" applyBorder="1" applyAlignment="1">
      <alignment horizontal="center" vertical="center"/>
    </xf>
    <xf numFmtId="166" fontId="27" fillId="9" borderId="62" xfId="0" quotePrefix="1" applyNumberFormat="1" applyFont="1" applyFill="1" applyBorder="1" applyAlignment="1">
      <alignment horizontal="center" vertical="center"/>
    </xf>
    <xf numFmtId="166" fontId="27" fillId="9" borderId="36" xfId="0" quotePrefix="1" applyNumberFormat="1" applyFont="1" applyFill="1" applyBorder="1" applyAlignment="1">
      <alignment horizontal="center" vertical="center"/>
    </xf>
    <xf numFmtId="1" fontId="24" fillId="9" borderId="3" xfId="0" quotePrefix="1" applyNumberFormat="1" applyFont="1" applyFill="1" applyBorder="1" applyAlignment="1">
      <alignment horizontal="center" vertical="center"/>
    </xf>
    <xf numFmtId="2" fontId="24" fillId="9" borderId="32" xfId="0" quotePrefix="1" applyNumberFormat="1" applyFont="1" applyFill="1" applyBorder="1" applyAlignment="1">
      <alignment horizontal="center" vertical="center"/>
    </xf>
    <xf numFmtId="166" fontId="24" fillId="9" borderId="32" xfId="0" quotePrefix="1" applyNumberFormat="1" applyFont="1" applyFill="1" applyBorder="1" applyAlignment="1">
      <alignment horizontal="center" vertical="center"/>
    </xf>
    <xf numFmtId="166" fontId="24" fillId="8" borderId="51" xfId="0" quotePrefix="1" applyNumberFormat="1" applyFont="1" applyFill="1" applyBorder="1" applyAlignment="1">
      <alignment horizontal="center" vertical="center"/>
    </xf>
    <xf numFmtId="166" fontId="24" fillId="9" borderId="59" xfId="0" quotePrefix="1" applyNumberFormat="1" applyFont="1" applyFill="1" applyBorder="1" applyAlignment="1">
      <alignment horizontal="center" vertical="center"/>
    </xf>
    <xf numFmtId="166" fontId="24" fillId="6" borderId="51" xfId="0" quotePrefix="1" applyNumberFormat="1" applyFont="1" applyFill="1" applyBorder="1" applyAlignment="1">
      <alignment horizontal="center" vertical="center"/>
    </xf>
    <xf numFmtId="166" fontId="24" fillId="8" borderId="49" xfId="0" quotePrefix="1" applyNumberFormat="1" applyFont="1" applyFill="1" applyBorder="1" applyAlignment="1">
      <alignment horizontal="center" vertical="center"/>
    </xf>
    <xf numFmtId="166" fontId="24" fillId="6" borderId="49" xfId="0" quotePrefix="1" applyNumberFormat="1" applyFont="1" applyFill="1" applyBorder="1" applyAlignment="1">
      <alignment horizontal="center" vertical="center"/>
    </xf>
    <xf numFmtId="166" fontId="24" fillId="7" borderId="51" xfId="0" quotePrefix="1" applyNumberFormat="1" applyFont="1" applyFill="1" applyBorder="1" applyAlignment="1">
      <alignment horizontal="center" vertical="center"/>
    </xf>
    <xf numFmtId="1" fontId="25" fillId="9" borderId="63" xfId="0" applyNumberFormat="1" applyFont="1" applyFill="1" applyBorder="1" applyAlignment="1">
      <alignment horizontal="center" vertical="center"/>
    </xf>
    <xf numFmtId="1" fontId="25" fillId="9" borderId="3" xfId="0" applyNumberFormat="1" applyFont="1" applyFill="1" applyBorder="1" applyAlignment="1">
      <alignment horizontal="center" vertical="center"/>
    </xf>
    <xf numFmtId="2" fontId="24" fillId="9" borderId="32" xfId="0" applyNumberFormat="1" applyFont="1" applyFill="1" applyBorder="1" applyAlignment="1">
      <alignment horizontal="center" vertical="center"/>
    </xf>
    <xf numFmtId="166" fontId="24" fillId="9" borderId="32" xfId="0" applyNumberFormat="1" applyFont="1" applyFill="1" applyBorder="1" applyAlignment="1">
      <alignment horizontal="center" vertical="center"/>
    </xf>
    <xf numFmtId="166" fontId="24" fillId="9" borderId="59" xfId="0" applyNumberFormat="1" applyFont="1" applyFill="1" applyBorder="1" applyAlignment="1">
      <alignment horizontal="center" vertical="center"/>
    </xf>
    <xf numFmtId="166" fontId="25" fillId="8" borderId="50" xfId="0" applyNumberFormat="1" applyFont="1" applyFill="1" applyBorder="1" applyAlignment="1">
      <alignment horizontal="center" vertical="center"/>
    </xf>
    <xf numFmtId="166" fontId="25" fillId="6" borderId="50" xfId="0" applyNumberFormat="1" applyFont="1" applyFill="1" applyBorder="1" applyAlignment="1">
      <alignment horizontal="center" vertical="center"/>
    </xf>
    <xf numFmtId="1" fontId="5" fillId="9" borderId="3" xfId="0" applyNumberFormat="1" applyFont="1" applyFill="1" applyBorder="1" applyAlignment="1">
      <alignment horizontal="center" vertical="center"/>
    </xf>
    <xf numFmtId="2" fontId="5" fillId="8" borderId="49" xfId="0" applyNumberFormat="1" applyFont="1" applyFill="1" applyBorder="1" applyAlignment="1">
      <alignment horizontal="center" vertical="center"/>
    </xf>
    <xf numFmtId="2" fontId="5" fillId="6" borderId="49" xfId="0" applyNumberFormat="1" applyFont="1" applyFill="1" applyBorder="1" applyAlignment="1">
      <alignment horizontal="center" vertical="center"/>
    </xf>
    <xf numFmtId="2" fontId="5" fillId="7" borderId="51" xfId="0" applyNumberFormat="1" applyFont="1" applyFill="1" applyBorder="1" applyAlignment="1">
      <alignment horizontal="center" vertical="center"/>
    </xf>
    <xf numFmtId="0" fontId="36" fillId="9" borderId="24" xfId="0" applyFont="1" applyFill="1" applyBorder="1" applyAlignment="1">
      <alignment vertical="center"/>
    </xf>
    <xf numFmtId="0" fontId="36" fillId="9" borderId="44" xfId="0" applyFont="1" applyFill="1" applyBorder="1" applyAlignment="1">
      <alignment vertical="center"/>
    </xf>
    <xf numFmtId="1" fontId="24" fillId="9" borderId="63" xfId="0" applyNumberFormat="1" applyFont="1" applyFill="1" applyBorder="1" applyAlignment="1">
      <alignment horizontal="center" vertical="center"/>
    </xf>
    <xf numFmtId="1" fontId="24" fillId="6" borderId="63" xfId="0" applyNumberFormat="1" applyFont="1" applyFill="1" applyBorder="1" applyAlignment="1">
      <alignment horizontal="center" vertical="center"/>
    </xf>
    <xf numFmtId="1" fontId="24" fillId="8" borderId="32" xfId="0" applyNumberFormat="1" applyFont="1" applyFill="1" applyBorder="1" applyAlignment="1">
      <alignment horizontal="center" vertical="center"/>
    </xf>
    <xf numFmtId="1" fontId="24" fillId="9" borderId="32" xfId="0" applyNumberFormat="1" applyFont="1" applyFill="1" applyBorder="1" applyAlignment="1">
      <alignment horizontal="center" vertical="center"/>
    </xf>
    <xf numFmtId="1" fontId="24" fillId="6" borderId="32" xfId="0" applyNumberFormat="1" applyFont="1" applyFill="1" applyBorder="1" applyAlignment="1">
      <alignment horizontal="center" vertical="center"/>
    </xf>
    <xf numFmtId="1" fontId="24" fillId="6" borderId="59" xfId="0" applyNumberFormat="1" applyFont="1" applyFill="1" applyBorder="1" applyAlignment="1">
      <alignment horizontal="center" vertical="center"/>
    </xf>
    <xf numFmtId="1" fontId="24" fillId="7" borderId="32" xfId="0" applyNumberFormat="1" applyFont="1" applyFill="1" applyBorder="1" applyAlignment="1">
      <alignment horizontal="center" vertical="center"/>
    </xf>
    <xf numFmtId="1" fontId="5" fillId="8" borderId="76" xfId="0" applyNumberFormat="1" applyFont="1" applyFill="1" applyBorder="1" applyAlignment="1">
      <alignment horizontal="center" vertical="center"/>
    </xf>
    <xf numFmtId="1" fontId="5" fillId="8" borderId="87" xfId="0" applyNumberFormat="1" applyFont="1" applyFill="1" applyBorder="1" applyAlignment="1">
      <alignment horizontal="center" vertical="center"/>
    </xf>
    <xf numFmtId="1" fontId="5" fillId="6" borderId="87" xfId="0" applyNumberFormat="1" applyFont="1" applyFill="1" applyBorder="1" applyAlignment="1">
      <alignment horizontal="center" vertical="center"/>
    </xf>
    <xf numFmtId="1" fontId="5" fillId="7" borderId="76" xfId="0" applyNumberFormat="1" applyFont="1" applyFill="1" applyBorder="1" applyAlignment="1">
      <alignment horizontal="center" vertical="center"/>
    </xf>
    <xf numFmtId="0" fontId="49" fillId="9" borderId="24" xfId="0" applyFont="1" applyFill="1" applyBorder="1" applyAlignment="1">
      <alignment vertical="center"/>
    </xf>
    <xf numFmtId="0" fontId="49" fillId="0" borderId="44" xfId="0" applyFont="1" applyBorder="1" applyAlignment="1">
      <alignment vertical="center"/>
    </xf>
    <xf numFmtId="0" fontId="24" fillId="0" borderId="47" xfId="0" applyFont="1" applyBorder="1" applyAlignment="1">
      <alignment vertical="center"/>
    </xf>
    <xf numFmtId="166" fontId="5" fillId="8" borderId="69" xfId="0" applyNumberFormat="1" applyFont="1" applyFill="1" applyBorder="1" applyAlignment="1">
      <alignment horizontal="center" vertical="center"/>
    </xf>
    <xf numFmtId="166" fontId="5" fillId="6" borderId="69" xfId="0" applyNumberFormat="1" applyFont="1" applyFill="1" applyBorder="1" applyAlignment="1">
      <alignment horizontal="center" vertical="center"/>
    </xf>
    <xf numFmtId="166" fontId="5" fillId="7" borderId="1" xfId="0" applyNumberFormat="1" applyFont="1" applyFill="1" applyBorder="1" applyAlignment="1">
      <alignment horizontal="center" vertical="center"/>
    </xf>
    <xf numFmtId="166" fontId="5" fillId="9" borderId="31" xfId="0" applyNumberFormat="1" applyFont="1" applyFill="1" applyBorder="1" applyAlignment="1">
      <alignment horizontal="center" vertical="center"/>
    </xf>
    <xf numFmtId="166" fontId="5" fillId="8" borderId="31" xfId="0" applyNumberFormat="1" applyFont="1" applyFill="1" applyBorder="1" applyAlignment="1">
      <alignment horizontal="center" vertical="center"/>
    </xf>
    <xf numFmtId="166" fontId="5" fillId="8" borderId="29" xfId="0" applyNumberFormat="1" applyFont="1" applyFill="1" applyBorder="1" applyAlignment="1">
      <alignment horizontal="center" vertical="center"/>
    </xf>
    <xf numFmtId="166" fontId="5" fillId="6" borderId="29" xfId="0" applyNumberFormat="1" applyFont="1" applyFill="1" applyBorder="1" applyAlignment="1">
      <alignment horizontal="center" vertical="center"/>
    </xf>
    <xf numFmtId="166" fontId="5" fillId="7" borderId="31" xfId="0" applyNumberFormat="1" applyFont="1" applyFill="1" applyBorder="1" applyAlignment="1">
      <alignment horizontal="center" vertical="center"/>
    </xf>
    <xf numFmtId="168" fontId="7" fillId="9" borderId="6" xfId="0" applyNumberFormat="1" applyFont="1" applyFill="1" applyBorder="1" applyAlignment="1">
      <alignment vertical="center"/>
    </xf>
    <xf numFmtId="168" fontId="7" fillId="0" borderId="47" xfId="0" applyNumberFormat="1" applyFont="1" applyBorder="1" applyAlignment="1">
      <alignment vertical="center"/>
    </xf>
    <xf numFmtId="166" fontId="5" fillId="9" borderId="1" xfId="0" applyNumberFormat="1" applyFont="1" applyFill="1" applyBorder="1" applyAlignment="1">
      <alignment horizontal="center" vertical="center"/>
    </xf>
    <xf numFmtId="166" fontId="5" fillId="8" borderId="4" xfId="0" applyNumberFormat="1" applyFont="1" applyFill="1" applyBorder="1" applyAlignment="1">
      <alignment horizontal="center" vertical="center"/>
    </xf>
    <xf numFmtId="166" fontId="5" fillId="6" borderId="4" xfId="0" applyNumberFormat="1" applyFont="1" applyFill="1" applyBorder="1" applyAlignment="1">
      <alignment horizontal="center" vertical="center"/>
    </xf>
    <xf numFmtId="166" fontId="7" fillId="9" borderId="44" xfId="0" applyNumberFormat="1" applyFont="1" applyFill="1" applyBorder="1" applyAlignment="1">
      <alignment vertical="center"/>
    </xf>
    <xf numFmtId="166" fontId="26" fillId="6" borderId="45" xfId="0" applyNumberFormat="1" applyFont="1" applyFill="1" applyBorder="1" applyAlignment="1">
      <alignment horizontal="center" vertical="center"/>
    </xf>
    <xf numFmtId="166" fontId="26" fillId="8" borderId="36" xfId="0" applyNumberFormat="1" applyFont="1" applyFill="1" applyBorder="1" applyAlignment="1">
      <alignment horizontal="center" vertical="center"/>
    </xf>
    <xf numFmtId="168" fontId="26" fillId="9" borderId="31" xfId="0" applyNumberFormat="1" applyFont="1" applyFill="1" applyBorder="1" applyAlignment="1">
      <alignment horizontal="center" vertical="center"/>
    </xf>
    <xf numFmtId="168" fontId="26" fillId="8" borderId="29" xfId="0" applyNumberFormat="1" applyFont="1" applyFill="1" applyBorder="1" applyAlignment="1">
      <alignment horizontal="center" vertical="center"/>
    </xf>
    <xf numFmtId="168" fontId="26" fillId="6" borderId="29" xfId="0" applyNumberFormat="1" applyFont="1" applyFill="1" applyBorder="1" applyAlignment="1">
      <alignment horizontal="center" vertical="center"/>
    </xf>
    <xf numFmtId="0" fontId="36" fillId="9" borderId="47" xfId="0" applyFont="1" applyFill="1" applyBorder="1" applyAlignment="1">
      <alignment vertical="center"/>
    </xf>
    <xf numFmtId="166" fontId="26" fillId="9" borderId="62" xfId="0" applyNumberFormat="1" applyFont="1" applyFill="1" applyBorder="1" applyAlignment="1">
      <alignment vertical="center"/>
    </xf>
    <xf numFmtId="166" fontId="26" fillId="9" borderId="74" xfId="0" applyNumberFormat="1" applyFont="1" applyFill="1" applyBorder="1" applyAlignment="1">
      <alignment vertical="center"/>
    </xf>
    <xf numFmtId="0" fontId="26" fillId="9" borderId="99" xfId="0" applyFont="1" applyFill="1" applyBorder="1" applyAlignment="1">
      <alignment vertical="center"/>
    </xf>
    <xf numFmtId="0" fontId="3" fillId="0" borderId="113" xfId="0" applyFont="1" applyBorder="1"/>
    <xf numFmtId="0" fontId="3" fillId="9" borderId="88" xfId="0" applyFont="1" applyFill="1" applyBorder="1"/>
    <xf numFmtId="0" fontId="3" fillId="0" borderId="136" xfId="0" applyFont="1" applyBorder="1"/>
    <xf numFmtId="166" fontId="26" fillId="9" borderId="63" xfId="0" applyNumberFormat="1" applyFont="1" applyFill="1" applyBorder="1" applyAlignment="1">
      <alignment horizontal="center" vertical="center"/>
    </xf>
    <xf numFmtId="2" fontId="26" fillId="9" borderId="32" xfId="0" applyNumberFormat="1" applyFont="1" applyFill="1" applyBorder="1" applyAlignment="1">
      <alignment horizontal="center" vertical="center"/>
    </xf>
    <xf numFmtId="170" fontId="26" fillId="9" borderId="32" xfId="0" applyNumberFormat="1" applyFont="1" applyFill="1" applyBorder="1" applyAlignment="1">
      <alignment horizontal="center" vertical="center"/>
    </xf>
    <xf numFmtId="166" fontId="26" fillId="9" borderId="32" xfId="0" applyNumberFormat="1" applyFont="1" applyFill="1" applyBorder="1" applyAlignment="1">
      <alignment horizontal="center" vertical="center"/>
    </xf>
    <xf numFmtId="1" fontId="5" fillId="9" borderId="34" xfId="0" applyNumberFormat="1" applyFont="1" applyFill="1" applyBorder="1" applyAlignment="1">
      <alignment horizontal="center" vertical="center"/>
    </xf>
    <xf numFmtId="1" fontId="5" fillId="8" borderId="8" xfId="0" applyNumberFormat="1" applyFont="1" applyFill="1" applyBorder="1" applyAlignment="1">
      <alignment horizontal="center" vertical="center"/>
    </xf>
    <xf numFmtId="1" fontId="5" fillId="6" borderId="8" xfId="0" applyNumberFormat="1" applyFont="1" applyFill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2" fontId="5" fillId="9" borderId="32" xfId="0" applyNumberFormat="1" applyFont="1" applyFill="1" applyBorder="1" applyAlignment="1">
      <alignment horizontal="center" vertical="center"/>
    </xf>
    <xf numFmtId="2" fontId="5" fillId="8" borderId="32" xfId="0" applyNumberFormat="1" applyFont="1" applyFill="1" applyBorder="1" applyAlignment="1">
      <alignment horizontal="center" vertical="center"/>
    </xf>
    <xf numFmtId="2" fontId="5" fillId="6" borderId="32" xfId="0" applyNumberFormat="1" applyFont="1" applyFill="1" applyBorder="1" applyAlignment="1">
      <alignment horizontal="center" vertical="center"/>
    </xf>
    <xf numFmtId="2" fontId="5" fillId="8" borderId="59" xfId="0" applyNumberFormat="1" applyFont="1" applyFill="1" applyBorder="1" applyAlignment="1">
      <alignment horizontal="center" vertical="center"/>
    </xf>
    <xf numFmtId="166" fontId="5" fillId="9" borderId="32" xfId="0" applyNumberFormat="1" applyFont="1" applyFill="1" applyBorder="1" applyAlignment="1">
      <alignment horizontal="center" vertical="center"/>
    </xf>
    <xf numFmtId="2" fontId="5" fillId="6" borderId="59" xfId="0" applyNumberFormat="1" applyFont="1" applyFill="1" applyBorder="1" applyAlignment="1">
      <alignment horizontal="center" vertical="center"/>
    </xf>
    <xf numFmtId="2" fontId="5" fillId="7" borderId="32" xfId="0" applyNumberFormat="1" applyFont="1" applyFill="1" applyBorder="1" applyAlignment="1">
      <alignment horizontal="center" vertical="center"/>
    </xf>
    <xf numFmtId="2" fontId="26" fillId="9" borderId="10" xfId="0" quotePrefix="1" applyNumberFormat="1" applyFont="1" applyFill="1" applyBorder="1" applyAlignment="1">
      <alignment horizontal="center" vertical="center"/>
    </xf>
    <xf numFmtId="166" fontId="26" fillId="9" borderId="10" xfId="0" quotePrefix="1" applyNumberFormat="1" applyFont="1" applyFill="1" applyBorder="1" applyAlignment="1">
      <alignment horizontal="center" vertical="center"/>
    </xf>
    <xf numFmtId="0" fontId="108" fillId="0" borderId="10" xfId="0" applyFont="1" applyBorder="1"/>
    <xf numFmtId="0" fontId="26" fillId="0" borderId="10" xfId="0" applyFont="1" applyBorder="1"/>
    <xf numFmtId="0" fontId="26" fillId="9" borderId="10" xfId="0" applyFont="1" applyFill="1" applyBorder="1"/>
    <xf numFmtId="0" fontId="52" fillId="0" borderId="10" xfId="0" applyFont="1" applyBorder="1" applyAlignment="1">
      <alignment horizontal="center"/>
    </xf>
    <xf numFmtId="0" fontId="53" fillId="9" borderId="10" xfId="0" applyFont="1" applyFill="1" applyBorder="1" applyAlignment="1">
      <alignment horizontal="center" vertical="center"/>
    </xf>
    <xf numFmtId="0" fontId="53" fillId="0" borderId="10" xfId="0" applyFont="1" applyBorder="1" applyAlignment="1">
      <alignment horizontal="center" vertical="center"/>
    </xf>
    <xf numFmtId="0" fontId="49" fillId="9" borderId="10" xfId="0" applyFont="1" applyFill="1" applyBorder="1" applyAlignment="1">
      <alignment vertical="center"/>
    </xf>
    <xf numFmtId="0" fontId="52" fillId="9" borderId="10" xfId="0" applyFont="1" applyFill="1" applyBorder="1" applyAlignment="1">
      <alignment horizontal="center" vertical="center"/>
    </xf>
    <xf numFmtId="2" fontId="53" fillId="9" borderId="10" xfId="0" applyNumberFormat="1" applyFont="1" applyFill="1" applyBorder="1" applyAlignment="1">
      <alignment horizontal="center" vertical="center"/>
    </xf>
    <xf numFmtId="0" fontId="26" fillId="2" borderId="10" xfId="0" applyFont="1" applyFill="1" applyBorder="1" applyAlignment="1">
      <alignment vertical="center"/>
    </xf>
    <xf numFmtId="0" fontId="27" fillId="0" borderId="10" xfId="0" applyFont="1" applyBorder="1" applyAlignment="1">
      <alignment vertical="center"/>
    </xf>
    <xf numFmtId="0" fontId="27" fillId="0" borderId="10" xfId="0" applyFont="1" applyBorder="1"/>
    <xf numFmtId="0" fontId="5" fillId="0" borderId="10" xfId="0" applyFont="1" applyBorder="1" applyAlignment="1">
      <alignment horizontal="center" vertical="center"/>
    </xf>
    <xf numFmtId="0" fontId="26" fillId="0" borderId="10" xfId="0" applyFont="1" applyBorder="1" applyAlignment="1">
      <alignment horizontal="right" vertical="center"/>
    </xf>
    <xf numFmtId="0" fontId="24" fillId="0" borderId="10" xfId="0" applyFont="1" applyBorder="1" applyAlignment="1">
      <alignment horizontal="right" vertical="center"/>
    </xf>
    <xf numFmtId="0" fontId="49" fillId="0" borderId="10" xfId="0" applyFont="1" applyBorder="1" applyAlignment="1">
      <alignment vertical="center"/>
    </xf>
    <xf numFmtId="0" fontId="5" fillId="2" borderId="10" xfId="0" applyFont="1" applyFill="1" applyBorder="1" applyAlignment="1">
      <alignment vertical="center"/>
    </xf>
    <xf numFmtId="0" fontId="24" fillId="0" borderId="10" xfId="0" applyFont="1" applyBorder="1"/>
    <xf numFmtId="166" fontId="26" fillId="8" borderId="10" xfId="0" quotePrefix="1" applyNumberFormat="1" applyFont="1" applyFill="1" applyBorder="1" applyAlignment="1">
      <alignment horizontal="center" vertical="center"/>
    </xf>
    <xf numFmtId="1" fontId="26" fillId="0" borderId="10" xfId="0" quotePrefix="1" applyNumberFormat="1" applyFont="1" applyBorder="1" applyAlignment="1">
      <alignment horizontal="center" vertical="center"/>
    </xf>
    <xf numFmtId="1" fontId="26" fillId="8" borderId="10" xfId="0" quotePrefix="1" applyNumberFormat="1" applyFont="1" applyFill="1" applyBorder="1" applyAlignment="1">
      <alignment horizontal="center" vertical="center"/>
    </xf>
    <xf numFmtId="1" fontId="24" fillId="6" borderId="10" xfId="0" quotePrefix="1" applyNumberFormat="1" applyFont="1" applyFill="1" applyBorder="1" applyAlignment="1">
      <alignment horizontal="center" vertical="center"/>
    </xf>
    <xf numFmtId="1" fontId="26" fillId="7" borderId="10" xfId="0" quotePrefix="1" applyNumberFormat="1" applyFont="1" applyFill="1" applyBorder="1" applyAlignment="1">
      <alignment horizontal="center" vertical="center"/>
    </xf>
    <xf numFmtId="0" fontId="24" fillId="2" borderId="10" xfId="0" applyFont="1" applyFill="1" applyBorder="1" applyAlignment="1">
      <alignment vertical="center"/>
    </xf>
    <xf numFmtId="1" fontId="24" fillId="0" borderId="10" xfId="0" quotePrefix="1" applyNumberFormat="1" applyFont="1" applyBorder="1" applyAlignment="1">
      <alignment horizontal="center" vertical="center"/>
    </xf>
    <xf numFmtId="1" fontId="24" fillId="8" borderId="10" xfId="0" quotePrefix="1" applyNumberFormat="1" applyFont="1" applyFill="1" applyBorder="1" applyAlignment="1">
      <alignment horizontal="center" vertical="center"/>
    </xf>
    <xf numFmtId="1" fontId="24" fillId="7" borderId="10" xfId="0" quotePrefix="1" applyNumberFormat="1" applyFont="1" applyFill="1" applyBorder="1" applyAlignment="1">
      <alignment horizontal="center" vertical="center"/>
    </xf>
    <xf numFmtId="1" fontId="26" fillId="6" borderId="10" xfId="0" quotePrefix="1" applyNumberFormat="1" applyFont="1" applyFill="1" applyBorder="1" applyAlignment="1">
      <alignment horizontal="center" vertical="center"/>
    </xf>
    <xf numFmtId="166" fontId="26" fillId="0" borderId="10" xfId="0" quotePrefix="1" applyNumberFormat="1" applyFont="1" applyBorder="1" applyAlignment="1">
      <alignment horizontal="center" vertical="center"/>
    </xf>
    <xf numFmtId="166" fontId="26" fillId="6" borderId="10" xfId="0" quotePrefix="1" applyNumberFormat="1" applyFont="1" applyFill="1" applyBorder="1" applyAlignment="1">
      <alignment horizontal="center" vertical="center"/>
    </xf>
    <xf numFmtId="166" fontId="26" fillId="7" borderId="10" xfId="0" quotePrefix="1" applyNumberFormat="1" applyFont="1" applyFill="1" applyBorder="1" applyAlignment="1">
      <alignment horizontal="center" vertical="center"/>
    </xf>
    <xf numFmtId="0" fontId="5" fillId="0" borderId="10" xfId="0" applyFont="1" applyBorder="1" applyAlignment="1">
      <alignment horizontal="right" vertical="center"/>
    </xf>
    <xf numFmtId="0" fontId="11" fillId="0" borderId="10" xfId="0" applyFont="1" applyBorder="1" applyAlignment="1">
      <alignment vertical="center"/>
    </xf>
    <xf numFmtId="0" fontId="11" fillId="9" borderId="10" xfId="0" applyFont="1" applyFill="1" applyBorder="1" applyAlignment="1">
      <alignment vertical="center"/>
    </xf>
    <xf numFmtId="167" fontId="26" fillId="0" borderId="10" xfId="1" applyFont="1" applyBorder="1" applyAlignment="1">
      <alignment vertical="center"/>
    </xf>
    <xf numFmtId="167" fontId="24" fillId="0" borderId="10" xfId="1" applyFont="1" applyBorder="1" applyAlignment="1">
      <alignment horizontal="right" vertical="center"/>
    </xf>
    <xf numFmtId="168" fontId="24" fillId="9" borderId="10" xfId="0" applyNumberFormat="1" applyFont="1" applyFill="1" applyBorder="1" applyAlignment="1">
      <alignment horizontal="center" vertical="center"/>
    </xf>
    <xf numFmtId="168" fontId="24" fillId="0" borderId="10" xfId="0" applyNumberFormat="1" applyFont="1" applyBorder="1" applyAlignment="1">
      <alignment horizontal="center" vertical="center"/>
    </xf>
    <xf numFmtId="168" fontId="24" fillId="8" borderId="10" xfId="0" applyNumberFormat="1" applyFont="1" applyFill="1" applyBorder="1" applyAlignment="1">
      <alignment horizontal="center" vertical="center"/>
    </xf>
    <xf numFmtId="168" fontId="24" fillId="6" borderId="10" xfId="0" applyNumberFormat="1" applyFont="1" applyFill="1" applyBorder="1" applyAlignment="1">
      <alignment horizontal="center" vertical="center"/>
    </xf>
    <xf numFmtId="168" fontId="24" fillId="7" borderId="10" xfId="0" applyNumberFormat="1" applyFont="1" applyFill="1" applyBorder="1" applyAlignment="1">
      <alignment horizontal="center" vertical="center"/>
    </xf>
    <xf numFmtId="166" fontId="138" fillId="34" borderId="10" xfId="0" applyNumberFormat="1" applyFont="1" applyFill="1" applyBorder="1" applyAlignment="1">
      <alignment horizontal="center"/>
    </xf>
    <xf numFmtId="0" fontId="0" fillId="9" borderId="10" xfId="0" applyFill="1" applyBorder="1" applyAlignment="1">
      <alignment horizontal="right"/>
    </xf>
    <xf numFmtId="166" fontId="124" fillId="45" borderId="10" xfId="0" applyNumberFormat="1" applyFont="1" applyFill="1" applyBorder="1" applyAlignment="1">
      <alignment horizontal="center"/>
    </xf>
    <xf numFmtId="1" fontId="0" fillId="9" borderId="10" xfId="0" applyNumberFormat="1" applyFill="1" applyBorder="1"/>
    <xf numFmtId="166" fontId="0" fillId="8" borderId="10" xfId="0" applyNumberFormat="1" applyFill="1" applyBorder="1" applyAlignment="1">
      <alignment horizontal="center" vertical="center"/>
    </xf>
    <xf numFmtId="166" fontId="0" fillId="7" borderId="10" xfId="0" applyNumberFormat="1" applyFill="1" applyBorder="1" applyAlignment="1">
      <alignment horizontal="center" vertical="center"/>
    </xf>
    <xf numFmtId="1" fontId="26" fillId="9" borderId="10" xfId="0" applyNumberFormat="1" applyFont="1" applyFill="1" applyBorder="1" applyAlignment="1">
      <alignment horizontal="center" vertical="center"/>
    </xf>
    <xf numFmtId="1" fontId="26" fillId="0" borderId="34" xfId="0" applyNumberFormat="1" applyFont="1" applyBorder="1" applyAlignment="1">
      <alignment horizontal="center" vertical="center"/>
    </xf>
    <xf numFmtId="1" fontId="26" fillId="9" borderId="62" xfId="0" applyNumberFormat="1" applyFont="1" applyFill="1" applyBorder="1" applyAlignment="1">
      <alignment horizontal="center" vertical="center"/>
    </xf>
    <xf numFmtId="0" fontId="27" fillId="8" borderId="1" xfId="0" applyFont="1" applyFill="1" applyBorder="1" applyAlignment="1">
      <alignment horizontal="center" vertical="center"/>
    </xf>
    <xf numFmtId="1" fontId="26" fillId="0" borderId="63" xfId="0" applyNumberFormat="1" applyFont="1" applyBorder="1" applyAlignment="1">
      <alignment horizontal="center" vertical="center"/>
    </xf>
    <xf numFmtId="1" fontId="26" fillId="0" borderId="31" xfId="0" applyNumberFormat="1" applyFont="1" applyBorder="1" applyAlignment="1">
      <alignment horizontal="center" vertical="center"/>
    </xf>
    <xf numFmtId="1" fontId="26" fillId="9" borderId="31" xfId="0" applyNumberFormat="1" applyFont="1" applyFill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8" borderId="4" xfId="0" applyFont="1" applyFill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/>
    </xf>
    <xf numFmtId="1" fontId="26" fillId="9" borderId="30" xfId="0" applyNumberFormat="1" applyFont="1" applyFill="1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1" fontId="26" fillId="9" borderId="10" xfId="0" applyNumberFormat="1" applyFont="1" applyFill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1" fontId="23" fillId="0" borderId="12" xfId="0" applyNumberFormat="1" applyFont="1" applyBorder="1" applyAlignment="1">
      <alignment horizontal="center" vertical="center"/>
    </xf>
    <xf numFmtId="166" fontId="23" fillId="0" borderId="12" xfId="0" applyNumberFormat="1" applyFont="1" applyBorder="1" applyAlignment="1">
      <alignment horizontal="center" vertical="center"/>
    </xf>
    <xf numFmtId="168" fontId="23" fillId="0" borderId="12" xfId="0" applyNumberFormat="1" applyFont="1" applyBorder="1" applyAlignment="1">
      <alignment horizontal="center" vertical="center"/>
    </xf>
    <xf numFmtId="2" fontId="23" fillId="0" borderId="12" xfId="0" applyNumberFormat="1" applyFont="1" applyBorder="1" applyAlignment="1">
      <alignment horizontal="center" vertical="center"/>
    </xf>
    <xf numFmtId="1" fontId="23" fillId="0" borderId="20" xfId="0" applyNumberFormat="1" applyFont="1" applyBorder="1" applyAlignment="1">
      <alignment horizontal="center" vertical="center"/>
    </xf>
    <xf numFmtId="166" fontId="0" fillId="0" borderId="31" xfId="0" applyNumberFormat="1" applyBorder="1" applyAlignment="1">
      <alignment horizontal="center" vertical="center"/>
    </xf>
    <xf numFmtId="166" fontId="0" fillId="0" borderId="17" xfId="0" applyNumberFormat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2" fontId="0" fillId="0" borderId="31" xfId="0" applyNumberFormat="1" applyBorder="1" applyAlignment="1">
      <alignment horizontal="center" vertical="center"/>
    </xf>
    <xf numFmtId="168" fontId="0" fillId="0" borderId="31" xfId="0" applyNumberFormat="1" applyBorder="1" applyAlignment="1">
      <alignment horizontal="center" vertical="center"/>
    </xf>
    <xf numFmtId="1" fontId="0" fillId="0" borderId="32" xfId="0" applyNumberFormat="1" applyBorder="1" applyAlignment="1">
      <alignment horizontal="center" vertical="center"/>
    </xf>
    <xf numFmtId="166" fontId="0" fillId="8" borderId="29" xfId="0" applyNumberFormat="1" applyFill="1" applyBorder="1" applyAlignment="1">
      <alignment horizontal="center" vertical="center"/>
    </xf>
    <xf numFmtId="166" fontId="0" fillId="8" borderId="37" xfId="0" applyNumberFormat="1" applyFill="1" applyBorder="1" applyAlignment="1">
      <alignment horizontal="center" vertical="center"/>
    </xf>
    <xf numFmtId="166" fontId="0" fillId="6" borderId="31" xfId="0" applyNumberFormat="1" applyFill="1" applyBorder="1" applyAlignment="1">
      <alignment horizontal="center" vertical="center"/>
    </xf>
    <xf numFmtId="166" fontId="0" fillId="6" borderId="17" xfId="0" applyNumberFormat="1" applyFill="1" applyBorder="1" applyAlignment="1">
      <alignment horizontal="center" vertical="center"/>
    </xf>
    <xf numFmtId="1" fontId="0" fillId="6" borderId="31" xfId="0" applyNumberFormat="1" applyFill="1" applyBorder="1" applyAlignment="1">
      <alignment horizontal="center" vertical="center"/>
    </xf>
    <xf numFmtId="2" fontId="0" fillId="6" borderId="31" xfId="0" applyNumberFormat="1" applyFill="1" applyBorder="1" applyAlignment="1">
      <alignment horizontal="center" vertical="center"/>
    </xf>
    <xf numFmtId="168" fontId="0" fillId="6" borderId="31" xfId="0" applyNumberFormat="1" applyFill="1" applyBorder="1" applyAlignment="1">
      <alignment horizontal="center" vertical="center"/>
    </xf>
    <xf numFmtId="1" fontId="0" fillId="6" borderId="32" xfId="0" applyNumberFormat="1" applyFill="1" applyBorder="1" applyAlignment="1">
      <alignment horizontal="center" vertical="center"/>
    </xf>
    <xf numFmtId="166" fontId="0" fillId="8" borderId="31" xfId="0" applyNumberFormat="1" applyFill="1" applyBorder="1" applyAlignment="1">
      <alignment horizontal="center" vertical="center"/>
    </xf>
    <xf numFmtId="166" fontId="0" fillId="8" borderId="17" xfId="0" applyNumberFormat="1" applyFill="1" applyBorder="1" applyAlignment="1">
      <alignment horizontal="center" vertical="center"/>
    </xf>
    <xf numFmtId="1" fontId="0" fillId="8" borderId="31" xfId="0" applyNumberFormat="1" applyFill="1" applyBorder="1" applyAlignment="1">
      <alignment horizontal="center" vertical="center"/>
    </xf>
    <xf numFmtId="2" fontId="0" fillId="8" borderId="31" xfId="0" applyNumberFormat="1" applyFill="1" applyBorder="1" applyAlignment="1">
      <alignment horizontal="center" vertical="center"/>
    </xf>
    <xf numFmtId="168" fontId="0" fillId="8" borderId="31" xfId="0" applyNumberFormat="1" applyFill="1" applyBorder="1" applyAlignment="1">
      <alignment horizontal="center" vertical="center"/>
    </xf>
    <xf numFmtId="1" fontId="0" fillId="8" borderId="32" xfId="0" applyNumberFormat="1" applyFill="1" applyBorder="1" applyAlignment="1">
      <alignment horizontal="center" vertical="center"/>
    </xf>
    <xf numFmtId="166" fontId="0" fillId="7" borderId="29" xfId="0" applyNumberFormat="1" applyFill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8" borderId="4" xfId="0" applyFont="1" applyFill="1" applyBorder="1" applyAlignment="1">
      <alignment horizontal="center" vertical="center"/>
    </xf>
    <xf numFmtId="1" fontId="21" fillId="9" borderId="29" xfId="0" applyNumberFormat="1" applyFont="1" applyFill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0" fontId="5" fillId="8" borderId="25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5" fillId="7" borderId="25" xfId="0" applyFont="1" applyFill="1" applyBorder="1" applyAlignment="1">
      <alignment horizontal="center" vertical="center"/>
    </xf>
    <xf numFmtId="1" fontId="25" fillId="8" borderId="10" xfId="0" applyNumberFormat="1" applyFont="1" applyFill="1" applyBorder="1" applyAlignment="1">
      <alignment horizontal="center" vertical="center"/>
    </xf>
    <xf numFmtId="0" fontId="27" fillId="9" borderId="1" xfId="0" applyFont="1" applyFill="1" applyBorder="1" applyAlignment="1">
      <alignment horizontal="center" vertical="center"/>
    </xf>
    <xf numFmtId="1" fontId="24" fillId="9" borderId="10" xfId="0" applyNumberFormat="1" applyFont="1" applyFill="1" applyBorder="1" applyAlignment="1">
      <alignment horizontal="center" vertical="center"/>
    </xf>
    <xf numFmtId="1" fontId="26" fillId="9" borderId="62" xfId="0" applyNumberFormat="1" applyFont="1" applyFill="1" applyBorder="1" applyAlignment="1">
      <alignment horizontal="center" vertical="center"/>
    </xf>
    <xf numFmtId="1" fontId="26" fillId="9" borderId="34" xfId="0" applyNumberFormat="1" applyFont="1" applyFill="1" applyBorder="1" applyAlignment="1">
      <alignment horizontal="center" vertical="center"/>
    </xf>
    <xf numFmtId="1" fontId="26" fillId="8" borderId="34" xfId="0" applyNumberFormat="1" applyFont="1" applyFill="1" applyBorder="1" applyAlignment="1">
      <alignment horizontal="center" vertical="center"/>
    </xf>
    <xf numFmtId="1" fontId="26" fillId="8" borderId="8" xfId="0" applyNumberFormat="1" applyFont="1" applyFill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1" fontId="26" fillId="9" borderId="31" xfId="0" applyNumberFormat="1" applyFont="1" applyFill="1" applyBorder="1" applyAlignment="1">
      <alignment horizontal="center" vertical="center"/>
    </xf>
    <xf numFmtId="0" fontId="27" fillId="8" borderId="4" xfId="0" applyFont="1" applyFill="1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1" fontId="26" fillId="8" borderId="10" xfId="0" applyNumberFormat="1" applyFont="1" applyFill="1" applyBorder="1" applyAlignment="1">
      <alignment horizontal="center" vertical="center"/>
    </xf>
    <xf numFmtId="0" fontId="54" fillId="0" borderId="10" xfId="0" applyFont="1" applyBorder="1" applyAlignment="1">
      <alignment horizontal="center" vertical="center"/>
    </xf>
    <xf numFmtId="0" fontId="26" fillId="8" borderId="36" xfId="0" applyFont="1" applyFill="1" applyBorder="1" applyAlignment="1">
      <alignment horizontal="center" vertical="center"/>
    </xf>
    <xf numFmtId="166" fontId="26" fillId="9" borderId="62" xfId="0" applyNumberFormat="1" applyFont="1" applyFill="1" applyBorder="1" applyAlignment="1">
      <alignment horizontal="center" vertical="center"/>
    </xf>
    <xf numFmtId="0" fontId="26" fillId="8" borderId="8" xfId="0" applyFont="1" applyFill="1" applyBorder="1" applyAlignment="1">
      <alignment horizontal="center" vertical="center"/>
    </xf>
    <xf numFmtId="0" fontId="26" fillId="8" borderId="34" xfId="0" applyFont="1" applyFill="1" applyBorder="1" applyAlignment="1">
      <alignment horizontal="center" vertical="center"/>
    </xf>
    <xf numFmtId="1" fontId="25" fillId="8" borderId="10" xfId="0" applyNumberFormat="1" applyFont="1" applyFill="1" applyBorder="1" applyAlignment="1">
      <alignment horizontal="center" vertical="center"/>
    </xf>
    <xf numFmtId="1" fontId="26" fillId="9" borderId="10" xfId="0" applyNumberFormat="1" applyFont="1" applyFill="1" applyBorder="1" applyAlignment="1">
      <alignment horizontal="center" vertical="center"/>
    </xf>
    <xf numFmtId="2" fontId="26" fillId="0" borderId="10" xfId="0" applyNumberFormat="1" applyFont="1" applyBorder="1" applyAlignment="1">
      <alignment horizontal="center" vertical="center"/>
    </xf>
    <xf numFmtId="2" fontId="26" fillId="8" borderId="10" xfId="0" applyNumberFormat="1" applyFont="1" applyFill="1" applyBorder="1" applyAlignment="1">
      <alignment horizontal="center" vertical="center"/>
    </xf>
    <xf numFmtId="0" fontId="26" fillId="8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2" fontId="26" fillId="9" borderId="10" xfId="0" applyNumberFormat="1" applyFont="1" applyFill="1" applyBorder="1" applyAlignment="1">
      <alignment horizontal="center" vertical="center"/>
    </xf>
    <xf numFmtId="1" fontId="24" fillId="9" borderId="10" xfId="0" applyNumberFormat="1" applyFont="1" applyFill="1" applyBorder="1" applyAlignment="1">
      <alignment horizontal="center" vertical="center"/>
    </xf>
    <xf numFmtId="166" fontId="24" fillId="9" borderId="10" xfId="0" applyNumberFormat="1" applyFont="1" applyFill="1" applyBorder="1" applyAlignment="1">
      <alignment horizontal="center" vertical="center"/>
    </xf>
    <xf numFmtId="166" fontId="24" fillId="8" borderId="10" xfId="0" applyNumberFormat="1" applyFont="1" applyFill="1" applyBorder="1" applyAlignment="1">
      <alignment horizontal="center" vertical="center"/>
    </xf>
    <xf numFmtId="0" fontId="154" fillId="0" borderId="55" xfId="0" applyFont="1" applyBorder="1" applyAlignment="1">
      <alignment horizontal="left" vertical="center"/>
    </xf>
    <xf numFmtId="0" fontId="154" fillId="9" borderId="7" xfId="0" applyFont="1" applyFill="1" applyBorder="1" applyAlignment="1">
      <alignment horizontal="left" vertical="center"/>
    </xf>
    <xf numFmtId="0" fontId="26" fillId="9" borderId="0" xfId="0" applyFont="1" applyFill="1" applyBorder="1" applyAlignment="1">
      <alignment horizontal="center" vertical="center"/>
    </xf>
    <xf numFmtId="0" fontId="5" fillId="9" borderId="65" xfId="0" applyFont="1" applyFill="1" applyBorder="1" applyAlignment="1">
      <alignment horizontal="center" vertical="center"/>
    </xf>
    <xf numFmtId="0" fontId="25" fillId="9" borderId="48" xfId="0" applyFont="1" applyFill="1" applyBorder="1" applyAlignment="1">
      <alignment vertical="center"/>
    </xf>
    <xf numFmtId="1" fontId="25" fillId="0" borderId="65" xfId="0" applyNumberFormat="1" applyFont="1" applyBorder="1" applyAlignment="1">
      <alignment horizontal="center" vertical="center"/>
    </xf>
    <xf numFmtId="1" fontId="26" fillId="9" borderId="7" xfId="0" applyNumberFormat="1" applyFont="1" applyFill="1" applyBorder="1" applyAlignment="1">
      <alignment horizontal="center" vertical="center"/>
    </xf>
    <xf numFmtId="0" fontId="5" fillId="0" borderId="25" xfId="0" applyFont="1" applyBorder="1" applyAlignment="1">
      <alignment vertical="center"/>
    </xf>
    <xf numFmtId="1" fontId="26" fillId="8" borderId="10" xfId="0" applyNumberFormat="1" applyFont="1" applyFill="1" applyBorder="1" applyAlignment="1">
      <alignment horizontal="center" vertical="center"/>
    </xf>
    <xf numFmtId="1" fontId="26" fillId="6" borderId="10" xfId="0" applyNumberFormat="1" applyFont="1" applyFill="1" applyBorder="1" applyAlignment="1">
      <alignment horizontal="center" vertical="center"/>
    </xf>
    <xf numFmtId="1" fontId="26" fillId="9" borderId="10" xfId="0" applyNumberFormat="1" applyFont="1" applyFill="1" applyBorder="1" applyAlignment="1">
      <alignment horizontal="center" vertical="center"/>
    </xf>
    <xf numFmtId="1" fontId="25" fillId="8" borderId="10" xfId="0" applyNumberFormat="1" applyFont="1" applyFill="1" applyBorder="1" applyAlignment="1">
      <alignment horizontal="center" vertical="center"/>
    </xf>
    <xf numFmtId="1" fontId="25" fillId="6" borderId="10" xfId="0" applyNumberFormat="1" applyFont="1" applyFill="1" applyBorder="1" applyAlignment="1">
      <alignment horizontal="center" vertical="center"/>
    </xf>
    <xf numFmtId="2" fontId="26" fillId="9" borderId="10" xfId="0" applyNumberFormat="1" applyFont="1" applyFill="1" applyBorder="1" applyAlignment="1">
      <alignment horizontal="center" vertical="center"/>
    </xf>
    <xf numFmtId="1" fontId="24" fillId="9" borderId="10" xfId="0" applyNumberFormat="1" applyFont="1" applyFill="1" applyBorder="1" applyAlignment="1">
      <alignment horizontal="center" vertical="center"/>
    </xf>
    <xf numFmtId="41" fontId="24" fillId="9" borderId="55" xfId="0" applyNumberFormat="1" applyFont="1" applyFill="1" applyBorder="1" applyAlignment="1">
      <alignment horizontal="right" vertical="center"/>
    </xf>
    <xf numFmtId="0" fontId="24" fillId="9" borderId="9" xfId="0" applyFont="1" applyFill="1" applyBorder="1" applyAlignment="1">
      <alignment vertical="center"/>
    </xf>
    <xf numFmtId="0" fontId="24" fillId="9" borderId="26" xfId="0" applyFont="1" applyFill="1" applyBorder="1" applyAlignment="1">
      <alignment vertical="center"/>
    </xf>
    <xf numFmtId="0" fontId="24" fillId="9" borderId="73" xfId="0" applyFont="1" applyFill="1" applyBorder="1" applyAlignment="1">
      <alignment horizontal="center" vertical="center"/>
    </xf>
    <xf numFmtId="2" fontId="24" fillId="9" borderId="69" xfId="0" applyNumberFormat="1" applyFont="1" applyFill="1" applyBorder="1" applyAlignment="1">
      <alignment horizontal="center" vertical="center"/>
    </xf>
    <xf numFmtId="41" fontId="24" fillId="9" borderId="30" xfId="0" applyNumberFormat="1" applyFont="1" applyFill="1" applyBorder="1" applyAlignment="1">
      <alignment horizontal="right" vertical="center"/>
    </xf>
    <xf numFmtId="41" fontId="24" fillId="9" borderId="9" xfId="0" applyNumberFormat="1" applyFont="1" applyFill="1" applyBorder="1" applyAlignment="1">
      <alignment horizontal="right" vertical="center"/>
    </xf>
    <xf numFmtId="0" fontId="24" fillId="9" borderId="74" xfId="0" applyFont="1" applyFill="1" applyBorder="1" applyAlignment="1">
      <alignment vertical="center"/>
    </xf>
    <xf numFmtId="0" fontId="24" fillId="9" borderId="71" xfId="0" applyFont="1" applyFill="1" applyBorder="1" applyAlignment="1">
      <alignment horizontal="center" vertical="center"/>
    </xf>
    <xf numFmtId="2" fontId="24" fillId="9" borderId="38" xfId="0" applyNumberFormat="1" applyFont="1" applyFill="1" applyBorder="1" applyAlignment="1">
      <alignment horizontal="center" vertical="center"/>
    </xf>
    <xf numFmtId="0" fontId="27" fillId="9" borderId="32" xfId="0" applyFont="1" applyFill="1" applyBorder="1" applyAlignment="1">
      <alignment vertical="center"/>
    </xf>
    <xf numFmtId="0" fontId="27" fillId="9" borderId="49" xfId="0" applyFont="1" applyFill="1" applyBorder="1" applyAlignment="1">
      <alignment vertical="center"/>
    </xf>
    <xf numFmtId="0" fontId="27" fillId="9" borderId="33" xfId="0" applyFont="1" applyFill="1" applyBorder="1" applyAlignment="1">
      <alignment horizontal="center" vertical="center"/>
    </xf>
    <xf numFmtId="0" fontId="27" fillId="9" borderId="62" xfId="0" applyFont="1" applyFill="1" applyBorder="1" applyAlignment="1">
      <alignment vertical="center"/>
    </xf>
    <xf numFmtId="0" fontId="27" fillId="9" borderId="75" xfId="0" applyFont="1" applyFill="1" applyBorder="1" applyAlignment="1">
      <alignment vertical="center"/>
    </xf>
    <xf numFmtId="0" fontId="27" fillId="9" borderId="72" xfId="0" applyFont="1" applyFill="1" applyBorder="1" applyAlignment="1">
      <alignment horizontal="center" vertical="center"/>
    </xf>
    <xf numFmtId="1" fontId="26" fillId="8" borderId="10" xfId="0" applyNumberFormat="1" applyFont="1" applyFill="1" applyBorder="1" applyAlignment="1">
      <alignment horizontal="center" vertical="center"/>
    </xf>
    <xf numFmtId="1" fontId="25" fillId="8" borderId="10" xfId="0" applyNumberFormat="1" applyFont="1" applyFill="1" applyBorder="1" applyAlignment="1">
      <alignment horizontal="center" vertical="center"/>
    </xf>
    <xf numFmtId="1" fontId="26" fillId="9" borderId="10" xfId="0" applyNumberFormat="1" applyFont="1" applyFill="1" applyBorder="1" applyAlignment="1">
      <alignment horizontal="center" vertical="center"/>
    </xf>
    <xf numFmtId="2" fontId="26" fillId="0" borderId="10" xfId="0" applyNumberFormat="1" applyFont="1" applyBorder="1" applyAlignment="1">
      <alignment horizontal="center" vertical="center"/>
    </xf>
    <xf numFmtId="2" fontId="26" fillId="8" borderId="10" xfId="0" applyNumberFormat="1" applyFont="1" applyFill="1" applyBorder="1" applyAlignment="1">
      <alignment horizontal="center" vertical="center"/>
    </xf>
    <xf numFmtId="2" fontId="26" fillId="9" borderId="10" xfId="0" applyNumberFormat="1" applyFont="1" applyFill="1" applyBorder="1" applyAlignment="1">
      <alignment horizontal="center" vertical="center"/>
    </xf>
    <xf numFmtId="1" fontId="0" fillId="0" borderId="10" xfId="0" applyNumberFormat="1" applyFill="1" applyBorder="1" applyAlignment="1">
      <alignment horizontal="center"/>
    </xf>
    <xf numFmtId="0" fontId="10" fillId="0" borderId="37" xfId="0" applyFont="1" applyBorder="1"/>
    <xf numFmtId="1" fontId="25" fillId="9" borderId="37" xfId="0" applyNumberFormat="1" applyFont="1" applyFill="1" applyBorder="1" applyAlignment="1">
      <alignment horizontal="center" vertical="center"/>
    </xf>
    <xf numFmtId="0" fontId="10" fillId="9" borderId="37" xfId="0" applyFont="1" applyFill="1" applyBorder="1"/>
    <xf numFmtId="0" fontId="25" fillId="9" borderId="37" xfId="0" applyFont="1" applyFill="1" applyBorder="1"/>
    <xf numFmtId="1" fontId="25" fillId="9" borderId="37" xfId="0" applyNumberFormat="1" applyFont="1" applyFill="1" applyBorder="1"/>
    <xf numFmtId="1" fontId="24" fillId="9" borderId="10" xfId="0" applyNumberFormat="1" applyFont="1" applyFill="1" applyBorder="1" applyAlignment="1">
      <alignment horizontal="center" vertical="center"/>
    </xf>
    <xf numFmtId="1" fontId="157" fillId="9" borderId="10" xfId="0" applyNumberFormat="1" applyFont="1" applyFill="1" applyBorder="1" applyAlignment="1">
      <alignment horizontal="center" vertical="center"/>
    </xf>
    <xf numFmtId="0" fontId="96" fillId="9" borderId="52" xfId="186" applyFont="1" applyFill="1" applyBorder="1" applyAlignment="1">
      <alignment horizontal="left" vertical="center"/>
    </xf>
    <xf numFmtId="1" fontId="26" fillId="9" borderId="10" xfId="0" applyNumberFormat="1" applyFont="1" applyFill="1" applyBorder="1" applyAlignment="1">
      <alignment horizontal="center" vertical="center"/>
    </xf>
    <xf numFmtId="1" fontId="26" fillId="8" borderId="34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" fontId="15" fillId="9" borderId="47" xfId="0" applyNumberFormat="1" applyFont="1" applyFill="1" applyBorder="1" applyAlignment="1">
      <alignment horizontal="center"/>
    </xf>
    <xf numFmtId="1" fontId="15" fillId="9" borderId="51" xfId="0" applyNumberFormat="1" applyFont="1" applyFill="1" applyBorder="1" applyAlignment="1">
      <alignment horizontal="center"/>
    </xf>
    <xf numFmtId="0" fontId="103" fillId="0" borderId="10" xfId="0" applyFont="1" applyBorder="1"/>
    <xf numFmtId="1" fontId="103" fillId="0" borderId="10" xfId="0" applyNumberFormat="1" applyFont="1" applyBorder="1" applyAlignment="1">
      <alignment horizontal="center" vertical="center"/>
    </xf>
    <xf numFmtId="9" fontId="27" fillId="9" borderId="58" xfId="22" applyNumberFormat="1" applyFont="1" applyFill="1" applyBorder="1" applyAlignment="1">
      <alignment horizontal="center" vertical="center"/>
    </xf>
    <xf numFmtId="1" fontId="26" fillId="0" borderId="34" xfId="0" applyNumberFormat="1" applyFont="1" applyBorder="1" applyAlignment="1">
      <alignment horizontal="center" vertical="center"/>
    </xf>
    <xf numFmtId="1" fontId="26" fillId="9" borderId="62" xfId="0" applyNumberFormat="1" applyFont="1" applyFill="1" applyBorder="1" applyAlignment="1">
      <alignment horizontal="center" vertical="center"/>
    </xf>
    <xf numFmtId="1" fontId="26" fillId="0" borderId="63" xfId="0" applyNumberFormat="1" applyFont="1" applyBorder="1" applyAlignment="1">
      <alignment horizontal="center" vertical="center"/>
    </xf>
    <xf numFmtId="1" fontId="26" fillId="0" borderId="31" xfId="0" applyNumberFormat="1" applyFont="1" applyBorder="1" applyAlignment="1">
      <alignment horizontal="center" vertical="center"/>
    </xf>
    <xf numFmtId="1" fontId="26" fillId="9" borderId="31" xfId="0" applyNumberFormat="1" applyFont="1" applyFill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/>
    </xf>
    <xf numFmtId="1" fontId="26" fillId="9" borderId="30" xfId="0" applyNumberFormat="1" applyFont="1" applyFill="1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0" fontId="46" fillId="8" borderId="62" xfId="0" applyFont="1" applyFill="1" applyBorder="1" applyAlignment="1">
      <alignment horizontal="center" vertical="center"/>
    </xf>
    <xf numFmtId="1" fontId="26" fillId="9" borderId="10" xfId="0" applyNumberFormat="1" applyFont="1" applyFill="1" applyBorder="1" applyAlignment="1">
      <alignment horizontal="center" vertical="center"/>
    </xf>
    <xf numFmtId="2" fontId="26" fillId="0" borderId="37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8" borderId="4" xfId="0" applyFont="1" applyFill="1" applyBorder="1" applyAlignment="1">
      <alignment horizontal="center" vertical="center"/>
    </xf>
    <xf numFmtId="1" fontId="21" fillId="9" borderId="29" xfId="0" applyNumberFormat="1" applyFont="1" applyFill="1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1" fontId="26" fillId="6" borderId="10" xfId="0" applyNumberFormat="1" applyFont="1" applyFill="1" applyBorder="1" applyAlignment="1">
      <alignment horizontal="center" vertical="center"/>
    </xf>
    <xf numFmtId="1" fontId="26" fillId="8" borderId="10" xfId="0" applyNumberFormat="1" applyFont="1" applyFill="1" applyBorder="1" applyAlignment="1">
      <alignment horizontal="center" vertical="center"/>
    </xf>
    <xf numFmtId="1" fontId="25" fillId="8" borderId="10" xfId="0" applyNumberFormat="1" applyFont="1" applyFill="1" applyBorder="1" applyAlignment="1">
      <alignment horizontal="center" vertical="center"/>
    </xf>
    <xf numFmtId="1" fontId="26" fillId="9" borderId="10" xfId="0" applyNumberFormat="1" applyFont="1" applyFill="1" applyBorder="1" applyAlignment="1">
      <alignment horizontal="center" vertical="center"/>
    </xf>
    <xf numFmtId="2" fontId="26" fillId="8" borderId="10" xfId="0" applyNumberFormat="1" applyFont="1" applyFill="1" applyBorder="1" applyAlignment="1">
      <alignment horizontal="center" vertical="center"/>
    </xf>
    <xf numFmtId="2" fontId="26" fillId="6" borderId="10" xfId="0" applyNumberFormat="1" applyFont="1" applyFill="1" applyBorder="1" applyAlignment="1">
      <alignment horizontal="center" vertical="center"/>
    </xf>
    <xf numFmtId="2" fontId="26" fillId="7" borderId="10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2" fontId="26" fillId="9" borderId="10" xfId="0" applyNumberFormat="1" applyFont="1" applyFill="1" applyBorder="1" applyAlignment="1">
      <alignment horizontal="center" vertical="center"/>
    </xf>
    <xf numFmtId="1" fontId="24" fillId="9" borderId="10" xfId="0" applyNumberFormat="1" applyFont="1" applyFill="1" applyBorder="1" applyAlignment="1">
      <alignment horizontal="center" vertical="center"/>
    </xf>
    <xf numFmtId="1" fontId="26" fillId="7" borderId="41" xfId="0" applyNumberFormat="1" applyFont="1" applyFill="1" applyBorder="1" applyAlignment="1">
      <alignment horizontal="center" vertical="center"/>
    </xf>
    <xf numFmtId="0" fontId="54" fillId="9" borderId="57" xfId="0" applyFont="1" applyFill="1" applyBorder="1"/>
    <xf numFmtId="0" fontId="54" fillId="9" borderId="26" xfId="0" applyFont="1" applyFill="1" applyBorder="1"/>
    <xf numFmtId="0" fontId="54" fillId="9" borderId="26" xfId="0" applyFont="1" applyFill="1" applyBorder="1" applyAlignment="1">
      <alignment horizontal="center"/>
    </xf>
    <xf numFmtId="0" fontId="54" fillId="9" borderId="28" xfId="0" applyFont="1" applyFill="1" applyBorder="1"/>
    <xf numFmtId="0" fontId="54" fillId="0" borderId="63" xfId="0" applyFont="1" applyBorder="1"/>
    <xf numFmtId="0" fontId="54" fillId="0" borderId="41" xfId="0" applyFont="1" applyBorder="1"/>
    <xf numFmtId="1" fontId="54" fillId="0" borderId="41" xfId="0" applyNumberFormat="1" applyFont="1" applyBorder="1" applyAlignment="1">
      <alignment horizontal="center" vertical="center"/>
    </xf>
    <xf numFmtId="0" fontId="54" fillId="0" borderId="41" xfId="0" applyFont="1" applyFill="1" applyBorder="1"/>
    <xf numFmtId="0" fontId="54" fillId="8" borderId="41" xfId="0" applyFont="1" applyFill="1" applyBorder="1"/>
    <xf numFmtId="1" fontId="54" fillId="8" borderId="41" xfId="0" applyNumberFormat="1" applyFont="1" applyFill="1" applyBorder="1" applyAlignment="1">
      <alignment horizontal="center" vertical="center"/>
    </xf>
    <xf numFmtId="0" fontId="54" fillId="6" borderId="41" xfId="0" applyFont="1" applyFill="1" applyBorder="1"/>
    <xf numFmtId="0" fontId="54" fillId="6" borderId="41" xfId="0" applyFont="1" applyFill="1" applyBorder="1" applyAlignment="1">
      <alignment horizontal="center"/>
    </xf>
    <xf numFmtId="0" fontId="54" fillId="7" borderId="41" xfId="0" applyFont="1" applyFill="1" applyBorder="1" applyAlignment="1">
      <alignment horizontal="center"/>
    </xf>
    <xf numFmtId="0" fontId="54" fillId="0" borderId="31" xfId="0" applyFont="1" applyBorder="1"/>
    <xf numFmtId="0" fontId="54" fillId="9" borderId="31" xfId="0" applyFont="1" applyFill="1" applyBorder="1"/>
    <xf numFmtId="9" fontId="54" fillId="8" borderId="17" xfId="22" applyFont="1" applyFill="1" applyBorder="1" applyAlignment="1">
      <alignment horizontal="center" vertical="center"/>
    </xf>
    <xf numFmtId="1" fontId="54" fillId="8" borderId="17" xfId="22" applyNumberFormat="1" applyFont="1" applyFill="1" applyBorder="1" applyAlignment="1">
      <alignment horizontal="center" vertical="center"/>
    </xf>
    <xf numFmtId="0" fontId="54" fillId="0" borderId="32" xfId="0" applyFont="1" applyBorder="1"/>
    <xf numFmtId="166" fontId="54" fillId="0" borderId="23" xfId="0" applyNumberFormat="1" applyFont="1" applyBorder="1"/>
    <xf numFmtId="1" fontId="54" fillId="0" borderId="23" xfId="0" applyNumberFormat="1" applyFont="1" applyBorder="1" applyAlignment="1">
      <alignment horizontal="center" vertical="center"/>
    </xf>
    <xf numFmtId="166" fontId="54" fillId="0" borderId="23" xfId="0" applyNumberFormat="1" applyFont="1" applyFill="1" applyBorder="1"/>
    <xf numFmtId="166" fontId="54" fillId="8" borderId="23" xfId="0" applyNumberFormat="1" applyFont="1" applyFill="1" applyBorder="1"/>
    <xf numFmtId="1" fontId="54" fillId="8" borderId="23" xfId="0" applyNumberFormat="1" applyFont="1" applyFill="1" applyBorder="1" applyAlignment="1">
      <alignment horizontal="center" vertical="center"/>
    </xf>
    <xf numFmtId="166" fontId="54" fillId="6" borderId="23" xfId="0" applyNumberFormat="1" applyFont="1" applyFill="1" applyBorder="1"/>
    <xf numFmtId="166" fontId="54" fillId="6" borderId="23" xfId="0" applyNumberFormat="1" applyFont="1" applyFill="1" applyBorder="1" applyAlignment="1">
      <alignment horizontal="center"/>
    </xf>
    <xf numFmtId="166" fontId="54" fillId="7" borderId="23" xfId="0" applyNumberFormat="1" applyFont="1" applyFill="1" applyBorder="1" applyAlignment="1">
      <alignment horizontal="center"/>
    </xf>
    <xf numFmtId="166" fontId="54" fillId="0" borderId="41" xfId="0" applyNumberFormat="1" applyFont="1" applyBorder="1"/>
    <xf numFmtId="166" fontId="54" fillId="0" borderId="41" xfId="0" applyNumberFormat="1" applyFont="1" applyFill="1" applyBorder="1"/>
    <xf numFmtId="166" fontId="54" fillId="8" borderId="41" xfId="0" applyNumberFormat="1" applyFont="1" applyFill="1" applyBorder="1"/>
    <xf numFmtId="166" fontId="54" fillId="6" borderId="41" xfId="0" applyNumberFormat="1" applyFont="1" applyFill="1" applyBorder="1"/>
    <xf numFmtId="1" fontId="54" fillId="6" borderId="41" xfId="0" applyNumberFormat="1" applyFont="1" applyFill="1" applyBorder="1" applyAlignment="1">
      <alignment horizontal="center" vertical="center"/>
    </xf>
    <xf numFmtId="166" fontId="54" fillId="6" borderId="41" xfId="0" applyNumberFormat="1" applyFont="1" applyFill="1" applyBorder="1" applyAlignment="1">
      <alignment horizontal="center"/>
    </xf>
    <xf numFmtId="166" fontId="54" fillId="7" borderId="41" xfId="0" applyNumberFormat="1" applyFont="1" applyFill="1" applyBorder="1" applyAlignment="1">
      <alignment horizontal="center"/>
    </xf>
    <xf numFmtId="1" fontId="54" fillId="7" borderId="41" xfId="0" applyNumberFormat="1" applyFont="1" applyFill="1" applyBorder="1" applyAlignment="1">
      <alignment horizontal="center" vertical="center"/>
    </xf>
    <xf numFmtId="1" fontId="54" fillId="8" borderId="42" xfId="0" applyNumberFormat="1" applyFont="1" applyFill="1" applyBorder="1" applyAlignment="1">
      <alignment horizontal="center" vertical="center"/>
    </xf>
    <xf numFmtId="0" fontId="54" fillId="0" borderId="31" xfId="0" applyFont="1" applyBorder="1" applyAlignment="1">
      <alignment horizontal="left" vertical="center" wrapText="1"/>
    </xf>
    <xf numFmtId="1" fontId="54" fillId="8" borderId="17" xfId="0" applyNumberFormat="1" applyFont="1" applyFill="1" applyBorder="1" applyAlignment="1">
      <alignment horizontal="center" vertical="center"/>
    </xf>
    <xf numFmtId="1" fontId="54" fillId="6" borderId="23" xfId="0" applyNumberFormat="1" applyFont="1" applyFill="1" applyBorder="1" applyAlignment="1">
      <alignment horizontal="center" vertical="center"/>
    </xf>
    <xf numFmtId="1" fontId="54" fillId="7" borderId="23" xfId="0" applyNumberFormat="1" applyFont="1" applyFill="1" applyBorder="1" applyAlignment="1">
      <alignment horizontal="center" vertical="center"/>
    </xf>
    <xf numFmtId="1" fontId="54" fillId="8" borderId="33" xfId="0" applyNumberFormat="1" applyFont="1" applyFill="1" applyBorder="1" applyAlignment="1">
      <alignment horizontal="center" vertical="center"/>
    </xf>
    <xf numFmtId="0" fontId="54" fillId="0" borderId="5" xfId="0" applyFont="1" applyBorder="1"/>
    <xf numFmtId="166" fontId="54" fillId="0" borderId="5" xfId="0" applyNumberFormat="1" applyFont="1" applyBorder="1"/>
    <xf numFmtId="1" fontId="54" fillId="0" borderId="5" xfId="0" applyNumberFormat="1" applyFont="1" applyBorder="1" applyAlignment="1">
      <alignment horizontal="center" vertical="center"/>
    </xf>
    <xf numFmtId="1" fontId="54" fillId="0" borderId="5" xfId="0" applyNumberFormat="1" applyFont="1" applyFill="1" applyBorder="1" applyAlignment="1">
      <alignment horizontal="center" vertical="center"/>
    </xf>
    <xf numFmtId="1" fontId="54" fillId="8" borderId="5" xfId="0" applyNumberFormat="1" applyFont="1" applyFill="1" applyBorder="1" applyAlignment="1">
      <alignment horizontal="center" vertical="center"/>
    </xf>
    <xf numFmtId="166" fontId="54" fillId="6" borderId="5" xfId="0" applyNumberFormat="1" applyFont="1" applyFill="1" applyBorder="1"/>
    <xf numFmtId="1" fontId="54" fillId="6" borderId="5" xfId="0" applyNumberFormat="1" applyFont="1" applyFill="1" applyBorder="1" applyAlignment="1">
      <alignment horizontal="center" vertical="center"/>
    </xf>
    <xf numFmtId="166" fontId="54" fillId="8" borderId="5" xfId="0" applyNumberFormat="1" applyFont="1" applyFill="1" applyBorder="1"/>
    <xf numFmtId="166" fontId="54" fillId="6" borderId="5" xfId="0" applyNumberFormat="1" applyFont="1" applyFill="1" applyBorder="1" applyAlignment="1">
      <alignment horizontal="center"/>
    </xf>
    <xf numFmtId="166" fontId="54" fillId="7" borderId="5" xfId="0" applyNumberFormat="1" applyFont="1" applyFill="1" applyBorder="1" applyAlignment="1">
      <alignment horizontal="center"/>
    </xf>
    <xf numFmtId="1" fontId="54" fillId="7" borderId="5" xfId="0" applyNumberFormat="1" applyFont="1" applyFill="1" applyBorder="1" applyAlignment="1">
      <alignment horizontal="center" vertical="center"/>
    </xf>
    <xf numFmtId="1" fontId="54" fillId="8" borderId="11" xfId="0" applyNumberFormat="1" applyFont="1" applyFill="1" applyBorder="1" applyAlignment="1">
      <alignment horizontal="center" vertical="center"/>
    </xf>
    <xf numFmtId="1" fontId="26" fillId="9" borderId="62" xfId="0" applyNumberFormat="1" applyFont="1" applyFill="1" applyBorder="1" applyAlignment="1">
      <alignment horizontal="center" vertical="center"/>
    </xf>
    <xf numFmtId="1" fontId="26" fillId="9" borderId="34" xfId="0" applyNumberFormat="1" applyFont="1" applyFill="1" applyBorder="1" applyAlignment="1">
      <alignment horizontal="center" vertical="center"/>
    </xf>
    <xf numFmtId="1" fontId="26" fillId="8" borderId="34" xfId="0" applyNumberFormat="1" applyFont="1" applyFill="1" applyBorder="1" applyAlignment="1">
      <alignment horizontal="center" vertical="center"/>
    </xf>
    <xf numFmtId="1" fontId="26" fillId="8" borderId="8" xfId="0" applyNumberFormat="1" applyFont="1" applyFill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1" fontId="26" fillId="9" borderId="31" xfId="0" applyNumberFormat="1" applyFont="1" applyFill="1" applyBorder="1" applyAlignment="1">
      <alignment horizontal="center" vertical="center"/>
    </xf>
    <xf numFmtId="0" fontId="27" fillId="8" borderId="4" xfId="0" applyFont="1" applyFill="1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1" fontId="26" fillId="6" borderId="10" xfId="0" applyNumberFormat="1" applyFont="1" applyFill="1" applyBorder="1" applyAlignment="1">
      <alignment horizontal="center" vertical="center"/>
    </xf>
    <xf numFmtId="1" fontId="26" fillId="8" borderId="10" xfId="0" applyNumberFormat="1" applyFont="1" applyFill="1" applyBorder="1" applyAlignment="1">
      <alignment horizontal="center" vertical="center"/>
    </xf>
    <xf numFmtId="0" fontId="26" fillId="8" borderId="36" xfId="0" applyFont="1" applyFill="1" applyBorder="1" applyAlignment="1">
      <alignment horizontal="center" vertical="center"/>
    </xf>
    <xf numFmtId="166" fontId="26" fillId="9" borderId="62" xfId="0" applyNumberFormat="1" applyFont="1" applyFill="1" applyBorder="1" applyAlignment="1">
      <alignment horizontal="center" vertical="center"/>
    </xf>
    <xf numFmtId="0" fontId="26" fillId="8" borderId="8" xfId="0" applyFont="1" applyFill="1" applyBorder="1" applyAlignment="1">
      <alignment horizontal="center" vertical="center"/>
    </xf>
    <xf numFmtId="0" fontId="26" fillId="8" borderId="34" xfId="0" applyFont="1" applyFill="1" applyBorder="1" applyAlignment="1">
      <alignment horizontal="center" vertical="center"/>
    </xf>
    <xf numFmtId="1" fontId="25" fillId="8" borderId="10" xfId="0" applyNumberFormat="1" applyFont="1" applyFill="1" applyBorder="1" applyAlignment="1">
      <alignment horizontal="center" vertical="center"/>
    </xf>
    <xf numFmtId="1" fontId="26" fillId="9" borderId="10" xfId="0" applyNumberFormat="1" applyFont="1" applyFill="1" applyBorder="1" applyAlignment="1">
      <alignment horizontal="center" vertical="center"/>
    </xf>
    <xf numFmtId="1" fontId="25" fillId="6" borderId="10" xfId="0" applyNumberFormat="1" applyFont="1" applyFill="1" applyBorder="1" applyAlignment="1">
      <alignment horizontal="center" vertical="center"/>
    </xf>
    <xf numFmtId="2" fontId="26" fillId="8" borderId="10" xfId="0" applyNumberFormat="1" applyFont="1" applyFill="1" applyBorder="1" applyAlignment="1">
      <alignment horizontal="center" vertical="center"/>
    </xf>
    <xf numFmtId="2" fontId="26" fillId="0" borderId="10" xfId="0" applyNumberFormat="1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8" borderId="10" xfId="0" applyFont="1" applyFill="1" applyBorder="1" applyAlignment="1">
      <alignment horizontal="center" vertical="center"/>
    </xf>
    <xf numFmtId="2" fontId="26" fillId="0" borderId="37" xfId="0" applyNumberFormat="1" applyFont="1" applyBorder="1" applyAlignment="1">
      <alignment horizontal="center" vertical="center"/>
    </xf>
    <xf numFmtId="2" fontId="26" fillId="9" borderId="10" xfId="0" applyNumberFormat="1" applyFont="1" applyFill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1" fontId="24" fillId="9" borderId="10" xfId="0" applyNumberFormat="1" applyFont="1" applyFill="1" applyBorder="1" applyAlignment="1">
      <alignment horizontal="center" vertical="center"/>
    </xf>
    <xf numFmtId="0" fontId="112" fillId="0" borderId="10" xfId="0" applyFont="1" applyBorder="1" applyAlignment="1">
      <alignment horizontal="left"/>
    </xf>
    <xf numFmtId="41" fontId="26" fillId="0" borderId="36" xfId="0" quotePrefix="1" applyNumberFormat="1" applyFont="1" applyBorder="1" applyAlignment="1">
      <alignment horizontal="left" vertical="center"/>
    </xf>
    <xf numFmtId="0" fontId="24" fillId="0" borderId="8" xfId="0" applyFont="1" applyBorder="1" applyAlignment="1">
      <alignment vertical="center"/>
    </xf>
    <xf numFmtId="41" fontId="27" fillId="0" borderId="29" xfId="0" quotePrefix="1" applyNumberFormat="1" applyFont="1" applyBorder="1" applyAlignment="1">
      <alignment horizontal="left" vertical="center"/>
    </xf>
    <xf numFmtId="0" fontId="24" fillId="0" borderId="12" xfId="0" applyFont="1" applyBorder="1" applyAlignment="1">
      <alignment vertical="center"/>
    </xf>
    <xf numFmtId="41" fontId="26" fillId="0" borderId="12" xfId="0" quotePrefix="1" applyNumberFormat="1" applyFont="1" applyBorder="1" applyAlignment="1">
      <alignment horizontal="left" vertical="center"/>
    </xf>
    <xf numFmtId="41" fontId="27" fillId="0" borderId="12" xfId="0" quotePrefix="1" applyNumberFormat="1" applyFont="1" applyBorder="1" applyAlignment="1">
      <alignment horizontal="left" vertical="center"/>
    </xf>
    <xf numFmtId="41" fontId="27" fillId="0" borderId="20" xfId="0" quotePrefix="1" applyNumberFormat="1" applyFont="1" applyBorder="1" applyAlignment="1">
      <alignment horizontal="left" vertical="center"/>
    </xf>
    <xf numFmtId="1" fontId="101" fillId="35" borderId="69" xfId="186" applyNumberFormat="1" applyFont="1" applyFill="1" applyBorder="1" applyAlignment="1">
      <alignment horizontal="center" vertical="center"/>
    </xf>
    <xf numFmtId="1" fontId="26" fillId="9" borderId="10" xfId="0" applyNumberFormat="1" applyFont="1" applyFill="1" applyBorder="1" applyAlignment="1">
      <alignment horizontal="center" vertical="center"/>
    </xf>
    <xf numFmtId="1" fontId="26" fillId="8" borderId="10" xfId="0" applyNumberFormat="1" applyFont="1" applyFill="1" applyBorder="1" applyAlignment="1">
      <alignment horizontal="center" vertical="center"/>
    </xf>
    <xf numFmtId="0" fontId="26" fillId="8" borderId="10" xfId="0" applyFont="1" applyFill="1" applyBorder="1" applyAlignment="1">
      <alignment horizontal="center" vertical="center"/>
    </xf>
    <xf numFmtId="2" fontId="26" fillId="0" borderId="10" xfId="0" applyNumberFormat="1" applyFont="1" applyBorder="1" applyAlignment="1">
      <alignment horizontal="center" vertical="center"/>
    </xf>
    <xf numFmtId="2" fontId="26" fillId="8" borderId="10" xfId="0" applyNumberFormat="1" applyFont="1" applyFill="1" applyBorder="1" applyAlignment="1">
      <alignment horizontal="center" vertical="center"/>
    </xf>
    <xf numFmtId="166" fontId="24" fillId="9" borderId="10" xfId="0" applyNumberFormat="1" applyFont="1" applyFill="1" applyBorder="1" applyAlignment="1">
      <alignment horizontal="center" vertical="center"/>
    </xf>
    <xf numFmtId="166" fontId="24" fillId="8" borderId="10" xfId="0" applyNumberFormat="1" applyFont="1" applyFill="1" applyBorder="1" applyAlignment="1">
      <alignment horizontal="center" vertical="center"/>
    </xf>
    <xf numFmtId="1" fontId="24" fillId="9" borderId="10" xfId="0" applyNumberFormat="1" applyFont="1" applyFill="1" applyBorder="1" applyAlignment="1">
      <alignment horizontal="center" vertical="center"/>
    </xf>
    <xf numFmtId="0" fontId="33" fillId="0" borderId="25" xfId="0" applyFont="1" applyBorder="1" applyAlignment="1">
      <alignment horizontal="center" vertical="center"/>
    </xf>
    <xf numFmtId="0" fontId="110" fillId="0" borderId="0" xfId="0" applyFont="1" applyAlignment="1">
      <alignment horizontal="center"/>
    </xf>
    <xf numFmtId="0" fontId="45" fillId="0" borderId="10" xfId="0" applyFont="1" applyBorder="1" applyAlignment="1">
      <alignment horizontal="center"/>
    </xf>
    <xf numFmtId="1" fontId="26" fillId="9" borderId="10" xfId="0" applyNumberFormat="1" applyFont="1" applyFill="1" applyBorder="1" applyAlignment="1">
      <alignment horizontal="center" vertical="center"/>
    </xf>
    <xf numFmtId="1" fontId="24" fillId="9" borderId="10" xfId="0" applyNumberFormat="1" applyFont="1" applyFill="1" applyBorder="1" applyAlignment="1">
      <alignment horizontal="center" vertical="center"/>
    </xf>
    <xf numFmtId="0" fontId="27" fillId="47" borderId="4" xfId="0" applyFont="1" applyFill="1" applyBorder="1" applyAlignment="1">
      <alignment horizontal="center" vertical="center"/>
    </xf>
    <xf numFmtId="0" fontId="27" fillId="47" borderId="28" xfId="0" applyFont="1" applyFill="1" applyBorder="1" applyAlignment="1">
      <alignment horizontal="center" vertical="center"/>
    </xf>
    <xf numFmtId="0" fontId="5" fillId="47" borderId="24" xfId="0" applyFont="1" applyFill="1" applyBorder="1" applyAlignment="1">
      <alignment vertical="center"/>
    </xf>
    <xf numFmtId="1" fontId="26" fillId="47" borderId="63" xfId="0" applyNumberFormat="1" applyFont="1" applyFill="1" applyBorder="1" applyAlignment="1">
      <alignment horizontal="center" vertical="center"/>
    </xf>
    <xf numFmtId="1" fontId="26" fillId="47" borderId="62" xfId="0" applyNumberFormat="1" applyFont="1" applyFill="1" applyBorder="1" applyAlignment="1">
      <alignment horizontal="center" vertical="center"/>
    </xf>
    <xf numFmtId="1" fontId="24" fillId="47" borderId="1" xfId="0" applyNumberFormat="1" applyFont="1" applyFill="1" applyBorder="1" applyAlignment="1">
      <alignment horizontal="center" vertical="center"/>
    </xf>
    <xf numFmtId="1" fontId="24" fillId="47" borderId="11" xfId="0" applyNumberFormat="1" applyFont="1" applyFill="1" applyBorder="1" applyAlignment="1">
      <alignment horizontal="center" vertical="center"/>
    </xf>
    <xf numFmtId="1" fontId="26" fillId="47" borderId="53" xfId="0" applyNumberFormat="1" applyFont="1" applyFill="1" applyBorder="1" applyAlignment="1">
      <alignment horizontal="center" vertical="center"/>
    </xf>
    <xf numFmtId="1" fontId="26" fillId="47" borderId="72" xfId="0" applyNumberFormat="1" applyFont="1" applyFill="1" applyBorder="1" applyAlignment="1">
      <alignment horizontal="center" vertical="center"/>
    </xf>
    <xf numFmtId="1" fontId="26" fillId="47" borderId="29" xfId="0" applyNumberFormat="1" applyFont="1" applyFill="1" applyBorder="1" applyAlignment="1">
      <alignment horizontal="center" vertical="center"/>
    </xf>
    <xf numFmtId="1" fontId="26" fillId="47" borderId="17" xfId="0" applyNumberFormat="1" applyFont="1" applyFill="1" applyBorder="1" applyAlignment="1">
      <alignment horizontal="center" vertical="center"/>
    </xf>
    <xf numFmtId="1" fontId="26" fillId="47" borderId="10" xfId="0" applyNumberFormat="1" applyFont="1" applyFill="1" applyBorder="1" applyAlignment="1">
      <alignment horizontal="center" vertical="center"/>
    </xf>
    <xf numFmtId="1" fontId="26" fillId="47" borderId="31" xfId="0" applyNumberFormat="1" applyFont="1" applyFill="1" applyBorder="1" applyAlignment="1">
      <alignment horizontal="center" vertical="center"/>
    </xf>
    <xf numFmtId="1" fontId="26" fillId="47" borderId="9" xfId="0" applyNumberFormat="1" applyFont="1" applyFill="1" applyBorder="1" applyAlignment="1">
      <alignment horizontal="center" vertical="center"/>
    </xf>
    <xf numFmtId="1" fontId="26" fillId="47" borderId="42" xfId="0" applyNumberFormat="1" applyFont="1" applyFill="1" applyBorder="1" applyAlignment="1">
      <alignment horizontal="center" vertical="center"/>
    </xf>
    <xf numFmtId="1" fontId="26" fillId="47" borderId="33" xfId="0" applyNumberFormat="1" applyFont="1" applyFill="1" applyBorder="1" applyAlignment="1">
      <alignment horizontal="center" vertical="center"/>
    </xf>
    <xf numFmtId="0" fontId="5" fillId="47" borderId="61" xfId="0" applyFont="1" applyFill="1" applyBorder="1" applyAlignment="1">
      <alignment vertical="center"/>
    </xf>
    <xf numFmtId="1" fontId="27" fillId="47" borderId="76" xfId="0" applyNumberFormat="1" applyFont="1" applyFill="1" applyBorder="1" applyAlignment="1"/>
    <xf numFmtId="1" fontId="27" fillId="47" borderId="74" xfId="0" applyNumberFormat="1" applyFont="1" applyFill="1" applyBorder="1" applyAlignment="1"/>
    <xf numFmtId="1" fontId="27" fillId="47" borderId="13" xfId="0" applyNumberFormat="1" applyFont="1" applyFill="1" applyBorder="1" applyAlignment="1"/>
    <xf numFmtId="1" fontId="24" fillId="47" borderId="21" xfId="0" applyNumberFormat="1" applyFont="1" applyFill="1" applyBorder="1" applyAlignment="1">
      <alignment horizontal="center" vertical="center"/>
    </xf>
    <xf numFmtId="1" fontId="26" fillId="47" borderId="61" xfId="0" applyNumberFormat="1" applyFont="1" applyFill="1" applyBorder="1" applyAlignment="1">
      <alignment horizontal="center" vertical="center"/>
    </xf>
    <xf numFmtId="1" fontId="26" fillId="47" borderId="28" xfId="0" applyNumberFormat="1" applyFont="1" applyFill="1" applyBorder="1" applyAlignment="1">
      <alignment horizontal="center" vertical="center"/>
    </xf>
    <xf numFmtId="0" fontId="24" fillId="9" borderId="1" xfId="0" applyFont="1" applyFill="1" applyBorder="1" applyAlignment="1">
      <alignment horizontal="left" vertical="center" wrapText="1"/>
    </xf>
    <xf numFmtId="0" fontId="96" fillId="47" borderId="30" xfId="186" applyFont="1" applyFill="1" applyBorder="1" applyAlignment="1">
      <alignment horizontal="center" vertical="center"/>
    </xf>
    <xf numFmtId="1" fontId="96" fillId="47" borderId="1" xfId="186" applyNumberFormat="1" applyFont="1" applyFill="1" applyBorder="1" applyAlignment="1">
      <alignment horizontal="center" vertical="center"/>
    </xf>
    <xf numFmtId="1" fontId="96" fillId="47" borderId="10" xfId="186" applyNumberFormat="1" applyFont="1" applyFill="1" applyBorder="1" applyAlignment="1">
      <alignment horizontal="center" vertical="top"/>
    </xf>
    <xf numFmtId="1" fontId="96" fillId="7" borderId="10" xfId="186" applyNumberFormat="1" applyFont="1" applyFill="1" applyBorder="1" applyAlignment="1">
      <alignment horizontal="center" vertical="center"/>
    </xf>
    <xf numFmtId="0" fontId="33" fillId="7" borderId="25" xfId="0" applyFont="1" applyFill="1" applyBorder="1" applyAlignment="1">
      <alignment horizontal="center" vertical="center"/>
    </xf>
    <xf numFmtId="0" fontId="33" fillId="7" borderId="13" xfId="0" applyFont="1" applyFill="1" applyBorder="1" applyAlignment="1">
      <alignment horizontal="center" vertical="center"/>
    </xf>
    <xf numFmtId="1" fontId="15" fillId="7" borderId="47" xfId="0" applyNumberFormat="1" applyFont="1" applyFill="1" applyBorder="1" applyAlignment="1">
      <alignment horizontal="center"/>
    </xf>
    <xf numFmtId="1" fontId="27" fillId="7" borderId="25" xfId="0" applyNumberFormat="1" applyFont="1" applyFill="1" applyBorder="1" applyAlignment="1">
      <alignment horizontal="center"/>
    </xf>
    <xf numFmtId="1" fontId="27" fillId="7" borderId="13" xfId="0" applyNumberFormat="1" applyFont="1" applyFill="1" applyBorder="1" applyAlignment="1">
      <alignment horizontal="center"/>
    </xf>
    <xf numFmtId="1" fontId="33" fillId="7" borderId="25" xfId="0" applyNumberFormat="1" applyFont="1" applyFill="1" applyBorder="1" applyAlignment="1">
      <alignment horizontal="center"/>
    </xf>
    <xf numFmtId="1" fontId="33" fillId="7" borderId="13" xfId="0" applyNumberFormat="1" applyFont="1" applyFill="1" applyBorder="1" applyAlignment="1">
      <alignment horizontal="center"/>
    </xf>
    <xf numFmtId="1" fontId="27" fillId="7" borderId="51" xfId="0" applyNumberFormat="1" applyFont="1" applyFill="1" applyBorder="1" applyAlignment="1">
      <alignment horizontal="center"/>
    </xf>
    <xf numFmtId="1" fontId="27" fillId="7" borderId="20" xfId="0" applyNumberFormat="1" applyFont="1" applyFill="1" applyBorder="1" applyAlignment="1">
      <alignment horizontal="center"/>
    </xf>
    <xf numFmtId="0" fontId="33" fillId="35" borderId="25" xfId="0" applyFont="1" applyFill="1" applyBorder="1" applyAlignment="1">
      <alignment horizontal="center" vertical="center"/>
    </xf>
    <xf numFmtId="0" fontId="33" fillId="35" borderId="13" xfId="0" applyFont="1" applyFill="1" applyBorder="1" applyAlignment="1">
      <alignment horizontal="center" vertical="center"/>
    </xf>
    <xf numFmtId="1" fontId="15" fillId="35" borderId="47" xfId="0" applyNumberFormat="1" applyFont="1" applyFill="1" applyBorder="1" applyAlignment="1">
      <alignment horizontal="center"/>
    </xf>
    <xf numFmtId="1" fontId="27" fillId="35" borderId="25" xfId="0" applyNumberFormat="1" applyFont="1" applyFill="1" applyBorder="1" applyAlignment="1">
      <alignment horizontal="center"/>
    </xf>
    <xf numFmtId="1" fontId="27" fillId="35" borderId="13" xfId="0" applyNumberFormat="1" applyFont="1" applyFill="1" applyBorder="1" applyAlignment="1">
      <alignment horizontal="center"/>
    </xf>
    <xf numFmtId="1" fontId="33" fillId="35" borderId="25" xfId="0" applyNumberFormat="1" applyFont="1" applyFill="1" applyBorder="1" applyAlignment="1">
      <alignment horizontal="center"/>
    </xf>
    <xf numFmtId="1" fontId="33" fillId="35" borderId="13" xfId="0" applyNumberFormat="1" applyFont="1" applyFill="1" applyBorder="1" applyAlignment="1">
      <alignment horizontal="center"/>
    </xf>
    <xf numFmtId="1" fontId="27" fillId="35" borderId="51" xfId="0" applyNumberFormat="1" applyFont="1" applyFill="1" applyBorder="1" applyAlignment="1">
      <alignment horizontal="center"/>
    </xf>
    <xf numFmtId="1" fontId="27" fillId="35" borderId="20" xfId="0" applyNumberFormat="1" applyFont="1" applyFill="1" applyBorder="1" applyAlignment="1">
      <alignment horizontal="center"/>
    </xf>
    <xf numFmtId="1" fontId="15" fillId="7" borderId="12" xfId="0" applyNumberFormat="1" applyFont="1" applyFill="1" applyBorder="1" applyAlignment="1">
      <alignment horizontal="center"/>
    </xf>
    <xf numFmtId="0" fontId="27" fillId="8" borderId="25" xfId="0" applyFont="1" applyFill="1" applyBorder="1" applyAlignment="1">
      <alignment horizontal="center" vertical="center"/>
    </xf>
    <xf numFmtId="0" fontId="27" fillId="8" borderId="13" xfId="0" applyFont="1" applyFill="1" applyBorder="1" applyAlignment="1">
      <alignment horizontal="center" vertical="center"/>
    </xf>
    <xf numFmtId="1" fontId="26" fillId="8" borderId="47" xfId="0" applyNumberFormat="1" applyFont="1" applyFill="1" applyBorder="1" applyAlignment="1">
      <alignment horizontal="center"/>
    </xf>
    <xf numFmtId="1" fontId="27" fillId="8" borderId="25" xfId="0" applyNumberFormat="1" applyFont="1" applyFill="1" applyBorder="1" applyAlignment="1">
      <alignment horizontal="center"/>
    </xf>
    <xf numFmtId="1" fontId="27" fillId="8" borderId="13" xfId="0" applyNumberFormat="1" applyFont="1" applyFill="1" applyBorder="1" applyAlignment="1">
      <alignment horizontal="center"/>
    </xf>
    <xf numFmtId="1" fontId="27" fillId="8" borderId="51" xfId="0" applyNumberFormat="1" applyFont="1" applyFill="1" applyBorder="1" applyAlignment="1">
      <alignment horizontal="center"/>
    </xf>
    <xf numFmtId="1" fontId="27" fillId="8" borderId="20" xfId="0" applyNumberFormat="1" applyFont="1" applyFill="1" applyBorder="1" applyAlignment="1">
      <alignment horizontal="center"/>
    </xf>
    <xf numFmtId="0" fontId="0" fillId="0" borderId="2" xfId="0" applyBorder="1"/>
    <xf numFmtId="0" fontId="0" fillId="0" borderId="39" xfId="0" applyBorder="1"/>
    <xf numFmtId="1" fontId="26" fillId="8" borderId="12" xfId="0" applyNumberFormat="1" applyFont="1" applyFill="1" applyBorder="1" applyAlignment="1">
      <alignment horizontal="center"/>
    </xf>
    <xf numFmtId="1" fontId="14" fillId="9" borderId="10" xfId="0" applyNumberFormat="1" applyFont="1" applyFill="1" applyBorder="1" applyAlignment="1">
      <alignment horizontal="center" vertical="center"/>
    </xf>
    <xf numFmtId="0" fontId="26" fillId="9" borderId="37" xfId="0" applyFont="1" applyFill="1" applyBorder="1" applyAlignment="1">
      <alignment horizontal="left" vertical="center"/>
    </xf>
    <xf numFmtId="0" fontId="58" fillId="0" borderId="0" xfId="28"/>
    <xf numFmtId="1" fontId="7" fillId="9" borderId="6" xfId="0" applyNumberFormat="1" applyFont="1" applyFill="1" applyBorder="1" applyAlignment="1">
      <alignment vertical="center"/>
    </xf>
    <xf numFmtId="1" fontId="7" fillId="9" borderId="39" xfId="0" applyNumberFormat="1" applyFont="1" applyFill="1" applyBorder="1" applyAlignment="1">
      <alignment vertical="center"/>
    </xf>
    <xf numFmtId="1" fontId="7" fillId="9" borderId="55" xfId="0" applyNumberFormat="1" applyFont="1" applyFill="1" applyBorder="1" applyAlignment="1">
      <alignment vertical="center"/>
    </xf>
    <xf numFmtId="1" fontId="26" fillId="0" borderId="34" xfId="0" applyNumberFormat="1" applyFont="1" applyBorder="1" applyAlignment="1">
      <alignment horizontal="center" vertical="center"/>
    </xf>
    <xf numFmtId="1" fontId="26" fillId="9" borderId="62" xfId="0" applyNumberFormat="1" applyFont="1" applyFill="1" applyBorder="1" applyAlignment="1">
      <alignment horizontal="center" vertical="center"/>
    </xf>
    <xf numFmtId="1" fontId="26" fillId="0" borderId="63" xfId="0" applyNumberFormat="1" applyFont="1" applyBorder="1" applyAlignment="1">
      <alignment horizontal="center" vertical="center"/>
    </xf>
    <xf numFmtId="1" fontId="26" fillId="0" borderId="31" xfId="0" applyNumberFormat="1" applyFont="1" applyBorder="1" applyAlignment="1">
      <alignment horizontal="center" vertical="center"/>
    </xf>
    <xf numFmtId="1" fontId="26" fillId="9" borderId="31" xfId="0" applyNumberFormat="1" applyFont="1" applyFill="1" applyBorder="1" applyAlignment="1">
      <alignment horizontal="center" vertical="center"/>
    </xf>
    <xf numFmtId="1" fontId="26" fillId="9" borderId="10" xfId="0" applyNumberFormat="1" applyFont="1" applyFill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/>
    </xf>
    <xf numFmtId="1" fontId="26" fillId="9" borderId="30" xfId="0" applyNumberFormat="1" applyFont="1" applyFill="1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6" borderId="4" xfId="0" applyFont="1" applyFill="1" applyBorder="1" applyAlignment="1">
      <alignment horizontal="center" vertical="center"/>
    </xf>
    <xf numFmtId="0" fontId="27" fillId="8" borderId="4" xfId="0" applyFont="1" applyFill="1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1" fontId="26" fillId="6" borderId="10" xfId="0" applyNumberFormat="1" applyFont="1" applyFill="1" applyBorder="1" applyAlignment="1">
      <alignment horizontal="center" vertical="center"/>
    </xf>
    <xf numFmtId="1" fontId="26" fillId="8" borderId="10" xfId="0" applyNumberFormat="1" applyFont="1" applyFill="1" applyBorder="1" applyAlignment="1">
      <alignment horizontal="center" vertical="center"/>
    </xf>
    <xf numFmtId="1" fontId="26" fillId="9" borderId="10" xfId="0" applyNumberFormat="1" applyFont="1" applyFill="1" applyBorder="1" applyAlignment="1">
      <alignment horizontal="center" vertical="center"/>
    </xf>
    <xf numFmtId="0" fontId="27" fillId="0" borderId="69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1" fontId="24" fillId="9" borderId="10" xfId="0" applyNumberFormat="1" applyFont="1" applyFill="1" applyBorder="1" applyAlignment="1">
      <alignment horizontal="center" vertical="center"/>
    </xf>
    <xf numFmtId="166" fontId="24" fillId="9" borderId="10" xfId="0" applyNumberFormat="1" applyFont="1" applyFill="1" applyBorder="1" applyAlignment="1">
      <alignment horizontal="center" vertical="center"/>
    </xf>
    <xf numFmtId="166" fontId="0" fillId="6" borderId="10" xfId="0" applyNumberFormat="1" applyFill="1" applyBorder="1" applyAlignment="1">
      <alignment horizontal="center" vertical="center"/>
    </xf>
    <xf numFmtId="1" fontId="26" fillId="9" borderId="10" xfId="0" applyNumberFormat="1" applyFont="1" applyFill="1" applyBorder="1" applyAlignment="1">
      <alignment horizontal="center" vertical="center"/>
    </xf>
    <xf numFmtId="1" fontId="26" fillId="8" borderId="10" xfId="0" applyNumberFormat="1" applyFont="1" applyFill="1" applyBorder="1" applyAlignment="1">
      <alignment horizontal="center" vertical="center"/>
    </xf>
    <xf numFmtId="1" fontId="26" fillId="6" borderId="10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7" fillId="8" borderId="24" xfId="0" applyFont="1" applyFill="1" applyBorder="1" applyAlignment="1">
      <alignment vertical="center"/>
    </xf>
    <xf numFmtId="1" fontId="5" fillId="8" borderId="39" xfId="0" applyNumberFormat="1" applyFont="1" applyFill="1" applyBorder="1" applyAlignment="1">
      <alignment horizontal="center" vertical="center"/>
    </xf>
    <xf numFmtId="1" fontId="93" fillId="8" borderId="42" xfId="0" applyNumberFormat="1" applyFont="1" applyFill="1" applyBorder="1"/>
    <xf numFmtId="0" fontId="93" fillId="8" borderId="0" xfId="0" applyFont="1" applyFill="1"/>
    <xf numFmtId="1" fontId="93" fillId="8" borderId="0" xfId="0" applyNumberFormat="1" applyFont="1" applyFill="1"/>
    <xf numFmtId="0" fontId="7" fillId="8" borderId="55" xfId="0" applyFont="1" applyFill="1" applyBorder="1" applyAlignment="1">
      <alignment vertical="center"/>
    </xf>
    <xf numFmtId="1" fontId="10" fillId="8" borderId="10" xfId="0" applyNumberFormat="1" applyFont="1" applyFill="1" applyBorder="1" applyAlignment="1">
      <alignment horizontal="center"/>
    </xf>
    <xf numFmtId="0" fontId="7" fillId="8" borderId="30" xfId="0" applyFont="1" applyFill="1" applyBorder="1" applyAlignment="1">
      <alignment vertical="center"/>
    </xf>
    <xf numFmtId="0" fontId="10" fillId="8" borderId="45" xfId="0" applyFont="1" applyFill="1" applyBorder="1" applyAlignment="1">
      <alignment vertical="center"/>
    </xf>
    <xf numFmtId="0" fontId="10" fillId="8" borderId="23" xfId="0" applyFont="1" applyFill="1" applyBorder="1" applyAlignment="1">
      <alignment vertical="center"/>
    </xf>
    <xf numFmtId="1" fontId="5" fillId="8" borderId="24" xfId="0" applyNumberFormat="1" applyFont="1" applyFill="1" applyBorder="1" applyAlignment="1">
      <alignment vertical="center"/>
    </xf>
    <xf numFmtId="0" fontId="112" fillId="8" borderId="10" xfId="0" applyFont="1" applyFill="1" applyBorder="1" applyAlignment="1"/>
    <xf numFmtId="0" fontId="56" fillId="8" borderId="0" xfId="0" applyFont="1" applyFill="1"/>
    <xf numFmtId="1" fontId="54" fillId="8" borderId="0" xfId="0" applyNumberFormat="1" applyFont="1" applyFill="1"/>
    <xf numFmtId="1" fontId="56" fillId="9" borderId="0" xfId="0" applyNumberFormat="1" applyFont="1" applyFill="1"/>
    <xf numFmtId="1" fontId="5" fillId="9" borderId="69" xfId="0" quotePrefix="1" applyNumberFormat="1" applyFont="1" applyFill="1" applyBorder="1" applyAlignment="1">
      <alignment horizontal="center" vertical="center"/>
    </xf>
    <xf numFmtId="166" fontId="5" fillId="9" borderId="73" xfId="0" applyNumberFormat="1" applyFont="1" applyFill="1" applyBorder="1" applyAlignment="1">
      <alignment horizontal="center" vertical="center"/>
    </xf>
    <xf numFmtId="0" fontId="166" fillId="9" borderId="31" xfId="0" applyFont="1" applyFill="1" applyBorder="1" applyAlignment="1">
      <alignment horizontal="left" vertical="center"/>
    </xf>
    <xf numFmtId="1" fontId="24" fillId="8" borderId="6" xfId="0" applyNumberFormat="1" applyFont="1" applyFill="1" applyBorder="1" applyAlignment="1">
      <alignment horizontal="center" vertical="center"/>
    </xf>
    <xf numFmtId="1" fontId="24" fillId="8" borderId="19" xfId="0" applyNumberFormat="1" applyFont="1" applyFill="1" applyBorder="1" applyAlignment="1">
      <alignment horizontal="center" vertical="center"/>
    </xf>
    <xf numFmtId="1" fontId="24" fillId="9" borderId="19" xfId="0" applyNumberFormat="1" applyFont="1" applyFill="1" applyBorder="1" applyAlignment="1">
      <alignment horizontal="center" vertical="center"/>
    </xf>
    <xf numFmtId="1" fontId="24" fillId="6" borderId="6" xfId="0" applyNumberFormat="1" applyFont="1" applyFill="1" applyBorder="1" applyAlignment="1">
      <alignment horizontal="center" vertical="center"/>
    </xf>
    <xf numFmtId="0" fontId="24" fillId="9" borderId="26" xfId="0" applyFont="1" applyFill="1" applyBorder="1" applyAlignment="1">
      <alignment horizontal="center" vertical="center"/>
    </xf>
    <xf numFmtId="1" fontId="25" fillId="9" borderId="41" xfId="0" applyNumberFormat="1" applyFont="1" applyFill="1" applyBorder="1" applyAlignment="1">
      <alignment vertical="center"/>
    </xf>
    <xf numFmtId="0" fontId="25" fillId="9" borderId="10" xfId="0" applyFont="1" applyFill="1" applyBorder="1" applyAlignment="1">
      <alignment vertical="center"/>
    </xf>
    <xf numFmtId="1" fontId="24" fillId="0" borderId="9" xfId="0" applyNumberFormat="1" applyFont="1" applyBorder="1" applyAlignment="1">
      <alignment horizontal="center" vertical="center"/>
    </xf>
    <xf numFmtId="0" fontId="33" fillId="0" borderId="25" xfId="0" applyFont="1" applyBorder="1" applyAlignment="1">
      <alignment horizontal="center" vertical="center"/>
    </xf>
    <xf numFmtId="0" fontId="45" fillId="0" borderId="10" xfId="0" applyFont="1" applyBorder="1" applyAlignment="1">
      <alignment horizontal="center"/>
    </xf>
    <xf numFmtId="0" fontId="29" fillId="44" borderId="10" xfId="0" applyFont="1" applyFill="1" applyBorder="1" applyAlignment="1">
      <alignment horizontal="center"/>
    </xf>
    <xf numFmtId="1" fontId="108" fillId="0" borderId="0" xfId="0" applyNumberFormat="1" applyFont="1" applyAlignment="1"/>
    <xf numFmtId="1" fontId="167" fillId="9" borderId="0" xfId="0" applyNumberFormat="1" applyFont="1" applyFill="1" applyAlignment="1">
      <alignment vertical="center" wrapText="1"/>
    </xf>
    <xf numFmtId="0" fontId="33" fillId="6" borderId="13" xfId="0" applyFont="1" applyFill="1" applyBorder="1" applyAlignment="1">
      <alignment horizontal="center" vertical="center"/>
    </xf>
    <xf numFmtId="1" fontId="15" fillId="6" borderId="47" xfId="0" applyNumberFormat="1" applyFont="1" applyFill="1" applyBorder="1" applyAlignment="1">
      <alignment horizontal="center"/>
    </xf>
    <xf numFmtId="1" fontId="27" fillId="6" borderId="25" xfId="0" applyNumberFormat="1" applyFont="1" applyFill="1" applyBorder="1" applyAlignment="1">
      <alignment horizontal="center"/>
    </xf>
    <xf numFmtId="1" fontId="33" fillId="6" borderId="25" xfId="0" applyNumberFormat="1" applyFont="1" applyFill="1" applyBorder="1" applyAlignment="1">
      <alignment horizontal="center"/>
    </xf>
    <xf numFmtId="1" fontId="27" fillId="6" borderId="51" xfId="0" applyNumberFormat="1" applyFont="1" applyFill="1" applyBorder="1" applyAlignment="1">
      <alignment horizontal="center"/>
    </xf>
    <xf numFmtId="0" fontId="15" fillId="9" borderId="47" xfId="0" applyFont="1" applyFill="1" applyBorder="1" applyAlignment="1">
      <alignment horizontal="center"/>
    </xf>
    <xf numFmtId="1" fontId="15" fillId="9" borderId="70" xfId="0" applyNumberFormat="1" applyFont="1" applyFill="1" applyBorder="1" applyAlignment="1">
      <alignment horizontal="center"/>
    </xf>
    <xf numFmtId="1" fontId="15" fillId="9" borderId="12" xfId="0" applyNumberFormat="1" applyFont="1" applyFill="1" applyBorder="1" applyAlignment="1">
      <alignment horizontal="center"/>
    </xf>
    <xf numFmtId="1" fontId="15" fillId="9" borderId="20" xfId="0" applyNumberFormat="1" applyFont="1" applyFill="1" applyBorder="1" applyAlignment="1">
      <alignment horizontal="center"/>
    </xf>
    <xf numFmtId="9" fontId="29" fillId="9" borderId="10" xfId="22" applyFont="1" applyFill="1" applyBorder="1" applyAlignment="1">
      <alignment horizontal="center"/>
    </xf>
    <xf numFmtId="1" fontId="26" fillId="0" borderId="34" xfId="0" applyNumberFormat="1" applyFont="1" applyBorder="1" applyAlignment="1">
      <alignment horizontal="center" vertical="center"/>
    </xf>
    <xf numFmtId="1" fontId="26" fillId="9" borderId="62" xfId="0" applyNumberFormat="1" applyFont="1" applyFill="1" applyBorder="1" applyAlignment="1">
      <alignment horizontal="center" vertical="center"/>
    </xf>
    <xf numFmtId="1" fontId="26" fillId="9" borderId="34" xfId="0" applyNumberFormat="1" applyFont="1" applyFill="1" applyBorder="1" applyAlignment="1">
      <alignment horizontal="center" vertical="center"/>
    </xf>
    <xf numFmtId="0" fontId="27" fillId="6" borderId="1" xfId="0" applyFont="1" applyFill="1" applyBorder="1" applyAlignment="1">
      <alignment horizontal="center" vertical="center"/>
    </xf>
    <xf numFmtId="1" fontId="26" fillId="6" borderId="34" xfId="0" applyNumberFormat="1" applyFont="1" applyFill="1" applyBorder="1" applyAlignment="1">
      <alignment horizontal="center" vertical="center"/>
    </xf>
    <xf numFmtId="1" fontId="26" fillId="6" borderId="62" xfId="0" applyNumberFormat="1" applyFont="1" applyFill="1" applyBorder="1" applyAlignment="1">
      <alignment horizontal="center" vertical="center"/>
    </xf>
    <xf numFmtId="0" fontId="27" fillId="8" borderId="1" xfId="0" applyFont="1" applyFill="1" applyBorder="1" applyAlignment="1">
      <alignment horizontal="center" vertical="center"/>
    </xf>
    <xf numFmtId="1" fontId="26" fillId="8" borderId="34" xfId="0" applyNumberFormat="1" applyFont="1" applyFill="1" applyBorder="1" applyAlignment="1">
      <alignment horizontal="center" vertical="center"/>
    </xf>
    <xf numFmtId="1" fontId="26" fillId="8" borderId="62" xfId="0" applyNumberFormat="1" applyFont="1" applyFill="1" applyBorder="1" applyAlignment="1">
      <alignment horizontal="center" vertical="center"/>
    </xf>
    <xf numFmtId="0" fontId="27" fillId="6" borderId="4" xfId="0" applyFont="1" applyFill="1" applyBorder="1" applyAlignment="1">
      <alignment horizontal="center" vertical="center"/>
    </xf>
    <xf numFmtId="1" fontId="26" fillId="0" borderId="63" xfId="0" applyNumberFormat="1" applyFont="1" applyBorder="1" applyAlignment="1">
      <alignment horizontal="center" vertical="center"/>
    </xf>
    <xf numFmtId="1" fontId="26" fillId="0" borderId="31" xfId="0" applyNumberFormat="1" applyFont="1" applyBorder="1" applyAlignment="1">
      <alignment horizontal="center" vertical="center"/>
    </xf>
    <xf numFmtId="1" fontId="26" fillId="9" borderId="31" xfId="0" applyNumberFormat="1" applyFont="1" applyFill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1" fontId="26" fillId="8" borderId="8" xfId="0" applyNumberFormat="1" applyFont="1" applyFill="1" applyBorder="1" applyAlignment="1">
      <alignment horizontal="center" vertical="center"/>
    </xf>
    <xf numFmtId="1" fontId="26" fillId="7" borderId="62" xfId="0" applyNumberFormat="1" applyFont="1" applyFill="1" applyBorder="1" applyAlignment="1">
      <alignment horizontal="center" vertical="center"/>
    </xf>
    <xf numFmtId="1" fontId="26" fillId="7" borderId="34" xfId="0" applyNumberFormat="1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center" vertical="center"/>
    </xf>
    <xf numFmtId="1" fontId="27" fillId="0" borderId="36" xfId="0" applyNumberFormat="1" applyFont="1" applyBorder="1" applyAlignment="1">
      <alignment horizontal="center" vertical="center"/>
    </xf>
    <xf numFmtId="1" fontId="27" fillId="8" borderId="62" xfId="0" applyNumberFormat="1" applyFont="1" applyFill="1" applyBorder="1" applyAlignment="1">
      <alignment horizontal="center" vertical="center"/>
    </xf>
    <xf numFmtId="1" fontId="27" fillId="6" borderId="62" xfId="0" applyNumberFormat="1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/>
    </xf>
    <xf numFmtId="1" fontId="27" fillId="8" borderId="11" xfId="0" applyNumberFormat="1" applyFont="1" applyFill="1" applyBorder="1" applyAlignment="1">
      <alignment horizontal="center" vertical="center"/>
    </xf>
    <xf numFmtId="0" fontId="27" fillId="8" borderId="4" xfId="0" applyFont="1" applyFill="1" applyBorder="1" applyAlignment="1">
      <alignment horizontal="center" vertical="center"/>
    </xf>
    <xf numFmtId="0" fontId="26" fillId="0" borderId="62" xfId="0" applyFont="1" applyBorder="1" applyAlignment="1">
      <alignment horizontal="left" vertical="center"/>
    </xf>
    <xf numFmtId="0" fontId="26" fillId="0" borderId="34" xfId="0" applyFont="1" applyBorder="1" applyAlignment="1">
      <alignment horizontal="left" vertical="center"/>
    </xf>
    <xf numFmtId="0" fontId="27" fillId="7" borderId="4" xfId="0" applyFont="1" applyFill="1" applyBorder="1" applyAlignment="1">
      <alignment horizontal="center" vertical="center"/>
    </xf>
    <xf numFmtId="0" fontId="5" fillId="0" borderId="7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" fontId="21" fillId="9" borderId="29" xfId="0" applyNumberFormat="1" applyFont="1" applyFill="1" applyBorder="1" applyAlignment="1">
      <alignment horizontal="center" vertical="center"/>
    </xf>
    <xf numFmtId="1" fontId="10" fillId="9" borderId="29" xfId="0" applyNumberFormat="1" applyFont="1" applyFill="1" applyBorder="1" applyAlignment="1">
      <alignment horizontal="center" vertical="center"/>
    </xf>
    <xf numFmtId="1" fontId="10" fillId="8" borderId="31" xfId="0" applyNumberFormat="1" applyFont="1" applyFill="1" applyBorder="1" applyAlignment="1">
      <alignment horizontal="center" vertical="center"/>
    </xf>
    <xf numFmtId="1" fontId="10" fillId="8" borderId="34" xfId="0" applyNumberFormat="1" applyFont="1" applyFill="1" applyBorder="1" applyAlignment="1">
      <alignment horizontal="center" vertical="center"/>
    </xf>
    <xf numFmtId="0" fontId="112" fillId="0" borderId="10" xfId="0" applyFont="1" applyBorder="1" applyAlignment="1">
      <alignment horizontal="center" vertical="center"/>
    </xf>
    <xf numFmtId="0" fontId="112" fillId="8" borderId="10" xfId="0" applyFont="1" applyFill="1" applyBorder="1" applyAlignment="1">
      <alignment horizontal="center" vertical="center"/>
    </xf>
    <xf numFmtId="1" fontId="10" fillId="8" borderId="45" xfId="0" applyNumberFormat="1" applyFont="1" applyFill="1" applyBorder="1" applyAlignment="1">
      <alignment horizontal="center" vertical="center"/>
    </xf>
    <xf numFmtId="1" fontId="10" fillId="8" borderId="30" xfId="0" applyNumberFormat="1" applyFont="1" applyFill="1" applyBorder="1" applyAlignment="1">
      <alignment horizontal="center" vertical="center"/>
    </xf>
    <xf numFmtId="1" fontId="10" fillId="6" borderId="45" xfId="0" applyNumberFormat="1" applyFont="1" applyFill="1" applyBorder="1" applyAlignment="1">
      <alignment horizontal="center" vertical="center"/>
    </xf>
    <xf numFmtId="1" fontId="10" fillId="6" borderId="30" xfId="0" applyNumberFormat="1" applyFont="1" applyFill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112" fillId="0" borderId="29" xfId="0" applyFont="1" applyBorder="1" applyAlignment="1">
      <alignment horizontal="center" vertical="center"/>
    </xf>
    <xf numFmtId="1" fontId="10" fillId="6" borderId="31" xfId="0" applyNumberFormat="1" applyFont="1" applyFill="1" applyBorder="1" applyAlignment="1">
      <alignment horizontal="center" vertical="center"/>
    </xf>
    <xf numFmtId="1" fontId="10" fillId="6" borderId="34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" fontId="10" fillId="7" borderId="45" xfId="0" applyNumberFormat="1" applyFont="1" applyFill="1" applyBorder="1" applyAlignment="1">
      <alignment horizontal="center" vertical="center"/>
    </xf>
    <xf numFmtId="1" fontId="10" fillId="7" borderId="30" xfId="0" applyNumberFormat="1" applyFont="1" applyFill="1" applyBorder="1" applyAlignment="1">
      <alignment horizontal="center" vertical="center"/>
    </xf>
    <xf numFmtId="1" fontId="10" fillId="7" borderId="34" xfId="0" applyNumberFormat="1" applyFont="1" applyFill="1" applyBorder="1" applyAlignment="1">
      <alignment horizontal="center" vertical="center"/>
    </xf>
    <xf numFmtId="0" fontId="112" fillId="7" borderId="10" xfId="0" applyFont="1" applyFill="1" applyBorder="1" applyAlignment="1">
      <alignment horizontal="center" vertical="center"/>
    </xf>
    <xf numFmtId="1" fontId="10" fillId="7" borderId="31" xfId="0" applyNumberFormat="1" applyFont="1" applyFill="1" applyBorder="1" applyAlignment="1">
      <alignment horizontal="center" vertical="center"/>
    </xf>
    <xf numFmtId="0" fontId="27" fillId="0" borderId="74" xfId="0" applyFont="1" applyBorder="1" applyAlignment="1">
      <alignment horizontal="left" vertical="center"/>
    </xf>
    <xf numFmtId="1" fontId="26" fillId="0" borderId="45" xfId="0" applyNumberFormat="1" applyFont="1" applyBorder="1" applyAlignment="1">
      <alignment horizontal="center" vertical="center"/>
    </xf>
    <xf numFmtId="1" fontId="26" fillId="0" borderId="30" xfId="0" applyNumberFormat="1" applyFont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/>
    </xf>
    <xf numFmtId="1" fontId="26" fillId="9" borderId="38" xfId="0" applyNumberFormat="1" applyFont="1" applyFill="1" applyBorder="1" applyAlignment="1">
      <alignment horizontal="center" vertical="center"/>
    </xf>
    <xf numFmtId="1" fontId="26" fillId="9" borderId="69" xfId="0" applyNumberFormat="1" applyFont="1" applyFill="1" applyBorder="1" applyAlignment="1">
      <alignment horizontal="center" vertical="center"/>
    </xf>
    <xf numFmtId="1" fontId="26" fillId="8" borderId="10" xfId="0" applyNumberFormat="1" applyFont="1" applyFill="1" applyBorder="1" applyAlignment="1">
      <alignment horizontal="center" vertical="center"/>
    </xf>
    <xf numFmtId="1" fontId="26" fillId="9" borderId="9" xfId="0" applyNumberFormat="1" applyFont="1" applyFill="1" applyBorder="1" applyAlignment="1">
      <alignment horizontal="center" vertical="center"/>
    </xf>
    <xf numFmtId="1" fontId="26" fillId="6" borderId="10" xfId="0" applyNumberFormat="1" applyFont="1" applyFill="1" applyBorder="1" applyAlignment="1">
      <alignment horizontal="center" vertical="center"/>
    </xf>
    <xf numFmtId="1" fontId="26" fillId="9" borderId="30" xfId="0" applyNumberFormat="1" applyFont="1" applyFill="1" applyBorder="1" applyAlignment="1">
      <alignment horizontal="center" vertical="center"/>
    </xf>
    <xf numFmtId="1" fontId="26" fillId="9" borderId="10" xfId="0" applyNumberFormat="1" applyFont="1" applyFill="1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0" fontId="27" fillId="0" borderId="26" xfId="0" applyFont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5" fillId="0" borderId="73" xfId="0" applyFont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27" fillId="0" borderId="66" xfId="0" applyFont="1" applyBorder="1" applyAlignment="1">
      <alignment horizontal="center" vertical="center"/>
    </xf>
    <xf numFmtId="0" fontId="27" fillId="0" borderId="37" xfId="0" applyFont="1" applyBorder="1" applyAlignment="1">
      <alignment horizontal="center" vertical="center"/>
    </xf>
    <xf numFmtId="0" fontId="27" fillId="0" borderId="68" xfId="0" applyFont="1" applyBorder="1" applyAlignment="1">
      <alignment horizontal="center" vertical="center"/>
    </xf>
    <xf numFmtId="0" fontId="27" fillId="0" borderId="69" xfId="0" applyFont="1" applyBorder="1" applyAlignment="1">
      <alignment horizontal="center" vertical="center"/>
    </xf>
    <xf numFmtId="0" fontId="26" fillId="8" borderId="38" xfId="0" applyFont="1" applyFill="1" applyBorder="1" applyAlignment="1">
      <alignment horizontal="center" vertical="center"/>
    </xf>
    <xf numFmtId="0" fontId="26" fillId="0" borderId="9" xfId="0" applyFont="1" applyBorder="1" applyAlignment="1">
      <alignment horizontal="left" vertical="center"/>
    </xf>
    <xf numFmtId="166" fontId="26" fillId="9" borderId="62" xfId="0" applyNumberFormat="1" applyFont="1" applyFill="1" applyBorder="1" applyAlignment="1">
      <alignment horizontal="center" vertical="center"/>
    </xf>
    <xf numFmtId="0" fontId="26" fillId="6" borderId="38" xfId="0" applyFont="1" applyFill="1" applyBorder="1" applyAlignment="1">
      <alignment horizontal="center" vertical="center"/>
    </xf>
    <xf numFmtId="1" fontId="25" fillId="8" borderId="10" xfId="0" applyNumberFormat="1" applyFont="1" applyFill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7" fillId="8" borderId="10" xfId="0" applyFont="1" applyFill="1" applyBorder="1" applyAlignment="1">
      <alignment horizontal="center" vertical="center"/>
    </xf>
    <xf numFmtId="0" fontId="27" fillId="7" borderId="10" xfId="0" applyFont="1" applyFill="1" applyBorder="1" applyAlignment="1">
      <alignment horizontal="center" vertical="center"/>
    </xf>
    <xf numFmtId="0" fontId="27" fillId="6" borderId="10" xfId="0" applyFont="1" applyFill="1" applyBorder="1" applyAlignment="1">
      <alignment horizontal="center" vertical="center"/>
    </xf>
    <xf numFmtId="1" fontId="26" fillId="7" borderId="30" xfId="0" applyNumberFormat="1" applyFont="1" applyFill="1" applyBorder="1" applyAlignment="1">
      <alignment horizontal="center" vertical="center"/>
    </xf>
    <xf numFmtId="0" fontId="27" fillId="0" borderId="10" xfId="0" applyFont="1" applyBorder="1" applyAlignment="1">
      <alignment horizontal="left" vertical="center"/>
    </xf>
    <xf numFmtId="0" fontId="26" fillId="0" borderId="10" xfId="0" applyFont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2" fontId="26" fillId="6" borderId="30" xfId="0" applyNumberFormat="1" applyFont="1" applyFill="1" applyBorder="1" applyAlignment="1">
      <alignment horizontal="center" vertical="center"/>
    </xf>
    <xf numFmtId="2" fontId="26" fillId="7" borderId="30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left" vertical="center"/>
    </xf>
    <xf numFmtId="2" fontId="26" fillId="9" borderId="10" xfId="0" applyNumberFormat="1" applyFont="1" applyFill="1" applyBorder="1" applyAlignment="1">
      <alignment horizontal="center" vertical="center"/>
    </xf>
    <xf numFmtId="2" fontId="26" fillId="0" borderId="10" xfId="0" applyNumberFormat="1" applyFont="1" applyBorder="1" applyAlignment="1">
      <alignment horizontal="center" vertical="center"/>
    </xf>
    <xf numFmtId="2" fontId="26" fillId="8" borderId="10" xfId="0" applyNumberFormat="1" applyFont="1" applyFill="1" applyBorder="1" applyAlignment="1">
      <alignment horizontal="center" vertical="center"/>
    </xf>
    <xf numFmtId="2" fontId="26" fillId="6" borderId="10" xfId="0" applyNumberFormat="1" applyFont="1" applyFill="1" applyBorder="1" applyAlignment="1">
      <alignment horizontal="center" vertical="center"/>
    </xf>
    <xf numFmtId="2" fontId="26" fillId="7" borderId="10" xfId="0" applyNumberFormat="1" applyFont="1" applyFill="1" applyBorder="1" applyAlignment="1">
      <alignment horizontal="center" vertical="center"/>
    </xf>
    <xf numFmtId="166" fontId="24" fillId="9" borderId="10" xfId="0" applyNumberFormat="1" applyFont="1" applyFill="1" applyBorder="1" applyAlignment="1">
      <alignment horizontal="center" vertical="center"/>
    </xf>
    <xf numFmtId="166" fontId="24" fillId="8" borderId="10" xfId="0" applyNumberFormat="1" applyFont="1" applyFill="1" applyBorder="1" applyAlignment="1">
      <alignment horizontal="center" vertical="center"/>
    </xf>
    <xf numFmtId="0" fontId="24" fillId="9" borderId="10" xfId="0" applyFont="1" applyFill="1" applyBorder="1" applyAlignment="1">
      <alignment horizontal="center" vertical="center"/>
    </xf>
    <xf numFmtId="166" fontId="24" fillId="6" borderId="10" xfId="0" applyNumberFormat="1" applyFont="1" applyFill="1" applyBorder="1" applyAlignment="1">
      <alignment horizontal="center" vertical="center"/>
    </xf>
    <xf numFmtId="0" fontId="24" fillId="9" borderId="30" xfId="0" applyFont="1" applyFill="1" applyBorder="1" applyAlignment="1">
      <alignment horizontal="center" vertical="center"/>
    </xf>
    <xf numFmtId="1" fontId="24" fillId="9" borderId="10" xfId="0" applyNumberFormat="1" applyFont="1" applyFill="1" applyBorder="1" applyAlignment="1">
      <alignment horizontal="center" vertical="center"/>
    </xf>
    <xf numFmtId="166" fontId="24" fillId="7" borderId="10" xfId="0" applyNumberFormat="1" applyFont="1" applyFill="1" applyBorder="1" applyAlignment="1">
      <alignment horizontal="center" vertical="center"/>
    </xf>
    <xf numFmtId="1" fontId="26" fillId="9" borderId="62" xfId="0" applyNumberFormat="1" applyFont="1" applyFill="1" applyBorder="1" applyAlignment="1">
      <alignment horizontal="center" vertical="center"/>
    </xf>
    <xf numFmtId="1" fontId="26" fillId="9" borderId="34" xfId="0" applyNumberFormat="1" applyFont="1" applyFill="1" applyBorder="1" applyAlignment="1">
      <alignment horizontal="center" vertical="center"/>
    </xf>
    <xf numFmtId="0" fontId="27" fillId="8" borderId="1" xfId="0" applyFont="1" applyFill="1" applyBorder="1" applyAlignment="1">
      <alignment horizontal="center" vertical="center"/>
    </xf>
    <xf numFmtId="0" fontId="27" fillId="6" borderId="1" xfId="0" applyFont="1" applyFill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6" borderId="4" xfId="0" applyFont="1" applyFill="1" applyBorder="1" applyAlignment="1">
      <alignment horizontal="center" vertical="center"/>
    </xf>
    <xf numFmtId="0" fontId="27" fillId="8" borderId="4" xfId="0" applyFont="1" applyFill="1" applyBorder="1" applyAlignment="1">
      <alignment horizontal="center" vertical="center"/>
    </xf>
    <xf numFmtId="0" fontId="27" fillId="7" borderId="4" xfId="0" applyFont="1" applyFill="1" applyBorder="1" applyAlignment="1">
      <alignment horizontal="center" vertical="center"/>
    </xf>
    <xf numFmtId="1" fontId="26" fillId="8" borderId="10" xfId="0" applyNumberFormat="1" applyFont="1" applyFill="1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0" fontId="33" fillId="8" borderId="1" xfId="0" applyFont="1" applyFill="1" applyBorder="1" applyAlignment="1">
      <alignment horizontal="center" vertical="center"/>
    </xf>
    <xf numFmtId="1" fontId="26" fillId="6" borderId="10" xfId="0" applyNumberFormat="1" applyFont="1" applyFill="1" applyBorder="1" applyAlignment="1">
      <alignment horizontal="center" vertical="center"/>
    </xf>
    <xf numFmtId="1" fontId="26" fillId="9" borderId="10" xfId="0" applyNumberFormat="1" applyFont="1" applyFill="1" applyBorder="1" applyAlignment="1">
      <alignment horizontal="center" vertical="center"/>
    </xf>
    <xf numFmtId="0" fontId="27" fillId="0" borderId="37" xfId="0" applyFont="1" applyBorder="1" applyAlignment="1">
      <alignment horizontal="center" vertical="center"/>
    </xf>
    <xf numFmtId="0" fontId="26" fillId="6" borderId="8" xfId="0" applyFont="1" applyFill="1" applyBorder="1" applyAlignment="1">
      <alignment horizontal="center" vertical="center"/>
    </xf>
    <xf numFmtId="0" fontId="26" fillId="6" borderId="36" xfId="0" applyFont="1" applyFill="1" applyBorder="1" applyAlignment="1">
      <alignment horizontal="center" vertical="center"/>
    </xf>
    <xf numFmtId="0" fontId="26" fillId="8" borderId="36" xfId="0" applyFont="1" applyFill="1" applyBorder="1" applyAlignment="1">
      <alignment horizontal="center" vertical="center"/>
    </xf>
    <xf numFmtId="166" fontId="26" fillId="9" borderId="62" xfId="0" applyNumberFormat="1" applyFont="1" applyFill="1" applyBorder="1" applyAlignment="1">
      <alignment horizontal="center" vertical="center"/>
    </xf>
    <xf numFmtId="0" fontId="26" fillId="8" borderId="8" xfId="0" applyFont="1" applyFill="1" applyBorder="1" applyAlignment="1">
      <alignment horizontal="center" vertical="center"/>
    </xf>
    <xf numFmtId="0" fontId="26" fillId="8" borderId="34" xfId="0" applyFont="1" applyFill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7" fillId="8" borderId="10" xfId="0" applyFont="1" applyFill="1" applyBorder="1" applyAlignment="1">
      <alignment horizontal="center" vertical="center"/>
    </xf>
    <xf numFmtId="0" fontId="27" fillId="6" borderId="10" xfId="0" applyFont="1" applyFill="1" applyBorder="1" applyAlignment="1">
      <alignment horizontal="center" vertical="center"/>
    </xf>
    <xf numFmtId="1" fontId="25" fillId="8" borderId="10" xfId="0" applyNumberFormat="1" applyFont="1" applyFill="1" applyBorder="1" applyAlignment="1">
      <alignment horizontal="center" vertical="center"/>
    </xf>
    <xf numFmtId="1" fontId="25" fillId="6" borderId="10" xfId="0" applyNumberFormat="1" applyFont="1" applyFill="1" applyBorder="1" applyAlignment="1">
      <alignment horizontal="center" vertical="center"/>
    </xf>
    <xf numFmtId="0" fontId="27" fillId="7" borderId="10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2" fontId="26" fillId="0" borderId="37" xfId="0" applyNumberFormat="1" applyFont="1" applyBorder="1" applyAlignment="1">
      <alignment horizontal="center" vertical="center"/>
    </xf>
    <xf numFmtId="2" fontId="26" fillId="8" borderId="10" xfId="0" applyNumberFormat="1" applyFont="1" applyFill="1" applyBorder="1" applyAlignment="1">
      <alignment horizontal="center" vertical="center"/>
    </xf>
    <xf numFmtId="2" fontId="26" fillId="0" borderId="10" xfId="0" applyNumberFormat="1" applyFont="1" applyBorder="1" applyAlignment="1">
      <alignment horizontal="center" vertical="center"/>
    </xf>
    <xf numFmtId="2" fontId="26" fillId="6" borderId="10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26" fillId="8" borderId="10" xfId="0" applyFont="1" applyFill="1" applyBorder="1" applyAlignment="1">
      <alignment horizontal="center" vertical="center"/>
    </xf>
    <xf numFmtId="2" fontId="26" fillId="9" borderId="10" xfId="0" applyNumberFormat="1" applyFont="1" applyFill="1" applyBorder="1" applyAlignment="1">
      <alignment horizontal="center" vertical="center"/>
    </xf>
    <xf numFmtId="2" fontId="26" fillId="6" borderId="30" xfId="0" applyNumberFormat="1" applyFont="1" applyFill="1" applyBorder="1" applyAlignment="1">
      <alignment horizontal="center" vertical="center"/>
    </xf>
    <xf numFmtId="0" fontId="33" fillId="9" borderId="4" xfId="0" applyFont="1" applyFill="1" applyBorder="1" applyAlignment="1">
      <alignment horizontal="center" vertical="center"/>
    </xf>
    <xf numFmtId="0" fontId="24" fillId="9" borderId="10" xfId="0" applyFont="1" applyFill="1" applyBorder="1" applyAlignment="1">
      <alignment horizontal="center" vertical="center"/>
    </xf>
    <xf numFmtId="1" fontId="24" fillId="9" borderId="10" xfId="0" applyNumberFormat="1" applyFont="1" applyFill="1" applyBorder="1" applyAlignment="1">
      <alignment horizontal="center" vertical="center"/>
    </xf>
    <xf numFmtId="166" fontId="24" fillId="6" borderId="10" xfId="0" applyNumberFormat="1" applyFont="1" applyFill="1" applyBorder="1" applyAlignment="1">
      <alignment horizontal="center" vertical="center"/>
    </xf>
    <xf numFmtId="166" fontId="24" fillId="9" borderId="10" xfId="0" applyNumberFormat="1" applyFont="1" applyFill="1" applyBorder="1" applyAlignment="1">
      <alignment horizontal="center" vertical="center"/>
    </xf>
    <xf numFmtId="166" fontId="24" fillId="8" borderId="10" xfId="0" applyNumberFormat="1" applyFont="1" applyFill="1" applyBorder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0" fontId="27" fillId="47" borderId="10" xfId="0" applyFont="1" applyFill="1" applyBorder="1" applyAlignment="1">
      <alignment horizontal="center" vertical="center"/>
    </xf>
    <xf numFmtId="1" fontId="24" fillId="47" borderId="10" xfId="0" applyNumberFormat="1" applyFont="1" applyFill="1" applyBorder="1" applyAlignment="1">
      <alignment horizontal="center" vertical="center"/>
    </xf>
    <xf numFmtId="168" fontId="5" fillId="9" borderId="10" xfId="0" applyNumberFormat="1" applyFont="1" applyFill="1" applyBorder="1" applyAlignment="1">
      <alignment horizontal="center" vertical="center"/>
    </xf>
    <xf numFmtId="9" fontId="5" fillId="9" borderId="10" xfId="22" applyFont="1" applyFill="1" applyBorder="1" applyAlignment="1">
      <alignment horizontal="center" vertical="center"/>
    </xf>
    <xf numFmtId="1" fontId="5" fillId="47" borderId="10" xfId="0" applyNumberFormat="1" applyFont="1" applyFill="1" applyBorder="1" applyAlignment="1">
      <alignment horizontal="center" vertical="center"/>
    </xf>
    <xf numFmtId="1" fontId="5" fillId="9" borderId="10" xfId="0" applyNumberFormat="1" applyFont="1" applyFill="1" applyBorder="1" applyAlignment="1">
      <alignment vertical="center"/>
    </xf>
    <xf numFmtId="9" fontId="5" fillId="9" borderId="10" xfId="22" applyFont="1" applyFill="1" applyBorder="1" applyAlignment="1">
      <alignment vertical="center"/>
    </xf>
    <xf numFmtId="1" fontId="26" fillId="0" borderId="10" xfId="0" applyNumberFormat="1" applyFont="1" applyBorder="1" applyAlignment="1">
      <alignment horizontal="center" vertical="center"/>
    </xf>
    <xf numFmtId="1" fontId="26" fillId="7" borderId="10" xfId="0" applyNumberFormat="1" applyFont="1" applyFill="1" applyBorder="1" applyAlignment="1">
      <alignment horizontal="center" vertical="center"/>
    </xf>
    <xf numFmtId="1" fontId="27" fillId="9" borderId="10" xfId="0" applyNumberFormat="1" applyFont="1" applyFill="1" applyBorder="1" applyAlignment="1">
      <alignment horizontal="center" vertical="center"/>
    </xf>
    <xf numFmtId="0" fontId="57" fillId="9" borderId="10" xfId="0" applyFont="1" applyFill="1" applyBorder="1"/>
    <xf numFmtId="0" fontId="27" fillId="47" borderId="17" xfId="0" applyFont="1" applyFill="1" applyBorder="1" applyAlignment="1">
      <alignment horizontal="center" vertical="center"/>
    </xf>
    <xf numFmtId="0" fontId="5" fillId="9" borderId="17" xfId="0" applyFont="1" applyFill="1" applyBorder="1" applyAlignment="1">
      <alignment vertical="center"/>
    </xf>
    <xf numFmtId="1" fontId="24" fillId="47" borderId="17" xfId="0" applyNumberFormat="1" applyFont="1" applyFill="1" applyBorder="1" applyAlignment="1">
      <alignment horizontal="center" vertical="center"/>
    </xf>
    <xf numFmtId="0" fontId="24" fillId="9" borderId="17" xfId="0" applyFont="1" applyFill="1" applyBorder="1" applyAlignment="1">
      <alignment vertical="center"/>
    </xf>
    <xf numFmtId="1" fontId="5" fillId="47" borderId="17" xfId="0" applyNumberFormat="1" applyFont="1" applyFill="1" applyBorder="1" applyAlignment="1">
      <alignment horizontal="center" vertical="center"/>
    </xf>
    <xf numFmtId="1" fontId="27" fillId="9" borderId="17" xfId="0" applyNumberFormat="1" applyFont="1" applyFill="1" applyBorder="1" applyAlignment="1">
      <alignment horizontal="center" vertical="center"/>
    </xf>
    <xf numFmtId="0" fontId="54" fillId="9" borderId="17" xfId="0" applyFont="1" applyFill="1" applyBorder="1"/>
    <xf numFmtId="1" fontId="27" fillId="9" borderId="23" xfId="0" applyNumberFormat="1" applyFont="1" applyFill="1" applyBorder="1" applyAlignment="1">
      <alignment horizontal="center" vertical="center"/>
    </xf>
    <xf numFmtId="1" fontId="26" fillId="7" borderId="23" xfId="0" applyNumberFormat="1" applyFont="1" applyFill="1" applyBorder="1" applyAlignment="1">
      <alignment horizontal="center" vertical="center"/>
    </xf>
    <xf numFmtId="1" fontId="26" fillId="47" borderId="23" xfId="0" applyNumberFormat="1" applyFont="1" applyFill="1" applyBorder="1" applyAlignment="1">
      <alignment horizontal="center" vertical="center"/>
    </xf>
    <xf numFmtId="1" fontId="25" fillId="9" borderId="17" xfId="0" applyNumberFormat="1" applyFont="1" applyFill="1" applyBorder="1" applyAlignment="1">
      <alignment horizontal="center" vertical="center"/>
    </xf>
    <xf numFmtId="1" fontId="27" fillId="9" borderId="10" xfId="0" applyNumberFormat="1" applyFont="1" applyFill="1" applyBorder="1" applyAlignment="1">
      <alignment vertical="center"/>
    </xf>
    <xf numFmtId="0" fontId="5" fillId="9" borderId="10" xfId="0" applyFont="1" applyFill="1" applyBorder="1"/>
    <xf numFmtId="0" fontId="27" fillId="9" borderId="31" xfId="0" applyFont="1" applyFill="1" applyBorder="1" applyAlignment="1">
      <alignment vertical="center"/>
    </xf>
    <xf numFmtId="1" fontId="27" fillId="9" borderId="17" xfId="0" applyNumberFormat="1" applyFont="1" applyFill="1" applyBorder="1" applyAlignment="1">
      <alignment vertical="center"/>
    </xf>
    <xf numFmtId="1" fontId="27" fillId="6" borderId="17" xfId="0" applyNumberFormat="1" applyFont="1" applyFill="1" applyBorder="1" applyAlignment="1">
      <alignment horizontal="center" vertical="center"/>
    </xf>
    <xf numFmtId="1" fontId="27" fillId="9" borderId="31" xfId="0" applyNumberFormat="1" applyFont="1" applyFill="1" applyBorder="1" applyAlignment="1">
      <alignment vertical="center"/>
    </xf>
    <xf numFmtId="1" fontId="27" fillId="9" borderId="37" xfId="0" applyNumberFormat="1" applyFont="1" applyFill="1" applyBorder="1" applyAlignment="1">
      <alignment vertical="center"/>
    </xf>
    <xf numFmtId="1" fontId="27" fillId="8" borderId="37" xfId="0" applyNumberFormat="1" applyFont="1" applyFill="1" applyBorder="1" applyAlignment="1">
      <alignment horizontal="center" vertical="center"/>
    </xf>
    <xf numFmtId="0" fontId="27" fillId="9" borderId="17" xfId="0" applyFont="1" applyFill="1" applyBorder="1" applyAlignment="1">
      <alignment vertical="center"/>
    </xf>
    <xf numFmtId="166" fontId="27" fillId="9" borderId="30" xfId="0" applyNumberFormat="1" applyFont="1" applyFill="1" applyBorder="1" applyAlignment="1">
      <alignment horizontal="center" vertical="center"/>
    </xf>
    <xf numFmtId="166" fontId="26" fillId="9" borderId="30" xfId="0" applyNumberFormat="1" applyFont="1" applyFill="1" applyBorder="1" applyAlignment="1">
      <alignment horizontal="center" vertical="center"/>
    </xf>
    <xf numFmtId="0" fontId="27" fillId="0" borderId="23" xfId="0" applyFont="1" applyBorder="1" applyAlignment="1">
      <alignment horizontal="center" vertical="center"/>
    </xf>
    <xf numFmtId="0" fontId="27" fillId="8" borderId="23" xfId="0" applyFont="1" applyFill="1" applyBorder="1" applyAlignment="1">
      <alignment horizontal="center" vertical="center"/>
    </xf>
    <xf numFmtId="0" fontId="27" fillId="6" borderId="23" xfId="0" applyFont="1" applyFill="1" applyBorder="1" applyAlignment="1">
      <alignment horizontal="center" vertical="center"/>
    </xf>
    <xf numFmtId="0" fontId="27" fillId="7" borderId="23" xfId="0" applyFont="1" applyFill="1" applyBorder="1" applyAlignment="1">
      <alignment horizontal="center" vertical="center"/>
    </xf>
    <xf numFmtId="0" fontId="27" fillId="8" borderId="68" xfId="0" applyFont="1" applyFill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33" xfId="0" applyFont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/>
    </xf>
    <xf numFmtId="0" fontId="27" fillId="6" borderId="33" xfId="0" applyFont="1" applyFill="1" applyBorder="1" applyAlignment="1">
      <alignment horizontal="center" vertical="center"/>
    </xf>
    <xf numFmtId="1" fontId="10" fillId="6" borderId="66" xfId="0" applyNumberFormat="1" applyFont="1" applyFill="1" applyBorder="1" applyAlignment="1">
      <alignment horizontal="center" vertical="center"/>
    </xf>
    <xf numFmtId="1" fontId="10" fillId="6" borderId="37" xfId="0" applyNumberFormat="1" applyFont="1" applyFill="1" applyBorder="1" applyAlignment="1">
      <alignment horizontal="center" vertical="center"/>
    </xf>
    <xf numFmtId="1" fontId="10" fillId="8" borderId="61" xfId="0" applyNumberFormat="1" applyFont="1" applyFill="1" applyBorder="1" applyAlignment="1">
      <alignment horizontal="center" vertical="center"/>
    </xf>
    <xf numFmtId="1" fontId="5" fillId="9" borderId="15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67" xfId="0" applyFont="1" applyBorder="1" applyAlignment="1">
      <alignment horizontal="center" vertical="center"/>
    </xf>
    <xf numFmtId="1" fontId="10" fillId="0" borderId="67" xfId="0" applyNumberFormat="1" applyFont="1" applyBorder="1" applyAlignment="1">
      <alignment horizontal="center" vertical="center"/>
    </xf>
    <xf numFmtId="1" fontId="10" fillId="8" borderId="11" xfId="0" applyNumberFormat="1" applyFont="1" applyFill="1" applyBorder="1" applyAlignment="1">
      <alignment horizontal="center" vertical="center"/>
    </xf>
    <xf numFmtId="1" fontId="10" fillId="6" borderId="11" xfId="0" applyNumberFormat="1" applyFont="1" applyFill="1" applyBorder="1" applyAlignment="1">
      <alignment horizontal="center" vertical="center"/>
    </xf>
    <xf numFmtId="1" fontId="10" fillId="7" borderId="11" xfId="0" applyNumberFormat="1" applyFont="1" applyFill="1" applyBorder="1" applyAlignment="1">
      <alignment horizontal="center" vertical="center"/>
    </xf>
    <xf numFmtId="1" fontId="10" fillId="6" borderId="5" xfId="0" applyNumberFormat="1" applyFont="1" applyFill="1" applyBorder="1" applyAlignment="1">
      <alignment horizontal="center" vertical="center"/>
    </xf>
    <xf numFmtId="1" fontId="26" fillId="9" borderId="75" xfId="0" applyNumberFormat="1" applyFont="1" applyFill="1" applyBorder="1" applyAlignment="1">
      <alignment horizontal="center" vertical="center"/>
    </xf>
    <xf numFmtId="166" fontId="26" fillId="9" borderId="7" xfId="0" applyNumberFormat="1" applyFont="1" applyFill="1" applyBorder="1" applyAlignment="1">
      <alignment horizontal="center" vertical="center"/>
    </xf>
    <xf numFmtId="166" fontId="26" fillId="9" borderId="75" xfId="0" applyNumberFormat="1" applyFont="1" applyFill="1" applyBorder="1" applyAlignment="1">
      <alignment horizontal="center" vertical="center"/>
    </xf>
    <xf numFmtId="2" fontId="24" fillId="9" borderId="10" xfId="0" applyNumberFormat="1" applyFont="1" applyFill="1" applyBorder="1" applyAlignment="1">
      <alignment horizontal="center" vertical="center"/>
    </xf>
    <xf numFmtId="1" fontId="24" fillId="6" borderId="13" xfId="0" applyNumberFormat="1" applyFont="1" applyFill="1" applyBorder="1" applyAlignment="1">
      <alignment horizontal="center" vertical="center"/>
    </xf>
    <xf numFmtId="2" fontId="26" fillId="8" borderId="4" xfId="0" applyNumberFormat="1" applyFont="1" applyFill="1" applyBorder="1" applyAlignment="1">
      <alignment horizontal="center" vertical="center"/>
    </xf>
    <xf numFmtId="1" fontId="27" fillId="8" borderId="25" xfId="0" quotePrefix="1" applyNumberFormat="1" applyFont="1" applyFill="1" applyBorder="1" applyAlignment="1">
      <alignment horizontal="center" vertical="center"/>
    </xf>
    <xf numFmtId="1" fontId="5" fillId="6" borderId="37" xfId="0" applyNumberFormat="1" applyFont="1" applyFill="1" applyBorder="1" applyAlignment="1">
      <alignment horizontal="center" vertical="center"/>
    </xf>
    <xf numFmtId="2" fontId="57" fillId="9" borderId="10" xfId="0" applyNumberFormat="1" applyFont="1" applyFill="1" applyBorder="1" applyAlignment="1">
      <alignment horizontal="center" vertical="center"/>
    </xf>
    <xf numFmtId="0" fontId="5" fillId="9" borderId="11" xfId="0" applyFont="1" applyFill="1" applyBorder="1" applyAlignment="1">
      <alignment horizontal="center" vertical="center"/>
    </xf>
    <xf numFmtId="2" fontId="10" fillId="0" borderId="31" xfId="0" applyNumberFormat="1" applyFont="1" applyBorder="1" applyAlignment="1">
      <alignment horizontal="center" vertical="center"/>
    </xf>
    <xf numFmtId="2" fontId="10" fillId="0" borderId="6" xfId="0" applyNumberFormat="1" applyFont="1" applyBorder="1" applyAlignment="1">
      <alignment horizontal="center" vertical="center"/>
    </xf>
    <xf numFmtId="2" fontId="10" fillId="8" borderId="34" xfId="0" applyNumberFormat="1" applyFont="1" applyFill="1" applyBorder="1" applyAlignment="1">
      <alignment horizontal="center" vertical="center"/>
    </xf>
    <xf numFmtId="2" fontId="10" fillId="8" borderId="30" xfId="0" applyNumberFormat="1" applyFont="1" applyFill="1" applyBorder="1" applyAlignment="1">
      <alignment horizontal="center" vertical="center"/>
    </xf>
    <xf numFmtId="2" fontId="10" fillId="6" borderId="34" xfId="0" applyNumberFormat="1" applyFont="1" applyFill="1" applyBorder="1" applyAlignment="1">
      <alignment horizontal="center" vertical="center"/>
    </xf>
    <xf numFmtId="2" fontId="10" fillId="6" borderId="30" xfId="0" applyNumberFormat="1" applyFont="1" applyFill="1" applyBorder="1" applyAlignment="1">
      <alignment horizontal="center" vertical="center"/>
    </xf>
    <xf numFmtId="2" fontId="10" fillId="7" borderId="34" xfId="0" applyNumberFormat="1" applyFont="1" applyFill="1" applyBorder="1" applyAlignment="1">
      <alignment horizontal="center" vertical="center"/>
    </xf>
    <xf numFmtId="2" fontId="10" fillId="7" borderId="30" xfId="0" applyNumberFormat="1" applyFont="1" applyFill="1" applyBorder="1" applyAlignment="1">
      <alignment horizontal="center" vertical="center"/>
    </xf>
    <xf numFmtId="166" fontId="10" fillId="0" borderId="6" xfId="0" applyNumberFormat="1" applyFont="1" applyBorder="1" applyAlignment="1">
      <alignment horizontal="center" vertical="center"/>
    </xf>
    <xf numFmtId="0" fontId="0" fillId="0" borderId="33" xfId="0" applyBorder="1"/>
    <xf numFmtId="0" fontId="0" fillId="0" borderId="33" xfId="0" quotePrefix="1" applyBorder="1" applyAlignment="1">
      <alignment horizontal="center"/>
    </xf>
    <xf numFmtId="166" fontId="0" fillId="7" borderId="31" xfId="0" applyNumberFormat="1" applyFill="1" applyBorder="1" applyAlignment="1">
      <alignment horizontal="center" vertical="center"/>
    </xf>
    <xf numFmtId="1" fontId="0" fillId="7" borderId="31" xfId="0" applyNumberFormat="1" applyFill="1" applyBorder="1" applyAlignment="1">
      <alignment horizontal="center" vertical="center"/>
    </xf>
    <xf numFmtId="2" fontId="0" fillId="7" borderId="31" xfId="0" applyNumberFormat="1" applyFill="1" applyBorder="1" applyAlignment="1">
      <alignment horizontal="center" vertical="center"/>
    </xf>
    <xf numFmtId="168" fontId="0" fillId="7" borderId="31" xfId="0" applyNumberFormat="1" applyFill="1" applyBorder="1" applyAlignment="1">
      <alignment horizontal="center" vertical="center"/>
    </xf>
    <xf numFmtId="1" fontId="0" fillId="7" borderId="32" xfId="0" applyNumberFormat="1" applyFill="1" applyBorder="1" applyAlignment="1">
      <alignment horizontal="center" vertical="center"/>
    </xf>
    <xf numFmtId="0" fontId="157" fillId="8" borderId="10" xfId="0" applyFont="1" applyFill="1" applyBorder="1" applyAlignment="1">
      <alignment horizontal="center" vertical="center"/>
    </xf>
    <xf numFmtId="1" fontId="157" fillId="8" borderId="10" xfId="0" applyNumberFormat="1" applyFont="1" applyFill="1" applyBorder="1" applyAlignment="1">
      <alignment horizontal="center" vertical="center"/>
    </xf>
    <xf numFmtId="1" fontId="157" fillId="8" borderId="10" xfId="0" applyNumberFormat="1" applyFont="1" applyFill="1" applyBorder="1" applyAlignment="1">
      <alignment horizontal="center"/>
    </xf>
    <xf numFmtId="0" fontId="157" fillId="6" borderId="10" xfId="0" applyFont="1" applyFill="1" applyBorder="1"/>
    <xf numFmtId="0" fontId="157" fillId="6" borderId="10" xfId="0" applyFont="1" applyFill="1" applyBorder="1" applyAlignment="1">
      <alignment horizontal="center" vertical="center"/>
    </xf>
    <xf numFmtId="1" fontId="157" fillId="6" borderId="10" xfId="0" applyNumberFormat="1" applyFont="1" applyFill="1" applyBorder="1" applyAlignment="1">
      <alignment horizontal="center"/>
    </xf>
    <xf numFmtId="1" fontId="157" fillId="6" borderId="10" xfId="0" applyNumberFormat="1" applyFont="1" applyFill="1" applyBorder="1" applyAlignment="1">
      <alignment horizontal="center" vertical="center"/>
    </xf>
    <xf numFmtId="0" fontId="157" fillId="7" borderId="10" xfId="0" applyFont="1" applyFill="1" applyBorder="1"/>
    <xf numFmtId="1" fontId="157" fillId="7" borderId="10" xfId="0" applyNumberFormat="1" applyFont="1" applyFill="1" applyBorder="1" applyAlignment="1">
      <alignment horizontal="center" vertical="center"/>
    </xf>
    <xf numFmtId="0" fontId="25" fillId="0" borderId="45" xfId="0" applyFont="1" applyBorder="1"/>
    <xf numFmtId="0" fontId="157" fillId="0" borderId="45" xfId="0" applyFont="1" applyBorder="1"/>
    <xf numFmtId="0" fontId="157" fillId="0" borderId="10" xfId="0" applyFont="1" applyBorder="1" applyAlignment="1">
      <alignment horizontal="right"/>
    </xf>
    <xf numFmtId="1" fontId="157" fillId="33" borderId="10" xfId="0" applyNumberFormat="1" applyFont="1" applyFill="1" applyBorder="1" applyAlignment="1">
      <alignment horizontal="center" vertical="center"/>
    </xf>
    <xf numFmtId="1" fontId="26" fillId="0" borderId="10" xfId="0" applyNumberFormat="1" applyFont="1" applyBorder="1" applyAlignment="1">
      <alignment horizontal="center"/>
    </xf>
    <xf numFmtId="1" fontId="26" fillId="6" borderId="10" xfId="0" applyNumberFormat="1" applyFont="1" applyFill="1" applyBorder="1" applyAlignment="1">
      <alignment horizontal="center"/>
    </xf>
    <xf numFmtId="2" fontId="25" fillId="9" borderId="30" xfId="0" applyNumberFormat="1" applyFont="1" applyFill="1" applyBorder="1" applyAlignment="1">
      <alignment horizontal="center" vertical="center"/>
    </xf>
    <xf numFmtId="2" fontId="25" fillId="8" borderId="30" xfId="0" applyNumberFormat="1" applyFont="1" applyFill="1" applyBorder="1" applyAlignment="1">
      <alignment horizontal="center" vertical="center"/>
    </xf>
    <xf numFmtId="2" fontId="25" fillId="6" borderId="30" xfId="0" applyNumberFormat="1" applyFont="1" applyFill="1" applyBorder="1" applyAlignment="1">
      <alignment horizontal="center" vertical="center"/>
    </xf>
    <xf numFmtId="2" fontId="25" fillId="7" borderId="30" xfId="0" applyNumberFormat="1" applyFont="1" applyFill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24" fillId="8" borderId="23" xfId="0" applyFont="1" applyFill="1" applyBorder="1" applyAlignment="1">
      <alignment horizontal="center" vertical="center"/>
    </xf>
    <xf numFmtId="0" fontId="24" fillId="6" borderId="23" xfId="0" applyFont="1" applyFill="1" applyBorder="1" applyAlignment="1">
      <alignment horizontal="center" vertical="center"/>
    </xf>
    <xf numFmtId="0" fontId="24" fillId="7" borderId="23" xfId="0" applyFont="1" applyFill="1" applyBorder="1" applyAlignment="1">
      <alignment horizontal="center" vertical="center"/>
    </xf>
    <xf numFmtId="0" fontId="24" fillId="8" borderId="33" xfId="0" applyFont="1" applyFill="1" applyBorder="1" applyAlignment="1">
      <alignment horizontal="center" vertical="center"/>
    </xf>
    <xf numFmtId="0" fontId="158" fillId="0" borderId="30" xfId="0" applyFont="1" applyBorder="1"/>
    <xf numFmtId="0" fontId="158" fillId="0" borderId="10" xfId="0" applyFont="1" applyBorder="1" applyAlignment="1">
      <alignment vertical="center" wrapText="1"/>
    </xf>
    <xf numFmtId="0" fontId="158" fillId="9" borderId="10" xfId="0" applyFont="1" applyFill="1" applyBorder="1"/>
    <xf numFmtId="0" fontId="24" fillId="33" borderId="10" xfId="0" applyFont="1" applyFill="1" applyBorder="1" applyAlignment="1">
      <alignment horizontal="center" vertical="center"/>
    </xf>
    <xf numFmtId="0" fontId="5" fillId="0" borderId="10" xfId="0" applyFont="1" applyBorder="1"/>
    <xf numFmtId="0" fontId="27" fillId="0" borderId="10" xfId="0" applyFont="1" applyBorder="1" applyAlignment="1">
      <alignment horizontal="right"/>
    </xf>
    <xf numFmtId="0" fontId="24" fillId="9" borderId="10" xfId="0" applyFont="1" applyFill="1" applyBorder="1" applyAlignment="1">
      <alignment horizontal="right"/>
    </xf>
    <xf numFmtId="0" fontId="24" fillId="9" borderId="9" xfId="0" applyFont="1" applyFill="1" applyBorder="1" applyAlignment="1">
      <alignment horizontal="right"/>
    </xf>
    <xf numFmtId="0" fontId="27" fillId="0" borderId="0" xfId="0" applyFont="1"/>
    <xf numFmtId="0" fontId="157" fillId="0" borderId="0" xfId="0" applyFont="1" applyBorder="1"/>
    <xf numFmtId="0" fontId="157" fillId="0" borderId="0" xfId="0" applyFont="1" applyBorder="1" applyAlignment="1">
      <alignment horizontal="center" vertical="center"/>
    </xf>
    <xf numFmtId="0" fontId="33" fillId="9" borderId="33" xfId="0" applyFont="1" applyFill="1" applyBorder="1" applyAlignment="1">
      <alignment horizontal="center" vertical="center"/>
    </xf>
    <xf numFmtId="0" fontId="24" fillId="9" borderId="59" xfId="0" applyFont="1" applyFill="1" applyBorder="1" applyAlignment="1">
      <alignment horizontal="center" vertical="center"/>
    </xf>
    <xf numFmtId="0" fontId="24" fillId="9" borderId="32" xfId="0" applyFont="1" applyFill="1" applyBorder="1" applyAlignment="1">
      <alignment horizontal="center" vertical="center"/>
    </xf>
    <xf numFmtId="0" fontId="24" fillId="9" borderId="33" xfId="0" applyFont="1" applyFill="1" applyBorder="1" applyAlignment="1">
      <alignment horizontal="center" vertical="center"/>
    </xf>
    <xf numFmtId="1" fontId="25" fillId="0" borderId="31" xfId="0" applyNumberFormat="1" applyFont="1" applyBorder="1" applyAlignment="1">
      <alignment horizontal="center" vertical="center"/>
    </xf>
    <xf numFmtId="0" fontId="25" fillId="9" borderId="17" xfId="0" applyFont="1" applyFill="1" applyBorder="1" applyAlignment="1">
      <alignment horizontal="center" vertical="center"/>
    </xf>
    <xf numFmtId="166" fontId="25" fillId="9" borderId="31" xfId="0" applyNumberFormat="1" applyFont="1" applyFill="1" applyBorder="1" applyAlignment="1">
      <alignment horizontal="center" vertical="center"/>
    </xf>
    <xf numFmtId="166" fontId="25" fillId="9" borderId="17" xfId="0" applyNumberFormat="1" applyFont="1" applyFill="1" applyBorder="1" applyAlignment="1">
      <alignment horizontal="center" vertical="center"/>
    </xf>
    <xf numFmtId="166" fontId="25" fillId="0" borderId="31" xfId="0" applyNumberFormat="1" applyFont="1" applyBorder="1" applyAlignment="1">
      <alignment horizontal="center" vertical="center"/>
    </xf>
    <xf numFmtId="0" fontId="24" fillId="8" borderId="59" xfId="0" applyFont="1" applyFill="1" applyBorder="1" applyAlignment="1">
      <alignment horizontal="center" vertical="center"/>
    </xf>
    <xf numFmtId="1" fontId="25" fillId="8" borderId="29" xfId="0" applyNumberFormat="1" applyFont="1" applyFill="1" applyBorder="1" applyAlignment="1">
      <alignment horizontal="center" vertical="center"/>
    </xf>
    <xf numFmtId="166" fontId="25" fillId="8" borderId="29" xfId="0" applyNumberFormat="1" applyFont="1" applyFill="1" applyBorder="1" applyAlignment="1">
      <alignment horizontal="center" vertical="center"/>
    </xf>
    <xf numFmtId="0" fontId="24" fillId="8" borderId="68" xfId="0" applyFont="1" applyFill="1" applyBorder="1" applyAlignment="1">
      <alignment horizontal="center" vertical="center"/>
    </xf>
    <xf numFmtId="0" fontId="25" fillId="8" borderId="37" xfId="0" applyFont="1" applyFill="1" applyBorder="1" applyAlignment="1">
      <alignment horizontal="center" vertical="center"/>
    </xf>
    <xf numFmtId="166" fontId="25" fillId="8" borderId="37" xfId="0" applyNumberFormat="1" applyFont="1" applyFill="1" applyBorder="1" applyAlignment="1">
      <alignment horizontal="center" vertical="center"/>
    </xf>
    <xf numFmtId="1" fontId="25" fillId="6" borderId="31" xfId="0" applyNumberFormat="1" applyFont="1" applyFill="1" applyBorder="1" applyAlignment="1">
      <alignment horizontal="center" vertical="center"/>
    </xf>
    <xf numFmtId="0" fontId="25" fillId="6" borderId="17" xfId="0" applyFont="1" applyFill="1" applyBorder="1" applyAlignment="1">
      <alignment horizontal="center" vertical="center"/>
    </xf>
    <xf numFmtId="166" fontId="25" fillId="6" borderId="31" xfId="0" applyNumberFormat="1" applyFont="1" applyFill="1" applyBorder="1" applyAlignment="1">
      <alignment horizontal="center" vertical="center"/>
    </xf>
    <xf numFmtId="0" fontId="24" fillId="9" borderId="68" xfId="0" applyFont="1" applyFill="1" applyBorder="1" applyAlignment="1">
      <alignment horizontal="center" vertical="center"/>
    </xf>
    <xf numFmtId="1" fontId="25" fillId="9" borderId="31" xfId="0" applyNumberFormat="1" applyFont="1" applyFill="1" applyBorder="1" applyAlignment="1">
      <alignment horizontal="center" vertical="center"/>
    </xf>
    <xf numFmtId="1" fontId="25" fillId="6" borderId="17" xfId="0" applyNumberFormat="1" applyFont="1" applyFill="1" applyBorder="1" applyAlignment="1">
      <alignment horizontal="center" vertical="center"/>
    </xf>
    <xf numFmtId="0" fontId="33" fillId="9" borderId="59" xfId="0" applyFont="1" applyFill="1" applyBorder="1" applyAlignment="1">
      <alignment horizontal="center" vertical="center"/>
    </xf>
    <xf numFmtId="1" fontId="25" fillId="7" borderId="31" xfId="0" applyNumberFormat="1" applyFont="1" applyFill="1" applyBorder="1" applyAlignment="1">
      <alignment horizontal="center" vertical="center"/>
    </xf>
    <xf numFmtId="1" fontId="25" fillId="7" borderId="17" xfId="0" applyNumberFormat="1" applyFont="1" applyFill="1" applyBorder="1" applyAlignment="1">
      <alignment horizontal="center" vertical="center"/>
    </xf>
    <xf numFmtId="166" fontId="25" fillId="7" borderId="31" xfId="0" applyNumberFormat="1" applyFont="1" applyFill="1" applyBorder="1" applyAlignment="1">
      <alignment horizontal="center" vertical="center"/>
    </xf>
    <xf numFmtId="0" fontId="25" fillId="7" borderId="17" xfId="0" applyFont="1" applyFill="1" applyBorder="1" applyAlignment="1">
      <alignment horizontal="center" vertical="center"/>
    </xf>
    <xf numFmtId="0" fontId="33" fillId="9" borderId="32" xfId="0" applyFont="1" applyFill="1" applyBorder="1" applyAlignment="1">
      <alignment horizontal="center" vertical="center"/>
    </xf>
    <xf numFmtId="0" fontId="33" fillId="9" borderId="68" xfId="0" applyFont="1" applyFill="1" applyBorder="1" applyAlignment="1">
      <alignment horizontal="center" vertical="center"/>
    </xf>
    <xf numFmtId="0" fontId="135" fillId="9" borderId="30" xfId="0" applyFont="1" applyFill="1" applyBorder="1" applyAlignment="1">
      <alignment vertical="center"/>
    </xf>
    <xf numFmtId="0" fontId="135" fillId="9" borderId="48" xfId="0" applyFont="1" applyFill="1" applyBorder="1" applyAlignment="1">
      <alignment vertical="center"/>
    </xf>
    <xf numFmtId="0" fontId="135" fillId="9" borderId="34" xfId="0" applyFont="1" applyFill="1" applyBorder="1" applyAlignment="1">
      <alignment vertical="center"/>
    </xf>
    <xf numFmtId="0" fontId="135" fillId="9" borderId="53" xfId="0" applyFont="1" applyFill="1" applyBorder="1" applyAlignment="1">
      <alignment vertical="center"/>
    </xf>
    <xf numFmtId="0" fontId="135" fillId="9" borderId="8" xfId="0" applyFont="1" applyFill="1" applyBorder="1" applyAlignment="1">
      <alignment vertical="center"/>
    </xf>
    <xf numFmtId="0" fontId="169" fillId="9" borderId="34" xfId="0" applyFont="1" applyFill="1" applyBorder="1" applyAlignment="1">
      <alignment vertical="center"/>
    </xf>
    <xf numFmtId="0" fontId="169" fillId="9" borderId="53" xfId="0" applyFont="1" applyFill="1" applyBorder="1" applyAlignment="1">
      <alignment vertical="center"/>
    </xf>
    <xf numFmtId="0" fontId="169" fillId="9" borderId="8" xfId="0" applyFont="1" applyFill="1" applyBorder="1" applyAlignment="1">
      <alignment vertical="center"/>
    </xf>
    <xf numFmtId="0" fontId="169" fillId="9" borderId="48" xfId="0" applyFont="1" applyFill="1" applyBorder="1" applyAlignment="1">
      <alignment vertical="center"/>
    </xf>
    <xf numFmtId="0" fontId="169" fillId="9" borderId="30" xfId="0" applyFont="1" applyFill="1" applyBorder="1" applyAlignment="1">
      <alignment vertical="center"/>
    </xf>
    <xf numFmtId="1" fontId="25" fillId="8" borderId="37" xfId="0" applyNumberFormat="1" applyFont="1" applyFill="1" applyBorder="1" applyAlignment="1">
      <alignment horizontal="center" vertical="center"/>
    </xf>
    <xf numFmtId="0" fontId="25" fillId="0" borderId="10" xfId="0" applyFont="1" applyBorder="1" applyAlignment="1">
      <alignment vertical="center" wrapText="1"/>
    </xf>
    <xf numFmtId="0" fontId="157" fillId="0" borderId="10" xfId="0" applyFont="1" applyFill="1" applyBorder="1" applyAlignment="1">
      <alignment horizontal="right"/>
    </xf>
    <xf numFmtId="0" fontId="157" fillId="0" borderId="10" xfId="0" applyFont="1" applyFill="1" applyBorder="1" applyAlignment="1">
      <alignment horizontal="right" wrapText="1"/>
    </xf>
    <xf numFmtId="0" fontId="135" fillId="9" borderId="10" xfId="0" applyFont="1" applyFill="1" applyBorder="1" applyAlignment="1">
      <alignment vertical="center"/>
    </xf>
    <xf numFmtId="0" fontId="135" fillId="9" borderId="37" xfId="0" applyFont="1" applyFill="1" applyBorder="1" applyAlignment="1">
      <alignment vertical="center"/>
    </xf>
    <xf numFmtId="0" fontId="135" fillId="9" borderId="31" xfId="0" applyFont="1" applyFill="1" applyBorder="1" applyAlignment="1">
      <alignment vertical="center"/>
    </xf>
    <xf numFmtId="0" fontId="135" fillId="9" borderId="17" xfId="0" applyFont="1" applyFill="1" applyBorder="1" applyAlignment="1">
      <alignment vertical="center"/>
    </xf>
    <xf numFmtId="0" fontId="135" fillId="9" borderId="29" xfId="0" applyFont="1" applyFill="1" applyBorder="1" applyAlignment="1">
      <alignment vertical="center"/>
    </xf>
    <xf numFmtId="0" fontId="157" fillId="0" borderId="17" xfId="0" applyFont="1" applyBorder="1" applyAlignment="1">
      <alignment horizontal="center"/>
    </xf>
    <xf numFmtId="1" fontId="157" fillId="8" borderId="37" xfId="0" applyNumberFormat="1" applyFont="1" applyFill="1" applyBorder="1" applyAlignment="1">
      <alignment horizontal="center"/>
    </xf>
    <xf numFmtId="1" fontId="157" fillId="6" borderId="17" xfId="0" applyNumberFormat="1" applyFont="1" applyFill="1" applyBorder="1" applyAlignment="1">
      <alignment horizontal="center"/>
    </xf>
    <xf numFmtId="0" fontId="157" fillId="9" borderId="17" xfId="0" applyFont="1" applyFill="1" applyBorder="1" applyAlignment="1">
      <alignment horizontal="center"/>
    </xf>
    <xf numFmtId="1" fontId="157" fillId="7" borderId="17" xfId="0" applyNumberFormat="1" applyFont="1" applyFill="1" applyBorder="1" applyAlignment="1">
      <alignment horizontal="center"/>
    </xf>
    <xf numFmtId="0" fontId="157" fillId="0" borderId="33" xfId="0" applyFont="1" applyBorder="1" applyAlignment="1">
      <alignment horizontal="center"/>
    </xf>
    <xf numFmtId="1" fontId="157" fillId="6" borderId="33" xfId="0" applyNumberFormat="1" applyFont="1" applyFill="1" applyBorder="1" applyAlignment="1">
      <alignment horizontal="center"/>
    </xf>
    <xf numFmtId="0" fontId="157" fillId="9" borderId="33" xfId="0" applyFont="1" applyFill="1" applyBorder="1" applyAlignment="1">
      <alignment horizontal="center"/>
    </xf>
    <xf numFmtId="1" fontId="157" fillId="7" borderId="33" xfId="0" applyNumberFormat="1" applyFont="1" applyFill="1" applyBorder="1" applyAlignment="1">
      <alignment horizontal="center"/>
    </xf>
    <xf numFmtId="166" fontId="157" fillId="0" borderId="33" xfId="0" applyNumberFormat="1" applyFont="1" applyBorder="1" applyAlignment="1">
      <alignment horizontal="center"/>
    </xf>
    <xf numFmtId="1" fontId="0" fillId="9" borderId="17" xfId="0" applyNumberFormat="1" applyFill="1" applyBorder="1"/>
    <xf numFmtId="0" fontId="53" fillId="0" borderId="45" xfId="0" applyFont="1" applyBorder="1" applyAlignment="1">
      <alignment horizontal="center" vertical="center"/>
    </xf>
    <xf numFmtId="2" fontId="53" fillId="9" borderId="30" xfId="0" applyNumberFormat="1" applyFont="1" applyFill="1" applyBorder="1" applyAlignment="1">
      <alignment horizontal="center" vertical="center"/>
    </xf>
    <xf numFmtId="168" fontId="26" fillId="9" borderId="79" xfId="0" applyNumberFormat="1" applyFont="1" applyFill="1" applyBorder="1" applyAlignment="1">
      <alignment horizontal="center" vertical="center"/>
    </xf>
    <xf numFmtId="1" fontId="14" fillId="7" borderId="10" xfId="0" applyNumberFormat="1" applyFont="1" applyFill="1" applyBorder="1" applyAlignment="1">
      <alignment horizontal="center" vertical="center"/>
    </xf>
    <xf numFmtId="0" fontId="23" fillId="9" borderId="63" xfId="0" applyFont="1" applyFill="1" applyBorder="1"/>
    <xf numFmtId="0" fontId="23" fillId="9" borderId="41" xfId="0" applyFont="1" applyFill="1" applyBorder="1"/>
    <xf numFmtId="0" fontId="14" fillId="9" borderId="31" xfId="0" applyFont="1" applyFill="1" applyBorder="1"/>
    <xf numFmtId="1" fontId="14" fillId="8" borderId="17" xfId="0" applyNumberFormat="1" applyFont="1" applyFill="1" applyBorder="1" applyAlignment="1">
      <alignment horizontal="center" vertical="center"/>
    </xf>
    <xf numFmtId="0" fontId="103" fillId="9" borderId="32" xfId="0" applyFont="1" applyFill="1" applyBorder="1"/>
    <xf numFmtId="1" fontId="103" fillId="9" borderId="23" xfId="0" applyNumberFormat="1" applyFont="1" applyFill="1" applyBorder="1" applyAlignment="1">
      <alignment horizontal="center" vertical="center"/>
    </xf>
    <xf numFmtId="1" fontId="103" fillId="8" borderId="23" xfId="0" applyNumberFormat="1" applyFont="1" applyFill="1" applyBorder="1" applyAlignment="1">
      <alignment horizontal="center" vertical="center"/>
    </xf>
    <xf numFmtId="1" fontId="103" fillId="6" borderId="23" xfId="0" applyNumberFormat="1" applyFont="1" applyFill="1" applyBorder="1" applyAlignment="1">
      <alignment horizontal="center" vertical="center"/>
    </xf>
    <xf numFmtId="1" fontId="103" fillId="7" borderId="23" xfId="0" applyNumberFormat="1" applyFont="1" applyFill="1" applyBorder="1" applyAlignment="1">
      <alignment horizontal="center" vertical="center"/>
    </xf>
    <xf numFmtId="0" fontId="129" fillId="0" borderId="0" xfId="0" applyFont="1"/>
    <xf numFmtId="0" fontId="129" fillId="0" borderId="10" xfId="0" applyFont="1" applyBorder="1" applyAlignment="1">
      <alignment horizontal="left"/>
    </xf>
    <xf numFmtId="0" fontId="57" fillId="0" borderId="10" xfId="0" applyFont="1" applyBorder="1" applyAlignment="1">
      <alignment horizontal="center"/>
    </xf>
    <xf numFmtId="1" fontId="124" fillId="45" borderId="10" xfId="0" applyNumberFormat="1" applyFont="1" applyFill="1" applyBorder="1" applyAlignment="1">
      <alignment horizontal="center"/>
    </xf>
    <xf numFmtId="0" fontId="143" fillId="43" borderId="45" xfId="0" applyFont="1" applyFill="1" applyBorder="1" applyAlignment="1">
      <alignment horizontal="center"/>
    </xf>
    <xf numFmtId="0" fontId="143" fillId="43" borderId="45" xfId="0" applyFont="1" applyFill="1" applyBorder="1"/>
    <xf numFmtId="0" fontId="143" fillId="43" borderId="45" xfId="0" applyFont="1" applyFill="1" applyBorder="1" applyAlignment="1"/>
    <xf numFmtId="1" fontId="143" fillId="43" borderId="45" xfId="0" applyNumberFormat="1" applyFont="1" applyFill="1" applyBorder="1" applyAlignment="1">
      <alignment horizontal="center"/>
    </xf>
    <xf numFmtId="1" fontId="26" fillId="0" borderId="10" xfId="0" applyNumberFormat="1" applyFont="1" applyBorder="1" applyAlignment="1">
      <alignment horizontal="center" vertical="center"/>
    </xf>
    <xf numFmtId="1" fontId="26" fillId="9" borderId="10" xfId="0" applyNumberFormat="1" applyFont="1" applyFill="1" applyBorder="1" applyAlignment="1">
      <alignment horizontal="center" vertical="center"/>
    </xf>
    <xf numFmtId="1" fontId="26" fillId="6" borderId="10" xfId="0" applyNumberFormat="1" applyFont="1" applyFill="1" applyBorder="1" applyAlignment="1">
      <alignment horizontal="center" vertical="center"/>
    </xf>
    <xf numFmtId="1" fontId="26" fillId="8" borderId="10" xfId="0" applyNumberFormat="1" applyFont="1" applyFill="1" applyBorder="1" applyAlignment="1">
      <alignment horizontal="center" vertical="center"/>
    </xf>
    <xf numFmtId="1" fontId="26" fillId="0" borderId="10" xfId="0" applyNumberFormat="1" applyFont="1" applyBorder="1" applyAlignment="1">
      <alignment horizontal="center" vertical="center"/>
    </xf>
    <xf numFmtId="0" fontId="24" fillId="9" borderId="31" xfId="0" applyFont="1" applyFill="1" applyBorder="1" applyAlignment="1">
      <alignment horizontal="left" vertical="center"/>
    </xf>
    <xf numFmtId="0" fontId="157" fillId="0" borderId="10" xfId="0" applyFont="1" applyBorder="1" applyAlignment="1">
      <alignment horizontal="center"/>
    </xf>
    <xf numFmtId="1" fontId="157" fillId="9" borderId="10" xfId="0" applyNumberFormat="1" applyFont="1" applyFill="1" applyBorder="1" applyAlignment="1">
      <alignment horizontal="center"/>
    </xf>
    <xf numFmtId="0" fontId="157" fillId="9" borderId="10" xfId="0" applyFont="1" applyFill="1" applyBorder="1" applyAlignment="1">
      <alignment horizontal="center" vertical="center"/>
    </xf>
    <xf numFmtId="1" fontId="26" fillId="0" borderId="10" xfId="0" applyNumberFormat="1" applyFont="1" applyBorder="1" applyAlignment="1">
      <alignment horizontal="center" vertical="center"/>
    </xf>
    <xf numFmtId="1" fontId="26" fillId="9" borderId="10" xfId="0" applyNumberFormat="1" applyFont="1" applyFill="1" applyBorder="1" applyAlignment="1">
      <alignment horizontal="center" vertical="center"/>
    </xf>
    <xf numFmtId="1" fontId="26" fillId="8" borderId="10" xfId="0" applyNumberFormat="1" applyFont="1" applyFill="1" applyBorder="1" applyAlignment="1">
      <alignment horizontal="center" vertical="center"/>
    </xf>
    <xf numFmtId="1" fontId="27" fillId="9" borderId="10" xfId="0" applyNumberFormat="1" applyFont="1" applyFill="1" applyBorder="1" applyAlignment="1">
      <alignment horizontal="center" vertical="center"/>
    </xf>
    <xf numFmtId="0" fontId="27" fillId="8" borderId="1" xfId="0" applyFont="1" applyFill="1" applyBorder="1" applyAlignment="1">
      <alignment horizontal="center" vertical="center"/>
    </xf>
    <xf numFmtId="0" fontId="27" fillId="8" borderId="4" xfId="0" applyFont="1" applyFill="1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1" fontId="26" fillId="0" borderId="10" xfId="0" applyNumberFormat="1" applyFont="1" applyBorder="1" applyAlignment="1">
      <alignment horizontal="center" vertical="center"/>
    </xf>
    <xf numFmtId="1" fontId="0" fillId="9" borderId="10" xfId="0" applyNumberFormat="1" applyFill="1" applyBorder="1" applyAlignment="1">
      <alignment horizontal="center"/>
    </xf>
    <xf numFmtId="0" fontId="138" fillId="9" borderId="10" xfId="0" applyFont="1" applyFill="1" applyBorder="1" applyAlignment="1"/>
    <xf numFmtId="0" fontId="138" fillId="9" borderId="10" xfId="0" applyFont="1" applyFill="1" applyBorder="1" applyAlignment="1">
      <alignment horizontal="center"/>
    </xf>
    <xf numFmtId="0" fontId="138" fillId="9" borderId="10" xfId="0" applyFont="1" applyFill="1" applyBorder="1" applyAlignment="1">
      <alignment horizontal="center" vertical="center"/>
    </xf>
    <xf numFmtId="0" fontId="16" fillId="9" borderId="10" xfId="0" applyFont="1" applyFill="1" applyBorder="1"/>
    <xf numFmtId="0" fontId="16" fillId="9" borderId="10" xfId="0" applyFont="1" applyFill="1" applyBorder="1" applyAlignment="1">
      <alignment horizontal="center" vertical="center"/>
    </xf>
    <xf numFmtId="0" fontId="124" fillId="45" borderId="10" xfId="0" applyFont="1" applyFill="1" applyBorder="1" applyAlignment="1">
      <alignment horizontal="center" vertical="center"/>
    </xf>
    <xf numFmtId="0" fontId="142" fillId="43" borderId="10" xfId="0" applyFont="1" applyFill="1" applyBorder="1" applyAlignment="1">
      <alignment horizontal="center" vertical="center"/>
    </xf>
    <xf numFmtId="0" fontId="143" fillId="43" borderId="10" xfId="0" applyFont="1" applyFill="1" applyBorder="1" applyAlignment="1">
      <alignment horizontal="center" vertical="center"/>
    </xf>
    <xf numFmtId="0" fontId="139" fillId="9" borderId="10" xfId="0" applyFont="1" applyFill="1" applyBorder="1" applyAlignment="1">
      <alignment horizontal="center" vertical="center"/>
    </xf>
    <xf numFmtId="1" fontId="124" fillId="45" borderId="10" xfId="0" applyNumberFormat="1" applyFont="1" applyFill="1" applyBorder="1" applyAlignment="1">
      <alignment horizontal="center" vertical="center"/>
    </xf>
    <xf numFmtId="1" fontId="142" fillId="43" borderId="10" xfId="0" applyNumberFormat="1" applyFont="1" applyFill="1" applyBorder="1" applyAlignment="1">
      <alignment horizontal="center" vertical="center"/>
    </xf>
    <xf numFmtId="0" fontId="143" fillId="43" borderId="45" xfId="0" applyFont="1" applyFill="1" applyBorder="1" applyAlignment="1">
      <alignment horizontal="center" vertical="center"/>
    </xf>
    <xf numFmtId="1" fontId="143" fillId="43" borderId="45" xfId="0" applyNumberFormat="1" applyFont="1" applyFill="1" applyBorder="1" applyAlignment="1">
      <alignment horizontal="center" vertical="center"/>
    </xf>
    <xf numFmtId="0" fontId="27" fillId="6" borderId="87" xfId="0" applyFont="1" applyFill="1" applyBorder="1" applyAlignment="1">
      <alignment horizontal="center" vertical="center"/>
    </xf>
    <xf numFmtId="0" fontId="27" fillId="6" borderId="54" xfId="0" applyFont="1" applyFill="1" applyBorder="1" applyAlignment="1">
      <alignment horizontal="center" vertical="center"/>
    </xf>
    <xf numFmtId="0" fontId="27" fillId="7" borderId="87" xfId="0" applyFont="1" applyFill="1" applyBorder="1" applyAlignment="1">
      <alignment horizontal="center" vertical="center"/>
    </xf>
    <xf numFmtId="0" fontId="27" fillId="7" borderId="54" xfId="0" applyFont="1" applyFill="1" applyBorder="1" applyAlignment="1">
      <alignment horizontal="center" vertical="center"/>
    </xf>
    <xf numFmtId="1" fontId="26" fillId="47" borderId="10" xfId="0" applyNumberFormat="1" applyFont="1" applyFill="1" applyBorder="1" applyAlignment="1">
      <alignment horizontal="center" vertical="center"/>
    </xf>
    <xf numFmtId="1" fontId="26" fillId="9" borderId="10" xfId="0" applyNumberFormat="1" applyFont="1" applyFill="1" applyBorder="1" applyAlignment="1">
      <alignment horizontal="center" vertical="center"/>
    </xf>
    <xf numFmtId="1" fontId="26" fillId="47" borderId="17" xfId="0" applyNumberFormat="1" applyFont="1" applyFill="1" applyBorder="1" applyAlignment="1">
      <alignment horizontal="center" vertical="center"/>
    </xf>
    <xf numFmtId="1" fontId="26" fillId="0" borderId="10" xfId="0" applyNumberFormat="1" applyFont="1" applyBorder="1" applyAlignment="1">
      <alignment horizontal="center" vertical="center"/>
    </xf>
    <xf numFmtId="1" fontId="26" fillId="9" borderId="10" xfId="0" applyNumberFormat="1" applyFont="1" applyFill="1" applyBorder="1" applyAlignment="1">
      <alignment horizontal="center" vertical="center"/>
    </xf>
    <xf numFmtId="1" fontId="26" fillId="6" borderId="10" xfId="0" applyNumberFormat="1" applyFont="1" applyFill="1" applyBorder="1" applyAlignment="1">
      <alignment horizontal="center" vertical="center"/>
    </xf>
    <xf numFmtId="1" fontId="26" fillId="8" borderId="10" xfId="0" applyNumberFormat="1" applyFont="1" applyFill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6" fillId="0" borderId="31" xfId="0" applyFont="1" applyBorder="1" applyAlignment="1">
      <alignment horizontal="left" vertical="center"/>
    </xf>
    <xf numFmtId="1" fontId="27" fillId="0" borderId="10" xfId="0" applyNumberFormat="1" applyFont="1" applyBorder="1" applyAlignment="1">
      <alignment horizontal="center" vertical="center"/>
    </xf>
    <xf numFmtId="1" fontId="27" fillId="9" borderId="10" xfId="0" applyNumberFormat="1" applyFont="1" applyFill="1" applyBorder="1" applyAlignment="1">
      <alignment horizontal="center" vertical="center"/>
    </xf>
    <xf numFmtId="1" fontId="26" fillId="0" borderId="10" xfId="0" applyNumberFormat="1" applyFont="1" applyBorder="1" applyAlignment="1">
      <alignment horizontal="center" vertical="center"/>
    </xf>
    <xf numFmtId="1" fontId="26" fillId="9" borderId="10" xfId="0" applyNumberFormat="1" applyFont="1" applyFill="1" applyBorder="1" applyAlignment="1">
      <alignment horizontal="center" vertical="center"/>
    </xf>
    <xf numFmtId="1" fontId="26" fillId="8" borderId="10" xfId="0" applyNumberFormat="1" applyFont="1" applyFill="1" applyBorder="1" applyAlignment="1">
      <alignment horizontal="center" vertical="center"/>
    </xf>
    <xf numFmtId="1" fontId="26" fillId="6" borderId="10" xfId="0" applyNumberFormat="1" applyFont="1" applyFill="1" applyBorder="1" applyAlignment="1">
      <alignment horizontal="center" vertical="center"/>
    </xf>
    <xf numFmtId="1" fontId="26" fillId="7" borderId="10" xfId="0" applyNumberFormat="1" applyFont="1" applyFill="1" applyBorder="1" applyAlignment="1">
      <alignment horizontal="center" vertical="center"/>
    </xf>
    <xf numFmtId="1" fontId="27" fillId="8" borderId="62" xfId="0" applyNumberFormat="1" applyFont="1" applyFill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1" fontId="27" fillId="0" borderId="36" xfId="0" applyNumberFormat="1" applyFont="1" applyBorder="1" applyAlignment="1">
      <alignment horizontal="center" vertical="center"/>
    </xf>
    <xf numFmtId="0" fontId="27" fillId="8" borderId="4" xfId="0" applyFont="1" applyFill="1" applyBorder="1" applyAlignment="1">
      <alignment horizontal="center" vertical="center"/>
    </xf>
    <xf numFmtId="0" fontId="112" fillId="0" borderId="10" xfId="0" applyFont="1" applyBorder="1" applyAlignment="1">
      <alignment horizontal="center" vertical="center"/>
    </xf>
    <xf numFmtId="0" fontId="112" fillId="8" borderId="10" xfId="0" applyFont="1" applyFill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1" fontId="26" fillId="9" borderId="34" xfId="0" applyNumberFormat="1" applyFont="1" applyFill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/>
    </xf>
    <xf numFmtId="1" fontId="26" fillId="9" borderId="9" xfId="0" applyNumberFormat="1" applyFont="1" applyFill="1" applyBorder="1" applyAlignment="1">
      <alignment horizontal="center" vertical="center"/>
    </xf>
    <xf numFmtId="1" fontId="26" fillId="0" borderId="30" xfId="0" applyNumberFormat="1" applyFont="1" applyBorder="1" applyAlignment="1">
      <alignment horizontal="center" vertical="center"/>
    </xf>
    <xf numFmtId="1" fontId="26" fillId="9" borderId="30" xfId="0" applyNumberFormat="1" applyFont="1" applyFill="1" applyBorder="1" applyAlignment="1">
      <alignment horizontal="center" vertical="center"/>
    </xf>
    <xf numFmtId="0" fontId="26" fillId="8" borderId="38" xfId="0" applyFont="1" applyFill="1" applyBorder="1" applyAlignment="1">
      <alignment horizontal="center" vertical="center"/>
    </xf>
    <xf numFmtId="1" fontId="26" fillId="9" borderId="62" xfId="0" applyNumberFormat="1" applyFont="1" applyFill="1" applyBorder="1" applyAlignment="1">
      <alignment horizontal="center" vertical="center"/>
    </xf>
    <xf numFmtId="1" fontId="26" fillId="8" borderId="62" xfId="0" applyNumberFormat="1" applyFont="1" applyFill="1" applyBorder="1" applyAlignment="1">
      <alignment horizontal="center" vertical="center"/>
    </xf>
    <xf numFmtId="0" fontId="26" fillId="8" borderId="34" xfId="0" applyFont="1" applyFill="1" applyBorder="1" applyAlignment="1">
      <alignment horizontal="center" vertical="center"/>
    </xf>
    <xf numFmtId="1" fontId="25" fillId="8" borderId="10" xfId="0" applyNumberFormat="1" applyFont="1" applyFill="1" applyBorder="1" applyAlignment="1">
      <alignment horizontal="center" vertical="center"/>
    </xf>
    <xf numFmtId="1" fontId="25" fillId="6" borderId="10" xfId="0" applyNumberFormat="1" applyFont="1" applyFill="1" applyBorder="1" applyAlignment="1">
      <alignment horizontal="center" vertical="center"/>
    </xf>
    <xf numFmtId="2" fontId="26" fillId="8" borderId="10" xfId="0" applyNumberFormat="1" applyFont="1" applyFill="1" applyBorder="1" applyAlignment="1">
      <alignment horizontal="center" vertical="center"/>
    </xf>
    <xf numFmtId="2" fontId="26" fillId="0" borderId="10" xfId="0" applyNumberFormat="1" applyFont="1" applyBorder="1" applyAlignment="1">
      <alignment horizontal="center" vertical="center"/>
    </xf>
    <xf numFmtId="2" fontId="26" fillId="9" borderId="10" xfId="0" applyNumberFormat="1" applyFont="1" applyFill="1" applyBorder="1" applyAlignment="1">
      <alignment horizontal="center" vertical="center"/>
    </xf>
    <xf numFmtId="0" fontId="25" fillId="0" borderId="37" xfId="0" applyFont="1" applyBorder="1" applyAlignment="1">
      <alignment horizontal="center" vertical="center"/>
    </xf>
    <xf numFmtId="1" fontId="26" fillId="9" borderId="10" xfId="0" applyNumberFormat="1" applyFont="1" applyFill="1" applyBorder="1" applyAlignment="1">
      <alignment horizontal="center" vertical="center"/>
    </xf>
    <xf numFmtId="1" fontId="21" fillId="9" borderId="29" xfId="0" applyNumberFormat="1" applyFont="1" applyFill="1" applyBorder="1" applyAlignment="1">
      <alignment horizontal="center" vertical="center"/>
    </xf>
    <xf numFmtId="1" fontId="10" fillId="9" borderId="29" xfId="0" applyNumberFormat="1" applyFont="1" applyFill="1" applyBorder="1" applyAlignment="1">
      <alignment horizontal="center" vertical="center"/>
    </xf>
    <xf numFmtId="1" fontId="10" fillId="8" borderId="31" xfId="0" applyNumberFormat="1" applyFont="1" applyFill="1" applyBorder="1" applyAlignment="1">
      <alignment horizontal="center" vertical="center"/>
    </xf>
    <xf numFmtId="1" fontId="10" fillId="8" borderId="34" xfId="0" applyNumberFormat="1" applyFont="1" applyFill="1" applyBorder="1" applyAlignment="1">
      <alignment horizontal="center" vertical="center"/>
    </xf>
    <xf numFmtId="1" fontId="10" fillId="8" borderId="45" xfId="0" applyNumberFormat="1" applyFont="1" applyFill="1" applyBorder="1" applyAlignment="1">
      <alignment horizontal="center" vertical="center"/>
    </xf>
    <xf numFmtId="1" fontId="10" fillId="8" borderId="30" xfId="0" applyNumberFormat="1" applyFont="1" applyFill="1" applyBorder="1" applyAlignment="1">
      <alignment horizontal="center" vertical="center"/>
    </xf>
    <xf numFmtId="1" fontId="26" fillId="0" borderId="10" xfId="0" applyNumberFormat="1" applyFont="1" applyBorder="1" applyAlignment="1">
      <alignment horizontal="center" vertical="center"/>
    </xf>
    <xf numFmtId="1" fontId="26" fillId="9" borderId="10" xfId="0" applyNumberFormat="1" applyFont="1" applyFill="1" applyBorder="1" applyAlignment="1">
      <alignment horizontal="center" vertical="center"/>
    </xf>
    <xf numFmtId="1" fontId="26" fillId="8" borderId="10" xfId="0" applyNumberFormat="1" applyFont="1" applyFill="1" applyBorder="1" applyAlignment="1">
      <alignment horizontal="center" vertical="center"/>
    </xf>
    <xf numFmtId="2" fontId="26" fillId="8" borderId="10" xfId="0" applyNumberFormat="1" applyFont="1" applyFill="1" applyBorder="1" applyAlignment="1">
      <alignment horizontal="center" vertical="center"/>
    </xf>
    <xf numFmtId="2" fontId="26" fillId="0" borderId="10" xfId="0" applyNumberFormat="1" applyFont="1" applyBorder="1" applyAlignment="1">
      <alignment horizontal="center" vertical="center"/>
    </xf>
    <xf numFmtId="1" fontId="26" fillId="0" borderId="10" xfId="0" applyNumberFormat="1" applyFont="1" applyBorder="1" applyAlignment="1">
      <alignment horizontal="center" vertical="center"/>
    </xf>
    <xf numFmtId="1" fontId="26" fillId="9" borderId="10" xfId="0" applyNumberFormat="1" applyFont="1" applyFill="1" applyBorder="1" applyAlignment="1">
      <alignment horizontal="center" vertical="center"/>
    </xf>
    <xf numFmtId="1" fontId="26" fillId="6" borderId="10" xfId="0" applyNumberFormat="1" applyFont="1" applyFill="1" applyBorder="1" applyAlignment="1">
      <alignment horizontal="center" vertical="center"/>
    </xf>
    <xf numFmtId="1" fontId="26" fillId="8" borderId="10" xfId="0" applyNumberFormat="1" applyFont="1" applyFill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7" fillId="0" borderId="2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1" fontId="5" fillId="8" borderId="9" xfId="0" applyNumberFormat="1" applyFont="1" applyFill="1" applyBorder="1" applyAlignment="1">
      <alignment horizontal="center"/>
    </xf>
    <xf numFmtId="1" fontId="10" fillId="9" borderId="29" xfId="0" applyNumberFormat="1" applyFont="1" applyFill="1" applyBorder="1" applyAlignment="1">
      <alignment horizontal="center" vertical="center"/>
    </xf>
    <xf numFmtId="1" fontId="10" fillId="8" borderId="31" xfId="0" applyNumberFormat="1" applyFont="1" applyFill="1" applyBorder="1" applyAlignment="1">
      <alignment horizontal="center" vertical="center"/>
    </xf>
    <xf numFmtId="1" fontId="10" fillId="9" borderId="38" xfId="0" applyNumberFormat="1" applyFont="1" applyFill="1" applyBorder="1" applyAlignment="1">
      <alignment horizontal="center" vertical="center"/>
    </xf>
    <xf numFmtId="1" fontId="10" fillId="9" borderId="8" xfId="0" applyNumberFormat="1" applyFont="1" applyFill="1" applyBorder="1" applyAlignment="1">
      <alignment horizontal="center" vertical="center"/>
    </xf>
    <xf numFmtId="1" fontId="10" fillId="8" borderId="62" xfId="0" applyNumberFormat="1" applyFont="1" applyFill="1" applyBorder="1" applyAlignment="1">
      <alignment horizontal="center" vertical="center"/>
    </xf>
    <xf numFmtId="1" fontId="10" fillId="8" borderId="74" xfId="0" applyNumberFormat="1" applyFont="1" applyFill="1" applyBorder="1" applyAlignment="1">
      <alignment horizontal="center" vertical="center"/>
    </xf>
    <xf numFmtId="1" fontId="10" fillId="8" borderId="34" xfId="0" applyNumberFormat="1" applyFont="1" applyFill="1" applyBorder="1" applyAlignment="1">
      <alignment horizontal="center" vertical="center"/>
    </xf>
    <xf numFmtId="1" fontId="10" fillId="8" borderId="30" xfId="0" applyNumberFormat="1" applyFont="1" applyFill="1" applyBorder="1" applyAlignment="1">
      <alignment horizontal="center" vertical="center"/>
    </xf>
    <xf numFmtId="1" fontId="5" fillId="0" borderId="9" xfId="0" applyNumberFormat="1" applyFont="1" applyBorder="1" applyAlignment="1">
      <alignment horizontal="center" vertical="center"/>
    </xf>
    <xf numFmtId="1" fontId="5" fillId="8" borderId="9" xfId="0" applyNumberFormat="1" applyFont="1" applyFill="1" applyBorder="1" applyAlignment="1">
      <alignment horizontal="center" vertical="center"/>
    </xf>
    <xf numFmtId="1" fontId="10" fillId="6" borderId="30" xfId="0" applyNumberFormat="1" applyFont="1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1" fontId="5" fillId="0" borderId="36" xfId="0" applyNumberFormat="1" applyFont="1" applyBorder="1" applyAlignment="1">
      <alignment horizontal="center" vertical="center"/>
    </xf>
    <xf numFmtId="1" fontId="5" fillId="6" borderId="9" xfId="0" applyNumberFormat="1" applyFont="1" applyFill="1" applyBorder="1" applyAlignment="1">
      <alignment horizontal="center" vertical="center"/>
    </xf>
    <xf numFmtId="1" fontId="10" fillId="9" borderId="74" xfId="0" applyNumberFormat="1" applyFont="1" applyFill="1" applyBorder="1" applyAlignment="1">
      <alignment horizontal="center" vertical="center"/>
    </xf>
    <xf numFmtId="1" fontId="10" fillId="9" borderId="34" xfId="0" applyNumberFormat="1" applyFont="1" applyFill="1" applyBorder="1" applyAlignment="1">
      <alignment horizontal="center" vertical="center"/>
    </xf>
    <xf numFmtId="1" fontId="5" fillId="6" borderId="9" xfId="0" applyNumberFormat="1" applyFont="1" applyFill="1" applyBorder="1" applyAlignment="1">
      <alignment horizontal="center"/>
    </xf>
    <xf numFmtId="1" fontId="10" fillId="6" borderId="74" xfId="0" applyNumberFormat="1" applyFont="1" applyFill="1" applyBorder="1" applyAlignment="1">
      <alignment horizontal="center" vertical="center"/>
    </xf>
    <xf numFmtId="1" fontId="10" fillId="6" borderId="62" xfId="0" applyNumberFormat="1" applyFont="1" applyFill="1" applyBorder="1" applyAlignment="1">
      <alignment horizontal="center" vertical="center"/>
    </xf>
    <xf numFmtId="1" fontId="10" fillId="6" borderId="31" xfId="0" applyNumberFormat="1" applyFont="1" applyFill="1" applyBorder="1" applyAlignment="1">
      <alignment horizontal="center" vertical="center"/>
    </xf>
    <xf numFmtId="1" fontId="10" fillId="6" borderId="34" xfId="0" applyNumberFormat="1" applyFont="1" applyFill="1" applyBorder="1" applyAlignment="1">
      <alignment horizontal="center" vertical="center"/>
    </xf>
    <xf numFmtId="1" fontId="5" fillId="7" borderId="9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" fontId="10" fillId="7" borderId="30" xfId="0" applyNumberFormat="1" applyFont="1" applyFill="1" applyBorder="1" applyAlignment="1">
      <alignment horizontal="center" vertical="center"/>
    </xf>
    <xf numFmtId="1" fontId="10" fillId="7" borderId="62" xfId="0" applyNumberFormat="1" applyFont="1" applyFill="1" applyBorder="1" applyAlignment="1">
      <alignment horizontal="center" vertical="center"/>
    </xf>
    <xf numFmtId="1" fontId="10" fillId="7" borderId="74" xfId="0" applyNumberFormat="1" applyFont="1" applyFill="1" applyBorder="1" applyAlignment="1">
      <alignment horizontal="center" vertical="center"/>
    </xf>
    <xf numFmtId="1" fontId="10" fillId="7" borderId="34" xfId="0" applyNumberFormat="1" applyFont="1" applyFill="1" applyBorder="1" applyAlignment="1">
      <alignment horizontal="center" vertical="center"/>
    </xf>
    <xf numFmtId="1" fontId="10" fillId="7" borderId="31" xfId="0" applyNumberFormat="1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1" fontId="26" fillId="9" borderId="34" xfId="0" applyNumberFormat="1" applyFont="1" applyFill="1" applyBorder="1" applyAlignment="1">
      <alignment horizontal="center" vertical="center"/>
    </xf>
    <xf numFmtId="0" fontId="27" fillId="8" borderId="10" xfId="0" applyFont="1" applyFill="1" applyBorder="1" applyAlignment="1">
      <alignment horizontal="center" vertical="center"/>
    </xf>
    <xf numFmtId="1" fontId="5" fillId="9" borderId="62" xfId="0" applyNumberFormat="1" applyFont="1" applyFill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5" fillId="9" borderId="55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27" fillId="0" borderId="37" xfId="0" applyFont="1" applyBorder="1" applyAlignment="1">
      <alignment horizontal="center" vertical="center"/>
    </xf>
    <xf numFmtId="0" fontId="26" fillId="8" borderId="36" xfId="0" applyFont="1" applyFill="1" applyBorder="1" applyAlignment="1">
      <alignment horizontal="center" vertical="center"/>
    </xf>
    <xf numFmtId="1" fontId="26" fillId="9" borderId="62" xfId="0" applyNumberFormat="1" applyFont="1" applyFill="1" applyBorder="1" applyAlignment="1">
      <alignment horizontal="center" vertical="center"/>
    </xf>
    <xf numFmtId="0" fontId="26" fillId="8" borderId="8" xfId="0" applyFont="1" applyFill="1" applyBorder="1" applyAlignment="1">
      <alignment horizontal="center" vertical="center"/>
    </xf>
    <xf numFmtId="166" fontId="26" fillId="9" borderId="62" xfId="0" applyNumberFormat="1" applyFont="1" applyFill="1" applyBorder="1" applyAlignment="1">
      <alignment horizontal="center" vertical="center"/>
    </xf>
    <xf numFmtId="1" fontId="25" fillId="8" borderId="10" xfId="0" applyNumberFormat="1" applyFont="1" applyFill="1" applyBorder="1" applyAlignment="1">
      <alignment horizontal="center" vertical="center"/>
    </xf>
    <xf numFmtId="2" fontId="26" fillId="0" borderId="37" xfId="0" applyNumberFormat="1" applyFont="1" applyBorder="1" applyAlignment="1">
      <alignment horizontal="center" vertical="center"/>
    </xf>
    <xf numFmtId="2" fontId="26" fillId="8" borderId="10" xfId="0" applyNumberFormat="1" applyFont="1" applyFill="1" applyBorder="1" applyAlignment="1">
      <alignment horizontal="center" vertical="center"/>
    </xf>
    <xf numFmtId="2" fontId="26" fillId="9" borderId="10" xfId="0" applyNumberFormat="1" applyFont="1" applyFill="1" applyBorder="1" applyAlignment="1">
      <alignment horizontal="center" vertical="center"/>
    </xf>
    <xf numFmtId="2" fontId="26" fillId="0" borderId="10" xfId="0" applyNumberFormat="1" applyFont="1" applyBorder="1" applyAlignment="1">
      <alignment horizontal="center" vertical="center"/>
    </xf>
    <xf numFmtId="166" fontId="25" fillId="9" borderId="31" xfId="0" applyNumberFormat="1" applyFont="1" applyFill="1" applyBorder="1" applyAlignment="1">
      <alignment horizontal="center" vertical="center"/>
    </xf>
    <xf numFmtId="1" fontId="15" fillId="9" borderId="3" xfId="0" applyNumberFormat="1" applyFont="1" applyFill="1" applyBorder="1" applyAlignment="1">
      <alignment horizontal="center" vertical="center"/>
    </xf>
    <xf numFmtId="1" fontId="15" fillId="0" borderId="3" xfId="0" applyNumberFormat="1" applyFont="1" applyBorder="1" applyAlignment="1">
      <alignment horizontal="center" vertical="center"/>
    </xf>
    <xf numFmtId="1" fontId="15" fillId="9" borderId="29" xfId="0" applyNumberFormat="1" applyFont="1" applyFill="1" applyBorder="1" applyAlignment="1">
      <alignment horizontal="center" vertical="center"/>
    </xf>
    <xf numFmtId="1" fontId="15" fillId="0" borderId="29" xfId="0" applyNumberFormat="1" applyFont="1" applyBorder="1" applyAlignment="1">
      <alignment horizontal="center" vertical="center"/>
    </xf>
    <xf numFmtId="1" fontId="15" fillId="9" borderId="59" xfId="0" applyNumberFormat="1" applyFont="1" applyFill="1" applyBorder="1" applyAlignment="1">
      <alignment horizontal="center" vertical="center"/>
    </xf>
    <xf numFmtId="1" fontId="15" fillId="0" borderId="23" xfId="0" applyNumberFormat="1" applyFont="1" applyBorder="1" applyAlignment="1">
      <alignment horizontal="center" vertical="center"/>
    </xf>
    <xf numFmtId="1" fontId="15" fillId="6" borderId="9" xfId="0" applyNumberFormat="1" applyFont="1" applyFill="1" applyBorder="1" applyAlignment="1">
      <alignment horizontal="center" vertical="center"/>
    </xf>
    <xf numFmtId="1" fontId="10" fillId="9" borderId="29" xfId="0" applyNumberFormat="1" applyFont="1" applyFill="1" applyBorder="1" applyAlignment="1">
      <alignment horizontal="center" vertical="center"/>
    </xf>
    <xf numFmtId="1" fontId="10" fillId="6" borderId="30" xfId="0" applyNumberFormat="1" applyFont="1" applyFill="1" applyBorder="1" applyAlignment="1">
      <alignment horizontal="center" vertical="center"/>
    </xf>
    <xf numFmtId="1" fontId="103" fillId="8" borderId="33" xfId="0" applyNumberFormat="1" applyFont="1" applyFill="1" applyBorder="1" applyAlignment="1">
      <alignment horizontal="center" vertical="center"/>
    </xf>
    <xf numFmtId="1" fontId="10" fillId="9" borderId="0" xfId="0" applyNumberFormat="1" applyFont="1" applyFill="1" applyAlignment="1">
      <alignment horizontal="center" vertical="center"/>
    </xf>
    <xf numFmtId="0" fontId="7" fillId="0" borderId="30" xfId="0" applyFont="1" applyBorder="1" applyAlignment="1">
      <alignment vertical="center"/>
    </xf>
    <xf numFmtId="0" fontId="10" fillId="0" borderId="45" xfId="0" applyFont="1" applyBorder="1" applyAlignment="1">
      <alignment vertical="center"/>
    </xf>
    <xf numFmtId="1" fontId="25" fillId="8" borderId="31" xfId="0" applyNumberFormat="1" applyFont="1" applyFill="1" applyBorder="1" applyAlignment="1">
      <alignment horizontal="center" vertical="center"/>
    </xf>
    <xf numFmtId="0" fontId="25" fillId="8" borderId="17" xfId="0" applyFont="1" applyFill="1" applyBorder="1" applyAlignment="1">
      <alignment horizontal="center" vertical="center"/>
    </xf>
    <xf numFmtId="166" fontId="25" fillId="8" borderId="31" xfId="0" applyNumberFormat="1" applyFont="1" applyFill="1" applyBorder="1" applyAlignment="1">
      <alignment horizontal="center" vertical="center"/>
    </xf>
    <xf numFmtId="1" fontId="25" fillId="8" borderId="17" xfId="0" applyNumberFormat="1" applyFont="1" applyFill="1" applyBorder="1" applyAlignment="1">
      <alignment horizontal="center" vertical="center"/>
    </xf>
    <xf numFmtId="1" fontId="157" fillId="8" borderId="17" xfId="0" applyNumberFormat="1" applyFont="1" applyFill="1" applyBorder="1" applyAlignment="1">
      <alignment horizontal="center"/>
    </xf>
    <xf numFmtId="1" fontId="157" fillId="8" borderId="33" xfId="0" applyNumberFormat="1" applyFont="1" applyFill="1" applyBorder="1" applyAlignment="1">
      <alignment horizontal="center"/>
    </xf>
    <xf numFmtId="0" fontId="93" fillId="9" borderId="0" xfId="0" applyFont="1" applyFill="1" applyBorder="1" applyAlignment="1">
      <alignment horizontal="center" vertical="center"/>
    </xf>
    <xf numFmtId="1" fontId="0" fillId="0" borderId="0" xfId="0" applyNumberFormat="1" applyBorder="1"/>
    <xf numFmtId="166" fontId="27" fillId="9" borderId="53" xfId="0" applyNumberFormat="1" applyFont="1" applyFill="1" applyBorder="1" applyAlignment="1">
      <alignment horizontal="center" vertical="center"/>
    </xf>
    <xf numFmtId="1" fontId="26" fillId="0" borderId="10" xfId="0" applyNumberFormat="1" applyFont="1" applyBorder="1" applyAlignment="1">
      <alignment horizontal="center" vertical="center"/>
    </xf>
    <xf numFmtId="1" fontId="26" fillId="9" borderId="10" xfId="0" applyNumberFormat="1" applyFont="1" applyFill="1" applyBorder="1" applyAlignment="1">
      <alignment horizontal="center" vertical="center"/>
    </xf>
    <xf numFmtId="1" fontId="26" fillId="8" borderId="10" xfId="0" applyNumberFormat="1" applyFont="1" applyFill="1" applyBorder="1" applyAlignment="1">
      <alignment horizontal="center" vertical="center"/>
    </xf>
    <xf numFmtId="1" fontId="27" fillId="9" borderId="10" xfId="0" applyNumberFormat="1" applyFont="1" applyFill="1" applyBorder="1" applyAlignment="1">
      <alignment horizontal="center" vertical="center"/>
    </xf>
    <xf numFmtId="1" fontId="27" fillId="0" borderId="36" xfId="0" applyNumberFormat="1" applyFont="1" applyBorder="1" applyAlignment="1">
      <alignment horizontal="center" vertical="center"/>
    </xf>
    <xf numFmtId="1" fontId="27" fillId="8" borderId="62" xfId="0" applyNumberFormat="1" applyFont="1" applyFill="1" applyBorder="1" applyAlignment="1">
      <alignment horizontal="center" vertical="center"/>
    </xf>
    <xf numFmtId="0" fontId="27" fillId="8" borderId="4" xfId="0" applyFont="1" applyFill="1" applyBorder="1" applyAlignment="1">
      <alignment horizontal="center" vertical="center"/>
    </xf>
    <xf numFmtId="0" fontId="112" fillId="8" borderId="10" xfId="0" applyFont="1" applyFill="1" applyBorder="1" applyAlignment="1">
      <alignment horizontal="center" vertical="center"/>
    </xf>
    <xf numFmtId="1" fontId="10" fillId="8" borderId="74" xfId="0" applyNumberFormat="1" applyFont="1" applyFill="1" applyBorder="1" applyAlignment="1">
      <alignment horizontal="center" vertical="center"/>
    </xf>
    <xf numFmtId="1" fontId="10" fillId="8" borderId="34" xfId="0" applyNumberFormat="1" applyFont="1" applyFill="1" applyBorder="1" applyAlignment="1">
      <alignment horizontal="center" vertical="center"/>
    </xf>
    <xf numFmtId="1" fontId="10" fillId="8" borderId="31" xfId="0" applyNumberFormat="1" applyFont="1" applyFill="1" applyBorder="1" applyAlignment="1">
      <alignment horizontal="center" vertical="center"/>
    </xf>
    <xf numFmtId="1" fontId="10" fillId="8" borderId="62" xfId="0" applyNumberFormat="1" applyFont="1" applyFill="1" applyBorder="1" applyAlignment="1">
      <alignment horizontal="center" vertical="center"/>
    </xf>
    <xf numFmtId="1" fontId="10" fillId="9" borderId="38" xfId="0" applyNumberFormat="1" applyFont="1" applyFill="1" applyBorder="1" applyAlignment="1">
      <alignment horizontal="center" vertical="center"/>
    </xf>
    <xf numFmtId="0" fontId="112" fillId="0" borderId="10" xfId="0" applyFont="1" applyBorder="1" applyAlignment="1">
      <alignment horizontal="center" vertical="center"/>
    </xf>
    <xf numFmtId="1" fontId="10" fillId="9" borderId="8" xfId="0" applyNumberFormat="1" applyFont="1" applyFill="1" applyBorder="1" applyAlignment="1">
      <alignment horizontal="center" vertical="center"/>
    </xf>
    <xf numFmtId="1" fontId="10" fillId="9" borderId="29" xfId="0" applyNumberFormat="1" applyFont="1" applyFill="1" applyBorder="1" applyAlignment="1">
      <alignment horizontal="center" vertical="center"/>
    </xf>
    <xf numFmtId="1" fontId="5" fillId="0" borderId="9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1" fontId="21" fillId="9" borderId="29" xfId="0" applyNumberFormat="1" applyFont="1" applyFill="1" applyBorder="1" applyAlignment="1">
      <alignment horizontal="center" vertical="center"/>
    </xf>
    <xf numFmtId="1" fontId="26" fillId="0" borderId="30" xfId="0" applyNumberFormat="1" applyFont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/>
    </xf>
    <xf numFmtId="1" fontId="26" fillId="9" borderId="34" xfId="0" applyNumberFormat="1" applyFont="1" applyFill="1" applyBorder="1" applyAlignment="1">
      <alignment horizontal="center" vertical="center"/>
    </xf>
    <xf numFmtId="1" fontId="26" fillId="9" borderId="9" xfId="0" applyNumberFormat="1" applyFont="1" applyFill="1" applyBorder="1" applyAlignment="1">
      <alignment horizontal="center" vertical="center"/>
    </xf>
    <xf numFmtId="1" fontId="26" fillId="9" borderId="30" xfId="0" applyNumberFormat="1" applyFont="1" applyFill="1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0" fontId="27" fillId="8" borderId="10" xfId="0" applyFont="1" applyFill="1" applyBorder="1" applyAlignment="1">
      <alignment horizontal="center" vertical="center"/>
    </xf>
    <xf numFmtId="1" fontId="5" fillId="9" borderId="62" xfId="0" applyNumberFormat="1" applyFont="1" applyFill="1" applyBorder="1" applyAlignment="1">
      <alignment horizontal="center" vertical="center"/>
    </xf>
    <xf numFmtId="1" fontId="26" fillId="9" borderId="62" xfId="0" applyNumberFormat="1" applyFont="1" applyFill="1" applyBorder="1" applyAlignment="1">
      <alignment horizontal="center" vertical="center"/>
    </xf>
    <xf numFmtId="0" fontId="26" fillId="8" borderId="38" xfId="0" applyFont="1" applyFill="1" applyBorder="1" applyAlignment="1">
      <alignment horizontal="center" vertical="center"/>
    </xf>
    <xf numFmtId="1" fontId="26" fillId="8" borderId="62" xfId="0" applyNumberFormat="1" applyFont="1" applyFill="1" applyBorder="1" applyAlignment="1">
      <alignment horizontal="center" vertical="center"/>
    </xf>
    <xf numFmtId="1" fontId="26" fillId="6" borderId="62" xfId="0" applyNumberFormat="1" applyFont="1" applyFill="1" applyBorder="1" applyAlignment="1">
      <alignment horizontal="center" vertical="center"/>
    </xf>
    <xf numFmtId="1" fontId="26" fillId="7" borderId="62" xfId="0" applyNumberFormat="1" applyFont="1" applyFill="1" applyBorder="1" applyAlignment="1">
      <alignment horizontal="center" vertical="center"/>
    </xf>
    <xf numFmtId="0" fontId="46" fillId="8" borderId="62" xfId="0" applyFont="1" applyFill="1" applyBorder="1" applyAlignment="1">
      <alignment horizontal="center" vertical="center"/>
    </xf>
    <xf numFmtId="2" fontId="26" fillId="0" borderId="37" xfId="0" applyNumberFormat="1" applyFont="1" applyBorder="1" applyAlignment="1">
      <alignment horizontal="center" vertical="center"/>
    </xf>
    <xf numFmtId="2" fontId="26" fillId="8" borderId="10" xfId="0" applyNumberFormat="1" applyFont="1" applyFill="1" applyBorder="1" applyAlignment="1">
      <alignment horizontal="center" vertical="center"/>
    </xf>
    <xf numFmtId="2" fontId="26" fillId="9" borderId="10" xfId="0" applyNumberFormat="1" applyFont="1" applyFill="1" applyBorder="1" applyAlignment="1">
      <alignment horizontal="center" vertical="center"/>
    </xf>
    <xf numFmtId="2" fontId="26" fillId="0" borderId="10" xfId="0" applyNumberFormat="1" applyFont="1" applyBorder="1" applyAlignment="1">
      <alignment horizontal="center" vertical="center"/>
    </xf>
    <xf numFmtId="0" fontId="65" fillId="0" borderId="0" xfId="0" applyFont="1" applyBorder="1"/>
    <xf numFmtId="0" fontId="65" fillId="9" borderId="0" xfId="0" applyFont="1" applyFill="1" applyBorder="1"/>
    <xf numFmtId="1" fontId="26" fillId="0" borderId="10" xfId="0" applyNumberFormat="1" applyFont="1" applyBorder="1" applyAlignment="1">
      <alignment horizontal="center" vertical="center"/>
    </xf>
    <xf numFmtId="1" fontId="26" fillId="9" borderId="10" xfId="0" applyNumberFormat="1" applyFont="1" applyFill="1" applyBorder="1" applyAlignment="1">
      <alignment horizontal="center" vertical="center"/>
    </xf>
    <xf numFmtId="1" fontId="26" fillId="8" borderId="10" xfId="0" applyNumberFormat="1" applyFont="1" applyFill="1" applyBorder="1" applyAlignment="1">
      <alignment horizontal="center" vertical="center"/>
    </xf>
    <xf numFmtId="1" fontId="26" fillId="6" borderId="10" xfId="0" applyNumberFormat="1" applyFont="1" applyFill="1" applyBorder="1" applyAlignment="1">
      <alignment horizontal="center" vertical="center"/>
    </xf>
    <xf numFmtId="1" fontId="10" fillId="9" borderId="8" xfId="0" applyNumberFormat="1" applyFont="1" applyFill="1" applyBorder="1" applyAlignment="1">
      <alignment horizontal="center" vertical="center"/>
    </xf>
    <xf numFmtId="1" fontId="10" fillId="6" borderId="34" xfId="0" applyNumberFormat="1" applyFont="1" applyFill="1" applyBorder="1" applyAlignment="1">
      <alignment horizontal="center" vertical="center"/>
    </xf>
    <xf numFmtId="1" fontId="10" fillId="8" borderId="34" xfId="0" applyNumberFormat="1" applyFont="1" applyFill="1" applyBorder="1" applyAlignment="1">
      <alignment horizontal="center" vertical="center"/>
    </xf>
    <xf numFmtId="1" fontId="10" fillId="6" borderId="30" xfId="0" applyNumberFormat="1" applyFont="1" applyFill="1" applyBorder="1" applyAlignment="1">
      <alignment horizontal="center" vertical="center"/>
    </xf>
    <xf numFmtId="1" fontId="10" fillId="8" borderId="30" xfId="0" applyNumberFormat="1" applyFont="1" applyFill="1" applyBorder="1" applyAlignment="1">
      <alignment horizontal="center" vertical="center"/>
    </xf>
    <xf numFmtId="1" fontId="10" fillId="7" borderId="34" xfId="0" applyNumberFormat="1" applyFont="1" applyFill="1" applyBorder="1" applyAlignment="1">
      <alignment horizontal="center" vertical="center"/>
    </xf>
    <xf numFmtId="1" fontId="10" fillId="7" borderId="30" xfId="0" applyNumberFormat="1" applyFont="1" applyFill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166" fontId="0" fillId="9" borderId="31" xfId="0" applyNumberFormat="1" applyFill="1" applyBorder="1" applyAlignment="1">
      <alignment horizontal="center" vertical="center"/>
    </xf>
    <xf numFmtId="2" fontId="0" fillId="9" borderId="31" xfId="0" applyNumberFormat="1" applyFill="1" applyBorder="1" applyAlignment="1">
      <alignment horizontal="center" vertical="center"/>
    </xf>
    <xf numFmtId="1" fontId="0" fillId="9" borderId="31" xfId="0" applyNumberFormat="1" applyFill="1" applyBorder="1" applyAlignment="1">
      <alignment horizontal="center" vertical="center"/>
    </xf>
    <xf numFmtId="168" fontId="0" fillId="9" borderId="31" xfId="0" applyNumberFormat="1" applyFill="1" applyBorder="1" applyAlignment="1">
      <alignment horizontal="center" vertical="center"/>
    </xf>
    <xf numFmtId="166" fontId="0" fillId="9" borderId="10" xfId="0" applyNumberFormat="1" applyFill="1" applyBorder="1" applyAlignment="1">
      <alignment horizontal="center" vertical="center"/>
    </xf>
    <xf numFmtId="1" fontId="0" fillId="9" borderId="32" xfId="0" applyNumberFormat="1" applyFill="1" applyBorder="1" applyAlignment="1">
      <alignment horizontal="center" vertical="center"/>
    </xf>
    <xf numFmtId="1" fontId="24" fillId="0" borderId="16" xfId="0" applyNumberFormat="1" applyFont="1" applyBorder="1" applyAlignment="1">
      <alignment horizontal="center" vertical="center"/>
    </xf>
    <xf numFmtId="166" fontId="26" fillId="9" borderId="65" xfId="0" applyNumberFormat="1" applyFont="1" applyFill="1" applyBorder="1" applyAlignment="1">
      <alignment horizontal="center" vertical="center"/>
    </xf>
    <xf numFmtId="166" fontId="26" fillId="9" borderId="45" xfId="0" applyNumberFormat="1" applyFont="1" applyFill="1" applyBorder="1" applyAlignment="1">
      <alignment horizontal="center" vertical="center"/>
    </xf>
    <xf numFmtId="0" fontId="7" fillId="9" borderId="8" xfId="0" applyFont="1" applyFill="1" applyBorder="1" applyAlignment="1">
      <alignment vertical="center"/>
    </xf>
    <xf numFmtId="0" fontId="24" fillId="0" borderId="5" xfId="0" applyFont="1" applyBorder="1" applyAlignment="1">
      <alignment horizontal="center" vertical="center"/>
    </xf>
    <xf numFmtId="166" fontId="24" fillId="8" borderId="5" xfId="0" applyNumberFormat="1" applyFont="1" applyFill="1" applyBorder="1" applyAlignment="1">
      <alignment horizontal="center" vertical="center"/>
    </xf>
    <xf numFmtId="166" fontId="24" fillId="6" borderId="5" xfId="0" applyNumberFormat="1" applyFont="1" applyFill="1" applyBorder="1" applyAlignment="1">
      <alignment horizontal="center" vertical="center"/>
    </xf>
    <xf numFmtId="166" fontId="24" fillId="7" borderId="5" xfId="0" applyNumberFormat="1" applyFont="1" applyFill="1" applyBorder="1" applyAlignment="1">
      <alignment horizontal="center" vertical="center"/>
    </xf>
    <xf numFmtId="1" fontId="24" fillId="8" borderId="5" xfId="0" applyNumberFormat="1" applyFont="1" applyFill="1" applyBorder="1" applyAlignment="1">
      <alignment horizontal="center" vertical="center"/>
    </xf>
    <xf numFmtId="1" fontId="24" fillId="6" borderId="5" xfId="0" applyNumberFormat="1" applyFont="1" applyFill="1" applyBorder="1" applyAlignment="1">
      <alignment horizontal="center" vertical="center"/>
    </xf>
    <xf numFmtId="1" fontId="24" fillId="7" borderId="5" xfId="0" applyNumberFormat="1" applyFont="1" applyFill="1" applyBorder="1" applyAlignment="1">
      <alignment horizontal="center" vertical="center"/>
    </xf>
    <xf numFmtId="0" fontId="7" fillId="9" borderId="0" xfId="0" applyFont="1" applyFill="1" applyBorder="1" applyAlignment="1">
      <alignment vertical="center"/>
    </xf>
    <xf numFmtId="0" fontId="10" fillId="6" borderId="46" xfId="0" applyFont="1" applyFill="1" applyBorder="1" applyAlignment="1">
      <alignment vertical="center"/>
    </xf>
    <xf numFmtId="1" fontId="27" fillId="9" borderId="10" xfId="0" applyNumberFormat="1" applyFont="1" applyFill="1" applyBorder="1" applyAlignment="1">
      <alignment horizontal="center" vertical="center"/>
    </xf>
    <xf numFmtId="1" fontId="26" fillId="0" borderId="10" xfId="0" applyNumberFormat="1" applyFont="1" applyBorder="1" applyAlignment="1">
      <alignment horizontal="center" vertical="center"/>
    </xf>
    <xf numFmtId="1" fontId="26" fillId="9" borderId="10" xfId="0" applyNumberFormat="1" applyFont="1" applyFill="1" applyBorder="1" applyAlignment="1">
      <alignment horizontal="center" vertical="center"/>
    </xf>
    <xf numFmtId="1" fontId="26" fillId="8" borderId="10" xfId="0" applyNumberFormat="1" applyFont="1" applyFill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8" borderId="4" xfId="0" applyFont="1" applyFill="1" applyBorder="1" applyAlignment="1">
      <alignment horizontal="center" vertical="center"/>
    </xf>
    <xf numFmtId="0" fontId="27" fillId="0" borderId="23" xfId="0" applyFont="1" applyBorder="1" applyAlignment="1">
      <alignment horizontal="center" vertical="center"/>
    </xf>
    <xf numFmtId="1" fontId="10" fillId="8" borderId="31" xfId="0" applyNumberFormat="1" applyFont="1" applyFill="1" applyBorder="1" applyAlignment="1">
      <alignment horizontal="center" vertical="center"/>
    </xf>
    <xf numFmtId="1" fontId="10" fillId="8" borderId="34" xfId="0" applyNumberFormat="1" applyFont="1" applyFill="1" applyBorder="1" applyAlignment="1">
      <alignment horizontal="center" vertical="center"/>
    </xf>
    <xf numFmtId="1" fontId="10" fillId="8" borderId="45" xfId="0" applyNumberFormat="1" applyFont="1" applyFill="1" applyBorder="1" applyAlignment="1">
      <alignment horizontal="center" vertical="center"/>
    </xf>
    <xf numFmtId="1" fontId="10" fillId="8" borderId="30" xfId="0" applyNumberFormat="1" applyFont="1" applyFill="1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1" fontId="26" fillId="9" borderId="34" xfId="0" applyNumberFormat="1" applyFont="1" applyFill="1" applyBorder="1" applyAlignment="1">
      <alignment horizontal="center" vertical="center"/>
    </xf>
    <xf numFmtId="0" fontId="27" fillId="8" borderId="10" xfId="0" applyFont="1" applyFill="1" applyBorder="1" applyAlignment="1">
      <alignment horizontal="center" vertical="center"/>
    </xf>
    <xf numFmtId="0" fontId="27" fillId="0" borderId="37" xfId="0" applyFont="1" applyBorder="1" applyAlignment="1">
      <alignment horizontal="center" vertical="center"/>
    </xf>
    <xf numFmtId="0" fontId="26" fillId="8" borderId="36" xfId="0" applyFont="1" applyFill="1" applyBorder="1" applyAlignment="1">
      <alignment horizontal="center" vertical="center"/>
    </xf>
    <xf numFmtId="1" fontId="26" fillId="9" borderId="62" xfId="0" applyNumberFormat="1" applyFont="1" applyFill="1" applyBorder="1" applyAlignment="1">
      <alignment horizontal="center" vertical="center"/>
    </xf>
    <xf numFmtId="0" fontId="26" fillId="8" borderId="8" xfId="0" applyFont="1" applyFill="1" applyBorder="1" applyAlignment="1">
      <alignment horizontal="center" vertical="center"/>
    </xf>
    <xf numFmtId="166" fontId="26" fillId="9" borderId="62" xfId="0" applyNumberFormat="1" applyFont="1" applyFill="1" applyBorder="1" applyAlignment="1">
      <alignment horizontal="center" vertical="center"/>
    </xf>
    <xf numFmtId="0" fontId="26" fillId="8" borderId="34" xfId="0" applyFont="1" applyFill="1" applyBorder="1" applyAlignment="1">
      <alignment horizontal="center" vertical="center"/>
    </xf>
    <xf numFmtId="1" fontId="25" fillId="8" borderId="10" xfId="0" applyNumberFormat="1" applyFont="1" applyFill="1" applyBorder="1" applyAlignment="1">
      <alignment horizontal="center" vertical="center"/>
    </xf>
    <xf numFmtId="1" fontId="25" fillId="6" borderId="10" xfId="0" applyNumberFormat="1" applyFont="1" applyFill="1" applyBorder="1" applyAlignment="1">
      <alignment horizontal="center" vertical="center"/>
    </xf>
    <xf numFmtId="2" fontId="26" fillId="0" borderId="37" xfId="0" applyNumberFormat="1" applyFont="1" applyBorder="1" applyAlignment="1">
      <alignment horizontal="center" vertical="center"/>
    </xf>
    <xf numFmtId="2" fontId="26" fillId="8" borderId="10" xfId="0" applyNumberFormat="1" applyFont="1" applyFill="1" applyBorder="1" applyAlignment="1">
      <alignment horizontal="center" vertical="center"/>
    </xf>
    <xf numFmtId="2" fontId="26" fillId="0" borderId="10" xfId="0" applyNumberFormat="1" applyFont="1" applyBorder="1" applyAlignment="1">
      <alignment horizontal="center" vertical="center"/>
    </xf>
    <xf numFmtId="2" fontId="26" fillId="9" borderId="10" xfId="0" applyNumberFormat="1" applyFont="1" applyFill="1" applyBorder="1" applyAlignment="1">
      <alignment horizontal="center" vertical="center"/>
    </xf>
    <xf numFmtId="166" fontId="25" fillId="9" borderId="31" xfId="0" applyNumberFormat="1" applyFont="1" applyFill="1" applyBorder="1" applyAlignment="1">
      <alignment horizontal="center" vertical="center"/>
    </xf>
    <xf numFmtId="0" fontId="25" fillId="0" borderId="37" xfId="0" applyFont="1" applyBorder="1" applyAlignment="1">
      <alignment horizontal="center" vertical="center"/>
    </xf>
    <xf numFmtId="166" fontId="25" fillId="8" borderId="31" xfId="0" applyNumberFormat="1" applyFont="1" applyFill="1" applyBorder="1" applyAlignment="1">
      <alignment horizontal="center" vertical="center"/>
    </xf>
    <xf numFmtId="1" fontId="0" fillId="0" borderId="0" xfId="0" applyNumberFormat="1"/>
    <xf numFmtId="1" fontId="26" fillId="0" borderId="10" xfId="0" applyNumberFormat="1" applyFont="1" applyBorder="1" applyAlignment="1">
      <alignment horizontal="center" vertical="center"/>
    </xf>
    <xf numFmtId="1" fontId="26" fillId="9" borderId="10" xfId="0" applyNumberFormat="1" applyFont="1" applyFill="1" applyBorder="1" applyAlignment="1">
      <alignment horizontal="center" vertical="center"/>
    </xf>
    <xf numFmtId="1" fontId="26" fillId="6" borderId="10" xfId="0" applyNumberFormat="1" applyFont="1" applyFill="1" applyBorder="1" applyAlignment="1">
      <alignment horizontal="center" vertical="center"/>
    </xf>
    <xf numFmtId="1" fontId="26" fillId="8" borderId="10" xfId="0" applyNumberFormat="1" applyFont="1" applyFill="1" applyBorder="1" applyAlignment="1">
      <alignment horizontal="center" vertical="center"/>
    </xf>
    <xf numFmtId="1" fontId="26" fillId="7" borderId="10" xfId="0" applyNumberFormat="1" applyFont="1" applyFill="1" applyBorder="1" applyAlignment="1">
      <alignment horizontal="center" vertical="center"/>
    </xf>
    <xf numFmtId="1" fontId="25" fillId="8" borderId="10" xfId="0" applyNumberFormat="1" applyFont="1" applyFill="1" applyBorder="1" applyAlignment="1">
      <alignment horizontal="center" vertical="center"/>
    </xf>
    <xf numFmtId="1" fontId="25" fillId="6" borderId="10" xfId="0" applyNumberFormat="1" applyFont="1" applyFill="1" applyBorder="1" applyAlignment="1">
      <alignment horizontal="center" vertical="center"/>
    </xf>
    <xf numFmtId="2" fontId="26" fillId="9" borderId="10" xfId="0" applyNumberFormat="1" applyFont="1" applyFill="1" applyBorder="1" applyAlignment="1">
      <alignment horizontal="center" vertical="center"/>
    </xf>
    <xf numFmtId="0" fontId="45" fillId="0" borderId="10" xfId="0" applyFont="1" applyBorder="1" applyAlignment="1">
      <alignment horizontal="center"/>
    </xf>
    <xf numFmtId="1" fontId="142" fillId="5" borderId="10" xfId="0" applyNumberFormat="1" applyFont="1" applyFill="1" applyBorder="1" applyAlignment="1">
      <alignment horizontal="center"/>
    </xf>
    <xf numFmtId="166" fontId="139" fillId="9" borderId="10" xfId="0" applyNumberFormat="1" applyFont="1" applyFill="1" applyBorder="1" applyAlignment="1">
      <alignment horizontal="center" vertical="center"/>
    </xf>
    <xf numFmtId="1" fontId="26" fillId="9" borderId="10" xfId="0" applyNumberFormat="1" applyFont="1" applyFill="1" applyBorder="1" applyAlignment="1">
      <alignment horizontal="center" vertical="center"/>
    </xf>
    <xf numFmtId="1" fontId="25" fillId="8" borderId="10" xfId="0" applyNumberFormat="1" applyFont="1" applyFill="1" applyBorder="1" applyAlignment="1">
      <alignment horizontal="center" vertical="center"/>
    </xf>
    <xf numFmtId="9" fontId="27" fillId="9" borderId="55" xfId="22" applyFont="1" applyFill="1" applyBorder="1" applyAlignment="1">
      <alignment vertical="center"/>
    </xf>
    <xf numFmtId="1" fontId="27" fillId="9" borderId="55" xfId="0" applyNumberFormat="1" applyFont="1" applyFill="1" applyBorder="1" applyAlignment="1">
      <alignment vertical="center"/>
    </xf>
    <xf numFmtId="9" fontId="0" fillId="0" borderId="0" xfId="22" applyFont="1"/>
    <xf numFmtId="1" fontId="26" fillId="9" borderId="10" xfId="0" applyNumberFormat="1" applyFont="1" applyFill="1" applyBorder="1" applyAlignment="1">
      <alignment horizontal="center" vertical="center"/>
    </xf>
    <xf numFmtId="9" fontId="0" fillId="0" borderId="0" xfId="22" applyFont="1" applyAlignment="1">
      <alignment horizontal="center" vertical="center"/>
    </xf>
    <xf numFmtId="1" fontId="27" fillId="0" borderId="10" xfId="0" applyNumberFormat="1" applyFont="1" applyBorder="1" applyAlignment="1">
      <alignment horizontal="center" vertical="center"/>
    </xf>
    <xf numFmtId="1" fontId="27" fillId="9" borderId="10" xfId="0" applyNumberFormat="1" applyFont="1" applyFill="1" applyBorder="1" applyAlignment="1">
      <alignment horizontal="center" vertical="center"/>
    </xf>
    <xf numFmtId="1" fontId="26" fillId="0" borderId="10" xfId="0" applyNumberFormat="1" applyFont="1" applyBorder="1" applyAlignment="1">
      <alignment horizontal="center" vertical="center"/>
    </xf>
    <xf numFmtId="1" fontId="26" fillId="9" borderId="10" xfId="0" applyNumberFormat="1" applyFont="1" applyFill="1" applyBorder="1" applyAlignment="1">
      <alignment horizontal="center" vertical="center"/>
    </xf>
    <xf numFmtId="1" fontId="26" fillId="8" borderId="10" xfId="0" applyNumberFormat="1" applyFont="1" applyFill="1" applyBorder="1" applyAlignment="1">
      <alignment horizontal="center" vertical="center"/>
    </xf>
    <xf numFmtId="1" fontId="26" fillId="6" borderId="10" xfId="0" applyNumberFormat="1" applyFont="1" applyFill="1" applyBorder="1" applyAlignment="1">
      <alignment horizontal="center" vertical="center"/>
    </xf>
    <xf numFmtId="1" fontId="26" fillId="7" borderId="10" xfId="0" applyNumberFormat="1" applyFont="1" applyFill="1" applyBorder="1" applyAlignment="1">
      <alignment horizontal="center" vertical="center"/>
    </xf>
    <xf numFmtId="0" fontId="27" fillId="6" borderId="1" xfId="0" applyFont="1" applyFill="1" applyBorder="1" applyAlignment="1">
      <alignment horizontal="center" vertical="center"/>
    </xf>
    <xf numFmtId="0" fontId="27" fillId="8" borderId="4" xfId="0" applyFont="1" applyFill="1" applyBorder="1" applyAlignment="1">
      <alignment horizontal="center" vertical="center"/>
    </xf>
    <xf numFmtId="0" fontId="26" fillId="0" borderId="31" xfId="0" applyFont="1" applyBorder="1" applyAlignment="1">
      <alignment horizontal="left" vertical="center"/>
    </xf>
    <xf numFmtId="0" fontId="27" fillId="0" borderId="23" xfId="0" applyFont="1" applyBorder="1" applyAlignment="1">
      <alignment horizontal="center" vertical="center"/>
    </xf>
    <xf numFmtId="0" fontId="27" fillId="7" borderId="4" xfId="0" applyFont="1" applyFill="1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1" fontId="26" fillId="9" borderId="30" xfId="0" applyNumberFormat="1" applyFont="1" applyFill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/>
    </xf>
    <xf numFmtId="0" fontId="27" fillId="6" borderId="10" xfId="0" applyFont="1" applyFill="1" applyBorder="1" applyAlignment="1">
      <alignment horizontal="center" vertical="center"/>
    </xf>
    <xf numFmtId="0" fontId="27" fillId="7" borderId="10" xfId="0" applyFont="1" applyFill="1" applyBorder="1" applyAlignment="1">
      <alignment horizontal="center" vertical="center"/>
    </xf>
    <xf numFmtId="0" fontId="27" fillId="8" borderId="10" xfId="0" applyFont="1" applyFill="1" applyBorder="1" applyAlignment="1">
      <alignment horizontal="center" vertical="center"/>
    </xf>
    <xf numFmtId="1" fontId="26" fillId="9" borderId="62" xfId="0" applyNumberFormat="1" applyFont="1" applyFill="1" applyBorder="1" applyAlignment="1">
      <alignment horizontal="center" vertical="center"/>
    </xf>
    <xf numFmtId="1" fontId="10" fillId="8" borderId="74" xfId="0" applyNumberFormat="1" applyFont="1" applyFill="1" applyBorder="1" applyAlignment="1">
      <alignment horizontal="center" vertical="center"/>
    </xf>
    <xf numFmtId="1" fontId="10" fillId="8" borderId="34" xfId="0" applyNumberFormat="1" applyFont="1" applyFill="1" applyBorder="1" applyAlignment="1">
      <alignment horizontal="center" vertical="center"/>
    </xf>
    <xf numFmtId="1" fontId="10" fillId="8" borderId="31" xfId="0" applyNumberFormat="1" applyFont="1" applyFill="1" applyBorder="1" applyAlignment="1">
      <alignment horizontal="center" vertical="center"/>
    </xf>
    <xf numFmtId="1" fontId="10" fillId="8" borderId="62" xfId="0" applyNumberFormat="1" applyFont="1" applyFill="1" applyBorder="1" applyAlignment="1">
      <alignment horizontal="center" vertical="center"/>
    </xf>
    <xf numFmtId="1" fontId="5" fillId="0" borderId="9" xfId="0" applyNumberFormat="1" applyFont="1" applyBorder="1" applyAlignment="1">
      <alignment horizontal="center" vertical="center"/>
    </xf>
    <xf numFmtId="1" fontId="10" fillId="9" borderId="38" xfId="0" applyNumberFormat="1" applyFont="1" applyFill="1" applyBorder="1" applyAlignment="1">
      <alignment horizontal="center" vertical="center"/>
    </xf>
    <xf numFmtId="1" fontId="10" fillId="9" borderId="8" xfId="0" applyNumberFormat="1" applyFont="1" applyFill="1" applyBorder="1" applyAlignment="1">
      <alignment horizontal="center" vertical="center"/>
    </xf>
    <xf numFmtId="1" fontId="10" fillId="6" borderId="30" xfId="0" applyNumberFormat="1" applyFont="1" applyFill="1" applyBorder="1" applyAlignment="1">
      <alignment horizontal="center" vertical="center"/>
    </xf>
    <xf numFmtId="1" fontId="10" fillId="6" borderId="74" xfId="0" applyNumberFormat="1" applyFont="1" applyFill="1" applyBorder="1" applyAlignment="1">
      <alignment horizontal="center" vertical="center"/>
    </xf>
    <xf numFmtId="1" fontId="10" fillId="6" borderId="31" xfId="0" applyNumberFormat="1" applyFont="1" applyFill="1" applyBorder="1" applyAlignment="1">
      <alignment horizontal="center" vertical="center"/>
    </xf>
    <xf numFmtId="1" fontId="10" fillId="6" borderId="34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" fontId="10" fillId="7" borderId="30" xfId="0" applyNumberFormat="1" applyFont="1" applyFill="1" applyBorder="1" applyAlignment="1">
      <alignment horizontal="center" vertical="center"/>
    </xf>
    <xf numFmtId="1" fontId="10" fillId="7" borderId="62" xfId="0" applyNumberFormat="1" applyFont="1" applyFill="1" applyBorder="1" applyAlignment="1">
      <alignment horizontal="center" vertical="center"/>
    </xf>
    <xf numFmtId="1" fontId="10" fillId="7" borderId="74" xfId="0" applyNumberFormat="1" applyFont="1" applyFill="1" applyBorder="1" applyAlignment="1">
      <alignment horizontal="center" vertical="center"/>
    </xf>
    <xf numFmtId="1" fontId="10" fillId="7" borderId="34" xfId="0" applyNumberFormat="1" applyFont="1" applyFill="1" applyBorder="1" applyAlignment="1">
      <alignment horizontal="center" vertical="center"/>
    </xf>
    <xf numFmtId="1" fontId="10" fillId="7" borderId="31" xfId="0" applyNumberFormat="1" applyFont="1" applyFill="1" applyBorder="1" applyAlignment="1">
      <alignment horizontal="center" vertical="center"/>
    </xf>
    <xf numFmtId="1" fontId="5" fillId="9" borderId="62" xfId="0" applyNumberFormat="1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27" fillId="47" borderId="13" xfId="0" applyFont="1" applyFill="1" applyBorder="1" applyAlignment="1">
      <alignment horizontal="center" vertical="center"/>
    </xf>
    <xf numFmtId="0" fontId="27" fillId="47" borderId="21" xfId="0" applyFont="1" applyFill="1" applyBorder="1" applyAlignment="1">
      <alignment horizontal="center" vertical="center"/>
    </xf>
    <xf numFmtId="166" fontId="26" fillId="47" borderId="34" xfId="0" applyNumberFormat="1" applyFont="1" applyFill="1" applyBorder="1" applyAlignment="1">
      <alignment horizontal="center" vertical="center"/>
    </xf>
    <xf numFmtId="166" fontId="26" fillId="47" borderId="50" xfId="0" applyNumberFormat="1" applyFont="1" applyFill="1" applyBorder="1" applyAlignment="1">
      <alignment horizontal="center" vertical="center"/>
    </xf>
    <xf numFmtId="0" fontId="27" fillId="47" borderId="6" xfId="0" applyFont="1" applyFill="1" applyBorder="1" applyAlignment="1">
      <alignment vertical="center"/>
    </xf>
    <xf numFmtId="166" fontId="26" fillId="47" borderId="53" xfId="0" applyNumberFormat="1" applyFont="1" applyFill="1" applyBorder="1" applyAlignment="1">
      <alignment horizontal="center" vertical="center"/>
    </xf>
    <xf numFmtId="166" fontId="24" fillId="47" borderId="21" xfId="0" applyNumberFormat="1" applyFont="1" applyFill="1" applyBorder="1" applyAlignment="1">
      <alignment horizontal="center" vertical="center"/>
    </xf>
    <xf numFmtId="1" fontId="26" fillId="47" borderId="34" xfId="0" applyNumberFormat="1" applyFont="1" applyFill="1" applyBorder="1" applyAlignment="1">
      <alignment horizontal="center" vertical="center"/>
    </xf>
    <xf numFmtId="168" fontId="26" fillId="47" borderId="31" xfId="0" applyNumberFormat="1" applyFont="1" applyFill="1" applyBorder="1" applyAlignment="1">
      <alignment horizontal="center" vertical="center"/>
    </xf>
    <xf numFmtId="1" fontId="26" fillId="47" borderId="19" xfId="0" applyNumberFormat="1" applyFont="1" applyFill="1" applyBorder="1" applyAlignment="1">
      <alignment horizontal="center" vertical="center"/>
    </xf>
    <xf numFmtId="0" fontId="24" fillId="47" borderId="1" xfId="0" applyFont="1" applyFill="1" applyBorder="1" applyAlignment="1">
      <alignment horizontal="center" vertical="center"/>
    </xf>
    <xf numFmtId="166" fontId="24" fillId="47" borderId="1" xfId="0" applyNumberFormat="1" applyFont="1" applyFill="1" applyBorder="1" applyAlignment="1">
      <alignment horizontal="center" vertical="center"/>
    </xf>
    <xf numFmtId="166" fontId="26" fillId="47" borderId="17" xfId="0" applyNumberFormat="1" applyFont="1" applyFill="1" applyBorder="1" applyAlignment="1">
      <alignment horizontal="center" vertical="center"/>
    </xf>
    <xf numFmtId="2" fontId="26" fillId="47" borderId="17" xfId="0" applyNumberFormat="1" applyFont="1" applyFill="1" applyBorder="1" applyAlignment="1">
      <alignment horizontal="center" vertical="center"/>
    </xf>
    <xf numFmtId="1" fontId="26" fillId="47" borderId="27" xfId="0" applyNumberFormat="1" applyFont="1" applyFill="1" applyBorder="1" applyAlignment="1">
      <alignment horizontal="center" vertical="center"/>
    </xf>
    <xf numFmtId="0" fontId="57" fillId="0" borderId="0" xfId="0" applyFont="1"/>
    <xf numFmtId="0" fontId="54" fillId="9" borderId="0" xfId="0" applyFont="1" applyFill="1" applyBorder="1" applyAlignment="1">
      <alignment horizontal="center" vertical="center"/>
    </xf>
    <xf numFmtId="0" fontId="5" fillId="6" borderId="87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/>
    </xf>
    <xf numFmtId="0" fontId="93" fillId="6" borderId="10" xfId="0" applyFont="1" applyFill="1" applyBorder="1"/>
    <xf numFmtId="1" fontId="93" fillId="6" borderId="10" xfId="0" applyNumberFormat="1" applyFont="1" applyFill="1" applyBorder="1" applyAlignment="1">
      <alignment horizontal="center"/>
    </xf>
    <xf numFmtId="166" fontId="93" fillId="6" borderId="10" xfId="0" applyNumberFormat="1" applyFont="1" applyFill="1" applyBorder="1" applyAlignment="1">
      <alignment horizontal="center"/>
    </xf>
    <xf numFmtId="1" fontId="112" fillId="6" borderId="10" xfId="0" applyNumberFormat="1" applyFont="1" applyFill="1" applyBorder="1" applyAlignment="1">
      <alignment horizontal="center"/>
    </xf>
    <xf numFmtId="0" fontId="5" fillId="7" borderId="87" xfId="0" applyFont="1" applyFill="1" applyBorder="1" applyAlignment="1">
      <alignment horizontal="center" vertical="center"/>
    </xf>
    <xf numFmtId="0" fontId="5" fillId="7" borderId="38" xfId="0" applyFont="1" applyFill="1" applyBorder="1" applyAlignment="1">
      <alignment horizontal="center" vertical="center"/>
    </xf>
    <xf numFmtId="0" fontId="93" fillId="7" borderId="10" xfId="0" applyFont="1" applyFill="1" applyBorder="1"/>
    <xf numFmtId="1" fontId="93" fillId="7" borderId="10" xfId="0" applyNumberFormat="1" applyFont="1" applyFill="1" applyBorder="1" applyAlignment="1">
      <alignment horizontal="center"/>
    </xf>
    <xf numFmtId="166" fontId="93" fillId="7" borderId="10" xfId="0" applyNumberFormat="1" applyFont="1" applyFill="1" applyBorder="1" applyAlignment="1">
      <alignment horizontal="center"/>
    </xf>
    <xf numFmtId="1" fontId="112" fillId="7" borderId="10" xfId="0" applyNumberFormat="1" applyFont="1" applyFill="1" applyBorder="1" applyAlignment="1">
      <alignment horizontal="center"/>
    </xf>
    <xf numFmtId="0" fontId="5" fillId="48" borderId="87" xfId="0" applyFont="1" applyFill="1" applyBorder="1" applyAlignment="1">
      <alignment horizontal="center" vertical="center"/>
    </xf>
    <xf numFmtId="0" fontId="5" fillId="48" borderId="38" xfId="0" applyFont="1" applyFill="1" applyBorder="1" applyAlignment="1">
      <alignment horizontal="center" vertical="center"/>
    </xf>
    <xf numFmtId="1" fontId="10" fillId="48" borderId="10" xfId="0" applyNumberFormat="1" applyFont="1" applyFill="1" applyBorder="1" applyAlignment="1">
      <alignment horizontal="center" vertical="center"/>
    </xf>
    <xf numFmtId="0" fontId="93" fillId="48" borderId="10" xfId="0" applyFont="1" applyFill="1" applyBorder="1"/>
    <xf numFmtId="1" fontId="93" fillId="48" borderId="10" xfId="0" applyNumberFormat="1" applyFont="1" applyFill="1" applyBorder="1" applyAlignment="1">
      <alignment horizontal="center"/>
    </xf>
    <xf numFmtId="0" fontId="93" fillId="48" borderId="10" xfId="0" applyFont="1" applyFill="1" applyBorder="1" applyAlignment="1">
      <alignment horizontal="center"/>
    </xf>
    <xf numFmtId="166" fontId="93" fillId="48" borderId="10" xfId="0" applyNumberFormat="1" applyFont="1" applyFill="1" applyBorder="1" applyAlignment="1">
      <alignment horizontal="center"/>
    </xf>
    <xf numFmtId="1" fontId="112" fillId="48" borderId="10" xfId="0" applyNumberFormat="1" applyFont="1" applyFill="1" applyBorder="1" applyAlignment="1">
      <alignment horizontal="center"/>
    </xf>
    <xf numFmtId="1" fontId="27" fillId="0" borderId="10" xfId="0" applyNumberFormat="1" applyFont="1" applyBorder="1" applyAlignment="1">
      <alignment horizontal="center" vertical="center"/>
    </xf>
    <xf numFmtId="1" fontId="27" fillId="9" borderId="10" xfId="0" applyNumberFormat="1" applyFont="1" applyFill="1" applyBorder="1" applyAlignment="1">
      <alignment horizontal="center" vertical="center"/>
    </xf>
    <xf numFmtId="1" fontId="26" fillId="0" borderId="10" xfId="0" applyNumberFormat="1" applyFont="1" applyBorder="1" applyAlignment="1">
      <alignment horizontal="center" vertical="center"/>
    </xf>
    <xf numFmtId="1" fontId="26" fillId="9" borderId="10" xfId="0" applyNumberFormat="1" applyFont="1" applyFill="1" applyBorder="1" applyAlignment="1">
      <alignment horizontal="center" vertical="center"/>
    </xf>
    <xf numFmtId="1" fontId="26" fillId="47" borderId="10" xfId="0" applyNumberFormat="1" applyFont="1" applyFill="1" applyBorder="1" applyAlignment="1">
      <alignment horizontal="center" vertical="center"/>
    </xf>
    <xf numFmtId="1" fontId="26" fillId="8" borderId="10" xfId="0" applyNumberFormat="1" applyFont="1" applyFill="1" applyBorder="1" applyAlignment="1">
      <alignment horizontal="center" vertical="center"/>
    </xf>
    <xf numFmtId="1" fontId="26" fillId="6" borderId="10" xfId="0" applyNumberFormat="1" applyFont="1" applyFill="1" applyBorder="1" applyAlignment="1">
      <alignment horizontal="center" vertical="center"/>
    </xf>
    <xf numFmtId="1" fontId="26" fillId="7" borderId="10" xfId="0" applyNumberFormat="1" applyFont="1" applyFill="1" applyBorder="1" applyAlignment="1">
      <alignment horizontal="center" vertical="center"/>
    </xf>
    <xf numFmtId="1" fontId="27" fillId="6" borderId="62" xfId="0" applyNumberFormat="1" applyFont="1" applyFill="1" applyBorder="1" applyAlignment="1">
      <alignment horizontal="center" vertical="center"/>
    </xf>
    <xf numFmtId="1" fontId="27" fillId="8" borderId="62" xfId="0" applyNumberFormat="1" applyFont="1" applyFill="1" applyBorder="1" applyAlignment="1">
      <alignment horizontal="center" vertical="center"/>
    </xf>
    <xf numFmtId="0" fontId="26" fillId="0" borderId="31" xfId="0" applyFont="1" applyBorder="1" applyAlignment="1">
      <alignment horizontal="left" vertical="center"/>
    </xf>
    <xf numFmtId="1" fontId="5" fillId="8" borderId="9" xfId="0" applyNumberFormat="1" applyFont="1" applyFill="1" applyBorder="1" applyAlignment="1">
      <alignment horizontal="center"/>
    </xf>
    <xf numFmtId="1" fontId="10" fillId="9" borderId="29" xfId="0" applyNumberFormat="1" applyFont="1" applyFill="1" applyBorder="1" applyAlignment="1">
      <alignment horizontal="center" vertical="center"/>
    </xf>
    <xf numFmtId="1" fontId="5" fillId="0" borderId="9" xfId="0" applyNumberFormat="1" applyFont="1" applyBorder="1" applyAlignment="1">
      <alignment horizontal="center" vertical="center"/>
    </xf>
    <xf numFmtId="1" fontId="5" fillId="8" borderId="9" xfId="0" applyNumberFormat="1" applyFont="1" applyFill="1" applyBorder="1" applyAlignment="1">
      <alignment horizontal="center" vertical="center"/>
    </xf>
    <xf numFmtId="1" fontId="5" fillId="6" borderId="9" xfId="0" applyNumberFormat="1" applyFont="1" applyFill="1" applyBorder="1" applyAlignment="1">
      <alignment horizontal="center"/>
    </xf>
    <xf numFmtId="1" fontId="5" fillId="6" borderId="9" xfId="0" applyNumberFormat="1" applyFont="1" applyFill="1" applyBorder="1" applyAlignment="1">
      <alignment horizontal="center" vertical="center"/>
    </xf>
    <xf numFmtId="1" fontId="5" fillId="7" borderId="9" xfId="0" applyNumberFormat="1" applyFont="1" applyFill="1" applyBorder="1" applyAlignment="1">
      <alignment horizontal="center"/>
    </xf>
    <xf numFmtId="1" fontId="5" fillId="7" borderId="9" xfId="0" applyNumberFormat="1" applyFont="1" applyFill="1" applyBorder="1" applyAlignment="1">
      <alignment horizontal="center" vertical="center"/>
    </xf>
    <xf numFmtId="1" fontId="26" fillId="8" borderId="74" xfId="0" applyNumberFormat="1" applyFont="1" applyFill="1" applyBorder="1" applyAlignment="1">
      <alignment horizontal="center" vertical="center"/>
    </xf>
    <xf numFmtId="1" fontId="26" fillId="0" borderId="45" xfId="0" applyNumberFormat="1" applyFont="1" applyBorder="1" applyAlignment="1">
      <alignment horizontal="center" vertical="center"/>
    </xf>
    <xf numFmtId="1" fontId="26" fillId="0" borderId="30" xfId="0" applyNumberFormat="1" applyFont="1" applyBorder="1" applyAlignment="1">
      <alignment horizontal="center" vertical="center"/>
    </xf>
    <xf numFmtId="1" fontId="26" fillId="9" borderId="46" xfId="0" applyNumberFormat="1" applyFont="1" applyFill="1" applyBorder="1" applyAlignment="1">
      <alignment horizontal="center" vertical="center"/>
    </xf>
    <xf numFmtId="1" fontId="26" fillId="9" borderId="30" xfId="0" applyNumberFormat="1" applyFont="1" applyFill="1" applyBorder="1" applyAlignment="1">
      <alignment horizontal="center" vertical="center"/>
    </xf>
    <xf numFmtId="1" fontId="26" fillId="9" borderId="62" xfId="0" applyNumberFormat="1" applyFont="1" applyFill="1" applyBorder="1" applyAlignment="1">
      <alignment horizontal="center" vertical="center"/>
    </xf>
    <xf numFmtId="1" fontId="26" fillId="6" borderId="62" xfId="0" applyNumberFormat="1" applyFont="1" applyFill="1" applyBorder="1" applyAlignment="1">
      <alignment horizontal="center" vertical="center"/>
    </xf>
    <xf numFmtId="1" fontId="26" fillId="7" borderId="45" xfId="0" applyNumberFormat="1" applyFont="1" applyFill="1" applyBorder="1" applyAlignment="1">
      <alignment horizontal="center" vertical="center"/>
    </xf>
    <xf numFmtId="1" fontId="26" fillId="7" borderId="30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4" fillId="0" borderId="63" xfId="0" applyFont="1" applyBorder="1" applyAlignment="1">
      <alignment horizontal="left" vertical="center"/>
    </xf>
    <xf numFmtId="0" fontId="24" fillId="0" borderId="41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2" fontId="26" fillId="8" borderId="10" xfId="0" applyNumberFormat="1" applyFont="1" applyFill="1" applyBorder="1" applyAlignment="1">
      <alignment horizontal="center" vertical="center"/>
    </xf>
    <xf numFmtId="2" fontId="26" fillId="6" borderId="10" xfId="0" applyNumberFormat="1" applyFont="1" applyFill="1" applyBorder="1" applyAlignment="1">
      <alignment horizontal="center" vertical="center"/>
    </xf>
    <xf numFmtId="2" fontId="26" fillId="7" borderId="10" xfId="0" applyNumberFormat="1" applyFont="1" applyFill="1" applyBorder="1" applyAlignment="1">
      <alignment horizontal="center" vertical="center"/>
    </xf>
    <xf numFmtId="2" fontId="26" fillId="0" borderId="10" xfId="0" applyNumberFormat="1" applyFont="1" applyBorder="1" applyAlignment="1">
      <alignment horizontal="center" vertical="center"/>
    </xf>
    <xf numFmtId="2" fontId="26" fillId="9" borderId="10" xfId="0" applyNumberFormat="1" applyFont="1" applyFill="1" applyBorder="1" applyAlignment="1">
      <alignment horizontal="center" vertical="center"/>
    </xf>
    <xf numFmtId="0" fontId="0" fillId="0" borderId="0" xfId="0"/>
    <xf numFmtId="1" fontId="26" fillId="47" borderId="10" xfId="0" applyNumberFormat="1" applyFont="1" applyFill="1" applyBorder="1" applyAlignment="1">
      <alignment horizontal="center" vertical="center"/>
    </xf>
    <xf numFmtId="1" fontId="26" fillId="0" borderId="10" xfId="0" applyNumberFormat="1" applyFont="1" applyBorder="1" applyAlignment="1">
      <alignment horizontal="center" vertical="center"/>
    </xf>
    <xf numFmtId="1" fontId="26" fillId="9" borderId="10" xfId="0" applyNumberFormat="1" applyFont="1" applyFill="1" applyBorder="1" applyAlignment="1">
      <alignment horizontal="center" vertical="center"/>
    </xf>
    <xf numFmtId="1" fontId="26" fillId="6" borderId="10" xfId="0" applyNumberFormat="1" applyFont="1" applyFill="1" applyBorder="1" applyAlignment="1">
      <alignment horizontal="center" vertical="center"/>
    </xf>
    <xf numFmtId="1" fontId="26" fillId="8" borderId="10" xfId="0" applyNumberFormat="1" applyFont="1" applyFill="1" applyBorder="1" applyAlignment="1">
      <alignment horizontal="center" vertical="center"/>
    </xf>
    <xf numFmtId="1" fontId="26" fillId="7" borderId="10" xfId="0" applyNumberFormat="1" applyFont="1" applyFill="1" applyBorder="1" applyAlignment="1">
      <alignment horizontal="center" vertical="center"/>
    </xf>
    <xf numFmtId="1" fontId="27" fillId="9" borderId="10" xfId="0" applyNumberFormat="1" applyFont="1" applyFill="1" applyBorder="1" applyAlignment="1">
      <alignment horizontal="center" vertical="center"/>
    </xf>
    <xf numFmtId="1" fontId="26" fillId="47" borderId="17" xfId="0" applyNumberFormat="1" applyFont="1" applyFill="1" applyBorder="1" applyAlignment="1">
      <alignment horizontal="center" vertical="center"/>
    </xf>
    <xf numFmtId="1" fontId="27" fillId="0" borderId="36" xfId="0" applyNumberFormat="1" applyFont="1" applyBorder="1" applyAlignment="1">
      <alignment horizontal="center" vertical="center"/>
    </xf>
    <xf numFmtId="1" fontId="27" fillId="8" borderId="62" xfId="0" applyNumberFormat="1" applyFont="1" applyFill="1" applyBorder="1" applyAlignment="1">
      <alignment horizontal="center" vertical="center"/>
    </xf>
    <xf numFmtId="0" fontId="27" fillId="8" borderId="1" xfId="0" applyFont="1" applyFill="1" applyBorder="1" applyAlignment="1">
      <alignment horizontal="center" vertical="center"/>
    </xf>
    <xf numFmtId="1" fontId="27" fillId="6" borderId="62" xfId="0" applyNumberFormat="1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center" vertical="center"/>
    </xf>
    <xf numFmtId="0" fontId="27" fillId="6" borderId="1" xfId="0" applyFont="1" applyFill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8" borderId="4" xfId="0" applyFont="1" applyFill="1" applyBorder="1" applyAlignment="1">
      <alignment horizontal="center" vertical="center"/>
    </xf>
    <xf numFmtId="0" fontId="27" fillId="7" borderId="4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0" fillId="0" borderId="0" xfId="0"/>
    <xf numFmtId="0" fontId="112" fillId="8" borderId="10" xfId="0" applyFont="1" applyFill="1" applyBorder="1" applyAlignment="1">
      <alignment horizontal="center" vertical="center"/>
    </xf>
    <xf numFmtId="1" fontId="10" fillId="8" borderId="34" xfId="0" applyNumberFormat="1" applyFont="1" applyFill="1" applyBorder="1" applyAlignment="1">
      <alignment horizontal="center" vertical="center"/>
    </xf>
    <xf numFmtId="1" fontId="10" fillId="8" borderId="31" xfId="0" applyNumberFormat="1" applyFont="1" applyFill="1" applyBorder="1" applyAlignment="1">
      <alignment horizontal="center" vertical="center"/>
    </xf>
    <xf numFmtId="0" fontId="112" fillId="0" borderId="10" xfId="0" applyFont="1" applyBorder="1" applyAlignment="1">
      <alignment horizontal="center" vertical="center"/>
    </xf>
    <xf numFmtId="1" fontId="10" fillId="8" borderId="45" xfId="0" applyNumberFormat="1" applyFont="1" applyFill="1" applyBorder="1" applyAlignment="1">
      <alignment horizontal="center" vertical="center"/>
    </xf>
    <xf numFmtId="1" fontId="10" fillId="8" borderId="30" xfId="0" applyNumberFormat="1" applyFont="1" applyFill="1" applyBorder="1" applyAlignment="1">
      <alignment horizontal="center" vertical="center"/>
    </xf>
    <xf numFmtId="1" fontId="10" fillId="9" borderId="29" xfId="0" applyNumberFormat="1" applyFont="1" applyFill="1" applyBorder="1" applyAlignment="1">
      <alignment horizontal="center" vertical="center"/>
    </xf>
    <xf numFmtId="1" fontId="10" fillId="6" borderId="45" xfId="0" applyNumberFormat="1" applyFont="1" applyFill="1" applyBorder="1" applyAlignment="1">
      <alignment horizontal="center" vertical="center"/>
    </xf>
    <xf numFmtId="1" fontId="10" fillId="6" borderId="30" xfId="0" applyNumberFormat="1" applyFont="1" applyFill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1" fontId="10" fillId="6" borderId="3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" fontId="10" fillId="7" borderId="45" xfId="0" applyNumberFormat="1" applyFont="1" applyFill="1" applyBorder="1" applyAlignment="1">
      <alignment horizontal="center" vertical="center"/>
    </xf>
    <xf numFmtId="1" fontId="10" fillId="7" borderId="30" xfId="0" applyNumberFormat="1" applyFont="1" applyFill="1" applyBorder="1" applyAlignment="1">
      <alignment horizontal="center" vertical="center"/>
    </xf>
    <xf numFmtId="1" fontId="10" fillId="7" borderId="34" xfId="0" applyNumberFormat="1" applyFont="1" applyFill="1" applyBorder="1" applyAlignment="1">
      <alignment horizontal="center" vertical="center"/>
    </xf>
    <xf numFmtId="0" fontId="112" fillId="7" borderId="10" xfId="0" applyFont="1" applyFill="1" applyBorder="1" applyAlignment="1">
      <alignment horizontal="center" vertical="center"/>
    </xf>
    <xf numFmtId="1" fontId="10" fillId="7" borderId="31" xfId="0" applyNumberFormat="1" applyFont="1" applyFill="1" applyBorder="1" applyAlignment="1">
      <alignment horizontal="center" vertical="center"/>
    </xf>
    <xf numFmtId="1" fontId="26" fillId="0" borderId="30" xfId="0" applyNumberFormat="1" applyFont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/>
    </xf>
    <xf numFmtId="1" fontId="26" fillId="9" borderId="34" xfId="0" applyNumberFormat="1" applyFont="1" applyFill="1" applyBorder="1" applyAlignment="1">
      <alignment horizontal="center" vertical="center"/>
    </xf>
    <xf numFmtId="1" fontId="26" fillId="9" borderId="9" xfId="0" applyNumberFormat="1" applyFont="1" applyFill="1" applyBorder="1" applyAlignment="1">
      <alignment horizontal="center" vertical="center"/>
    </xf>
    <xf numFmtId="1" fontId="26" fillId="9" borderId="30" xfId="0" applyNumberFormat="1" applyFont="1" applyFill="1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0" fontId="26" fillId="8" borderId="38" xfId="0" applyFont="1" applyFill="1" applyBorder="1" applyAlignment="1">
      <alignment horizontal="center" vertical="center"/>
    </xf>
    <xf numFmtId="1" fontId="26" fillId="8" borderId="62" xfId="0" applyNumberFormat="1" applyFont="1" applyFill="1" applyBorder="1" applyAlignment="1">
      <alignment horizontal="center" vertical="center"/>
    </xf>
    <xf numFmtId="0" fontId="26" fillId="6" borderId="38" xfId="0" applyFont="1" applyFill="1" applyBorder="1" applyAlignment="1">
      <alignment horizontal="center" vertical="center"/>
    </xf>
    <xf numFmtId="1" fontId="26" fillId="7" borderId="62" xfId="0" applyNumberFormat="1" applyFont="1" applyFill="1" applyBorder="1" applyAlignment="1">
      <alignment horizontal="center" vertical="center"/>
    </xf>
    <xf numFmtId="1" fontId="25" fillId="8" borderId="10" xfId="0" applyNumberFormat="1" applyFont="1" applyFill="1" applyBorder="1" applyAlignment="1">
      <alignment horizontal="center" vertical="center"/>
    </xf>
    <xf numFmtId="1" fontId="25" fillId="6" borderId="10" xfId="0" applyNumberFormat="1" applyFont="1" applyFill="1" applyBorder="1" applyAlignment="1">
      <alignment horizontal="center" vertical="center"/>
    </xf>
    <xf numFmtId="1" fontId="26" fillId="7" borderId="30" xfId="0" applyNumberFormat="1" applyFont="1" applyFill="1" applyBorder="1" applyAlignment="1">
      <alignment horizontal="center" vertical="center"/>
    </xf>
    <xf numFmtId="2" fontId="26" fillId="6" borderId="10" xfId="0" applyNumberFormat="1" applyFont="1" applyFill="1" applyBorder="1" applyAlignment="1">
      <alignment horizontal="center" vertical="center"/>
    </xf>
    <xf numFmtId="2" fontId="26" fillId="9" borderId="10" xfId="0" applyNumberFormat="1" applyFont="1" applyFill="1" applyBorder="1" applyAlignment="1">
      <alignment horizontal="center" vertical="center"/>
    </xf>
    <xf numFmtId="2" fontId="26" fillId="8" borderId="10" xfId="0" applyNumberFormat="1" applyFont="1" applyFill="1" applyBorder="1" applyAlignment="1">
      <alignment horizontal="center" vertical="center"/>
    </xf>
    <xf numFmtId="2" fontId="26" fillId="7" borderId="10" xfId="0" applyNumberFormat="1" applyFont="1" applyFill="1" applyBorder="1" applyAlignment="1">
      <alignment horizontal="center" vertical="center"/>
    </xf>
    <xf numFmtId="2" fontId="26" fillId="0" borderId="37" xfId="0" applyNumberFormat="1" applyFont="1" applyBorder="1" applyAlignment="1">
      <alignment horizontal="center" vertical="center"/>
    </xf>
    <xf numFmtId="0" fontId="29" fillId="44" borderId="10" xfId="0" applyFont="1" applyFill="1" applyBorder="1" applyAlignment="1">
      <alignment horizontal="center"/>
    </xf>
    <xf numFmtId="0" fontId="26" fillId="0" borderId="62" xfId="0" applyFont="1" applyBorder="1" applyAlignment="1">
      <alignment horizontal="right" vertical="center"/>
    </xf>
    <xf numFmtId="1" fontId="26" fillId="6" borderId="45" xfId="0" applyNumberFormat="1" applyFont="1" applyFill="1" applyBorder="1" applyAlignment="1">
      <alignment horizontal="center" vertical="center"/>
    </xf>
    <xf numFmtId="1" fontId="26" fillId="8" borderId="65" xfId="0" applyNumberFormat="1" applyFont="1" applyFill="1" applyBorder="1" applyAlignment="1">
      <alignment horizontal="center" vertical="center"/>
    </xf>
    <xf numFmtId="1" fontId="26" fillId="8" borderId="38" xfId="0" applyNumberFormat="1" applyFont="1" applyFill="1" applyBorder="1" applyAlignment="1">
      <alignment horizontal="center" vertical="center"/>
    </xf>
    <xf numFmtId="166" fontId="26" fillId="47" borderId="72" xfId="0" applyNumberFormat="1" applyFont="1" applyFill="1" applyBorder="1" applyAlignment="1">
      <alignment horizontal="center" vertical="center"/>
    </xf>
    <xf numFmtId="1" fontId="27" fillId="0" borderId="30" xfId="0" applyNumberFormat="1" applyFont="1" applyBorder="1" applyAlignment="1">
      <alignment horizontal="center" vertical="center"/>
    </xf>
    <xf numFmtId="0" fontId="26" fillId="0" borderId="34" xfId="0" applyFont="1" applyBorder="1" applyAlignment="1">
      <alignment horizontal="center" vertical="center"/>
    </xf>
    <xf numFmtId="0" fontId="26" fillId="0" borderId="62" xfId="0" applyFont="1" applyBorder="1" applyAlignment="1">
      <alignment horizontal="center" vertical="center"/>
    </xf>
    <xf numFmtId="1" fontId="26" fillId="47" borderId="74" xfId="0" applyNumberFormat="1" applyFont="1" applyFill="1" applyBorder="1" applyAlignment="1">
      <alignment horizontal="center" vertical="center"/>
    </xf>
    <xf numFmtId="1" fontId="26" fillId="47" borderId="71" xfId="0" applyNumberFormat="1" applyFont="1" applyFill="1" applyBorder="1" applyAlignment="1">
      <alignment horizontal="center" vertical="center"/>
    </xf>
    <xf numFmtId="1" fontId="27" fillId="8" borderId="30" xfId="0" applyNumberFormat="1" applyFont="1" applyFill="1" applyBorder="1" applyAlignment="1">
      <alignment horizontal="center" vertical="center"/>
    </xf>
    <xf numFmtId="1" fontId="27" fillId="6" borderId="30" xfId="0" applyNumberFormat="1" applyFont="1" applyFill="1" applyBorder="1" applyAlignment="1">
      <alignment horizontal="center" vertical="center"/>
    </xf>
    <xf numFmtId="1" fontId="27" fillId="7" borderId="30" xfId="0" applyNumberFormat="1" applyFont="1" applyFill="1" applyBorder="1" applyAlignment="1">
      <alignment horizontal="center" vertical="center"/>
    </xf>
    <xf numFmtId="1" fontId="27" fillId="8" borderId="48" xfId="0" applyNumberFormat="1" applyFont="1" applyFill="1" applyBorder="1" applyAlignment="1">
      <alignment horizontal="center" vertical="center"/>
    </xf>
    <xf numFmtId="1" fontId="27" fillId="6" borderId="34" xfId="0" applyNumberFormat="1" applyFont="1" applyFill="1" applyBorder="1" applyAlignment="1">
      <alignment horizontal="center" vertical="center"/>
    </xf>
    <xf numFmtId="1" fontId="27" fillId="8" borderId="8" xfId="0" applyNumberFormat="1" applyFont="1" applyFill="1" applyBorder="1" applyAlignment="1">
      <alignment horizontal="center" vertical="center"/>
    </xf>
    <xf numFmtId="1" fontId="27" fillId="8" borderId="34" xfId="0" applyNumberFormat="1" applyFont="1" applyFill="1" applyBorder="1" applyAlignment="1">
      <alignment horizontal="center" vertical="center"/>
    </xf>
    <xf numFmtId="1" fontId="24" fillId="8" borderId="41" xfId="0" applyNumberFormat="1" applyFont="1" applyFill="1" applyBorder="1" applyAlignment="1">
      <alignment horizontal="center" vertical="center"/>
    </xf>
    <xf numFmtId="1" fontId="24" fillId="6" borderId="41" xfId="0" applyNumberFormat="1" applyFont="1" applyFill="1" applyBorder="1" applyAlignment="1">
      <alignment horizontal="center" vertical="center"/>
    </xf>
    <xf numFmtId="1" fontId="24" fillId="7" borderId="41" xfId="0" applyNumberFormat="1" applyFont="1" applyFill="1" applyBorder="1" applyAlignment="1">
      <alignment horizontal="center" vertical="center"/>
    </xf>
    <xf numFmtId="1" fontId="24" fillId="0" borderId="63" xfId="0" applyNumberFormat="1" applyFont="1" applyBorder="1" applyAlignment="1">
      <alignment horizontal="center" vertical="center"/>
    </xf>
    <xf numFmtId="1" fontId="24" fillId="6" borderId="42" xfId="0" applyNumberFormat="1" applyFont="1" applyFill="1" applyBorder="1" applyAlignment="1">
      <alignment horizontal="center" vertical="center"/>
    </xf>
    <xf numFmtId="0" fontId="24" fillId="0" borderId="32" xfId="0" applyFont="1" applyBorder="1" applyAlignment="1">
      <alignment vertical="center"/>
    </xf>
    <xf numFmtId="168" fontId="24" fillId="0" borderId="23" xfId="0" applyNumberFormat="1" applyFont="1" applyBorder="1" applyAlignment="1">
      <alignment horizontal="center" vertical="center"/>
    </xf>
    <xf numFmtId="168" fontId="24" fillId="9" borderId="23" xfId="0" applyNumberFormat="1" applyFont="1" applyFill="1" applyBorder="1" applyAlignment="1">
      <alignment horizontal="center" vertical="center"/>
    </xf>
    <xf numFmtId="168" fontId="27" fillId="8" borderId="23" xfId="0" applyNumberFormat="1" applyFont="1" applyFill="1" applyBorder="1" applyAlignment="1">
      <alignment horizontal="center" vertical="center"/>
    </xf>
    <xf numFmtId="168" fontId="27" fillId="6" borderId="23" xfId="0" applyNumberFormat="1" applyFont="1" applyFill="1" applyBorder="1" applyAlignment="1">
      <alignment horizontal="center" vertical="center"/>
    </xf>
    <xf numFmtId="168" fontId="27" fillId="7" borderId="23" xfId="0" applyNumberFormat="1" applyFont="1" applyFill="1" applyBorder="1" applyAlignment="1">
      <alignment horizontal="center" vertical="center"/>
    </xf>
    <xf numFmtId="168" fontId="27" fillId="8" borderId="68" xfId="0" applyNumberFormat="1" applyFont="1" applyFill="1" applyBorder="1" applyAlignment="1">
      <alignment horizontal="center" vertical="center"/>
    </xf>
    <xf numFmtId="168" fontId="24" fillId="0" borderId="32" xfId="0" applyNumberFormat="1" applyFont="1" applyBorder="1" applyAlignment="1">
      <alignment horizontal="center" vertical="center"/>
    </xf>
    <xf numFmtId="168" fontId="24" fillId="9" borderId="33" xfId="0" applyNumberFormat="1" applyFont="1" applyFill="1" applyBorder="1" applyAlignment="1">
      <alignment horizontal="center" vertical="center"/>
    </xf>
    <xf numFmtId="168" fontId="27" fillId="6" borderId="32" xfId="0" applyNumberFormat="1" applyFont="1" applyFill="1" applyBorder="1" applyAlignment="1">
      <alignment horizontal="center" vertical="center"/>
    </xf>
    <xf numFmtId="168" fontId="27" fillId="6" borderId="33" xfId="0" applyNumberFormat="1" applyFont="1" applyFill="1" applyBorder="1" applyAlignment="1">
      <alignment horizontal="center" vertical="center"/>
    </xf>
    <xf numFmtId="168" fontId="27" fillId="8" borderId="59" xfId="0" applyNumberFormat="1" applyFont="1" applyFill="1" applyBorder="1" applyAlignment="1">
      <alignment horizontal="center" vertical="center"/>
    </xf>
    <xf numFmtId="168" fontId="27" fillId="8" borderId="32" xfId="0" applyNumberFormat="1" applyFont="1" applyFill="1" applyBorder="1" applyAlignment="1">
      <alignment horizontal="center" vertical="center"/>
    </xf>
    <xf numFmtId="168" fontId="24" fillId="0" borderId="69" xfId="0" applyNumberFormat="1" applyFont="1" applyBorder="1" applyAlignment="1">
      <alignment horizontal="center" vertical="center"/>
    </xf>
    <xf numFmtId="168" fontId="24" fillId="9" borderId="14" xfId="0" applyNumberFormat="1" applyFont="1" applyFill="1" applyBorder="1" applyAlignment="1">
      <alignment horizontal="center" vertical="center"/>
    </xf>
    <xf numFmtId="168" fontId="26" fillId="47" borderId="32" xfId="0" applyNumberFormat="1" applyFont="1" applyFill="1" applyBorder="1" applyAlignment="1">
      <alignment horizontal="center" vertical="center"/>
    </xf>
    <xf numFmtId="168" fontId="24" fillId="47" borderId="11" xfId="0" applyNumberFormat="1" applyFont="1" applyFill="1" applyBorder="1" applyAlignment="1">
      <alignment horizontal="center" vertical="center"/>
    </xf>
    <xf numFmtId="1" fontId="27" fillId="8" borderId="65" xfId="0" applyNumberFormat="1" applyFont="1" applyFill="1" applyBorder="1" applyAlignment="1">
      <alignment horizontal="center" vertical="center"/>
    </xf>
    <xf numFmtId="1" fontId="27" fillId="6" borderId="72" xfId="0" applyNumberFormat="1" applyFont="1" applyFill="1" applyBorder="1" applyAlignment="1">
      <alignment horizontal="center" vertical="center"/>
    </xf>
    <xf numFmtId="1" fontId="27" fillId="8" borderId="36" xfId="0" applyNumberFormat="1" applyFont="1" applyFill="1" applyBorder="1" applyAlignment="1">
      <alignment horizontal="center" vertical="center"/>
    </xf>
    <xf numFmtId="1" fontId="26" fillId="47" borderId="58" xfId="0" applyNumberFormat="1" applyFont="1" applyFill="1" applyBorder="1" applyAlignment="1">
      <alignment horizontal="center" vertical="center"/>
    </xf>
    <xf numFmtId="0" fontId="24" fillId="0" borderId="63" xfId="0" applyFont="1" applyBorder="1" applyAlignment="1">
      <alignment vertical="center"/>
    </xf>
    <xf numFmtId="166" fontId="26" fillId="47" borderId="61" xfId="0" applyNumberFormat="1" applyFont="1" applyFill="1" applyBorder="1" applyAlignment="1">
      <alignment horizontal="center" vertical="center"/>
    </xf>
    <xf numFmtId="166" fontId="26" fillId="47" borderId="27" xfId="0" applyNumberFormat="1" applyFont="1" applyFill="1" applyBorder="1" applyAlignment="1">
      <alignment horizontal="center" vertical="center"/>
    </xf>
    <xf numFmtId="168" fontId="26" fillId="47" borderId="50" xfId="0" applyNumberFormat="1" applyFont="1" applyFill="1" applyBorder="1" applyAlignment="1">
      <alignment horizontal="center" vertical="center"/>
    </xf>
    <xf numFmtId="2" fontId="26" fillId="47" borderId="50" xfId="0" applyNumberFormat="1" applyFont="1" applyFill="1" applyBorder="1" applyAlignment="1">
      <alignment horizontal="center" vertical="center"/>
    </xf>
    <xf numFmtId="169" fontId="26" fillId="47" borderId="19" xfId="0" applyNumberFormat="1" applyFont="1" applyFill="1" applyBorder="1" applyAlignment="1">
      <alignment horizontal="center" vertical="center"/>
    </xf>
    <xf numFmtId="0" fontId="24" fillId="9" borderId="62" xfId="0" applyFont="1" applyFill="1" applyBorder="1" applyAlignment="1">
      <alignment vertical="center"/>
    </xf>
    <xf numFmtId="0" fontId="24" fillId="9" borderId="45" xfId="0" applyFont="1" applyFill="1" applyBorder="1" applyAlignment="1">
      <alignment horizontal="center" vertical="center"/>
    </xf>
    <xf numFmtId="1" fontId="24" fillId="9" borderId="45" xfId="0" applyNumberFormat="1" applyFont="1" applyFill="1" applyBorder="1" applyAlignment="1">
      <alignment horizontal="center" vertical="center"/>
    </xf>
    <xf numFmtId="1" fontId="24" fillId="9" borderId="65" xfId="0" applyNumberFormat="1" applyFont="1" applyFill="1" applyBorder="1" applyAlignment="1">
      <alignment horizontal="center" vertical="center"/>
    </xf>
    <xf numFmtId="1" fontId="24" fillId="9" borderId="62" xfId="0" applyNumberFormat="1" applyFont="1" applyFill="1" applyBorder="1" applyAlignment="1">
      <alignment horizontal="center" vertical="center"/>
    </xf>
    <xf numFmtId="1" fontId="24" fillId="9" borderId="87" xfId="0" applyNumberFormat="1" applyFont="1" applyFill="1" applyBorder="1" applyAlignment="1">
      <alignment horizontal="center" vertical="center"/>
    </xf>
    <xf numFmtId="1" fontId="24" fillId="9" borderId="80" xfId="0" applyNumberFormat="1" applyFont="1" applyFill="1" applyBorder="1" applyAlignment="1">
      <alignment horizontal="center" vertical="center"/>
    </xf>
    <xf numFmtId="166" fontId="24" fillId="47" borderId="76" xfId="0" applyNumberFormat="1" applyFont="1" applyFill="1" applyBorder="1" applyAlignment="1">
      <alignment horizontal="center" vertical="center"/>
    </xf>
    <xf numFmtId="166" fontId="24" fillId="47" borderId="56" xfId="0" applyNumberFormat="1" applyFont="1" applyFill="1" applyBorder="1" applyAlignment="1">
      <alignment horizontal="center" vertical="center"/>
    </xf>
    <xf numFmtId="166" fontId="26" fillId="47" borderId="10" xfId="0" applyNumberFormat="1" applyFont="1" applyFill="1" applyBorder="1" applyAlignment="1">
      <alignment horizontal="center" vertical="center"/>
    </xf>
    <xf numFmtId="168" fontId="26" fillId="47" borderId="10" xfId="0" applyNumberFormat="1" applyFont="1" applyFill="1" applyBorder="1" applyAlignment="1">
      <alignment horizontal="center" vertical="center"/>
    </xf>
    <xf numFmtId="2" fontId="26" fillId="47" borderId="10" xfId="0" applyNumberFormat="1" applyFont="1" applyFill="1" applyBorder="1" applyAlignment="1">
      <alignment horizontal="center" vertical="center"/>
    </xf>
    <xf numFmtId="169" fontId="26" fillId="47" borderId="10" xfId="0" applyNumberFormat="1" applyFont="1" applyFill="1" applyBorder="1" applyAlignment="1">
      <alignment horizontal="center" vertical="center"/>
    </xf>
    <xf numFmtId="0" fontId="0" fillId="0" borderId="63" xfId="0" applyBorder="1"/>
    <xf numFmtId="0" fontId="0" fillId="0" borderId="41" xfId="0" applyBorder="1"/>
    <xf numFmtId="0" fontId="0" fillId="0" borderId="42" xfId="0" applyBorder="1"/>
    <xf numFmtId="168" fontId="26" fillId="47" borderId="17" xfId="0" applyNumberFormat="1" applyFont="1" applyFill="1" applyBorder="1" applyAlignment="1">
      <alignment horizontal="center" vertical="center"/>
    </xf>
    <xf numFmtId="0" fontId="57" fillId="0" borderId="10" xfId="0" applyFont="1" applyFill="1" applyBorder="1"/>
    <xf numFmtId="0" fontId="54" fillId="0" borderId="42" xfId="0" applyFont="1" applyBorder="1"/>
    <xf numFmtId="0" fontId="54" fillId="0" borderId="17" xfId="0" applyFont="1" applyBorder="1"/>
    <xf numFmtId="0" fontId="158" fillId="0" borderId="31" xfId="0" applyFont="1" applyBorder="1"/>
    <xf numFmtId="0" fontId="54" fillId="0" borderId="23" xfId="0" applyFont="1" applyFill="1" applyBorder="1"/>
    <xf numFmtId="0" fontId="54" fillId="0" borderId="33" xfId="0" applyFont="1" applyBorder="1"/>
    <xf numFmtId="0" fontId="148" fillId="9" borderId="10" xfId="0" applyFont="1" applyFill="1" applyBorder="1"/>
    <xf numFmtId="0" fontId="56" fillId="9" borderId="10" xfId="0" applyFont="1" applyFill="1" applyBorder="1"/>
    <xf numFmtId="0" fontId="56" fillId="8" borderId="10" xfId="0" applyFont="1" applyFill="1" applyBorder="1"/>
    <xf numFmtId="0" fontId="148" fillId="9" borderId="10" xfId="0" applyFont="1" applyFill="1" applyBorder="1" applyAlignment="1">
      <alignment horizontal="center" vertical="center"/>
    </xf>
    <xf numFmtId="1" fontId="56" fillId="9" borderId="10" xfId="0" applyNumberFormat="1" applyFont="1" applyFill="1" applyBorder="1" applyAlignment="1">
      <alignment horizontal="center" vertical="center"/>
    </xf>
    <xf numFmtId="0" fontId="56" fillId="8" borderId="10" xfId="0" applyFont="1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23" fillId="9" borderId="0" xfId="0" applyFont="1" applyFill="1"/>
    <xf numFmtId="1" fontId="5" fillId="49" borderId="62" xfId="0" applyNumberFormat="1" applyFont="1" applyFill="1" applyBorder="1" applyAlignment="1">
      <alignment horizontal="center" vertical="center"/>
    </xf>
    <xf numFmtId="1" fontId="11" fillId="49" borderId="62" xfId="0" applyNumberFormat="1" applyFont="1" applyFill="1" applyBorder="1" applyAlignment="1">
      <alignment horizontal="center" vertical="center"/>
    </xf>
    <xf numFmtId="1" fontId="5" fillId="49" borderId="31" xfId="0" applyNumberFormat="1" applyFont="1" applyFill="1" applyBorder="1" applyAlignment="1">
      <alignment horizontal="center" vertical="center"/>
    </xf>
    <xf numFmtId="1" fontId="26" fillId="49" borderId="34" xfId="0" applyNumberFormat="1" applyFont="1" applyFill="1" applyBorder="1" applyAlignment="1">
      <alignment horizontal="center" vertical="center"/>
    </xf>
    <xf numFmtId="1" fontId="26" fillId="49" borderId="31" xfId="0" applyNumberFormat="1" applyFont="1" applyFill="1" applyBorder="1" applyAlignment="1">
      <alignment horizontal="center" vertical="center"/>
    </xf>
    <xf numFmtId="1" fontId="3" fillId="6" borderId="11" xfId="0" applyNumberFormat="1" applyFont="1" applyFill="1" applyBorder="1" applyAlignment="1">
      <alignment horizontal="center" vertical="center"/>
    </xf>
    <xf numFmtId="1" fontId="25" fillId="6" borderId="64" xfId="0" applyNumberFormat="1" applyFont="1" applyFill="1" applyBorder="1" applyAlignment="1">
      <alignment horizontal="center" vertical="center"/>
    </xf>
    <xf numFmtId="0" fontId="25" fillId="9" borderId="38" xfId="0" applyFont="1" applyFill="1" applyBorder="1" applyAlignment="1">
      <alignment horizontal="center" vertical="center"/>
    </xf>
    <xf numFmtId="0" fontId="25" fillId="9" borderId="0" xfId="0" applyFont="1" applyFill="1" applyBorder="1" applyAlignment="1">
      <alignment horizontal="center" vertical="center"/>
    </xf>
    <xf numFmtId="1" fontId="3" fillId="7" borderId="11" xfId="0" applyNumberFormat="1" applyFont="1" applyFill="1" applyBorder="1" applyAlignment="1">
      <alignment horizontal="center" vertical="center"/>
    </xf>
    <xf numFmtId="1" fontId="25" fillId="7" borderId="64" xfId="0" applyNumberFormat="1" applyFont="1" applyFill="1" applyBorder="1" applyAlignment="1">
      <alignment horizontal="center" vertical="center"/>
    </xf>
    <xf numFmtId="1" fontId="3" fillId="8" borderId="11" xfId="0" applyNumberFormat="1" applyFont="1" applyFill="1" applyBorder="1" applyAlignment="1">
      <alignment horizontal="center" vertical="center"/>
    </xf>
    <xf numFmtId="1" fontId="25" fillId="8" borderId="64" xfId="0" applyNumberFormat="1" applyFont="1" applyFill="1" applyBorder="1" applyAlignment="1">
      <alignment horizontal="center" vertical="center"/>
    </xf>
    <xf numFmtId="2" fontId="26" fillId="7" borderId="4" xfId="0" applyNumberFormat="1" applyFont="1" applyFill="1" applyBorder="1" applyAlignment="1">
      <alignment horizontal="center" vertical="center"/>
    </xf>
    <xf numFmtId="2" fontId="26" fillId="7" borderId="11" xfId="0" applyNumberFormat="1" applyFont="1" applyFill="1" applyBorder="1" applyAlignment="1">
      <alignment horizontal="center" vertical="center"/>
    </xf>
    <xf numFmtId="2" fontId="26" fillId="7" borderId="23" xfId="0" applyNumberFormat="1" applyFont="1" applyFill="1" applyBorder="1" applyAlignment="1">
      <alignment horizontal="center" vertical="center"/>
    </xf>
    <xf numFmtId="0" fontId="26" fillId="0" borderId="37" xfId="0" applyFont="1" applyBorder="1" applyAlignment="1">
      <alignment horizontal="center"/>
    </xf>
    <xf numFmtId="1" fontId="70" fillId="9" borderId="43" xfId="0" applyNumberFormat="1" applyFont="1" applyFill="1" applyBorder="1"/>
    <xf numFmtId="1" fontId="70" fillId="9" borderId="16" xfId="0" applyNumberFormat="1" applyFont="1" applyFill="1" applyBorder="1"/>
    <xf numFmtId="1" fontId="24" fillId="7" borderId="8" xfId="0" applyNumberFormat="1" applyFont="1" applyFill="1" applyBorder="1" applyAlignment="1">
      <alignment horizontal="center" vertical="center"/>
    </xf>
    <xf numFmtId="1" fontId="10" fillId="7" borderId="23" xfId="0" applyNumberFormat="1" applyFont="1" applyFill="1" applyBorder="1" applyAlignment="1">
      <alignment horizontal="center" vertical="center"/>
    </xf>
    <xf numFmtId="1" fontId="26" fillId="0" borderId="10" xfId="0" applyNumberFormat="1" applyFont="1" applyBorder="1" applyAlignment="1">
      <alignment horizontal="center" vertical="center"/>
    </xf>
    <xf numFmtId="1" fontId="26" fillId="9" borderId="10" xfId="0" applyNumberFormat="1" applyFont="1" applyFill="1" applyBorder="1" applyAlignment="1">
      <alignment horizontal="center" vertical="center"/>
    </xf>
    <xf numFmtId="1" fontId="26" fillId="6" borderId="10" xfId="0" applyNumberFormat="1" applyFont="1" applyFill="1" applyBorder="1" applyAlignment="1">
      <alignment horizontal="center" vertical="center"/>
    </xf>
    <xf numFmtId="1" fontId="26" fillId="8" borderId="10" xfId="0" applyNumberFormat="1" applyFont="1" applyFill="1" applyBorder="1" applyAlignment="1">
      <alignment horizontal="center" vertical="center"/>
    </xf>
    <xf numFmtId="1" fontId="26" fillId="7" borderId="10" xfId="0" applyNumberFormat="1" applyFont="1" applyFill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6" borderId="4" xfId="0" applyFont="1" applyFill="1" applyBorder="1" applyAlignment="1">
      <alignment horizontal="center" vertical="center"/>
    </xf>
    <xf numFmtId="0" fontId="27" fillId="0" borderId="23" xfId="0" applyFont="1" applyBorder="1" applyAlignment="1">
      <alignment horizontal="center" vertical="center"/>
    </xf>
    <xf numFmtId="0" fontId="27" fillId="8" borderId="4" xfId="0" applyFont="1" applyFill="1" applyBorder="1" applyAlignment="1">
      <alignment horizontal="center" vertical="center"/>
    </xf>
    <xf numFmtId="0" fontId="27" fillId="7" borderId="4" xfId="0" applyFont="1" applyFill="1" applyBorder="1" applyAlignment="1">
      <alignment horizontal="center" vertical="center"/>
    </xf>
    <xf numFmtId="0" fontId="27" fillId="8" borderId="25" xfId="0" applyFont="1" applyFill="1" applyBorder="1" applyAlignment="1">
      <alignment horizontal="center" vertical="center"/>
    </xf>
    <xf numFmtId="0" fontId="0" fillId="0" borderId="0" xfId="0"/>
    <xf numFmtId="1" fontId="5" fillId="7" borderId="34" xfId="0" applyNumberFormat="1" applyFont="1" applyFill="1" applyBorder="1" applyAlignment="1">
      <alignment horizontal="center" vertical="center"/>
    </xf>
    <xf numFmtId="1" fontId="26" fillId="6" borderId="8" xfId="0" applyNumberFormat="1" applyFont="1" applyFill="1" applyBorder="1" applyAlignment="1">
      <alignment horizontal="center" vertical="center"/>
    </xf>
    <xf numFmtId="1" fontId="26" fillId="8" borderId="8" xfId="0" applyNumberFormat="1" applyFont="1" applyFill="1" applyBorder="1" applyAlignment="1">
      <alignment horizontal="center" vertical="center"/>
    </xf>
    <xf numFmtId="1" fontId="26" fillId="7" borderId="34" xfId="0" applyNumberFormat="1" applyFont="1" applyFill="1" applyBorder="1" applyAlignment="1">
      <alignment horizontal="center" vertical="center"/>
    </xf>
    <xf numFmtId="1" fontId="26" fillId="9" borderId="34" xfId="0" applyNumberFormat="1" applyFont="1" applyFill="1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0" fontId="27" fillId="7" borderId="10" xfId="0" applyFont="1" applyFill="1" applyBorder="1" applyAlignment="1">
      <alignment horizontal="center" vertical="center"/>
    </xf>
    <xf numFmtId="0" fontId="26" fillId="8" borderId="36" xfId="0" applyFont="1" applyFill="1" applyBorder="1" applyAlignment="1">
      <alignment horizontal="center" vertical="center"/>
    </xf>
    <xf numFmtId="1" fontId="26" fillId="9" borderId="62" xfId="0" applyNumberFormat="1" applyFont="1" applyFill="1" applyBorder="1" applyAlignment="1">
      <alignment horizontal="center" vertical="center"/>
    </xf>
    <xf numFmtId="0" fontId="26" fillId="8" borderId="8" xfId="0" applyFont="1" applyFill="1" applyBorder="1" applyAlignment="1">
      <alignment horizontal="center" vertical="center"/>
    </xf>
    <xf numFmtId="0" fontId="26" fillId="8" borderId="34" xfId="0" applyFont="1" applyFill="1" applyBorder="1" applyAlignment="1">
      <alignment horizontal="center" vertical="center"/>
    </xf>
    <xf numFmtId="166" fontId="26" fillId="9" borderId="62" xfId="0" applyNumberFormat="1" applyFont="1" applyFill="1" applyBorder="1" applyAlignment="1">
      <alignment horizontal="center" vertical="center"/>
    </xf>
    <xf numFmtId="0" fontId="26" fillId="7" borderId="62" xfId="0" applyFont="1" applyFill="1" applyBorder="1" applyAlignment="1">
      <alignment horizontal="center" vertical="center"/>
    </xf>
    <xf numFmtId="0" fontId="26" fillId="6" borderId="8" xfId="0" applyFont="1" applyFill="1" applyBorder="1" applyAlignment="1">
      <alignment horizontal="center" vertical="center"/>
    </xf>
    <xf numFmtId="0" fontId="26" fillId="6" borderId="36" xfId="0" applyFont="1" applyFill="1" applyBorder="1" applyAlignment="1">
      <alignment horizontal="center" vertical="center"/>
    </xf>
    <xf numFmtId="0" fontId="26" fillId="7" borderId="34" xfId="0" applyFont="1" applyFill="1" applyBorder="1" applyAlignment="1">
      <alignment horizontal="center" vertical="center"/>
    </xf>
    <xf numFmtId="0" fontId="33" fillId="7" borderId="25" xfId="0" applyFont="1" applyFill="1" applyBorder="1" applyAlignment="1">
      <alignment horizontal="center" vertical="center"/>
    </xf>
    <xf numFmtId="0" fontId="33" fillId="6" borderId="25" xfId="0" applyFont="1" applyFill="1" applyBorder="1" applyAlignment="1">
      <alignment horizontal="center" vertical="center"/>
    </xf>
    <xf numFmtId="1" fontId="25" fillId="8" borderId="10" xfId="0" applyNumberFormat="1" applyFont="1" applyFill="1" applyBorder="1" applyAlignment="1">
      <alignment horizontal="center" vertical="center"/>
    </xf>
    <xf numFmtId="0" fontId="33" fillId="0" borderId="25" xfId="0" applyFont="1" applyBorder="1" applyAlignment="1">
      <alignment horizontal="center" vertical="center"/>
    </xf>
    <xf numFmtId="1" fontId="25" fillId="6" borderId="10" xfId="0" applyNumberFormat="1" applyFont="1" applyFill="1" applyBorder="1" applyAlignment="1">
      <alignment horizontal="center" vertical="center"/>
    </xf>
    <xf numFmtId="0" fontId="33" fillId="8" borderId="1" xfId="0" applyFont="1" applyFill="1" applyBorder="1" applyAlignment="1">
      <alignment horizontal="center" vertical="center"/>
    </xf>
    <xf numFmtId="2" fontId="26" fillId="0" borderId="10" xfId="0" applyNumberFormat="1" applyFont="1" applyBorder="1" applyAlignment="1">
      <alignment horizontal="center" vertical="center"/>
    </xf>
    <xf numFmtId="2" fontId="26" fillId="8" borderId="10" xfId="0" applyNumberFormat="1" applyFont="1" applyFill="1" applyBorder="1" applyAlignment="1">
      <alignment horizontal="center" vertical="center"/>
    </xf>
    <xf numFmtId="2" fontId="26" fillId="7" borderId="10" xfId="0" applyNumberFormat="1" applyFont="1" applyFill="1" applyBorder="1" applyAlignment="1">
      <alignment horizontal="center" vertical="center"/>
    </xf>
    <xf numFmtId="2" fontId="26" fillId="6" borderId="10" xfId="0" applyNumberFormat="1" applyFont="1" applyFill="1" applyBorder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1" fontId="15" fillId="6" borderId="12" xfId="0" applyNumberFormat="1" applyFont="1" applyFill="1" applyBorder="1" applyAlignment="1">
      <alignment horizontal="center"/>
    </xf>
    <xf numFmtId="1" fontId="27" fillId="6" borderId="13" xfId="0" applyNumberFormat="1" applyFont="1" applyFill="1" applyBorder="1" applyAlignment="1">
      <alignment horizontal="center"/>
    </xf>
    <xf numFmtId="1" fontId="33" fillId="6" borderId="13" xfId="0" applyNumberFormat="1" applyFont="1" applyFill="1" applyBorder="1" applyAlignment="1">
      <alignment horizontal="center"/>
    </xf>
    <xf numFmtId="1" fontId="27" fillId="6" borderId="20" xfId="0" applyNumberFormat="1" applyFont="1" applyFill="1" applyBorder="1" applyAlignment="1">
      <alignment horizontal="center"/>
    </xf>
    <xf numFmtId="0" fontId="27" fillId="8" borderId="55" xfId="0" applyFont="1" applyFill="1" applyBorder="1" applyAlignment="1">
      <alignment horizontal="center" vertical="center"/>
    </xf>
    <xf numFmtId="1" fontId="26" fillId="8" borderId="6" xfId="0" applyNumberFormat="1" applyFont="1" applyFill="1" applyBorder="1" applyAlignment="1">
      <alignment horizontal="center"/>
    </xf>
    <xf numFmtId="1" fontId="27" fillId="8" borderId="55" xfId="0" applyNumberFormat="1" applyFont="1" applyFill="1" applyBorder="1" applyAlignment="1">
      <alignment horizontal="center"/>
    </xf>
    <xf numFmtId="1" fontId="27" fillId="8" borderId="49" xfId="0" applyNumberFormat="1" applyFont="1" applyFill="1" applyBorder="1" applyAlignment="1">
      <alignment horizontal="center"/>
    </xf>
    <xf numFmtId="1" fontId="15" fillId="9" borderId="60" xfId="0" applyNumberFormat="1" applyFont="1" applyFill="1" applyBorder="1" applyAlignment="1">
      <alignment horizontal="center"/>
    </xf>
    <xf numFmtId="1" fontId="15" fillId="6" borderId="37" xfId="0" applyNumberFormat="1" applyFont="1" applyFill="1" applyBorder="1" applyAlignment="1">
      <alignment horizontal="center" vertical="center"/>
    </xf>
    <xf numFmtId="1" fontId="26" fillId="0" borderId="10" xfId="0" applyNumberFormat="1" applyFont="1" applyBorder="1" applyAlignment="1">
      <alignment horizontal="center" vertical="center"/>
    </xf>
    <xf numFmtId="1" fontId="26" fillId="9" borderId="10" xfId="0" applyNumberFormat="1" applyFont="1" applyFill="1" applyBorder="1" applyAlignment="1">
      <alignment horizontal="center" vertical="center"/>
    </xf>
    <xf numFmtId="1" fontId="26" fillId="6" borderId="10" xfId="0" applyNumberFormat="1" applyFont="1" applyFill="1" applyBorder="1" applyAlignment="1">
      <alignment horizontal="center" vertical="center"/>
    </xf>
    <xf numFmtId="1" fontId="26" fillId="8" borderId="10" xfId="0" applyNumberFormat="1" applyFont="1" applyFill="1" applyBorder="1" applyAlignment="1">
      <alignment horizontal="center" vertical="center"/>
    </xf>
    <xf numFmtId="1" fontId="26" fillId="7" borderId="10" xfId="0" applyNumberFormat="1" applyFont="1" applyFill="1" applyBorder="1" applyAlignment="1">
      <alignment horizontal="center" vertical="center"/>
    </xf>
    <xf numFmtId="1" fontId="27" fillId="9" borderId="10" xfId="0" applyNumberFormat="1" applyFont="1" applyFill="1" applyBorder="1" applyAlignment="1">
      <alignment horizontal="center" vertical="center"/>
    </xf>
    <xf numFmtId="1" fontId="27" fillId="8" borderId="62" xfId="0" applyNumberFormat="1" applyFont="1" applyFill="1" applyBorder="1" applyAlignment="1">
      <alignment horizontal="center" vertical="center"/>
    </xf>
    <xf numFmtId="1" fontId="27" fillId="6" borderId="62" xfId="0" applyNumberFormat="1" applyFont="1" applyFill="1" applyBorder="1" applyAlignment="1">
      <alignment horizontal="center" vertical="center"/>
    </xf>
    <xf numFmtId="0" fontId="27" fillId="8" borderId="4" xfId="0" applyFont="1" applyFill="1" applyBorder="1" applyAlignment="1">
      <alignment horizontal="center" vertical="center"/>
    </xf>
    <xf numFmtId="0" fontId="0" fillId="0" borderId="0" xfId="0"/>
    <xf numFmtId="1" fontId="26" fillId="8" borderId="74" xfId="0" applyNumberFormat="1" applyFont="1" applyFill="1" applyBorder="1" applyAlignment="1">
      <alignment horizontal="center" vertical="center"/>
    </xf>
    <xf numFmtId="1" fontId="26" fillId="0" borderId="45" xfId="0" applyNumberFormat="1" applyFont="1" applyBorder="1" applyAlignment="1">
      <alignment horizontal="center" vertical="center"/>
    </xf>
    <xf numFmtId="1" fontId="26" fillId="9" borderId="46" xfId="0" applyNumberFormat="1" applyFont="1" applyFill="1" applyBorder="1" applyAlignment="1">
      <alignment horizontal="center" vertical="center"/>
    </xf>
    <xf numFmtId="1" fontId="26" fillId="9" borderId="30" xfId="0" applyNumberFormat="1" applyFont="1" applyFill="1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1" fontId="26" fillId="6" borderId="62" xfId="0" applyNumberFormat="1" applyFont="1" applyFill="1" applyBorder="1" applyAlignment="1">
      <alignment horizontal="center" vertical="center"/>
    </xf>
    <xf numFmtId="1" fontId="26" fillId="7" borderId="45" xfId="0" applyNumberFormat="1" applyFont="1" applyFill="1" applyBorder="1" applyAlignment="1">
      <alignment horizontal="center" vertical="center"/>
    </xf>
    <xf numFmtId="1" fontId="26" fillId="7" borderId="30" xfId="0" applyNumberFormat="1" applyFont="1" applyFill="1" applyBorder="1" applyAlignment="1">
      <alignment horizontal="center" vertical="center"/>
    </xf>
    <xf numFmtId="2" fontId="26" fillId="9" borderId="10" xfId="0" applyNumberFormat="1" applyFont="1" applyFill="1" applyBorder="1" applyAlignment="1">
      <alignment horizontal="center" vertical="center"/>
    </xf>
    <xf numFmtId="2" fontId="26" fillId="0" borderId="10" xfId="0" applyNumberFormat="1" applyFont="1" applyBorder="1" applyAlignment="1">
      <alignment horizontal="center" vertical="center"/>
    </xf>
    <xf numFmtId="2" fontId="26" fillId="8" borderId="10" xfId="0" applyNumberFormat="1" applyFont="1" applyFill="1" applyBorder="1" applyAlignment="1">
      <alignment horizontal="center" vertical="center"/>
    </xf>
    <xf numFmtId="2" fontId="26" fillId="7" borderId="10" xfId="0" applyNumberFormat="1" applyFont="1" applyFill="1" applyBorder="1" applyAlignment="1">
      <alignment horizontal="center" vertical="center"/>
    </xf>
    <xf numFmtId="2" fontId="26" fillId="6" borderId="10" xfId="0" applyNumberFormat="1" applyFont="1" applyFill="1" applyBorder="1" applyAlignment="1">
      <alignment horizontal="center" vertical="center"/>
    </xf>
    <xf numFmtId="1" fontId="26" fillId="8" borderId="10" xfId="0" applyNumberFormat="1" applyFont="1" applyFill="1" applyBorder="1" applyAlignment="1">
      <alignment horizontal="center" vertical="center"/>
    </xf>
    <xf numFmtId="9" fontId="0" fillId="9" borderId="0" xfId="22" applyFont="1" applyFill="1"/>
    <xf numFmtId="1" fontId="24" fillId="9" borderId="30" xfId="0" applyNumberFormat="1" applyFont="1" applyFill="1" applyBorder="1" applyAlignment="1">
      <alignment horizontal="center" vertical="center"/>
    </xf>
    <xf numFmtId="0" fontId="93" fillId="8" borderId="10" xfId="0" applyFont="1" applyFill="1" applyBorder="1"/>
    <xf numFmtId="1" fontId="93" fillId="8" borderId="10" xfId="0" applyNumberFormat="1" applyFont="1" applyFill="1" applyBorder="1" applyAlignment="1">
      <alignment horizontal="center"/>
    </xf>
    <xf numFmtId="166" fontId="93" fillId="8" borderId="10" xfId="0" applyNumberFormat="1" applyFont="1" applyFill="1" applyBorder="1" applyAlignment="1">
      <alignment horizontal="center"/>
    </xf>
    <xf numFmtId="1" fontId="112" fillId="8" borderId="10" xfId="0" applyNumberFormat="1" applyFont="1" applyFill="1" applyBorder="1" applyAlignment="1">
      <alignment horizontal="center"/>
    </xf>
    <xf numFmtId="0" fontId="5" fillId="8" borderId="87" xfId="0" applyFont="1" applyFill="1" applyBorder="1" applyAlignment="1">
      <alignment horizontal="center" vertical="center"/>
    </xf>
    <xf numFmtId="0" fontId="5" fillId="8" borderId="38" xfId="0" applyFont="1" applyFill="1" applyBorder="1" applyAlignment="1">
      <alignment horizontal="center" vertical="center"/>
    </xf>
    <xf numFmtId="1" fontId="26" fillId="0" borderId="10" xfId="0" applyNumberFormat="1" applyFont="1" applyBorder="1" applyAlignment="1">
      <alignment horizontal="center" vertical="center"/>
    </xf>
    <xf numFmtId="1" fontId="26" fillId="9" borderId="10" xfId="0" applyNumberFormat="1" applyFont="1" applyFill="1" applyBorder="1" applyAlignment="1">
      <alignment horizontal="center" vertical="center"/>
    </xf>
    <xf numFmtId="1" fontId="26" fillId="6" borderId="10" xfId="0" applyNumberFormat="1" applyFont="1" applyFill="1" applyBorder="1" applyAlignment="1">
      <alignment horizontal="center" vertical="center"/>
    </xf>
    <xf numFmtId="1" fontId="26" fillId="8" borderId="10" xfId="0" applyNumberFormat="1" applyFont="1" applyFill="1" applyBorder="1" applyAlignment="1">
      <alignment horizontal="center" vertical="center"/>
    </xf>
    <xf numFmtId="1" fontId="26" fillId="7" borderId="10" xfId="0" applyNumberFormat="1" applyFont="1" applyFill="1" applyBorder="1" applyAlignment="1">
      <alignment horizontal="center" vertical="center"/>
    </xf>
    <xf numFmtId="0" fontId="27" fillId="6" borderId="1" xfId="0" applyFont="1" applyFill="1" applyBorder="1" applyAlignment="1">
      <alignment horizontal="center" vertical="center"/>
    </xf>
    <xf numFmtId="0" fontId="27" fillId="8" borderId="4" xfId="0" applyFont="1" applyFill="1" applyBorder="1" applyAlignment="1">
      <alignment horizontal="center" vertical="center"/>
    </xf>
    <xf numFmtId="0" fontId="27" fillId="7" borderId="4" xfId="0" applyFont="1" applyFill="1" applyBorder="1" applyAlignment="1">
      <alignment horizontal="center" vertical="center"/>
    </xf>
    <xf numFmtId="0" fontId="0" fillId="0" borderId="0" xfId="0"/>
    <xf numFmtId="1" fontId="10" fillId="8" borderId="31" xfId="0" applyNumberFormat="1" applyFont="1" applyFill="1" applyBorder="1" applyAlignment="1">
      <alignment horizontal="center" vertical="center"/>
    </xf>
    <xf numFmtId="1" fontId="10" fillId="9" borderId="29" xfId="0" applyNumberFormat="1" applyFont="1" applyFill="1" applyBorder="1" applyAlignment="1">
      <alignment horizontal="center" vertical="center"/>
    </xf>
    <xf numFmtId="1" fontId="10" fillId="6" borderId="30" xfId="0" applyNumberFormat="1" applyFont="1" applyFill="1" applyBorder="1" applyAlignment="1">
      <alignment horizontal="center" vertical="center"/>
    </xf>
    <xf numFmtId="1" fontId="10" fillId="6" borderId="31" xfId="0" applyNumberFormat="1" applyFont="1" applyFill="1" applyBorder="1" applyAlignment="1">
      <alignment horizontal="center" vertical="center"/>
    </xf>
    <xf numFmtId="1" fontId="10" fillId="7" borderId="31" xfId="0" applyNumberFormat="1" applyFont="1" applyFill="1" applyBorder="1" applyAlignment="1">
      <alignment horizontal="center" vertical="center"/>
    </xf>
    <xf numFmtId="1" fontId="25" fillId="8" borderId="10" xfId="0" applyNumberFormat="1" applyFont="1" applyFill="1" applyBorder="1" applyAlignment="1">
      <alignment horizontal="center" vertical="center"/>
    </xf>
    <xf numFmtId="1" fontId="25" fillId="6" borderId="10" xfId="0" applyNumberFormat="1" applyFont="1" applyFill="1" applyBorder="1" applyAlignment="1">
      <alignment horizontal="center" vertical="center"/>
    </xf>
    <xf numFmtId="2" fontId="26" fillId="9" borderId="10" xfId="0" applyNumberFormat="1" applyFont="1" applyFill="1" applyBorder="1" applyAlignment="1">
      <alignment horizontal="center" vertical="center"/>
    </xf>
    <xf numFmtId="2" fontId="26" fillId="0" borderId="10" xfId="0" applyNumberFormat="1" applyFont="1" applyBorder="1" applyAlignment="1">
      <alignment horizontal="center" vertical="center"/>
    </xf>
    <xf numFmtId="0" fontId="25" fillId="0" borderId="37" xfId="0" applyFont="1" applyBorder="1" applyAlignment="1">
      <alignment horizontal="center" vertical="center"/>
    </xf>
    <xf numFmtId="9" fontId="72" fillId="0" borderId="0" xfId="22" applyFont="1"/>
    <xf numFmtId="171" fontId="72" fillId="0" borderId="0" xfId="22" applyNumberFormat="1" applyFont="1"/>
    <xf numFmtId="171" fontId="0" fillId="9" borderId="0" xfId="22" applyNumberFormat="1" applyFont="1" applyFill="1"/>
    <xf numFmtId="0" fontId="29" fillId="9" borderId="29" xfId="0" applyFont="1" applyFill="1" applyBorder="1" applyAlignment="1">
      <alignment vertical="center"/>
    </xf>
    <xf numFmtId="0" fontId="18" fillId="0" borderId="29" xfId="0" applyFont="1" applyBorder="1" applyAlignment="1">
      <alignment horizontal="center" vertical="center"/>
    </xf>
    <xf numFmtId="0" fontId="18" fillId="9" borderId="29" xfId="0" applyFont="1" applyFill="1" applyBorder="1" applyAlignment="1">
      <alignment horizontal="center" vertical="center"/>
    </xf>
    <xf numFmtId="0" fontId="37" fillId="9" borderId="29" xfId="0" applyFont="1" applyFill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0" fontId="5" fillId="9" borderId="29" xfId="0" applyFont="1" applyFill="1" applyBorder="1" applyAlignment="1">
      <alignment vertical="center"/>
    </xf>
    <xf numFmtId="0" fontId="33" fillId="9" borderId="29" xfId="0" applyFont="1" applyFill="1" applyBorder="1" applyAlignment="1">
      <alignment horizontal="center" vertical="center"/>
    </xf>
    <xf numFmtId="0" fontId="29" fillId="9" borderId="29" xfId="0" applyFont="1" applyFill="1" applyBorder="1" applyAlignment="1">
      <alignment horizontal="center" vertical="center"/>
    </xf>
    <xf numFmtId="0" fontId="17" fillId="9" borderId="29" xfId="0" applyFont="1" applyFill="1" applyBorder="1" applyAlignment="1">
      <alignment vertical="center"/>
    </xf>
    <xf numFmtId="0" fontId="29" fillId="0" borderId="29" xfId="0" applyFont="1" applyBorder="1" applyAlignment="1">
      <alignment horizontal="center" vertical="center"/>
    </xf>
    <xf numFmtId="0" fontId="0" fillId="9" borderId="29" xfId="0" applyFill="1" applyBorder="1"/>
    <xf numFmtId="0" fontId="15" fillId="0" borderId="59" xfId="0" applyFont="1" applyBorder="1" applyAlignment="1">
      <alignment horizontal="center" vertical="center"/>
    </xf>
    <xf numFmtId="0" fontId="29" fillId="9" borderId="12" xfId="0" applyFont="1" applyFill="1" applyBorder="1" applyAlignment="1">
      <alignment vertical="center"/>
    </xf>
    <xf numFmtId="0" fontId="26" fillId="0" borderId="12" xfId="0" applyFont="1" applyBorder="1" applyAlignment="1">
      <alignment horizontal="right" vertical="center"/>
    </xf>
    <xf numFmtId="0" fontId="24" fillId="0" borderId="12" xfId="0" applyFont="1" applyBorder="1" applyAlignment="1">
      <alignment horizontal="right" vertical="center"/>
    </xf>
    <xf numFmtId="0" fontId="24" fillId="9" borderId="12" xfId="0" applyFont="1" applyFill="1" applyBorder="1" applyAlignment="1">
      <alignment horizontal="right" vertical="center"/>
    </xf>
    <xf numFmtId="0" fontId="24" fillId="9" borderId="12" xfId="0" applyFont="1" applyFill="1" applyBorder="1" applyAlignment="1">
      <alignment vertical="center"/>
    </xf>
    <xf numFmtId="0" fontId="25" fillId="0" borderId="12" xfId="0" applyFont="1" applyBorder="1" applyAlignment="1">
      <alignment horizontal="left" vertical="center"/>
    </xf>
    <xf numFmtId="0" fontId="34" fillId="0" borderId="12" xfId="0" applyFont="1" applyBorder="1" applyAlignment="1">
      <alignment vertical="center"/>
    </xf>
    <xf numFmtId="0" fontId="37" fillId="9" borderId="12" xfId="0" applyFont="1" applyFill="1" applyBorder="1" applyAlignment="1">
      <alignment horizontal="right" vertical="center"/>
    </xf>
    <xf numFmtId="0" fontId="26" fillId="0" borderId="12" xfId="0" applyFont="1" applyBorder="1" applyAlignment="1">
      <alignment horizontal="right" vertical="center" wrapText="1"/>
    </xf>
    <xf numFmtId="0" fontId="26" fillId="0" borderId="12" xfId="0" applyFont="1" applyBorder="1" applyAlignment="1">
      <alignment horizontal="left" vertical="center" wrapText="1"/>
    </xf>
    <xf numFmtId="0" fontId="26" fillId="0" borderId="12" xfId="0" applyFont="1" applyBorder="1" applyAlignment="1">
      <alignment vertical="center"/>
    </xf>
    <xf numFmtId="0" fontId="26" fillId="0" borderId="12" xfId="0" applyFont="1" applyBorder="1" applyAlignment="1">
      <alignment horizontal="left" vertical="center"/>
    </xf>
    <xf numFmtId="0" fontId="27" fillId="9" borderId="12" xfId="0" applyFont="1" applyFill="1" applyBorder="1" applyAlignment="1">
      <alignment horizontal="left" vertical="center"/>
    </xf>
    <xf numFmtId="0" fontId="5" fillId="9" borderId="12" xfId="0" applyFont="1" applyFill="1" applyBorder="1" applyAlignment="1">
      <alignment horizontal="right" vertical="center"/>
    </xf>
    <xf numFmtId="0" fontId="17" fillId="9" borderId="12" xfId="0" applyFont="1" applyFill="1" applyBorder="1" applyAlignment="1">
      <alignment vertical="center"/>
    </xf>
    <xf numFmtId="0" fontId="32" fillId="0" borderId="12" xfId="0" applyFont="1" applyBorder="1" applyAlignment="1">
      <alignment horizontal="left" vertical="center"/>
    </xf>
    <xf numFmtId="0" fontId="5" fillId="0" borderId="12" xfId="0" applyFont="1" applyBorder="1" applyAlignment="1">
      <alignment horizontal="right" vertical="center"/>
    </xf>
    <xf numFmtId="0" fontId="0" fillId="9" borderId="12" xfId="0" applyFill="1" applyBorder="1"/>
    <xf numFmtId="0" fontId="26" fillId="0" borderId="20" xfId="0" applyFont="1" applyBorder="1" applyAlignment="1">
      <alignment horizontal="left" vertical="center"/>
    </xf>
    <xf numFmtId="9" fontId="54" fillId="0" borderId="0" xfId="22" applyFont="1" applyBorder="1"/>
    <xf numFmtId="9" fontId="0" fillId="9" borderId="0" xfId="22" applyNumberFormat="1" applyFont="1" applyFill="1"/>
    <xf numFmtId="0" fontId="0" fillId="0" borderId="0" xfId="0"/>
    <xf numFmtId="1" fontId="10" fillId="8" borderId="74" xfId="0" applyNumberFormat="1" applyFont="1" applyFill="1" applyBorder="1" applyAlignment="1">
      <alignment horizontal="center" vertical="center"/>
    </xf>
    <xf numFmtId="1" fontId="10" fillId="9" borderId="38" xfId="0" applyNumberFormat="1" applyFont="1" applyFill="1" applyBorder="1" applyAlignment="1">
      <alignment horizontal="center" vertical="center"/>
    </xf>
    <xf numFmtId="1" fontId="10" fillId="8" borderId="30" xfId="0" applyNumberFormat="1" applyFont="1" applyFill="1" applyBorder="1" applyAlignment="1">
      <alignment horizontal="center" vertical="center"/>
    </xf>
    <xf numFmtId="1" fontId="10" fillId="9" borderId="29" xfId="0" applyNumberFormat="1" applyFont="1" applyFill="1" applyBorder="1" applyAlignment="1">
      <alignment horizontal="center" vertical="center"/>
    </xf>
    <xf numFmtId="1" fontId="10" fillId="6" borderId="30" xfId="0" applyNumberFormat="1" applyFont="1" applyFill="1" applyBorder="1" applyAlignment="1">
      <alignment horizontal="center" vertical="center"/>
    </xf>
    <xf numFmtId="1" fontId="10" fillId="6" borderId="74" xfId="0" applyNumberFormat="1" applyFont="1" applyFill="1" applyBorder="1" applyAlignment="1">
      <alignment horizontal="center" vertical="center"/>
    </xf>
    <xf numFmtId="1" fontId="10" fillId="7" borderId="30" xfId="0" applyNumberFormat="1" applyFont="1" applyFill="1" applyBorder="1" applyAlignment="1">
      <alignment horizontal="center" vertical="center"/>
    </xf>
    <xf numFmtId="1" fontId="10" fillId="7" borderId="74" xfId="0" applyNumberFormat="1" applyFont="1" applyFill="1" applyBorder="1" applyAlignment="1">
      <alignment horizontal="center" vertical="center"/>
    </xf>
    <xf numFmtId="1" fontId="26" fillId="0" borderId="10" xfId="0" applyNumberFormat="1" applyFont="1" applyBorder="1" applyAlignment="1">
      <alignment horizontal="center" vertical="center"/>
    </xf>
    <xf numFmtId="1" fontId="26" fillId="9" borderId="10" xfId="0" applyNumberFormat="1" applyFont="1" applyFill="1" applyBorder="1" applyAlignment="1">
      <alignment horizontal="center" vertical="center"/>
    </xf>
    <xf numFmtId="1" fontId="26" fillId="6" borderId="10" xfId="0" applyNumberFormat="1" applyFont="1" applyFill="1" applyBorder="1" applyAlignment="1">
      <alignment horizontal="center" vertical="center"/>
    </xf>
    <xf numFmtId="1" fontId="26" fillId="8" borderId="10" xfId="0" applyNumberFormat="1" applyFont="1" applyFill="1" applyBorder="1" applyAlignment="1">
      <alignment horizontal="center" vertical="center"/>
    </xf>
    <xf numFmtId="1" fontId="26" fillId="7" borderId="10" xfId="0" applyNumberFormat="1" applyFont="1" applyFill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1" fontId="27" fillId="0" borderId="10" xfId="0" applyNumberFormat="1" applyFont="1" applyBorder="1" applyAlignment="1">
      <alignment horizontal="center" vertical="center"/>
    </xf>
    <xf numFmtId="1" fontId="27" fillId="9" borderId="10" xfId="0" applyNumberFormat="1" applyFont="1" applyFill="1" applyBorder="1" applyAlignment="1">
      <alignment horizontal="center" vertical="center"/>
    </xf>
    <xf numFmtId="0" fontId="27" fillId="6" borderId="4" xfId="0" applyFont="1" applyFill="1" applyBorder="1" applyAlignment="1">
      <alignment horizontal="center" vertical="center"/>
    </xf>
    <xf numFmtId="0" fontId="26" fillId="0" borderId="31" xfId="0" applyFont="1" applyBorder="1" applyAlignment="1">
      <alignment horizontal="left" vertical="center"/>
    </xf>
    <xf numFmtId="0" fontId="0" fillId="0" borderId="0" xfId="0"/>
    <xf numFmtId="1" fontId="10" fillId="9" borderId="36" xfId="0" applyNumberFormat="1" applyFont="1" applyFill="1" applyBorder="1" applyAlignment="1">
      <alignment horizontal="center" vertical="center"/>
    </xf>
    <xf numFmtId="1" fontId="10" fillId="8" borderId="45" xfId="0" applyNumberFormat="1" applyFont="1" applyFill="1" applyBorder="1" applyAlignment="1">
      <alignment horizontal="center" vertical="center"/>
    </xf>
    <xf numFmtId="1" fontId="10" fillId="8" borderId="46" xfId="0" applyNumberFormat="1" applyFont="1" applyFill="1" applyBorder="1" applyAlignment="1">
      <alignment horizontal="center" vertical="center"/>
    </xf>
    <xf numFmtId="1" fontId="10" fillId="6" borderId="45" xfId="0" applyNumberFormat="1" applyFont="1" applyFill="1" applyBorder="1" applyAlignment="1">
      <alignment horizontal="center" vertical="center"/>
    </xf>
    <xf numFmtId="1" fontId="10" fillId="6" borderId="46" xfId="0" applyNumberFormat="1" applyFont="1" applyFill="1" applyBorder="1" applyAlignment="1">
      <alignment horizontal="center" vertical="center"/>
    </xf>
    <xf numFmtId="1" fontId="10" fillId="6" borderId="30" xfId="0" applyNumberFormat="1" applyFont="1" applyFill="1" applyBorder="1" applyAlignment="1">
      <alignment horizontal="center" vertical="center"/>
    </xf>
    <xf numFmtId="1" fontId="10" fillId="7" borderId="45" xfId="0" applyNumberFormat="1" applyFont="1" applyFill="1" applyBorder="1" applyAlignment="1">
      <alignment horizontal="center" vertical="center"/>
    </xf>
    <xf numFmtId="1" fontId="10" fillId="7" borderId="46" xfId="0" applyNumberFormat="1" applyFont="1" applyFill="1" applyBorder="1" applyAlignment="1">
      <alignment horizontal="center" vertical="center"/>
    </xf>
    <xf numFmtId="1" fontId="10" fillId="7" borderId="30" xfId="0" applyNumberFormat="1" applyFont="1" applyFill="1" applyBorder="1" applyAlignment="1">
      <alignment horizontal="center" vertical="center"/>
    </xf>
    <xf numFmtId="0" fontId="154" fillId="9" borderId="63" xfId="0" applyFont="1" applyFill="1" applyBorder="1" applyAlignment="1">
      <alignment horizontal="left" vertical="center"/>
    </xf>
    <xf numFmtId="0" fontId="154" fillId="9" borderId="41" xfId="0" applyFont="1" applyFill="1" applyBorder="1" applyAlignment="1">
      <alignment horizontal="left" vertical="center"/>
    </xf>
    <xf numFmtId="0" fontId="154" fillId="9" borderId="52" xfId="0" applyFont="1" applyFill="1" applyBorder="1" applyAlignment="1">
      <alignment horizontal="left" vertical="center"/>
    </xf>
    <xf numFmtId="0" fontId="154" fillId="9" borderId="8" xfId="0" applyFont="1" applyFill="1" applyBorder="1" applyAlignment="1">
      <alignment horizontal="left" vertical="center"/>
    </xf>
    <xf numFmtId="1" fontId="26" fillId="9" borderId="30" xfId="0" applyNumberFormat="1" applyFont="1" applyFill="1" applyBorder="1" applyAlignment="1">
      <alignment horizontal="center" vertical="center"/>
    </xf>
    <xf numFmtId="0" fontId="27" fillId="0" borderId="37" xfId="0" applyFont="1" applyBorder="1" applyAlignment="1">
      <alignment horizontal="center" vertical="center"/>
    </xf>
    <xf numFmtId="1" fontId="25" fillId="8" borderId="10" xfId="0" applyNumberFormat="1" applyFont="1" applyFill="1" applyBorder="1" applyAlignment="1">
      <alignment horizontal="center" vertical="center"/>
    </xf>
    <xf numFmtId="1" fontId="25" fillId="6" borderId="10" xfId="0" applyNumberFormat="1" applyFont="1" applyFill="1" applyBorder="1" applyAlignment="1">
      <alignment horizontal="center" vertical="center"/>
    </xf>
    <xf numFmtId="1" fontId="58" fillId="0" borderId="0" xfId="104" applyNumberFormat="1" applyAlignment="1">
      <alignment horizontal="center" vertical="top"/>
    </xf>
    <xf numFmtId="1" fontId="178" fillId="0" borderId="0" xfId="104" applyNumberFormat="1" applyFont="1" applyAlignment="1">
      <alignment horizontal="center" vertical="center"/>
    </xf>
    <xf numFmtId="1" fontId="27" fillId="0" borderId="10" xfId="0" applyNumberFormat="1" applyFont="1" applyBorder="1" applyAlignment="1">
      <alignment horizontal="center" vertical="center"/>
    </xf>
    <xf numFmtId="1" fontId="26" fillId="0" borderId="10" xfId="0" applyNumberFormat="1" applyFont="1" applyBorder="1" applyAlignment="1">
      <alignment horizontal="center" vertical="center"/>
    </xf>
    <xf numFmtId="1" fontId="26" fillId="9" borderId="10" xfId="0" applyNumberFormat="1" applyFont="1" applyFill="1" applyBorder="1" applyAlignment="1">
      <alignment horizontal="center" vertical="center"/>
    </xf>
    <xf numFmtId="1" fontId="26" fillId="8" borderId="10" xfId="0" applyNumberFormat="1" applyFont="1" applyFill="1" applyBorder="1" applyAlignment="1">
      <alignment horizontal="center" vertical="center"/>
    </xf>
    <xf numFmtId="1" fontId="26" fillId="6" borderId="10" xfId="0" applyNumberFormat="1" applyFont="1" applyFill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0" fillId="0" borderId="0" xfId="0"/>
    <xf numFmtId="0" fontId="27" fillId="6" borderId="10" xfId="0" applyFont="1" applyFill="1" applyBorder="1" applyAlignment="1">
      <alignment horizontal="center" vertical="center"/>
    </xf>
    <xf numFmtId="0" fontId="27" fillId="8" borderId="10" xfId="0" applyFont="1" applyFill="1" applyBorder="1" applyAlignment="1">
      <alignment horizontal="center" vertical="center"/>
    </xf>
    <xf numFmtId="0" fontId="27" fillId="0" borderId="37" xfId="0" applyFont="1" applyBorder="1" applyAlignment="1">
      <alignment horizontal="center" vertical="center"/>
    </xf>
    <xf numFmtId="1" fontId="25" fillId="8" borderId="10" xfId="0" applyNumberFormat="1" applyFont="1" applyFill="1" applyBorder="1" applyAlignment="1">
      <alignment horizontal="center" vertical="center"/>
    </xf>
    <xf numFmtId="1" fontId="25" fillId="6" borderId="10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2" fontId="26" fillId="6" borderId="10" xfId="0" applyNumberFormat="1" applyFont="1" applyFill="1" applyBorder="1" applyAlignment="1">
      <alignment horizontal="center" vertical="center"/>
    </xf>
    <xf numFmtId="2" fontId="26" fillId="0" borderId="37" xfId="0" applyNumberFormat="1" applyFont="1" applyBorder="1" applyAlignment="1">
      <alignment horizontal="center" vertical="center"/>
    </xf>
    <xf numFmtId="2" fontId="26" fillId="8" borderId="10" xfId="0" applyNumberFormat="1" applyFont="1" applyFill="1" applyBorder="1" applyAlignment="1">
      <alignment horizontal="center" vertical="center"/>
    </xf>
    <xf numFmtId="2" fontId="26" fillId="7" borderId="10" xfId="0" applyNumberFormat="1" applyFont="1" applyFill="1" applyBorder="1" applyAlignment="1">
      <alignment horizontal="center" vertical="center"/>
    </xf>
    <xf numFmtId="2" fontId="26" fillId="0" borderId="10" xfId="0" applyNumberFormat="1" applyFont="1" applyBorder="1" applyAlignment="1">
      <alignment horizontal="center" vertical="center"/>
    </xf>
    <xf numFmtId="2" fontId="26" fillId="9" borderId="10" xfId="0" applyNumberFormat="1" applyFont="1" applyFill="1" applyBorder="1" applyAlignment="1">
      <alignment horizontal="center" vertical="center"/>
    </xf>
    <xf numFmtId="1" fontId="96" fillId="6" borderId="17" xfId="186" applyNumberFormat="1" applyFont="1" applyFill="1" applyBorder="1" applyAlignment="1">
      <alignment horizontal="center" vertical="center"/>
    </xf>
    <xf numFmtId="1" fontId="26" fillId="9" borderId="10" xfId="0" applyNumberFormat="1" applyFont="1" applyFill="1" applyBorder="1" applyAlignment="1">
      <alignment horizontal="center" vertical="center" wrapText="1"/>
    </xf>
    <xf numFmtId="1" fontId="10" fillId="9" borderId="23" xfId="0" applyNumberFormat="1" applyFont="1" applyFill="1" applyBorder="1" applyAlignment="1">
      <alignment horizontal="center" vertical="center"/>
    </xf>
    <xf numFmtId="1" fontId="27" fillId="8" borderId="6" xfId="0" applyNumberFormat="1" applyFont="1" applyFill="1" applyBorder="1" applyAlignment="1">
      <alignment horizontal="center" vertical="center"/>
    </xf>
    <xf numFmtId="1" fontId="27" fillId="8" borderId="19" xfId="0" applyNumberFormat="1" applyFont="1" applyFill="1" applyBorder="1" applyAlignment="1">
      <alignment horizontal="center" vertical="center"/>
    </xf>
    <xf numFmtId="1" fontId="27" fillId="9" borderId="19" xfId="0" applyNumberFormat="1" applyFont="1" applyFill="1" applyBorder="1" applyAlignment="1">
      <alignment horizontal="center" vertical="center"/>
    </xf>
    <xf numFmtId="1" fontId="27" fillId="6" borderId="6" xfId="0" applyNumberFormat="1" applyFont="1" applyFill="1" applyBorder="1" applyAlignment="1">
      <alignment horizontal="center" vertical="center"/>
    </xf>
    <xf numFmtId="0" fontId="5" fillId="9" borderId="64" xfId="0" applyFont="1" applyFill="1" applyBorder="1" applyAlignment="1">
      <alignment horizontal="center" vertical="center"/>
    </xf>
    <xf numFmtId="1" fontId="5" fillId="9" borderId="71" xfId="0" applyNumberFormat="1" applyFont="1" applyFill="1" applyBorder="1" applyAlignment="1">
      <alignment horizontal="center" vertical="center"/>
    </xf>
    <xf numFmtId="1" fontId="5" fillId="8" borderId="71" xfId="0" applyNumberFormat="1" applyFont="1" applyFill="1" applyBorder="1" applyAlignment="1">
      <alignment horizontal="center" vertical="center"/>
    </xf>
    <xf numFmtId="1" fontId="5" fillId="6" borderId="71" xfId="0" applyNumberFormat="1" applyFont="1" applyFill="1" applyBorder="1" applyAlignment="1">
      <alignment horizontal="center" vertical="center"/>
    </xf>
    <xf numFmtId="1" fontId="5" fillId="7" borderId="71" xfId="0" applyNumberFormat="1" applyFont="1" applyFill="1" applyBorder="1" applyAlignment="1">
      <alignment horizontal="center" vertical="center"/>
    </xf>
    <xf numFmtId="0" fontId="10" fillId="9" borderId="74" xfId="0" applyFont="1" applyFill="1" applyBorder="1" applyAlignment="1">
      <alignment horizontal="right" vertical="center"/>
    </xf>
    <xf numFmtId="1" fontId="10" fillId="8" borderId="62" xfId="0" applyNumberFormat="1" applyFont="1" applyFill="1" applyBorder="1" applyAlignment="1">
      <alignment vertical="center"/>
    </xf>
    <xf numFmtId="1" fontId="10" fillId="6" borderId="62" xfId="0" applyNumberFormat="1" applyFont="1" applyFill="1" applyBorder="1" applyAlignment="1">
      <alignment vertical="center"/>
    </xf>
    <xf numFmtId="1" fontId="10" fillId="7" borderId="62" xfId="0" applyNumberFormat="1" applyFont="1" applyFill="1" applyBorder="1" applyAlignment="1">
      <alignment vertical="center"/>
    </xf>
    <xf numFmtId="1" fontId="10" fillId="8" borderId="74" xfId="0" applyNumberFormat="1" applyFont="1" applyFill="1" applyBorder="1" applyAlignment="1">
      <alignment vertical="center"/>
    </xf>
    <xf numFmtId="1" fontId="10" fillId="6" borderId="74" xfId="0" applyNumberFormat="1" applyFont="1" applyFill="1" applyBorder="1" applyAlignment="1">
      <alignment vertical="center"/>
    </xf>
    <xf numFmtId="1" fontId="10" fillId="7" borderId="74" xfId="0" applyNumberFormat="1" applyFont="1" applyFill="1" applyBorder="1" applyAlignment="1">
      <alignment vertical="center"/>
    </xf>
    <xf numFmtId="1" fontId="10" fillId="8" borderId="34" xfId="0" applyNumberFormat="1" applyFont="1" applyFill="1" applyBorder="1" applyAlignment="1">
      <alignment vertical="center"/>
    </xf>
    <xf numFmtId="1" fontId="10" fillId="6" borderId="34" xfId="0" applyNumberFormat="1" applyFont="1" applyFill="1" applyBorder="1" applyAlignment="1">
      <alignment vertical="center"/>
    </xf>
    <xf numFmtId="1" fontId="10" fillId="7" borderId="34" xfId="0" applyNumberFormat="1" applyFont="1" applyFill="1" applyBorder="1" applyAlignment="1">
      <alignment vertical="center"/>
    </xf>
    <xf numFmtId="1" fontId="10" fillId="6" borderId="38" xfId="0" applyNumberFormat="1" applyFont="1" applyFill="1" applyBorder="1" applyAlignment="1">
      <alignment vertical="center"/>
    </xf>
    <xf numFmtId="1" fontId="10" fillId="6" borderId="8" xfId="0" applyNumberFormat="1" applyFont="1" applyFill="1" applyBorder="1" applyAlignment="1">
      <alignment vertical="center"/>
    </xf>
    <xf numFmtId="1" fontId="10" fillId="0" borderId="12" xfId="0" applyNumberFormat="1" applyFont="1" applyBorder="1" applyAlignment="1">
      <alignment horizontal="center" vertical="center"/>
    </xf>
    <xf numFmtId="0" fontId="10" fillId="8" borderId="12" xfId="0" applyFont="1" applyFill="1" applyBorder="1" applyAlignment="1">
      <alignment horizontal="center" vertical="center"/>
    </xf>
    <xf numFmtId="1" fontId="10" fillId="9" borderId="12" xfId="0" applyNumberFormat="1" applyFont="1" applyFill="1" applyBorder="1" applyAlignment="1">
      <alignment horizontal="center" vertical="center"/>
    </xf>
    <xf numFmtId="1" fontId="26" fillId="0" borderId="10" xfId="0" applyNumberFormat="1" applyFont="1" applyBorder="1" applyAlignment="1">
      <alignment horizontal="center" vertical="center"/>
    </xf>
    <xf numFmtId="1" fontId="26" fillId="9" borderId="10" xfId="0" applyNumberFormat="1" applyFont="1" applyFill="1" applyBorder="1" applyAlignment="1">
      <alignment horizontal="center" vertical="center"/>
    </xf>
    <xf numFmtId="1" fontId="26" fillId="6" borderId="10" xfId="0" applyNumberFormat="1" applyFont="1" applyFill="1" applyBorder="1" applyAlignment="1">
      <alignment horizontal="center" vertical="center"/>
    </xf>
    <xf numFmtId="1" fontId="26" fillId="8" borderId="10" xfId="0" applyNumberFormat="1" applyFont="1" applyFill="1" applyBorder="1" applyAlignment="1">
      <alignment horizontal="center" vertical="center"/>
    </xf>
    <xf numFmtId="1" fontId="26" fillId="7" borderId="10" xfId="0" applyNumberFormat="1" applyFont="1" applyFill="1" applyBorder="1" applyAlignment="1">
      <alignment horizontal="center" vertical="center"/>
    </xf>
    <xf numFmtId="1" fontId="27" fillId="9" borderId="10" xfId="0" applyNumberFormat="1" applyFont="1" applyFill="1" applyBorder="1" applyAlignment="1">
      <alignment horizontal="center" vertical="center"/>
    </xf>
    <xf numFmtId="0" fontId="0" fillId="0" borderId="0" xfId="0"/>
    <xf numFmtId="0" fontId="144" fillId="0" borderId="0" xfId="0" applyFont="1" applyBorder="1" applyAlignment="1">
      <alignment horizontal="center"/>
    </xf>
    <xf numFmtId="0" fontId="0" fillId="0" borderId="74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138" fillId="34" borderId="34" xfId="0" applyFont="1" applyFill="1" applyBorder="1" applyAlignment="1">
      <alignment horizontal="center" vertical="center"/>
    </xf>
    <xf numFmtId="0" fontId="124" fillId="45" borderId="10" xfId="0" applyFont="1" applyFill="1" applyBorder="1" applyAlignment="1">
      <alignment horizontal="center"/>
    </xf>
    <xf numFmtId="0" fontId="27" fillId="7" borderId="10" xfId="0" applyFont="1" applyFill="1" applyBorder="1" applyAlignment="1">
      <alignment horizontal="center" vertical="center"/>
    </xf>
    <xf numFmtId="0" fontId="27" fillId="0" borderId="87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2" fontId="26" fillId="7" borderId="10" xfId="0" applyNumberFormat="1" applyFont="1" applyFill="1" applyBorder="1" applyAlignment="1">
      <alignment horizontal="center" vertical="center"/>
    </xf>
    <xf numFmtId="166" fontId="25" fillId="9" borderId="31" xfId="0" applyNumberFormat="1" applyFont="1" applyFill="1" applyBorder="1" applyAlignment="1">
      <alignment horizontal="center" vertical="center"/>
    </xf>
    <xf numFmtId="166" fontId="25" fillId="8" borderId="31" xfId="0" applyNumberFormat="1" applyFont="1" applyFill="1" applyBorder="1" applyAlignment="1">
      <alignment horizontal="center" vertical="center"/>
    </xf>
    <xf numFmtId="166" fontId="25" fillId="6" borderId="31" xfId="0" applyNumberFormat="1" applyFont="1" applyFill="1" applyBorder="1" applyAlignment="1">
      <alignment horizontal="center" vertical="center"/>
    </xf>
    <xf numFmtId="166" fontId="25" fillId="7" borderId="31" xfId="0" applyNumberFormat="1" applyFont="1" applyFill="1" applyBorder="1" applyAlignment="1">
      <alignment horizontal="center" vertical="center"/>
    </xf>
    <xf numFmtId="2" fontId="26" fillId="8" borderId="30" xfId="0" applyNumberFormat="1" applyFont="1" applyFill="1" applyBorder="1" applyAlignment="1">
      <alignment horizontal="center" vertical="center"/>
    </xf>
    <xf numFmtId="2" fontId="0" fillId="0" borderId="0" xfId="0" applyNumberFormat="1"/>
    <xf numFmtId="166" fontId="24" fillId="9" borderId="21" xfId="0" applyNumberFormat="1" applyFont="1" applyFill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56" fillId="0" borderId="10" xfId="0" applyFont="1" applyBorder="1" applyAlignment="1">
      <alignment horizontal="center" vertical="center"/>
    </xf>
    <xf numFmtId="1" fontId="10" fillId="5" borderId="10" xfId="0" applyNumberFormat="1" applyFont="1" applyFill="1" applyBorder="1" applyAlignment="1">
      <alignment horizontal="center" vertical="center"/>
    </xf>
    <xf numFmtId="1" fontId="45" fillId="9" borderId="46" xfId="0" applyNumberFormat="1" applyFont="1" applyFill="1" applyBorder="1" applyAlignment="1">
      <alignment horizontal="center"/>
    </xf>
    <xf numFmtId="166" fontId="15" fillId="9" borderId="3" xfId="0" applyNumberFormat="1" applyFont="1" applyFill="1" applyBorder="1" applyAlignment="1">
      <alignment horizontal="center" vertical="center"/>
    </xf>
    <xf numFmtId="166" fontId="15" fillId="9" borderId="29" xfId="0" applyNumberFormat="1" applyFont="1" applyFill="1" applyBorder="1" applyAlignment="1">
      <alignment horizontal="center" vertical="center"/>
    </xf>
    <xf numFmtId="166" fontId="15" fillId="9" borderId="23" xfId="0" applyNumberFormat="1" applyFont="1" applyFill="1" applyBorder="1" applyAlignment="1">
      <alignment horizontal="center" vertical="center"/>
    </xf>
    <xf numFmtId="166" fontId="26" fillId="9" borderId="3" xfId="0" applyNumberFormat="1" applyFont="1" applyFill="1" applyBorder="1" applyAlignment="1">
      <alignment horizontal="center" vertical="center"/>
    </xf>
    <xf numFmtId="166" fontId="26" fillId="9" borderId="41" xfId="0" applyNumberFormat="1" applyFont="1" applyFill="1" applyBorder="1" applyAlignment="1">
      <alignment horizontal="center" vertical="center"/>
    </xf>
    <xf numFmtId="0" fontId="33" fillId="7" borderId="1" xfId="0" applyFont="1" applyFill="1" applyBorder="1" applyAlignment="1">
      <alignment horizontal="center" vertical="center"/>
    </xf>
    <xf numFmtId="0" fontId="33" fillId="7" borderId="28" xfId="0" applyFont="1" applyFill="1" applyBorder="1" applyAlignment="1">
      <alignment horizontal="center" vertical="center"/>
    </xf>
    <xf numFmtId="1" fontId="15" fillId="7" borderId="76" xfId="0" applyNumberFormat="1" applyFont="1" applyFill="1" applyBorder="1" applyAlignment="1">
      <alignment horizontal="center" vertical="center"/>
    </xf>
    <xf numFmtId="1" fontId="15" fillId="7" borderId="85" xfId="0" applyNumberFormat="1" applyFont="1" applyFill="1" applyBorder="1" applyAlignment="1">
      <alignment horizontal="center" vertical="center"/>
    </xf>
    <xf numFmtId="1" fontId="15" fillId="7" borderId="10" xfId="0" applyNumberFormat="1" applyFont="1" applyFill="1" applyBorder="1" applyAlignment="1">
      <alignment horizontal="center" vertical="center"/>
    </xf>
    <xf numFmtId="1" fontId="15" fillId="7" borderId="37" xfId="0" applyNumberFormat="1" applyFont="1" applyFill="1" applyBorder="1" applyAlignment="1">
      <alignment horizontal="center" vertical="center"/>
    </xf>
    <xf numFmtId="1" fontId="15" fillId="7" borderId="34" xfId="0" applyNumberFormat="1" applyFont="1" applyFill="1" applyBorder="1" applyAlignment="1">
      <alignment horizontal="center" vertical="center"/>
    </xf>
    <xf numFmtId="1" fontId="15" fillId="7" borderId="53" xfId="0" applyNumberFormat="1" applyFont="1" applyFill="1" applyBorder="1" applyAlignment="1">
      <alignment horizontal="center" vertical="center"/>
    </xf>
    <xf numFmtId="1" fontId="15" fillId="7" borderId="63" xfId="0" applyNumberFormat="1" applyFont="1" applyFill="1" applyBorder="1" applyAlignment="1">
      <alignment horizontal="center" vertical="center"/>
    </xf>
    <xf numFmtId="1" fontId="15" fillId="7" borderId="42" xfId="0" applyNumberFormat="1" applyFont="1" applyFill="1" applyBorder="1" applyAlignment="1">
      <alignment horizontal="center" vertical="center"/>
    </xf>
    <xf numFmtId="1" fontId="15" fillId="7" borderId="31" xfId="0" applyNumberFormat="1" applyFont="1" applyFill="1" applyBorder="1" applyAlignment="1">
      <alignment horizontal="center" vertical="center"/>
    </xf>
    <xf numFmtId="1" fontId="15" fillId="7" borderId="32" xfId="0" applyNumberFormat="1" applyFont="1" applyFill="1" applyBorder="1" applyAlignment="1">
      <alignment horizontal="center" vertical="center"/>
    </xf>
    <xf numFmtId="1" fontId="15" fillId="7" borderId="33" xfId="0" applyNumberFormat="1" applyFont="1" applyFill="1" applyBorder="1" applyAlignment="1">
      <alignment horizontal="center" vertical="center"/>
    </xf>
    <xf numFmtId="0" fontId="157" fillId="9" borderId="10" xfId="0" applyFont="1" applyFill="1" applyBorder="1" applyAlignment="1">
      <alignment horizontal="center"/>
    </xf>
    <xf numFmtId="0" fontId="47" fillId="9" borderId="10" xfId="0" applyFont="1" applyFill="1" applyBorder="1"/>
    <xf numFmtId="9" fontId="0" fillId="0" borderId="0" xfId="22" applyFont="1" applyBorder="1"/>
    <xf numFmtId="168" fontId="54" fillId="9" borderId="10" xfId="0" applyNumberFormat="1" applyFont="1" applyFill="1" applyBorder="1" applyAlignment="1">
      <alignment horizontal="center" vertical="center"/>
    </xf>
    <xf numFmtId="0" fontId="0" fillId="0" borderId="39" xfId="0" applyBorder="1" applyAlignment="1"/>
    <xf numFmtId="0" fontId="54" fillId="50" borderId="10" xfId="0" applyFont="1" applyFill="1" applyBorder="1"/>
    <xf numFmtId="0" fontId="0" fillId="50" borderId="10" xfId="0" applyFill="1" applyBorder="1"/>
    <xf numFmtId="0" fontId="56" fillId="50" borderId="10" xfId="0" applyFont="1" applyFill="1" applyBorder="1"/>
    <xf numFmtId="1" fontId="54" fillId="50" borderId="10" xfId="0" applyNumberFormat="1" applyFont="1" applyFill="1" applyBorder="1"/>
    <xf numFmtId="1" fontId="0" fillId="50" borderId="10" xfId="0" applyNumberFormat="1" applyFill="1" applyBorder="1"/>
    <xf numFmtId="0" fontId="0" fillId="50" borderId="10" xfId="0" applyFill="1" applyBorder="1" applyAlignment="1"/>
    <xf numFmtId="1" fontId="56" fillId="0" borderId="0" xfId="0" applyNumberFormat="1" applyFont="1"/>
    <xf numFmtId="1" fontId="5" fillId="0" borderId="36" xfId="0" applyNumberFormat="1" applyFont="1" applyBorder="1" applyAlignment="1">
      <alignment horizontal="center" vertical="center"/>
    </xf>
    <xf numFmtId="0" fontId="0" fillId="0" borderId="0" xfId="0"/>
    <xf numFmtId="1" fontId="5" fillId="9" borderId="62" xfId="0" applyNumberFormat="1" applyFont="1" applyFill="1" applyBorder="1" applyAlignment="1">
      <alignment horizontal="center" vertical="center"/>
    </xf>
    <xf numFmtId="168" fontId="26" fillId="0" borderId="53" xfId="0" applyNumberFormat="1" applyFont="1" applyBorder="1" applyAlignment="1">
      <alignment horizontal="center" vertical="center"/>
    </xf>
    <xf numFmtId="166" fontId="0" fillId="9" borderId="10" xfId="0" applyNumberFormat="1" applyFill="1" applyBorder="1" applyAlignment="1">
      <alignment horizontal="center"/>
    </xf>
    <xf numFmtId="0" fontId="5" fillId="9" borderId="9" xfId="0" applyFont="1" applyFill="1" applyBorder="1" applyAlignment="1">
      <alignment horizontal="left" vertical="center"/>
    </xf>
    <xf numFmtId="0" fontId="10" fillId="9" borderId="10" xfId="0" applyFont="1" applyFill="1" applyBorder="1" applyAlignment="1">
      <alignment horizontal="left" vertical="center"/>
    </xf>
    <xf numFmtId="1" fontId="10" fillId="0" borderId="10" xfId="0" applyNumberFormat="1" applyFont="1" applyFill="1" applyBorder="1" applyAlignment="1">
      <alignment horizontal="center" vertical="center"/>
    </xf>
    <xf numFmtId="1" fontId="93" fillId="0" borderId="10" xfId="0" applyNumberFormat="1" applyFont="1" applyFill="1" applyBorder="1" applyAlignment="1">
      <alignment horizontal="center" vertical="center"/>
    </xf>
    <xf numFmtId="1" fontId="26" fillId="0" borderId="10" xfId="0" applyNumberFormat="1" applyFont="1" applyBorder="1" applyAlignment="1">
      <alignment horizontal="center" vertical="center"/>
    </xf>
    <xf numFmtId="1" fontId="26" fillId="6" borderId="10" xfId="0" applyNumberFormat="1" applyFont="1" applyFill="1" applyBorder="1" applyAlignment="1">
      <alignment horizontal="center" vertical="center"/>
    </xf>
    <xf numFmtId="0" fontId="0" fillId="0" borderId="0" xfId="0"/>
    <xf numFmtId="166" fontId="24" fillId="9" borderId="80" xfId="0" applyNumberFormat="1" applyFont="1" applyFill="1" applyBorder="1" applyAlignment="1">
      <alignment horizontal="center" vertical="center"/>
    </xf>
    <xf numFmtId="1" fontId="26" fillId="0" borderId="10" xfId="0" applyNumberFormat="1" applyFont="1" applyBorder="1" applyAlignment="1">
      <alignment horizontal="center" vertical="center"/>
    </xf>
    <xf numFmtId="1" fontId="26" fillId="9" borderId="10" xfId="0" applyNumberFormat="1" applyFont="1" applyFill="1" applyBorder="1" applyAlignment="1">
      <alignment horizontal="center" vertical="center"/>
    </xf>
    <xf numFmtId="2" fontId="26" fillId="8" borderId="10" xfId="0" applyNumberFormat="1" applyFont="1" applyFill="1" applyBorder="1" applyAlignment="1">
      <alignment horizontal="center" vertical="center"/>
    </xf>
    <xf numFmtId="1" fontId="95" fillId="0" borderId="0" xfId="186" applyNumberFormat="1" applyFill="1" applyBorder="1" applyAlignment="1">
      <alignment horizontal="center" vertical="center"/>
    </xf>
    <xf numFmtId="0" fontId="95" fillId="0" borderId="0" xfId="186" applyFill="1" applyBorder="1" applyAlignment="1">
      <alignment horizontal="center" vertical="center"/>
    </xf>
    <xf numFmtId="1" fontId="96" fillId="9" borderId="46" xfId="186" applyNumberFormat="1" applyFont="1" applyFill="1" applyBorder="1" applyAlignment="1">
      <alignment horizontal="center" vertical="center"/>
    </xf>
    <xf numFmtId="0" fontId="95" fillId="0" borderId="0" xfId="186" applyFill="1" applyBorder="1" applyAlignment="1">
      <alignment horizontal="center" vertical="top"/>
    </xf>
    <xf numFmtId="17" fontId="96" fillId="0" borderId="44" xfId="186" applyNumberFormat="1" applyFont="1" applyFill="1" applyBorder="1" applyAlignment="1">
      <alignment horizontal="left" vertical="center"/>
    </xf>
    <xf numFmtId="17" fontId="96" fillId="0" borderId="51" xfId="186" applyNumberFormat="1" applyFont="1" applyFill="1" applyBorder="1" applyAlignment="1">
      <alignment horizontal="left" vertical="center"/>
    </xf>
    <xf numFmtId="0" fontId="96" fillId="47" borderId="25" xfId="186" applyFont="1" applyFill="1" applyBorder="1" applyAlignment="1">
      <alignment horizontal="left" vertical="center"/>
    </xf>
    <xf numFmtId="0" fontId="96" fillId="33" borderId="69" xfId="186" applyFont="1" applyFill="1" applyBorder="1" applyAlignment="1">
      <alignment horizontal="center" vertical="center"/>
    </xf>
    <xf numFmtId="1" fontId="97" fillId="0" borderId="8" xfId="186" applyNumberFormat="1" applyFont="1" applyFill="1" applyBorder="1" applyAlignment="1">
      <alignment horizontal="center" vertical="center"/>
    </xf>
    <xf numFmtId="1" fontId="97" fillId="0" borderId="36" xfId="186" applyNumberFormat="1" applyFont="1" applyFill="1" applyBorder="1" applyAlignment="1">
      <alignment horizontal="center" vertical="center"/>
    </xf>
    <xf numFmtId="1" fontId="96" fillId="47" borderId="4" xfId="186" applyNumberFormat="1" applyFont="1" applyFill="1" applyBorder="1" applyAlignment="1">
      <alignment horizontal="center" vertical="center"/>
    </xf>
    <xf numFmtId="1" fontId="97" fillId="0" borderId="34" xfId="186" applyNumberFormat="1" applyFont="1" applyFill="1" applyBorder="1" applyAlignment="1">
      <alignment horizontal="center" vertical="center"/>
    </xf>
    <xf numFmtId="1" fontId="96" fillId="8" borderId="53" xfId="186" applyNumberFormat="1" applyFont="1" applyFill="1" applyBorder="1" applyAlignment="1">
      <alignment horizontal="center" vertical="center"/>
    </xf>
    <xf numFmtId="1" fontId="97" fillId="0" borderId="31" xfId="186" applyNumberFormat="1" applyFont="1" applyFill="1" applyBorder="1" applyAlignment="1">
      <alignment horizontal="center" vertical="center"/>
    </xf>
    <xf numFmtId="1" fontId="97" fillId="0" borderId="62" xfId="186" applyNumberFormat="1" applyFont="1" applyFill="1" applyBorder="1" applyAlignment="1">
      <alignment horizontal="center" vertical="center"/>
    </xf>
    <xf numFmtId="1" fontId="96" fillId="47" borderId="13" xfId="186" applyNumberFormat="1" applyFont="1" applyFill="1" applyBorder="1" applyAlignment="1">
      <alignment horizontal="center" vertical="center"/>
    </xf>
    <xf numFmtId="0" fontId="96" fillId="8" borderId="9" xfId="186" applyFont="1" applyFill="1" applyBorder="1" applyAlignment="1">
      <alignment horizontal="center" vertical="center"/>
    </xf>
    <xf numFmtId="0" fontId="96" fillId="8" borderId="14" xfId="186" applyFont="1" applyFill="1" applyBorder="1" applyAlignment="1">
      <alignment horizontal="center" vertical="center"/>
    </xf>
    <xf numFmtId="0" fontId="96" fillId="8" borderId="15" xfId="186" applyFont="1" applyFill="1" applyBorder="1" applyAlignment="1">
      <alignment horizontal="center" vertical="center"/>
    </xf>
    <xf numFmtId="0" fontId="96" fillId="8" borderId="73" xfId="186" applyFont="1" applyFill="1" applyBorder="1" applyAlignment="1">
      <alignment horizontal="center" vertical="center"/>
    </xf>
    <xf numFmtId="0" fontId="96" fillId="8" borderId="16" xfId="186" applyFont="1" applyFill="1" applyBorder="1" applyAlignment="1">
      <alignment horizontal="center" vertical="center"/>
    </xf>
    <xf numFmtId="0" fontId="96" fillId="8" borderId="28" xfId="186" applyFont="1" applyFill="1" applyBorder="1" applyAlignment="1">
      <alignment horizontal="center" vertical="center"/>
    </xf>
    <xf numFmtId="0" fontId="96" fillId="9" borderId="0" xfId="186" applyFont="1" applyFill="1" applyBorder="1" applyAlignment="1">
      <alignment horizontal="left" vertical="top"/>
    </xf>
    <xf numFmtId="1" fontId="180" fillId="0" borderId="0" xfId="186" applyNumberFormat="1" applyFont="1" applyFill="1" applyBorder="1" applyAlignment="1">
      <alignment horizontal="center" vertical="center"/>
    </xf>
    <xf numFmtId="0" fontId="180" fillId="0" borderId="0" xfId="186" applyFont="1" applyFill="1" applyBorder="1" applyAlignment="1">
      <alignment horizontal="center" vertical="center"/>
    </xf>
    <xf numFmtId="0" fontId="180" fillId="0" borderId="0" xfId="186" applyFont="1" applyAlignment="1">
      <alignment horizontal="center" vertical="center"/>
    </xf>
    <xf numFmtId="1" fontId="180" fillId="0" borderId="0" xfId="186" applyNumberFormat="1" applyFont="1" applyAlignment="1">
      <alignment horizontal="center" vertical="center"/>
    </xf>
    <xf numFmtId="0" fontId="97" fillId="0" borderId="0" xfId="186" applyFont="1" applyFill="1" applyBorder="1" applyAlignment="1">
      <alignment horizontal="center" vertical="center"/>
    </xf>
    <xf numFmtId="0" fontId="97" fillId="0" borderId="0" xfId="186" applyFont="1" applyFill="1" applyBorder="1" applyAlignment="1">
      <alignment horizontal="left" vertical="top"/>
    </xf>
    <xf numFmtId="1" fontId="180" fillId="9" borderId="10" xfId="186" applyNumberFormat="1" applyFont="1" applyFill="1" applyBorder="1" applyAlignment="1">
      <alignment horizontal="center" vertical="top"/>
    </xf>
    <xf numFmtId="0" fontId="181" fillId="0" borderId="0" xfId="186" applyFont="1" applyFill="1" applyBorder="1" applyAlignment="1">
      <alignment horizontal="left" vertical="center"/>
    </xf>
    <xf numFmtId="0" fontId="181" fillId="0" borderId="0" xfId="186" applyFont="1" applyFill="1" applyBorder="1" applyAlignment="1">
      <alignment horizontal="center" vertical="center"/>
    </xf>
    <xf numFmtId="1" fontId="181" fillId="0" borderId="0" xfId="186" applyNumberFormat="1" applyFont="1" applyFill="1" applyBorder="1" applyAlignment="1">
      <alignment horizontal="center" vertical="center"/>
    </xf>
    <xf numFmtId="1" fontId="95" fillId="5" borderId="0" xfId="186" applyNumberFormat="1" applyFill="1" applyBorder="1" applyAlignment="1">
      <alignment horizontal="left" vertical="top"/>
    </xf>
    <xf numFmtId="2" fontId="0" fillId="9" borderId="0" xfId="0" applyNumberFormat="1" applyFill="1"/>
    <xf numFmtId="17" fontId="22" fillId="35" borderId="40" xfId="186" applyNumberFormat="1" applyFont="1" applyFill="1" applyBorder="1" applyAlignment="1">
      <alignment horizontal="left" vertical="center"/>
    </xf>
    <xf numFmtId="1" fontId="101" fillId="35" borderId="38" xfId="186" applyNumberFormat="1" applyFont="1" applyFill="1" applyBorder="1" applyAlignment="1">
      <alignment horizontal="center" vertical="center"/>
    </xf>
    <xf numFmtId="168" fontId="95" fillId="0" borderId="0" xfId="186" applyNumberFormat="1" applyFill="1" applyBorder="1" applyAlignment="1">
      <alignment horizontal="left" vertical="top"/>
    </xf>
    <xf numFmtId="169" fontId="95" fillId="0" borderId="0" xfId="186" applyNumberFormat="1" applyFill="1" applyBorder="1" applyAlignment="1">
      <alignment horizontal="left" vertical="top"/>
    </xf>
    <xf numFmtId="170" fontId="95" fillId="0" borderId="0" xfId="186" applyNumberFormat="1" applyFill="1" applyBorder="1" applyAlignment="1">
      <alignment horizontal="left" vertical="top"/>
    </xf>
    <xf numFmtId="0" fontId="182" fillId="0" borderId="0" xfId="186" applyFont="1" applyFill="1" applyBorder="1" applyAlignment="1">
      <alignment horizontal="left" vertical="top"/>
    </xf>
    <xf numFmtId="1" fontId="29" fillId="44" borderId="46" xfId="0" applyNumberFormat="1" applyFont="1" applyFill="1" applyBorder="1" applyAlignment="1">
      <alignment horizontal="center"/>
    </xf>
    <xf numFmtId="1" fontId="58" fillId="0" borderId="0" xfId="28" applyNumberFormat="1"/>
    <xf numFmtId="0" fontId="127" fillId="9" borderId="10" xfId="0" applyFont="1" applyFill="1" applyBorder="1" applyAlignment="1">
      <alignment vertical="center"/>
    </xf>
    <xf numFmtId="166" fontId="127" fillId="9" borderId="10" xfId="0" applyNumberFormat="1" applyFont="1" applyFill="1" applyBorder="1" applyAlignment="1">
      <alignment vertical="center"/>
    </xf>
    <xf numFmtId="1" fontId="127" fillId="9" borderId="10" xfId="0" applyNumberFormat="1" applyFont="1" applyFill="1" applyBorder="1" applyAlignment="1">
      <alignment vertical="center"/>
    </xf>
    <xf numFmtId="0" fontId="127" fillId="9" borderId="17" xfId="0" applyFont="1" applyFill="1" applyBorder="1" applyAlignment="1">
      <alignment vertical="center"/>
    </xf>
    <xf numFmtId="0" fontId="96" fillId="33" borderId="5" xfId="186" applyFont="1" applyFill="1" applyBorder="1" applyAlignment="1">
      <alignment horizontal="center" vertical="center"/>
    </xf>
    <xf numFmtId="17" fontId="22" fillId="9" borderId="40" xfId="186" applyNumberFormat="1" applyFont="1" applyFill="1" applyBorder="1" applyAlignment="1">
      <alignment horizontal="left" vertical="center"/>
    </xf>
    <xf numFmtId="1" fontId="101" fillId="9" borderId="38" xfId="186" applyNumberFormat="1" applyFont="1" applyFill="1" applyBorder="1" applyAlignment="1">
      <alignment horizontal="center" vertical="center"/>
    </xf>
    <xf numFmtId="1" fontId="101" fillId="9" borderId="0" xfId="186" applyNumberFormat="1" applyFont="1" applyFill="1" applyBorder="1" applyAlignment="1">
      <alignment horizontal="center" vertical="center"/>
    </xf>
    <xf numFmtId="1" fontId="96" fillId="6" borderId="53" xfId="186" applyNumberFormat="1" applyFont="1" applyFill="1" applyBorder="1" applyAlignment="1">
      <alignment horizontal="center" vertical="center"/>
    </xf>
    <xf numFmtId="1" fontId="96" fillId="7" borderId="30" xfId="186" applyNumberFormat="1" applyFont="1" applyFill="1" applyBorder="1" applyAlignment="1">
      <alignment horizontal="center" vertical="center"/>
    </xf>
    <xf numFmtId="1" fontId="96" fillId="7" borderId="45" xfId="186" applyNumberFormat="1" applyFont="1" applyFill="1" applyBorder="1" applyAlignment="1">
      <alignment horizontal="center" vertical="center"/>
    </xf>
    <xf numFmtId="1" fontId="96" fillId="8" borderId="10" xfId="186" applyNumberFormat="1" applyFont="1" applyFill="1" applyBorder="1" applyAlignment="1">
      <alignment horizontal="center" vertical="center"/>
    </xf>
    <xf numFmtId="1" fontId="97" fillId="9" borderId="36" xfId="186" applyNumberFormat="1" applyFont="1" applyFill="1" applyBorder="1" applyAlignment="1">
      <alignment horizontal="center" vertical="center"/>
    </xf>
    <xf numFmtId="1" fontId="96" fillId="9" borderId="45" xfId="186" applyNumberFormat="1" applyFont="1" applyFill="1" applyBorder="1" applyAlignment="1">
      <alignment horizontal="center" vertical="center"/>
    </xf>
    <xf numFmtId="1" fontId="96" fillId="9" borderId="72" xfId="186" applyNumberFormat="1" applyFont="1" applyFill="1" applyBorder="1" applyAlignment="1">
      <alignment horizontal="center" vertical="center"/>
    </xf>
    <xf numFmtId="17" fontId="11" fillId="43" borderId="40" xfId="186" applyNumberFormat="1" applyFont="1" applyFill="1" applyBorder="1" applyAlignment="1">
      <alignment horizontal="left" vertical="center"/>
    </xf>
    <xf numFmtId="0" fontId="96" fillId="43" borderId="38" xfId="186" applyFont="1" applyFill="1" applyBorder="1" applyAlignment="1">
      <alignment horizontal="center" vertical="center"/>
    </xf>
    <xf numFmtId="0" fontId="96" fillId="43" borderId="46" xfId="186" applyFont="1" applyFill="1" applyBorder="1" applyAlignment="1">
      <alignment horizontal="center" vertical="center"/>
    </xf>
    <xf numFmtId="0" fontId="96" fillId="43" borderId="71" xfId="186" applyFont="1" applyFill="1" applyBorder="1" applyAlignment="1">
      <alignment horizontal="center" vertical="center"/>
    </xf>
    <xf numFmtId="0" fontId="95" fillId="43" borderId="0" xfId="186" applyFill="1" applyBorder="1" applyAlignment="1">
      <alignment horizontal="left" vertical="top"/>
    </xf>
    <xf numFmtId="17" fontId="11" fillId="43" borderId="13" xfId="186" applyNumberFormat="1" applyFont="1" applyFill="1" applyBorder="1" applyAlignment="1">
      <alignment horizontal="left" vertical="center"/>
    </xf>
    <xf numFmtId="1" fontId="97" fillId="43" borderId="4" xfId="186" applyNumberFormat="1" applyFont="1" applyFill="1" applyBorder="1" applyAlignment="1">
      <alignment horizontal="center" vertical="center"/>
    </xf>
    <xf numFmtId="1" fontId="96" fillId="43" borderId="67" xfId="186" applyNumberFormat="1" applyFont="1" applyFill="1" applyBorder="1" applyAlignment="1">
      <alignment horizontal="center" vertical="center"/>
    </xf>
    <xf numFmtId="1" fontId="97" fillId="43" borderId="5" xfId="186" applyNumberFormat="1" applyFont="1" applyFill="1" applyBorder="1" applyAlignment="1">
      <alignment horizontal="center" vertical="center"/>
    </xf>
    <xf numFmtId="1" fontId="96" fillId="43" borderId="11" xfId="186" applyNumberFormat="1" applyFont="1" applyFill="1" applyBorder="1" applyAlignment="1">
      <alignment horizontal="center" vertical="center"/>
    </xf>
    <xf numFmtId="1" fontId="96" fillId="43" borderId="5" xfId="186" applyNumberFormat="1" applyFont="1" applyFill="1" applyBorder="1" applyAlignment="1">
      <alignment horizontal="center" vertical="center"/>
    </xf>
    <xf numFmtId="0" fontId="96" fillId="33" borderId="1" xfId="186" applyFont="1" applyFill="1" applyBorder="1" applyAlignment="1">
      <alignment horizontal="center" vertical="center"/>
    </xf>
    <xf numFmtId="0" fontId="96" fillId="33" borderId="11" xfId="186" applyFont="1" applyFill="1" applyBorder="1" applyAlignment="1">
      <alignment horizontal="center" vertical="center"/>
    </xf>
    <xf numFmtId="1" fontId="183" fillId="0" borderId="10" xfId="0" applyNumberFormat="1" applyFont="1" applyBorder="1" applyAlignment="1">
      <alignment horizontal="center" vertical="center"/>
    </xf>
    <xf numFmtId="2" fontId="183" fillId="0" borderId="10" xfId="0" applyNumberFormat="1" applyFont="1" applyBorder="1" applyAlignment="1">
      <alignment horizontal="center" vertical="center"/>
    </xf>
    <xf numFmtId="166" fontId="183" fillId="0" borderId="10" xfId="0" applyNumberFormat="1" applyFont="1" applyBorder="1" applyAlignment="1">
      <alignment horizontal="center" vertical="center"/>
    </xf>
    <xf numFmtId="0" fontId="183" fillId="0" borderId="10" xfId="0" applyFont="1" applyFill="1" applyBorder="1" applyAlignment="1">
      <alignment horizontal="left"/>
    </xf>
    <xf numFmtId="0" fontId="70" fillId="0" borderId="10" xfId="0" applyFont="1" applyBorder="1" applyAlignment="1">
      <alignment horizontal="right"/>
    </xf>
    <xf numFmtId="0" fontId="183" fillId="0" borderId="29" xfId="0" applyFont="1" applyBorder="1" applyAlignment="1">
      <alignment horizontal="center" vertical="center"/>
    </xf>
    <xf numFmtId="1" fontId="183" fillId="0" borderId="29" xfId="0" applyNumberFormat="1" applyFont="1" applyBorder="1" applyAlignment="1">
      <alignment horizontal="center" vertical="center"/>
    </xf>
    <xf numFmtId="1" fontId="183" fillId="0" borderId="37" xfId="0" applyNumberFormat="1" applyFont="1" applyBorder="1" applyAlignment="1">
      <alignment horizontal="center" vertical="center"/>
    </xf>
    <xf numFmtId="1" fontId="183" fillId="8" borderId="31" xfId="0" applyNumberFormat="1" applyFont="1" applyFill="1" applyBorder="1" applyAlignment="1">
      <alignment horizontal="center" vertical="center"/>
    </xf>
    <xf numFmtId="1" fontId="183" fillId="8" borderId="19" xfId="0" applyNumberFormat="1" applyFont="1" applyFill="1" applyBorder="1" applyAlignment="1">
      <alignment horizontal="center" vertical="center"/>
    </xf>
    <xf numFmtId="1" fontId="183" fillId="6" borderId="31" xfId="0" applyNumberFormat="1" applyFont="1" applyFill="1" applyBorder="1" applyAlignment="1">
      <alignment horizontal="center" vertical="center"/>
    </xf>
    <xf numFmtId="1" fontId="183" fillId="6" borderId="19" xfId="0" applyNumberFormat="1" applyFont="1" applyFill="1" applyBorder="1" applyAlignment="1">
      <alignment horizontal="center" vertical="center"/>
    </xf>
    <xf numFmtId="1" fontId="183" fillId="9" borderId="29" xfId="0" applyNumberFormat="1" applyFont="1" applyFill="1" applyBorder="1" applyAlignment="1">
      <alignment horizontal="center" vertical="center"/>
    </xf>
    <xf numFmtId="1" fontId="183" fillId="9" borderId="37" xfId="0" applyNumberFormat="1" applyFont="1" applyFill="1" applyBorder="1" applyAlignment="1">
      <alignment horizontal="center" vertical="center"/>
    </xf>
    <xf numFmtId="1" fontId="183" fillId="7" borderId="31" xfId="0" applyNumberFormat="1" applyFont="1" applyFill="1" applyBorder="1" applyAlignment="1">
      <alignment horizontal="center" vertical="center"/>
    </xf>
    <xf numFmtId="1" fontId="183" fillId="7" borderId="19" xfId="0" applyNumberFormat="1" applyFont="1" applyFill="1" applyBorder="1" applyAlignment="1">
      <alignment horizontal="center" vertical="center"/>
    </xf>
    <xf numFmtId="166" fontId="183" fillId="0" borderId="29" xfId="0" applyNumberFormat="1" applyFont="1" applyBorder="1" applyAlignment="1">
      <alignment horizontal="center" vertical="center"/>
    </xf>
    <xf numFmtId="166" fontId="183" fillId="0" borderId="37" xfId="0" applyNumberFormat="1" applyFont="1" applyBorder="1" applyAlignment="1">
      <alignment horizontal="center" vertical="center"/>
    </xf>
    <xf numFmtId="166" fontId="183" fillId="8" borderId="31" xfId="0" applyNumberFormat="1" applyFont="1" applyFill="1" applyBorder="1" applyAlignment="1">
      <alignment horizontal="center" vertical="center"/>
    </xf>
    <xf numFmtId="166" fontId="183" fillId="8" borderId="19" xfId="0" applyNumberFormat="1" applyFont="1" applyFill="1" applyBorder="1" applyAlignment="1">
      <alignment horizontal="center" vertical="center"/>
    </xf>
    <xf numFmtId="166" fontId="183" fillId="6" borderId="31" xfId="0" applyNumberFormat="1" applyFont="1" applyFill="1" applyBorder="1" applyAlignment="1">
      <alignment horizontal="center" vertical="center"/>
    </xf>
    <xf numFmtId="166" fontId="183" fillId="6" borderId="19" xfId="0" applyNumberFormat="1" applyFont="1" applyFill="1" applyBorder="1" applyAlignment="1">
      <alignment horizontal="center" vertical="center"/>
    </xf>
    <xf numFmtId="166" fontId="183" fillId="9" borderId="29" xfId="0" applyNumberFormat="1" applyFont="1" applyFill="1" applyBorder="1" applyAlignment="1">
      <alignment horizontal="center" vertical="center"/>
    </xf>
    <xf numFmtId="166" fontId="183" fillId="9" borderId="37" xfId="0" applyNumberFormat="1" applyFont="1" applyFill="1" applyBorder="1" applyAlignment="1">
      <alignment horizontal="center" vertical="center"/>
    </xf>
    <xf numFmtId="166" fontId="183" fillId="7" borderId="31" xfId="0" applyNumberFormat="1" applyFont="1" applyFill="1" applyBorder="1" applyAlignment="1">
      <alignment horizontal="center" vertical="center"/>
    </xf>
    <xf numFmtId="166" fontId="183" fillId="7" borderId="19" xfId="0" applyNumberFormat="1" applyFont="1" applyFill="1" applyBorder="1" applyAlignment="1">
      <alignment horizontal="center" vertical="center"/>
    </xf>
    <xf numFmtId="0" fontId="129" fillId="0" borderId="10" xfId="0" applyFont="1" applyBorder="1"/>
    <xf numFmtId="0" fontId="70" fillId="0" borderId="29" xfId="0" applyFont="1" applyBorder="1"/>
    <xf numFmtId="0" fontId="70" fillId="0" borderId="29" xfId="0" applyFont="1" applyBorder="1" applyAlignment="1">
      <alignment horizontal="center" vertical="center"/>
    </xf>
    <xf numFmtId="0" fontId="70" fillId="0" borderId="10" xfId="0" applyFont="1" applyBorder="1"/>
    <xf numFmtId="0" fontId="70" fillId="0" borderId="0" xfId="0" applyFont="1" applyBorder="1"/>
    <xf numFmtId="0" fontId="128" fillId="0" borderId="10" xfId="0" applyFont="1" applyBorder="1" applyAlignment="1">
      <alignment horizontal="left"/>
    </xf>
    <xf numFmtId="0" fontId="70" fillId="0" borderId="29" xfId="0" applyFont="1" applyBorder="1" applyAlignment="1">
      <alignment horizontal="center"/>
    </xf>
    <xf numFmtId="2" fontId="183" fillId="0" borderId="29" xfId="0" applyNumberFormat="1" applyFont="1" applyBorder="1" applyAlignment="1">
      <alignment horizontal="center" vertical="center"/>
    </xf>
    <xf numFmtId="2" fontId="183" fillId="0" borderId="37" xfId="0" applyNumberFormat="1" applyFont="1" applyBorder="1" applyAlignment="1">
      <alignment horizontal="center" vertical="center"/>
    </xf>
    <xf numFmtId="2" fontId="183" fillId="8" borderId="31" xfId="0" applyNumberFormat="1" applyFont="1" applyFill="1" applyBorder="1" applyAlignment="1">
      <alignment horizontal="center" vertical="center"/>
    </xf>
    <xf numFmtId="2" fontId="183" fillId="8" borderId="19" xfId="0" applyNumberFormat="1" applyFont="1" applyFill="1" applyBorder="1" applyAlignment="1">
      <alignment horizontal="center" vertical="center"/>
    </xf>
    <xf numFmtId="2" fontId="183" fillId="6" borderId="31" xfId="0" applyNumberFormat="1" applyFont="1" applyFill="1" applyBorder="1" applyAlignment="1">
      <alignment horizontal="center" vertical="center"/>
    </xf>
    <xf numFmtId="2" fontId="183" fillId="6" borderId="19" xfId="0" applyNumberFormat="1" applyFont="1" applyFill="1" applyBorder="1" applyAlignment="1">
      <alignment horizontal="center" vertical="center"/>
    </xf>
    <xf numFmtId="2" fontId="183" fillId="9" borderId="29" xfId="0" applyNumberFormat="1" applyFont="1" applyFill="1" applyBorder="1" applyAlignment="1">
      <alignment horizontal="center" vertical="center"/>
    </xf>
    <xf numFmtId="2" fontId="183" fillId="9" borderId="37" xfId="0" applyNumberFormat="1" applyFont="1" applyFill="1" applyBorder="1" applyAlignment="1">
      <alignment horizontal="center" vertical="center"/>
    </xf>
    <xf numFmtId="2" fontId="183" fillId="7" borderId="31" xfId="0" applyNumberFormat="1" applyFont="1" applyFill="1" applyBorder="1" applyAlignment="1">
      <alignment horizontal="center" vertical="center"/>
    </xf>
    <xf numFmtId="2" fontId="183" fillId="7" borderId="19" xfId="0" applyNumberFormat="1" applyFont="1" applyFill="1" applyBorder="1" applyAlignment="1">
      <alignment horizontal="center" vertical="center"/>
    </xf>
    <xf numFmtId="0" fontId="38" fillId="9" borderId="0" xfId="0" applyFont="1" applyFill="1"/>
    <xf numFmtId="0" fontId="15" fillId="9" borderId="0" xfId="0" applyFont="1" applyFill="1"/>
    <xf numFmtId="1" fontId="43" fillId="0" borderId="0" xfId="0" applyNumberFormat="1" applyFont="1" applyAlignment="1">
      <alignment horizontal="center" vertical="center"/>
    </xf>
    <xf numFmtId="1" fontId="43" fillId="9" borderId="0" xfId="0" applyNumberFormat="1" applyFont="1" applyFill="1" applyAlignment="1">
      <alignment horizontal="center" vertical="center"/>
    </xf>
    <xf numFmtId="1" fontId="0" fillId="9" borderId="0" xfId="0" applyNumberFormat="1" applyFont="1" applyFill="1" applyAlignment="1">
      <alignment horizontal="center" vertical="center"/>
    </xf>
    <xf numFmtId="0" fontId="0" fillId="9" borderId="0" xfId="0" applyFont="1" applyFill="1"/>
    <xf numFmtId="0" fontId="33" fillId="7" borderId="10" xfId="0" applyFont="1" applyFill="1" applyBorder="1" applyAlignment="1">
      <alignment horizontal="center" vertical="center"/>
    </xf>
    <xf numFmtId="0" fontId="55" fillId="9" borderId="10" xfId="0" applyFont="1" applyFill="1" applyBorder="1" applyAlignment="1">
      <alignment vertical="center"/>
    </xf>
    <xf numFmtId="0" fontId="15" fillId="0" borderId="10" xfId="0" applyFont="1" applyBorder="1" applyAlignment="1">
      <alignment horizontal="right" vertical="center"/>
    </xf>
    <xf numFmtId="1" fontId="15" fillId="0" borderId="10" xfId="0" applyNumberFormat="1" applyFont="1" applyBorder="1" applyAlignment="1">
      <alignment horizontal="center" vertical="center"/>
    </xf>
    <xf numFmtId="1" fontId="15" fillId="8" borderId="10" xfId="0" applyNumberFormat="1" applyFont="1" applyFill="1" applyBorder="1" applyAlignment="1">
      <alignment horizontal="center" vertical="center"/>
    </xf>
    <xf numFmtId="0" fontId="15" fillId="8" borderId="10" xfId="0" applyFont="1" applyFill="1" applyBorder="1" applyAlignment="1">
      <alignment horizontal="center" vertical="center"/>
    </xf>
    <xf numFmtId="1" fontId="15" fillId="6" borderId="10" xfId="0" applyNumberFormat="1" applyFont="1" applyFill="1" applyBorder="1" applyAlignment="1">
      <alignment horizontal="center" vertical="center"/>
    </xf>
    <xf numFmtId="0" fontId="15" fillId="6" borderId="10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right" vertical="center"/>
    </xf>
    <xf numFmtId="0" fontId="18" fillId="0" borderId="10" xfId="0" applyFont="1" applyBorder="1" applyAlignment="1">
      <alignment horizontal="center" vertical="center"/>
    </xf>
    <xf numFmtId="1" fontId="18" fillId="0" borderId="10" xfId="0" applyNumberFormat="1" applyFont="1" applyBorder="1" applyAlignment="1">
      <alignment horizontal="center" vertical="center"/>
    </xf>
    <xf numFmtId="0" fontId="18" fillId="9" borderId="10" xfId="0" applyFont="1" applyFill="1" applyBorder="1" applyAlignment="1">
      <alignment horizontal="center" vertical="center"/>
    </xf>
    <xf numFmtId="1" fontId="18" fillId="8" borderId="10" xfId="0" applyNumberFormat="1" applyFont="1" applyFill="1" applyBorder="1" applyAlignment="1">
      <alignment horizontal="center" vertical="center"/>
    </xf>
    <xf numFmtId="0" fontId="18" fillId="8" borderId="10" xfId="0" applyFont="1" applyFill="1" applyBorder="1" applyAlignment="1">
      <alignment horizontal="center" vertical="center"/>
    </xf>
    <xf numFmtId="1" fontId="18" fillId="6" borderId="10" xfId="0" applyNumberFormat="1" applyFont="1" applyFill="1" applyBorder="1" applyAlignment="1">
      <alignment horizontal="center" vertical="center"/>
    </xf>
    <xf numFmtId="1" fontId="18" fillId="7" borderId="10" xfId="0" applyNumberFormat="1" applyFont="1" applyFill="1" applyBorder="1" applyAlignment="1">
      <alignment horizontal="center" vertical="center"/>
    </xf>
    <xf numFmtId="0" fontId="18" fillId="7" borderId="10" xfId="0" applyFont="1" applyFill="1" applyBorder="1" applyAlignment="1">
      <alignment horizontal="center" vertical="center"/>
    </xf>
    <xf numFmtId="2" fontId="15" fillId="0" borderId="10" xfId="0" applyNumberFormat="1" applyFont="1" applyBorder="1" applyAlignment="1">
      <alignment horizontal="center" vertical="center"/>
    </xf>
    <xf numFmtId="2" fontId="15" fillId="8" borderId="10" xfId="0" applyNumberFormat="1" applyFont="1" applyFill="1" applyBorder="1" applyAlignment="1">
      <alignment horizontal="center" vertical="center"/>
    </xf>
    <xf numFmtId="166" fontId="15" fillId="0" borderId="10" xfId="0" applyNumberFormat="1" applyFont="1" applyBorder="1" applyAlignment="1">
      <alignment horizontal="center" vertical="center"/>
    </xf>
    <xf numFmtId="166" fontId="15" fillId="6" borderId="10" xfId="0" applyNumberFormat="1" applyFont="1" applyFill="1" applyBorder="1" applyAlignment="1">
      <alignment horizontal="center" vertical="center"/>
    </xf>
    <xf numFmtId="0" fontId="15" fillId="7" borderId="10" xfId="0" applyFont="1" applyFill="1" applyBorder="1" applyAlignment="1">
      <alignment horizontal="center" vertical="center"/>
    </xf>
    <xf numFmtId="166" fontId="15" fillId="8" borderId="10" xfId="0" applyNumberFormat="1" applyFont="1" applyFill="1" applyBorder="1" applyAlignment="1">
      <alignment horizontal="center" vertical="center"/>
    </xf>
    <xf numFmtId="166" fontId="15" fillId="7" borderId="10" xfId="0" applyNumberFormat="1" applyFont="1" applyFill="1" applyBorder="1" applyAlignment="1">
      <alignment horizontal="center" vertical="center"/>
    </xf>
    <xf numFmtId="0" fontId="55" fillId="9" borderId="10" xfId="0" applyFont="1" applyFill="1" applyBorder="1" applyAlignment="1">
      <alignment horizontal="center" vertical="center"/>
    </xf>
    <xf numFmtId="0" fontId="15" fillId="9" borderId="10" xfId="0" applyFont="1" applyFill="1" applyBorder="1" applyAlignment="1">
      <alignment horizontal="center" vertical="center"/>
    </xf>
    <xf numFmtId="166" fontId="15" fillId="9" borderId="10" xfId="0" applyNumberFormat="1" applyFont="1" applyFill="1" applyBorder="1" applyAlignment="1">
      <alignment horizontal="center" vertical="center"/>
    </xf>
    <xf numFmtId="2" fontId="15" fillId="9" borderId="10" xfId="0" applyNumberFormat="1" applyFont="1" applyFill="1" applyBorder="1" applyAlignment="1">
      <alignment horizontal="center" vertical="center"/>
    </xf>
    <xf numFmtId="2" fontId="15" fillId="6" borderId="10" xfId="0" applyNumberFormat="1" applyFont="1" applyFill="1" applyBorder="1" applyAlignment="1">
      <alignment horizontal="center" vertical="center"/>
    </xf>
    <xf numFmtId="2" fontId="15" fillId="7" borderId="10" xfId="0" applyNumberFormat="1" applyFont="1" applyFill="1" applyBorder="1" applyAlignment="1">
      <alignment horizontal="center" vertical="center"/>
    </xf>
    <xf numFmtId="169" fontId="15" fillId="9" borderId="10" xfId="0" applyNumberFormat="1" applyFont="1" applyFill="1" applyBorder="1" applyAlignment="1">
      <alignment horizontal="center" vertical="center"/>
    </xf>
    <xf numFmtId="169" fontId="15" fillId="8" borderId="10" xfId="0" applyNumberFormat="1" applyFont="1" applyFill="1" applyBorder="1" applyAlignment="1">
      <alignment horizontal="center" vertical="center"/>
    </xf>
    <xf numFmtId="169" fontId="15" fillId="6" borderId="10" xfId="0" applyNumberFormat="1" applyFont="1" applyFill="1" applyBorder="1" applyAlignment="1">
      <alignment horizontal="center" vertical="center"/>
    </xf>
    <xf numFmtId="168" fontId="15" fillId="9" borderId="10" xfId="0" applyNumberFormat="1" applyFont="1" applyFill="1" applyBorder="1" applyAlignment="1">
      <alignment horizontal="center" vertical="center"/>
    </xf>
    <xf numFmtId="169" fontId="15" fillId="7" borderId="10" xfId="0" applyNumberFormat="1" applyFont="1" applyFill="1" applyBorder="1" applyAlignment="1">
      <alignment horizontal="center" vertical="center"/>
    </xf>
    <xf numFmtId="168" fontId="15" fillId="7" borderId="10" xfId="0" applyNumberFormat="1" applyFont="1" applyFill="1" applyBorder="1" applyAlignment="1">
      <alignment horizontal="center" vertical="center"/>
    </xf>
    <xf numFmtId="1" fontId="18" fillId="9" borderId="10" xfId="0" applyNumberFormat="1" applyFont="1" applyFill="1" applyBorder="1" applyAlignment="1">
      <alignment horizontal="center" vertical="center"/>
    </xf>
    <xf numFmtId="1" fontId="27" fillId="0" borderId="10" xfId="0" applyNumberFormat="1" applyFont="1" applyBorder="1" applyAlignment="1">
      <alignment horizontal="center" vertical="center"/>
    </xf>
    <xf numFmtId="1" fontId="27" fillId="9" borderId="10" xfId="0" applyNumberFormat="1" applyFont="1" applyFill="1" applyBorder="1" applyAlignment="1">
      <alignment horizontal="center" vertical="center"/>
    </xf>
    <xf numFmtId="0" fontId="27" fillId="47" borderId="41" xfId="0" applyFont="1" applyFill="1" applyBorder="1" applyAlignment="1">
      <alignment horizontal="center" vertical="center"/>
    </xf>
    <xf numFmtId="0" fontId="27" fillId="47" borderId="42" xfId="0" applyFont="1" applyFill="1" applyBorder="1" applyAlignment="1">
      <alignment horizontal="center" vertical="center"/>
    </xf>
    <xf numFmtId="1" fontId="26" fillId="0" borderId="10" xfId="0" applyNumberFormat="1" applyFont="1" applyBorder="1" applyAlignment="1">
      <alignment horizontal="center" vertical="center"/>
    </xf>
    <xf numFmtId="1" fontId="26" fillId="9" borderId="10" xfId="0" applyNumberFormat="1" applyFont="1" applyFill="1" applyBorder="1" applyAlignment="1">
      <alignment horizontal="center" vertical="center"/>
    </xf>
    <xf numFmtId="1" fontId="26" fillId="47" borderId="10" xfId="0" applyNumberFormat="1" applyFont="1" applyFill="1" applyBorder="1" applyAlignment="1">
      <alignment horizontal="center" vertical="center"/>
    </xf>
    <xf numFmtId="1" fontId="26" fillId="47" borderId="17" xfId="0" applyNumberFormat="1" applyFont="1" applyFill="1" applyBorder="1" applyAlignment="1">
      <alignment horizontal="center" vertical="center"/>
    </xf>
    <xf numFmtId="1" fontId="26" fillId="8" borderId="10" xfId="0" applyNumberFormat="1" applyFont="1" applyFill="1" applyBorder="1" applyAlignment="1">
      <alignment horizontal="center" vertical="center"/>
    </xf>
    <xf numFmtId="1" fontId="26" fillId="6" borderId="10" xfId="0" applyNumberFormat="1" applyFont="1" applyFill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8" borderId="41" xfId="0" applyFont="1" applyFill="1" applyBorder="1" applyAlignment="1">
      <alignment horizontal="center" vertical="center"/>
    </xf>
    <xf numFmtId="1" fontId="26" fillId="7" borderId="10" xfId="0" applyNumberFormat="1" applyFont="1" applyFill="1" applyBorder="1" applyAlignment="1">
      <alignment horizontal="center" vertical="center"/>
    </xf>
    <xf numFmtId="0" fontId="27" fillId="7" borderId="41" xfId="0" applyFont="1" applyFill="1" applyBorder="1" applyAlignment="1">
      <alignment horizontal="center" vertical="center"/>
    </xf>
    <xf numFmtId="0" fontId="27" fillId="6" borderId="41" xfId="0" applyFont="1" applyFill="1" applyBorder="1" applyAlignment="1">
      <alignment horizontal="center" vertical="center"/>
    </xf>
    <xf numFmtId="0" fontId="33" fillId="0" borderId="18" xfId="0" applyFont="1" applyBorder="1" applyAlignment="1">
      <alignment horizontal="left" vertical="center"/>
    </xf>
    <xf numFmtId="0" fontId="33" fillId="0" borderId="12" xfId="0" applyFont="1" applyBorder="1" applyAlignment="1">
      <alignment horizontal="left" vertical="center"/>
    </xf>
    <xf numFmtId="0" fontId="33" fillId="0" borderId="3" xfId="0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7" fillId="7" borderId="1" xfId="0" applyFont="1" applyFill="1" applyBorder="1" applyAlignment="1">
      <alignment horizontal="center" vertical="center"/>
    </xf>
    <xf numFmtId="0" fontId="27" fillId="7" borderId="11" xfId="0" applyFont="1" applyFill="1" applyBorder="1" applyAlignment="1">
      <alignment horizontal="center" vertical="center"/>
    </xf>
    <xf numFmtId="1" fontId="27" fillId="7" borderId="62" xfId="0" applyNumberFormat="1" applyFont="1" applyFill="1" applyBorder="1" applyAlignment="1">
      <alignment horizontal="center" vertical="center"/>
    </xf>
    <xf numFmtId="1" fontId="27" fillId="7" borderId="74" xfId="0" applyNumberFormat="1" applyFont="1" applyFill="1" applyBorder="1" applyAlignment="1">
      <alignment horizontal="center" vertical="center"/>
    </xf>
    <xf numFmtId="1" fontId="27" fillId="7" borderId="9" xfId="0" applyNumberFormat="1" applyFont="1" applyFill="1" applyBorder="1" applyAlignment="1">
      <alignment horizontal="center" vertical="center"/>
    </xf>
    <xf numFmtId="1" fontId="27" fillId="0" borderId="62" xfId="0" applyNumberFormat="1" applyFont="1" applyBorder="1" applyAlignment="1">
      <alignment horizontal="center" vertical="center"/>
    </xf>
    <xf numFmtId="1" fontId="27" fillId="0" borderId="74" xfId="0" applyNumberFormat="1" applyFont="1" applyBorder="1" applyAlignment="1">
      <alignment horizontal="center" vertical="center"/>
    </xf>
    <xf numFmtId="1" fontId="27" fillId="0" borderId="9" xfId="0" applyNumberFormat="1" applyFont="1" applyBorder="1" applyAlignment="1">
      <alignment horizontal="center" vertical="center"/>
    </xf>
    <xf numFmtId="0" fontId="27" fillId="6" borderId="1" xfId="0" applyFont="1" applyFill="1" applyBorder="1" applyAlignment="1">
      <alignment horizontal="center" vertical="center"/>
    </xf>
    <xf numFmtId="0" fontId="27" fillId="6" borderId="11" xfId="0" applyFont="1" applyFill="1" applyBorder="1" applyAlignment="1">
      <alignment horizontal="center" vertical="center"/>
    </xf>
    <xf numFmtId="1" fontId="27" fillId="6" borderId="62" xfId="0" applyNumberFormat="1" applyFont="1" applyFill="1" applyBorder="1" applyAlignment="1">
      <alignment horizontal="center" vertical="center"/>
    </xf>
    <xf numFmtId="1" fontId="27" fillId="6" borderId="74" xfId="0" applyNumberFormat="1" applyFont="1" applyFill="1" applyBorder="1" applyAlignment="1">
      <alignment horizontal="center" vertical="center"/>
    </xf>
    <xf numFmtId="1" fontId="27" fillId="6" borderId="9" xfId="0" applyNumberFormat="1" applyFont="1" applyFill="1" applyBorder="1" applyAlignment="1">
      <alignment horizontal="center" vertical="center"/>
    </xf>
    <xf numFmtId="1" fontId="27" fillId="8" borderId="62" xfId="0" applyNumberFormat="1" applyFont="1" applyFill="1" applyBorder="1" applyAlignment="1">
      <alignment horizontal="center" vertical="center"/>
    </xf>
    <xf numFmtId="1" fontId="27" fillId="8" borderId="74" xfId="0" applyNumberFormat="1" applyFont="1" applyFill="1" applyBorder="1" applyAlignment="1">
      <alignment horizontal="center" vertical="center"/>
    </xf>
    <xf numFmtId="1" fontId="27" fillId="8" borderId="9" xfId="0" applyNumberFormat="1" applyFont="1" applyFill="1" applyBorder="1" applyAlignment="1">
      <alignment horizontal="center" vertical="center"/>
    </xf>
    <xf numFmtId="1" fontId="27" fillId="6" borderId="62" xfId="0" applyNumberFormat="1" applyFont="1" applyFill="1" applyBorder="1" applyAlignment="1">
      <alignment horizontal="center"/>
    </xf>
    <xf numFmtId="1" fontId="27" fillId="6" borderId="74" xfId="0" applyNumberFormat="1" applyFont="1" applyFill="1" applyBorder="1" applyAlignment="1">
      <alignment horizontal="center"/>
    </xf>
    <xf numFmtId="1" fontId="27" fillId="6" borderId="9" xfId="0" applyNumberFormat="1" applyFont="1" applyFill="1" applyBorder="1" applyAlignment="1">
      <alignment horizontal="center"/>
    </xf>
    <xf numFmtId="0" fontId="27" fillId="0" borderId="74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27" fillId="0" borderId="76" xfId="0" applyFont="1" applyBorder="1" applyAlignment="1">
      <alignment horizontal="left" vertical="center" wrapText="1"/>
    </xf>
    <xf numFmtId="0" fontId="27" fillId="0" borderId="9" xfId="0" applyFont="1" applyBorder="1" applyAlignment="1">
      <alignment horizontal="left" vertical="center" wrapText="1"/>
    </xf>
    <xf numFmtId="0" fontId="27" fillId="0" borderId="85" xfId="0" applyFont="1" applyBorder="1" applyAlignment="1">
      <alignment horizontal="center" vertical="center"/>
    </xf>
    <xf numFmtId="0" fontId="27" fillId="0" borderId="73" xfId="0" applyFont="1" applyBorder="1" applyAlignment="1">
      <alignment horizontal="center" vertical="center"/>
    </xf>
    <xf numFmtId="0" fontId="27" fillId="0" borderId="55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8" borderId="1" xfId="0" applyFont="1" applyFill="1" applyBorder="1" applyAlignment="1">
      <alignment horizontal="center" vertical="center"/>
    </xf>
    <xf numFmtId="0" fontId="27" fillId="8" borderId="11" xfId="0" applyFont="1" applyFill="1" applyBorder="1" applyAlignment="1">
      <alignment horizontal="center" vertical="center"/>
    </xf>
    <xf numFmtId="0" fontId="27" fillId="0" borderId="25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 vertical="center"/>
    </xf>
    <xf numFmtId="0" fontId="27" fillId="6" borderId="4" xfId="0" applyFont="1" applyFill="1" applyBorder="1" applyAlignment="1">
      <alignment horizontal="center" vertical="center"/>
    </xf>
    <xf numFmtId="1" fontId="27" fillId="0" borderId="36" xfId="0" applyNumberFormat="1" applyFont="1" applyBorder="1" applyAlignment="1">
      <alignment horizontal="center" vertical="center"/>
    </xf>
    <xf numFmtId="1" fontId="27" fillId="0" borderId="38" xfId="0" applyNumberFormat="1" applyFont="1" applyBorder="1" applyAlignment="1">
      <alignment horizontal="center" vertical="center"/>
    </xf>
    <xf numFmtId="1" fontId="27" fillId="0" borderId="69" xfId="0" applyNumberFormat="1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7" fillId="0" borderId="57" xfId="0" applyFont="1" applyBorder="1" applyAlignment="1">
      <alignment horizontal="center" vertical="center"/>
    </xf>
    <xf numFmtId="0" fontId="27" fillId="47" borderId="1" xfId="0" applyFont="1" applyFill="1" applyBorder="1" applyAlignment="1">
      <alignment horizontal="center" vertical="center"/>
    </xf>
    <xf numFmtId="0" fontId="27" fillId="47" borderId="11" xfId="0" applyFont="1" applyFill="1" applyBorder="1" applyAlignment="1">
      <alignment horizontal="center" vertical="center"/>
    </xf>
    <xf numFmtId="1" fontId="27" fillId="47" borderId="36" xfId="0" applyNumberFormat="1" applyFont="1" applyFill="1" applyBorder="1" applyAlignment="1">
      <alignment horizontal="center" vertical="center"/>
    </xf>
    <xf numFmtId="1" fontId="27" fillId="47" borderId="38" xfId="0" applyNumberFormat="1" applyFont="1" applyFill="1" applyBorder="1" applyAlignment="1">
      <alignment horizontal="center" vertical="center"/>
    </xf>
    <xf numFmtId="1" fontId="27" fillId="47" borderId="69" xfId="0" applyNumberFormat="1" applyFont="1" applyFill="1" applyBorder="1" applyAlignment="1">
      <alignment horizontal="center" vertical="center"/>
    </xf>
    <xf numFmtId="1" fontId="27" fillId="47" borderId="76" xfId="0" applyNumberFormat="1" applyFont="1" applyFill="1" applyBorder="1" applyAlignment="1">
      <alignment horizontal="center" vertical="center"/>
    </xf>
    <xf numFmtId="1" fontId="27" fillId="47" borderId="74" xfId="0" applyNumberFormat="1" applyFont="1" applyFill="1" applyBorder="1" applyAlignment="1">
      <alignment horizontal="center" vertical="center"/>
    </xf>
    <xf numFmtId="1" fontId="27" fillId="47" borderId="9" xfId="0" applyNumberFormat="1" applyFont="1" applyFill="1" applyBorder="1" applyAlignment="1">
      <alignment horizontal="center" vertical="center"/>
    </xf>
    <xf numFmtId="1" fontId="27" fillId="8" borderId="62" xfId="0" applyNumberFormat="1" applyFont="1" applyFill="1" applyBorder="1" applyAlignment="1">
      <alignment horizontal="center"/>
    </xf>
    <xf numFmtId="1" fontId="27" fillId="8" borderId="74" xfId="0" applyNumberFormat="1" applyFont="1" applyFill="1" applyBorder="1" applyAlignment="1">
      <alignment horizontal="center"/>
    </xf>
    <xf numFmtId="1" fontId="27" fillId="8" borderId="9" xfId="0" applyNumberFormat="1" applyFont="1" applyFill="1" applyBorder="1" applyAlignment="1">
      <alignment horizontal="center"/>
    </xf>
    <xf numFmtId="0" fontId="27" fillId="47" borderId="74" xfId="0" applyFont="1" applyFill="1" applyBorder="1" applyAlignment="1">
      <alignment horizontal="center" vertical="center"/>
    </xf>
    <xf numFmtId="0" fontId="27" fillId="47" borderId="9" xfId="0" applyFont="1" applyFill="1" applyBorder="1" applyAlignment="1">
      <alignment horizontal="center" vertical="center"/>
    </xf>
    <xf numFmtId="0" fontId="27" fillId="8" borderId="66" xfId="0" applyFont="1" applyFill="1" applyBorder="1" applyAlignment="1">
      <alignment horizontal="center" vertical="center"/>
    </xf>
    <xf numFmtId="0" fontId="27" fillId="0" borderId="63" xfId="0" applyFont="1" applyBorder="1" applyAlignment="1">
      <alignment horizontal="center" vertical="center"/>
    </xf>
    <xf numFmtId="0" fontId="27" fillId="0" borderId="42" xfId="0" applyFont="1" applyBorder="1" applyAlignment="1">
      <alignment horizontal="center" vertical="center"/>
    </xf>
    <xf numFmtId="0" fontId="27" fillId="6" borderId="63" xfId="0" applyFont="1" applyFill="1" applyBorder="1" applyAlignment="1">
      <alignment horizontal="center" vertical="center"/>
    </xf>
    <xf numFmtId="0" fontId="27" fillId="6" borderId="42" xfId="0" applyFont="1" applyFill="1" applyBorder="1" applyAlignment="1">
      <alignment horizontal="center" vertical="center"/>
    </xf>
    <xf numFmtId="0" fontId="27" fillId="8" borderId="4" xfId="0" applyFont="1" applyFill="1" applyBorder="1" applyAlignment="1">
      <alignment horizontal="center" vertical="center"/>
    </xf>
    <xf numFmtId="0" fontId="27" fillId="7" borderId="66" xfId="0" applyFont="1" applyFill="1" applyBorder="1" applyAlignment="1">
      <alignment horizontal="center" vertical="center"/>
    </xf>
    <xf numFmtId="0" fontId="27" fillId="7" borderId="3" xfId="0" applyFont="1" applyFill="1" applyBorder="1" applyAlignment="1">
      <alignment horizontal="center" vertical="center"/>
    </xf>
    <xf numFmtId="0" fontId="26" fillId="0" borderId="31" xfId="0" applyFont="1" applyBorder="1" applyAlignment="1">
      <alignment horizontal="left" vertical="center"/>
    </xf>
    <xf numFmtId="0" fontId="27" fillId="0" borderId="63" xfId="0" applyFont="1" applyBorder="1" applyAlignment="1">
      <alignment horizontal="left" vertical="center"/>
    </xf>
    <xf numFmtId="0" fontId="27" fillId="0" borderId="32" xfId="0" applyFont="1" applyBorder="1" applyAlignment="1">
      <alignment horizontal="left" vertical="center"/>
    </xf>
    <xf numFmtId="0" fontId="27" fillId="0" borderId="23" xfId="0" applyFont="1" applyBorder="1" applyAlignment="1">
      <alignment horizontal="center" vertical="center"/>
    </xf>
    <xf numFmtId="0" fontId="27" fillId="6" borderId="25" xfId="0" applyFont="1" applyFill="1" applyBorder="1" applyAlignment="1">
      <alignment horizontal="center" vertical="center"/>
    </xf>
    <xf numFmtId="0" fontId="27" fillId="6" borderId="21" xfId="0" applyFont="1" applyFill="1" applyBorder="1" applyAlignment="1">
      <alignment horizontal="center" vertical="center"/>
    </xf>
    <xf numFmtId="0" fontId="27" fillId="7" borderId="4" xfId="0" applyFont="1" applyFill="1" applyBorder="1" applyAlignment="1">
      <alignment horizontal="center" vertical="center"/>
    </xf>
    <xf numFmtId="0" fontId="28" fillId="0" borderId="10" xfId="0" applyFont="1" applyBorder="1" applyAlignment="1">
      <alignment horizontal="center" vertical="center" wrapText="1"/>
    </xf>
    <xf numFmtId="0" fontId="27" fillId="8" borderId="25" xfId="0" applyFont="1" applyFill="1" applyBorder="1" applyAlignment="1">
      <alignment horizontal="center" vertical="center"/>
    </xf>
    <xf numFmtId="0" fontId="27" fillId="8" borderId="21" xfId="0" applyFont="1" applyFill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7" fillId="8" borderId="67" xfId="0" applyFont="1" applyFill="1" applyBorder="1" applyAlignment="1">
      <alignment horizontal="center" vertical="center"/>
    </xf>
    <xf numFmtId="0" fontId="103" fillId="0" borderId="0" xfId="0" applyFont="1" applyBorder="1" applyAlignment="1">
      <alignment horizontal="center"/>
    </xf>
    <xf numFmtId="0" fontId="27" fillId="9" borderId="4" xfId="0" applyFont="1" applyFill="1" applyBorder="1" applyAlignment="1">
      <alignment horizontal="center" vertical="center"/>
    </xf>
    <xf numFmtId="0" fontId="27" fillId="9" borderId="11" xfId="0" applyFont="1" applyFill="1" applyBorder="1" applyAlignment="1">
      <alignment horizontal="center" vertical="center"/>
    </xf>
    <xf numFmtId="0" fontId="5" fillId="6" borderId="55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7" borderId="55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8" borderId="55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48" borderId="55" xfId="0" applyFont="1" applyFill="1" applyBorder="1" applyAlignment="1">
      <alignment horizontal="center" vertical="center"/>
    </xf>
    <xf numFmtId="0" fontId="5" fillId="48" borderId="4" xfId="0" applyFont="1" applyFill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103" fillId="0" borderId="0" xfId="0" applyFont="1" applyAlignment="1">
      <alignment horizontal="center"/>
    </xf>
    <xf numFmtId="0" fontId="5" fillId="0" borderId="76" xfId="0" applyFont="1" applyBorder="1" applyAlignment="1">
      <alignment horizontal="left" vertical="center"/>
    </xf>
    <xf numFmtId="0" fontId="5" fillId="0" borderId="74" xfId="0" applyFont="1" applyBorder="1" applyAlignment="1">
      <alignment horizontal="left" vertical="center"/>
    </xf>
    <xf numFmtId="0" fontId="5" fillId="0" borderId="85" xfId="0" applyFont="1" applyBorder="1" applyAlignment="1">
      <alignment horizontal="center" vertical="center"/>
    </xf>
    <xf numFmtId="0" fontId="5" fillId="0" borderId="7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23" fillId="9" borderId="45" xfId="0" applyFont="1" applyFill="1" applyBorder="1" applyAlignment="1">
      <alignment horizontal="center" vertical="center"/>
    </xf>
    <xf numFmtId="0" fontId="23" fillId="9" borderId="46" xfId="0" applyFont="1" applyFill="1" applyBorder="1" applyAlignment="1">
      <alignment horizontal="center" vertical="center"/>
    </xf>
    <xf numFmtId="0" fontId="23" fillId="9" borderId="30" xfId="0" applyFont="1" applyFill="1" applyBorder="1" applyAlignment="1">
      <alignment horizontal="center" vertical="center"/>
    </xf>
    <xf numFmtId="0" fontId="110" fillId="9" borderId="45" xfId="0" applyFont="1" applyFill="1" applyBorder="1" applyAlignment="1">
      <alignment horizontal="center" vertical="center"/>
    </xf>
    <xf numFmtId="0" fontId="110" fillId="9" borderId="46" xfId="0" applyFont="1" applyFill="1" applyBorder="1" applyAlignment="1">
      <alignment horizontal="center" vertical="center"/>
    </xf>
    <xf numFmtId="0" fontId="110" fillId="9" borderId="30" xfId="0" applyFont="1" applyFill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112" fillId="8" borderId="10" xfId="0" applyFont="1" applyFill="1" applyBorder="1" applyAlignment="1">
      <alignment horizontal="center" vertical="center"/>
    </xf>
    <xf numFmtId="1" fontId="10" fillId="6" borderId="62" xfId="0" applyNumberFormat="1" applyFont="1" applyFill="1" applyBorder="1" applyAlignment="1">
      <alignment horizontal="center" vertical="center"/>
    </xf>
    <xf numFmtId="1" fontId="10" fillId="6" borderId="74" xfId="0" applyNumberFormat="1" applyFont="1" applyFill="1" applyBorder="1" applyAlignment="1">
      <alignment horizontal="center" vertical="center"/>
    </xf>
    <xf numFmtId="1" fontId="10" fillId="6" borderId="38" xfId="0" applyNumberFormat="1" applyFont="1" applyFill="1" applyBorder="1" applyAlignment="1">
      <alignment horizontal="center" vertical="center"/>
    </xf>
    <xf numFmtId="1" fontId="10" fillId="6" borderId="9" xfId="0" applyNumberFormat="1" applyFont="1" applyFill="1" applyBorder="1" applyAlignment="1">
      <alignment horizontal="center" vertical="center"/>
    </xf>
    <xf numFmtId="1" fontId="10" fillId="8" borderId="62" xfId="0" applyNumberFormat="1" applyFont="1" applyFill="1" applyBorder="1" applyAlignment="1">
      <alignment horizontal="center" vertical="center"/>
    </xf>
    <xf numFmtId="1" fontId="10" fillId="8" borderId="74" xfId="0" applyNumberFormat="1" applyFont="1" applyFill="1" applyBorder="1" applyAlignment="1">
      <alignment horizontal="center" vertical="center"/>
    </xf>
    <xf numFmtId="1" fontId="10" fillId="8" borderId="38" xfId="0" applyNumberFormat="1" applyFont="1" applyFill="1" applyBorder="1" applyAlignment="1">
      <alignment horizontal="center" vertical="center"/>
    </xf>
    <xf numFmtId="1" fontId="10" fillId="8" borderId="9" xfId="0" applyNumberFormat="1" applyFont="1" applyFill="1" applyBorder="1" applyAlignment="1">
      <alignment horizontal="center" vertical="center"/>
    </xf>
    <xf numFmtId="1" fontId="5" fillId="7" borderId="62" xfId="0" applyNumberFormat="1" applyFont="1" applyFill="1" applyBorder="1" applyAlignment="1">
      <alignment horizontal="center"/>
    </xf>
    <xf numFmtId="1" fontId="5" fillId="7" borderId="9" xfId="0" applyNumberFormat="1" applyFont="1" applyFill="1" applyBorder="1" applyAlignment="1">
      <alignment horizontal="center"/>
    </xf>
    <xf numFmtId="1" fontId="5" fillId="6" borderId="62" xfId="0" applyNumberFormat="1" applyFont="1" applyFill="1" applyBorder="1" applyAlignment="1">
      <alignment horizontal="center"/>
    </xf>
    <xf numFmtId="1" fontId="5" fillId="6" borderId="9" xfId="0" applyNumberFormat="1" applyFont="1" applyFill="1" applyBorder="1" applyAlignment="1">
      <alignment horizontal="center"/>
    </xf>
    <xf numFmtId="1" fontId="5" fillId="8" borderId="62" xfId="0" applyNumberFormat="1" applyFont="1" applyFill="1" applyBorder="1" applyAlignment="1">
      <alignment horizontal="center"/>
    </xf>
    <xf numFmtId="1" fontId="5" fillId="8" borderId="9" xfId="0" applyNumberFormat="1" applyFont="1" applyFill="1" applyBorder="1" applyAlignment="1">
      <alignment horizontal="center"/>
    </xf>
    <xf numFmtId="1" fontId="5" fillId="8" borderId="74" xfId="0" applyNumberFormat="1" applyFont="1" applyFill="1" applyBorder="1" applyAlignment="1">
      <alignment horizontal="center"/>
    </xf>
    <xf numFmtId="0" fontId="112" fillId="8" borderId="23" xfId="0" applyFont="1" applyFill="1" applyBorder="1" applyAlignment="1">
      <alignment horizontal="center" vertical="center"/>
    </xf>
    <xf numFmtId="1" fontId="10" fillId="8" borderId="34" xfId="0" applyNumberFormat="1" applyFont="1" applyFill="1" applyBorder="1" applyAlignment="1">
      <alignment horizontal="center" vertical="center"/>
    </xf>
    <xf numFmtId="1" fontId="10" fillId="8" borderId="31" xfId="0" applyNumberFormat="1" applyFont="1" applyFill="1" applyBorder="1" applyAlignment="1">
      <alignment horizontal="center" vertical="center"/>
    </xf>
    <xf numFmtId="1" fontId="5" fillId="6" borderId="74" xfId="0" applyNumberFormat="1" applyFont="1" applyFill="1" applyBorder="1" applyAlignment="1">
      <alignment horizontal="center"/>
    </xf>
    <xf numFmtId="1" fontId="10" fillId="7" borderId="62" xfId="0" applyNumberFormat="1" applyFont="1" applyFill="1" applyBorder="1" applyAlignment="1">
      <alignment horizontal="center" vertical="center"/>
    </xf>
    <xf numFmtId="1" fontId="10" fillId="7" borderId="74" xfId="0" applyNumberFormat="1" applyFont="1" applyFill="1" applyBorder="1" applyAlignment="1">
      <alignment horizontal="center" vertical="center"/>
    </xf>
    <xf numFmtId="1" fontId="10" fillId="7" borderId="34" xfId="0" applyNumberFormat="1" applyFont="1" applyFill="1" applyBorder="1" applyAlignment="1">
      <alignment horizontal="center" vertical="center"/>
    </xf>
    <xf numFmtId="0" fontId="112" fillId="7" borderId="10" xfId="0" applyFont="1" applyFill="1" applyBorder="1" applyAlignment="1">
      <alignment horizontal="center" vertical="center"/>
    </xf>
    <xf numFmtId="1" fontId="5" fillId="7" borderId="74" xfId="0" applyNumberFormat="1" applyFont="1" applyFill="1" applyBorder="1" applyAlignment="1">
      <alignment horizontal="center"/>
    </xf>
    <xf numFmtId="0" fontId="112" fillId="6" borderId="10" xfId="0" applyFont="1" applyFill="1" applyBorder="1" applyAlignment="1">
      <alignment horizontal="center" vertical="center"/>
    </xf>
    <xf numFmtId="0" fontId="112" fillId="6" borderId="23" xfId="0" applyFont="1" applyFill="1" applyBorder="1" applyAlignment="1">
      <alignment horizontal="center" vertical="center"/>
    </xf>
    <xf numFmtId="1" fontId="10" fillId="6" borderId="34" xfId="0" applyNumberFormat="1" applyFont="1" applyFill="1" applyBorder="1" applyAlignment="1">
      <alignment horizontal="center" vertical="center"/>
    </xf>
    <xf numFmtId="1" fontId="10" fillId="6" borderId="3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1" fontId="5" fillId="7" borderId="62" xfId="0" applyNumberFormat="1" applyFont="1" applyFill="1" applyBorder="1" applyAlignment="1">
      <alignment horizontal="center" vertical="center"/>
    </xf>
    <xf numFmtId="1" fontId="5" fillId="7" borderId="74" xfId="0" applyNumberFormat="1" applyFont="1" applyFill="1" applyBorder="1" applyAlignment="1">
      <alignment horizontal="center" vertical="center"/>
    </xf>
    <xf numFmtId="1" fontId="5" fillId="7" borderId="9" xfId="0" applyNumberFormat="1" applyFont="1" applyFill="1" applyBorder="1" applyAlignment="1">
      <alignment horizontal="center" vertical="center"/>
    </xf>
    <xf numFmtId="1" fontId="5" fillId="7" borderId="34" xfId="0" applyNumberFormat="1" applyFont="1" applyFill="1" applyBorder="1" applyAlignment="1">
      <alignment horizontal="center" vertical="center"/>
    </xf>
    <xf numFmtId="0" fontId="5" fillId="7" borderId="74" xfId="0" applyFont="1" applyFill="1" applyBorder="1" applyAlignment="1">
      <alignment horizontal="center"/>
    </xf>
    <xf numFmtId="0" fontId="5" fillId="7" borderId="9" xfId="0" applyFont="1" applyFill="1" applyBorder="1" applyAlignment="1">
      <alignment horizontal="center"/>
    </xf>
    <xf numFmtId="1" fontId="10" fillId="7" borderId="31" xfId="0" applyNumberFormat="1" applyFont="1" applyFill="1" applyBorder="1" applyAlignment="1">
      <alignment horizontal="center" vertical="center"/>
    </xf>
    <xf numFmtId="0" fontId="112" fillId="7" borderId="23" xfId="0" applyFont="1" applyFill="1" applyBorder="1" applyAlignment="1">
      <alignment horizontal="center" vertical="center"/>
    </xf>
    <xf numFmtId="0" fontId="5" fillId="8" borderId="74" xfId="0" applyFont="1" applyFill="1" applyBorder="1" applyAlignment="1">
      <alignment horizontal="center"/>
    </xf>
    <xf numFmtId="0" fontId="5" fillId="8" borderId="9" xfId="0" applyFont="1" applyFill="1" applyBorder="1" applyAlignment="1">
      <alignment horizontal="center"/>
    </xf>
    <xf numFmtId="0" fontId="5" fillId="6" borderId="74" xfId="0" applyFont="1" applyFill="1" applyBorder="1" applyAlignment="1">
      <alignment horizontal="center"/>
    </xf>
    <xf numFmtId="1" fontId="112" fillId="6" borderId="45" xfId="0" applyNumberFormat="1" applyFont="1" applyFill="1" applyBorder="1" applyAlignment="1">
      <alignment horizontal="center" vertical="center"/>
    </xf>
    <xf numFmtId="1" fontId="112" fillId="6" borderId="46" xfId="0" applyNumberFormat="1" applyFont="1" applyFill="1" applyBorder="1" applyAlignment="1">
      <alignment horizontal="center" vertical="center"/>
    </xf>
    <xf numFmtId="1" fontId="112" fillId="6" borderId="14" xfId="0" applyNumberFormat="1" applyFont="1" applyFill="1" applyBorder="1" applyAlignment="1">
      <alignment horizontal="center" vertical="center"/>
    </xf>
    <xf numFmtId="1" fontId="112" fillId="8" borderId="45" xfId="0" applyNumberFormat="1" applyFont="1" applyFill="1" applyBorder="1" applyAlignment="1">
      <alignment horizontal="center" vertical="center"/>
    </xf>
    <xf numFmtId="1" fontId="112" fillId="8" borderId="46" xfId="0" applyNumberFormat="1" applyFont="1" applyFill="1" applyBorder="1" applyAlignment="1">
      <alignment horizontal="center" vertical="center"/>
    </xf>
    <xf numFmtId="1" fontId="112" fillId="8" borderId="14" xfId="0" applyNumberFormat="1" applyFont="1" applyFill="1" applyBorder="1" applyAlignment="1">
      <alignment horizontal="center" vertical="center"/>
    </xf>
    <xf numFmtId="1" fontId="112" fillId="7" borderId="45" xfId="0" applyNumberFormat="1" applyFont="1" applyFill="1" applyBorder="1" applyAlignment="1">
      <alignment horizontal="center" vertical="center"/>
    </xf>
    <xf numFmtId="1" fontId="112" fillId="7" borderId="46" xfId="0" applyNumberFormat="1" applyFont="1" applyFill="1" applyBorder="1" applyAlignment="1">
      <alignment horizontal="center" vertical="center"/>
    </xf>
    <xf numFmtId="1" fontId="112" fillId="7" borderId="14" xfId="0" applyNumberFormat="1" applyFont="1" applyFill="1" applyBorder="1" applyAlignment="1">
      <alignment horizontal="center" vertical="center"/>
    </xf>
    <xf numFmtId="1" fontId="10" fillId="7" borderId="38" xfId="0" applyNumberFormat="1" applyFont="1" applyFill="1" applyBorder="1" applyAlignment="1">
      <alignment horizontal="center" vertical="center"/>
    </xf>
    <xf numFmtId="1" fontId="10" fillId="7" borderId="9" xfId="0" applyNumberFormat="1" applyFont="1" applyFill="1" applyBorder="1" applyAlignment="1">
      <alignment horizontal="center" vertical="center"/>
    </xf>
    <xf numFmtId="1" fontId="10" fillId="9" borderId="38" xfId="0" applyNumberFormat="1" applyFont="1" applyFill="1" applyBorder="1" applyAlignment="1">
      <alignment horizontal="center" vertical="center"/>
    </xf>
    <xf numFmtId="0" fontId="112" fillId="0" borderId="10" xfId="0" applyFont="1" applyBorder="1" applyAlignment="1">
      <alignment horizontal="center" vertical="center"/>
    </xf>
    <xf numFmtId="0" fontId="112" fillId="0" borderId="23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0" fillId="0" borderId="69" xfId="0" applyFont="1" applyBorder="1" applyAlignment="1">
      <alignment horizontal="center" vertical="center"/>
    </xf>
    <xf numFmtId="1" fontId="5" fillId="0" borderId="36" xfId="0" applyNumberFormat="1" applyFont="1" applyBorder="1" applyAlignment="1">
      <alignment horizontal="center"/>
    </xf>
    <xf numFmtId="1" fontId="5" fillId="0" borderId="38" xfId="0" applyNumberFormat="1" applyFont="1" applyBorder="1" applyAlignment="1">
      <alignment horizontal="center"/>
    </xf>
    <xf numFmtId="1" fontId="5" fillId="0" borderId="69" xfId="0" applyNumberFormat="1" applyFont="1" applyBorder="1" applyAlignment="1">
      <alignment horizontal="center"/>
    </xf>
    <xf numFmtId="0" fontId="5" fillId="6" borderId="1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1" fontId="5" fillId="6" borderId="62" xfId="0" applyNumberFormat="1" applyFont="1" applyFill="1" applyBorder="1" applyAlignment="1">
      <alignment horizontal="center" vertical="center"/>
    </xf>
    <xf numFmtId="1" fontId="5" fillId="6" borderId="74" xfId="0" applyNumberFormat="1" applyFont="1" applyFill="1" applyBorder="1" applyAlignment="1">
      <alignment horizontal="center" vertical="center"/>
    </xf>
    <xf numFmtId="1" fontId="5" fillId="6" borderId="9" xfId="0" applyNumberFormat="1" applyFont="1" applyFill="1" applyBorder="1" applyAlignment="1">
      <alignment horizontal="center" vertical="center"/>
    </xf>
    <xf numFmtId="1" fontId="5" fillId="8" borderId="62" xfId="0" applyNumberFormat="1" applyFont="1" applyFill="1" applyBorder="1" applyAlignment="1">
      <alignment horizontal="center" vertical="center"/>
    </xf>
    <xf numFmtId="1" fontId="5" fillId="8" borderId="74" xfId="0" applyNumberFormat="1" applyFont="1" applyFill="1" applyBorder="1" applyAlignment="1">
      <alignment horizontal="center" vertical="center"/>
    </xf>
    <xf numFmtId="1" fontId="5" fillId="8" borderId="9" xfId="0" applyNumberFormat="1" applyFont="1" applyFill="1" applyBorder="1" applyAlignment="1">
      <alignment horizontal="center" vertical="center"/>
    </xf>
    <xf numFmtId="1" fontId="5" fillId="6" borderId="34" xfId="0" applyNumberFormat="1" applyFont="1" applyFill="1" applyBorder="1" applyAlignment="1">
      <alignment horizontal="center" vertical="center"/>
    </xf>
    <xf numFmtId="1" fontId="5" fillId="8" borderId="34" xfId="0" applyNumberFormat="1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/>
    </xf>
    <xf numFmtId="1" fontId="112" fillId="0" borderId="45" xfId="0" applyNumberFormat="1" applyFont="1" applyBorder="1" applyAlignment="1">
      <alignment horizontal="center" vertical="center"/>
    </xf>
    <xf numFmtId="1" fontId="112" fillId="0" borderId="46" xfId="0" applyNumberFormat="1" applyFont="1" applyBorder="1" applyAlignment="1">
      <alignment horizontal="center" vertical="center"/>
    </xf>
    <xf numFmtId="1" fontId="112" fillId="0" borderId="14" xfId="0" applyNumberFormat="1" applyFont="1" applyBorder="1" applyAlignment="1">
      <alignment horizontal="center" vertical="center"/>
    </xf>
    <xf numFmtId="1" fontId="10" fillId="9" borderId="8" xfId="0" applyNumberFormat="1" applyFont="1" applyFill="1" applyBorder="1" applyAlignment="1">
      <alignment horizontal="center" vertical="center"/>
    </xf>
    <xf numFmtId="1" fontId="10" fillId="9" borderId="36" xfId="0" applyNumberFormat="1" applyFont="1" applyFill="1" applyBorder="1" applyAlignment="1">
      <alignment horizontal="center" vertical="center"/>
    </xf>
    <xf numFmtId="1" fontId="10" fillId="9" borderId="29" xfId="0" applyNumberFormat="1" applyFont="1" applyFill="1" applyBorder="1" applyAlignment="1">
      <alignment horizontal="center" vertical="center"/>
    </xf>
    <xf numFmtId="1" fontId="5" fillId="0" borderId="62" xfId="0" applyNumberFormat="1" applyFont="1" applyBorder="1" applyAlignment="1">
      <alignment horizontal="center" vertical="center"/>
    </xf>
    <xf numFmtId="1" fontId="5" fillId="0" borderId="74" xfId="0" applyNumberFormat="1" applyFont="1" applyBorder="1" applyAlignment="1">
      <alignment horizontal="center" vertical="center"/>
    </xf>
    <xf numFmtId="1" fontId="5" fillId="0" borderId="9" xfId="0" applyNumberFormat="1" applyFont="1" applyBorder="1" applyAlignment="1">
      <alignment horizontal="center" vertical="center"/>
    </xf>
    <xf numFmtId="1" fontId="5" fillId="0" borderId="34" xfId="0" applyNumberFormat="1" applyFont="1" applyBorder="1" applyAlignment="1">
      <alignment horizontal="center" vertical="center"/>
    </xf>
    <xf numFmtId="0" fontId="10" fillId="0" borderId="62" xfId="0" applyFont="1" applyBorder="1" applyAlignment="1">
      <alignment horizontal="center" vertical="center"/>
    </xf>
    <xf numFmtId="0" fontId="10" fillId="0" borderId="74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1" fontId="10" fillId="9" borderId="74" xfId="0" applyNumberFormat="1" applyFont="1" applyFill="1" applyBorder="1" applyAlignment="1">
      <alignment horizontal="center" vertical="center"/>
    </xf>
    <xf numFmtId="1" fontId="10" fillId="9" borderId="62" xfId="0" applyNumberFormat="1" applyFont="1" applyFill="1" applyBorder="1" applyAlignment="1">
      <alignment horizontal="center" vertical="center"/>
    </xf>
    <xf numFmtId="1" fontId="10" fillId="9" borderId="34" xfId="0" applyNumberFormat="1" applyFont="1" applyFill="1" applyBorder="1" applyAlignment="1">
      <alignment horizontal="center" vertical="center"/>
    </xf>
    <xf numFmtId="0" fontId="112" fillId="0" borderId="29" xfId="0" applyFont="1" applyBorder="1" applyAlignment="1">
      <alignment horizontal="center" vertical="center"/>
    </xf>
    <xf numFmtId="0" fontId="112" fillId="0" borderId="59" xfId="0" applyFont="1" applyBorder="1" applyAlignment="1">
      <alignment horizontal="center" vertical="center"/>
    </xf>
    <xf numFmtId="0" fontId="112" fillId="0" borderId="62" xfId="0" applyFont="1" applyBorder="1" applyAlignment="1">
      <alignment horizontal="center" vertical="center"/>
    </xf>
    <xf numFmtId="0" fontId="112" fillId="0" borderId="74" xfId="0" applyFont="1" applyBorder="1" applyAlignment="1">
      <alignment horizontal="center" vertical="center"/>
    </xf>
    <xf numFmtId="0" fontId="112" fillId="0" borderId="9" xfId="0" applyFont="1" applyBorder="1" applyAlignment="1">
      <alignment horizontal="center" vertical="center"/>
    </xf>
    <xf numFmtId="1" fontId="5" fillId="0" borderId="74" xfId="0" applyNumberFormat="1" applyFont="1" applyBorder="1" applyAlignment="1">
      <alignment horizontal="center"/>
    </xf>
    <xf numFmtId="1" fontId="112" fillId="0" borderId="36" xfId="0" applyNumberFormat="1" applyFont="1" applyBorder="1" applyAlignment="1">
      <alignment horizontal="center" vertical="center"/>
    </xf>
    <xf numFmtId="1" fontId="112" fillId="0" borderId="38" xfId="0" applyNumberFormat="1" applyFont="1" applyBorder="1" applyAlignment="1">
      <alignment horizontal="center" vertical="center"/>
    </xf>
    <xf numFmtId="1" fontId="112" fillId="0" borderId="69" xfId="0" applyNumberFormat="1" applyFont="1" applyBorder="1" applyAlignment="1">
      <alignment horizontal="center" vertical="center"/>
    </xf>
    <xf numFmtId="1" fontId="5" fillId="0" borderId="36" xfId="0" applyNumberFormat="1" applyFont="1" applyBorder="1" applyAlignment="1">
      <alignment horizontal="center" vertical="center"/>
    </xf>
    <xf numFmtId="1" fontId="5" fillId="0" borderId="38" xfId="0" applyNumberFormat="1" applyFont="1" applyBorder="1" applyAlignment="1">
      <alignment horizontal="center" vertical="center"/>
    </xf>
    <xf numFmtId="1" fontId="5" fillId="0" borderId="69" xfId="0" applyNumberFormat="1" applyFont="1" applyBorder="1" applyAlignment="1">
      <alignment horizontal="center" vertical="center"/>
    </xf>
    <xf numFmtId="1" fontId="5" fillId="0" borderId="62" xfId="0" applyNumberFormat="1" applyFont="1" applyBorder="1" applyAlignment="1">
      <alignment horizontal="center"/>
    </xf>
    <xf numFmtId="1" fontId="5" fillId="0" borderId="9" xfId="0" applyNumberFormat="1" applyFont="1" applyBorder="1" applyAlignment="1">
      <alignment horizontal="center"/>
    </xf>
    <xf numFmtId="1" fontId="5" fillId="0" borderId="8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5" fillId="0" borderId="86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1" fontId="112" fillId="9" borderId="45" xfId="0" applyNumberFormat="1" applyFont="1" applyFill="1" applyBorder="1" applyAlignment="1">
      <alignment horizontal="center" vertical="center"/>
    </xf>
    <xf numFmtId="1" fontId="112" fillId="9" borderId="46" xfId="0" applyNumberFormat="1" applyFont="1" applyFill="1" applyBorder="1" applyAlignment="1">
      <alignment horizontal="center" vertical="center"/>
    </xf>
    <xf numFmtId="1" fontId="112" fillId="9" borderId="14" xfId="0" applyNumberFormat="1" applyFont="1" applyFill="1" applyBorder="1" applyAlignment="1">
      <alignment horizontal="center" vertical="center"/>
    </xf>
    <xf numFmtId="0" fontId="0" fillId="0" borderId="0" xfId="0"/>
    <xf numFmtId="0" fontId="154" fillId="9" borderId="63" xfId="0" applyFont="1" applyFill="1" applyBorder="1" applyAlignment="1">
      <alignment horizontal="left" vertical="center"/>
    </xf>
    <xf numFmtId="0" fontId="154" fillId="9" borderId="41" xfId="0" applyFont="1" applyFill="1" applyBorder="1" applyAlignment="1">
      <alignment horizontal="left" vertical="center"/>
    </xf>
    <xf numFmtId="0" fontId="154" fillId="0" borderId="25" xfId="0" applyFont="1" applyBorder="1" applyAlignment="1">
      <alignment horizontal="left" vertical="center"/>
    </xf>
    <xf numFmtId="0" fontId="154" fillId="0" borderId="4" xfId="0" applyFont="1" applyBorder="1" applyAlignment="1">
      <alignment horizontal="left" vertical="center"/>
    </xf>
    <xf numFmtId="0" fontId="154" fillId="9" borderId="52" xfId="0" applyFont="1" applyFill="1" applyBorder="1" applyAlignment="1">
      <alignment horizontal="left" vertical="center"/>
    </xf>
    <xf numFmtId="0" fontId="154" fillId="9" borderId="8" xfId="0" applyFont="1" applyFill="1" applyBorder="1" applyAlignment="1">
      <alignment horizontal="left" vertical="center"/>
    </xf>
    <xf numFmtId="0" fontId="164" fillId="9" borderId="26" xfId="0" applyFont="1" applyFill="1" applyBorder="1" applyAlignment="1">
      <alignment horizontal="center" vertical="center"/>
    </xf>
    <xf numFmtId="0" fontId="27" fillId="0" borderId="76" xfId="0" applyFont="1" applyBorder="1" applyAlignment="1">
      <alignment horizontal="left" vertical="center"/>
    </xf>
    <xf numFmtId="0" fontId="27" fillId="0" borderId="74" xfId="0" applyFont="1" applyBorder="1" applyAlignment="1">
      <alignment horizontal="left" vertical="center"/>
    </xf>
    <xf numFmtId="0" fontId="27" fillId="0" borderId="71" xfId="0" applyFont="1" applyBorder="1" applyAlignment="1">
      <alignment horizontal="center" vertical="center"/>
    </xf>
    <xf numFmtId="1" fontId="26" fillId="0" borderId="43" xfId="0" applyNumberFormat="1" applyFont="1" applyBorder="1" applyAlignment="1">
      <alignment horizontal="center" vertical="center"/>
    </xf>
    <xf numFmtId="1" fontId="26" fillId="0" borderId="40" xfId="0" applyNumberFormat="1" applyFont="1" applyBorder="1" applyAlignment="1">
      <alignment horizontal="center" vertical="center"/>
    </xf>
    <xf numFmtId="1" fontId="26" fillId="0" borderId="16" xfId="0" applyNumberFormat="1" applyFont="1" applyBorder="1" applyAlignment="1">
      <alignment horizontal="center" vertical="center"/>
    </xf>
    <xf numFmtId="1" fontId="26" fillId="8" borderId="76" xfId="0" applyNumberFormat="1" applyFont="1" applyFill="1" applyBorder="1" applyAlignment="1">
      <alignment horizontal="center" vertical="center"/>
    </xf>
    <xf numFmtId="1" fontId="26" fillId="8" borderId="74" xfId="0" applyNumberFormat="1" applyFont="1" applyFill="1" applyBorder="1" applyAlignment="1">
      <alignment horizontal="center" vertical="center"/>
    </xf>
    <xf numFmtId="1" fontId="26" fillId="8" borderId="9" xfId="0" applyNumberFormat="1" applyFont="1" applyFill="1" applyBorder="1" applyAlignment="1">
      <alignment horizontal="center" vertical="center"/>
    </xf>
    <xf numFmtId="1" fontId="26" fillId="6" borderId="80" xfId="0" applyNumberFormat="1" applyFont="1" applyFill="1" applyBorder="1" applyAlignment="1">
      <alignment horizontal="center" vertical="center"/>
    </xf>
    <xf numFmtId="1" fontId="26" fillId="6" borderId="46" xfId="0" applyNumberFormat="1" applyFont="1" applyFill="1" applyBorder="1" applyAlignment="1">
      <alignment horizontal="center" vertical="center"/>
    </xf>
    <xf numFmtId="1" fontId="26" fillId="6" borderId="14" xfId="0" applyNumberFormat="1" applyFont="1" applyFill="1" applyBorder="1" applyAlignment="1">
      <alignment horizontal="center" vertical="center"/>
    </xf>
    <xf numFmtId="1" fontId="26" fillId="7" borderId="80" xfId="0" applyNumberFormat="1" applyFont="1" applyFill="1" applyBorder="1" applyAlignment="1">
      <alignment horizontal="center" vertical="center"/>
    </xf>
    <xf numFmtId="1" fontId="26" fillId="7" borderId="46" xfId="0" applyNumberFormat="1" applyFont="1" applyFill="1" applyBorder="1" applyAlignment="1">
      <alignment horizontal="center" vertical="center"/>
    </xf>
    <xf numFmtId="1" fontId="26" fillId="7" borderId="14" xfId="0" applyNumberFormat="1" applyFont="1" applyFill="1" applyBorder="1" applyAlignment="1">
      <alignment horizontal="center" vertical="center"/>
    </xf>
    <xf numFmtId="1" fontId="26" fillId="0" borderId="80" xfId="0" applyNumberFormat="1" applyFont="1" applyBorder="1" applyAlignment="1">
      <alignment horizontal="center" vertical="center"/>
    </xf>
    <xf numFmtId="1" fontId="26" fillId="0" borderId="46" xfId="0" applyNumberFormat="1" applyFont="1" applyBorder="1" applyAlignment="1">
      <alignment horizontal="center" vertical="center"/>
    </xf>
    <xf numFmtId="1" fontId="26" fillId="0" borderId="14" xfId="0" applyNumberFormat="1" applyFont="1" applyBorder="1" applyAlignment="1">
      <alignment horizontal="center" vertical="center"/>
    </xf>
    <xf numFmtId="1" fontId="26" fillId="8" borderId="80" xfId="0" applyNumberFormat="1" applyFont="1" applyFill="1" applyBorder="1" applyAlignment="1">
      <alignment horizontal="center" vertical="center"/>
    </xf>
    <xf numFmtId="1" fontId="26" fillId="8" borderId="46" xfId="0" applyNumberFormat="1" applyFont="1" applyFill="1" applyBorder="1" applyAlignment="1">
      <alignment horizontal="center" vertical="center"/>
    </xf>
    <xf numFmtId="1" fontId="26" fillId="8" borderId="14" xfId="0" applyNumberFormat="1" applyFont="1" applyFill="1" applyBorder="1" applyAlignment="1">
      <alignment horizontal="center" vertical="center"/>
    </xf>
    <xf numFmtId="1" fontId="26" fillId="9" borderId="87" xfId="0" applyNumberFormat="1" applyFont="1" applyFill="1" applyBorder="1" applyAlignment="1">
      <alignment horizontal="center" vertical="center"/>
    </xf>
    <xf numFmtId="1" fontId="26" fillId="9" borderId="38" xfId="0" applyNumberFormat="1" applyFont="1" applyFill="1" applyBorder="1" applyAlignment="1">
      <alignment horizontal="center" vertical="center"/>
    </xf>
    <xf numFmtId="1" fontId="26" fillId="9" borderId="69" xfId="0" applyNumberFormat="1" applyFont="1" applyFill="1" applyBorder="1" applyAlignment="1">
      <alignment horizontal="center" vertical="center"/>
    </xf>
    <xf numFmtId="17" fontId="27" fillId="0" borderId="55" xfId="0" applyNumberFormat="1" applyFont="1" applyBorder="1" applyAlignment="1">
      <alignment horizontal="center" vertical="center"/>
    </xf>
    <xf numFmtId="0" fontId="27" fillId="0" borderId="9" xfId="0" applyFont="1" applyBorder="1" applyAlignment="1">
      <alignment horizontal="left" vertical="center"/>
    </xf>
    <xf numFmtId="0" fontId="27" fillId="0" borderId="86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56" xfId="0" applyFont="1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1" fontId="26" fillId="9" borderId="76" xfId="0" applyNumberFormat="1" applyFont="1" applyFill="1" applyBorder="1" applyAlignment="1">
      <alignment horizontal="center" vertical="center"/>
    </xf>
    <xf numFmtId="1" fontId="26" fillId="9" borderId="74" xfId="0" applyNumberFormat="1" applyFont="1" applyFill="1" applyBorder="1" applyAlignment="1">
      <alignment horizontal="center" vertical="center"/>
    </xf>
    <xf numFmtId="1" fontId="26" fillId="9" borderId="34" xfId="0" applyNumberFormat="1" applyFont="1" applyFill="1" applyBorder="1" applyAlignment="1">
      <alignment horizontal="center" vertical="center"/>
    </xf>
    <xf numFmtId="1" fontId="26" fillId="0" borderId="76" xfId="0" applyNumberFormat="1" applyFont="1" applyBorder="1" applyAlignment="1">
      <alignment horizontal="center" vertical="center"/>
    </xf>
    <xf numFmtId="1" fontId="26" fillId="0" borderId="74" xfId="0" applyNumberFormat="1" applyFont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/>
    </xf>
    <xf numFmtId="1" fontId="26" fillId="9" borderId="9" xfId="0" applyNumberFormat="1" applyFont="1" applyFill="1" applyBorder="1" applyAlignment="1">
      <alignment horizontal="center" vertical="center"/>
    </xf>
    <xf numFmtId="1" fontId="26" fillId="0" borderId="45" xfId="0" applyNumberFormat="1" applyFont="1" applyBorder="1" applyAlignment="1">
      <alignment horizontal="center" vertical="center"/>
    </xf>
    <xf numFmtId="1" fontId="26" fillId="0" borderId="30" xfId="0" applyNumberFormat="1" applyFont="1" applyBorder="1" applyAlignment="1">
      <alignment horizontal="center" vertical="center"/>
    </xf>
    <xf numFmtId="1" fontId="26" fillId="9" borderId="80" xfId="0" applyNumberFormat="1" applyFont="1" applyFill="1" applyBorder="1" applyAlignment="1">
      <alignment horizontal="center" vertical="center"/>
    </xf>
    <xf numFmtId="1" fontId="26" fillId="9" borderId="46" xfId="0" applyNumberFormat="1" applyFont="1" applyFill="1" applyBorder="1" applyAlignment="1">
      <alignment horizontal="center" vertical="center"/>
    </xf>
    <xf numFmtId="1" fontId="26" fillId="9" borderId="30" xfId="0" applyNumberFormat="1" applyFont="1" applyFill="1" applyBorder="1" applyAlignment="1">
      <alignment horizontal="center" vertical="center"/>
    </xf>
    <xf numFmtId="1" fontId="26" fillId="6" borderId="76" xfId="0" applyNumberFormat="1" applyFont="1" applyFill="1" applyBorder="1" applyAlignment="1">
      <alignment horizontal="center" vertical="center"/>
    </xf>
    <xf numFmtId="1" fontId="26" fillId="6" borderId="74" xfId="0" applyNumberFormat="1" applyFont="1" applyFill="1" applyBorder="1" applyAlignment="1">
      <alignment horizontal="center" vertical="center"/>
    </xf>
    <xf numFmtId="1" fontId="26" fillId="6" borderId="9" xfId="0" applyNumberFormat="1" applyFont="1" applyFill="1" applyBorder="1" applyAlignment="1">
      <alignment horizontal="center" vertical="center"/>
    </xf>
    <xf numFmtId="1" fontId="26" fillId="7" borderId="76" xfId="0" applyNumberFormat="1" applyFont="1" applyFill="1" applyBorder="1" applyAlignment="1">
      <alignment horizontal="center" vertical="center"/>
    </xf>
    <xf numFmtId="1" fontId="26" fillId="7" borderId="74" xfId="0" applyNumberFormat="1" applyFont="1" applyFill="1" applyBorder="1" applyAlignment="1">
      <alignment horizontal="center" vertical="center"/>
    </xf>
    <xf numFmtId="1" fontId="26" fillId="7" borderId="34" xfId="0" applyNumberFormat="1" applyFont="1" applyFill="1" applyBorder="1" applyAlignment="1">
      <alignment horizontal="center" vertical="center"/>
    </xf>
    <xf numFmtId="1" fontId="26" fillId="7" borderId="87" xfId="0" applyNumberFormat="1" applyFont="1" applyFill="1" applyBorder="1" applyAlignment="1">
      <alignment horizontal="center" vertical="center"/>
    </xf>
    <xf numFmtId="1" fontId="26" fillId="7" borderId="38" xfId="0" applyNumberFormat="1" applyFont="1" applyFill="1" applyBorder="1" applyAlignment="1">
      <alignment horizontal="center" vertical="center"/>
    </xf>
    <xf numFmtId="1" fontId="26" fillId="7" borderId="69" xfId="0" applyNumberFormat="1" applyFont="1" applyFill="1" applyBorder="1" applyAlignment="1">
      <alignment horizontal="center" vertical="center"/>
    </xf>
    <xf numFmtId="1" fontId="26" fillId="7" borderId="43" xfId="0" applyNumberFormat="1" applyFont="1" applyFill="1" applyBorder="1" applyAlignment="1">
      <alignment horizontal="center" vertical="center"/>
    </xf>
    <xf numFmtId="1" fontId="26" fillId="7" borderId="40" xfId="0" applyNumberFormat="1" applyFont="1" applyFill="1" applyBorder="1" applyAlignment="1">
      <alignment horizontal="center" vertical="center"/>
    </xf>
    <xf numFmtId="1" fontId="26" fillId="7" borderId="16" xfId="0" applyNumberFormat="1" applyFont="1" applyFill="1" applyBorder="1" applyAlignment="1">
      <alignment horizontal="center" vertical="center"/>
    </xf>
    <xf numFmtId="1" fontId="26" fillId="7" borderId="9" xfId="0" applyNumberFormat="1" applyFont="1" applyFill="1" applyBorder="1" applyAlignment="1">
      <alignment horizontal="center" vertical="center"/>
    </xf>
    <xf numFmtId="1" fontId="26" fillId="6" borderId="87" xfId="0" applyNumberFormat="1" applyFont="1" applyFill="1" applyBorder="1" applyAlignment="1">
      <alignment horizontal="center" vertical="center"/>
    </xf>
    <xf numFmtId="1" fontId="26" fillId="6" borderId="38" xfId="0" applyNumberFormat="1" applyFont="1" applyFill="1" applyBorder="1" applyAlignment="1">
      <alignment horizontal="center" vertical="center"/>
    </xf>
    <xf numFmtId="1" fontId="26" fillId="8" borderId="87" xfId="0" applyNumberFormat="1" applyFont="1" applyFill="1" applyBorder="1" applyAlignment="1">
      <alignment horizontal="center" vertical="center"/>
    </xf>
    <xf numFmtId="1" fontId="26" fillId="8" borderId="38" xfId="0" applyNumberFormat="1" applyFont="1" applyFill="1" applyBorder="1" applyAlignment="1">
      <alignment horizontal="center" vertical="center"/>
    </xf>
    <xf numFmtId="1" fontId="26" fillId="6" borderId="8" xfId="0" applyNumberFormat="1" applyFont="1" applyFill="1" applyBorder="1" applyAlignment="1">
      <alignment horizontal="center" vertical="center"/>
    </xf>
    <xf numFmtId="1" fontId="26" fillId="8" borderId="8" xfId="0" applyNumberFormat="1" applyFont="1" applyFill="1" applyBorder="1" applyAlignment="1">
      <alignment horizontal="center" vertical="center"/>
    </xf>
    <xf numFmtId="1" fontId="26" fillId="6" borderId="43" xfId="0" applyNumberFormat="1" applyFont="1" applyFill="1" applyBorder="1" applyAlignment="1">
      <alignment horizontal="center" vertical="center"/>
    </xf>
    <xf numFmtId="1" fontId="26" fillId="6" borderId="40" xfId="0" applyNumberFormat="1" applyFont="1" applyFill="1" applyBorder="1" applyAlignment="1">
      <alignment horizontal="center" vertical="center"/>
    </xf>
    <xf numFmtId="1" fontId="26" fillId="6" borderId="16" xfId="0" applyNumberFormat="1" applyFont="1" applyFill="1" applyBorder="1" applyAlignment="1">
      <alignment horizontal="center" vertical="center"/>
    </xf>
    <xf numFmtId="0" fontId="144" fillId="0" borderId="35" xfId="0" applyFont="1" applyBorder="1" applyAlignment="1">
      <alignment horizontal="center"/>
    </xf>
    <xf numFmtId="0" fontId="144" fillId="0" borderId="0" xfId="0" applyFont="1" applyBorder="1" applyAlignment="1">
      <alignment horizontal="center"/>
    </xf>
    <xf numFmtId="0" fontId="33" fillId="0" borderId="76" xfId="0" applyFont="1" applyBorder="1" applyAlignment="1">
      <alignment horizontal="left" vertical="center"/>
    </xf>
    <xf numFmtId="0" fontId="33" fillId="0" borderId="74" xfId="0" applyFont="1" applyBorder="1" applyAlignment="1">
      <alignment horizontal="left" vertical="center"/>
    </xf>
    <xf numFmtId="0" fontId="33" fillId="0" borderId="85" xfId="0" applyFont="1" applyBorder="1" applyAlignment="1">
      <alignment horizontal="center" vertical="center"/>
    </xf>
    <xf numFmtId="0" fontId="33" fillId="0" borderId="71" xfId="0" applyFont="1" applyBorder="1" applyAlignment="1">
      <alignment horizontal="center" vertical="center"/>
    </xf>
    <xf numFmtId="0" fontId="0" fillId="0" borderId="37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62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5" xfId="0" applyBorder="1" applyAlignment="1">
      <alignment horizontal="left" vertical="center"/>
    </xf>
    <xf numFmtId="0" fontId="0" fillId="0" borderId="46" xfId="0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138" fillId="34" borderId="62" xfId="0" applyFont="1" applyFill="1" applyBorder="1" applyAlignment="1">
      <alignment horizontal="center" vertical="center"/>
    </xf>
    <xf numFmtId="0" fontId="138" fillId="34" borderId="74" xfId="0" applyFont="1" applyFill="1" applyBorder="1" applyAlignment="1">
      <alignment horizontal="center" vertical="center"/>
    </xf>
    <xf numFmtId="0" fontId="138" fillId="34" borderId="34" xfId="0" applyFont="1" applyFill="1" applyBorder="1" applyAlignment="1">
      <alignment horizontal="center" vertical="center"/>
    </xf>
    <xf numFmtId="0" fontId="138" fillId="34" borderId="45" xfId="0" applyFont="1" applyFill="1" applyBorder="1" applyAlignment="1">
      <alignment horizontal="left" vertical="center"/>
    </xf>
    <xf numFmtId="0" fontId="138" fillId="34" borderId="46" xfId="0" applyFont="1" applyFill="1" applyBorder="1" applyAlignment="1">
      <alignment horizontal="left" vertical="center"/>
    </xf>
    <xf numFmtId="0" fontId="138" fillId="34" borderId="30" xfId="0" applyFont="1" applyFill="1" applyBorder="1" applyAlignment="1">
      <alignment horizontal="left" vertical="center"/>
    </xf>
    <xf numFmtId="0" fontId="138" fillId="34" borderId="37" xfId="0" applyFont="1" applyFill="1" applyBorder="1" applyAlignment="1">
      <alignment horizontal="left"/>
    </xf>
    <xf numFmtId="0" fontId="138" fillId="34" borderId="29" xfId="0" applyFont="1" applyFill="1" applyBorder="1" applyAlignment="1">
      <alignment horizontal="left"/>
    </xf>
    <xf numFmtId="0" fontId="137" fillId="34" borderId="62" xfId="0" applyFont="1" applyFill="1" applyBorder="1" applyAlignment="1">
      <alignment horizontal="center" vertical="center"/>
    </xf>
    <xf numFmtId="0" fontId="137" fillId="34" borderId="34" xfId="0" applyFont="1" applyFill="1" applyBorder="1" applyAlignment="1">
      <alignment horizontal="center" vertical="center"/>
    </xf>
    <xf numFmtId="0" fontId="0" fillId="9" borderId="62" xfId="0" applyFill="1" applyBorder="1" applyAlignment="1">
      <alignment horizontal="center" vertical="center"/>
    </xf>
    <xf numFmtId="0" fontId="0" fillId="9" borderId="34" xfId="0" applyFill="1" applyBorder="1" applyAlignment="1">
      <alignment horizontal="center" vertical="center"/>
    </xf>
    <xf numFmtId="0" fontId="141" fillId="9" borderId="47" xfId="0" applyFont="1" applyFill="1" applyBorder="1" applyAlignment="1">
      <alignment horizontal="left"/>
    </xf>
    <xf numFmtId="0" fontId="141" fillId="9" borderId="29" xfId="0" applyFont="1" applyFill="1" applyBorder="1" applyAlignment="1">
      <alignment horizontal="left"/>
    </xf>
    <xf numFmtId="0" fontId="124" fillId="45" borderId="31" xfId="0" applyFont="1" applyFill="1" applyBorder="1" applyAlignment="1">
      <alignment horizontal="center"/>
    </xf>
    <xf numFmtId="0" fontId="124" fillId="45" borderId="10" xfId="0" applyFont="1" applyFill="1" applyBorder="1" applyAlignment="1">
      <alignment horizontal="center"/>
    </xf>
    <xf numFmtId="0" fontId="140" fillId="0" borderId="62" xfId="0" applyFont="1" applyBorder="1" applyAlignment="1">
      <alignment horizontal="center" vertical="center"/>
    </xf>
    <xf numFmtId="0" fontId="140" fillId="0" borderId="74" xfId="0" applyFont="1" applyBorder="1" applyAlignment="1">
      <alignment horizontal="center" vertical="center"/>
    </xf>
    <xf numFmtId="0" fontId="140" fillId="0" borderId="34" xfId="0" applyFont="1" applyBorder="1" applyAlignment="1">
      <alignment horizontal="center" vertical="center"/>
    </xf>
    <xf numFmtId="0" fontId="140" fillId="0" borderId="31" xfId="0" applyFont="1" applyBorder="1" applyAlignment="1">
      <alignment horizontal="center" vertical="center"/>
    </xf>
    <xf numFmtId="0" fontId="124" fillId="9" borderId="31" xfId="0" applyFont="1" applyFill="1" applyBorder="1" applyAlignment="1">
      <alignment horizontal="center"/>
    </xf>
    <xf numFmtId="0" fontId="124" fillId="9" borderId="10" xfId="0" applyFont="1" applyFill="1" applyBorder="1" applyAlignment="1">
      <alignment horizontal="center"/>
    </xf>
    <xf numFmtId="0" fontId="142" fillId="43" borderId="62" xfId="0" applyFont="1" applyFill="1" applyBorder="1" applyAlignment="1">
      <alignment horizontal="center" vertical="center" wrapText="1"/>
    </xf>
    <xf numFmtId="0" fontId="142" fillId="43" borderId="74" xfId="0" applyFont="1" applyFill="1" applyBorder="1" applyAlignment="1">
      <alignment horizontal="center" vertical="center" wrapText="1"/>
    </xf>
    <xf numFmtId="0" fontId="142" fillId="43" borderId="34" xfId="0" applyFont="1" applyFill="1" applyBorder="1" applyAlignment="1">
      <alignment horizontal="center" vertical="center" wrapText="1"/>
    </xf>
    <xf numFmtId="0" fontId="128" fillId="0" borderId="0" xfId="0" applyFont="1" applyAlignment="1">
      <alignment horizontal="center" vertical="center"/>
    </xf>
    <xf numFmtId="0" fontId="124" fillId="9" borderId="62" xfId="0" applyFont="1" applyFill="1" applyBorder="1" applyAlignment="1">
      <alignment horizontal="center" vertical="center"/>
    </xf>
    <xf numFmtId="0" fontId="124" fillId="9" borderId="34" xfId="0" applyFont="1" applyFill="1" applyBorder="1" applyAlignment="1">
      <alignment horizontal="center" vertical="center"/>
    </xf>
    <xf numFmtId="0" fontId="112" fillId="43" borderId="62" xfId="0" applyFont="1" applyFill="1" applyBorder="1" applyAlignment="1">
      <alignment horizontal="center" vertical="center" wrapText="1"/>
    </xf>
    <xf numFmtId="0" fontId="112" fillId="43" borderId="74" xfId="0" applyFont="1" applyFill="1" applyBorder="1" applyAlignment="1">
      <alignment horizontal="center" vertical="center" wrapText="1"/>
    </xf>
    <xf numFmtId="0" fontId="112" fillId="43" borderId="34" xfId="0" applyFont="1" applyFill="1" applyBorder="1" applyAlignment="1">
      <alignment horizontal="center" vertical="center" wrapText="1"/>
    </xf>
    <xf numFmtId="0" fontId="112" fillId="43" borderId="62" xfId="0" applyFont="1" applyFill="1" applyBorder="1" applyAlignment="1">
      <alignment horizontal="left" vertical="center" wrapText="1"/>
    </xf>
    <xf numFmtId="0" fontId="112" fillId="43" borderId="74" xfId="0" applyFont="1" applyFill="1" applyBorder="1" applyAlignment="1">
      <alignment horizontal="left" vertical="center" wrapText="1"/>
    </xf>
    <xf numFmtId="0" fontId="112" fillId="43" borderId="34" xfId="0" applyFont="1" applyFill="1" applyBorder="1" applyAlignment="1">
      <alignment horizontal="left" vertical="center" wrapText="1"/>
    </xf>
    <xf numFmtId="0" fontId="159" fillId="0" borderId="26" xfId="0" applyFont="1" applyBorder="1" applyAlignment="1">
      <alignment horizontal="center"/>
    </xf>
    <xf numFmtId="0" fontId="33" fillId="0" borderId="10" xfId="0" applyFont="1" applyBorder="1" applyAlignment="1">
      <alignment horizontal="center" vertical="center"/>
    </xf>
    <xf numFmtId="0" fontId="33" fillId="6" borderId="10" xfId="0" applyFont="1" applyFill="1" applyBorder="1" applyAlignment="1">
      <alignment horizontal="center" vertical="center"/>
    </xf>
    <xf numFmtId="0" fontId="33" fillId="8" borderId="10" xfId="0" applyFont="1" applyFill="1" applyBorder="1" applyAlignment="1">
      <alignment horizontal="center" vertical="center"/>
    </xf>
    <xf numFmtId="0" fontId="33" fillId="7" borderId="10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33" fillId="0" borderId="10" xfId="0" applyFont="1" applyBorder="1" applyAlignment="1">
      <alignment horizontal="left" vertical="center"/>
    </xf>
    <xf numFmtId="0" fontId="27" fillId="0" borderId="43" xfId="0" applyFont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0" fontId="5" fillId="9" borderId="55" xfId="0" applyFont="1" applyFill="1" applyBorder="1" applyAlignment="1">
      <alignment horizontal="center" vertical="center"/>
    </xf>
    <xf numFmtId="1" fontId="5" fillId="9" borderId="62" xfId="0" applyNumberFormat="1" applyFont="1" applyFill="1" applyBorder="1" applyAlignment="1">
      <alignment horizontal="center" vertical="center"/>
    </xf>
    <xf numFmtId="1" fontId="5" fillId="9" borderId="74" xfId="0" applyNumberFormat="1" applyFont="1" applyFill="1" applyBorder="1" applyAlignment="1">
      <alignment horizontal="center" vertical="center"/>
    </xf>
    <xf numFmtId="1" fontId="5" fillId="9" borderId="9" xfId="0" applyNumberFormat="1" applyFont="1" applyFill="1" applyBorder="1" applyAlignment="1">
      <alignment horizontal="center" vertical="center"/>
    </xf>
    <xf numFmtId="1" fontId="5" fillId="0" borderId="76" xfId="0" applyNumberFormat="1" applyFont="1" applyBorder="1" applyAlignment="1">
      <alignment horizontal="center"/>
    </xf>
    <xf numFmtId="166" fontId="5" fillId="9" borderId="76" xfId="0" applyNumberFormat="1" applyFont="1" applyFill="1" applyBorder="1" applyAlignment="1">
      <alignment horizontal="center" vertical="center"/>
    </xf>
    <xf numFmtId="166" fontId="5" fillId="9" borderId="74" xfId="0" applyNumberFormat="1" applyFont="1" applyFill="1" applyBorder="1" applyAlignment="1">
      <alignment horizontal="center" vertical="center"/>
    </xf>
    <xf numFmtId="166" fontId="5" fillId="9" borderId="9" xfId="0" applyNumberFormat="1" applyFont="1" applyFill="1" applyBorder="1" applyAlignment="1">
      <alignment horizontal="center" vertical="center"/>
    </xf>
    <xf numFmtId="166" fontId="5" fillId="8" borderId="76" xfId="0" applyNumberFormat="1" applyFont="1" applyFill="1" applyBorder="1" applyAlignment="1">
      <alignment horizontal="center" vertical="center"/>
    </xf>
    <xf numFmtId="166" fontId="5" fillId="8" borderId="74" xfId="0" applyNumberFormat="1" applyFont="1" applyFill="1" applyBorder="1" applyAlignment="1">
      <alignment horizontal="center" vertical="center"/>
    </xf>
    <xf numFmtId="166" fontId="5" fillId="8" borderId="9" xfId="0" applyNumberFormat="1" applyFont="1" applyFill="1" applyBorder="1" applyAlignment="1">
      <alignment horizontal="center" vertical="center"/>
    </xf>
    <xf numFmtId="1" fontId="5" fillId="7" borderId="76" xfId="0" applyNumberFormat="1" applyFont="1" applyFill="1" applyBorder="1" applyAlignment="1">
      <alignment horizontal="center"/>
    </xf>
    <xf numFmtId="166" fontId="5" fillId="7" borderId="87" xfId="0" applyNumberFormat="1" applyFont="1" applyFill="1" applyBorder="1" applyAlignment="1">
      <alignment horizontal="center" vertical="center"/>
    </xf>
    <xf numFmtId="166" fontId="5" fillId="7" borderId="38" xfId="0" applyNumberFormat="1" applyFont="1" applyFill="1" applyBorder="1" applyAlignment="1">
      <alignment horizontal="center" vertical="center"/>
    </xf>
    <xf numFmtId="166" fontId="5" fillId="7" borderId="69" xfId="0" applyNumberFormat="1" applyFont="1" applyFill="1" applyBorder="1" applyAlignment="1">
      <alignment horizontal="center" vertical="center"/>
    </xf>
    <xf numFmtId="1" fontId="5" fillId="8" borderId="76" xfId="0" applyNumberFormat="1" applyFont="1" applyFill="1" applyBorder="1" applyAlignment="1">
      <alignment horizontal="center"/>
    </xf>
    <xf numFmtId="1" fontId="5" fillId="6" borderId="76" xfId="0" applyNumberFormat="1" applyFont="1" applyFill="1" applyBorder="1" applyAlignment="1">
      <alignment horizontal="center"/>
    </xf>
    <xf numFmtId="0" fontId="16" fillId="0" borderId="54" xfId="0" applyFont="1" applyBorder="1" applyAlignment="1">
      <alignment horizontal="left"/>
    </xf>
    <xf numFmtId="0" fontId="14" fillId="0" borderId="54" xfId="0" applyFont="1" applyBorder="1" applyAlignment="1">
      <alignment horizontal="left"/>
    </xf>
    <xf numFmtId="166" fontId="5" fillId="6" borderId="76" xfId="0" applyNumberFormat="1" applyFont="1" applyFill="1" applyBorder="1" applyAlignment="1">
      <alignment horizontal="center" vertical="center"/>
    </xf>
    <xf numFmtId="166" fontId="5" fillId="6" borderId="74" xfId="0" applyNumberFormat="1" applyFont="1" applyFill="1" applyBorder="1" applyAlignment="1">
      <alignment horizontal="center" vertical="center"/>
    </xf>
    <xf numFmtId="166" fontId="5" fillId="6" borderId="9" xfId="0" applyNumberFormat="1" applyFont="1" applyFill="1" applyBorder="1" applyAlignment="1">
      <alignment horizontal="center" vertical="center"/>
    </xf>
    <xf numFmtId="0" fontId="5" fillId="0" borderId="73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0" fontId="0" fillId="0" borderId="31" xfId="0" applyFont="1" applyBorder="1" applyAlignment="1">
      <alignment horizontal="center" vertical="center" wrapText="1"/>
    </xf>
    <xf numFmtId="0" fontId="0" fillId="0" borderId="32" xfId="0" applyFont="1" applyBorder="1" applyAlignment="1">
      <alignment horizontal="center" vertical="center" wrapText="1"/>
    </xf>
    <xf numFmtId="0" fontId="54" fillId="0" borderId="0" xfId="0" applyFont="1" applyAlignment="1">
      <alignment horizontal="center"/>
    </xf>
    <xf numFmtId="0" fontId="27" fillId="0" borderId="66" xfId="0" applyFont="1" applyBorder="1" applyAlignment="1">
      <alignment horizontal="center" vertical="center"/>
    </xf>
    <xf numFmtId="0" fontId="24" fillId="0" borderId="86" xfId="0" applyFont="1" applyBorder="1" applyAlignment="1">
      <alignment horizontal="center" vertical="center"/>
    </xf>
    <xf numFmtId="0" fontId="24" fillId="0" borderId="64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7" fillId="0" borderId="37" xfId="0" applyFont="1" applyBorder="1" applyAlignment="1">
      <alignment horizontal="center" vertical="center"/>
    </xf>
    <xf numFmtId="0" fontId="27" fillId="0" borderId="68" xfId="0" applyFont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27" fillId="0" borderId="80" xfId="0" applyFont="1" applyBorder="1" applyAlignment="1">
      <alignment horizontal="center" vertical="center"/>
    </xf>
    <xf numFmtId="0" fontId="27" fillId="0" borderId="14" xfId="0" applyFont="1" applyBorder="1" applyAlignment="1">
      <alignment horizontal="center" vertical="center"/>
    </xf>
    <xf numFmtId="0" fontId="179" fillId="0" borderId="10" xfId="0" applyFont="1" applyBorder="1" applyAlignment="1">
      <alignment horizontal="left" vertical="center" wrapText="1"/>
    </xf>
    <xf numFmtId="0" fontId="27" fillId="46" borderId="1" xfId="0" applyFont="1" applyFill="1" applyBorder="1" applyAlignment="1">
      <alignment horizontal="center" vertical="center"/>
    </xf>
    <xf numFmtId="0" fontId="27" fillId="46" borderId="11" xfId="0" applyFont="1" applyFill="1" applyBorder="1" applyAlignment="1">
      <alignment horizontal="center" vertical="center"/>
    </xf>
    <xf numFmtId="0" fontId="27" fillId="0" borderId="18" xfId="0" applyFont="1" applyBorder="1" applyAlignment="1">
      <alignment horizontal="left" vertical="center"/>
    </xf>
    <xf numFmtId="0" fontId="27" fillId="0" borderId="12" xfId="0" applyFont="1" applyBorder="1" applyAlignment="1">
      <alignment horizontal="left" vertical="center"/>
    </xf>
    <xf numFmtId="0" fontId="27" fillId="0" borderId="87" xfId="0" applyFont="1" applyBorder="1" applyAlignment="1">
      <alignment horizontal="center" vertical="center"/>
    </xf>
    <xf numFmtId="0" fontId="27" fillId="0" borderId="69" xfId="0" applyFont="1" applyBorder="1" applyAlignment="1">
      <alignment horizontal="center" vertical="center"/>
    </xf>
    <xf numFmtId="0" fontId="27" fillId="0" borderId="80" xfId="0" applyFont="1" applyBorder="1" applyAlignment="1">
      <alignment horizontal="center" vertical="center" wrapText="1"/>
    </xf>
    <xf numFmtId="0" fontId="27" fillId="0" borderId="14" xfId="0" applyFont="1" applyBorder="1" applyAlignment="1">
      <alignment horizontal="center" vertical="center" wrapText="1"/>
    </xf>
    <xf numFmtId="0" fontId="98" fillId="9" borderId="0" xfId="186" applyFont="1" applyFill="1" applyBorder="1" applyAlignment="1">
      <alignment horizontal="center" vertical="center"/>
    </xf>
    <xf numFmtId="0" fontId="96" fillId="8" borderId="25" xfId="186" applyFont="1" applyFill="1" applyBorder="1" applyAlignment="1">
      <alignment horizontal="center" vertical="center"/>
    </xf>
    <xf numFmtId="0" fontId="96" fillId="8" borderId="55" xfId="186" applyFont="1" applyFill="1" applyBorder="1" applyAlignment="1">
      <alignment horizontal="center" vertical="center"/>
    </xf>
    <xf numFmtId="0" fontId="96" fillId="8" borderId="21" xfId="186" applyFont="1" applyFill="1" applyBorder="1" applyAlignment="1">
      <alignment horizontal="center" vertical="center"/>
    </xf>
    <xf numFmtId="0" fontId="96" fillId="33" borderId="4" xfId="186" applyFont="1" applyFill="1" applyBorder="1" applyAlignment="1">
      <alignment horizontal="center" vertical="center"/>
    </xf>
    <xf numFmtId="0" fontId="96" fillId="33" borderId="5" xfId="186" applyFont="1" applyFill="1" applyBorder="1" applyAlignment="1">
      <alignment horizontal="center" vertical="center"/>
    </xf>
    <xf numFmtId="0" fontId="96" fillId="33" borderId="67" xfId="186" applyFont="1" applyFill="1" applyBorder="1" applyAlignment="1">
      <alignment horizontal="center" vertical="center"/>
    </xf>
    <xf numFmtId="0" fontId="96" fillId="47" borderId="25" xfId="186" applyFont="1" applyFill="1" applyBorder="1" applyAlignment="1">
      <alignment horizontal="center" vertical="top"/>
    </xf>
    <xf numFmtId="0" fontId="96" fillId="47" borderId="55" xfId="186" applyFont="1" applyFill="1" applyBorder="1" applyAlignment="1">
      <alignment horizontal="center" vertical="top"/>
    </xf>
    <xf numFmtId="0" fontId="96" fillId="47" borderId="21" xfId="186" applyFont="1" applyFill="1" applyBorder="1" applyAlignment="1">
      <alignment horizontal="center" vertical="top"/>
    </xf>
    <xf numFmtId="0" fontId="99" fillId="9" borderId="0" xfId="186" applyFont="1" applyFill="1" applyBorder="1" applyAlignment="1">
      <alignment horizontal="center" vertical="center"/>
    </xf>
    <xf numFmtId="17" fontId="96" fillId="0" borderId="2" xfId="186" applyNumberFormat="1" applyFont="1" applyFill="1" applyBorder="1" applyAlignment="1">
      <alignment horizontal="center" vertical="center"/>
    </xf>
    <xf numFmtId="17" fontId="96" fillId="0" borderId="57" xfId="186" applyNumberFormat="1" applyFont="1" applyFill="1" applyBorder="1" applyAlignment="1">
      <alignment horizontal="center" vertical="center"/>
    </xf>
    <xf numFmtId="0" fontId="163" fillId="33" borderId="2" xfId="186" applyFont="1" applyFill="1" applyBorder="1" applyAlignment="1">
      <alignment horizontal="center" vertical="center"/>
    </xf>
    <xf numFmtId="0" fontId="163" fillId="33" borderId="39" xfId="186" applyFont="1" applyFill="1" applyBorder="1" applyAlignment="1">
      <alignment horizontal="center" vertical="center"/>
    </xf>
    <xf numFmtId="0" fontId="163" fillId="33" borderId="56" xfId="186" applyFont="1" applyFill="1" applyBorder="1" applyAlignment="1">
      <alignment horizontal="center" vertical="center"/>
    </xf>
    <xf numFmtId="0" fontId="33" fillId="0" borderId="55" xfId="0" applyFont="1" applyBorder="1" applyAlignment="1">
      <alignment horizontal="center" vertical="center"/>
    </xf>
    <xf numFmtId="1" fontId="26" fillId="9" borderId="62" xfId="0" applyNumberFormat="1" applyFont="1" applyFill="1" applyBorder="1" applyAlignment="1">
      <alignment horizontal="center" vertical="center"/>
    </xf>
    <xf numFmtId="1" fontId="26" fillId="9" borderId="62" xfId="0" quotePrefix="1" applyNumberFormat="1" applyFont="1" applyFill="1" applyBorder="1" applyAlignment="1">
      <alignment horizontal="center" vertical="center"/>
    </xf>
    <xf numFmtId="1" fontId="26" fillId="9" borderId="74" xfId="0" quotePrefix="1" applyNumberFormat="1" applyFont="1" applyFill="1" applyBorder="1" applyAlignment="1">
      <alignment horizontal="center" vertical="center"/>
    </xf>
    <xf numFmtId="1" fontId="26" fillId="9" borderId="9" xfId="0" quotePrefix="1" applyNumberFormat="1" applyFont="1" applyFill="1" applyBorder="1" applyAlignment="1">
      <alignment horizontal="center" vertical="center"/>
    </xf>
    <xf numFmtId="1" fontId="26" fillId="8" borderId="36" xfId="0" applyNumberFormat="1" applyFont="1" applyFill="1" applyBorder="1" applyAlignment="1">
      <alignment horizontal="center" vertical="center"/>
    </xf>
    <xf numFmtId="0" fontId="26" fillId="8" borderId="8" xfId="0" applyFont="1" applyFill="1" applyBorder="1" applyAlignment="1">
      <alignment horizontal="center" vertical="center"/>
    </xf>
    <xf numFmtId="1" fontId="26" fillId="8" borderId="75" xfId="0" quotePrefix="1" applyNumberFormat="1" applyFont="1" applyFill="1" applyBorder="1" applyAlignment="1">
      <alignment horizontal="center" vertical="center"/>
    </xf>
    <xf numFmtId="1" fontId="26" fillId="8" borderId="0" xfId="0" quotePrefix="1" applyNumberFormat="1" applyFont="1" applyFill="1" applyBorder="1" applyAlignment="1">
      <alignment horizontal="center" vertical="center"/>
    </xf>
    <xf numFmtId="0" fontId="26" fillId="8" borderId="36" xfId="0" applyFont="1" applyFill="1" applyBorder="1" applyAlignment="1">
      <alignment horizontal="center" vertical="center"/>
    </xf>
    <xf numFmtId="0" fontId="26" fillId="8" borderId="38" xfId="0" applyFont="1" applyFill="1" applyBorder="1" applyAlignment="1">
      <alignment horizontal="center" vertical="center"/>
    </xf>
    <xf numFmtId="1" fontId="26" fillId="7" borderId="62" xfId="0" applyNumberFormat="1" applyFont="1" applyFill="1" applyBorder="1" applyAlignment="1">
      <alignment horizontal="center" vertical="center"/>
    </xf>
    <xf numFmtId="0" fontId="26" fillId="7" borderId="34" xfId="0" applyFont="1" applyFill="1" applyBorder="1" applyAlignment="1">
      <alignment horizontal="center" vertical="center"/>
    </xf>
    <xf numFmtId="1" fontId="26" fillId="7" borderId="70" xfId="0" quotePrefix="1" applyNumberFormat="1" applyFont="1" applyFill="1" applyBorder="1" applyAlignment="1">
      <alignment horizontal="center" vertical="center"/>
    </xf>
    <xf numFmtId="1" fontId="26" fillId="7" borderId="35" xfId="0" quotePrefix="1" applyNumberFormat="1" applyFont="1" applyFill="1" applyBorder="1" applyAlignment="1">
      <alignment horizontal="center" vertical="center"/>
    </xf>
    <xf numFmtId="0" fontId="26" fillId="7" borderId="62" xfId="0" applyFont="1" applyFill="1" applyBorder="1" applyAlignment="1">
      <alignment horizontal="center" vertical="center"/>
    </xf>
    <xf numFmtId="0" fontId="26" fillId="7" borderId="74" xfId="0" applyFont="1" applyFill="1" applyBorder="1" applyAlignment="1">
      <alignment horizontal="center" vertical="center"/>
    </xf>
    <xf numFmtId="1" fontId="26" fillId="6" borderId="36" xfId="0" applyNumberFormat="1" applyFont="1" applyFill="1" applyBorder="1" applyAlignment="1">
      <alignment horizontal="center" vertical="center"/>
    </xf>
    <xf numFmtId="0" fontId="26" fillId="6" borderId="8" xfId="0" applyFont="1" applyFill="1" applyBorder="1" applyAlignment="1">
      <alignment horizontal="center" vertical="center"/>
    </xf>
    <xf numFmtId="1" fontId="26" fillId="6" borderId="75" xfId="0" quotePrefix="1" applyNumberFormat="1" applyFont="1" applyFill="1" applyBorder="1" applyAlignment="1">
      <alignment horizontal="center" vertical="center"/>
    </xf>
    <xf numFmtId="1" fontId="26" fillId="6" borderId="0" xfId="0" quotePrefix="1" applyNumberFormat="1" applyFont="1" applyFill="1" applyBorder="1" applyAlignment="1">
      <alignment horizontal="center" vertical="center"/>
    </xf>
    <xf numFmtId="0" fontId="26" fillId="6" borderId="36" xfId="0" applyFont="1" applyFill="1" applyBorder="1" applyAlignment="1">
      <alignment horizontal="center" vertical="center"/>
    </xf>
    <xf numFmtId="0" fontId="26" fillId="6" borderId="38" xfId="0" applyFont="1" applyFill="1" applyBorder="1" applyAlignment="1">
      <alignment horizontal="center" vertical="center"/>
    </xf>
    <xf numFmtId="0" fontId="51" fillId="0" borderId="78" xfId="0" applyFont="1" applyBorder="1" applyAlignment="1">
      <alignment horizontal="center" vertical="center"/>
    </xf>
    <xf numFmtId="0" fontId="24" fillId="0" borderId="109" xfId="0" applyFont="1" applyBorder="1" applyAlignment="1">
      <alignment horizontal="right" vertical="center"/>
    </xf>
    <xf numFmtId="0" fontId="24" fillId="0" borderId="101" xfId="0" applyFont="1" applyBorder="1" applyAlignment="1">
      <alignment horizontal="right" vertical="center"/>
    </xf>
    <xf numFmtId="0" fontId="27" fillId="0" borderId="99" xfId="0" applyFont="1" applyBorder="1" applyAlignment="1">
      <alignment horizontal="right" vertical="center"/>
    </xf>
    <xf numFmtId="0" fontId="27" fillId="0" borderId="101" xfId="0" applyFont="1" applyBorder="1" applyAlignment="1">
      <alignment horizontal="right" vertical="center"/>
    </xf>
    <xf numFmtId="0" fontId="24" fillId="0" borderId="114" xfId="0" applyFont="1" applyBorder="1" applyAlignment="1">
      <alignment horizontal="right" vertical="center"/>
    </xf>
    <xf numFmtId="0" fontId="24" fillId="0" borderId="98" xfId="0" applyFont="1" applyBorder="1" applyAlignment="1">
      <alignment horizontal="right" vertical="center"/>
    </xf>
    <xf numFmtId="0" fontId="27" fillId="0" borderId="96" xfId="0" applyFont="1" applyBorder="1" applyAlignment="1">
      <alignment horizontal="left" vertical="center"/>
    </xf>
    <xf numFmtId="0" fontId="27" fillId="0" borderId="98" xfId="0" applyFont="1" applyBorder="1" applyAlignment="1">
      <alignment horizontal="left" vertical="center"/>
    </xf>
    <xf numFmtId="0" fontId="27" fillId="0" borderId="105" xfId="0" applyFont="1" applyBorder="1" applyAlignment="1">
      <alignment horizontal="right" vertical="center"/>
    </xf>
    <xf numFmtId="0" fontId="5" fillId="0" borderId="109" xfId="0" applyFont="1" applyBorder="1" applyAlignment="1">
      <alignment horizontal="right" vertical="center"/>
    </xf>
    <xf numFmtId="0" fontId="5" fillId="0" borderId="111" xfId="0" applyFont="1" applyBorder="1" applyAlignment="1">
      <alignment horizontal="right" vertical="center"/>
    </xf>
    <xf numFmtId="0" fontId="27" fillId="6" borderId="67" xfId="0" applyFont="1" applyFill="1" applyBorder="1" applyAlignment="1">
      <alignment horizontal="center" vertical="center"/>
    </xf>
    <xf numFmtId="0" fontId="26" fillId="8" borderId="62" xfId="0" applyFont="1" applyFill="1" applyBorder="1" applyAlignment="1">
      <alignment horizontal="center" vertical="center"/>
    </xf>
    <xf numFmtId="0" fontId="26" fillId="8" borderId="74" xfId="0" applyFont="1" applyFill="1" applyBorder="1" applyAlignment="1">
      <alignment horizontal="center" vertical="center"/>
    </xf>
    <xf numFmtId="0" fontId="27" fillId="0" borderId="97" xfId="0" applyFont="1" applyBorder="1" applyAlignment="1">
      <alignment horizontal="center" vertical="center"/>
    </xf>
    <xf numFmtId="166" fontId="26" fillId="9" borderId="62" xfId="0" applyNumberFormat="1" applyFont="1" applyFill="1" applyBorder="1" applyAlignment="1">
      <alignment horizontal="center" vertical="center"/>
    </xf>
    <xf numFmtId="166" fontId="26" fillId="9" borderId="74" xfId="0" applyNumberFormat="1" applyFont="1" applyFill="1" applyBorder="1" applyAlignment="1">
      <alignment horizontal="center" vertical="center"/>
    </xf>
    <xf numFmtId="0" fontId="26" fillId="6" borderId="62" xfId="0" applyFont="1" applyFill="1" applyBorder="1" applyAlignment="1">
      <alignment horizontal="center" vertical="center"/>
    </xf>
    <xf numFmtId="0" fontId="26" fillId="6" borderId="74" xfId="0" applyFont="1" applyFill="1" applyBorder="1" applyAlignment="1">
      <alignment horizontal="center" vertical="center"/>
    </xf>
    <xf numFmtId="0" fontId="26" fillId="0" borderId="76" xfId="0" applyFont="1" applyBorder="1" applyAlignment="1">
      <alignment horizontal="left" vertical="center"/>
    </xf>
    <xf numFmtId="0" fontId="26" fillId="0" borderId="9" xfId="0" applyFont="1" applyBorder="1" applyAlignment="1">
      <alignment horizontal="left" vertical="center"/>
    </xf>
    <xf numFmtId="0" fontId="25" fillId="0" borderId="76" xfId="0" applyFont="1" applyBorder="1" applyAlignment="1">
      <alignment horizontal="left" vertical="center"/>
    </xf>
    <xf numFmtId="0" fontId="25" fillId="0" borderId="9" xfId="0" applyFont="1" applyBorder="1" applyAlignment="1">
      <alignment horizontal="left" vertical="center"/>
    </xf>
    <xf numFmtId="1" fontId="26" fillId="8" borderId="62" xfId="0" applyNumberFormat="1" applyFont="1" applyFill="1" applyBorder="1" applyAlignment="1">
      <alignment horizontal="center" vertical="center"/>
    </xf>
    <xf numFmtId="0" fontId="26" fillId="8" borderId="34" xfId="0" applyFont="1" applyFill="1" applyBorder="1" applyAlignment="1">
      <alignment horizontal="center" vertical="center"/>
    </xf>
    <xf numFmtId="1" fontId="26" fillId="8" borderId="70" xfId="0" quotePrefix="1" applyNumberFormat="1" applyFont="1" applyFill="1" applyBorder="1" applyAlignment="1">
      <alignment horizontal="center" vertical="center"/>
    </xf>
    <xf numFmtId="1" fontId="26" fillId="8" borderId="35" xfId="0" quotePrefix="1" applyNumberFormat="1" applyFont="1" applyFill="1" applyBorder="1" applyAlignment="1">
      <alignment horizontal="center" vertical="center"/>
    </xf>
    <xf numFmtId="1" fontId="26" fillId="6" borderId="62" xfId="0" applyNumberFormat="1" applyFont="1" applyFill="1" applyBorder="1" applyAlignment="1">
      <alignment horizontal="center" vertical="center"/>
    </xf>
    <xf numFmtId="0" fontId="26" fillId="6" borderId="34" xfId="0" applyFont="1" applyFill="1" applyBorder="1" applyAlignment="1">
      <alignment horizontal="center" vertical="center"/>
    </xf>
    <xf numFmtId="1" fontId="26" fillId="9" borderId="36" xfId="0" quotePrefix="1" applyNumberFormat="1" applyFont="1" applyFill="1" applyBorder="1" applyAlignment="1">
      <alignment horizontal="center" vertical="center"/>
    </xf>
    <xf numFmtId="1" fontId="26" fillId="9" borderId="38" xfId="0" quotePrefix="1" applyNumberFormat="1" applyFont="1" applyFill="1" applyBorder="1" applyAlignment="1">
      <alignment horizontal="center" vertical="center"/>
    </xf>
    <xf numFmtId="1" fontId="26" fillId="9" borderId="69" xfId="0" quotePrefix="1" applyNumberFormat="1" applyFont="1" applyFill="1" applyBorder="1" applyAlignment="1">
      <alignment horizontal="center" vertical="center"/>
    </xf>
    <xf numFmtId="1" fontId="26" fillId="6" borderId="70" xfId="0" quotePrefix="1" applyNumberFormat="1" applyFont="1" applyFill="1" applyBorder="1" applyAlignment="1">
      <alignment horizontal="center" vertical="center"/>
    </xf>
    <xf numFmtId="1" fontId="26" fillId="6" borderId="35" xfId="0" quotePrefix="1" applyNumberFormat="1" applyFont="1" applyFill="1" applyBorder="1" applyAlignment="1">
      <alignment horizontal="center" vertical="center"/>
    </xf>
    <xf numFmtId="0" fontId="33" fillId="0" borderId="66" xfId="0" applyFont="1" applyBorder="1" applyAlignment="1">
      <alignment horizontal="center" vertical="center"/>
    </xf>
    <xf numFmtId="0" fontId="33" fillId="0" borderId="61" xfId="0" applyFont="1" applyBorder="1" applyAlignment="1">
      <alignment horizontal="center" vertical="center"/>
    </xf>
    <xf numFmtId="0" fontId="33" fillId="8" borderId="44" xfId="0" applyFont="1" applyFill="1" applyBorder="1" applyAlignment="1">
      <alignment horizontal="center" vertical="center"/>
    </xf>
    <xf numFmtId="0" fontId="33" fillId="8" borderId="61" xfId="0" applyFont="1" applyFill="1" applyBorder="1" applyAlignment="1">
      <alignment horizontal="center" vertical="center"/>
    </xf>
    <xf numFmtId="0" fontId="33" fillId="0" borderId="48" xfId="0" applyFont="1" applyBorder="1" applyAlignment="1">
      <alignment horizontal="center" vertical="center"/>
    </xf>
    <xf numFmtId="0" fontId="33" fillId="0" borderId="8" xfId="0" applyFont="1" applyBorder="1" applyAlignment="1">
      <alignment horizontal="center" vertical="center"/>
    </xf>
    <xf numFmtId="0" fontId="27" fillId="0" borderId="61" xfId="0" applyFont="1" applyBorder="1" applyAlignment="1">
      <alignment horizontal="center" vertical="center"/>
    </xf>
    <xf numFmtId="0" fontId="27" fillId="8" borderId="44" xfId="0" applyFont="1" applyFill="1" applyBorder="1" applyAlignment="1">
      <alignment horizontal="center" vertical="center"/>
    </xf>
    <xf numFmtId="0" fontId="27" fillId="8" borderId="61" xfId="0" applyFont="1" applyFill="1" applyBorder="1" applyAlignment="1">
      <alignment horizontal="center" vertical="center"/>
    </xf>
    <xf numFmtId="0" fontId="27" fillId="0" borderId="48" xfId="0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27" fillId="8" borderId="52" xfId="0" applyFont="1" applyFill="1" applyBorder="1" applyAlignment="1">
      <alignment horizontal="center" vertical="center"/>
    </xf>
    <xf numFmtId="0" fontId="27" fillId="8" borderId="50" xfId="0" applyFont="1" applyFill="1" applyBorder="1" applyAlignment="1">
      <alignment horizontal="center" vertical="center"/>
    </xf>
    <xf numFmtId="0" fontId="33" fillId="8" borderId="52" xfId="0" applyFont="1" applyFill="1" applyBorder="1" applyAlignment="1">
      <alignment horizontal="center" vertical="center"/>
    </xf>
    <xf numFmtId="0" fontId="33" fillId="8" borderId="50" xfId="0" applyFont="1" applyFill="1" applyBorder="1" applyAlignment="1">
      <alignment horizontal="center" vertical="center"/>
    </xf>
    <xf numFmtId="0" fontId="27" fillId="7" borderId="44" xfId="0" applyFont="1" applyFill="1" applyBorder="1" applyAlignment="1">
      <alignment horizontal="center" vertical="center"/>
    </xf>
    <xf numFmtId="0" fontId="27" fillId="7" borderId="61" xfId="0" applyFont="1" applyFill="1" applyBorder="1" applyAlignment="1">
      <alignment horizontal="center" vertical="center"/>
    </xf>
    <xf numFmtId="0" fontId="27" fillId="7" borderId="52" xfId="0" applyFont="1" applyFill="1" applyBorder="1" applyAlignment="1">
      <alignment horizontal="center" vertical="center"/>
    </xf>
    <xf numFmtId="0" fontId="27" fillId="7" borderId="50" xfId="0" applyFont="1" applyFill="1" applyBorder="1" applyAlignment="1">
      <alignment horizontal="center" vertical="center"/>
    </xf>
    <xf numFmtId="0" fontId="27" fillId="6" borderId="44" xfId="0" applyFont="1" applyFill="1" applyBorder="1" applyAlignment="1">
      <alignment horizontal="center" vertical="center"/>
    </xf>
    <xf numFmtId="0" fontId="27" fillId="6" borderId="61" xfId="0" applyFont="1" applyFill="1" applyBorder="1" applyAlignment="1">
      <alignment horizontal="center" vertical="center"/>
    </xf>
    <xf numFmtId="0" fontId="27" fillId="6" borderId="52" xfId="0" applyFont="1" applyFill="1" applyBorder="1" applyAlignment="1">
      <alignment horizontal="center" vertical="center"/>
    </xf>
    <xf numFmtId="0" fontId="27" fillId="6" borderId="50" xfId="0" applyFont="1" applyFill="1" applyBorder="1" applyAlignment="1">
      <alignment horizontal="center" vertical="center"/>
    </xf>
    <xf numFmtId="0" fontId="33" fillId="0" borderId="73" xfId="0" applyFont="1" applyBorder="1" applyAlignment="1">
      <alignment horizontal="center" vertical="center"/>
    </xf>
    <xf numFmtId="0" fontId="33" fillId="9" borderId="85" xfId="0" applyFont="1" applyFill="1" applyBorder="1" applyAlignment="1">
      <alignment horizontal="center" vertical="center"/>
    </xf>
    <xf numFmtId="0" fontId="33" fillId="9" borderId="15" xfId="0" applyFont="1" applyFill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50" xfId="0" applyFont="1" applyBorder="1" applyAlignment="1">
      <alignment horizontal="center" vertical="center"/>
    </xf>
    <xf numFmtId="0" fontId="33" fillId="6" borderId="44" xfId="0" applyFont="1" applyFill="1" applyBorder="1" applyAlignment="1">
      <alignment horizontal="center" vertical="center"/>
    </xf>
    <xf numFmtId="0" fontId="33" fillId="6" borderId="61" xfId="0" applyFont="1" applyFill="1" applyBorder="1" applyAlignment="1">
      <alignment horizontal="center" vertical="center"/>
    </xf>
    <xf numFmtId="0" fontId="33" fillId="6" borderId="52" xfId="0" applyFont="1" applyFill="1" applyBorder="1" applyAlignment="1">
      <alignment horizontal="center" vertical="center"/>
    </xf>
    <xf numFmtId="0" fontId="33" fillId="6" borderId="50" xfId="0" applyFont="1" applyFill="1" applyBorder="1" applyAlignment="1">
      <alignment horizontal="center" vertical="center"/>
    </xf>
    <xf numFmtId="0" fontId="27" fillId="0" borderId="10" xfId="0" applyFont="1" applyBorder="1" applyAlignment="1">
      <alignment horizontal="left" vertical="center"/>
    </xf>
    <xf numFmtId="0" fontId="27" fillId="8" borderId="10" xfId="0" applyFont="1" applyFill="1" applyBorder="1" applyAlignment="1">
      <alignment horizontal="center" vertical="center"/>
    </xf>
    <xf numFmtId="0" fontId="27" fillId="6" borderId="10" xfId="0" applyFont="1" applyFill="1" applyBorder="1" applyAlignment="1">
      <alignment horizontal="center" vertical="center"/>
    </xf>
    <xf numFmtId="1" fontId="25" fillId="8" borderId="10" xfId="0" applyNumberFormat="1" applyFont="1" applyFill="1" applyBorder="1" applyAlignment="1">
      <alignment horizontal="center" vertical="center"/>
    </xf>
    <xf numFmtId="1" fontId="25" fillId="6" borderId="10" xfId="0" applyNumberFormat="1" applyFont="1" applyFill="1" applyBorder="1" applyAlignment="1">
      <alignment horizontal="center" vertical="center"/>
    </xf>
    <xf numFmtId="0" fontId="27" fillId="7" borderId="10" xfId="0" applyFont="1" applyFill="1" applyBorder="1" applyAlignment="1">
      <alignment horizontal="center" vertical="center"/>
    </xf>
    <xf numFmtId="1" fontId="26" fillId="7" borderId="45" xfId="0" applyNumberFormat="1" applyFont="1" applyFill="1" applyBorder="1" applyAlignment="1">
      <alignment horizontal="center" vertical="center"/>
    </xf>
    <xf numFmtId="1" fontId="26" fillId="7" borderId="30" xfId="0" applyNumberFormat="1" applyFont="1" applyFill="1" applyBorder="1" applyAlignment="1">
      <alignment horizontal="center" vertical="center"/>
    </xf>
    <xf numFmtId="0" fontId="33" fillId="8" borderId="1" xfId="0" applyFont="1" applyFill="1" applyBorder="1" applyAlignment="1">
      <alignment horizontal="center" vertical="center"/>
    </xf>
    <xf numFmtId="0" fontId="33" fillId="8" borderId="11" xfId="0" applyFont="1" applyFill="1" applyBorder="1" applyAlignment="1">
      <alignment horizontal="center" vertical="center"/>
    </xf>
    <xf numFmtId="0" fontId="33" fillId="0" borderId="25" xfId="0" applyFont="1" applyBorder="1" applyAlignment="1">
      <alignment horizontal="center" vertical="center"/>
    </xf>
    <xf numFmtId="0" fontId="33" fillId="0" borderId="21" xfId="0" applyFont="1" applyBorder="1" applyAlignment="1">
      <alignment horizontal="center" vertical="center"/>
    </xf>
    <xf numFmtId="0" fontId="33" fillId="8" borderId="25" xfId="0" applyFont="1" applyFill="1" applyBorder="1" applyAlignment="1">
      <alignment horizontal="center" vertical="center"/>
    </xf>
    <xf numFmtId="0" fontId="33" fillId="8" borderId="21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10" fillId="0" borderId="0" xfId="0" applyFont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0" fontId="24" fillId="8" borderId="41" xfId="0" applyFont="1" applyFill="1" applyBorder="1" applyAlignment="1">
      <alignment horizontal="center" vertical="center"/>
    </xf>
    <xf numFmtId="0" fontId="24" fillId="0" borderId="63" xfId="0" applyFont="1" applyBorder="1" applyAlignment="1">
      <alignment horizontal="left" vertical="center"/>
    </xf>
    <xf numFmtId="0" fontId="24" fillId="0" borderId="32" xfId="0" applyFont="1" applyBorder="1" applyAlignment="1">
      <alignment horizontal="left" vertical="center"/>
    </xf>
    <xf numFmtId="0" fontId="24" fillId="0" borderId="41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24" fillId="6" borderId="41" xfId="0" applyFont="1" applyFill="1" applyBorder="1" applyAlignment="1">
      <alignment horizontal="center" vertical="center"/>
    </xf>
    <xf numFmtId="0" fontId="24" fillId="7" borderId="41" xfId="0" applyFont="1" applyFill="1" applyBorder="1" applyAlignment="1">
      <alignment horizontal="center" vertical="center"/>
    </xf>
    <xf numFmtId="0" fontId="24" fillId="8" borderId="42" xfId="0" applyFont="1" applyFill="1" applyBorder="1" applyAlignment="1">
      <alignment horizontal="center" vertical="center"/>
    </xf>
    <xf numFmtId="2" fontId="26" fillId="0" borderId="37" xfId="0" applyNumberFormat="1" applyFont="1" applyBorder="1" applyAlignment="1">
      <alignment horizontal="center" vertical="center"/>
    </xf>
    <xf numFmtId="2" fontId="26" fillId="8" borderId="10" xfId="0" applyNumberFormat="1" applyFont="1" applyFill="1" applyBorder="1" applyAlignment="1">
      <alignment horizontal="center" vertical="center"/>
    </xf>
    <xf numFmtId="2" fontId="26" fillId="6" borderId="10" xfId="0" applyNumberFormat="1" applyFont="1" applyFill="1" applyBorder="1" applyAlignment="1">
      <alignment horizontal="center" vertical="center"/>
    </xf>
    <xf numFmtId="2" fontId="26" fillId="7" borderId="10" xfId="0" applyNumberFormat="1" applyFont="1" applyFill="1" applyBorder="1" applyAlignment="1">
      <alignment horizontal="center" vertical="center"/>
    </xf>
    <xf numFmtId="2" fontId="26" fillId="0" borderId="10" xfId="0" applyNumberFormat="1" applyFont="1" applyBorder="1" applyAlignment="1">
      <alignment horizontal="center" vertical="center"/>
    </xf>
    <xf numFmtId="0" fontId="27" fillId="0" borderId="10" xfId="0" applyFont="1" applyBorder="1" applyAlignment="1">
      <alignment horizontal="right" vertical="center"/>
    </xf>
    <xf numFmtId="2" fontId="26" fillId="9" borderId="10" xfId="0" applyNumberFormat="1" applyFont="1" applyFill="1" applyBorder="1" applyAlignment="1">
      <alignment horizontal="center" vertical="center"/>
    </xf>
    <xf numFmtId="0" fontId="33" fillId="9" borderId="63" xfId="0" applyFont="1" applyFill="1" applyBorder="1" applyAlignment="1">
      <alignment horizontal="center" vertical="center"/>
    </xf>
    <xf numFmtId="0" fontId="33" fillId="9" borderId="42" xfId="0" applyFont="1" applyFill="1" applyBorder="1" applyAlignment="1">
      <alignment horizontal="center" vertical="center"/>
    </xf>
    <xf numFmtId="166" fontId="25" fillId="9" borderId="31" xfId="0" applyNumberFormat="1" applyFont="1" applyFill="1" applyBorder="1" applyAlignment="1">
      <alignment horizontal="center" vertical="center"/>
    </xf>
    <xf numFmtId="166" fontId="25" fillId="9" borderId="32" xfId="0" applyNumberFormat="1" applyFont="1" applyFill="1" applyBorder="1" applyAlignment="1">
      <alignment horizontal="center" vertical="center"/>
    </xf>
    <xf numFmtId="166" fontId="25" fillId="8" borderId="31" xfId="0" applyNumberFormat="1" applyFont="1" applyFill="1" applyBorder="1" applyAlignment="1">
      <alignment horizontal="center" vertical="center"/>
    </xf>
    <xf numFmtId="1" fontId="157" fillId="8" borderId="31" xfId="0" applyNumberFormat="1" applyFont="1" applyFill="1" applyBorder="1" applyAlignment="1">
      <alignment horizontal="center" vertical="center"/>
    </xf>
    <xf numFmtId="1" fontId="157" fillId="8" borderId="32" xfId="0" applyNumberFormat="1" applyFont="1" applyFill="1" applyBorder="1" applyAlignment="1">
      <alignment horizontal="center" vertical="center"/>
    </xf>
    <xf numFmtId="1" fontId="157" fillId="6" borderId="31" xfId="0" applyNumberFormat="1" applyFont="1" applyFill="1" applyBorder="1" applyAlignment="1">
      <alignment horizontal="center" vertical="center"/>
    </xf>
    <xf numFmtId="1" fontId="157" fillId="6" borderId="32" xfId="0" applyNumberFormat="1" applyFont="1" applyFill="1" applyBorder="1" applyAlignment="1">
      <alignment horizontal="center" vertical="center"/>
    </xf>
    <xf numFmtId="0" fontId="33" fillId="9" borderId="3" xfId="0" applyFont="1" applyFill="1" applyBorder="1" applyAlignment="1">
      <alignment horizontal="center" vertical="center"/>
    </xf>
    <xf numFmtId="166" fontId="25" fillId="8" borderId="29" xfId="0" applyNumberFormat="1" applyFont="1" applyFill="1" applyBorder="1" applyAlignment="1">
      <alignment horizontal="center" vertical="center"/>
    </xf>
    <xf numFmtId="0" fontId="24" fillId="9" borderId="63" xfId="0" applyFont="1" applyFill="1" applyBorder="1" applyAlignment="1">
      <alignment horizontal="center" vertical="center"/>
    </xf>
    <xf numFmtId="0" fontId="24" fillId="9" borderId="42" xfId="0" applyFont="1" applyFill="1" applyBorder="1" applyAlignment="1">
      <alignment horizontal="center" vertical="center"/>
    </xf>
    <xf numFmtId="166" fontId="25" fillId="6" borderId="31" xfId="0" applyNumberFormat="1" applyFont="1" applyFill="1" applyBorder="1" applyAlignment="1">
      <alignment horizontal="center" vertical="center"/>
    </xf>
    <xf numFmtId="1" fontId="157" fillId="8" borderId="29" xfId="0" applyNumberFormat="1" applyFont="1" applyFill="1" applyBorder="1" applyAlignment="1">
      <alignment horizontal="center" vertical="center"/>
    </xf>
    <xf numFmtId="1" fontId="25" fillId="9" borderId="31" xfId="0" applyNumberFormat="1" applyFont="1" applyFill="1" applyBorder="1" applyAlignment="1">
      <alignment horizontal="center" vertical="center"/>
    </xf>
    <xf numFmtId="166" fontId="25" fillId="7" borderId="31" xfId="0" applyNumberFormat="1" applyFont="1" applyFill="1" applyBorder="1" applyAlignment="1">
      <alignment horizontal="center" vertical="center"/>
    </xf>
    <xf numFmtId="1" fontId="25" fillId="9" borderId="32" xfId="0" applyNumberFormat="1" applyFont="1" applyFill="1" applyBorder="1" applyAlignment="1">
      <alignment horizontal="center" vertical="center"/>
    </xf>
    <xf numFmtId="1" fontId="157" fillId="7" borderId="31" xfId="0" applyNumberFormat="1" applyFont="1" applyFill="1" applyBorder="1" applyAlignment="1">
      <alignment horizontal="center" vertical="center"/>
    </xf>
    <xf numFmtId="1" fontId="157" fillId="7" borderId="32" xfId="0" applyNumberFormat="1" applyFont="1" applyFill="1" applyBorder="1" applyAlignment="1">
      <alignment horizontal="center" vertical="center"/>
    </xf>
    <xf numFmtId="0" fontId="25" fillId="0" borderId="10" xfId="0" applyFont="1" applyBorder="1" applyAlignment="1">
      <alignment horizontal="left" vertical="center"/>
    </xf>
    <xf numFmtId="0" fontId="168" fillId="0" borderId="0" xfId="0" applyFont="1" applyBorder="1" applyAlignment="1">
      <alignment horizontal="left" vertical="center"/>
    </xf>
    <xf numFmtId="0" fontId="24" fillId="9" borderId="63" xfId="0" applyFont="1" applyFill="1" applyBorder="1" applyAlignment="1">
      <alignment horizontal="left" vertical="center"/>
    </xf>
    <xf numFmtId="0" fontId="24" fillId="9" borderId="32" xfId="0" applyFont="1" applyFill="1" applyBorder="1" applyAlignment="1">
      <alignment horizontal="left" vertical="center"/>
    </xf>
    <xf numFmtId="0" fontId="24" fillId="9" borderId="66" xfId="0" applyFont="1" applyFill="1" applyBorder="1" applyAlignment="1">
      <alignment horizontal="center" vertical="center"/>
    </xf>
    <xf numFmtId="0" fontId="24" fillId="9" borderId="68" xfId="0" applyFont="1" applyFill="1" applyBorder="1" applyAlignment="1">
      <alignment horizontal="center" vertical="center"/>
    </xf>
    <xf numFmtId="0" fontId="25" fillId="0" borderId="37" xfId="0" applyFont="1" applyBorder="1" applyAlignment="1">
      <alignment horizontal="center" vertical="center"/>
    </xf>
    <xf numFmtId="0" fontId="24" fillId="9" borderId="3" xfId="0" applyFont="1" applyFill="1" applyBorder="1" applyAlignment="1">
      <alignment horizontal="center" vertical="center"/>
    </xf>
    <xf numFmtId="0" fontId="24" fillId="8" borderId="3" xfId="0" applyFont="1" applyFill="1" applyBorder="1" applyAlignment="1">
      <alignment horizontal="center" vertical="center"/>
    </xf>
    <xf numFmtId="0" fontId="24" fillId="8" borderId="66" xfId="0" applyFont="1" applyFill="1" applyBorder="1" applyAlignment="1">
      <alignment horizontal="center" vertical="center"/>
    </xf>
    <xf numFmtId="0" fontId="27" fillId="9" borderId="3" xfId="0" applyFont="1" applyFill="1" applyBorder="1" applyAlignment="1">
      <alignment horizontal="center" vertical="center"/>
    </xf>
    <xf numFmtId="0" fontId="27" fillId="9" borderId="66" xfId="0" applyFont="1" applyFill="1" applyBorder="1" applyAlignment="1">
      <alignment horizontal="center" vertical="center"/>
    </xf>
    <xf numFmtId="0" fontId="33" fillId="9" borderId="66" xfId="0" applyFont="1" applyFill="1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9" fillId="8" borderId="10" xfId="0" applyFont="1" applyFill="1" applyBorder="1" applyAlignment="1">
      <alignment horizontal="center"/>
    </xf>
    <xf numFmtId="0" fontId="29" fillId="6" borderId="10" xfId="0" applyFont="1" applyFill="1" applyBorder="1" applyAlignment="1">
      <alignment horizontal="center"/>
    </xf>
    <xf numFmtId="0" fontId="110" fillId="0" borderId="0" xfId="0" applyFont="1" applyAlignment="1">
      <alignment horizontal="center"/>
    </xf>
    <xf numFmtId="0" fontId="64" fillId="0" borderId="37" xfId="0" applyFont="1" applyBorder="1" applyAlignment="1">
      <alignment horizontal="left"/>
    </xf>
    <xf numFmtId="0" fontId="64" fillId="0" borderId="29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9" fillId="44" borderId="10" xfId="0" applyFont="1" applyFill="1" applyBorder="1" applyAlignment="1">
      <alignment horizontal="center"/>
    </xf>
    <xf numFmtId="0" fontId="29" fillId="0" borderId="37" xfId="0" applyFont="1" applyBorder="1" applyAlignment="1">
      <alignment horizontal="center"/>
    </xf>
    <xf numFmtId="0" fontId="29" fillId="0" borderId="29" xfId="0" applyFont="1" applyBorder="1" applyAlignment="1">
      <alignment horizontal="center"/>
    </xf>
    <xf numFmtId="0" fontId="29" fillId="7" borderId="10" xfId="0" applyFont="1" applyFill="1" applyBorder="1" applyAlignment="1">
      <alignment horizontal="center"/>
    </xf>
    <xf numFmtId="0" fontId="45" fillId="0" borderId="45" xfId="0" applyFont="1" applyBorder="1" applyAlignment="1">
      <alignment horizontal="center" vertical="center"/>
    </xf>
    <xf numFmtId="0" fontId="45" fillId="0" borderId="46" xfId="0" applyFont="1" applyBorder="1" applyAlignment="1">
      <alignment horizontal="center" vertical="center"/>
    </xf>
    <xf numFmtId="0" fontId="45" fillId="0" borderId="30" xfId="0" applyFont="1" applyBorder="1" applyAlignment="1">
      <alignment horizontal="center" vertical="center"/>
    </xf>
    <xf numFmtId="0" fontId="29" fillId="8" borderId="37" xfId="0" applyFont="1" applyFill="1" applyBorder="1" applyAlignment="1">
      <alignment horizontal="center"/>
    </xf>
    <xf numFmtId="0" fontId="29" fillId="8" borderId="29" xfId="0" applyFont="1" applyFill="1" applyBorder="1" applyAlignment="1">
      <alignment horizontal="center"/>
    </xf>
    <xf numFmtId="0" fontId="23" fillId="0" borderId="39" xfId="0" applyFont="1" applyBorder="1" applyAlignment="1">
      <alignment horizontal="center"/>
    </xf>
    <xf numFmtId="0" fontId="23" fillId="6" borderId="2" xfId="0" applyFont="1" applyFill="1" applyBorder="1" applyAlignment="1">
      <alignment horizontal="center"/>
    </xf>
    <xf numFmtId="0" fontId="23" fillId="6" borderId="56" xfId="0" applyFont="1" applyFill="1" applyBorder="1" applyAlignment="1">
      <alignment horizontal="center"/>
    </xf>
    <xf numFmtId="0" fontId="57" fillId="8" borderId="39" xfId="0" applyFont="1" applyFill="1" applyBorder="1" applyAlignment="1">
      <alignment horizontal="center"/>
    </xf>
    <xf numFmtId="0" fontId="57" fillId="8" borderId="56" xfId="0" applyFont="1" applyFill="1" applyBorder="1" applyAlignment="1">
      <alignment horizontal="center"/>
    </xf>
    <xf numFmtId="0" fontId="23" fillId="35" borderId="39" xfId="0" applyFont="1" applyFill="1" applyBorder="1" applyAlignment="1">
      <alignment horizontal="center"/>
    </xf>
    <xf numFmtId="0" fontId="23" fillId="7" borderId="39" xfId="0" applyFont="1" applyFill="1" applyBorder="1" applyAlignment="1">
      <alignment horizontal="center"/>
    </xf>
    <xf numFmtId="0" fontId="29" fillId="9" borderId="25" xfId="0" applyFont="1" applyFill="1" applyBorder="1" applyAlignment="1">
      <alignment horizontal="center" vertical="center"/>
    </xf>
    <xf numFmtId="0" fontId="29" fillId="9" borderId="55" xfId="0" applyFont="1" applyFill="1" applyBorder="1" applyAlignment="1">
      <alignment horizontal="center" vertical="center"/>
    </xf>
    <xf numFmtId="0" fontId="33" fillId="0" borderId="43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16" xfId="0" applyFont="1" applyBorder="1" applyAlignment="1">
      <alignment horizontal="center" vertical="center"/>
    </xf>
    <xf numFmtId="0" fontId="33" fillId="0" borderId="43" xfId="0" applyFont="1" applyBorder="1" applyAlignment="1">
      <alignment horizontal="center" vertical="center" wrapText="1"/>
    </xf>
    <xf numFmtId="0" fontId="33" fillId="0" borderId="40" xfId="0" applyFont="1" applyBorder="1" applyAlignment="1">
      <alignment horizontal="center" vertical="center" wrapText="1"/>
    </xf>
    <xf numFmtId="0" fontId="33" fillId="0" borderId="16" xfId="0" applyFont="1" applyBorder="1" applyAlignment="1">
      <alignment horizontal="center" vertical="center" wrapText="1"/>
    </xf>
    <xf numFmtId="0" fontId="57" fillId="8" borderId="2" xfId="0" applyFont="1" applyFill="1" applyBorder="1" applyAlignment="1">
      <alignment horizontal="center"/>
    </xf>
    <xf numFmtId="0" fontId="23" fillId="7" borderId="2" xfId="0" applyFont="1" applyFill="1" applyBorder="1" applyAlignment="1">
      <alignment horizontal="center"/>
    </xf>
    <xf numFmtId="0" fontId="23" fillId="7" borderId="56" xfId="0" applyFont="1" applyFill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23" fillId="0" borderId="56" xfId="0" applyFont="1" applyBorder="1" applyAlignment="1">
      <alignment horizontal="center"/>
    </xf>
    <xf numFmtId="0" fontId="68" fillId="9" borderId="45" xfId="0" applyFont="1" applyFill="1" applyBorder="1" applyAlignment="1">
      <alignment horizontal="center" vertical="center"/>
    </xf>
    <xf numFmtId="0" fontId="68" fillId="9" borderId="46" xfId="0" applyFont="1" applyFill="1" applyBorder="1" applyAlignment="1">
      <alignment horizontal="center" vertical="center"/>
    </xf>
    <xf numFmtId="0" fontId="68" fillId="9" borderId="14" xfId="0" applyFont="1" applyFill="1" applyBorder="1" applyAlignment="1">
      <alignment horizontal="center" vertical="center"/>
    </xf>
    <xf numFmtId="0" fontId="103" fillId="9" borderId="66" xfId="0" applyFont="1" applyFill="1" applyBorder="1" applyAlignment="1">
      <alignment horizontal="center" vertical="center"/>
    </xf>
    <xf numFmtId="0" fontId="103" fillId="9" borderId="3" xfId="0" applyFont="1" applyFill="1" applyBorder="1" applyAlignment="1">
      <alignment horizontal="center" vertical="center"/>
    </xf>
    <xf numFmtId="0" fontId="103" fillId="8" borderId="66" xfId="0" applyFont="1" applyFill="1" applyBorder="1" applyAlignment="1">
      <alignment horizontal="center" vertical="center"/>
    </xf>
    <xf numFmtId="0" fontId="103" fillId="8" borderId="3" xfId="0" applyFont="1" applyFill="1" applyBorder="1" applyAlignment="1">
      <alignment horizontal="center" vertical="center"/>
    </xf>
    <xf numFmtId="0" fontId="103" fillId="6" borderId="66" xfId="0" applyFont="1" applyFill="1" applyBorder="1" applyAlignment="1">
      <alignment horizontal="center" vertical="center"/>
    </xf>
    <xf numFmtId="0" fontId="103" fillId="6" borderId="3" xfId="0" applyFont="1" applyFill="1" applyBorder="1" applyAlignment="1">
      <alignment horizontal="center" vertical="center"/>
    </xf>
    <xf numFmtId="0" fontId="103" fillId="7" borderId="66" xfId="0" applyFont="1" applyFill="1" applyBorder="1" applyAlignment="1">
      <alignment horizontal="center" vertical="center"/>
    </xf>
    <xf numFmtId="0" fontId="103" fillId="7" borderId="3" xfId="0" applyFont="1" applyFill="1" applyBorder="1" applyAlignment="1">
      <alignment horizontal="center" vertical="center"/>
    </xf>
    <xf numFmtId="0" fontId="144" fillId="0" borderId="0" xfId="0" applyFont="1" applyAlignment="1">
      <alignment horizontal="center"/>
    </xf>
    <xf numFmtId="0" fontId="103" fillId="8" borderId="61" xfId="0" applyFont="1" applyFill="1" applyBorder="1" applyAlignment="1">
      <alignment horizontal="center" vertical="center"/>
    </xf>
    <xf numFmtId="0" fontId="33" fillId="6" borderId="4" xfId="0" applyFont="1" applyFill="1" applyBorder="1" applyAlignment="1">
      <alignment horizontal="center" vertical="center"/>
    </xf>
    <xf numFmtId="0" fontId="33" fillId="6" borderId="11" xfId="0" applyFont="1" applyFill="1" applyBorder="1" applyAlignment="1">
      <alignment horizontal="center" vertical="center"/>
    </xf>
    <xf numFmtId="0" fontId="33" fillId="6" borderId="1" xfId="0" applyFont="1" applyFill="1" applyBorder="1" applyAlignment="1">
      <alignment horizontal="center" vertical="center"/>
    </xf>
    <xf numFmtId="0" fontId="33" fillId="7" borderId="1" xfId="0" applyFont="1" applyFill="1" applyBorder="1" applyAlignment="1">
      <alignment horizontal="center" vertical="center"/>
    </xf>
    <xf numFmtId="0" fontId="33" fillId="7" borderId="11" xfId="0" applyFont="1" applyFill="1" applyBorder="1" applyAlignment="1">
      <alignment horizontal="center" vertical="center"/>
    </xf>
    <xf numFmtId="0" fontId="29" fillId="0" borderId="76" xfId="0" applyFont="1" applyBorder="1" applyAlignment="1">
      <alignment horizontal="left" vertical="center"/>
    </xf>
    <xf numFmtId="0" fontId="29" fillId="0" borderId="9" xfId="0" applyFont="1" applyBorder="1" applyAlignment="1">
      <alignment horizontal="left" vertical="center"/>
    </xf>
    <xf numFmtId="0" fontId="18" fillId="0" borderId="56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33" fillId="0" borderId="4" xfId="0" applyFont="1" applyBorder="1" applyAlignment="1">
      <alignment horizontal="center" vertical="center"/>
    </xf>
  </cellXfs>
  <cellStyles count="412">
    <cellStyle name="20% - Accent1 2" xfId="29"/>
    <cellStyle name="20% - Accent1 3" xfId="30"/>
    <cellStyle name="20% - Accent2 2" xfId="31"/>
    <cellStyle name="20% - Accent2 3" xfId="32"/>
    <cellStyle name="20% - Accent3 2" xfId="33"/>
    <cellStyle name="20% - Accent3 3" xfId="34"/>
    <cellStyle name="20% - Accent4 2" xfId="35"/>
    <cellStyle name="20% - Accent4 3" xfId="36"/>
    <cellStyle name="20% - Accent5 2" xfId="37"/>
    <cellStyle name="20% - Accent5 3" xfId="38"/>
    <cellStyle name="20% - Accent6 2" xfId="39"/>
    <cellStyle name="20% - Accent6 3" xfId="40"/>
    <cellStyle name="40% - Accent1 2" xfId="41"/>
    <cellStyle name="40% - Accent1 3" xfId="42"/>
    <cellStyle name="40% - Accent2 2" xfId="43"/>
    <cellStyle name="40% - Accent2 3" xfId="44"/>
    <cellStyle name="40% - Accent3 2" xfId="45"/>
    <cellStyle name="40% - Accent3 3" xfId="46"/>
    <cellStyle name="40% - Accent4 2" xfId="47"/>
    <cellStyle name="40% - Accent4 3" xfId="48"/>
    <cellStyle name="40% - Accent5 2" xfId="49"/>
    <cellStyle name="40% - Accent5 3" xfId="50"/>
    <cellStyle name="40% - Accent6 2" xfId="51"/>
    <cellStyle name="40% - Accent6 3" xfId="52"/>
    <cellStyle name="60% - Accent1 2" xfId="53"/>
    <cellStyle name="60% - Accent1 3" xfId="54"/>
    <cellStyle name="60% - Accent2 2" xfId="55"/>
    <cellStyle name="60% - Accent2 3" xfId="56"/>
    <cellStyle name="60% - Accent3 2" xfId="57"/>
    <cellStyle name="60% - Accent3 3" xfId="58"/>
    <cellStyle name="60% - Accent4 2" xfId="59"/>
    <cellStyle name="60% - Accent4 3" xfId="60"/>
    <cellStyle name="60% - Accent5 2" xfId="61"/>
    <cellStyle name="60% - Accent5 3" xfId="62"/>
    <cellStyle name="60% - Accent6 2" xfId="63"/>
    <cellStyle name="60% - Accent6 3" xfId="64"/>
    <cellStyle name="Accent 1 1" xfId="279"/>
    <cellStyle name="Accent 2 1" xfId="280"/>
    <cellStyle name="Accent 3 1" xfId="281"/>
    <cellStyle name="Accent 4" xfId="282"/>
    <cellStyle name="Accent1 2" xfId="65"/>
    <cellStyle name="Accent1 3" xfId="66"/>
    <cellStyle name="Accent2 2" xfId="67"/>
    <cellStyle name="Accent2 3" xfId="68"/>
    <cellStyle name="Accent3 2" xfId="69"/>
    <cellStyle name="Accent3 3" xfId="70"/>
    <cellStyle name="Accent4 2" xfId="71"/>
    <cellStyle name="Accent4 3" xfId="72"/>
    <cellStyle name="Accent5 2" xfId="73"/>
    <cellStyle name="Accent5 3" xfId="74"/>
    <cellStyle name="Accent6 2" xfId="75"/>
    <cellStyle name="Accent6 3" xfId="76"/>
    <cellStyle name="Bad 1" xfId="283"/>
    <cellStyle name="Bad 2" xfId="77"/>
    <cellStyle name="Bad 3" xfId="78"/>
    <cellStyle name="Calculation 2" xfId="79"/>
    <cellStyle name="Calculation 2 2" xfId="353"/>
    <cellStyle name="Calculation 2 3" xfId="366"/>
    <cellStyle name="Calculation 3" xfId="80"/>
    <cellStyle name="Calculation 3 2" xfId="354"/>
    <cellStyle name="Calculation 3 3" xfId="367"/>
    <cellStyle name="Check Cell 2" xfId="81"/>
    <cellStyle name="Check Cell 3" xfId="82"/>
    <cellStyle name="Comma 2" xfId="9"/>
    <cellStyle name="Comma 2 2" xfId="11"/>
    <cellStyle name="Comma 2 2 2" xfId="83"/>
    <cellStyle name="Comma 2 2 2 2" xfId="347"/>
    <cellStyle name="Comma 2 2 2 3" xfId="337"/>
    <cellStyle name="Comma 2 2 3" xfId="335"/>
    <cellStyle name="Comma 2 2 4" xfId="394"/>
    <cellStyle name="Comma 2 3" xfId="188"/>
    <cellStyle name="Comma 2 3 2" xfId="189"/>
    <cellStyle name="Comma 2 3 2 2" xfId="382"/>
    <cellStyle name="Comma 2 3 2 3" xfId="338"/>
    <cellStyle name="Comma 2 3 3" xfId="339"/>
    <cellStyle name="Comma 2 3 4" xfId="381"/>
    <cellStyle name="Comma 2 3 5" xfId="336"/>
    <cellStyle name="Comma 2 3 6" xfId="395"/>
    <cellStyle name="Comma 2 4" xfId="190"/>
    <cellStyle name="Comma 2 4 2" xfId="383"/>
    <cellStyle name="Comma 2 4 3" xfId="340"/>
    <cellStyle name="Comma 2 5" xfId="191"/>
    <cellStyle name="Comma 2 6" xfId="187"/>
    <cellStyle name="Comma 2 7" xfId="393"/>
    <cellStyle name="Comma 3" xfId="311"/>
    <cellStyle name="Comma 3 2" xfId="363"/>
    <cellStyle name="Comma 3 3" xfId="396"/>
    <cellStyle name="Comma 4" xfId="397"/>
    <cellStyle name="Currency 2" xfId="12"/>
    <cellStyle name="Currency 2 2" xfId="84"/>
    <cellStyle name="Currency 2 2 2" xfId="348"/>
    <cellStyle name="Currency 2 2 3" xfId="328"/>
    <cellStyle name="Currency 2 3" xfId="341"/>
    <cellStyle name="Currency 2 4" xfId="398"/>
    <cellStyle name="Error 1" xfId="284"/>
    <cellStyle name="Excel Built-in Normal" xfId="192"/>
    <cellStyle name="Excel Built-in Normal 2" xfId="399"/>
    <cellStyle name="Explanatory Text 2" xfId="85"/>
    <cellStyle name="Explanatory Text 3" xfId="86"/>
    <cellStyle name="Footnote 1" xfId="285"/>
    <cellStyle name="Good 1" xfId="286"/>
    <cellStyle name="Good 2" xfId="87"/>
    <cellStyle name="Good 3" xfId="88"/>
    <cellStyle name="Heading 1 1" xfId="287"/>
    <cellStyle name="Heading 1 2" xfId="89"/>
    <cellStyle name="Heading 1 2 2" xfId="193"/>
    <cellStyle name="Heading 1 2 2 2" xfId="323"/>
    <cellStyle name="Heading 1 2 2 3" xfId="384"/>
    <cellStyle name="Heading 1 2 3" xfId="318"/>
    <cellStyle name="Heading 1 2 3 2" xfId="377"/>
    <cellStyle name="Heading 1 2 4" xfId="349"/>
    <cellStyle name="Heading 1 3" xfId="90"/>
    <cellStyle name="Heading 1 3 2" xfId="194"/>
    <cellStyle name="Heading 1 3 2 2" xfId="324"/>
    <cellStyle name="Heading 1 3 2 3" xfId="385"/>
    <cellStyle name="Heading 1 3 3" xfId="319"/>
    <cellStyle name="Heading 1 3 3 2" xfId="378"/>
    <cellStyle name="Heading 1 3 4" xfId="350"/>
    <cellStyle name="Heading 2 1" xfId="288"/>
    <cellStyle name="Heading 2 2" xfId="91"/>
    <cellStyle name="Heading 2 2 2" xfId="195"/>
    <cellStyle name="Heading 2 2 2 2" xfId="325"/>
    <cellStyle name="Heading 2 2 2 3" xfId="386"/>
    <cellStyle name="Heading 2 2 3" xfId="320"/>
    <cellStyle name="Heading 2 2 3 2" xfId="379"/>
    <cellStyle name="Heading 2 2 4" xfId="351"/>
    <cellStyle name="Heading 2 3" xfId="92"/>
    <cellStyle name="Heading 2 3 2" xfId="196"/>
    <cellStyle name="Heading 2 3 2 2" xfId="326"/>
    <cellStyle name="Heading 2 3 2 3" xfId="387"/>
    <cellStyle name="Heading 2 3 3" xfId="321"/>
    <cellStyle name="Heading 2 3 3 2" xfId="380"/>
    <cellStyle name="Heading 2 3 4" xfId="352"/>
    <cellStyle name="Heading 3 2" xfId="93"/>
    <cellStyle name="Heading 3 3" xfId="94"/>
    <cellStyle name="Heading 4 2" xfId="95"/>
    <cellStyle name="Heading 4 3" xfId="96"/>
    <cellStyle name="Hyperlink 1" xfId="289"/>
    <cellStyle name="Hyperlink 2" xfId="97"/>
    <cellStyle name="Input 2" xfId="98"/>
    <cellStyle name="Input 2 2" xfId="355"/>
    <cellStyle name="Input 2 3" xfId="368"/>
    <cellStyle name="Input 3" xfId="99"/>
    <cellStyle name="Input 3 2" xfId="356"/>
    <cellStyle name="Input 3 3" xfId="369"/>
    <cellStyle name="Linked Cell 2" xfId="100"/>
    <cellStyle name="Linked Cell 3" xfId="101"/>
    <cellStyle name="Neutral 1" xfId="290"/>
    <cellStyle name="Neutral 2" xfId="102"/>
    <cellStyle name="Neutral 3" xfId="103"/>
    <cellStyle name="Normal" xfId="0" builtinId="0"/>
    <cellStyle name="Normal 10" xfId="104"/>
    <cellStyle name="Normal 10 2" xfId="400"/>
    <cellStyle name="Normal 11" xfId="105"/>
    <cellStyle name="Normal 11 2" xfId="401"/>
    <cellStyle name="Normal 12" xfId="27"/>
    <cellStyle name="Normal 12 2" xfId="402"/>
    <cellStyle name="Normal 12 2 2 2" xfId="296"/>
    <cellStyle name="Normal 13" xfId="28"/>
    <cellStyle name="Normal 13 2" xfId="392"/>
    <cellStyle name="Normal 13 2 2" xfId="403"/>
    <cellStyle name="Normal 14" xfId="186"/>
    <cellStyle name="Normal 14 2" xfId="197"/>
    <cellStyle name="Normal 15" xfId="106"/>
    <cellStyle name="Normal 15 2" xfId="405"/>
    <cellStyle name="Normal 15 3" xfId="404"/>
    <cellStyle name="Normal 16" xfId="198"/>
    <cellStyle name="Normal 16 2" xfId="388"/>
    <cellStyle name="Normal 16 3" xfId="376"/>
    <cellStyle name="Normal 17" xfId="390"/>
    <cellStyle name="Normal 18" xfId="107"/>
    <cellStyle name="Normal 19" xfId="391"/>
    <cellStyle name="Normal 2" xfId="1"/>
    <cellStyle name="Normal 2 2" xfId="8"/>
    <cellStyle name="Normal 2 2 2" xfId="109"/>
    <cellStyle name="Normal 2 2 2 2" xfId="199"/>
    <cellStyle name="Normal 2 2 2 2 2" xfId="200"/>
    <cellStyle name="Normal 2 2 2 2 3 2 2 2 2 2 2 2" xfId="298"/>
    <cellStyle name="Normal 2 2 2 2 3 2 2 2 2 2 2 2 2 2 2 2" xfId="299"/>
    <cellStyle name="Normal 2 2 2 2 3 2 2 2 2 2 2 2 2 2 2 2 3" xfId="327"/>
    <cellStyle name="Normal 2 2 2 3" xfId="201"/>
    <cellStyle name="Normal 2 2 3" xfId="110"/>
    <cellStyle name="Normal 2 2 4" xfId="111"/>
    <cellStyle name="Normal 2 2 5" xfId="112"/>
    <cellStyle name="Normal 2 2 6" xfId="113"/>
    <cellStyle name="Normal 2 2 7" xfId="114"/>
    <cellStyle name="Normal 2 2 8" xfId="108"/>
    <cellStyle name="Normal 2 2 8 2" xfId="202"/>
    <cellStyle name="Normal 2 2 9" xfId="315"/>
    <cellStyle name="Normal 2 3" xfId="24"/>
    <cellStyle name="Normal 2 3 2" xfId="115"/>
    <cellStyle name="Normal 2 3 2 2" xfId="203"/>
    <cellStyle name="Normal 2 3 2 2 2" xfId="322"/>
    <cellStyle name="Normal 2 3 2 2 2 2" xfId="389"/>
    <cellStyle name="Normal 2 3 2 3" xfId="332"/>
    <cellStyle name="Normal 2 3 3" xfId="317"/>
    <cellStyle name="Normal 2 3 3 2" xfId="342"/>
    <cellStyle name="Normal 2 3 4" xfId="300"/>
    <cellStyle name="Normal 2 3 5" xfId="329"/>
    <cellStyle name="Normal 2 4" xfId="116"/>
    <cellStyle name="Normal 2 4 2" xfId="204"/>
    <cellStyle name="Normal 2 5" xfId="117"/>
    <cellStyle name="Normal 2 6" xfId="118"/>
    <cellStyle name="Normal 2 7" xfId="119"/>
    <cellStyle name="Normal 2 8" xfId="312"/>
    <cellStyle name="Normal 2 8 2" xfId="365"/>
    <cellStyle name="Normal 2 9" xfId="297"/>
    <cellStyle name="Normal 21" xfId="301"/>
    <cellStyle name="Normal 22" xfId="406"/>
    <cellStyle name="Normal 22 2" xfId="407"/>
    <cellStyle name="Normal 23" xfId="408"/>
    <cellStyle name="Normal 23 2" xfId="409"/>
    <cellStyle name="Normal 24" xfId="410"/>
    <cellStyle name="Normal 3" xfId="2"/>
    <cellStyle name="Normal 3 10" xfId="121"/>
    <cellStyle name="Normal 3 11" xfId="122"/>
    <cellStyle name="Normal 3 12" xfId="123"/>
    <cellStyle name="Normal 3 13" xfId="124"/>
    <cellStyle name="Normal 3 14" xfId="125"/>
    <cellStyle name="Normal 3 15" xfId="126"/>
    <cellStyle name="Normal 3 16" xfId="127"/>
    <cellStyle name="Normal 3 17" xfId="128"/>
    <cellStyle name="Normal 3 18" xfId="120"/>
    <cellStyle name="Normal 3 18 2" xfId="205"/>
    <cellStyle name="Normal 3 19" xfId="313"/>
    <cellStyle name="Normal 3 2" xfId="14"/>
    <cellStyle name="Normal 3 2 2" xfId="129"/>
    <cellStyle name="Normal 3 2 2 2" xfId="206"/>
    <cellStyle name="Normal 3 2 3" xfId="207"/>
    <cellStyle name="Normal 3 2 3 2" xfId="302"/>
    <cellStyle name="Normal 3 2 3 2 2 2" xfId="303"/>
    <cellStyle name="Normal 3 2 3 2 2 2 2 2" xfId="304"/>
    <cellStyle name="Normal 3 2 3 2 2 2 2 2 2 2" xfId="305"/>
    <cellStyle name="Normal 3 2 3 2 2 2 2 2 2 2 2" xfId="306"/>
    <cellStyle name="Normal 3 2 3 2 2 2 2 2 2 2 2 2 2" xfId="307"/>
    <cellStyle name="Normal 3 2 3 2 2 2 2 2 2 2 2 2 2 2" xfId="308"/>
    <cellStyle name="Normal 3 2 3 2 2 2 2 2 2 2 2 2 2 2 3" xfId="310"/>
    <cellStyle name="Normal 3 2 3 2 2 2 2 2 2 2 2 2 2 2 3 2 2 2 2" xfId="411"/>
    <cellStyle name="Normal 3 3" xfId="13"/>
    <cellStyle name="Normal 3 3 2" xfId="130"/>
    <cellStyle name="Normal 3 3 3" xfId="344"/>
    <cellStyle name="Normal 3 3 4" xfId="333"/>
    <cellStyle name="Normal 3 4" xfId="25"/>
    <cellStyle name="Normal 3 4 2" xfId="131"/>
    <cellStyle name="Normal 3 5" xfId="132"/>
    <cellStyle name="Normal 3 6" xfId="133"/>
    <cellStyle name="Normal 3 7" xfId="134"/>
    <cellStyle name="Normal 3 8" xfId="135"/>
    <cellStyle name="Normal 3 9" xfId="136"/>
    <cellStyle name="Normal 4" xfId="3"/>
    <cellStyle name="Normal 4 10" xfId="137"/>
    <cellStyle name="Normal 4 11" xfId="138"/>
    <cellStyle name="Normal 4 12" xfId="208"/>
    <cellStyle name="Normal 4 12 2" xfId="314"/>
    <cellStyle name="Normal 4 13" xfId="209"/>
    <cellStyle name="Normal 4 14" xfId="210"/>
    <cellStyle name="Normal 4 15" xfId="211"/>
    <cellStyle name="Normal 4 16" xfId="212"/>
    <cellStyle name="Normal 4 17" xfId="213"/>
    <cellStyle name="Normal 4 18" xfId="214"/>
    <cellStyle name="Normal 4 19" xfId="215"/>
    <cellStyle name="Normal 4 2" xfId="7"/>
    <cellStyle name="Normal 4 2 10" xfId="334"/>
    <cellStyle name="Normal 4 2 2" xfId="140"/>
    <cellStyle name="Normal 4 2 3" xfId="141"/>
    <cellStyle name="Normal 4 2 4" xfId="142"/>
    <cellStyle name="Normal 4 2 5" xfId="143"/>
    <cellStyle name="Normal 4 2 6" xfId="144"/>
    <cellStyle name="Normal 4 2 7" xfId="145"/>
    <cellStyle name="Normal 4 2 8" xfId="139"/>
    <cellStyle name="Normal 4 2 9" xfId="343"/>
    <cellStyle name="Normal 4 20" xfId="216"/>
    <cellStyle name="Normal 4 21" xfId="217"/>
    <cellStyle name="Normal 4 22" xfId="218"/>
    <cellStyle name="Normal 4 23" xfId="219"/>
    <cellStyle name="Normal 4 24" xfId="220"/>
    <cellStyle name="Normal 4 25" xfId="221"/>
    <cellStyle name="Normal 4 26" xfId="222"/>
    <cellStyle name="Normal 4 27" xfId="223"/>
    <cellStyle name="Normal 4 28" xfId="224"/>
    <cellStyle name="Normal 4 29" xfId="225"/>
    <cellStyle name="Normal 4 3" xfId="15"/>
    <cellStyle name="Normal 4 30" xfId="226"/>
    <cellStyle name="Normal 4 31" xfId="227"/>
    <cellStyle name="Normal 4 32" xfId="228"/>
    <cellStyle name="Normal 4 33" xfId="229"/>
    <cellStyle name="Normal 4 34" xfId="230"/>
    <cellStyle name="Normal 4 35" xfId="231"/>
    <cellStyle name="Normal 4 36" xfId="232"/>
    <cellStyle name="Normal 4 37" xfId="233"/>
    <cellStyle name="Normal 4 38" xfId="234"/>
    <cellStyle name="Normal 4 39" xfId="235"/>
    <cellStyle name="Normal 4 4" xfId="26"/>
    <cellStyle name="Normal 4 4 2" xfId="146"/>
    <cellStyle name="Normal 4 40" xfId="236"/>
    <cellStyle name="Normal 4 41" xfId="237"/>
    <cellStyle name="Normal 4 42" xfId="238"/>
    <cellStyle name="Normal 4 43" xfId="239"/>
    <cellStyle name="Normal 4 44" xfId="240"/>
    <cellStyle name="Normal 4 45" xfId="241"/>
    <cellStyle name="Normal 4 46" xfId="242"/>
    <cellStyle name="Normal 4 47" xfId="243"/>
    <cellStyle name="Normal 4 48" xfId="244"/>
    <cellStyle name="Normal 4 49" xfId="245"/>
    <cellStyle name="Normal 4 5" xfId="147"/>
    <cellStyle name="Normal 4 50" xfId="246"/>
    <cellStyle name="Normal 4 51" xfId="247"/>
    <cellStyle name="Normal 4 52" xfId="248"/>
    <cellStyle name="Normal 4 53" xfId="249"/>
    <cellStyle name="Normal 4 54" xfId="250"/>
    <cellStyle name="Normal 4 55" xfId="251"/>
    <cellStyle name="Normal 4 56" xfId="252"/>
    <cellStyle name="Normal 4 57" xfId="253"/>
    <cellStyle name="Normal 4 58" xfId="254"/>
    <cellStyle name="Normal 4 59" xfId="255"/>
    <cellStyle name="Normal 4 6" xfId="148"/>
    <cellStyle name="Normal 4 60" xfId="256"/>
    <cellStyle name="Normal 4 61" xfId="257"/>
    <cellStyle name="Normal 4 62" xfId="258"/>
    <cellStyle name="Normal 4 63" xfId="259"/>
    <cellStyle name="Normal 4 64" xfId="260"/>
    <cellStyle name="Normal 4 65" xfId="261"/>
    <cellStyle name="Normal 4 66" xfId="262"/>
    <cellStyle name="Normal 4 67" xfId="263"/>
    <cellStyle name="Normal 4 68" xfId="264"/>
    <cellStyle name="Normal 4 69" xfId="265"/>
    <cellStyle name="Normal 4 7" xfId="149"/>
    <cellStyle name="Normal 4 70" xfId="266"/>
    <cellStyle name="Normal 4 71" xfId="267"/>
    <cellStyle name="Normal 4 72" xfId="268"/>
    <cellStyle name="Normal 4 73" xfId="269"/>
    <cellStyle name="Normal 4 74" xfId="270"/>
    <cellStyle name="Normal 4 75" xfId="271"/>
    <cellStyle name="Normal 4 76" xfId="272"/>
    <cellStyle name="Normal 4 77" xfId="273"/>
    <cellStyle name="Normal 4 78" xfId="274"/>
    <cellStyle name="Normal 4 79" xfId="275"/>
    <cellStyle name="Normal 4 8" xfId="150"/>
    <cellStyle name="Normal 4 80" xfId="276"/>
    <cellStyle name="Normal 4 81" xfId="295"/>
    <cellStyle name="Normal 4 9" xfId="151"/>
    <cellStyle name="Normal 4_Daily Production" xfId="277"/>
    <cellStyle name="Normal 5" xfId="4"/>
    <cellStyle name="Normal 5 2" xfId="10"/>
    <cellStyle name="Normal 5 2 2" xfId="153"/>
    <cellStyle name="Normal 5 2 3" xfId="154"/>
    <cellStyle name="Normal 5 2 4" xfId="155"/>
    <cellStyle name="Normal 5 2 5" xfId="156"/>
    <cellStyle name="Normal 5 2 6" xfId="157"/>
    <cellStyle name="Normal 5 2 7" xfId="158"/>
    <cellStyle name="Normal 5 2 8" xfId="152"/>
    <cellStyle name="Normal 5 3" xfId="16"/>
    <cellStyle name="Normal 5 4" xfId="159"/>
    <cellStyle name="Normal 5 5" xfId="160"/>
    <cellStyle name="Normal 5 6" xfId="161"/>
    <cellStyle name="Normal 5 7" xfId="162"/>
    <cellStyle name="Normal 6" xfId="5"/>
    <cellStyle name="Normal 6 2" xfId="17"/>
    <cellStyle name="Normal 6 2 2" xfId="345"/>
    <cellStyle name="Normal 6 2 3" xfId="331"/>
    <cellStyle name="Normal 6 3" xfId="164"/>
    <cellStyle name="Normal 6 3 2" xfId="364"/>
    <cellStyle name="Normal 6 4" xfId="165"/>
    <cellStyle name="Normal 6 5" xfId="166"/>
    <cellStyle name="Normal 6 6" xfId="167"/>
    <cellStyle name="Normal 6 7" xfId="168"/>
    <cellStyle name="Normal 6 8" xfId="163"/>
    <cellStyle name="Normal 7" xfId="6"/>
    <cellStyle name="Normal 7 2" xfId="18"/>
    <cellStyle name="Normal 7 2 2" xfId="346"/>
    <cellStyle name="Normal 7 2 3" xfId="330"/>
    <cellStyle name="Normal 7 3" xfId="170"/>
    <cellStyle name="Normal 7 4" xfId="171"/>
    <cellStyle name="Normal 7 5" xfId="172"/>
    <cellStyle name="Normal 7 6" xfId="173"/>
    <cellStyle name="Normal 7 7" xfId="174"/>
    <cellStyle name="Normal 7 8" xfId="169"/>
    <cellStyle name="Normal 8" xfId="19"/>
    <cellStyle name="Normal 9" xfId="23"/>
    <cellStyle name="Normal 9 2" xfId="175"/>
    <cellStyle name="Normal 9 3" xfId="316"/>
    <cellStyle name="Note 1" xfId="291"/>
    <cellStyle name="Note 2" xfId="176"/>
    <cellStyle name="Note 2 2" xfId="357"/>
    <cellStyle name="Note 2 3" xfId="370"/>
    <cellStyle name="Note 3" xfId="177"/>
    <cellStyle name="Note 3 2" xfId="358"/>
    <cellStyle name="Note 3 3" xfId="371"/>
    <cellStyle name="Output 2" xfId="178"/>
    <cellStyle name="Output 2 2" xfId="359"/>
    <cellStyle name="Output 2 3" xfId="372"/>
    <cellStyle name="Output 3" xfId="179"/>
    <cellStyle name="Output 3 2" xfId="360"/>
    <cellStyle name="Output 3 3" xfId="373"/>
    <cellStyle name="Percent" xfId="22" builtinId="5"/>
    <cellStyle name="Percent 2" xfId="20"/>
    <cellStyle name="Percent 3" xfId="21"/>
    <cellStyle name="Pivot Table Value" xfId="278"/>
    <cellStyle name="Status 1" xfId="292"/>
    <cellStyle name="TableStyleLight1" xfId="309"/>
    <cellStyle name="Text 1" xfId="293"/>
    <cellStyle name="Title 2" xfId="180"/>
    <cellStyle name="Title 3" xfId="181"/>
    <cellStyle name="Total 2" xfId="182"/>
    <cellStyle name="Total 2 2" xfId="361"/>
    <cellStyle name="Total 2 3" xfId="374"/>
    <cellStyle name="Total 3" xfId="183"/>
    <cellStyle name="Total 3 2" xfId="362"/>
    <cellStyle name="Total 3 3" xfId="375"/>
    <cellStyle name="Warning 1" xfId="294"/>
    <cellStyle name="Warning Text 2" xfId="184"/>
    <cellStyle name="Warning Text 3" xfId="185"/>
  </cellStyles>
  <dxfs count="0"/>
  <tableStyles count="0" defaultTableStyle="TableStyleMedium2" defaultPivotStyle="PivotStyleMedium9"/>
  <colors>
    <mruColors>
      <color rgb="FFF6BCF6"/>
      <color rgb="FFF97575"/>
      <color rgb="FFFF6699"/>
      <color rgb="FFCCCCFF"/>
      <color rgb="FFCC99FF"/>
      <color rgb="FFFFFF99"/>
      <color rgb="FFFF99CC"/>
      <color rgb="FFAC4489"/>
      <color rgb="FF00FF00"/>
      <color rgb="FF0033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Downloads\Summarised%20Report%20upto%20nov%202021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j Prod Summ"/>
      <sheetName val="Maj Desp Summ"/>
      <sheetName val="Maj Techno Summ"/>
      <sheetName val="Major techno summ"/>
      <sheetName val="Coal to Hot Metal"/>
      <sheetName val="Sheet2"/>
      <sheetName val="DETAIL DESP  "/>
      <sheetName val="secondary sales"/>
      <sheetName val="COKE OVENS"/>
      <sheetName val="RMHP"/>
      <sheetName val="SINTER"/>
      <sheetName val="Sheet1"/>
      <sheetName val="B-FCE"/>
      <sheetName val="SMS"/>
      <sheetName val="WRM"/>
      <sheetName val="BM"/>
      <sheetName val="USM"/>
      <sheetName val="Raw material consumptio"/>
      <sheetName val="Raw Material Receipt"/>
      <sheetName val="GRD SUMM RCL 150X150 "/>
      <sheetName val="GRD SUMM RCL CASTER 3"/>
      <sheetName val="PBS"/>
      <sheetName val="POWER DISTRIBUTION"/>
      <sheetName val="EMD"/>
      <sheetName val="scrap"/>
      <sheetName val="ECD"/>
      <sheetName val="OXY PL"/>
      <sheetName val="LDCP"/>
      <sheetName val="SHOPS"/>
      <sheetName val="Special Steel Production "/>
      <sheetName val="SEQR  Prod &amp; Dispatch"/>
      <sheetName val="High carbon grades"/>
    </sheetNames>
    <sheetDataSet>
      <sheetData sheetId="0">
        <row r="32">
          <cell r="F32">
            <v>13632.52</v>
          </cell>
          <cell r="H32">
            <v>27748</v>
          </cell>
          <cell r="L32">
            <v>59326</v>
          </cell>
          <cell r="P32">
            <v>59099.720000000016</v>
          </cell>
          <cell r="T32">
            <v>61717.279999999999</v>
          </cell>
          <cell r="X32">
            <v>60832</v>
          </cell>
          <cell r="AD32">
            <v>59582.400000000001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BZ53"/>
  <sheetViews>
    <sheetView zoomScale="115" zoomScaleNormal="115" workbookViewId="0">
      <pane xSplit="4" topLeftCell="BC1" activePane="topRight" state="frozen"/>
      <selection pane="topRight" activeCell="F35" sqref="F35"/>
    </sheetView>
  </sheetViews>
  <sheetFormatPr defaultColWidth="9.140625" defaultRowHeight="15" x14ac:dyDescent="0.25"/>
  <cols>
    <col min="1" max="1" width="9.140625" style="1726"/>
    <col min="2" max="2" width="58.42578125" style="666" customWidth="1"/>
    <col min="3" max="3" width="14.7109375" style="666" customWidth="1"/>
    <col min="4" max="4" width="14.7109375" style="1726" customWidth="1"/>
    <col min="5" max="5" width="8.42578125" style="189" customWidth="1"/>
    <col min="6" max="6" width="12.28515625" style="200" customWidth="1"/>
    <col min="7" max="7" width="8.42578125" style="189" customWidth="1"/>
    <col min="8" max="8" width="9.85546875" style="200" customWidth="1"/>
    <col min="9" max="9" width="9.85546875" style="189" hidden="1" customWidth="1"/>
    <col min="10" max="10" width="9.85546875" style="200" hidden="1" customWidth="1"/>
    <col min="11" max="16" width="9.85546875" style="666" customWidth="1"/>
    <col min="17" max="17" width="9.85546875" style="189" hidden="1" customWidth="1"/>
    <col min="18" max="18" width="9.85546875" style="666" hidden="1" customWidth="1"/>
    <col min="19" max="19" width="12.28515625" style="1087" customWidth="1"/>
    <col min="20" max="20" width="11.42578125" style="1087" customWidth="1"/>
    <col min="21" max="21" width="11.28515625" style="1087" hidden="1" customWidth="1"/>
    <col min="22" max="22" width="9.85546875" style="1087" hidden="1" customWidth="1"/>
    <col min="23" max="23" width="9.85546875" style="1113" customWidth="1"/>
    <col min="24" max="24" width="10.42578125" style="1113" customWidth="1"/>
    <col min="25" max="25" width="11.28515625" style="1113" customWidth="1"/>
    <col min="26" max="26" width="9.85546875" style="200" customWidth="1"/>
    <col min="27" max="27" width="11.28515625" style="1113" customWidth="1"/>
    <col min="28" max="28" width="9.85546875" style="1113" customWidth="1"/>
    <col min="29" max="30" width="10.42578125" style="1311" customWidth="1"/>
    <col min="31" max="32" width="11.28515625" style="1311" hidden="1" customWidth="1"/>
    <col min="33" max="34" width="11.28515625" style="1338" customWidth="1"/>
    <col min="35" max="36" width="11.28515625" style="1338" hidden="1" customWidth="1"/>
    <col min="37" max="40" width="11.28515625" style="1353" customWidth="1"/>
    <col min="41" max="42" width="11.28515625" style="1354" hidden="1" customWidth="1"/>
    <col min="43" max="44" width="11.28515625" style="1470" customWidth="1"/>
    <col min="45" max="46" width="11.28515625" style="1470" hidden="1" customWidth="1"/>
    <col min="47" max="48" width="11.28515625" style="1487" customWidth="1"/>
    <col min="49" max="50" width="11.28515625" style="1487" hidden="1" customWidth="1"/>
    <col min="51" max="52" width="11.28515625" style="1497" customWidth="1"/>
    <col min="53" max="53" width="15" style="1497" customWidth="1"/>
    <col min="54" max="58" width="11.28515625" style="1497" customWidth="1"/>
    <col min="59" max="59" width="11.28515625" style="1505" hidden="1" customWidth="1"/>
    <col min="60" max="60" width="11.28515625" style="1505" customWidth="1"/>
    <col min="61" max="61" width="11.28515625" style="666" hidden="1" customWidth="1"/>
    <col min="62" max="62" width="11.28515625" style="666" customWidth="1"/>
    <col min="63" max="63" width="9.140625" style="334"/>
    <col min="64" max="64" width="13.140625" style="334" bestFit="1" customWidth="1"/>
    <col min="65" max="78" width="9.140625" style="334"/>
    <col min="79" max="16384" width="9.140625" style="666"/>
  </cols>
  <sheetData>
    <row r="1" spans="1:78" ht="22.5" x14ac:dyDescent="0.3">
      <c r="B1" s="37" t="s">
        <v>378</v>
      </c>
      <c r="C1" s="5"/>
      <c r="D1" s="47">
        <v>365</v>
      </c>
      <c r="E1" s="694">
        <v>30</v>
      </c>
      <c r="F1" s="695">
        <v>30</v>
      </c>
      <c r="G1" s="696">
        <v>31</v>
      </c>
      <c r="H1" s="697">
        <v>31</v>
      </c>
      <c r="I1" s="252">
        <f>+E1+G1</f>
        <v>61</v>
      </c>
      <c r="J1" s="207">
        <f>+F1+H1</f>
        <v>61</v>
      </c>
      <c r="K1" s="903">
        <v>30</v>
      </c>
      <c r="L1" s="903">
        <v>30</v>
      </c>
      <c r="M1" s="69">
        <f>+I1+K1</f>
        <v>91</v>
      </c>
      <c r="N1" s="69">
        <f>+J1+L1</f>
        <v>91</v>
      </c>
      <c r="O1" s="903">
        <v>31</v>
      </c>
      <c r="P1" s="903">
        <v>31</v>
      </c>
      <c r="Q1" s="252">
        <f>+M1+O1</f>
        <v>122</v>
      </c>
      <c r="R1" s="69">
        <f>+N1+P1</f>
        <v>122</v>
      </c>
      <c r="S1" s="69">
        <v>31</v>
      </c>
      <c r="T1" s="69">
        <v>31</v>
      </c>
      <c r="U1" s="69">
        <f>+Q1+S1</f>
        <v>153</v>
      </c>
      <c r="V1" s="69">
        <f>+R1+T1</f>
        <v>153</v>
      </c>
      <c r="W1" s="69">
        <v>30</v>
      </c>
      <c r="X1" s="69">
        <v>30</v>
      </c>
      <c r="Y1" s="69">
        <f>+O1+S1+W1</f>
        <v>92</v>
      </c>
      <c r="Z1" s="207">
        <f>+P1+T1+X1</f>
        <v>92</v>
      </c>
      <c r="AA1" s="69">
        <f>+U1+W1</f>
        <v>183</v>
      </c>
      <c r="AB1" s="69">
        <f>+V1+X1</f>
        <v>183</v>
      </c>
      <c r="AC1" s="69">
        <v>31</v>
      </c>
      <c r="AD1" s="69">
        <v>31</v>
      </c>
      <c r="AE1" s="69">
        <f>+AA1+AC1</f>
        <v>214</v>
      </c>
      <c r="AF1" s="69">
        <f>+AB1+AD1</f>
        <v>214</v>
      </c>
      <c r="AG1" s="69">
        <v>30</v>
      </c>
      <c r="AH1" s="69">
        <v>30</v>
      </c>
      <c r="AI1" s="69">
        <f>+AE1+AG1</f>
        <v>244</v>
      </c>
      <c r="AJ1" s="69">
        <f>+AF1+AH1</f>
        <v>244</v>
      </c>
      <c r="AK1" s="69">
        <v>31</v>
      </c>
      <c r="AL1" s="69">
        <v>31</v>
      </c>
      <c r="AM1" s="69">
        <f>+AC1+AG1+AK1</f>
        <v>92</v>
      </c>
      <c r="AN1" s="207">
        <f>+AD1+AH1+AL1</f>
        <v>92</v>
      </c>
      <c r="AO1" s="69">
        <f>+AI1+AK1</f>
        <v>275</v>
      </c>
      <c r="AP1" s="69">
        <f>+AJ1+AL1</f>
        <v>275</v>
      </c>
      <c r="AQ1" s="69">
        <v>31</v>
      </c>
      <c r="AR1" s="69">
        <v>31</v>
      </c>
      <c r="AS1" s="69">
        <f>+AO1+AQ1</f>
        <v>306</v>
      </c>
      <c r="AT1" s="69">
        <f>+AP1+AR1</f>
        <v>306</v>
      </c>
      <c r="AU1" s="69">
        <v>28</v>
      </c>
      <c r="AV1" s="69">
        <v>28</v>
      </c>
      <c r="AW1" s="69">
        <f>+AS1+AU1</f>
        <v>334</v>
      </c>
      <c r="AX1" s="69">
        <f>+AT1+AV1</f>
        <v>334</v>
      </c>
      <c r="AY1" s="69">
        <v>31</v>
      </c>
      <c r="AZ1" s="69">
        <v>31</v>
      </c>
      <c r="BA1" s="69">
        <f>+AQ1+AU1+AY1</f>
        <v>90</v>
      </c>
      <c r="BB1" s="207">
        <f>+AR1+AV1+AZ1</f>
        <v>90</v>
      </c>
      <c r="BC1" s="69">
        <f>+BA1+AM1</f>
        <v>182</v>
      </c>
      <c r="BD1" s="69">
        <f>+BB1+AN1</f>
        <v>182</v>
      </c>
      <c r="BE1" s="69">
        <f>+AW1+AY1</f>
        <v>365</v>
      </c>
      <c r="BF1" s="69">
        <f>+AX1+AZ1</f>
        <v>365</v>
      </c>
      <c r="BG1" s="69">
        <v>365</v>
      </c>
      <c r="BH1" s="69">
        <v>365</v>
      </c>
      <c r="BI1" s="69">
        <v>366</v>
      </c>
      <c r="BJ1" s="69">
        <v>366</v>
      </c>
    </row>
    <row r="2" spans="1:78" ht="15.75" thickBot="1" x14ac:dyDescent="0.3">
      <c r="B2" s="5"/>
      <c r="C2" s="5"/>
      <c r="D2" s="47">
        <v>365</v>
      </c>
      <c r="E2" s="252">
        <v>30</v>
      </c>
      <c r="F2" s="207">
        <v>30</v>
      </c>
      <c r="G2" s="252">
        <v>31</v>
      </c>
      <c r="H2" s="207">
        <v>31</v>
      </c>
      <c r="I2" s="252">
        <f>+E2+G2</f>
        <v>61</v>
      </c>
      <c r="J2" s="207">
        <f>+F2+H2</f>
        <v>61</v>
      </c>
      <c r="K2" s="69">
        <v>30</v>
      </c>
      <c r="L2" s="69">
        <v>30</v>
      </c>
      <c r="M2" s="69">
        <f>+I2+K2</f>
        <v>91</v>
      </c>
      <c r="N2" s="69">
        <f>+J2+L2</f>
        <v>91</v>
      </c>
      <c r="O2" s="69">
        <v>31</v>
      </c>
      <c r="P2" s="69">
        <v>31</v>
      </c>
      <c r="Q2" s="252">
        <f>+M2+O2</f>
        <v>122</v>
      </c>
      <c r="R2" s="69">
        <f>+N2+P2</f>
        <v>122</v>
      </c>
      <c r="S2" s="69">
        <v>31</v>
      </c>
      <c r="T2" s="69">
        <v>31</v>
      </c>
      <c r="U2" s="69">
        <f>+Q2+S2</f>
        <v>153</v>
      </c>
      <c r="V2" s="69">
        <f>+R2+T2</f>
        <v>153</v>
      </c>
      <c r="W2" s="69">
        <v>30</v>
      </c>
      <c r="X2" s="69">
        <v>30</v>
      </c>
      <c r="Y2" s="69">
        <f>+O2+S2+W2</f>
        <v>92</v>
      </c>
      <c r="Z2" s="207">
        <f>+P2+T2+X2</f>
        <v>92</v>
      </c>
      <c r="AA2" s="69">
        <f>+U2+W2</f>
        <v>183</v>
      </c>
      <c r="AB2" s="69">
        <f>+V2+X2</f>
        <v>183</v>
      </c>
      <c r="AC2" s="69">
        <v>31</v>
      </c>
      <c r="AD2" s="69">
        <v>31</v>
      </c>
      <c r="AE2" s="69">
        <f>+AA2+AC2</f>
        <v>214</v>
      </c>
      <c r="AF2" s="69">
        <f>+AB2+AD2</f>
        <v>214</v>
      </c>
      <c r="AG2" s="69">
        <v>30</v>
      </c>
      <c r="AH2" s="69">
        <v>30</v>
      </c>
      <c r="AI2" s="69">
        <f>+AE2+AG2</f>
        <v>244</v>
      </c>
      <c r="AJ2" s="69">
        <f>+AF2+AH2</f>
        <v>244</v>
      </c>
      <c r="AK2" s="69">
        <v>31</v>
      </c>
      <c r="AL2" s="69">
        <v>31</v>
      </c>
      <c r="AM2" s="69">
        <f>+AC2+AG2+AK2</f>
        <v>92</v>
      </c>
      <c r="AN2" s="207">
        <f>+AD2+AH2+AL2</f>
        <v>92</v>
      </c>
      <c r="AO2" s="69">
        <f>+AI2+AK2</f>
        <v>275</v>
      </c>
      <c r="AP2" s="69">
        <f>+AJ2+AL2</f>
        <v>275</v>
      </c>
      <c r="AQ2" s="69">
        <v>31</v>
      </c>
      <c r="AR2" s="69">
        <v>31</v>
      </c>
      <c r="AS2" s="69">
        <f>+AO2+AQ2</f>
        <v>306</v>
      </c>
      <c r="AT2" s="69">
        <f>+AP2+AR2</f>
        <v>306</v>
      </c>
      <c r="AU2" s="69">
        <v>28</v>
      </c>
      <c r="AV2" s="69">
        <v>28</v>
      </c>
      <c r="AW2" s="69">
        <f>+AS2+AU2</f>
        <v>334</v>
      </c>
      <c r="AX2" s="69">
        <f>+AT2+AV2</f>
        <v>334</v>
      </c>
      <c r="AY2" s="69">
        <v>31</v>
      </c>
      <c r="AZ2" s="69">
        <v>31</v>
      </c>
      <c r="BA2" s="69">
        <f>+AQ2+AU2+AY2</f>
        <v>90</v>
      </c>
      <c r="BB2" s="207">
        <f>+AR2+AV2+AZ2</f>
        <v>90</v>
      </c>
      <c r="BC2" s="69">
        <f>+BA2+AM2</f>
        <v>182</v>
      </c>
      <c r="BD2" s="69">
        <f>+BB2+AN2</f>
        <v>182</v>
      </c>
      <c r="BE2" s="69">
        <f>+AW2+AY2</f>
        <v>365</v>
      </c>
      <c r="BF2" s="69">
        <f>+AX2+AZ2</f>
        <v>365</v>
      </c>
      <c r="BG2" s="69">
        <v>365</v>
      </c>
      <c r="BH2" s="69">
        <v>365</v>
      </c>
      <c r="BI2" s="69">
        <v>366</v>
      </c>
      <c r="BJ2" s="69">
        <v>366</v>
      </c>
    </row>
    <row r="3" spans="1:78" ht="18.75" customHeight="1" x14ac:dyDescent="0.25">
      <c r="B3" s="4845" t="s">
        <v>197</v>
      </c>
      <c r="C3" s="4847" t="s">
        <v>198</v>
      </c>
      <c r="D3" s="4840" t="s">
        <v>1572</v>
      </c>
      <c r="E3" s="4840" t="s">
        <v>1323</v>
      </c>
      <c r="F3" s="4840"/>
      <c r="G3" s="4840" t="s">
        <v>1384</v>
      </c>
      <c r="H3" s="4840"/>
      <c r="I3" s="4841" t="s">
        <v>15</v>
      </c>
      <c r="J3" s="4841"/>
      <c r="K3" s="4840" t="s">
        <v>1397</v>
      </c>
      <c r="L3" s="4840"/>
      <c r="M3" s="4844" t="s">
        <v>741</v>
      </c>
      <c r="N3" s="4844"/>
      <c r="O3" s="4840" t="s">
        <v>1424</v>
      </c>
      <c r="P3" s="4840"/>
      <c r="Q3" s="4841" t="s">
        <v>18</v>
      </c>
      <c r="R3" s="4841"/>
      <c r="S3" s="4840" t="s">
        <v>1496</v>
      </c>
      <c r="T3" s="4840"/>
      <c r="U3" s="4841" t="s">
        <v>19</v>
      </c>
      <c r="V3" s="4841"/>
      <c r="W3" s="4840" t="s">
        <v>1573</v>
      </c>
      <c r="X3" s="4840"/>
      <c r="Y3" s="4844" t="s">
        <v>1104</v>
      </c>
      <c r="Z3" s="4844"/>
      <c r="AA3" s="4843" t="s">
        <v>784</v>
      </c>
      <c r="AB3" s="4843"/>
      <c r="AC3" s="4840" t="s">
        <v>1634</v>
      </c>
      <c r="AD3" s="4840"/>
      <c r="AE3" s="4841" t="s">
        <v>26</v>
      </c>
      <c r="AF3" s="4841"/>
      <c r="AG3" s="4840" t="s">
        <v>1671</v>
      </c>
      <c r="AH3" s="4840"/>
      <c r="AI3" s="4841" t="s">
        <v>29</v>
      </c>
      <c r="AJ3" s="4841"/>
      <c r="AK3" s="4840" t="s">
        <v>1696</v>
      </c>
      <c r="AL3" s="4840"/>
      <c r="AM3" s="4844" t="s">
        <v>1220</v>
      </c>
      <c r="AN3" s="4844"/>
      <c r="AO3" s="4841" t="s">
        <v>1221</v>
      </c>
      <c r="AP3" s="4841"/>
      <c r="AQ3" s="4840" t="s">
        <v>1760</v>
      </c>
      <c r="AR3" s="4840"/>
      <c r="AS3" s="4841" t="s">
        <v>31</v>
      </c>
      <c r="AT3" s="4841"/>
      <c r="AU3" s="4840" t="s">
        <v>1812</v>
      </c>
      <c r="AV3" s="4840"/>
      <c r="AW3" s="4841" t="s">
        <v>33</v>
      </c>
      <c r="AX3" s="4841"/>
      <c r="AY3" s="4840" t="s">
        <v>1844</v>
      </c>
      <c r="AZ3" s="4840"/>
      <c r="BA3" s="4844" t="s">
        <v>1313</v>
      </c>
      <c r="BB3" s="4844"/>
      <c r="BC3" s="4843" t="s">
        <v>817</v>
      </c>
      <c r="BD3" s="4843"/>
      <c r="BE3" s="4841" t="s">
        <v>1314</v>
      </c>
      <c r="BF3" s="4841"/>
      <c r="BG3" s="4832" t="s">
        <v>828</v>
      </c>
      <c r="BH3" s="4832"/>
      <c r="BI3" s="4832" t="s">
        <v>813</v>
      </c>
      <c r="BJ3" s="4833"/>
      <c r="BL3" s="334">
        <v>350</v>
      </c>
      <c r="BM3" s="334">
        <f>2.7*1000000</f>
        <v>2700000</v>
      </c>
    </row>
    <row r="4" spans="1:78" ht="23.25" customHeight="1" x14ac:dyDescent="0.25">
      <c r="B4" s="4846"/>
      <c r="C4" s="4848"/>
      <c r="D4" s="4849"/>
      <c r="E4" s="3566" t="s">
        <v>199</v>
      </c>
      <c r="F4" s="3566" t="s">
        <v>200</v>
      </c>
      <c r="G4" s="3566" t="s">
        <v>199</v>
      </c>
      <c r="H4" s="3566" t="s">
        <v>200</v>
      </c>
      <c r="I4" s="3567" t="s">
        <v>199</v>
      </c>
      <c r="J4" s="3567" t="s">
        <v>200</v>
      </c>
      <c r="K4" s="3566" t="s">
        <v>199</v>
      </c>
      <c r="L4" s="3566" t="s">
        <v>200</v>
      </c>
      <c r="M4" s="3569" t="s">
        <v>199</v>
      </c>
      <c r="N4" s="3569" t="s">
        <v>200</v>
      </c>
      <c r="O4" s="3566" t="s">
        <v>199</v>
      </c>
      <c r="P4" s="3566" t="s">
        <v>200</v>
      </c>
      <c r="Q4" s="3567" t="s">
        <v>199</v>
      </c>
      <c r="R4" s="3567" t="s">
        <v>200</v>
      </c>
      <c r="S4" s="3566" t="s">
        <v>199</v>
      </c>
      <c r="T4" s="3566" t="s">
        <v>200</v>
      </c>
      <c r="U4" s="3567" t="s">
        <v>199</v>
      </c>
      <c r="V4" s="3567" t="s">
        <v>200</v>
      </c>
      <c r="W4" s="3566" t="s">
        <v>199</v>
      </c>
      <c r="X4" s="3566" t="s">
        <v>200</v>
      </c>
      <c r="Y4" s="3569" t="s">
        <v>199</v>
      </c>
      <c r="Z4" s="3569" t="s">
        <v>200</v>
      </c>
      <c r="AA4" s="3568" t="s">
        <v>199</v>
      </c>
      <c r="AB4" s="3568" t="s">
        <v>200</v>
      </c>
      <c r="AC4" s="3566" t="s">
        <v>199</v>
      </c>
      <c r="AD4" s="3566" t="s">
        <v>200</v>
      </c>
      <c r="AE4" s="3567" t="s">
        <v>199</v>
      </c>
      <c r="AF4" s="3567" t="s">
        <v>200</v>
      </c>
      <c r="AG4" s="3566" t="s">
        <v>199</v>
      </c>
      <c r="AH4" s="3566" t="s">
        <v>200</v>
      </c>
      <c r="AI4" s="3567" t="s">
        <v>199</v>
      </c>
      <c r="AJ4" s="3567" t="s">
        <v>200</v>
      </c>
      <c r="AK4" s="3566" t="s">
        <v>199</v>
      </c>
      <c r="AL4" s="3566" t="s">
        <v>200</v>
      </c>
      <c r="AM4" s="3569" t="s">
        <v>199</v>
      </c>
      <c r="AN4" s="3569" t="s">
        <v>200</v>
      </c>
      <c r="AO4" s="3567" t="s">
        <v>199</v>
      </c>
      <c r="AP4" s="3567" t="s">
        <v>200</v>
      </c>
      <c r="AQ4" s="3566" t="s">
        <v>199</v>
      </c>
      <c r="AR4" s="3566" t="s">
        <v>200</v>
      </c>
      <c r="AS4" s="3567" t="s">
        <v>199</v>
      </c>
      <c r="AT4" s="3567" t="s">
        <v>200</v>
      </c>
      <c r="AU4" s="3566" t="s">
        <v>199</v>
      </c>
      <c r="AV4" s="3566" t="s">
        <v>200</v>
      </c>
      <c r="AW4" s="4014" t="s">
        <v>199</v>
      </c>
      <c r="AX4" s="4014" t="s">
        <v>200</v>
      </c>
      <c r="AY4" s="3566" t="s">
        <v>199</v>
      </c>
      <c r="AZ4" s="3566" t="s">
        <v>200</v>
      </c>
      <c r="BA4" s="4124" t="s">
        <v>199</v>
      </c>
      <c r="BB4" s="4124" t="s">
        <v>200</v>
      </c>
      <c r="BC4" s="4125" t="s">
        <v>199</v>
      </c>
      <c r="BD4" s="4125" t="s">
        <v>200</v>
      </c>
      <c r="BE4" s="4126" t="s">
        <v>199</v>
      </c>
      <c r="BF4" s="4126" t="s">
        <v>200</v>
      </c>
      <c r="BG4" s="3633" t="s">
        <v>199</v>
      </c>
      <c r="BH4" s="3633" t="s">
        <v>200</v>
      </c>
      <c r="BI4" s="3633" t="s">
        <v>199</v>
      </c>
      <c r="BJ4" s="3644" t="s">
        <v>200</v>
      </c>
      <c r="BL4" s="334">
        <v>1</v>
      </c>
      <c r="BM4" s="1486">
        <f>+BM3/BL3</f>
        <v>7714.2857142857147</v>
      </c>
    </row>
    <row r="5" spans="1:78" s="334" customFormat="1" ht="15" customHeight="1" x14ac:dyDescent="0.25">
      <c r="A5" s="1726"/>
      <c r="B5" s="4494" t="s">
        <v>384</v>
      </c>
      <c r="C5" s="4482"/>
      <c r="D5" s="698"/>
      <c r="E5" s="698"/>
      <c r="F5" s="698"/>
      <c r="G5" s="698"/>
      <c r="H5" s="698"/>
      <c r="I5" s="698"/>
      <c r="J5" s="698"/>
      <c r="K5" s="698"/>
      <c r="L5" s="698"/>
      <c r="M5" s="698"/>
      <c r="N5" s="698"/>
      <c r="O5" s="698"/>
      <c r="P5" s="698"/>
      <c r="Q5" s="698"/>
      <c r="R5" s="698"/>
      <c r="S5" s="698"/>
      <c r="T5" s="698"/>
      <c r="U5" s="698"/>
      <c r="V5" s="698"/>
      <c r="W5" s="698"/>
      <c r="X5" s="698"/>
      <c r="Y5" s="698"/>
      <c r="Z5" s="698"/>
      <c r="AA5" s="698"/>
      <c r="AB5" s="698"/>
      <c r="AC5" s="698"/>
      <c r="AD5" s="698"/>
      <c r="AE5" s="698"/>
      <c r="AF5" s="698"/>
      <c r="AG5" s="698"/>
      <c r="AH5" s="698"/>
      <c r="AI5" s="698"/>
      <c r="AJ5" s="698"/>
      <c r="AK5" s="698"/>
      <c r="AL5" s="698"/>
      <c r="AM5" s="698"/>
      <c r="AN5" s="698"/>
      <c r="AO5" s="698"/>
      <c r="AP5" s="698"/>
      <c r="AQ5" s="698"/>
      <c r="AR5" s="698"/>
      <c r="AS5" s="698"/>
      <c r="AT5" s="698"/>
      <c r="AU5" s="698"/>
      <c r="AV5" s="698"/>
      <c r="AW5" s="698"/>
      <c r="AX5" s="698"/>
      <c r="AY5" s="698"/>
      <c r="AZ5" s="698"/>
      <c r="BA5" s="698"/>
      <c r="BB5" s="698"/>
      <c r="BC5" s="698"/>
      <c r="BD5" s="698"/>
      <c r="BE5" s="698"/>
      <c r="BF5" s="698"/>
      <c r="BG5" s="698"/>
      <c r="BH5" s="698"/>
      <c r="BI5" s="698"/>
      <c r="BJ5" s="3645"/>
      <c r="BL5" s="1486">
        <v>336</v>
      </c>
      <c r="BM5" s="334">
        <f>+BM4*BL5</f>
        <v>2592000</v>
      </c>
    </row>
    <row r="6" spans="1:78" ht="15" customHeight="1" x14ac:dyDescent="0.25">
      <c r="B6" s="4495" t="s">
        <v>388</v>
      </c>
      <c r="C6" s="1442" t="s">
        <v>392</v>
      </c>
      <c r="D6" s="1123">
        <v>99</v>
      </c>
      <c r="E6" s="3551">
        <v>99</v>
      </c>
      <c r="F6" s="413">
        <f>+F9/F2</f>
        <v>97.666666666666671</v>
      </c>
      <c r="G6" s="3551">
        <v>99</v>
      </c>
      <c r="H6" s="4666">
        <f>+H9/H2</f>
        <v>97.838709677419359</v>
      </c>
      <c r="I6" s="687">
        <f>+((E6*$E$2)+(G6*$G$2))/$I$2</f>
        <v>99</v>
      </c>
      <c r="J6" s="3547">
        <f>+((F6*$F$2)+(H6*$H$2))/$J$2</f>
        <v>97.754098360655732</v>
      </c>
      <c r="K6" s="3551">
        <v>99</v>
      </c>
      <c r="L6" s="238">
        <f>+L9/L2</f>
        <v>96.266666666666666</v>
      </c>
      <c r="M6" s="3549">
        <f>+((I6*$I$2)+(K6*$K$2))/$M$2</f>
        <v>99</v>
      </c>
      <c r="N6" s="3549">
        <f>+((J6*$J$2)+(L6*$L$2))/$N$2</f>
        <v>97.263736263736263</v>
      </c>
      <c r="O6" s="3551">
        <v>99</v>
      </c>
      <c r="P6" s="238">
        <f>+P9/P2</f>
        <v>97.677419354838705</v>
      </c>
      <c r="Q6" s="3547">
        <f>+((M6*M$2)+(O6*O$2))/Q$2</f>
        <v>99</v>
      </c>
      <c r="R6" s="3547">
        <f>+((N6*N$2)+(P6*P$2))/R$2</f>
        <v>97.368852459016395</v>
      </c>
      <c r="S6" s="3551">
        <v>99</v>
      </c>
      <c r="T6" s="238">
        <f>+T9/T2</f>
        <v>98.967741935483872</v>
      </c>
      <c r="U6" s="3547">
        <f>+((Q6*Q$2)+(S6*S$2))/U$2</f>
        <v>99</v>
      </c>
      <c r="V6" s="3579">
        <f>+((R6*R$2)+(T6*T$2))/V$2</f>
        <v>97.692810457516345</v>
      </c>
      <c r="W6" s="3551">
        <v>99</v>
      </c>
      <c r="X6" s="238">
        <f>+X9/X2</f>
        <v>97.266666666666666</v>
      </c>
      <c r="Y6" s="3549">
        <f>+((O$6*O$1)+(S$6*S$1)+(W$6*W$1))/Y$1</f>
        <v>99</v>
      </c>
      <c r="Z6" s="958">
        <f>+((P$6*P$1)+(T$6*T$1)+(X$6*X$1))/Z$1</f>
        <v>97.978260869565219</v>
      </c>
      <c r="AA6" s="1134">
        <f>+((U6*U$2)+(W6*W$2))/AA$2</f>
        <v>99</v>
      </c>
      <c r="AB6" s="1134">
        <f>+((V6*V$2)+(X6*X$2))/AB$2</f>
        <v>97.622950819672127</v>
      </c>
      <c r="AC6" s="3551">
        <v>99</v>
      </c>
      <c r="AD6" s="238">
        <f>+AD9/AD2</f>
        <v>95.193548387096769</v>
      </c>
      <c r="AE6" s="3547">
        <f>+((AA6*AA$2)+(AC6*AC$2))/AE$2</f>
        <v>99</v>
      </c>
      <c r="AF6" s="3579">
        <f>+((AB6*AB$2)+(AD6*AD$2))/AF$2</f>
        <v>97.271028037383175</v>
      </c>
      <c r="AG6" s="3551">
        <v>99</v>
      </c>
      <c r="AH6" s="238">
        <f>+AH9/AH2</f>
        <v>98.533333333333331</v>
      </c>
      <c r="AI6" s="3547">
        <f>+((AE6*AE$2)+(AG6*AG$2))/AI$2</f>
        <v>99</v>
      </c>
      <c r="AJ6" s="3579">
        <f>+((AF6*AF$2)+(AH6*AH$2))/AJ$2</f>
        <v>97.426229508196727</v>
      </c>
      <c r="AK6" s="3551">
        <v>99</v>
      </c>
      <c r="AL6" s="3826">
        <f>+AL9/AL2</f>
        <v>99.096774193548384</v>
      </c>
      <c r="AM6" s="3549">
        <f>+((AC$6*AC$1)+(AG$6*AG$1)+(AK$6*AK$1))/AM$1</f>
        <v>99</v>
      </c>
      <c r="AN6" s="3549">
        <f>+((AD$6*AD$1)+(AH$6*AH$1)+(AL$6*AL$1))/AN$1</f>
        <v>97.597826086956516</v>
      </c>
      <c r="AO6" s="3547">
        <f>+((AI6*AI$2)+(AK6*AK$2))/AO$2</f>
        <v>99</v>
      </c>
      <c r="AP6" s="3547">
        <f>+((AJ6*AJ$2)+(AL6*AL$2))/AP$2</f>
        <v>97.61454545454545</v>
      </c>
      <c r="AQ6" s="3551">
        <v>99</v>
      </c>
      <c r="AR6" s="3842">
        <f>+AR9/AR2</f>
        <v>99</v>
      </c>
      <c r="AS6" s="3547">
        <f>+((AO6*AO$2)+(AQ6*AQ$2))/AS$2</f>
        <v>99</v>
      </c>
      <c r="AT6" s="3547">
        <f>+((AP6*AP$2)+(AR6*AR$2))/AT$2</f>
        <v>97.754901960784309</v>
      </c>
      <c r="AU6" s="3990">
        <v>99</v>
      </c>
      <c r="AV6" s="3989">
        <f>+AV9/AV2</f>
        <v>98.892857142857139</v>
      </c>
      <c r="AW6" s="3991">
        <f>+((AS6*AS$2)+(AU6*AU$2))/AW$2</f>
        <v>99</v>
      </c>
      <c r="AX6" s="4023">
        <f>+((AT6*AT$2)+(AV6*AV$2))/AX$2</f>
        <v>97.850299401197603</v>
      </c>
      <c r="AY6" s="4112">
        <v>99</v>
      </c>
      <c r="AZ6" s="230">
        <f>+AZ9/AZ2</f>
        <v>97.548387096774192</v>
      </c>
      <c r="BA6" s="4114">
        <f>+((AQ$6*AQ$1)+(AU$6*AU$1)+(AY$6*AY$1))/BA$1</f>
        <v>99</v>
      </c>
      <c r="BB6" s="4114">
        <f>+((AR$6*AR$1)+(AV$6*AV$1)+(AZ$6*AZ$1))/BB$1</f>
        <v>98.466666666666669</v>
      </c>
      <c r="BC6" s="4115">
        <f>+((AM6*AM$2)+(BA6*BA$2))/BC$2</f>
        <v>99</v>
      </c>
      <c r="BD6" s="4115">
        <f>+((AN6*AN$2)+(BB6*BB$2))/BD$2</f>
        <v>98.027472527472526</v>
      </c>
      <c r="BE6" s="4113">
        <f>+((AW6*AW$2)+(AY6*AY$2))/BE$2</f>
        <v>99</v>
      </c>
      <c r="BF6" s="4113">
        <f>+((AX6*AX$2)+(AZ6*AZ$2))/BF$2</f>
        <v>97.824657534246569</v>
      </c>
      <c r="BG6" s="3370">
        <v>95.547945205479451</v>
      </c>
      <c r="BH6" s="3861">
        <v>95.342465753424662</v>
      </c>
      <c r="BI6" s="3861">
        <v>97</v>
      </c>
      <c r="BJ6" s="3863">
        <v>97.109590163934413</v>
      </c>
    </row>
    <row r="7" spans="1:78" s="204" customFormat="1" ht="15" customHeight="1" x14ac:dyDescent="0.25">
      <c r="A7" s="1726"/>
      <c r="B7" s="4495" t="s">
        <v>389</v>
      </c>
      <c r="C7" s="1442" t="s">
        <v>392</v>
      </c>
      <c r="D7" s="1123">
        <v>99</v>
      </c>
      <c r="E7" s="3551">
        <v>99</v>
      </c>
      <c r="F7" s="413">
        <f>+F10/F2</f>
        <v>92.033333333333331</v>
      </c>
      <c r="G7" s="3551">
        <v>99</v>
      </c>
      <c r="H7" s="4666">
        <f>+H10/H2</f>
        <v>93.225806451612897</v>
      </c>
      <c r="I7" s="687">
        <f>+((E7*$E$2)+(G7*$G$2))/$I$2</f>
        <v>99</v>
      </c>
      <c r="J7" s="3547">
        <f>+((F7*$F$2)+(H7*$H$2))/$J$2</f>
        <v>92.639344262295083</v>
      </c>
      <c r="K7" s="3551">
        <v>99</v>
      </c>
      <c r="L7" s="238">
        <f>+L10/L2</f>
        <v>95.13333333333334</v>
      </c>
      <c r="M7" s="3549">
        <f>+((I7*$I$2)+(K7*$K$2))/$M$2</f>
        <v>99</v>
      </c>
      <c r="N7" s="3549">
        <f>+((J7*$J$2)+(L7*$L$2))/$N$2</f>
        <v>93.461538461538467</v>
      </c>
      <c r="O7" s="483">
        <v>99</v>
      </c>
      <c r="P7" s="238">
        <f>+P10/P2</f>
        <v>92.935483870967744</v>
      </c>
      <c r="Q7" s="3547">
        <f>+((M7*M$2)+(O7*O$2))/Q$2</f>
        <v>99</v>
      </c>
      <c r="R7" s="3547">
        <f>+((N7*N$2)+(P7*P$2))/R$2</f>
        <v>93.327868852459019</v>
      </c>
      <c r="S7" s="483">
        <v>99</v>
      </c>
      <c r="T7" s="238">
        <f>+T10/T2</f>
        <v>97.967741935483872</v>
      </c>
      <c r="U7" s="3547">
        <f>+((Q7*Q$2)+(S7*S$2))/U$2</f>
        <v>99</v>
      </c>
      <c r="V7" s="3579">
        <f>+((R7*R$2)+(T7*T$2))/V$2</f>
        <v>94.267973856209153</v>
      </c>
      <c r="W7" s="483">
        <v>99</v>
      </c>
      <c r="X7" s="238">
        <f>+X10/X2</f>
        <v>98.13333333333334</v>
      </c>
      <c r="Y7" s="3549">
        <f>+((O$7*O$1)+(S$7*S$1)+(W$7*W$1))/Y$1</f>
        <v>99</v>
      </c>
      <c r="Z7" s="3580">
        <f>+((P$7*P$1)+(T$7*T$1)+(X$7*X$1))/Z$1</f>
        <v>96.326086956521735</v>
      </c>
      <c r="AA7" s="1134">
        <f>+((U7*U$2)+(W7*W$2))/AA$2</f>
        <v>99</v>
      </c>
      <c r="AB7" s="1134">
        <f>+((V7*V$2)+(X7*X$2))/AB$2</f>
        <v>94.901639344262293</v>
      </c>
      <c r="AC7" s="483">
        <v>99</v>
      </c>
      <c r="AD7" s="238">
        <f>+AD10/AD2</f>
        <v>98.838709677419359</v>
      </c>
      <c r="AE7" s="3547">
        <f>+((AA7*AA$2)+(AC7*AC$2))/AE$2</f>
        <v>99</v>
      </c>
      <c r="AF7" s="3579">
        <f>+((AB7*AB$2)+(AD7*AD$2))/AF$2</f>
        <v>95.471962616822424</v>
      </c>
      <c r="AG7" s="483">
        <v>99</v>
      </c>
      <c r="AH7" s="238">
        <f>+AH10/AH2</f>
        <v>98.8</v>
      </c>
      <c r="AI7" s="3547">
        <f>+((AE7*AE$2)+(AG7*AG$2))/AI$2</f>
        <v>99</v>
      </c>
      <c r="AJ7" s="3579">
        <f>+((AF7*AF$2)+(AH7*AH$2))/AJ$2</f>
        <v>95.881147540983605</v>
      </c>
      <c r="AK7" s="483">
        <v>99</v>
      </c>
      <c r="AL7" s="3826">
        <f>+AL10/AL2</f>
        <v>98.387096774193552</v>
      </c>
      <c r="AM7" s="3549">
        <f>+((AC$7*AC$1)+(AG$7*AG$1)+(AK$7*AK$1))/AM$1</f>
        <v>99</v>
      </c>
      <c r="AN7" s="3549">
        <f>+((AD$7*AD$1)+(AH$7*AH$1)+(AL$7*AL$1))/AN$1</f>
        <v>98.673913043478265</v>
      </c>
      <c r="AO7" s="3547">
        <f>+((AI7*AI$2)+(AK7*AK$2))/AO$2</f>
        <v>99</v>
      </c>
      <c r="AP7" s="3547">
        <f>+((AJ7*AJ$2)+(AL7*AL$2))/AP$2</f>
        <v>96.163636363636357</v>
      </c>
      <c r="AQ7" s="483">
        <v>99</v>
      </c>
      <c r="AR7" s="3842">
        <f>+AR10/AR2</f>
        <v>98.709677419354833</v>
      </c>
      <c r="AS7" s="3547">
        <f>+((AO7*AO$2)+(AQ7*AQ$2))/AS$2</f>
        <v>99</v>
      </c>
      <c r="AT7" s="3547">
        <f>+((AP7*AP$2)+(AR7*AR$2))/AT$2</f>
        <v>96.421568627450966</v>
      </c>
      <c r="AU7" s="483">
        <v>99</v>
      </c>
      <c r="AV7" s="3989">
        <f>+AV10/AV2</f>
        <v>98.857142857142861</v>
      </c>
      <c r="AW7" s="3991">
        <f>+((AS7*AS$2)+(AU7*AU$2))/AW$2</f>
        <v>99</v>
      </c>
      <c r="AX7" s="4023">
        <f>+((AT7*AT$2)+(AV7*AV$2))/AX$2</f>
        <v>96.625748502994</v>
      </c>
      <c r="AY7" s="483">
        <v>99</v>
      </c>
      <c r="AZ7" s="230">
        <f>+AZ10/AZ2</f>
        <v>98.870967741935488</v>
      </c>
      <c r="BA7" s="4114">
        <f>+((AQ$7*AQ$1)+(AU$7*AU$1)+(AY$7*AY$1))/BA$1</f>
        <v>99</v>
      </c>
      <c r="BB7" s="4114">
        <f>+((AR$7*AR$1)+(AV$7*AV$1)+(AZ$7*AZ$1))/BB$1</f>
        <v>98.811111111111117</v>
      </c>
      <c r="BC7" s="4115">
        <f>+((AM7*AM$2)+(BA7*BA$2))/BC$2</f>
        <v>99</v>
      </c>
      <c r="BD7" s="4115">
        <f>+((AN7*AN$2)+(BB7*BB$2))/BD$2</f>
        <v>98.741758241758248</v>
      </c>
      <c r="BE7" s="4113">
        <f>+((AW7*AW$2)+(AY7*AY$2))/BE$2</f>
        <v>99</v>
      </c>
      <c r="BF7" s="4113">
        <f>+((AX7*AX$2)+(AZ7*AZ$2))/BF$2</f>
        <v>96.816438356164383</v>
      </c>
      <c r="BG7" s="3370">
        <v>94.2</v>
      </c>
      <c r="BH7" s="3861">
        <v>90.778082191780825</v>
      </c>
      <c r="BI7" s="3861">
        <v>97</v>
      </c>
      <c r="BJ7" s="3863">
        <v>95.71024590163934</v>
      </c>
      <c r="BK7" s="334"/>
      <c r="BL7" s="334"/>
      <c r="BM7" s="334"/>
      <c r="BN7" s="334"/>
      <c r="BO7" s="334"/>
      <c r="BP7" s="334"/>
      <c r="BQ7" s="334"/>
      <c r="BR7" s="334"/>
      <c r="BS7" s="334"/>
      <c r="BT7" s="334"/>
      <c r="BU7" s="334"/>
      <c r="BV7" s="334"/>
      <c r="BW7" s="334"/>
      <c r="BX7" s="334"/>
      <c r="BY7" s="334"/>
      <c r="BZ7" s="334"/>
    </row>
    <row r="8" spans="1:78" ht="15" customHeight="1" x14ac:dyDescent="0.25">
      <c r="B8" s="4496" t="s">
        <v>82</v>
      </c>
      <c r="C8" s="4483" t="s">
        <v>392</v>
      </c>
      <c r="D8" s="470">
        <v>281</v>
      </c>
      <c r="E8" s="470">
        <f t="shared" ref="E8:P8" si="0">E6+(E7*1.8343023255814)</f>
        <v>280.5959302325586</v>
      </c>
      <c r="F8" s="3093">
        <f t="shared" si="0"/>
        <v>266.48362403100816</v>
      </c>
      <c r="G8" s="470">
        <f t="shared" ref="G8:H8" si="1">G6+(G7*1.8343023255814)</f>
        <v>280.5959302325586</v>
      </c>
      <c r="H8" s="470">
        <f t="shared" si="1"/>
        <v>268.84302325581439</v>
      </c>
      <c r="I8" s="644">
        <f t="shared" si="0"/>
        <v>280.5959302325586</v>
      </c>
      <c r="J8" s="644">
        <f t="shared" si="0"/>
        <v>267.68266298131954</v>
      </c>
      <c r="K8" s="470">
        <f t="shared" si="0"/>
        <v>280.5959302325586</v>
      </c>
      <c r="L8" s="470">
        <f t="shared" si="0"/>
        <v>270.76996124031052</v>
      </c>
      <c r="M8" s="2422">
        <f t="shared" si="0"/>
        <v>280.5959302325586</v>
      </c>
      <c r="N8" s="2422">
        <f t="shared" si="0"/>
        <v>268.70045361615172</v>
      </c>
      <c r="O8" s="470">
        <f t="shared" si="0"/>
        <v>280.5959302325586</v>
      </c>
      <c r="P8" s="470">
        <f t="shared" si="0"/>
        <v>268.14919354838753</v>
      </c>
      <c r="Q8" s="644">
        <f t="shared" ref="Q8:T8" si="2">Q6+(Q7*1.8343023255814)</f>
        <v>280.5959302325586</v>
      </c>
      <c r="R8" s="644">
        <f t="shared" si="2"/>
        <v>268.56037933663788</v>
      </c>
      <c r="S8" s="470">
        <f t="shared" si="2"/>
        <v>280.5959302325586</v>
      </c>
      <c r="T8" s="470">
        <f t="shared" si="2"/>
        <v>278.67019879970042</v>
      </c>
      <c r="U8" s="644">
        <f t="shared" ref="U8:Z8" si="3">U6+(U7*1.8343023255814)</f>
        <v>280.5959302325586</v>
      </c>
      <c r="V8" s="2432">
        <f t="shared" si="3"/>
        <v>270.60877412980744</v>
      </c>
      <c r="W8" s="470">
        <f t="shared" si="3"/>
        <v>280.5959302325586</v>
      </c>
      <c r="X8" s="470">
        <f t="shared" si="3"/>
        <v>277.27286821705474</v>
      </c>
      <c r="Y8" s="2422">
        <f>Y6+(Y7*1.8343023255814)</f>
        <v>280.5959302325586</v>
      </c>
      <c r="Z8" s="2422">
        <f t="shared" si="3"/>
        <v>274.66942618806922</v>
      </c>
      <c r="AA8" s="1282">
        <f t="shared" ref="AA8:AF8" si="4">AA6+(AA7*1.8343023255814)</f>
        <v>280.5959302325586</v>
      </c>
      <c r="AB8" s="1282">
        <f t="shared" si="4"/>
        <v>271.70124857033977</v>
      </c>
      <c r="AC8" s="470">
        <f t="shared" si="4"/>
        <v>280.5959302325586</v>
      </c>
      <c r="AD8" s="470">
        <f t="shared" si="4"/>
        <v>276.49362340585191</v>
      </c>
      <c r="AE8" s="644">
        <f t="shared" si="4"/>
        <v>280.5959302325586</v>
      </c>
      <c r="AF8" s="2432">
        <f t="shared" si="4"/>
        <v>272.39547109324104</v>
      </c>
      <c r="AG8" s="470">
        <f t="shared" ref="AG8:AJ8" si="5">AG6+(AG7*1.8343023255814)</f>
        <v>280.5959302325586</v>
      </c>
      <c r="AH8" s="470">
        <f t="shared" si="5"/>
        <v>279.7624031007756</v>
      </c>
      <c r="AI8" s="644">
        <f t="shared" si="5"/>
        <v>280.5959302325586</v>
      </c>
      <c r="AJ8" s="2432">
        <f t="shared" si="5"/>
        <v>273.3012414220363</v>
      </c>
      <c r="AK8" s="470">
        <f t="shared" ref="AK8:AL8" si="6">AK6+(AK7*1.8343023255814)</f>
        <v>280.5959302325586</v>
      </c>
      <c r="AL8" s="470">
        <f t="shared" si="6"/>
        <v>279.5684546136539</v>
      </c>
      <c r="AM8" s="2422">
        <f t="shared" ref="AM8:AP8" si="7">AM6+(AM7*1.8343023255814)</f>
        <v>280.5959302325586</v>
      </c>
      <c r="AN8" s="2422">
        <f t="shared" si="7"/>
        <v>278.59561425682551</v>
      </c>
      <c r="AO8" s="644">
        <f t="shared" si="7"/>
        <v>280.5959302325586</v>
      </c>
      <c r="AP8" s="644">
        <f t="shared" si="7"/>
        <v>274.00772727272772</v>
      </c>
      <c r="AQ8" s="470">
        <f t="shared" ref="AQ8:AT8" si="8">AQ6+(AQ7*1.8343023255814)</f>
        <v>280.5959302325586</v>
      </c>
      <c r="AR8" s="470">
        <f t="shared" si="8"/>
        <v>280.06339084771241</v>
      </c>
      <c r="AS8" s="644">
        <f t="shared" si="8"/>
        <v>280.5959302325586</v>
      </c>
      <c r="AT8" s="644">
        <f t="shared" si="8"/>
        <v>274.62120953032417</v>
      </c>
      <c r="AU8" s="470">
        <f t="shared" ref="AU8:AX8" si="9">AU6+(AU7*1.8343023255814)</f>
        <v>280.5959302325586</v>
      </c>
      <c r="AV8" s="470">
        <f t="shared" si="9"/>
        <v>280.22674418604697</v>
      </c>
      <c r="AW8" s="644">
        <f t="shared" si="9"/>
        <v>280.5959302325586</v>
      </c>
      <c r="AX8" s="2432">
        <f t="shared" si="9"/>
        <v>275.09113459128298</v>
      </c>
      <c r="AY8" s="470">
        <f t="shared" ref="AY8:BB8" si="10">AY6+(AY7*1.8343023255814)</f>
        <v>280.5959302325586</v>
      </c>
      <c r="AZ8" s="470">
        <f t="shared" si="10"/>
        <v>278.90763315829003</v>
      </c>
      <c r="BA8" s="2422">
        <f t="shared" si="10"/>
        <v>280.5959302325586</v>
      </c>
      <c r="BB8" s="2422">
        <f t="shared" si="10"/>
        <v>279.7161175710599</v>
      </c>
      <c r="BC8" s="1282">
        <f t="shared" ref="BC8:BD8" si="11">BC6+(BC7*1.8343023255814)</f>
        <v>280.5959302325586</v>
      </c>
      <c r="BD8" s="1282">
        <f t="shared" si="11"/>
        <v>279.14970930232607</v>
      </c>
      <c r="BE8" s="644">
        <f t="shared" ref="BE8:BF8" si="12">BE6+(BE7*1.8343023255814)</f>
        <v>280.5959302325586</v>
      </c>
      <c r="BF8" s="644">
        <f t="shared" si="12"/>
        <v>275.41527556546714</v>
      </c>
      <c r="BG8" s="3634">
        <v>268.33922427524732</v>
      </c>
      <c r="BH8" s="3634">
        <v>261.85691302962772</v>
      </c>
      <c r="BI8" s="3634">
        <v>274.92732558139579</v>
      </c>
      <c r="BJ8" s="3646">
        <v>272.67111680327912</v>
      </c>
    </row>
    <row r="9" spans="1:78" ht="15" customHeight="1" x14ac:dyDescent="0.25">
      <c r="A9" s="4437"/>
      <c r="B9" s="4495" t="s">
        <v>388</v>
      </c>
      <c r="C9" s="1442" t="s">
        <v>829</v>
      </c>
      <c r="D9" s="3551">
        <f>+D6*D2</f>
        <v>36135</v>
      </c>
      <c r="E9" s="3551">
        <f>+E6*E2</f>
        <v>2970</v>
      </c>
      <c r="F9" s="3551">
        <v>2930</v>
      </c>
      <c r="G9" s="3551">
        <f>+G6*G2</f>
        <v>3069</v>
      </c>
      <c r="H9" s="3551">
        <v>3033</v>
      </c>
      <c r="I9" s="3547">
        <f>+I6*I2</f>
        <v>6039</v>
      </c>
      <c r="J9" s="3565">
        <f>+F9+H9</f>
        <v>5963</v>
      </c>
      <c r="K9" s="3551">
        <f>+K6*K2</f>
        <v>2970</v>
      </c>
      <c r="L9" s="3551">
        <v>2888</v>
      </c>
      <c r="M9" s="3549">
        <f>+I9+K9</f>
        <v>9009</v>
      </c>
      <c r="N9" s="3549">
        <f t="shared" ref="M9:N10" si="13">+J9+L9</f>
        <v>8851</v>
      </c>
      <c r="O9" s="3551">
        <f>+O6*O2</f>
        <v>3069</v>
      </c>
      <c r="P9" s="3551">
        <v>3028</v>
      </c>
      <c r="Q9" s="3547">
        <f t="shared" ref="Q9:R10" si="14">+M9+O9</f>
        <v>12078</v>
      </c>
      <c r="R9" s="3547">
        <f t="shared" si="14"/>
        <v>11879</v>
      </c>
      <c r="S9" s="3551">
        <f>+S6*S2</f>
        <v>3069</v>
      </c>
      <c r="T9" s="3551">
        <v>3068</v>
      </c>
      <c r="U9" s="3547">
        <f t="shared" ref="U9:U10" si="15">+Q9+S9</f>
        <v>15147</v>
      </c>
      <c r="V9" s="3547">
        <f t="shared" ref="V9:V10" si="16">+R9+T9</f>
        <v>14947</v>
      </c>
      <c r="W9" s="3551">
        <f>+W6*W2</f>
        <v>2970</v>
      </c>
      <c r="X9" s="3551">
        <v>2918</v>
      </c>
      <c r="Y9" s="3549">
        <f>+O9+S9+W9</f>
        <v>9108</v>
      </c>
      <c r="Z9" s="3549">
        <f>+P9+T9+X9</f>
        <v>9014</v>
      </c>
      <c r="AA9" s="1134">
        <f>+U9+W9</f>
        <v>18117</v>
      </c>
      <c r="AB9" s="1134">
        <f>+V9+X9</f>
        <v>17865</v>
      </c>
      <c r="AC9" s="3551">
        <f>+AC6*AC2</f>
        <v>3069</v>
      </c>
      <c r="AD9" s="3551">
        <v>2951</v>
      </c>
      <c r="AE9" s="3547">
        <f t="shared" ref="AE9:AE10" si="17">+AA9+AC9</f>
        <v>21186</v>
      </c>
      <c r="AF9" s="3547">
        <f t="shared" ref="AF9:AF10" si="18">+AB9+AD9</f>
        <v>20816</v>
      </c>
      <c r="AG9" s="3551">
        <f>+AG6*AG2</f>
        <v>2970</v>
      </c>
      <c r="AH9" s="3551">
        <v>2956</v>
      </c>
      <c r="AI9" s="3547">
        <f t="shared" ref="AI9:AI10" si="19">+AE9+AG9</f>
        <v>24156</v>
      </c>
      <c r="AJ9" s="3547">
        <f t="shared" ref="AJ9:AJ10" si="20">+AF9+AH9</f>
        <v>23772</v>
      </c>
      <c r="AK9" s="3551">
        <f>+AK6*AK2</f>
        <v>3069</v>
      </c>
      <c r="AL9" s="3551">
        <v>3072</v>
      </c>
      <c r="AM9" s="3549">
        <f>+AC9+AG9+AK9</f>
        <v>9108</v>
      </c>
      <c r="AN9" s="3549">
        <f>+AD9+AH9+AL9</f>
        <v>8979</v>
      </c>
      <c r="AO9" s="3547">
        <f>+AI9+AK9</f>
        <v>27225</v>
      </c>
      <c r="AP9" s="3547">
        <f>+AJ9+AL9</f>
        <v>26844</v>
      </c>
      <c r="AQ9" s="3551">
        <f>+AQ6*AQ2</f>
        <v>3069</v>
      </c>
      <c r="AR9" s="3551">
        <v>3069</v>
      </c>
      <c r="AS9" s="3547">
        <f>+AO9+AQ9</f>
        <v>30294</v>
      </c>
      <c r="AT9" s="3547">
        <f t="shared" ref="AT9:AT10" si="21">+AP9+AR9</f>
        <v>29913</v>
      </c>
      <c r="AU9" s="3990">
        <f>+AU6*AU2</f>
        <v>2772</v>
      </c>
      <c r="AV9" s="3990">
        <v>2769</v>
      </c>
      <c r="AW9" s="3991">
        <f t="shared" ref="AW9:AW10" si="22">+AS9+AU9</f>
        <v>33066</v>
      </c>
      <c r="AX9" s="3991">
        <f t="shared" ref="AX9:AX10" si="23">+AT9+AV9</f>
        <v>32682</v>
      </c>
      <c r="AY9" s="4112">
        <f>+AY6*AY2</f>
        <v>3069</v>
      </c>
      <c r="AZ9" s="4429">
        <v>3024</v>
      </c>
      <c r="BA9" s="4114">
        <f>+AQ9+AU9+AY9</f>
        <v>8910</v>
      </c>
      <c r="BB9" s="4114">
        <f>+AR9+AV9+AZ9</f>
        <v>8862</v>
      </c>
      <c r="BC9" s="4115">
        <f>+AM9+BA9</f>
        <v>18018</v>
      </c>
      <c r="BD9" s="4115">
        <f>+AN9+BB9</f>
        <v>17841</v>
      </c>
      <c r="BE9" s="4113">
        <f>+AW9+AY9</f>
        <v>36135</v>
      </c>
      <c r="BF9" s="4113">
        <f>+AX9+AZ9</f>
        <v>35706</v>
      </c>
      <c r="BG9" s="3634">
        <v>34875</v>
      </c>
      <c r="BH9" s="3634">
        <v>34800</v>
      </c>
      <c r="BI9" s="3634">
        <v>35502</v>
      </c>
      <c r="BJ9" s="3646">
        <v>35543</v>
      </c>
      <c r="BL9" s="4514">
        <f>+BF17/BM5</f>
        <v>0.92854386574074077</v>
      </c>
    </row>
    <row r="10" spans="1:78" ht="15" customHeight="1" x14ac:dyDescent="0.25">
      <c r="A10" s="4437"/>
      <c r="B10" s="4495" t="s">
        <v>389</v>
      </c>
      <c r="C10" s="1442" t="s">
        <v>829</v>
      </c>
      <c r="D10" s="483">
        <f>+D7*D2</f>
        <v>36135</v>
      </c>
      <c r="E10" s="483">
        <f>+E7*E2</f>
        <v>2970</v>
      </c>
      <c r="F10" s="3551">
        <v>2761</v>
      </c>
      <c r="G10" s="483">
        <f>+G7*G2</f>
        <v>3069</v>
      </c>
      <c r="H10" s="3551">
        <v>2890</v>
      </c>
      <c r="I10" s="3547">
        <f>+I7*I2</f>
        <v>6039</v>
      </c>
      <c r="J10" s="3565">
        <f t="shared" ref="J10" si="24">+F10+H10</f>
        <v>5651</v>
      </c>
      <c r="K10" s="3551">
        <f>+K7*K2</f>
        <v>2970</v>
      </c>
      <c r="L10" s="3551">
        <v>2854</v>
      </c>
      <c r="M10" s="4667">
        <f t="shared" si="13"/>
        <v>9009</v>
      </c>
      <c r="N10" s="4667">
        <f t="shared" si="13"/>
        <v>8505</v>
      </c>
      <c r="O10" s="483">
        <f>+O7*O2</f>
        <v>3069</v>
      </c>
      <c r="P10" s="3551">
        <v>2881</v>
      </c>
      <c r="Q10" s="3547">
        <f t="shared" si="14"/>
        <v>12078</v>
      </c>
      <c r="R10" s="3547">
        <f t="shared" si="14"/>
        <v>11386</v>
      </c>
      <c r="S10" s="483">
        <f>+S7*S2</f>
        <v>3069</v>
      </c>
      <c r="T10" s="3551">
        <v>3037</v>
      </c>
      <c r="U10" s="3547">
        <f t="shared" si="15"/>
        <v>15147</v>
      </c>
      <c r="V10" s="3547">
        <f t="shared" si="16"/>
        <v>14423</v>
      </c>
      <c r="W10" s="483">
        <f>+W7*W2</f>
        <v>2970</v>
      </c>
      <c r="X10" s="3551">
        <v>2944</v>
      </c>
      <c r="Y10" s="3549">
        <f>+O10+S10+W10</f>
        <v>9108</v>
      </c>
      <c r="Z10" s="3549">
        <f>+P10+T10+X10</f>
        <v>8862</v>
      </c>
      <c r="AA10" s="1134">
        <f t="shared" ref="AA10" si="25">+U10+W10</f>
        <v>18117</v>
      </c>
      <c r="AB10" s="1134">
        <f t="shared" ref="AB10" si="26">+V10+X10</f>
        <v>17367</v>
      </c>
      <c r="AC10" s="483">
        <f>+AC7*AC2</f>
        <v>3069</v>
      </c>
      <c r="AD10" s="3551">
        <v>3064</v>
      </c>
      <c r="AE10" s="3547">
        <f t="shared" si="17"/>
        <v>21186</v>
      </c>
      <c r="AF10" s="3547">
        <f t="shared" si="18"/>
        <v>20431</v>
      </c>
      <c r="AG10" s="483">
        <f>+AG7*AG2</f>
        <v>2970</v>
      </c>
      <c r="AH10" s="3551">
        <v>2964</v>
      </c>
      <c r="AI10" s="3547">
        <f t="shared" si="19"/>
        <v>24156</v>
      </c>
      <c r="AJ10" s="3547">
        <f t="shared" si="20"/>
        <v>23395</v>
      </c>
      <c r="AK10" s="483">
        <f>+AK7*AK2</f>
        <v>3069</v>
      </c>
      <c r="AL10" s="3551">
        <v>3050</v>
      </c>
      <c r="AM10" s="3549">
        <f>+AC10+AG10+AK10</f>
        <v>9108</v>
      </c>
      <c r="AN10" s="3549">
        <f>+AD10+AH10+AL10</f>
        <v>9078</v>
      </c>
      <c r="AO10" s="3547">
        <f>+AI10+AK10</f>
        <v>27225</v>
      </c>
      <c r="AP10" s="3547">
        <f>+AJ10+AL10</f>
        <v>26445</v>
      </c>
      <c r="AQ10" s="483">
        <f>+AQ7*AQ2</f>
        <v>3069</v>
      </c>
      <c r="AR10" s="3551">
        <v>3060</v>
      </c>
      <c r="AS10" s="3547">
        <f t="shared" ref="AS10" si="27">+AO10+AQ10</f>
        <v>30294</v>
      </c>
      <c r="AT10" s="3547">
        <f t="shared" si="21"/>
        <v>29505</v>
      </c>
      <c r="AU10" s="483">
        <f>+AU7*AU2</f>
        <v>2772</v>
      </c>
      <c r="AV10" s="3990">
        <v>2768</v>
      </c>
      <c r="AW10" s="3991">
        <f t="shared" si="22"/>
        <v>33066</v>
      </c>
      <c r="AX10" s="3991">
        <f t="shared" si="23"/>
        <v>32273</v>
      </c>
      <c r="AY10" s="483">
        <f>+AY7*AY2</f>
        <v>3069</v>
      </c>
      <c r="AZ10" s="4429">
        <v>3065</v>
      </c>
      <c r="BA10" s="4114">
        <f>+AQ10+AU10+AY10</f>
        <v>8910</v>
      </c>
      <c r="BB10" s="4114">
        <f>+AR10+AV10+AZ10</f>
        <v>8893</v>
      </c>
      <c r="BC10" s="4115">
        <f>+AM10+BA10</f>
        <v>18018</v>
      </c>
      <c r="BD10" s="4115">
        <f>+AN10+BB10</f>
        <v>17971</v>
      </c>
      <c r="BE10" s="4113">
        <f>+AW10+AY10</f>
        <v>36135</v>
      </c>
      <c r="BF10" s="4113">
        <f>+AX10+AZ10</f>
        <v>35338</v>
      </c>
      <c r="BG10" s="3634">
        <v>34383</v>
      </c>
      <c r="BH10" s="3634">
        <v>33134</v>
      </c>
      <c r="BI10" s="3634">
        <v>35502</v>
      </c>
      <c r="BJ10" s="3646">
        <v>35030</v>
      </c>
      <c r="BL10" s="334">
        <v>350</v>
      </c>
      <c r="BM10" s="334">
        <v>2500000</v>
      </c>
    </row>
    <row r="11" spans="1:78" s="334" customFormat="1" ht="15" customHeight="1" x14ac:dyDescent="0.25">
      <c r="A11" s="4437"/>
      <c r="B11" s="4497" t="s">
        <v>830</v>
      </c>
      <c r="C11" s="4484" t="s">
        <v>829</v>
      </c>
      <c r="D11" s="3587">
        <f t="shared" ref="D11" si="28">D9+(D10*1.8343023255814)</f>
        <v>102417.51453488389</v>
      </c>
      <c r="E11" s="3587">
        <f t="shared" ref="E11:AB11" si="29">E9+(E10*1.8343023255814)</f>
        <v>8417.8779069767588</v>
      </c>
      <c r="F11" s="3587">
        <f t="shared" si="29"/>
        <v>7994.5087209302455</v>
      </c>
      <c r="G11" s="3587">
        <f t="shared" si="29"/>
        <v>8698.4738372093161</v>
      </c>
      <c r="H11" s="3587">
        <f t="shared" si="29"/>
        <v>8334.1337209302455</v>
      </c>
      <c r="I11" s="3587">
        <f t="shared" si="29"/>
        <v>17116.351744186075</v>
      </c>
      <c r="J11" s="3587">
        <f t="shared" si="29"/>
        <v>16328.642441860491</v>
      </c>
      <c r="K11" s="3587">
        <f t="shared" si="29"/>
        <v>8417.8779069767588</v>
      </c>
      <c r="L11" s="3587">
        <f t="shared" si="29"/>
        <v>8123.0988372093152</v>
      </c>
      <c r="M11" s="2422">
        <f t="shared" si="29"/>
        <v>25534.229651162834</v>
      </c>
      <c r="N11" s="2422">
        <f t="shared" si="29"/>
        <v>24451.741279069807</v>
      </c>
      <c r="O11" s="3587">
        <f t="shared" si="29"/>
        <v>8698.4738372093161</v>
      </c>
      <c r="P11" s="3587">
        <f t="shared" si="29"/>
        <v>8312.6250000000146</v>
      </c>
      <c r="Q11" s="3587">
        <f t="shared" si="29"/>
        <v>34232.70348837215</v>
      </c>
      <c r="R11" s="3587">
        <f t="shared" si="29"/>
        <v>32764.366279069818</v>
      </c>
      <c r="S11" s="3587">
        <f t="shared" si="29"/>
        <v>8698.4738372093161</v>
      </c>
      <c r="T11" s="3587">
        <f t="shared" si="29"/>
        <v>8638.7761627907112</v>
      </c>
      <c r="U11" s="3587">
        <f t="shared" si="29"/>
        <v>42931.177325581462</v>
      </c>
      <c r="V11" s="3587">
        <f t="shared" si="29"/>
        <v>41403.142441860531</v>
      </c>
      <c r="W11" s="3587">
        <f t="shared" ref="W11:X11" si="30">W9+(W10*1.8343023255814)</f>
        <v>8417.8779069767588</v>
      </c>
      <c r="X11" s="3587">
        <f t="shared" si="30"/>
        <v>8318.1860465116406</v>
      </c>
      <c r="Y11" s="3587">
        <f>Y9+(Y10*1.8343023255814)</f>
        <v>25814.825581395391</v>
      </c>
      <c r="Z11" s="3587">
        <f t="shared" si="29"/>
        <v>25269.587209302364</v>
      </c>
      <c r="AA11" s="3587">
        <f t="shared" si="29"/>
        <v>51349.055232558225</v>
      </c>
      <c r="AB11" s="3587">
        <f t="shared" si="29"/>
        <v>49721.328488372172</v>
      </c>
      <c r="AC11" s="3587">
        <f t="shared" ref="AC11:AF11" si="31">AC9+(AC10*1.8343023255814)</f>
        <v>8698.4738372093161</v>
      </c>
      <c r="AD11" s="3587">
        <f t="shared" si="31"/>
        <v>8571.3023255814096</v>
      </c>
      <c r="AE11" s="3587">
        <f t="shared" si="31"/>
        <v>60047.529069767537</v>
      </c>
      <c r="AF11" s="3587">
        <f t="shared" si="31"/>
        <v>58292.630813953583</v>
      </c>
      <c r="AG11" s="3587">
        <f t="shared" ref="AG11:AJ11" si="32">AG9+(AG10*1.8343023255814)</f>
        <v>8417.8779069767588</v>
      </c>
      <c r="AH11" s="3587">
        <f t="shared" si="32"/>
        <v>8392.8720930232703</v>
      </c>
      <c r="AI11" s="3587">
        <f t="shared" si="32"/>
        <v>68465.4069767443</v>
      </c>
      <c r="AJ11" s="3587">
        <f t="shared" si="32"/>
        <v>66685.50290697685</v>
      </c>
      <c r="AK11" s="3587">
        <f t="shared" ref="AK11:AL11" si="33">AK9+(AK10*1.8343023255814)</f>
        <v>8698.4738372093161</v>
      </c>
      <c r="AL11" s="3587">
        <f t="shared" si="33"/>
        <v>8666.6220930232703</v>
      </c>
      <c r="AM11" s="3587">
        <f t="shared" ref="AM11:AP11" si="34">AM9+(AM10*1.8343023255814)</f>
        <v>25814.825581395391</v>
      </c>
      <c r="AN11" s="3587">
        <f t="shared" si="34"/>
        <v>25630.796511627948</v>
      </c>
      <c r="AO11" s="3587">
        <f t="shared" si="34"/>
        <v>77163.880813953612</v>
      </c>
      <c r="AP11" s="3587">
        <f t="shared" si="34"/>
        <v>75352.125000000116</v>
      </c>
      <c r="AQ11" s="3587">
        <f t="shared" ref="AQ11:AT11" si="35">AQ9+(AQ10*1.8343023255814)</f>
        <v>8698.4738372093161</v>
      </c>
      <c r="AR11" s="3587">
        <f t="shared" si="35"/>
        <v>8681.9651162790833</v>
      </c>
      <c r="AS11" s="3587">
        <f t="shared" si="35"/>
        <v>85862.354651162925</v>
      </c>
      <c r="AT11" s="3587">
        <f t="shared" si="35"/>
        <v>84034.0901162792</v>
      </c>
      <c r="AU11" s="3628">
        <f t="shared" ref="AU11:AX11" si="36">AU9+(AU10*1.8343023255814)</f>
        <v>7856.6860465116406</v>
      </c>
      <c r="AV11" s="3628">
        <f t="shared" si="36"/>
        <v>7846.3488372093152</v>
      </c>
      <c r="AW11" s="3628">
        <f t="shared" si="36"/>
        <v>93719.040697674573</v>
      </c>
      <c r="AX11" s="3628">
        <f t="shared" si="36"/>
        <v>91880.438953488512</v>
      </c>
      <c r="AY11" s="3628">
        <f t="shared" ref="AY11:BB11" si="37">AY9+(AY10*1.8343023255814)</f>
        <v>8698.4738372093161</v>
      </c>
      <c r="AZ11" s="3628">
        <f t="shared" si="37"/>
        <v>8646.1366279069916</v>
      </c>
      <c r="BA11" s="3628">
        <f t="shared" si="37"/>
        <v>25253.633720930273</v>
      </c>
      <c r="BB11" s="3628">
        <f t="shared" si="37"/>
        <v>25174.450581395387</v>
      </c>
      <c r="BC11" s="3628"/>
      <c r="BD11" s="3628"/>
      <c r="BE11" s="3628">
        <f t="shared" ref="BE11:BF11" si="38">BE9+(BE10*1.8343023255814)</f>
        <v>102417.51453488389</v>
      </c>
      <c r="BF11" s="3628">
        <f t="shared" si="38"/>
        <v>100526.5755813955</v>
      </c>
      <c r="BG11" s="3587">
        <v>97943.816860465275</v>
      </c>
      <c r="BH11" s="3587">
        <v>95577.7732558141</v>
      </c>
      <c r="BI11" s="3587">
        <v>100623.40116279086</v>
      </c>
      <c r="BJ11" s="674">
        <v>99798.61046511645</v>
      </c>
      <c r="BL11" s="334">
        <v>1</v>
      </c>
      <c r="BM11" s="1486">
        <f>+BM10/BL10</f>
        <v>7142.8571428571431</v>
      </c>
    </row>
    <row r="12" spans="1:78" s="334" customFormat="1" ht="15" customHeight="1" x14ac:dyDescent="0.25">
      <c r="A12" s="4437"/>
      <c r="B12" s="4498" t="s">
        <v>381</v>
      </c>
      <c r="C12" s="1179"/>
      <c r="D12" s="3584"/>
      <c r="E12" s="3584"/>
      <c r="F12" s="3584"/>
      <c r="G12" s="3584"/>
      <c r="H12" s="3584"/>
      <c r="I12" s="3584"/>
      <c r="J12" s="2697"/>
      <c r="K12" s="3584"/>
      <c r="L12" s="3584"/>
      <c r="M12" s="2697"/>
      <c r="N12" s="2697"/>
      <c r="O12" s="3584"/>
      <c r="P12" s="3584"/>
      <c r="Q12" s="3584"/>
      <c r="R12" s="2697"/>
      <c r="S12" s="3584"/>
      <c r="T12" s="3584"/>
      <c r="U12" s="3584"/>
      <c r="V12" s="2697"/>
      <c r="W12" s="3584"/>
      <c r="X12" s="3584"/>
      <c r="Y12" s="2697"/>
      <c r="Z12" s="2697"/>
      <c r="AA12" s="3584"/>
      <c r="AB12" s="2697"/>
      <c r="AC12" s="3584"/>
      <c r="AD12" s="3584"/>
      <c r="AE12" s="3584"/>
      <c r="AF12" s="2697"/>
      <c r="AG12" s="3584"/>
      <c r="AH12" s="3584"/>
      <c r="AI12" s="3584"/>
      <c r="AJ12" s="2697"/>
      <c r="AK12" s="3584"/>
      <c r="AL12" s="3584"/>
      <c r="AM12" s="2697"/>
      <c r="AN12" s="2697"/>
      <c r="AO12" s="3584"/>
      <c r="AP12" s="2697"/>
      <c r="AQ12" s="3584"/>
      <c r="AR12" s="3584"/>
      <c r="AS12" s="3584"/>
      <c r="AT12" s="2697"/>
      <c r="AU12" s="3627"/>
      <c r="AV12" s="3627"/>
      <c r="AW12" s="3627"/>
      <c r="AX12" s="2697"/>
      <c r="AY12" s="3627"/>
      <c r="AZ12" s="3627"/>
      <c r="BA12" s="2697"/>
      <c r="BB12" s="2697"/>
      <c r="BC12" s="3627"/>
      <c r="BD12" s="2697"/>
      <c r="BE12" s="3627"/>
      <c r="BF12" s="2697"/>
      <c r="BG12" s="3584"/>
      <c r="BH12" s="2697"/>
      <c r="BI12" s="3584"/>
      <c r="BJ12" s="3647"/>
      <c r="BL12" s="334">
        <v>336</v>
      </c>
      <c r="BM12" s="334">
        <f>+BL12*BM11</f>
        <v>2400000</v>
      </c>
    </row>
    <row r="13" spans="1:78" ht="15" customHeight="1" x14ac:dyDescent="0.25">
      <c r="A13" s="4437"/>
      <c r="B13" s="4495" t="s">
        <v>169</v>
      </c>
      <c r="C13" s="1442" t="s">
        <v>53</v>
      </c>
      <c r="D13" s="3551">
        <f>+D9*0.705*17.2</f>
        <v>438173.00999999995</v>
      </c>
      <c r="E13" s="3551">
        <f>+E9*0.705*17.2</f>
        <v>36014.219999999994</v>
      </c>
      <c r="F13" s="238">
        <v>36261</v>
      </c>
      <c r="G13" s="3551">
        <f>+G9*17.2*0.705</f>
        <v>37214.693999999996</v>
      </c>
      <c r="H13" s="3551">
        <v>37251</v>
      </c>
      <c r="I13" s="3547">
        <f>+E13+G13</f>
        <v>73228.91399999999</v>
      </c>
      <c r="J13" s="3547">
        <f>+F13+H13</f>
        <v>73512</v>
      </c>
      <c r="K13" s="3551">
        <v>36014</v>
      </c>
      <c r="L13" s="3551">
        <v>35020</v>
      </c>
      <c r="M13" s="3549">
        <f>+I13+K13</f>
        <v>109242.91399999999</v>
      </c>
      <c r="N13" s="3549">
        <f>+J13+L13</f>
        <v>108532</v>
      </c>
      <c r="O13" s="3551">
        <v>37214.693999999996</v>
      </c>
      <c r="P13" s="3551">
        <v>36719</v>
      </c>
      <c r="Q13" s="3547">
        <f>+M13+O13</f>
        <v>146457.60799999998</v>
      </c>
      <c r="R13" s="3547">
        <f>+N13+P13</f>
        <v>145251</v>
      </c>
      <c r="S13" s="3551">
        <v>37214.693999999996</v>
      </c>
      <c r="T13" s="3551">
        <v>36826</v>
      </c>
      <c r="U13" s="3547">
        <f>+Q13+S13</f>
        <v>183672.30199999997</v>
      </c>
      <c r="V13" s="3547">
        <f>+R13+T13</f>
        <v>182077</v>
      </c>
      <c r="W13" s="3551">
        <v>36014.22</v>
      </c>
      <c r="X13" s="3551">
        <v>34880</v>
      </c>
      <c r="Y13" s="3549">
        <f>+O13+S13+W13</f>
        <v>110443.60799999999</v>
      </c>
      <c r="Z13" s="3549">
        <f t="shared" ref="Z13:Z14" si="39">+P13+T13+X13</f>
        <v>108425</v>
      </c>
      <c r="AA13" s="1134">
        <f>+U13+W13</f>
        <v>219686.52199999997</v>
      </c>
      <c r="AB13" s="1134">
        <f>+V13+X13</f>
        <v>216957</v>
      </c>
      <c r="AC13" s="3551">
        <v>37214.693999999996</v>
      </c>
      <c r="AD13" s="3551">
        <v>34994</v>
      </c>
      <c r="AE13" s="3547">
        <f>+AA13+AC13</f>
        <v>256901.21599999996</v>
      </c>
      <c r="AF13" s="3547">
        <f>+AB13+AD13</f>
        <v>251951</v>
      </c>
      <c r="AG13" s="3551">
        <v>36014.22</v>
      </c>
      <c r="AH13" s="3551">
        <v>35102</v>
      </c>
      <c r="AI13" s="3547">
        <f>+AE13+AG13</f>
        <v>292915.43599999999</v>
      </c>
      <c r="AJ13" s="3547">
        <f>+AF13+AH13</f>
        <v>287053</v>
      </c>
      <c r="AK13" s="3551">
        <v>37214.693999999996</v>
      </c>
      <c r="AL13" s="3551">
        <v>36508</v>
      </c>
      <c r="AM13" s="3549">
        <f>+AC13+AG13+AK13</f>
        <v>110443.60799999998</v>
      </c>
      <c r="AN13" s="3549">
        <f>+AD13+AH13+AL13</f>
        <v>106604</v>
      </c>
      <c r="AO13" s="3547">
        <f>+AI13+AK13</f>
        <v>330130.13</v>
      </c>
      <c r="AP13" s="3547">
        <f>+AJ13+AL13</f>
        <v>323561</v>
      </c>
      <c r="AQ13" s="3551">
        <v>37214.693999999996</v>
      </c>
      <c r="AR13" s="3551">
        <v>36437</v>
      </c>
      <c r="AS13" s="3547">
        <f>+AO13+AQ13</f>
        <v>367344.82400000002</v>
      </c>
      <c r="AT13" s="3547">
        <f>+AP13+AR13</f>
        <v>359998</v>
      </c>
      <c r="AU13" s="3990">
        <v>33613.272000000004</v>
      </c>
      <c r="AV13" s="3990">
        <v>32896</v>
      </c>
      <c r="AW13" s="3991">
        <f>+AS13+AU13</f>
        <v>400958.09600000002</v>
      </c>
      <c r="AX13" s="3991">
        <f>+AT13+AV13</f>
        <v>392894</v>
      </c>
      <c r="AY13" s="4112">
        <v>37214.693999999996</v>
      </c>
      <c r="AZ13" s="4112">
        <v>35912</v>
      </c>
      <c r="BA13" s="4114">
        <f>+AQ13+AU13+AY13</f>
        <v>108042.66</v>
      </c>
      <c r="BB13" s="4114">
        <f>+AR13+AV13+AZ13</f>
        <v>105245</v>
      </c>
      <c r="BC13" s="4115">
        <f t="shared" ref="BC13:BC14" si="40">+AM13+BA13</f>
        <v>218486.26799999998</v>
      </c>
      <c r="BD13" s="4115">
        <f t="shared" ref="BD13:BD14" si="41">+AN13+BB13</f>
        <v>211849</v>
      </c>
      <c r="BE13" s="4113">
        <f>+AW13+AY13</f>
        <v>438172.79000000004</v>
      </c>
      <c r="BF13" s="4113">
        <f>+AX13+AZ13</f>
        <v>428806</v>
      </c>
      <c r="BG13" s="3370">
        <v>425506</v>
      </c>
      <c r="BH13" s="3370">
        <v>430922.2</v>
      </c>
      <c r="BI13" s="3370">
        <v>406071.87599999999</v>
      </c>
      <c r="BJ13" s="3369">
        <v>412610.14</v>
      </c>
      <c r="BM13" s="4452">
        <f>+BF18/BM12</f>
        <v>0.9282779166666667</v>
      </c>
    </row>
    <row r="14" spans="1:78" x14ac:dyDescent="0.25">
      <c r="A14" s="4437"/>
      <c r="B14" s="4495" t="s">
        <v>170</v>
      </c>
      <c r="C14" s="1442" t="s">
        <v>53</v>
      </c>
      <c r="D14" s="3551">
        <f>+D10*31.55*0.705</f>
        <v>803741.77124999999</v>
      </c>
      <c r="E14" s="3551">
        <f>+E10*31.55*0.705</f>
        <v>66060.967499999999</v>
      </c>
      <c r="F14" s="238">
        <v>62677</v>
      </c>
      <c r="G14" s="3551">
        <f>+G10*31.55*0.705</f>
        <v>68262.999749999988</v>
      </c>
      <c r="H14" s="3551">
        <v>65108</v>
      </c>
      <c r="I14" s="3547">
        <f>+E14+G14</f>
        <v>134323.96724999999</v>
      </c>
      <c r="J14" s="3547">
        <f>+F14+H14</f>
        <v>127785</v>
      </c>
      <c r="K14" s="3551">
        <v>66061</v>
      </c>
      <c r="L14" s="3551">
        <v>63481</v>
      </c>
      <c r="M14" s="4667">
        <f>+I14+K14</f>
        <v>200384.96724999999</v>
      </c>
      <c r="N14" s="4667">
        <f>+J14+L14</f>
        <v>191266</v>
      </c>
      <c r="O14" s="3551">
        <v>68262.999750000003</v>
      </c>
      <c r="P14" s="3551">
        <v>64084</v>
      </c>
      <c r="Q14" s="3547">
        <f>+M14+O14</f>
        <v>268647.967</v>
      </c>
      <c r="R14" s="3547">
        <f>+N14+P14</f>
        <v>255350</v>
      </c>
      <c r="S14" s="3551">
        <v>68262.999750000003</v>
      </c>
      <c r="T14" s="3551">
        <v>66868</v>
      </c>
      <c r="U14" s="3547">
        <f>+Q14+S14</f>
        <v>336910.96675000002</v>
      </c>
      <c r="V14" s="3547">
        <f>+R14+T14</f>
        <v>322218</v>
      </c>
      <c r="W14" s="3551">
        <v>66060.967499999999</v>
      </c>
      <c r="X14" s="3551">
        <v>64551</v>
      </c>
      <c r="Y14" s="3549">
        <f t="shared" ref="Y14" si="42">+O14+S14+W14</f>
        <v>202586.967</v>
      </c>
      <c r="Z14" s="3549">
        <f t="shared" si="39"/>
        <v>195503</v>
      </c>
      <c r="AA14" s="1134">
        <f>+U14+W14</f>
        <v>402971.93425000005</v>
      </c>
      <c r="AB14" s="1134">
        <f>+V14+X14</f>
        <v>386769</v>
      </c>
      <c r="AC14" s="3551">
        <v>68262.999750000003</v>
      </c>
      <c r="AD14" s="3551">
        <v>66648</v>
      </c>
      <c r="AE14" s="3547">
        <f>+AA14+AC14</f>
        <v>471234.93400000007</v>
      </c>
      <c r="AF14" s="3547">
        <f>+AB14+AD14</f>
        <v>453417</v>
      </c>
      <c r="AG14" s="3551">
        <v>66060.967499999999</v>
      </c>
      <c r="AH14" s="3551">
        <v>64562</v>
      </c>
      <c r="AI14" s="3547">
        <f>+AE14+AG14</f>
        <v>537295.90150000004</v>
      </c>
      <c r="AJ14" s="3547">
        <f>+AF14+AH14</f>
        <v>517979</v>
      </c>
      <c r="AK14" s="3551">
        <v>68262.999750000003</v>
      </c>
      <c r="AL14" s="3551">
        <v>66487</v>
      </c>
      <c r="AM14" s="3549">
        <f>+AC14+AG14+AK14</f>
        <v>202586.967</v>
      </c>
      <c r="AN14" s="3549">
        <f>+AD14+AH14+AL14</f>
        <v>197697</v>
      </c>
      <c r="AO14" s="3547">
        <f>+AI14+AK14</f>
        <v>605558.90125</v>
      </c>
      <c r="AP14" s="3547">
        <f>+AJ14+AL14</f>
        <v>584466</v>
      </c>
      <c r="AQ14" s="3551">
        <v>68262.999750000003</v>
      </c>
      <c r="AR14" s="3551">
        <v>66640</v>
      </c>
      <c r="AS14" s="3547">
        <f>+AO14+AQ14</f>
        <v>673821.90099999995</v>
      </c>
      <c r="AT14" s="3547">
        <f>+AP14+AR14</f>
        <v>651106</v>
      </c>
      <c r="AU14" s="3990">
        <v>61656.903000000006</v>
      </c>
      <c r="AV14" s="3990">
        <v>60320</v>
      </c>
      <c r="AW14" s="3991">
        <f>+AS14+AU14</f>
        <v>735478.804</v>
      </c>
      <c r="AX14" s="3991">
        <f>+AT14+AV14</f>
        <v>711426</v>
      </c>
      <c r="AY14" s="4112">
        <v>68262.999750000003</v>
      </c>
      <c r="AZ14" s="4112">
        <v>66766</v>
      </c>
      <c r="BA14" s="4114">
        <f>+AQ14+AU14+AY14</f>
        <v>198182.90250000003</v>
      </c>
      <c r="BB14" s="4114">
        <f>+AR14+AV14+AZ14</f>
        <v>193726</v>
      </c>
      <c r="BC14" s="4115">
        <f t="shared" si="40"/>
        <v>400769.86950000003</v>
      </c>
      <c r="BD14" s="4115">
        <f t="shared" si="41"/>
        <v>391423</v>
      </c>
      <c r="BE14" s="4113">
        <f>+AW14+AY14</f>
        <v>803741.80374999996</v>
      </c>
      <c r="BF14" s="4113">
        <f>+AX14+AZ14</f>
        <v>778192</v>
      </c>
      <c r="BG14" s="3370">
        <v>770203</v>
      </c>
      <c r="BH14" s="3370">
        <v>752591.4</v>
      </c>
      <c r="BI14" s="3370">
        <v>744858.58650000009</v>
      </c>
      <c r="BJ14" s="3369">
        <v>745859.84</v>
      </c>
    </row>
    <row r="15" spans="1:78" s="334" customFormat="1" ht="15" customHeight="1" x14ac:dyDescent="0.25">
      <c r="A15" s="4437"/>
      <c r="B15" s="4497" t="s">
        <v>2</v>
      </c>
      <c r="C15" s="4484" t="s">
        <v>53</v>
      </c>
      <c r="D15" s="3587">
        <f t="shared" ref="D15:J15" si="43">SUM(D13:D14)</f>
        <v>1241914.78125</v>
      </c>
      <c r="E15" s="3587">
        <f t="shared" si="43"/>
        <v>102075.1875</v>
      </c>
      <c r="F15" s="3587">
        <f t="shared" si="43"/>
        <v>98938</v>
      </c>
      <c r="G15" s="3587">
        <f t="shared" ref="G15:H15" si="44">SUM(G13:G14)</f>
        <v>105477.69374999998</v>
      </c>
      <c r="H15" s="3587">
        <f t="shared" si="44"/>
        <v>102359</v>
      </c>
      <c r="I15" s="3587">
        <f t="shared" si="43"/>
        <v>207552.88124999998</v>
      </c>
      <c r="J15" s="3587">
        <f t="shared" si="43"/>
        <v>201297</v>
      </c>
      <c r="K15" s="3587">
        <f t="shared" ref="K15:L15" si="45">SUM(K13:K14)</f>
        <v>102075</v>
      </c>
      <c r="L15" s="3587">
        <f t="shared" si="45"/>
        <v>98501</v>
      </c>
      <c r="M15" s="2422">
        <f t="shared" ref="M15:R15" si="46">SUM(M13:M14)</f>
        <v>309627.88124999998</v>
      </c>
      <c r="N15" s="2422">
        <f t="shared" si="46"/>
        <v>299798</v>
      </c>
      <c r="O15" s="3587">
        <f t="shared" si="46"/>
        <v>105477.69375000001</v>
      </c>
      <c r="P15" s="3587">
        <f t="shared" si="46"/>
        <v>100803</v>
      </c>
      <c r="Q15" s="3587">
        <f t="shared" si="46"/>
        <v>415105.57499999995</v>
      </c>
      <c r="R15" s="3587">
        <f t="shared" si="46"/>
        <v>400601</v>
      </c>
      <c r="S15" s="3587">
        <f t="shared" ref="S15:V15" si="47">SUM(S13:S14)</f>
        <v>105477.69375000001</v>
      </c>
      <c r="T15" s="3587">
        <f t="shared" si="47"/>
        <v>103694</v>
      </c>
      <c r="U15" s="3587">
        <f t="shared" si="47"/>
        <v>520583.26874999999</v>
      </c>
      <c r="V15" s="3587">
        <f t="shared" si="47"/>
        <v>504295</v>
      </c>
      <c r="W15" s="3587">
        <f t="shared" ref="W15:X15" si="48">SUM(W13:W14)</f>
        <v>102075.1875</v>
      </c>
      <c r="X15" s="3587">
        <f t="shared" si="48"/>
        <v>99431</v>
      </c>
      <c r="Y15" s="3587">
        <f t="shared" ref="Y15:AA15" si="49">SUM(Y13:Y14)</f>
        <v>313030.57500000001</v>
      </c>
      <c r="Z15" s="3587">
        <f t="shared" si="49"/>
        <v>303928</v>
      </c>
      <c r="AA15" s="3587">
        <f t="shared" si="49"/>
        <v>622658.45625000005</v>
      </c>
      <c r="AB15" s="3587">
        <f>SUM(AB13:AB14)</f>
        <v>603726</v>
      </c>
      <c r="AC15" s="3587">
        <f t="shared" ref="AC15:AF15" si="50">SUM(AC13:AC14)</f>
        <v>105477.69375000001</v>
      </c>
      <c r="AD15" s="3587">
        <f t="shared" si="50"/>
        <v>101642</v>
      </c>
      <c r="AE15" s="3587">
        <f t="shared" si="50"/>
        <v>728136.15</v>
      </c>
      <c r="AF15" s="3587">
        <f t="shared" si="50"/>
        <v>705368</v>
      </c>
      <c r="AG15" s="3587">
        <f t="shared" ref="AG15:AJ15" si="51">SUM(AG13:AG14)</f>
        <v>102075.1875</v>
      </c>
      <c r="AH15" s="3587">
        <f t="shared" si="51"/>
        <v>99664</v>
      </c>
      <c r="AI15" s="3587">
        <f t="shared" si="51"/>
        <v>830211.33750000002</v>
      </c>
      <c r="AJ15" s="3587">
        <f t="shared" si="51"/>
        <v>805032</v>
      </c>
      <c r="AK15" s="3587">
        <f t="shared" ref="AK15:AL15" si="52">SUM(AK13:AK14)</f>
        <v>105477.69375000001</v>
      </c>
      <c r="AL15" s="3587">
        <f t="shared" si="52"/>
        <v>102995</v>
      </c>
      <c r="AM15" s="3587">
        <f t="shared" ref="AM15:AO15" si="53">SUM(AM13:AM14)</f>
        <v>313030.57499999995</v>
      </c>
      <c r="AN15" s="3587">
        <f t="shared" si="53"/>
        <v>304301</v>
      </c>
      <c r="AO15" s="3587">
        <f t="shared" si="53"/>
        <v>935689.03125</v>
      </c>
      <c r="AP15" s="3587">
        <f>SUM(AP13:AP14)</f>
        <v>908027</v>
      </c>
      <c r="AQ15" s="3587">
        <f t="shared" ref="AQ15:AT15" si="54">SUM(AQ13:AQ14)</f>
        <v>105477.69375000001</v>
      </c>
      <c r="AR15" s="3587">
        <f t="shared" si="54"/>
        <v>103077</v>
      </c>
      <c r="AS15" s="3587">
        <f t="shared" si="54"/>
        <v>1041166.725</v>
      </c>
      <c r="AT15" s="3587">
        <f t="shared" si="54"/>
        <v>1011104</v>
      </c>
      <c r="AU15" s="3628">
        <f t="shared" ref="AU15:AX15" si="55">SUM(AU13:AU14)</f>
        <v>95270.175000000017</v>
      </c>
      <c r="AV15" s="3628">
        <f t="shared" si="55"/>
        <v>93216</v>
      </c>
      <c r="AW15" s="3628">
        <f t="shared" si="55"/>
        <v>1136436.8999999999</v>
      </c>
      <c r="AX15" s="3628">
        <f t="shared" si="55"/>
        <v>1104320</v>
      </c>
      <c r="AY15" s="3628">
        <f t="shared" ref="AY15:BB15" si="56">SUM(AY13:AY14)</f>
        <v>105477.69375000001</v>
      </c>
      <c r="AZ15" s="3628">
        <f t="shared" si="56"/>
        <v>102678</v>
      </c>
      <c r="BA15" s="3628">
        <f t="shared" si="56"/>
        <v>306225.5625</v>
      </c>
      <c r="BB15" s="3628">
        <f t="shared" si="56"/>
        <v>298971</v>
      </c>
      <c r="BC15" s="3628"/>
      <c r="BD15" s="3628"/>
      <c r="BE15" s="3628">
        <f t="shared" ref="BE15" si="57">SUM(BE13:BE14)</f>
        <v>1241914.59375</v>
      </c>
      <c r="BF15" s="3628">
        <f>SUM(BF13:BF14)</f>
        <v>1206998</v>
      </c>
      <c r="BG15" s="3587">
        <v>1195709</v>
      </c>
      <c r="BH15" s="3587">
        <v>1183513.6000000001</v>
      </c>
      <c r="BI15" s="3587">
        <v>1150930.4625000001</v>
      </c>
      <c r="BJ15" s="674">
        <v>1158469.98</v>
      </c>
    </row>
    <row r="16" spans="1:78" ht="15" customHeight="1" x14ac:dyDescent="0.25">
      <c r="A16" s="4437"/>
      <c r="B16" s="4499" t="s">
        <v>386</v>
      </c>
      <c r="C16" s="1442" t="s">
        <v>53</v>
      </c>
      <c r="D16" s="1123">
        <v>4183927.4571394208</v>
      </c>
      <c r="E16" s="3551">
        <v>244596</v>
      </c>
      <c r="F16" s="238">
        <f>+SINTER!F54</f>
        <v>273488</v>
      </c>
      <c r="G16" s="3551">
        <v>249804</v>
      </c>
      <c r="H16" s="3551">
        <v>243436</v>
      </c>
      <c r="I16" s="3547">
        <f t="shared" ref="I16:J18" si="58">+E16+G16</f>
        <v>494400</v>
      </c>
      <c r="J16" s="3547">
        <f t="shared" si="58"/>
        <v>516924</v>
      </c>
      <c r="K16" s="3551">
        <v>363179</v>
      </c>
      <c r="L16" s="3551">
        <v>376032</v>
      </c>
      <c r="M16" s="4667">
        <f t="shared" ref="M16:N18" si="59">+I16+K16</f>
        <v>857579</v>
      </c>
      <c r="N16" s="4667">
        <f t="shared" si="59"/>
        <v>892956</v>
      </c>
      <c r="O16" s="3551">
        <v>375490.40740410518</v>
      </c>
      <c r="P16" s="3551">
        <v>375866</v>
      </c>
      <c r="Q16" s="3547">
        <f t="shared" ref="Q16:R18" si="60">+M16+O16</f>
        <v>1233069.4074041052</v>
      </c>
      <c r="R16" s="3547">
        <f t="shared" si="60"/>
        <v>1268822</v>
      </c>
      <c r="S16" s="3551">
        <v>375490.40740410518</v>
      </c>
      <c r="T16" s="3551">
        <v>372177</v>
      </c>
      <c r="U16" s="3547">
        <f t="shared" ref="U16:U17" si="61">+Q16+S16</f>
        <v>1608559.8148082104</v>
      </c>
      <c r="V16" s="3547">
        <f t="shared" ref="V16" si="62">+R16+T16</f>
        <v>1640999</v>
      </c>
      <c r="W16" s="3551">
        <v>365208.18084363011</v>
      </c>
      <c r="X16" s="3551">
        <v>349453</v>
      </c>
      <c r="Y16" s="3549">
        <f>+O16+S16+W16</f>
        <v>1116188.9956518405</v>
      </c>
      <c r="Z16" s="3549">
        <f t="shared" ref="Z16:Z18" si="63">+P16+T16+X16</f>
        <v>1097496</v>
      </c>
      <c r="AA16" s="1134">
        <f t="shared" ref="AA16:AA17" si="64">+U16+W16</f>
        <v>1973767.9956518405</v>
      </c>
      <c r="AB16" s="1134">
        <f>+V16+X16</f>
        <v>1990452</v>
      </c>
      <c r="AC16" s="3551">
        <v>377588.11917731247</v>
      </c>
      <c r="AD16" s="3551">
        <v>372810</v>
      </c>
      <c r="AE16" s="3547">
        <f t="shared" ref="AE16:AE17" si="65">+AA16+AC16</f>
        <v>2351356.1148291528</v>
      </c>
      <c r="AF16" s="3547">
        <f t="shared" ref="AF16" si="66">+AB16+AD16</f>
        <v>2363262</v>
      </c>
      <c r="AG16" s="3551">
        <v>365208.18084363011</v>
      </c>
      <c r="AH16" s="3551">
        <v>360415</v>
      </c>
      <c r="AI16" s="3547">
        <f t="shared" ref="AI16:AI17" si="67">+AE16+AG16</f>
        <v>2716564.2956727827</v>
      </c>
      <c r="AJ16" s="3547">
        <f t="shared" ref="AJ16" si="68">+AF16+AH16</f>
        <v>2723677</v>
      </c>
      <c r="AK16" s="3551">
        <v>377588.11917731247</v>
      </c>
      <c r="AL16" s="3551">
        <v>390769</v>
      </c>
      <c r="AM16" s="3549">
        <f t="shared" ref="AM16:AN18" si="69">+AC16+AG16+AK16</f>
        <v>1120384.4191982551</v>
      </c>
      <c r="AN16" s="3549">
        <f t="shared" si="69"/>
        <v>1123994</v>
      </c>
      <c r="AO16" s="3547">
        <f t="shared" ref="AO16:AP18" si="70">+AI16+AK16</f>
        <v>3094152.4148500953</v>
      </c>
      <c r="AP16" s="3547">
        <f t="shared" si="70"/>
        <v>3114446</v>
      </c>
      <c r="AQ16" s="3551">
        <v>377588.11917731247</v>
      </c>
      <c r="AR16" s="3551">
        <v>395037</v>
      </c>
      <c r="AS16" s="3547">
        <f t="shared" ref="AS16:AS17" si="71">+AO16+AQ16</f>
        <v>3471740.5340274079</v>
      </c>
      <c r="AT16" s="3547">
        <f t="shared" ref="AT16" si="72">+AP16+AR16</f>
        <v>3509483</v>
      </c>
      <c r="AU16" s="3990">
        <v>334599.11955883913</v>
      </c>
      <c r="AV16" s="3990">
        <v>361024</v>
      </c>
      <c r="AW16" s="3991">
        <f t="shared" ref="AW16:AW17" si="73">+AS16+AU16</f>
        <v>3806339.653586247</v>
      </c>
      <c r="AX16" s="3991">
        <f t="shared" ref="AX16" si="74">+AT16+AV16</f>
        <v>3870507</v>
      </c>
      <c r="AY16" s="4112">
        <v>377588.11917731247</v>
      </c>
      <c r="AZ16" s="4429">
        <v>407324</v>
      </c>
      <c r="BA16" s="4114">
        <f t="shared" ref="BA16:BA18" si="75">+AQ16+AU16+AY16</f>
        <v>1089775.3579134641</v>
      </c>
      <c r="BB16" s="4114">
        <f t="shared" ref="BB16:BB18" si="76">+AR16+AV16+AZ16</f>
        <v>1163385</v>
      </c>
      <c r="BC16" s="4115">
        <f t="shared" ref="BC16:BC18" si="77">+AM16+BA16</f>
        <v>2210159.7771117194</v>
      </c>
      <c r="BD16" s="4115">
        <f t="shared" ref="BD16:BD18" si="78">+AN16+BB16</f>
        <v>2287379</v>
      </c>
      <c r="BE16" s="4113">
        <f t="shared" ref="BE16:BF18" si="79">+AW16+AY16</f>
        <v>4183927.7727635596</v>
      </c>
      <c r="BF16" s="4113">
        <f t="shared" si="79"/>
        <v>4277831</v>
      </c>
      <c r="BG16" s="3370">
        <v>3665891.272345175</v>
      </c>
      <c r="BH16" s="3370">
        <v>3629577</v>
      </c>
      <c r="BI16" s="3370">
        <v>3903932.5274391733</v>
      </c>
      <c r="BJ16" s="3369">
        <v>3709525</v>
      </c>
      <c r="BK16" s="4707">
        <f>+BF16/1000000</f>
        <v>4.2778309999999999</v>
      </c>
      <c r="BL16" s="4452">
        <f>+BF16/BK16</f>
        <v>1000000</v>
      </c>
    </row>
    <row r="17" spans="1:78" ht="15" customHeight="1" x14ac:dyDescent="0.25">
      <c r="A17" s="422"/>
      <c r="B17" s="4499" t="s">
        <v>379</v>
      </c>
      <c r="C17" s="1442" t="s">
        <v>53</v>
      </c>
      <c r="D17" s="1123">
        <v>2650000.4700000002</v>
      </c>
      <c r="E17" s="3551">
        <v>102000</v>
      </c>
      <c r="F17" s="3572">
        <v>109815</v>
      </c>
      <c r="G17" s="3551">
        <v>134000</v>
      </c>
      <c r="H17" s="3551">
        <v>103466.6</v>
      </c>
      <c r="I17" s="3547">
        <f t="shared" si="58"/>
        <v>236000</v>
      </c>
      <c r="J17" s="3547">
        <f>+F17+H17</f>
        <v>213281.6</v>
      </c>
      <c r="K17" s="3551">
        <v>237623</v>
      </c>
      <c r="L17" s="483">
        <v>206937</v>
      </c>
      <c r="M17" s="3549">
        <f t="shared" si="59"/>
        <v>473623</v>
      </c>
      <c r="N17" s="3549">
        <f>+J17+L17</f>
        <v>420218.6</v>
      </c>
      <c r="O17" s="3551">
        <v>245677.5</v>
      </c>
      <c r="P17" s="483">
        <v>200202</v>
      </c>
      <c r="Q17" s="3547">
        <f t="shared" si="60"/>
        <v>719300.5</v>
      </c>
      <c r="R17" s="3547">
        <f>+N17+P17</f>
        <v>620420.6</v>
      </c>
      <c r="S17" s="3551">
        <v>245677.5</v>
      </c>
      <c r="T17" s="483">
        <v>220172</v>
      </c>
      <c r="U17" s="3547">
        <f t="shared" si="61"/>
        <v>964978</v>
      </c>
      <c r="V17" s="3547">
        <f>+R17+T17</f>
        <v>840592.6</v>
      </c>
      <c r="W17" s="3551">
        <v>238950</v>
      </c>
      <c r="X17" s="483">
        <v>213015</v>
      </c>
      <c r="Y17" s="3549">
        <f t="shared" ref="Y17:Y18" si="80">+O17+S17+W17</f>
        <v>730305</v>
      </c>
      <c r="Z17" s="3549">
        <f t="shared" si="63"/>
        <v>633389</v>
      </c>
      <c r="AA17" s="1134">
        <f t="shared" si="64"/>
        <v>1203928</v>
      </c>
      <c r="AB17" s="1134">
        <f>+V17+X17</f>
        <v>1053607.6000000001</v>
      </c>
      <c r="AC17" s="3551">
        <v>247050</v>
      </c>
      <c r="AD17" s="483">
        <v>232652</v>
      </c>
      <c r="AE17" s="3547">
        <f t="shared" si="65"/>
        <v>1450978</v>
      </c>
      <c r="AF17" s="3547">
        <f>+AB17+AD17</f>
        <v>1286259.6000000001</v>
      </c>
      <c r="AG17" s="3551">
        <v>238950</v>
      </c>
      <c r="AH17" s="3551">
        <v>207019</v>
      </c>
      <c r="AI17" s="3547">
        <f t="shared" si="67"/>
        <v>1689928</v>
      </c>
      <c r="AJ17" s="3547">
        <f>+AF17+AH17</f>
        <v>1493278.6</v>
      </c>
      <c r="AK17" s="3551">
        <v>247050</v>
      </c>
      <c r="AL17" s="3551">
        <v>230306</v>
      </c>
      <c r="AM17" s="3549">
        <f t="shared" si="69"/>
        <v>733050</v>
      </c>
      <c r="AN17" s="3549">
        <f t="shared" si="69"/>
        <v>669977</v>
      </c>
      <c r="AO17" s="3547">
        <f t="shared" si="70"/>
        <v>1936978</v>
      </c>
      <c r="AP17" s="3547">
        <f t="shared" si="70"/>
        <v>1723584.6</v>
      </c>
      <c r="AQ17" s="3551">
        <v>247050</v>
      </c>
      <c r="AR17" s="3862">
        <v>235117</v>
      </c>
      <c r="AS17" s="3547">
        <f t="shared" si="71"/>
        <v>2184028</v>
      </c>
      <c r="AT17" s="3547">
        <f>+AP17+AR17</f>
        <v>1958701.6</v>
      </c>
      <c r="AU17" s="3990">
        <v>218922.97</v>
      </c>
      <c r="AV17" s="3990">
        <v>210229</v>
      </c>
      <c r="AW17" s="3991">
        <f t="shared" si="73"/>
        <v>2402950.9700000002</v>
      </c>
      <c r="AX17" s="3991">
        <f>+AT17+AV17</f>
        <v>2168930.6</v>
      </c>
      <c r="AY17" s="4112">
        <v>247050</v>
      </c>
      <c r="AZ17" s="4112">
        <v>237855.1</v>
      </c>
      <c r="BA17" s="4114">
        <f t="shared" si="75"/>
        <v>713022.97</v>
      </c>
      <c r="BB17" s="4114">
        <f t="shared" si="76"/>
        <v>683201.1</v>
      </c>
      <c r="BC17" s="4115">
        <f t="shared" si="77"/>
        <v>1446072.97</v>
      </c>
      <c r="BD17" s="4115">
        <f t="shared" si="78"/>
        <v>1353178.1</v>
      </c>
      <c r="BE17" s="4113">
        <f t="shared" si="79"/>
        <v>2650000.9700000002</v>
      </c>
      <c r="BF17" s="4113">
        <f t="shared" si="79"/>
        <v>2406785.7000000002</v>
      </c>
      <c r="BG17" s="3370">
        <v>2496672.1533415001</v>
      </c>
      <c r="BH17" s="3370">
        <v>2092798</v>
      </c>
      <c r="BI17" s="3370">
        <v>2700000</v>
      </c>
      <c r="BJ17" s="3369">
        <v>2505193</v>
      </c>
      <c r="BK17" s="4707">
        <f>+BF17/1000000</f>
        <v>2.4067857000000004</v>
      </c>
      <c r="BL17" s="4452">
        <f>+BK17/BH17</f>
        <v>1.1500324923857919E-6</v>
      </c>
    </row>
    <row r="18" spans="1:78" ht="15.75" x14ac:dyDescent="0.25">
      <c r="A18" s="4437"/>
      <c r="B18" s="4500" t="s">
        <v>380</v>
      </c>
      <c r="C18" s="1442" t="s">
        <v>53</v>
      </c>
      <c r="D18" s="1123">
        <v>2451737.5305164317</v>
      </c>
      <c r="E18" s="3551">
        <v>93897</v>
      </c>
      <c r="F18" s="238">
        <v>99859</v>
      </c>
      <c r="G18" s="3551">
        <v>97183</v>
      </c>
      <c r="H18" s="3551">
        <v>79982</v>
      </c>
      <c r="I18" s="3547">
        <f t="shared" si="58"/>
        <v>191080</v>
      </c>
      <c r="J18" s="3547">
        <f t="shared" si="58"/>
        <v>179841</v>
      </c>
      <c r="K18" s="3551">
        <v>222369</v>
      </c>
      <c r="L18" s="3551">
        <v>195203</v>
      </c>
      <c r="M18" s="3549">
        <f t="shared" si="59"/>
        <v>413449</v>
      </c>
      <c r="N18" s="3549">
        <f t="shared" si="59"/>
        <v>375044</v>
      </c>
      <c r="O18" s="3551">
        <v>229931.92488262913</v>
      </c>
      <c r="P18" s="3551">
        <v>188123</v>
      </c>
      <c r="Q18" s="3547">
        <f>+M18+O18</f>
        <v>643380.92488262919</v>
      </c>
      <c r="R18" s="3547">
        <f t="shared" si="60"/>
        <v>563167</v>
      </c>
      <c r="S18" s="3551">
        <v>230119.71830985916</v>
      </c>
      <c r="T18" s="3551">
        <v>204220</v>
      </c>
      <c r="U18" s="3547">
        <f>+Q18+S18</f>
        <v>873500.64319248835</v>
      </c>
      <c r="V18" s="3547">
        <f t="shared" ref="V18" si="81">+R18+T18</f>
        <v>767387</v>
      </c>
      <c r="W18" s="3551">
        <v>223802.81690140846</v>
      </c>
      <c r="X18" s="3551">
        <v>198425</v>
      </c>
      <c r="Y18" s="3549">
        <f t="shared" si="80"/>
        <v>683854.46009389672</v>
      </c>
      <c r="Z18" s="3549">
        <f t="shared" si="63"/>
        <v>590768</v>
      </c>
      <c r="AA18" s="1134">
        <f>+U18+W18</f>
        <v>1097303.4600938968</v>
      </c>
      <c r="AB18" s="1134">
        <f>+V18+X18</f>
        <v>965812</v>
      </c>
      <c r="AC18" s="3551">
        <v>231408.45070422534</v>
      </c>
      <c r="AD18" s="3551">
        <v>211320</v>
      </c>
      <c r="AE18" s="3547">
        <f>+AA18+AC18</f>
        <v>1328711.9107981222</v>
      </c>
      <c r="AF18" s="3547">
        <f t="shared" ref="AF18" si="82">+AB18+AD18</f>
        <v>1177132</v>
      </c>
      <c r="AG18" s="3551">
        <v>223802.81690140846</v>
      </c>
      <c r="AH18" s="3551">
        <v>194791</v>
      </c>
      <c r="AI18" s="3547">
        <f>+AE18+AG18</f>
        <v>1552514.7276995305</v>
      </c>
      <c r="AJ18" s="3547">
        <f t="shared" ref="AJ18" si="83">+AF18+AH18</f>
        <v>1371923</v>
      </c>
      <c r="AK18" s="3551">
        <v>231408</v>
      </c>
      <c r="AL18" s="3551">
        <v>216681</v>
      </c>
      <c r="AM18" s="3549">
        <f t="shared" si="69"/>
        <v>686619.26760563382</v>
      </c>
      <c r="AN18" s="3549">
        <f t="shared" si="69"/>
        <v>622792</v>
      </c>
      <c r="AO18" s="3547">
        <f t="shared" si="70"/>
        <v>1783922.7276995305</v>
      </c>
      <c r="AP18" s="3547">
        <f t="shared" si="70"/>
        <v>1588604</v>
      </c>
      <c r="AQ18" s="3551">
        <v>231408.45070422534</v>
      </c>
      <c r="AR18" s="3862">
        <v>221653</v>
      </c>
      <c r="AS18" s="3547">
        <f>+AO18+AQ18</f>
        <v>2015331.1784037559</v>
      </c>
      <c r="AT18" s="3547">
        <f t="shared" ref="AT18" si="84">+AP18+AR18</f>
        <v>1810257</v>
      </c>
      <c r="AU18" s="3990">
        <v>204998.0938967136</v>
      </c>
      <c r="AV18" s="3990">
        <v>197600</v>
      </c>
      <c r="AW18" s="3991">
        <f>+AS18+AU18</f>
        <v>2220329.2723004697</v>
      </c>
      <c r="AX18" s="3991">
        <f t="shared" ref="AX18" si="85">+AT18+AV18</f>
        <v>2007857</v>
      </c>
      <c r="AY18" s="4112">
        <v>231408.45070422534</v>
      </c>
      <c r="AZ18" s="4112">
        <v>220010</v>
      </c>
      <c r="BA18" s="4114">
        <f t="shared" si="75"/>
        <v>667814.99530516425</v>
      </c>
      <c r="BB18" s="4114">
        <f t="shared" si="76"/>
        <v>639263</v>
      </c>
      <c r="BC18" s="4115">
        <f t="shared" si="77"/>
        <v>1354434.2629107982</v>
      </c>
      <c r="BD18" s="4115">
        <f t="shared" si="78"/>
        <v>1262055</v>
      </c>
      <c r="BE18" s="4113">
        <f t="shared" si="79"/>
        <v>2451737.723004695</v>
      </c>
      <c r="BF18" s="4113">
        <f t="shared" si="79"/>
        <v>2227867</v>
      </c>
      <c r="BG18" s="3370">
        <v>2297163.5</v>
      </c>
      <c r="BH18" s="3370">
        <v>1847433</v>
      </c>
      <c r="BI18" s="3370">
        <v>2500000</v>
      </c>
      <c r="BJ18" s="3369">
        <v>2083412</v>
      </c>
      <c r="BK18" s="4707">
        <f>+BF18/1000000</f>
        <v>2.2278669999999998</v>
      </c>
      <c r="BL18" s="4452">
        <f>+BK18/BH18</f>
        <v>1.2059257358724239E-6</v>
      </c>
    </row>
    <row r="19" spans="1:78" s="334" customFormat="1" ht="16.5" customHeight="1" x14ac:dyDescent="0.25">
      <c r="A19" s="4437"/>
      <c r="B19" s="4501" t="s">
        <v>570</v>
      </c>
      <c r="C19" s="4485" t="s">
        <v>514</v>
      </c>
      <c r="D19" s="3587">
        <v>48.771870229790068</v>
      </c>
      <c r="E19" s="3587">
        <f t="shared" ref="E19:AB19" si="86">+E48/E1</f>
        <v>20.866666666666667</v>
      </c>
      <c r="F19" s="3587">
        <f t="shared" si="86"/>
        <v>21.766666666666666</v>
      </c>
      <c r="G19" s="3587">
        <f t="shared" si="86"/>
        <v>20.903225806451612</v>
      </c>
      <c r="H19" s="3587">
        <f t="shared" si="86"/>
        <v>16.806451612903224</v>
      </c>
      <c r="I19" s="3587">
        <f t="shared" si="86"/>
        <v>20.885245901639344</v>
      </c>
      <c r="J19" s="3587">
        <f t="shared" si="86"/>
        <v>19.245901639344261</v>
      </c>
      <c r="K19" s="3587">
        <f t="shared" si="86"/>
        <v>49.4</v>
      </c>
      <c r="L19" s="3587">
        <f t="shared" si="86"/>
        <v>42.2</v>
      </c>
      <c r="M19" s="3587">
        <f t="shared" si="86"/>
        <v>30.285714285714285</v>
      </c>
      <c r="N19" s="3587">
        <f t="shared" si="86"/>
        <v>26.813186813186814</v>
      </c>
      <c r="O19" s="3587">
        <f t="shared" si="86"/>
        <v>49.451612903225808</v>
      </c>
      <c r="P19" s="3587">
        <f t="shared" si="86"/>
        <v>39.806451612903224</v>
      </c>
      <c r="Q19" s="3587">
        <f t="shared" si="86"/>
        <v>35.155737704918032</v>
      </c>
      <c r="R19" s="3587">
        <f t="shared" si="86"/>
        <v>30.114754098360656</v>
      </c>
      <c r="S19" s="3587">
        <f t="shared" si="86"/>
        <v>49.48811146448584</v>
      </c>
      <c r="T19" s="3587">
        <f t="shared" si="86"/>
        <v>43.41935483870968</v>
      </c>
      <c r="U19" s="3587">
        <f t="shared" si="86"/>
        <v>38.059682715026547</v>
      </c>
      <c r="V19" s="3587">
        <f t="shared" si="86"/>
        <v>32.810457516339866</v>
      </c>
      <c r="W19" s="3587">
        <f t="shared" ref="W19:X19" si="87">+W48/W1</f>
        <v>49.733959311424101</v>
      </c>
      <c r="X19" s="3587">
        <f t="shared" si="87"/>
        <v>43.366666666666667</v>
      </c>
      <c r="Y19" s="3587">
        <f t="shared" si="86"/>
        <v>49.555980812410702</v>
      </c>
      <c r="Z19" s="3587">
        <f t="shared" si="86"/>
        <v>42.184782608695649</v>
      </c>
      <c r="AA19" s="3587">
        <f t="shared" si="86"/>
        <v>39.973498550501553</v>
      </c>
      <c r="AB19" s="3587">
        <f t="shared" si="86"/>
        <v>34.540983606557376</v>
      </c>
      <c r="AC19" s="3587">
        <f t="shared" ref="AC19:AF19" si="88">+AC48/AC1</f>
        <v>49.765258215962433</v>
      </c>
      <c r="AD19" s="3587">
        <f t="shared" si="88"/>
        <v>44.677419354838712</v>
      </c>
      <c r="AE19" s="3587">
        <f t="shared" si="88"/>
        <v>41.391931025404766</v>
      </c>
      <c r="AF19" s="3587">
        <f t="shared" si="88"/>
        <v>36.009345794392523</v>
      </c>
      <c r="AG19" s="3587">
        <f t="shared" ref="AG19:AL19" si="89">+AG48/AG1</f>
        <v>49.733959311424101</v>
      </c>
      <c r="AH19" s="3587">
        <f t="shared" si="89"/>
        <v>42.9</v>
      </c>
      <c r="AI19" s="3587">
        <f t="shared" si="89"/>
        <v>42.417590240898946</v>
      </c>
      <c r="AJ19" s="3587">
        <f t="shared" si="89"/>
        <v>36.856557377049178</v>
      </c>
      <c r="AK19" s="3587">
        <f t="shared" si="89"/>
        <v>49.765258215962433</v>
      </c>
      <c r="AL19" s="3587">
        <f t="shared" si="89"/>
        <v>46.29032258064516</v>
      </c>
      <c r="AM19" s="3587">
        <f t="shared" ref="AM19:BF19" si="90">+AM48/AM1</f>
        <v>49.755052051439058</v>
      </c>
      <c r="AN19" s="3587">
        <f t="shared" si="90"/>
        <v>44.641304347826086</v>
      </c>
      <c r="AO19" s="3587">
        <f t="shared" si="90"/>
        <v>43.245872812633372</v>
      </c>
      <c r="AP19" s="3587">
        <f t="shared" si="90"/>
        <v>37.92</v>
      </c>
      <c r="AQ19" s="3587">
        <f t="shared" si="90"/>
        <v>49.765258215962433</v>
      </c>
      <c r="AR19" s="3630">
        <f t="shared" si="90"/>
        <v>46.87096774193548</v>
      </c>
      <c r="AS19" s="3587">
        <f t="shared" si="90"/>
        <v>43.906333425388929</v>
      </c>
      <c r="AT19" s="3587">
        <f t="shared" si="90"/>
        <v>38.826797385620914</v>
      </c>
      <c r="AU19" s="3628">
        <f t="shared" ref="AU19:AX19" si="91">+AU48/AU1</f>
        <v>48.809069975408001</v>
      </c>
      <c r="AV19" s="3628">
        <f t="shared" si="91"/>
        <v>46.071428571428569</v>
      </c>
      <c r="AW19" s="3628">
        <f t="shared" si="91"/>
        <v>44.317341279881546</v>
      </c>
      <c r="AX19" s="3628">
        <f t="shared" si="91"/>
        <v>39.434131736526943</v>
      </c>
      <c r="AY19" s="3628">
        <f t="shared" ref="AY19:BB19" si="92">+AY48/AY1</f>
        <v>49.765258215962433</v>
      </c>
      <c r="AZ19" s="3628">
        <f t="shared" si="92"/>
        <v>46.87096774193548</v>
      </c>
      <c r="BA19" s="3628">
        <f t="shared" si="92"/>
        <v>49.467777430012163</v>
      </c>
      <c r="BB19" s="3628">
        <f t="shared" si="92"/>
        <v>46.62222222222222</v>
      </c>
      <c r="BC19" s="3628">
        <f t="shared" si="90"/>
        <v>49.612993172711469</v>
      </c>
      <c r="BD19" s="3628">
        <f t="shared" si="90"/>
        <v>45.620879120879124</v>
      </c>
      <c r="BE19" s="3628">
        <f t="shared" si="90"/>
        <v>44.780041074452797</v>
      </c>
      <c r="BF19" s="3628">
        <f t="shared" si="90"/>
        <v>40.065753424657537</v>
      </c>
      <c r="BG19" s="3551">
        <v>41.920045662100456</v>
      </c>
      <c r="BH19" s="3587">
        <v>33.30958904109589</v>
      </c>
      <c r="BI19" s="3551">
        <v>47.014645250053974</v>
      </c>
      <c r="BJ19" s="674">
        <v>38.66393442622951</v>
      </c>
    </row>
    <row r="20" spans="1:78" s="334" customFormat="1" ht="15" customHeight="1" x14ac:dyDescent="0.25">
      <c r="A20" s="4437"/>
      <c r="B20" s="2205" t="s">
        <v>267</v>
      </c>
      <c r="C20" s="2561"/>
      <c r="D20" s="3635"/>
      <c r="E20" s="3635"/>
      <c r="F20" s="3587"/>
      <c r="G20" s="3635"/>
      <c r="H20" s="3587"/>
      <c r="I20" s="3635"/>
      <c r="J20" s="3635"/>
      <c r="K20" s="3635"/>
      <c r="L20" s="3587"/>
      <c r="M20" s="3635"/>
      <c r="N20" s="1730"/>
      <c r="O20" s="3635"/>
      <c r="P20" s="3587"/>
      <c r="Q20" s="3635"/>
      <c r="R20" s="3636"/>
      <c r="S20" s="3635"/>
      <c r="T20" s="3587"/>
      <c r="U20" s="3635"/>
      <c r="V20" s="3635"/>
      <c r="W20" s="3635"/>
      <c r="X20" s="3587"/>
      <c r="Y20" s="3635"/>
      <c r="Z20" s="1730"/>
      <c r="AA20" s="3635"/>
      <c r="AB20" s="3635"/>
      <c r="AC20" s="3635"/>
      <c r="AD20" s="3587"/>
      <c r="AE20" s="3635"/>
      <c r="AF20" s="3635"/>
      <c r="AG20" s="3635"/>
      <c r="AH20" s="3587"/>
      <c r="AI20" s="3635"/>
      <c r="AJ20" s="3635"/>
      <c r="AK20" s="3635"/>
      <c r="AL20" s="3587"/>
      <c r="AM20" s="3635"/>
      <c r="AN20" s="1730"/>
      <c r="AO20" s="3635"/>
      <c r="AP20" s="3635"/>
      <c r="AQ20" s="3635"/>
      <c r="AR20" s="3587"/>
      <c r="AS20" s="3635"/>
      <c r="AT20" s="3635"/>
      <c r="AU20" s="3635"/>
      <c r="AV20" s="3628"/>
      <c r="AW20" s="3635"/>
      <c r="AX20" s="3635"/>
      <c r="AY20" s="3635"/>
      <c r="AZ20" s="3628"/>
      <c r="BA20" s="3635"/>
      <c r="BB20" s="1730"/>
      <c r="BC20" s="3635"/>
      <c r="BD20" s="3635"/>
      <c r="BE20" s="3635"/>
      <c r="BF20" s="3635"/>
      <c r="BG20" s="699"/>
      <c r="BH20" s="698"/>
      <c r="BI20" s="699"/>
      <c r="BJ20" s="3645"/>
    </row>
    <row r="21" spans="1:78" ht="15" customHeight="1" x14ac:dyDescent="0.25">
      <c r="B21" s="4495" t="s">
        <v>22</v>
      </c>
      <c r="C21" s="1442" t="s">
        <v>53</v>
      </c>
      <c r="D21" s="1123">
        <v>34535.234215885946</v>
      </c>
      <c r="E21" s="3551">
        <v>1935</v>
      </c>
      <c r="F21" s="238">
        <v>3131.2</v>
      </c>
      <c r="G21" s="3551">
        <v>11609</v>
      </c>
      <c r="H21" s="3551">
        <v>5506.5882000000001</v>
      </c>
      <c r="I21" s="3547">
        <f t="shared" ref="I21:J23" si="93">+E21+G21</f>
        <v>13544</v>
      </c>
      <c r="J21" s="3547">
        <f t="shared" si="93"/>
        <v>8637.7881999999991</v>
      </c>
      <c r="K21" s="3551">
        <v>774</v>
      </c>
      <c r="L21" s="483">
        <v>337</v>
      </c>
      <c r="M21" s="3549">
        <f t="shared" ref="M21:N23" si="94">+I21+K21</f>
        <v>14318</v>
      </c>
      <c r="N21" s="3549">
        <f t="shared" si="94"/>
        <v>8974.7881999999991</v>
      </c>
      <c r="O21" s="3551">
        <v>773.93075356415477</v>
      </c>
      <c r="P21" s="483">
        <v>1227</v>
      </c>
      <c r="Q21" s="3547">
        <f t="shared" ref="Q21:R23" si="95">+M21+O21</f>
        <v>15091.930753564155</v>
      </c>
      <c r="R21" s="3547">
        <f t="shared" si="95"/>
        <v>10201.788199999999</v>
      </c>
      <c r="S21" s="3551">
        <v>580.44806517311611</v>
      </c>
      <c r="T21" s="483">
        <v>2129</v>
      </c>
      <c r="U21" s="3547">
        <f t="shared" ref="U21:U23" si="96">+Q21+S21</f>
        <v>15672.37881873727</v>
      </c>
      <c r="V21" s="3547">
        <f t="shared" ref="V21:V23" si="97">+R21+T21</f>
        <v>12330.788199999999</v>
      </c>
      <c r="W21" s="3551">
        <v>580.44806517311611</v>
      </c>
      <c r="X21" s="483">
        <v>1360</v>
      </c>
      <c r="Y21" s="3549">
        <f t="shared" ref="Y21:Y23" si="98">+O21+S21+W21</f>
        <v>1934.8268839103871</v>
      </c>
      <c r="Z21" s="3549">
        <f>+P21+T21+X21</f>
        <v>4716</v>
      </c>
      <c r="AA21" s="1134">
        <f t="shared" ref="AA21:AA23" si="99">+U21+W21</f>
        <v>16252.826883910386</v>
      </c>
      <c r="AB21" s="1134">
        <f t="shared" ref="AB21:AB23" si="100">+V21+X21</f>
        <v>13690.788199999999</v>
      </c>
      <c r="AC21" s="3551">
        <v>580.44806517311611</v>
      </c>
      <c r="AD21" s="483">
        <v>3785</v>
      </c>
      <c r="AE21" s="3547">
        <f t="shared" ref="AE21:AE23" si="101">+AA21+AC21</f>
        <v>16833.274949083501</v>
      </c>
      <c r="AF21" s="3547">
        <f t="shared" ref="AF21:AF23" si="102">+AB21+AD21</f>
        <v>17475.788199999999</v>
      </c>
      <c r="AG21" s="3551">
        <v>580.44806517311611</v>
      </c>
      <c r="AH21" s="483">
        <v>947</v>
      </c>
      <c r="AI21" s="3547">
        <f t="shared" ref="AI21:AI23" si="103">+AE21+AG21</f>
        <v>17413.723014256619</v>
      </c>
      <c r="AJ21" s="3547">
        <f t="shared" ref="AJ21:AJ23" si="104">+AF21+AH21</f>
        <v>18422.788199999999</v>
      </c>
      <c r="AK21" s="3551">
        <v>580.44806517311611</v>
      </c>
      <c r="AL21" s="3551">
        <v>706.9908999999999</v>
      </c>
      <c r="AM21" s="3549">
        <f t="shared" ref="AM21:AN23" si="105">+AC21+AG21+AK21</f>
        <v>1741.3441955193484</v>
      </c>
      <c r="AN21" s="3549">
        <f t="shared" si="105"/>
        <v>5438.9908999999998</v>
      </c>
      <c r="AO21" s="3547">
        <f t="shared" ref="AO21:AP23" si="106">+AI21+AK21</f>
        <v>17994.171079429736</v>
      </c>
      <c r="AP21" s="3547">
        <f t="shared" si="106"/>
        <v>19129.7791</v>
      </c>
      <c r="AQ21" s="3551">
        <v>580.44806517311611</v>
      </c>
      <c r="AR21" s="483">
        <v>0</v>
      </c>
      <c r="AS21" s="3547">
        <f t="shared" ref="AS21:AS22" si="107">+AO21+AQ21</f>
        <v>18574.619144602853</v>
      </c>
      <c r="AT21" s="3547">
        <f t="shared" ref="AT21:AT23" si="108">+AP21+AR21</f>
        <v>19129.7791</v>
      </c>
      <c r="AU21" s="3990">
        <v>580.44806517311611</v>
      </c>
      <c r="AV21" s="483">
        <v>337</v>
      </c>
      <c r="AW21" s="3991">
        <f t="shared" ref="AW21:AW23" si="109">+AS21+AU21</f>
        <v>19155.067209775971</v>
      </c>
      <c r="AX21" s="3991">
        <f t="shared" ref="AX21:AX23" si="110">+AT21+AV21</f>
        <v>19466.7791</v>
      </c>
      <c r="AY21" s="4112">
        <v>580.44806517311611</v>
      </c>
      <c r="AZ21" s="4429">
        <v>2894.2933499999999</v>
      </c>
      <c r="BA21" s="4114">
        <f t="shared" ref="BA21:BA23" si="111">+AQ21+AU21+AY21</f>
        <v>1741.3441955193484</v>
      </c>
      <c r="BB21" s="4114">
        <f t="shared" ref="BB21:BB23" si="112">+AR21+AV21+AZ21</f>
        <v>3231.2933499999999</v>
      </c>
      <c r="BC21" s="4115">
        <f t="shared" ref="BC21:BC26" si="113">+AM21+BA21</f>
        <v>3482.6883910386969</v>
      </c>
      <c r="BD21" s="4115">
        <f t="shared" ref="BD21:BD26" si="114">+AN21+BB21</f>
        <v>8670.2842500000006</v>
      </c>
      <c r="BE21" s="4113">
        <f t="shared" ref="BE21:BF23" si="115">+AW21+AY21</f>
        <v>19735.515274949088</v>
      </c>
      <c r="BF21" s="4113">
        <f t="shared" si="115"/>
        <v>22361.07245</v>
      </c>
      <c r="BG21" s="3370">
        <v>20755.018447889259</v>
      </c>
      <c r="BH21" s="3370">
        <v>58220.700000000004</v>
      </c>
      <c r="BI21" s="3370">
        <v>29957.855711422784</v>
      </c>
      <c r="BJ21" s="3369">
        <v>134629.17781999998</v>
      </c>
    </row>
    <row r="22" spans="1:78" ht="15" customHeight="1" x14ac:dyDescent="0.25">
      <c r="B22" s="4495" t="s">
        <v>122</v>
      </c>
      <c r="C22" s="1442" t="s">
        <v>53</v>
      </c>
      <c r="D22" s="1123">
        <v>0</v>
      </c>
      <c r="E22" s="3551">
        <v>0</v>
      </c>
      <c r="F22" s="4666">
        <v>206.5</v>
      </c>
      <c r="G22" s="3551">
        <v>0</v>
      </c>
      <c r="H22" s="3551">
        <v>655.84829999999999</v>
      </c>
      <c r="I22" s="3547">
        <f t="shared" si="93"/>
        <v>0</v>
      </c>
      <c r="J22" s="3547">
        <f t="shared" si="93"/>
        <v>862.34829999999999</v>
      </c>
      <c r="K22" s="3551">
        <v>0</v>
      </c>
      <c r="L22" s="483">
        <v>22</v>
      </c>
      <c r="M22" s="3549">
        <f t="shared" si="94"/>
        <v>0</v>
      </c>
      <c r="N22" s="3549">
        <f t="shared" si="94"/>
        <v>884.34829999999999</v>
      </c>
      <c r="O22" s="3551">
        <v>0</v>
      </c>
      <c r="P22" s="483">
        <v>173</v>
      </c>
      <c r="Q22" s="3547">
        <f t="shared" si="95"/>
        <v>0</v>
      </c>
      <c r="R22" s="3547">
        <f t="shared" si="95"/>
        <v>1057.3483000000001</v>
      </c>
      <c r="S22" s="3551">
        <v>0</v>
      </c>
      <c r="T22" s="483">
        <v>301</v>
      </c>
      <c r="U22" s="3547">
        <f t="shared" si="96"/>
        <v>0</v>
      </c>
      <c r="V22" s="3547">
        <f t="shared" si="97"/>
        <v>1358.3483000000001</v>
      </c>
      <c r="W22" s="3551">
        <v>0</v>
      </c>
      <c r="X22" s="483">
        <v>192</v>
      </c>
      <c r="Y22" s="3549">
        <f t="shared" si="98"/>
        <v>0</v>
      </c>
      <c r="Z22" s="3549">
        <f t="shared" ref="Z22:Z23" si="116">+P22+T22+X22</f>
        <v>666</v>
      </c>
      <c r="AA22" s="1134">
        <f>+U22+W22</f>
        <v>0</v>
      </c>
      <c r="AB22" s="1134">
        <f>+V22+X22</f>
        <v>1550.3483000000001</v>
      </c>
      <c r="AC22" s="3551">
        <v>0</v>
      </c>
      <c r="AD22" s="483">
        <v>534</v>
      </c>
      <c r="AE22" s="3547">
        <f t="shared" si="101"/>
        <v>0</v>
      </c>
      <c r="AF22" s="3547">
        <f t="shared" si="102"/>
        <v>2084.3483000000001</v>
      </c>
      <c r="AG22" s="3551">
        <v>0</v>
      </c>
      <c r="AH22" s="483">
        <v>134</v>
      </c>
      <c r="AI22" s="3547">
        <f t="shared" si="103"/>
        <v>0</v>
      </c>
      <c r="AJ22" s="3547">
        <f t="shared" si="104"/>
        <v>2218.3483000000001</v>
      </c>
      <c r="AK22" s="3551">
        <v>0</v>
      </c>
      <c r="AL22" s="3551">
        <v>99.810479999999998</v>
      </c>
      <c r="AM22" s="3549">
        <f t="shared" si="105"/>
        <v>0</v>
      </c>
      <c r="AN22" s="3549">
        <f t="shared" si="105"/>
        <v>767.81047999999998</v>
      </c>
      <c r="AO22" s="3547">
        <f t="shared" si="106"/>
        <v>0</v>
      </c>
      <c r="AP22" s="3547">
        <f t="shared" si="106"/>
        <v>2318.1587800000002</v>
      </c>
      <c r="AQ22" s="3551">
        <v>0</v>
      </c>
      <c r="AR22" s="483">
        <v>0</v>
      </c>
      <c r="AS22" s="3547">
        <f t="shared" si="107"/>
        <v>0</v>
      </c>
      <c r="AT22" s="3547">
        <f t="shared" si="108"/>
        <v>2318.1587800000002</v>
      </c>
      <c r="AU22" s="3990">
        <v>0</v>
      </c>
      <c r="AV22" s="483">
        <v>48</v>
      </c>
      <c r="AW22" s="3991">
        <f t="shared" si="109"/>
        <v>0</v>
      </c>
      <c r="AX22" s="3991">
        <f t="shared" si="110"/>
        <v>2366.1587800000002</v>
      </c>
      <c r="AY22" s="4112">
        <v>0</v>
      </c>
      <c r="AZ22" s="4429">
        <v>408.60611999999998</v>
      </c>
      <c r="BA22" s="4114">
        <f t="shared" si="111"/>
        <v>0</v>
      </c>
      <c r="BB22" s="4114">
        <f t="shared" si="112"/>
        <v>456.60611999999998</v>
      </c>
      <c r="BC22" s="4115">
        <f t="shared" si="113"/>
        <v>0</v>
      </c>
      <c r="BD22" s="4115">
        <f t="shared" si="114"/>
        <v>1224.4166</v>
      </c>
      <c r="BE22" s="4113">
        <f t="shared" si="115"/>
        <v>0</v>
      </c>
      <c r="BF22" s="4113">
        <f t="shared" si="115"/>
        <v>2774.7649000000001</v>
      </c>
      <c r="BG22" s="3370">
        <v>392</v>
      </c>
      <c r="BH22" s="3370">
        <v>3852.3</v>
      </c>
      <c r="BI22" s="3370">
        <v>1419.0563231726583</v>
      </c>
      <c r="BJ22" s="3369">
        <v>8272.9782799999994</v>
      </c>
    </row>
    <row r="23" spans="1:78" ht="30" x14ac:dyDescent="0.25">
      <c r="B23" s="4502" t="s">
        <v>265</v>
      </c>
      <c r="C23" s="1442" t="s">
        <v>53</v>
      </c>
      <c r="D23" s="2454">
        <v>0</v>
      </c>
      <c r="E23" s="483">
        <v>0</v>
      </c>
      <c r="F23" s="238">
        <v>0</v>
      </c>
      <c r="G23" s="483">
        <f>18500*0.8</f>
        <v>14800</v>
      </c>
      <c r="H23" s="238">
        <f>11518*0.8</f>
        <v>9214.4</v>
      </c>
      <c r="I23" s="3547">
        <f t="shared" si="93"/>
        <v>14800</v>
      </c>
      <c r="J23" s="3547">
        <f t="shared" si="93"/>
        <v>9214.4</v>
      </c>
      <c r="K23" s="483">
        <v>0</v>
      </c>
      <c r="L23" s="3551">
        <v>0</v>
      </c>
      <c r="M23" s="3549">
        <f t="shared" si="94"/>
        <v>14800</v>
      </c>
      <c r="N23" s="3549">
        <f t="shared" si="94"/>
        <v>9214.4</v>
      </c>
      <c r="O23" s="483">
        <v>0</v>
      </c>
      <c r="P23" s="238">
        <v>0</v>
      </c>
      <c r="Q23" s="3547">
        <f t="shared" si="95"/>
        <v>14800</v>
      </c>
      <c r="R23" s="3547">
        <f t="shared" si="95"/>
        <v>9214.4</v>
      </c>
      <c r="S23" s="483">
        <v>0</v>
      </c>
      <c r="T23" s="238">
        <v>0</v>
      </c>
      <c r="U23" s="3547">
        <f t="shared" si="96"/>
        <v>14800</v>
      </c>
      <c r="V23" s="3547">
        <f t="shared" si="97"/>
        <v>9214.4</v>
      </c>
      <c r="W23" s="483">
        <v>0</v>
      </c>
      <c r="X23" s="238">
        <v>0</v>
      </c>
      <c r="Y23" s="3549">
        <f t="shared" si="98"/>
        <v>0</v>
      </c>
      <c r="Z23" s="3549">
        <f t="shared" si="116"/>
        <v>0</v>
      </c>
      <c r="AA23" s="1134">
        <f t="shared" si="99"/>
        <v>14800</v>
      </c>
      <c r="AB23" s="1134">
        <f t="shared" si="100"/>
        <v>9214.4</v>
      </c>
      <c r="AC23" s="483">
        <v>0</v>
      </c>
      <c r="AD23" s="238">
        <v>0</v>
      </c>
      <c r="AE23" s="3547">
        <f t="shared" si="101"/>
        <v>14800</v>
      </c>
      <c r="AF23" s="3547">
        <f t="shared" si="102"/>
        <v>9214.4</v>
      </c>
      <c r="AG23" s="483">
        <v>0</v>
      </c>
      <c r="AH23" s="238">
        <v>0</v>
      </c>
      <c r="AI23" s="3547">
        <f t="shared" si="103"/>
        <v>14800</v>
      </c>
      <c r="AJ23" s="3547">
        <f t="shared" si="104"/>
        <v>9214.4</v>
      </c>
      <c r="AK23" s="483">
        <v>0</v>
      </c>
      <c r="AL23" s="238">
        <v>0</v>
      </c>
      <c r="AM23" s="3549">
        <f t="shared" si="105"/>
        <v>0</v>
      </c>
      <c r="AN23" s="3549">
        <f t="shared" si="105"/>
        <v>0</v>
      </c>
      <c r="AO23" s="3547">
        <f t="shared" si="106"/>
        <v>14800</v>
      </c>
      <c r="AP23" s="3547">
        <f t="shared" si="106"/>
        <v>9214.4</v>
      </c>
      <c r="AQ23" s="483">
        <v>0</v>
      </c>
      <c r="AR23" s="238">
        <v>0</v>
      </c>
      <c r="AS23" s="3547">
        <f>+AO23+AQ23</f>
        <v>14800</v>
      </c>
      <c r="AT23" s="3547">
        <f t="shared" si="108"/>
        <v>9214.4</v>
      </c>
      <c r="AU23" s="483">
        <v>0</v>
      </c>
      <c r="AV23" s="3989">
        <v>0</v>
      </c>
      <c r="AW23" s="3991">
        <f t="shared" si="109"/>
        <v>14800</v>
      </c>
      <c r="AX23" s="3991">
        <f t="shared" si="110"/>
        <v>9214.4</v>
      </c>
      <c r="AY23" s="483">
        <v>0</v>
      </c>
      <c r="AZ23" s="4111">
        <v>0</v>
      </c>
      <c r="BA23" s="4114">
        <f t="shared" si="111"/>
        <v>0</v>
      </c>
      <c r="BB23" s="4114">
        <f t="shared" si="112"/>
        <v>0</v>
      </c>
      <c r="BC23" s="4115">
        <f t="shared" si="113"/>
        <v>0</v>
      </c>
      <c r="BD23" s="4115">
        <f t="shared" si="114"/>
        <v>0</v>
      </c>
      <c r="BE23" s="4113">
        <f t="shared" si="115"/>
        <v>14800</v>
      </c>
      <c r="BF23" s="4113">
        <f t="shared" si="115"/>
        <v>9214.4</v>
      </c>
      <c r="BG23" s="3370">
        <v>0</v>
      </c>
      <c r="BH23" s="3370">
        <v>0</v>
      </c>
      <c r="BI23" s="3370">
        <v>0</v>
      </c>
      <c r="BJ23" s="3369">
        <v>26220.800000000003</v>
      </c>
    </row>
    <row r="24" spans="1:78" ht="15" customHeight="1" x14ac:dyDescent="0.25">
      <c r="B24" s="4496" t="s">
        <v>877</v>
      </c>
      <c r="C24" s="4486" t="s">
        <v>53</v>
      </c>
      <c r="D24" s="1830">
        <f t="shared" ref="D24:T24" si="117">SUM(D21:D23)</f>
        <v>34535.234215885946</v>
      </c>
      <c r="E24" s="1830">
        <f t="shared" si="117"/>
        <v>1935</v>
      </c>
      <c r="F24" s="1830">
        <f t="shared" si="117"/>
        <v>3337.7</v>
      </c>
      <c r="G24" s="1830">
        <f t="shared" ref="G24:H24" si="118">SUM(G21:G23)</f>
        <v>26409</v>
      </c>
      <c r="H24" s="1830">
        <f t="shared" si="118"/>
        <v>15376.836499999999</v>
      </c>
      <c r="I24" s="1831">
        <f t="shared" si="117"/>
        <v>28344</v>
      </c>
      <c r="J24" s="1831">
        <f t="shared" si="117"/>
        <v>18714.536499999998</v>
      </c>
      <c r="K24" s="1830">
        <f t="shared" ref="K24:L24" si="119">SUM(K21:K23)</f>
        <v>774</v>
      </c>
      <c r="L24" s="1830">
        <f t="shared" si="119"/>
        <v>359</v>
      </c>
      <c r="M24" s="1832">
        <f t="shared" si="117"/>
        <v>29118</v>
      </c>
      <c r="N24" s="1832">
        <f t="shared" si="117"/>
        <v>19073.536499999998</v>
      </c>
      <c r="O24" s="1830">
        <f t="shared" ref="O24:P24" si="120">SUM(O21:O23)</f>
        <v>773.93075356415477</v>
      </c>
      <c r="P24" s="1830">
        <f t="shared" si="120"/>
        <v>1400</v>
      </c>
      <c r="Q24" s="1831">
        <f t="shared" si="117"/>
        <v>29891.930753564156</v>
      </c>
      <c r="R24" s="1831">
        <f t="shared" si="117"/>
        <v>20473.536499999998</v>
      </c>
      <c r="S24" s="1830">
        <f t="shared" si="117"/>
        <v>580.44806517311611</v>
      </c>
      <c r="T24" s="1830">
        <f t="shared" si="117"/>
        <v>2430</v>
      </c>
      <c r="U24" s="1831">
        <f t="shared" ref="U24:Z24" si="121">SUM(U21:U23)</f>
        <v>30472.37881873727</v>
      </c>
      <c r="V24" s="1831">
        <f t="shared" si="121"/>
        <v>22903.536499999998</v>
      </c>
      <c r="W24" s="1830">
        <f t="shared" ref="W24:X24" si="122">SUM(W21:W23)</f>
        <v>580.44806517311611</v>
      </c>
      <c r="X24" s="1830">
        <f t="shared" si="122"/>
        <v>1552</v>
      </c>
      <c r="Y24" s="1832">
        <f t="shared" si="121"/>
        <v>1934.8268839103871</v>
      </c>
      <c r="Z24" s="1832">
        <f t="shared" si="121"/>
        <v>5382</v>
      </c>
      <c r="AA24" s="1833">
        <f t="shared" ref="AA24:AB24" si="123">SUM(AA21:AA23)</f>
        <v>31052.826883910384</v>
      </c>
      <c r="AB24" s="1833">
        <f t="shared" si="123"/>
        <v>24455.536499999998</v>
      </c>
      <c r="AC24" s="1830">
        <f t="shared" ref="AC24:AD24" si="124">SUM(AC21:AC23)</f>
        <v>580.44806517311611</v>
      </c>
      <c r="AD24" s="1830">
        <f t="shared" si="124"/>
        <v>4319</v>
      </c>
      <c r="AE24" s="1831">
        <f t="shared" ref="AE24:AH24" si="125">SUM(AE21:AE23)</f>
        <v>31633.274949083501</v>
      </c>
      <c r="AF24" s="1831">
        <f t="shared" si="125"/>
        <v>28774.536500000002</v>
      </c>
      <c r="AG24" s="1830">
        <f t="shared" si="125"/>
        <v>580.44806517311611</v>
      </c>
      <c r="AH24" s="1830">
        <f t="shared" si="125"/>
        <v>1081</v>
      </c>
      <c r="AI24" s="1831">
        <f t="shared" ref="AI24:AL24" si="126">SUM(AI21:AI23)</f>
        <v>32213.723014256619</v>
      </c>
      <c r="AJ24" s="1831">
        <f t="shared" si="126"/>
        <v>29855.536500000002</v>
      </c>
      <c r="AK24" s="1830">
        <f t="shared" si="126"/>
        <v>580.44806517311611</v>
      </c>
      <c r="AL24" s="1830">
        <f t="shared" si="126"/>
        <v>806.80137999999988</v>
      </c>
      <c r="AM24" s="1832">
        <f t="shared" ref="AM24:AP24" si="127">SUM(AM21:AM23)</f>
        <v>1741.3441955193484</v>
      </c>
      <c r="AN24" s="1832">
        <f t="shared" si="127"/>
        <v>6206.8013799999999</v>
      </c>
      <c r="AO24" s="1831">
        <f t="shared" si="127"/>
        <v>32794.17107942974</v>
      </c>
      <c r="AP24" s="1831">
        <f t="shared" si="127"/>
        <v>30662.337879999999</v>
      </c>
      <c r="AQ24" s="1830">
        <f t="shared" ref="AQ24:AT24" si="128">SUM(AQ21:AQ23)</f>
        <v>580.44806517311611</v>
      </c>
      <c r="AR24" s="1830">
        <f t="shared" si="128"/>
        <v>0</v>
      </c>
      <c r="AS24" s="1831">
        <f t="shared" si="128"/>
        <v>33374.619144602853</v>
      </c>
      <c r="AT24" s="1831">
        <f t="shared" si="128"/>
        <v>30662.337879999999</v>
      </c>
      <c r="AU24" s="1830">
        <f t="shared" ref="AU24:AX24" si="129">SUM(AU21:AU23)</f>
        <v>580.44806517311611</v>
      </c>
      <c r="AV24" s="1830">
        <f t="shared" si="129"/>
        <v>385</v>
      </c>
      <c r="AW24" s="1831">
        <f t="shared" si="129"/>
        <v>33955.067209775967</v>
      </c>
      <c r="AX24" s="1831">
        <f t="shared" si="129"/>
        <v>31047.337879999999</v>
      </c>
      <c r="AY24" s="1830">
        <f t="shared" ref="AY24:BB24" si="130">SUM(AY21:AY23)</f>
        <v>580.44806517311611</v>
      </c>
      <c r="AZ24" s="1830">
        <f t="shared" si="130"/>
        <v>3302.8994699999998</v>
      </c>
      <c r="BA24" s="1832">
        <f t="shared" si="130"/>
        <v>1741.3441955193484</v>
      </c>
      <c r="BB24" s="1832">
        <f t="shared" si="130"/>
        <v>3687.8994699999998</v>
      </c>
      <c r="BC24" s="1833">
        <f t="shared" si="113"/>
        <v>3482.6883910386969</v>
      </c>
      <c r="BD24" s="1833">
        <f t="shared" si="114"/>
        <v>9894.7008499999993</v>
      </c>
      <c r="BE24" s="1831">
        <f t="shared" ref="BE24:BF24" si="131">SUM(BE21:BE23)</f>
        <v>34535.515274949088</v>
      </c>
      <c r="BF24" s="1831">
        <f t="shared" si="131"/>
        <v>34350.237350000003</v>
      </c>
      <c r="BG24" s="3637">
        <v>21147.018447889259</v>
      </c>
      <c r="BH24" s="3637">
        <v>62073.000000000007</v>
      </c>
      <c r="BI24" s="3637">
        <v>31376.912034595443</v>
      </c>
      <c r="BJ24" s="3648">
        <v>169122.95610000001</v>
      </c>
    </row>
    <row r="25" spans="1:78" ht="15" customHeight="1" x14ac:dyDescent="0.25">
      <c r="B25" s="4503" t="s">
        <v>870</v>
      </c>
      <c r="C25" s="1442" t="s">
        <v>53</v>
      </c>
      <c r="D25" s="1123">
        <v>2399.04</v>
      </c>
      <c r="E25" s="3551">
        <v>235</v>
      </c>
      <c r="F25" s="483">
        <v>3262</v>
      </c>
      <c r="G25" s="3551">
        <v>1411</v>
      </c>
      <c r="H25" s="3551">
        <v>1898.93</v>
      </c>
      <c r="I25" s="3547">
        <f>+E25+G25</f>
        <v>1646</v>
      </c>
      <c r="J25" s="3547">
        <f t="shared" ref="J25:J26" si="132">+F25+H25</f>
        <v>5160.93</v>
      </c>
      <c r="K25" s="3551">
        <v>94</v>
      </c>
      <c r="L25" s="483">
        <v>2544</v>
      </c>
      <c r="M25" s="3549">
        <f>+I25+K25</f>
        <v>1740</v>
      </c>
      <c r="N25" s="3549">
        <f t="shared" ref="N25:N26" si="133">+J25+L25</f>
        <v>7704.93</v>
      </c>
      <c r="O25" s="3551">
        <v>94.08</v>
      </c>
      <c r="P25" s="483">
        <v>2390</v>
      </c>
      <c r="Q25" s="3547">
        <f>+M25+O25</f>
        <v>1834.08</v>
      </c>
      <c r="R25" s="3547">
        <f t="shared" ref="R25:R26" si="134">+N25+P25</f>
        <v>10094.93</v>
      </c>
      <c r="S25" s="3551">
        <v>70.56</v>
      </c>
      <c r="T25" s="483">
        <v>1428</v>
      </c>
      <c r="U25" s="3547">
        <f>+Q25+S25</f>
        <v>1904.6399999999999</v>
      </c>
      <c r="V25" s="3547">
        <f t="shared" ref="V25:V26" si="135">+R25+T25</f>
        <v>11522.93</v>
      </c>
      <c r="W25" s="3551">
        <v>70.56</v>
      </c>
      <c r="X25" s="483">
        <v>243</v>
      </c>
      <c r="Y25" s="3549">
        <f t="shared" ref="Y25:Y26" si="136">+O25+S25+W25</f>
        <v>235.2</v>
      </c>
      <c r="Z25" s="3549">
        <f t="shared" ref="Z25:Z26" si="137">+P25+T25+X25</f>
        <v>4061</v>
      </c>
      <c r="AA25" s="1134">
        <f>+U25+W25</f>
        <v>1975.1999999999998</v>
      </c>
      <c r="AB25" s="1134">
        <f t="shared" ref="AB25:AB26" si="138">+V25+X25</f>
        <v>11765.93</v>
      </c>
      <c r="AC25" s="3551">
        <v>70.56</v>
      </c>
      <c r="AD25" s="483">
        <v>403</v>
      </c>
      <c r="AE25" s="3547">
        <f>+AA25+AC25</f>
        <v>2045.7599999999998</v>
      </c>
      <c r="AF25" s="3547">
        <f t="shared" ref="AF25:AF26" si="139">+AB25+AD25</f>
        <v>12168.93</v>
      </c>
      <c r="AG25" s="3551">
        <v>70.56</v>
      </c>
      <c r="AH25" s="483">
        <v>487</v>
      </c>
      <c r="AI25" s="3547">
        <f>+AE25+AG25</f>
        <v>2116.3199999999997</v>
      </c>
      <c r="AJ25" s="3547">
        <f t="shared" ref="AJ25:AJ26" si="140">+AF25+AH25</f>
        <v>12655.93</v>
      </c>
      <c r="AK25" s="3551">
        <v>70.56</v>
      </c>
      <c r="AL25" s="483">
        <v>0</v>
      </c>
      <c r="AM25" s="3549">
        <f>+AC25+AG25+AK25</f>
        <v>211.68</v>
      </c>
      <c r="AN25" s="3549">
        <f>+AD25+AH25+AL25</f>
        <v>890</v>
      </c>
      <c r="AO25" s="3547">
        <f>+AI25+AK25</f>
        <v>2186.8799999999997</v>
      </c>
      <c r="AP25" s="3547">
        <f>+AJ25+AL25</f>
        <v>12655.93</v>
      </c>
      <c r="AQ25" s="3551">
        <v>70.56</v>
      </c>
      <c r="AR25" s="483">
        <v>0</v>
      </c>
      <c r="AS25" s="3547">
        <f>+AO25+AQ25</f>
        <v>2257.4399999999996</v>
      </c>
      <c r="AT25" s="3547">
        <f t="shared" ref="AT25:AT26" si="141">+AP25+AR25</f>
        <v>12655.93</v>
      </c>
      <c r="AU25" s="3990">
        <v>70.56</v>
      </c>
      <c r="AV25" s="3990">
        <v>145.02600000000001</v>
      </c>
      <c r="AW25" s="3991">
        <f>+AS25+AU25</f>
        <v>2327.9999999999995</v>
      </c>
      <c r="AX25" s="3991">
        <f t="shared" ref="AX25:AX26" si="142">+AT25+AV25</f>
        <v>12800.956</v>
      </c>
      <c r="AY25" s="4112">
        <v>70.56</v>
      </c>
      <c r="AZ25" s="4112">
        <v>576.72299999999996</v>
      </c>
      <c r="BA25" s="4114">
        <f>+AQ25+AU25+AY25</f>
        <v>211.68</v>
      </c>
      <c r="BB25" s="4114">
        <f>+AR25+AV25+AZ25</f>
        <v>721.74900000000002</v>
      </c>
      <c r="BC25" s="4115">
        <f t="shared" si="113"/>
        <v>423.36</v>
      </c>
      <c r="BD25" s="4115">
        <f t="shared" si="114"/>
        <v>1611.749</v>
      </c>
      <c r="BE25" s="4113">
        <f>+AW25+AY25</f>
        <v>2398.5599999999995</v>
      </c>
      <c r="BF25" s="4113">
        <f>+AX25+AZ25</f>
        <v>13377.679</v>
      </c>
      <c r="BG25" s="3370">
        <v>11568.989680591383</v>
      </c>
      <c r="BH25" s="3370">
        <v>41093.9</v>
      </c>
      <c r="BI25" s="3370">
        <v>0</v>
      </c>
      <c r="BJ25" s="3369">
        <v>44255.19</v>
      </c>
    </row>
    <row r="26" spans="1:78" ht="15" customHeight="1" x14ac:dyDescent="0.25">
      <c r="B26" s="4504" t="s">
        <v>387</v>
      </c>
      <c r="C26" s="1442" t="s">
        <v>53</v>
      </c>
      <c r="D26" s="1123">
        <v>953450.92424878944</v>
      </c>
      <c r="E26" s="3551">
        <v>36985</v>
      </c>
      <c r="F26" s="238">
        <v>45318</v>
      </c>
      <c r="G26" s="3551">
        <v>46750</v>
      </c>
      <c r="H26" s="3551">
        <v>37351.757709750302</v>
      </c>
      <c r="I26" s="3547">
        <f t="shared" ref="I26" si="143">+E26+G26</f>
        <v>83735</v>
      </c>
      <c r="J26" s="3547">
        <f t="shared" si="132"/>
        <v>82669.757709750294</v>
      </c>
      <c r="K26" s="3551">
        <v>91932</v>
      </c>
      <c r="L26" s="3551">
        <v>110633</v>
      </c>
      <c r="M26" s="3549">
        <f t="shared" ref="M26" si="144">+I26+K26</f>
        <v>175667</v>
      </c>
      <c r="N26" s="3549">
        <f t="shared" si="133"/>
        <v>193302.75770975029</v>
      </c>
      <c r="O26" s="3551">
        <v>95048.257150000005</v>
      </c>
      <c r="P26" s="3551">
        <v>80624</v>
      </c>
      <c r="Q26" s="3547">
        <f t="shared" ref="Q26" si="145">+M26+O26</f>
        <v>270715.25715000002</v>
      </c>
      <c r="R26" s="3547">
        <f t="shared" si="134"/>
        <v>273926.75770975032</v>
      </c>
      <c r="S26" s="3551">
        <v>95048.257150000005</v>
      </c>
      <c r="T26" s="3551">
        <v>79299</v>
      </c>
      <c r="U26" s="3547">
        <f t="shared" ref="U26" si="146">+Q26+S26</f>
        <v>365763.51430000004</v>
      </c>
      <c r="V26" s="3547">
        <f t="shared" si="135"/>
        <v>353225.75770975032</v>
      </c>
      <c r="W26" s="3551">
        <v>92445.507000000012</v>
      </c>
      <c r="X26" s="3551">
        <v>76095</v>
      </c>
      <c r="Y26" s="3549">
        <f t="shared" si="136"/>
        <v>282542.02130000002</v>
      </c>
      <c r="Z26" s="3549">
        <f t="shared" si="137"/>
        <v>236018</v>
      </c>
      <c r="AA26" s="1134">
        <f t="shared" ref="AA26" si="147">+U26+W26</f>
        <v>458209.02130000002</v>
      </c>
      <c r="AB26" s="1134">
        <f t="shared" si="138"/>
        <v>429320.75770975032</v>
      </c>
      <c r="AC26" s="3551">
        <v>88165.903736842112</v>
      </c>
      <c r="AD26" s="3551">
        <v>90979</v>
      </c>
      <c r="AE26" s="3547">
        <f t="shared" ref="AE26" si="148">+AA26+AC26</f>
        <v>546374.92503684212</v>
      </c>
      <c r="AF26" s="3547">
        <f t="shared" si="139"/>
        <v>520299.75770975032</v>
      </c>
      <c r="AG26" s="3551">
        <v>82970.482736842096</v>
      </c>
      <c r="AH26" s="3551">
        <v>74191</v>
      </c>
      <c r="AI26" s="3547">
        <f t="shared" ref="AI26" si="149">+AE26+AG26</f>
        <v>629345.40777368424</v>
      </c>
      <c r="AJ26" s="3547">
        <f t="shared" si="140"/>
        <v>594490.75770975032</v>
      </c>
      <c r="AK26" s="3551">
        <v>83400.179210526316</v>
      </c>
      <c r="AL26" s="3551">
        <v>87939</v>
      </c>
      <c r="AM26" s="3549">
        <f>+AC26+AG26+AK26</f>
        <v>254536.56568421054</v>
      </c>
      <c r="AN26" s="3549">
        <f>+AD26+AH26+AL26</f>
        <v>253109</v>
      </c>
      <c r="AO26" s="3547">
        <f>+AI26+AK26</f>
        <v>712745.58698421053</v>
      </c>
      <c r="AP26" s="3547">
        <f>+AJ26+AL26</f>
        <v>682429.75770975032</v>
      </c>
      <c r="AQ26" s="3551">
        <v>83400.179210526316</v>
      </c>
      <c r="AR26" s="3551">
        <v>68221.320514197854</v>
      </c>
      <c r="AS26" s="3547"/>
      <c r="AT26" s="3547">
        <f t="shared" si="141"/>
        <v>750651.07822394813</v>
      </c>
      <c r="AU26" s="3990">
        <v>73904.937993526328</v>
      </c>
      <c r="AV26" s="3990">
        <v>73109</v>
      </c>
      <c r="AW26" s="3991">
        <f t="shared" ref="AW26" si="150">+AS26+AU26</f>
        <v>73904.937993526328</v>
      </c>
      <c r="AX26" s="3991">
        <f t="shared" si="142"/>
        <v>823760.07822394813</v>
      </c>
      <c r="AY26" s="4112">
        <v>83400.179210526316</v>
      </c>
      <c r="AZ26" s="4112">
        <v>96369.220906199989</v>
      </c>
      <c r="BA26" s="4114">
        <f>+AQ26+AU26+AY26</f>
        <v>240705.29641457894</v>
      </c>
      <c r="BB26" s="4114">
        <f>+AR26+AV26+AZ26</f>
        <v>237699.54142039787</v>
      </c>
      <c r="BC26" s="4115">
        <f t="shared" si="113"/>
        <v>495241.86209878948</v>
      </c>
      <c r="BD26" s="4115">
        <f t="shared" si="114"/>
        <v>490808.54142039787</v>
      </c>
      <c r="BE26" s="4113">
        <f>+AW26+AY26</f>
        <v>157305.11720405263</v>
      </c>
      <c r="BF26" s="4113">
        <f>+AX26+AZ26</f>
        <v>920129.29913014814</v>
      </c>
      <c r="BG26" s="3370">
        <v>882599.96545301133</v>
      </c>
      <c r="BH26" s="3370">
        <v>776699</v>
      </c>
      <c r="BI26" s="3370">
        <v>854657.99999999988</v>
      </c>
      <c r="BJ26" s="3369">
        <v>809638.20576449996</v>
      </c>
    </row>
    <row r="27" spans="1:78" s="334" customFormat="1" ht="15" customHeight="1" x14ac:dyDescent="0.25">
      <c r="A27" s="1726"/>
      <c r="B27" s="2205" t="s">
        <v>34</v>
      </c>
      <c r="C27" s="4487"/>
      <c r="D27" s="698"/>
      <c r="E27" s="698"/>
      <c r="F27" s="698"/>
      <c r="G27" s="698"/>
      <c r="H27" s="698"/>
      <c r="I27" s="698"/>
      <c r="J27" s="698"/>
      <c r="K27" s="698"/>
      <c r="L27" s="698"/>
      <c r="M27" s="3638"/>
      <c r="N27" s="3638"/>
      <c r="O27" s="698"/>
      <c r="P27" s="3639"/>
      <c r="Q27" s="698"/>
      <c r="R27" s="698"/>
      <c r="S27" s="698"/>
      <c r="T27" s="698"/>
      <c r="U27" s="698"/>
      <c r="V27" s="698"/>
      <c r="W27" s="698"/>
      <c r="X27" s="698"/>
      <c r="Y27" s="698"/>
      <c r="Z27" s="698"/>
      <c r="AA27" s="698"/>
      <c r="AB27" s="698"/>
      <c r="AC27" s="698"/>
      <c r="AD27" s="698"/>
      <c r="AE27" s="698"/>
      <c r="AF27" s="698"/>
      <c r="AG27" s="698"/>
      <c r="AH27" s="698"/>
      <c r="AI27" s="698"/>
      <c r="AJ27" s="698"/>
      <c r="AK27" s="698"/>
      <c r="AL27" s="698"/>
      <c r="AM27" s="698"/>
      <c r="AN27" s="698"/>
      <c r="AO27" s="698"/>
      <c r="AP27" s="698"/>
      <c r="AQ27" s="698"/>
      <c r="AR27" s="698"/>
      <c r="AS27" s="698"/>
      <c r="AT27" s="698"/>
      <c r="AU27" s="698"/>
      <c r="AV27" s="698"/>
      <c r="AW27" s="698"/>
      <c r="AX27" s="698"/>
      <c r="AY27" s="698"/>
      <c r="AZ27" s="698"/>
      <c r="BA27" s="698"/>
      <c r="BB27" s="698"/>
      <c r="BC27" s="698"/>
      <c r="BD27" s="698"/>
      <c r="BE27" s="698"/>
      <c r="BF27" s="698"/>
      <c r="BG27" s="698"/>
      <c r="BH27" s="698"/>
      <c r="BI27" s="698"/>
      <c r="BJ27" s="3645"/>
    </row>
    <row r="28" spans="1:78" s="204" customFormat="1" ht="15" customHeight="1" x14ac:dyDescent="0.25">
      <c r="A28" s="1726"/>
      <c r="B28" s="4505" t="s">
        <v>37</v>
      </c>
      <c r="C28" s="1442" t="s">
        <v>53</v>
      </c>
      <c r="D28" s="1123">
        <v>500000</v>
      </c>
      <c r="E28" s="3551">
        <v>33000</v>
      </c>
      <c r="F28" s="238">
        <f>+WRM!F116</f>
        <v>32270.342000000001</v>
      </c>
      <c r="G28" s="3551">
        <v>41500</v>
      </c>
      <c r="H28" s="4555">
        <f>+WRM!H116</f>
        <v>24699.073999999997</v>
      </c>
      <c r="I28" s="3547">
        <f t="shared" ref="I28:J30" si="151">+E28+G28</f>
        <v>74500</v>
      </c>
      <c r="J28" s="3547">
        <f t="shared" si="151"/>
        <v>56969.415999999997</v>
      </c>
      <c r="K28" s="3551">
        <v>41500</v>
      </c>
      <c r="L28" s="4555">
        <f>+WRM!L116</f>
        <v>38759.350000000013</v>
      </c>
      <c r="M28" s="3549">
        <f t="shared" ref="M28:N30" si="152">+I28+K28</f>
        <v>116000</v>
      </c>
      <c r="N28" s="3549">
        <f>+J28+L28</f>
        <v>95728.766000000003</v>
      </c>
      <c r="O28" s="3551">
        <v>43500</v>
      </c>
      <c r="P28" s="4555">
        <f>+WRM!P116</f>
        <v>38136.149999999994</v>
      </c>
      <c r="Q28" s="3547">
        <f t="shared" ref="Q28:R30" si="153">+M28+O28</f>
        <v>159500</v>
      </c>
      <c r="R28" s="3547">
        <f t="shared" si="153"/>
        <v>133864.916</v>
      </c>
      <c r="S28" s="3551">
        <v>43500</v>
      </c>
      <c r="T28" s="4555">
        <f>+WRM!T116</f>
        <v>41256.250000000007</v>
      </c>
      <c r="U28" s="3547">
        <f t="shared" ref="U28:U30" si="154">+Q28+S28</f>
        <v>203000</v>
      </c>
      <c r="V28" s="3547">
        <f t="shared" ref="V28:V30" si="155">+R28+T28</f>
        <v>175121.166</v>
      </c>
      <c r="W28" s="3551">
        <v>42000</v>
      </c>
      <c r="X28" s="3551">
        <f>+WRM!X116</f>
        <v>40056.999999999993</v>
      </c>
      <c r="Y28" s="3549">
        <f t="shared" ref="Y28:Y30" si="156">+O28+S28+W28</f>
        <v>129000</v>
      </c>
      <c r="Z28" s="3549">
        <f>+P28+T28+X28</f>
        <v>119449.4</v>
      </c>
      <c r="AA28" s="1134">
        <f t="shared" ref="AA28:AA30" si="157">+U28+W28</f>
        <v>245000</v>
      </c>
      <c r="AB28" s="1134">
        <f>+V28+X28</f>
        <v>215178.166</v>
      </c>
      <c r="AC28" s="3551">
        <v>43500</v>
      </c>
      <c r="AD28" s="3551">
        <v>43248.850000000013</v>
      </c>
      <c r="AE28" s="3547">
        <f t="shared" ref="AE28:AE30" si="158">+AA28+AC28</f>
        <v>288500</v>
      </c>
      <c r="AF28" s="3547">
        <f t="shared" ref="AF28:AF30" si="159">+AB28+AD28</f>
        <v>258427.016</v>
      </c>
      <c r="AG28" s="3551">
        <v>42000</v>
      </c>
      <c r="AH28" s="3551">
        <v>37008.650000000009</v>
      </c>
      <c r="AI28" s="3547">
        <f t="shared" ref="AI28:AI30" si="160">+AE28+AG28</f>
        <v>330500</v>
      </c>
      <c r="AJ28" s="3547">
        <f t="shared" ref="AJ28:AJ30" si="161">+AF28+AH28</f>
        <v>295435.66600000003</v>
      </c>
      <c r="AK28" s="3551">
        <v>43500</v>
      </c>
      <c r="AL28" s="3551">
        <v>40005.749999999993</v>
      </c>
      <c r="AM28" s="3549">
        <f t="shared" ref="AM28:AN30" si="162">+AC28+AG28+AK28</f>
        <v>129000</v>
      </c>
      <c r="AN28" s="3549">
        <f t="shared" si="162"/>
        <v>120263.25000000003</v>
      </c>
      <c r="AO28" s="3547">
        <f t="shared" ref="AO28:AP30" si="163">+AI28+AK28</f>
        <v>374000</v>
      </c>
      <c r="AP28" s="3547">
        <f t="shared" si="163"/>
        <v>335441.41600000003</v>
      </c>
      <c r="AQ28" s="3551">
        <v>43500</v>
      </c>
      <c r="AR28" s="3551">
        <v>40182.050000000003</v>
      </c>
      <c r="AS28" s="3547">
        <f t="shared" ref="AS28:AS30" si="164">+AO28+AQ28</f>
        <v>417500</v>
      </c>
      <c r="AT28" s="3547">
        <f t="shared" ref="AT28:AT30" si="165">+AP28+AR28</f>
        <v>375623.46600000001</v>
      </c>
      <c r="AU28" s="3990">
        <v>39000</v>
      </c>
      <c r="AV28" s="3990">
        <v>43710.1</v>
      </c>
      <c r="AW28" s="3991">
        <f t="shared" ref="AW28:AW30" si="166">+AS28+AU28</f>
        <v>456500</v>
      </c>
      <c r="AX28" s="3991">
        <f t="shared" ref="AX28:AX30" si="167">+AT28+AV28</f>
        <v>419333.56599999999</v>
      </c>
      <c r="AY28" s="4112">
        <v>43500</v>
      </c>
      <c r="AZ28" s="4429">
        <v>46010.200000000004</v>
      </c>
      <c r="BA28" s="4114">
        <f t="shared" ref="BA28:BA30" si="168">+AQ28+AU28+AY28</f>
        <v>126000</v>
      </c>
      <c r="BB28" s="4114">
        <f t="shared" ref="BB28:BB30" si="169">+AR28+AV28+AZ28</f>
        <v>129902.35</v>
      </c>
      <c r="BC28" s="4115">
        <f t="shared" ref="BC28:BC35" si="170">+AM28+BA28</f>
        <v>255000</v>
      </c>
      <c r="BD28" s="4115">
        <f t="shared" ref="BD28:BD35" si="171">+AN28+BB28</f>
        <v>250165.60000000003</v>
      </c>
      <c r="BE28" s="4113">
        <f t="shared" ref="BE28:BF30" si="172">+AW28+AY28</f>
        <v>500000</v>
      </c>
      <c r="BF28" s="4113">
        <f t="shared" si="172"/>
        <v>465343.766</v>
      </c>
      <c r="BG28" s="3370">
        <v>435965.96179320005</v>
      </c>
      <c r="BH28" s="3370">
        <v>356518.65800000005</v>
      </c>
      <c r="BI28" s="3370">
        <v>500000</v>
      </c>
      <c r="BJ28" s="3369">
        <v>412025.22</v>
      </c>
      <c r="BK28" s="1486">
        <v>465.95758999999998</v>
      </c>
      <c r="BL28" s="4481"/>
      <c r="BM28" s="334">
        <f>+BK28*1000</f>
        <v>465957.58999999997</v>
      </c>
      <c r="BN28" s="1486">
        <f>+BM28-BF28</f>
        <v>613.82399999996414</v>
      </c>
      <c r="BO28" s="334"/>
      <c r="BP28" s="334"/>
      <c r="BQ28" s="334"/>
      <c r="BR28" s="334"/>
      <c r="BS28" s="334"/>
      <c r="BT28" s="334"/>
      <c r="BU28" s="334"/>
      <c r="BV28" s="334"/>
      <c r="BW28" s="334"/>
      <c r="BX28" s="334"/>
      <c r="BY28" s="334"/>
      <c r="BZ28" s="334"/>
    </row>
    <row r="29" spans="1:78" ht="15" customHeight="1" x14ac:dyDescent="0.25">
      <c r="B29" s="4505" t="s">
        <v>385</v>
      </c>
      <c r="C29" s="1442" t="s">
        <v>53</v>
      </c>
      <c r="D29" s="1123">
        <v>750000</v>
      </c>
      <c r="E29" s="3551">
        <v>44000</v>
      </c>
      <c r="F29" s="238">
        <f>+BM!F53</f>
        <v>31471.35</v>
      </c>
      <c r="G29" s="3551">
        <v>50000</v>
      </c>
      <c r="H29" s="4555">
        <f>+BM!H53</f>
        <v>40050.68</v>
      </c>
      <c r="I29" s="3547">
        <f t="shared" si="151"/>
        <v>94000</v>
      </c>
      <c r="J29" s="3547">
        <f t="shared" si="151"/>
        <v>71522.03</v>
      </c>
      <c r="K29" s="3551">
        <v>65000</v>
      </c>
      <c r="L29" s="4555">
        <f>+BM!L53</f>
        <v>51899.88</v>
      </c>
      <c r="M29" s="3549">
        <f t="shared" si="152"/>
        <v>159000</v>
      </c>
      <c r="N29" s="3549">
        <f t="shared" si="152"/>
        <v>123421.91</v>
      </c>
      <c r="O29" s="3551">
        <v>67000</v>
      </c>
      <c r="P29" s="4555">
        <f>+BM!P53</f>
        <v>50651.530000000006</v>
      </c>
      <c r="Q29" s="3547">
        <f t="shared" si="153"/>
        <v>226000</v>
      </c>
      <c r="R29" s="3547">
        <f t="shared" si="153"/>
        <v>174073.44</v>
      </c>
      <c r="S29" s="3551">
        <v>67000</v>
      </c>
      <c r="T29" s="4555">
        <f>+BM!T53</f>
        <v>49962.729999999996</v>
      </c>
      <c r="U29" s="3547">
        <f t="shared" si="154"/>
        <v>293000</v>
      </c>
      <c r="V29" s="3547">
        <f t="shared" si="155"/>
        <v>224036.16999999998</v>
      </c>
      <c r="W29" s="3551">
        <v>65000</v>
      </c>
      <c r="X29" s="3551">
        <f>+BM!X53</f>
        <v>55089.31</v>
      </c>
      <c r="Y29" s="3549">
        <f t="shared" si="156"/>
        <v>199000</v>
      </c>
      <c r="Z29" s="3549">
        <f t="shared" ref="Z29:Z30" si="173">+P29+T29+X29</f>
        <v>155703.57</v>
      </c>
      <c r="AA29" s="1134">
        <f t="shared" si="157"/>
        <v>358000</v>
      </c>
      <c r="AB29" s="1134">
        <f t="shared" ref="AB29:AB30" si="174">+V29+X29</f>
        <v>279125.48</v>
      </c>
      <c r="AC29" s="3551">
        <v>67000</v>
      </c>
      <c r="AD29" s="3551">
        <v>62348.194999999992</v>
      </c>
      <c r="AE29" s="3547">
        <f t="shared" si="158"/>
        <v>425000</v>
      </c>
      <c r="AF29" s="3547">
        <f t="shared" si="159"/>
        <v>341473.67499999999</v>
      </c>
      <c r="AG29" s="3551">
        <v>65000</v>
      </c>
      <c r="AH29" s="3551">
        <v>54525.299999999996</v>
      </c>
      <c r="AI29" s="3547">
        <f t="shared" si="160"/>
        <v>490000</v>
      </c>
      <c r="AJ29" s="3547">
        <f t="shared" si="161"/>
        <v>395998.97499999998</v>
      </c>
      <c r="AK29" s="3551">
        <v>67000</v>
      </c>
      <c r="AL29" s="3551">
        <v>68121.11</v>
      </c>
      <c r="AM29" s="3549">
        <f t="shared" si="162"/>
        <v>199000</v>
      </c>
      <c r="AN29" s="3549">
        <f t="shared" si="162"/>
        <v>184994.60499999998</v>
      </c>
      <c r="AO29" s="3547">
        <f t="shared" si="163"/>
        <v>557000</v>
      </c>
      <c r="AP29" s="3547">
        <f t="shared" si="163"/>
        <v>464120.08499999996</v>
      </c>
      <c r="AQ29" s="3551">
        <v>67000</v>
      </c>
      <c r="AR29" s="3551">
        <v>70032.181000000011</v>
      </c>
      <c r="AS29" s="3547">
        <f t="shared" si="164"/>
        <v>624000</v>
      </c>
      <c r="AT29" s="3547">
        <f t="shared" si="165"/>
        <v>534152.26599999995</v>
      </c>
      <c r="AU29" s="3990">
        <v>59000</v>
      </c>
      <c r="AV29" s="3990">
        <v>48122.457999999999</v>
      </c>
      <c r="AW29" s="3991">
        <f t="shared" si="166"/>
        <v>683000</v>
      </c>
      <c r="AX29" s="3991">
        <f t="shared" si="167"/>
        <v>582274.72399999993</v>
      </c>
      <c r="AY29" s="4112">
        <v>67000</v>
      </c>
      <c r="AZ29" s="4429">
        <v>67566.239999999991</v>
      </c>
      <c r="BA29" s="4114">
        <f t="shared" si="168"/>
        <v>193000</v>
      </c>
      <c r="BB29" s="4114">
        <f t="shared" si="169"/>
        <v>185720.87900000002</v>
      </c>
      <c r="BC29" s="4115">
        <f t="shared" si="170"/>
        <v>392000</v>
      </c>
      <c r="BD29" s="4115">
        <f t="shared" si="171"/>
        <v>370715.484</v>
      </c>
      <c r="BE29" s="4113">
        <f t="shared" si="172"/>
        <v>750000</v>
      </c>
      <c r="BF29" s="4113">
        <f t="shared" si="172"/>
        <v>649840.96399999992</v>
      </c>
      <c r="BG29" s="3370">
        <v>674875.14</v>
      </c>
      <c r="BH29" s="3370">
        <v>440547.26999999996</v>
      </c>
      <c r="BI29" s="3370">
        <v>800000</v>
      </c>
      <c r="BJ29" s="3369">
        <v>632220.18000000005</v>
      </c>
      <c r="BK29" s="1486">
        <v>649.98881400000005</v>
      </c>
      <c r="BL29" s="4481"/>
      <c r="BM29" s="334">
        <f t="shared" ref="BM29:BM30" si="175">+BK29*1000</f>
        <v>649988.81400000001</v>
      </c>
      <c r="BN29" s="1486">
        <f t="shared" ref="BN29:BN34" si="176">+BM29-BF29</f>
        <v>147.85000000009313</v>
      </c>
    </row>
    <row r="30" spans="1:78" ht="15" customHeight="1" x14ac:dyDescent="0.25">
      <c r="B30" s="4505" t="s">
        <v>115</v>
      </c>
      <c r="C30" s="1442" t="s">
        <v>53</v>
      </c>
      <c r="D30" s="1123">
        <v>450000</v>
      </c>
      <c r="E30" s="3551">
        <v>10000</v>
      </c>
      <c r="F30" s="238">
        <f>+USM!G43</f>
        <v>7869.3199256806001</v>
      </c>
      <c r="G30" s="3551">
        <v>0</v>
      </c>
      <c r="H30" s="4555">
        <f>+USM!I43</f>
        <v>2728.5069318792503</v>
      </c>
      <c r="I30" s="3547">
        <f t="shared" si="151"/>
        <v>10000</v>
      </c>
      <c r="J30" s="3547">
        <f t="shared" si="151"/>
        <v>10597.82685755985</v>
      </c>
      <c r="K30" s="3551">
        <v>40000</v>
      </c>
      <c r="L30" s="4555">
        <f>+USM!M43</f>
        <v>9446.2789561899917</v>
      </c>
      <c r="M30" s="3549">
        <f t="shared" si="152"/>
        <v>50000</v>
      </c>
      <c r="N30" s="3549">
        <f t="shared" si="152"/>
        <v>20044.10581374984</v>
      </c>
      <c r="O30" s="3551">
        <v>40000</v>
      </c>
      <c r="P30" s="4555">
        <f>+USM!Q43</f>
        <v>23283.082627484044</v>
      </c>
      <c r="Q30" s="3547">
        <f t="shared" si="153"/>
        <v>90000</v>
      </c>
      <c r="R30" s="3547">
        <f t="shared" si="153"/>
        <v>43327.188441233884</v>
      </c>
      <c r="S30" s="3551">
        <v>45000</v>
      </c>
      <c r="T30" s="4555">
        <f>+USM!U43</f>
        <v>18608.684864535</v>
      </c>
      <c r="U30" s="3547">
        <f t="shared" si="154"/>
        <v>135000</v>
      </c>
      <c r="V30" s="3547">
        <f t="shared" si="155"/>
        <v>61935.873305768881</v>
      </c>
      <c r="W30" s="3551">
        <v>45000</v>
      </c>
      <c r="X30" s="3551">
        <f>+USM!Y43</f>
        <v>7999.4363389999999</v>
      </c>
      <c r="Y30" s="3549">
        <f t="shared" si="156"/>
        <v>130000</v>
      </c>
      <c r="Z30" s="3549">
        <f t="shared" si="173"/>
        <v>49891.203831019047</v>
      </c>
      <c r="AA30" s="1134">
        <f t="shared" si="157"/>
        <v>180000</v>
      </c>
      <c r="AB30" s="1134">
        <f t="shared" si="174"/>
        <v>69935.309644768888</v>
      </c>
      <c r="AC30" s="3551">
        <v>45000</v>
      </c>
      <c r="AD30" s="3551">
        <v>22485.667316715</v>
      </c>
      <c r="AE30" s="3547">
        <f t="shared" si="158"/>
        <v>225000</v>
      </c>
      <c r="AF30" s="3547">
        <f t="shared" si="159"/>
        <v>92420.976961483888</v>
      </c>
      <c r="AG30" s="3551">
        <v>45000</v>
      </c>
      <c r="AH30" s="3551">
        <v>20909.542175000002</v>
      </c>
      <c r="AI30" s="3547">
        <f t="shared" si="160"/>
        <v>270000</v>
      </c>
      <c r="AJ30" s="3547">
        <f t="shared" si="161"/>
        <v>113330.5191364839</v>
      </c>
      <c r="AK30" s="3551">
        <v>45000</v>
      </c>
      <c r="AL30" s="3551">
        <v>29545.813258499995</v>
      </c>
      <c r="AM30" s="3549">
        <f t="shared" si="162"/>
        <v>135000</v>
      </c>
      <c r="AN30" s="3549">
        <f t="shared" si="162"/>
        <v>72941.022750214994</v>
      </c>
      <c r="AO30" s="3547">
        <f t="shared" si="163"/>
        <v>315000</v>
      </c>
      <c r="AP30" s="3547">
        <f t="shared" si="163"/>
        <v>142876.33239498388</v>
      </c>
      <c r="AQ30" s="3551">
        <v>45000</v>
      </c>
      <c r="AR30" s="3551">
        <v>20382.501798779998</v>
      </c>
      <c r="AS30" s="3547">
        <f t="shared" si="164"/>
        <v>360000</v>
      </c>
      <c r="AT30" s="3547">
        <f t="shared" si="165"/>
        <v>163258.83419376388</v>
      </c>
      <c r="AU30" s="3990">
        <v>45000</v>
      </c>
      <c r="AV30" s="3990">
        <v>24125.900859449997</v>
      </c>
      <c r="AW30" s="3991">
        <f t="shared" si="166"/>
        <v>405000</v>
      </c>
      <c r="AX30" s="3991">
        <f t="shared" si="167"/>
        <v>187384.73505321387</v>
      </c>
      <c r="AY30" s="4112">
        <v>45000</v>
      </c>
      <c r="AZ30" s="4429">
        <v>25841.429000000007</v>
      </c>
      <c r="BA30" s="4114">
        <f t="shared" si="168"/>
        <v>135000</v>
      </c>
      <c r="BB30" s="4114">
        <f t="shared" si="169"/>
        <v>70349.831658230003</v>
      </c>
      <c r="BC30" s="4115">
        <f t="shared" si="170"/>
        <v>270000</v>
      </c>
      <c r="BD30" s="4115">
        <f t="shared" si="171"/>
        <v>143290.85440844501</v>
      </c>
      <c r="BE30" s="4113">
        <f t="shared" si="172"/>
        <v>450000</v>
      </c>
      <c r="BF30" s="4557">
        <f t="shared" si="172"/>
        <v>213226.16405321387</v>
      </c>
      <c r="BG30" s="3370">
        <v>220000</v>
      </c>
      <c r="BH30" s="3370">
        <v>88943.894138990887</v>
      </c>
      <c r="BI30" s="3370">
        <v>535000</v>
      </c>
      <c r="BJ30" s="3369">
        <v>171634.81128897145</v>
      </c>
      <c r="BK30" s="1486">
        <v>214.027657257654</v>
      </c>
      <c r="BL30" s="4481"/>
      <c r="BM30" s="334">
        <f t="shared" si="175"/>
        <v>214027.65725765401</v>
      </c>
      <c r="BN30" s="1486">
        <f t="shared" si="176"/>
        <v>801.49320444013574</v>
      </c>
    </row>
    <row r="31" spans="1:78" s="334" customFormat="1" ht="15" customHeight="1" x14ac:dyDescent="0.25">
      <c r="A31" s="1726"/>
      <c r="B31" s="4506" t="s">
        <v>831</v>
      </c>
      <c r="C31" s="4488" t="s">
        <v>53</v>
      </c>
      <c r="D31" s="1123">
        <f>SUM(D28:D30)</f>
        <v>1700000</v>
      </c>
      <c r="E31" s="1123">
        <f>SUM(E28:E30)</f>
        <v>87000</v>
      </c>
      <c r="F31" s="1123">
        <f t="shared" ref="F31:BJ31" si="177">SUM(F28:F30)</f>
        <v>71611.011925680592</v>
      </c>
      <c r="G31" s="1123">
        <f t="shared" si="177"/>
        <v>91500</v>
      </c>
      <c r="H31" s="1123">
        <f t="shared" si="177"/>
        <v>67478.260931879253</v>
      </c>
      <c r="I31" s="1123">
        <f t="shared" si="177"/>
        <v>178500</v>
      </c>
      <c r="J31" s="1123">
        <f t="shared" si="177"/>
        <v>139089.27285755984</v>
      </c>
      <c r="K31" s="1123">
        <f t="shared" si="177"/>
        <v>146500</v>
      </c>
      <c r="L31" s="1123">
        <f t="shared" si="177"/>
        <v>100105.50895618999</v>
      </c>
      <c r="M31" s="1123">
        <f t="shared" si="177"/>
        <v>325000</v>
      </c>
      <c r="N31" s="1123">
        <f t="shared" si="177"/>
        <v>239194.78181374984</v>
      </c>
      <c r="O31" s="1123">
        <f t="shared" ref="O31:P31" si="178">SUM(O28:O30)</f>
        <v>150500</v>
      </c>
      <c r="P31" s="1123">
        <f t="shared" si="178"/>
        <v>112070.76262748404</v>
      </c>
      <c r="Q31" s="1123">
        <f t="shared" si="177"/>
        <v>475500</v>
      </c>
      <c r="R31" s="1123">
        <f t="shared" si="177"/>
        <v>351265.54444123391</v>
      </c>
      <c r="S31" s="1123">
        <f t="shared" si="177"/>
        <v>155500</v>
      </c>
      <c r="T31" s="1123">
        <f t="shared" si="177"/>
        <v>109827.66486453501</v>
      </c>
      <c r="U31" s="1123">
        <f t="shared" ref="U31:Z31" si="179">SUM(U28:U30)</f>
        <v>631000</v>
      </c>
      <c r="V31" s="1123">
        <f t="shared" si="179"/>
        <v>461093.20930576889</v>
      </c>
      <c r="W31" s="1123">
        <f t="shared" si="179"/>
        <v>152000</v>
      </c>
      <c r="X31" s="1123">
        <f t="shared" si="179"/>
        <v>103145.746339</v>
      </c>
      <c r="Y31" s="1123">
        <f t="shared" si="179"/>
        <v>458000</v>
      </c>
      <c r="Z31" s="1123">
        <f t="shared" si="179"/>
        <v>325044.17383101903</v>
      </c>
      <c r="AA31" s="1123">
        <f t="shared" ref="AA31:AF31" si="180">SUM(AA28:AA30)</f>
        <v>783000</v>
      </c>
      <c r="AB31" s="1123">
        <f t="shared" si="180"/>
        <v>564238.9556447689</v>
      </c>
      <c r="AC31" s="1123">
        <f t="shared" si="180"/>
        <v>155500</v>
      </c>
      <c r="AD31" s="1123">
        <f t="shared" si="180"/>
        <v>128082.71231671501</v>
      </c>
      <c r="AE31" s="1123">
        <f t="shared" si="180"/>
        <v>938500</v>
      </c>
      <c r="AF31" s="1123">
        <f t="shared" si="180"/>
        <v>692321.66796148382</v>
      </c>
      <c r="AG31" s="1123">
        <f t="shared" ref="AG31:AJ31" si="181">SUM(AG28:AG30)</f>
        <v>152000</v>
      </c>
      <c r="AH31" s="1123">
        <f t="shared" si="181"/>
        <v>112443.49217500002</v>
      </c>
      <c r="AI31" s="1123">
        <f t="shared" si="181"/>
        <v>1090500</v>
      </c>
      <c r="AJ31" s="1123">
        <f t="shared" si="181"/>
        <v>804765.16013648396</v>
      </c>
      <c r="AK31" s="1123">
        <f t="shared" ref="AK31:AL31" si="182">SUM(AK28:AK30)</f>
        <v>155500</v>
      </c>
      <c r="AL31" s="1123">
        <f t="shared" si="182"/>
        <v>137672.67325849997</v>
      </c>
      <c r="AM31" s="1123">
        <f t="shared" ref="AM31:AP31" si="183">SUM(AM28:AM30)</f>
        <v>463000</v>
      </c>
      <c r="AN31" s="1123">
        <f t="shared" si="183"/>
        <v>378198.877750215</v>
      </c>
      <c r="AO31" s="1123">
        <f t="shared" si="183"/>
        <v>1246000</v>
      </c>
      <c r="AP31" s="1123">
        <f t="shared" si="183"/>
        <v>942437.83339498378</v>
      </c>
      <c r="AQ31" s="1123">
        <f t="shared" ref="AQ31:AT31" si="184">SUM(AQ28:AQ30)</f>
        <v>155500</v>
      </c>
      <c r="AR31" s="1123">
        <f t="shared" si="184"/>
        <v>130596.73279878001</v>
      </c>
      <c r="AS31" s="1123">
        <f t="shared" si="184"/>
        <v>1401500</v>
      </c>
      <c r="AT31" s="1123">
        <f t="shared" si="184"/>
        <v>1073034.5661937639</v>
      </c>
      <c r="AU31" s="3992">
        <f t="shared" ref="AU31:AX31" si="185">SUM(AU28:AU30)</f>
        <v>143000</v>
      </c>
      <c r="AV31" s="3992">
        <f t="shared" si="185"/>
        <v>115958.45885944998</v>
      </c>
      <c r="AW31" s="3992">
        <f t="shared" si="185"/>
        <v>1544500</v>
      </c>
      <c r="AX31" s="3992">
        <f t="shared" si="185"/>
        <v>1188993.0250532138</v>
      </c>
      <c r="AY31" s="4110">
        <f t="shared" ref="AY31:BB31" si="186">SUM(AY28:AY30)</f>
        <v>155500</v>
      </c>
      <c r="AZ31" s="4110">
        <f t="shared" si="186"/>
        <v>139417.86900000001</v>
      </c>
      <c r="BA31" s="4110">
        <f t="shared" si="186"/>
        <v>454000</v>
      </c>
      <c r="BB31" s="4110">
        <f t="shared" si="186"/>
        <v>385973.06065823004</v>
      </c>
      <c r="BC31" s="4110">
        <f t="shared" si="170"/>
        <v>917000</v>
      </c>
      <c r="BD31" s="4110">
        <f t="shared" si="171"/>
        <v>764171.9384084451</v>
      </c>
      <c r="BE31" s="4110">
        <f t="shared" ref="BE31:BF31" si="187">SUM(BE28:BE30)</f>
        <v>1700000</v>
      </c>
      <c r="BF31" s="4110">
        <f t="shared" si="187"/>
        <v>1328410.8940532138</v>
      </c>
      <c r="BG31" s="1123">
        <v>1330841.1017932</v>
      </c>
      <c r="BH31" s="1123">
        <v>886009.82213899097</v>
      </c>
      <c r="BI31" s="1123">
        <f t="shared" si="177"/>
        <v>1835000</v>
      </c>
      <c r="BJ31" s="3649">
        <f t="shared" si="177"/>
        <v>1215880.2112889714</v>
      </c>
      <c r="BK31" s="1486"/>
      <c r="BL31" s="4452"/>
      <c r="BN31" s="1486">
        <f>SUM(BN28:BN30)</f>
        <v>1563.167204440193</v>
      </c>
    </row>
    <row r="32" spans="1:78" ht="15" customHeight="1" x14ac:dyDescent="0.25">
      <c r="B32" s="4505" t="s">
        <v>832</v>
      </c>
      <c r="C32" s="1442" t="s">
        <v>53</v>
      </c>
      <c r="D32" s="1123">
        <v>516407.44912780658</v>
      </c>
      <c r="E32" s="3551">
        <v>0</v>
      </c>
      <c r="F32" s="4670">
        <v>12964.028574319411</v>
      </c>
      <c r="G32" s="3551">
        <v>0</v>
      </c>
      <c r="H32" s="3551">
        <v>26813.326401454076</v>
      </c>
      <c r="I32" s="3547">
        <f t="shared" ref="I32:I33" si="188">+E32+G32</f>
        <v>0</v>
      </c>
      <c r="J32" s="3547">
        <f t="shared" ref="J32:J33" si="189">+F32+H32</f>
        <v>39777.354975773487</v>
      </c>
      <c r="K32" s="3551">
        <v>51671</v>
      </c>
      <c r="L32" s="3551">
        <v>59699.5</v>
      </c>
      <c r="M32" s="3549">
        <f t="shared" ref="M32:M33" si="190">+I32+K32</f>
        <v>51671</v>
      </c>
      <c r="N32" s="3549">
        <f t="shared" ref="N32:N33" si="191">+J32+L32</f>
        <v>99476.854975773487</v>
      </c>
      <c r="O32" s="3551">
        <v>52407.448186528491</v>
      </c>
      <c r="P32" s="3551">
        <v>58438.570000000036</v>
      </c>
      <c r="Q32" s="3547">
        <f t="shared" ref="Q32:Q33" si="192">+M32+O32</f>
        <v>104078.44818652849</v>
      </c>
      <c r="R32" s="3547">
        <f>+N32+P32</f>
        <v>157915.42497577352</v>
      </c>
      <c r="S32" s="3551">
        <v>52407.448186528491</v>
      </c>
      <c r="T32" s="3551">
        <v>64215.628999999986</v>
      </c>
      <c r="U32" s="3547">
        <f t="shared" ref="U32:U33" si="193">+Q32+S32</f>
        <v>156485.89637305698</v>
      </c>
      <c r="V32" s="3547">
        <f>+R32+T32</f>
        <v>222131.05397577351</v>
      </c>
      <c r="W32" s="3551">
        <v>51342.487046632115</v>
      </c>
      <c r="X32" s="3551">
        <v>60476.320000000007</v>
      </c>
      <c r="Y32" s="3549">
        <f t="shared" ref="Y32:Y33" si="194">+O32+S32+W32</f>
        <v>156157.38341968908</v>
      </c>
      <c r="Z32" s="3549">
        <f t="shared" ref="Z32:Z33" si="195">+P32+T32+X32</f>
        <v>183130.51900000003</v>
      </c>
      <c r="AA32" s="1134">
        <f>+U32+W32</f>
        <v>207828.38341968908</v>
      </c>
      <c r="AB32" s="1134">
        <f>+V32+X32</f>
        <v>282607.37397577352</v>
      </c>
      <c r="AC32" s="3551">
        <v>52407.448186528491</v>
      </c>
      <c r="AD32" s="3551">
        <v>59249.440000000031</v>
      </c>
      <c r="AE32" s="3547">
        <f t="shared" ref="AE32:AE33" si="196">+AA32+AC32</f>
        <v>260235.83160621757</v>
      </c>
      <c r="AF32" s="3547">
        <f>+AB32+AD32</f>
        <v>341856.81397577352</v>
      </c>
      <c r="AG32" s="3551">
        <v>50342.487046632115</v>
      </c>
      <c r="AH32" s="3551">
        <v>58958.782000000007</v>
      </c>
      <c r="AI32" s="3547">
        <f t="shared" ref="AI32:AI33" si="197">+AE32+AG32</f>
        <v>310578.3186528497</v>
      </c>
      <c r="AJ32" s="3547">
        <f>+AF32+AH32</f>
        <v>400815.59597577353</v>
      </c>
      <c r="AK32" s="3551">
        <v>52907.448186528491</v>
      </c>
      <c r="AL32" s="3551">
        <v>56991.49000000002</v>
      </c>
      <c r="AM32" s="3549">
        <f>+AC32+AG32+AK32</f>
        <v>155657.38341968908</v>
      </c>
      <c r="AN32" s="3549">
        <f>+AD32+AH32+AL32</f>
        <v>175199.71200000006</v>
      </c>
      <c r="AO32" s="3547">
        <f>+AI32+AK32</f>
        <v>363485.76683937816</v>
      </c>
      <c r="AP32" s="3547">
        <f>+AJ32+AL32</f>
        <v>457807.08597577352</v>
      </c>
      <c r="AQ32" s="3551">
        <v>53407.448186528491</v>
      </c>
      <c r="AR32" s="3551">
        <v>55521.430000000008</v>
      </c>
      <c r="AS32" s="3547">
        <f t="shared" ref="AS32:AS33" si="198">+AO32+AQ32</f>
        <v>416893.21502590668</v>
      </c>
      <c r="AT32" s="3547">
        <f>+AP32+AR32</f>
        <v>513328.51597577351</v>
      </c>
      <c r="AU32" s="3990">
        <v>46106.103626943033</v>
      </c>
      <c r="AV32" s="3990">
        <v>58910.31700000001</v>
      </c>
      <c r="AW32" s="3991">
        <f t="shared" ref="AW32:AW33" si="199">+AS32+AU32</f>
        <v>462999.3186528497</v>
      </c>
      <c r="AX32" s="3991">
        <f>+AT32+AV32</f>
        <v>572238.83297577349</v>
      </c>
      <c r="AY32" s="4112">
        <v>53407.448186528491</v>
      </c>
      <c r="AZ32" s="4112">
        <v>55445.739999999991</v>
      </c>
      <c r="BA32" s="4114">
        <f>+AQ32+AU32+AY32</f>
        <v>152921</v>
      </c>
      <c r="BB32" s="4114">
        <f>+AR32+AV32+AZ32</f>
        <v>169877.48700000002</v>
      </c>
      <c r="BC32" s="4115">
        <f t="shared" si="170"/>
        <v>308578.38341968908</v>
      </c>
      <c r="BD32" s="4115">
        <f t="shared" si="171"/>
        <v>345077.19900000008</v>
      </c>
      <c r="BE32" s="4113">
        <f>+AW32+AY32</f>
        <v>516406.76683937816</v>
      </c>
      <c r="BF32" s="4113">
        <f>+AX32+AZ32</f>
        <v>627684.57297577348</v>
      </c>
      <c r="BG32" s="3370">
        <v>533055.8167946114</v>
      </c>
      <c r="BH32" s="3370">
        <v>608495.73</v>
      </c>
      <c r="BI32" s="3370">
        <v>304999.74093264237</v>
      </c>
      <c r="BJ32" s="3369">
        <v>629438.95550700894</v>
      </c>
      <c r="BK32" s="1486"/>
      <c r="BL32" s="4452"/>
      <c r="BM32" s="334">
        <v>629120.81999999995</v>
      </c>
      <c r="BN32" s="1486"/>
    </row>
    <row r="33" spans="1:66" ht="15" customHeight="1" x14ac:dyDescent="0.25">
      <c r="B33" s="4505" t="s">
        <v>833</v>
      </c>
      <c r="C33" s="1442" t="s">
        <v>53</v>
      </c>
      <c r="D33" s="1123">
        <v>153592.7017797548</v>
      </c>
      <c r="E33" s="3551">
        <v>0</v>
      </c>
      <c r="F33" s="4670">
        <f>+SMS!F41+SMS!F43</f>
        <v>5563.18</v>
      </c>
      <c r="G33" s="3551">
        <v>0</v>
      </c>
      <c r="H33" s="3551">
        <f>+SMS!H41+SMS!H43</f>
        <v>9537.6666666666661</v>
      </c>
      <c r="I33" s="3547">
        <f t="shared" si="188"/>
        <v>0</v>
      </c>
      <c r="J33" s="3547">
        <f t="shared" si="189"/>
        <v>15100.846666666666</v>
      </c>
      <c r="K33" s="3551">
        <v>18121</v>
      </c>
      <c r="L33" s="3551">
        <f>+SMS!L41+SMS!L43</f>
        <v>25254.5</v>
      </c>
      <c r="M33" s="3549">
        <f t="shared" si="190"/>
        <v>18121</v>
      </c>
      <c r="N33" s="3549">
        <f t="shared" si="191"/>
        <v>40355.346666666665</v>
      </c>
      <c r="O33" s="3551">
        <v>19484.641706035611</v>
      </c>
      <c r="P33" s="3551">
        <f>+SMS!P41+SMS!P43</f>
        <v>12425.84</v>
      </c>
      <c r="Q33" s="3547">
        <f t="shared" si="192"/>
        <v>37605.641706035611</v>
      </c>
      <c r="R33" s="3547">
        <f t="shared" ref="R33" si="200">+N33+P33</f>
        <v>52781.186666666661</v>
      </c>
      <c r="S33" s="3551">
        <v>14947.774736191452</v>
      </c>
      <c r="T33" s="3551">
        <f>+SMS!T41+SMS!T43</f>
        <v>24124.884999999998</v>
      </c>
      <c r="U33" s="3547">
        <f t="shared" si="193"/>
        <v>52553.416442227062</v>
      </c>
      <c r="V33" s="3547">
        <f t="shared" ref="V33" si="201">+R33+T33</f>
        <v>76906.071666666656</v>
      </c>
      <c r="W33" s="3551">
        <v>14330.873327740745</v>
      </c>
      <c r="X33" s="3551">
        <f>+SMS!X41+SMS!X43</f>
        <v>26955.68</v>
      </c>
      <c r="Y33" s="3549">
        <f t="shared" si="194"/>
        <v>48763.289769967807</v>
      </c>
      <c r="Z33" s="3549">
        <f t="shared" si="195"/>
        <v>63506.404999999999</v>
      </c>
      <c r="AA33" s="1134">
        <f t="shared" ref="AA33" si="202">+U33+W33</f>
        <v>66884.289769967814</v>
      </c>
      <c r="AB33" s="1134">
        <f t="shared" ref="AB33" si="203">+V33+X33</f>
        <v>103861.75166666665</v>
      </c>
      <c r="AC33" s="3551">
        <v>16236.507130557628</v>
      </c>
      <c r="AD33" s="3551">
        <f>+SMS!AD41+SMS!AD43</f>
        <v>7598.86</v>
      </c>
      <c r="AE33" s="3547">
        <f t="shared" si="196"/>
        <v>83120.796900525442</v>
      </c>
      <c r="AF33" s="3547">
        <f t="shared" ref="AF33" si="204">+AB33+AD33</f>
        <v>111460.61166666665</v>
      </c>
      <c r="AG33" s="3551">
        <v>13330.873327740745</v>
      </c>
      <c r="AH33" s="3551">
        <f>+SMS!AH41+SMS!AH43</f>
        <v>21760.9</v>
      </c>
      <c r="AI33" s="3547">
        <f t="shared" si="197"/>
        <v>96451.670228266186</v>
      </c>
      <c r="AJ33" s="3547">
        <f t="shared" ref="AJ33" si="205">+AF33+AH33</f>
        <v>133221.51166666666</v>
      </c>
      <c r="AK33" s="3551">
        <v>16062.507130557628</v>
      </c>
      <c r="AL33" s="3551">
        <f>+SMS!AL41+SMS!AL43</f>
        <v>15709.11</v>
      </c>
      <c r="AM33" s="3549">
        <f>+AC33+AG33+AK33</f>
        <v>45629.887588856</v>
      </c>
      <c r="AN33" s="3549">
        <f>+AD33+AH33+AL33</f>
        <v>45068.87</v>
      </c>
      <c r="AO33" s="3547">
        <f>+AI33+AK33</f>
        <v>112514.17735882381</v>
      </c>
      <c r="AP33" s="3547">
        <f>+AJ33+AL33</f>
        <v>148930.62166666664</v>
      </c>
      <c r="AQ33" s="3551">
        <v>15736.507130557628</v>
      </c>
      <c r="AR33" s="3551">
        <f>+SMS!AR41+SMS!AR43</f>
        <v>24394.61</v>
      </c>
      <c r="AS33" s="3547">
        <f t="shared" si="198"/>
        <v>128250.68448938144</v>
      </c>
      <c r="AT33" s="3547">
        <f t="shared" ref="AT33" si="206">+AP33+AR33</f>
        <v>173325.23166666663</v>
      </c>
      <c r="AU33" s="3990">
        <v>9605.150323045862</v>
      </c>
      <c r="AV33" s="3990">
        <f>+SMS!AV41+SMS!AV43-1782</f>
        <v>15419.119999999999</v>
      </c>
      <c r="AW33" s="3991">
        <f t="shared" si="199"/>
        <v>137855.83481242729</v>
      </c>
      <c r="AX33" s="3991">
        <f t="shared" ref="AX33" si="207">+AT33+AV33</f>
        <v>188744.35166666663</v>
      </c>
      <c r="AY33" s="4112">
        <v>15736.507130557628</v>
      </c>
      <c r="AZ33" s="4112">
        <f>+SMS!AZ41+SMS!AZ43-1809</f>
        <v>15586</v>
      </c>
      <c r="BA33" s="4114">
        <f>+AQ33+AU33+AY33</f>
        <v>41078.164584161117</v>
      </c>
      <c r="BB33" s="4114">
        <f>+AR33+AV33+AZ33</f>
        <v>55399.729999999996</v>
      </c>
      <c r="BC33" s="4115">
        <f t="shared" si="170"/>
        <v>86708.052173017117</v>
      </c>
      <c r="BD33" s="4115">
        <f t="shared" si="171"/>
        <v>100468.6</v>
      </c>
      <c r="BE33" s="4113">
        <f>+AW33+AY33</f>
        <v>153592.3419429849</v>
      </c>
      <c r="BF33" s="4113">
        <f>+AX33+AZ33</f>
        <v>204330.35166666663</v>
      </c>
      <c r="BG33" s="3370">
        <v>371378.00888192269</v>
      </c>
      <c r="BH33" s="3370">
        <v>329378.80290000001</v>
      </c>
      <c r="BI33" s="3370">
        <v>267000</v>
      </c>
      <c r="BJ33" s="3369">
        <v>248401</v>
      </c>
      <c r="BK33" s="1486"/>
      <c r="BL33" s="4452"/>
      <c r="BM33" s="334">
        <v>202894.11150000003</v>
      </c>
      <c r="BN33" s="1486"/>
    </row>
    <row r="34" spans="1:66" s="334" customFormat="1" ht="15" customHeight="1" x14ac:dyDescent="0.25">
      <c r="A34" s="1726"/>
      <c r="B34" s="4506" t="s">
        <v>834</v>
      </c>
      <c r="C34" s="4488" t="s">
        <v>53</v>
      </c>
      <c r="D34" s="1123">
        <f>SUM(D32:D33)</f>
        <v>670000.15090756142</v>
      </c>
      <c r="E34" s="1123">
        <f>SUM(E32:E33)</f>
        <v>0</v>
      </c>
      <c r="F34" s="1123">
        <f t="shared" ref="F34:BJ34" si="208">SUM(F32:F33)</f>
        <v>18527.208574319411</v>
      </c>
      <c r="G34" s="1123">
        <f t="shared" si="208"/>
        <v>0</v>
      </c>
      <c r="H34" s="1123">
        <f t="shared" si="208"/>
        <v>36350.993068120741</v>
      </c>
      <c r="I34" s="1123">
        <f t="shared" si="208"/>
        <v>0</v>
      </c>
      <c r="J34" s="1123">
        <f t="shared" si="208"/>
        <v>54878.201642440152</v>
      </c>
      <c r="K34" s="1123">
        <f t="shared" si="208"/>
        <v>69792</v>
      </c>
      <c r="L34" s="1123">
        <f t="shared" si="208"/>
        <v>84954</v>
      </c>
      <c r="M34" s="1123">
        <f t="shared" si="208"/>
        <v>69792</v>
      </c>
      <c r="N34" s="1123">
        <f t="shared" si="208"/>
        <v>139832.20164244017</v>
      </c>
      <c r="O34" s="1123">
        <f t="shared" ref="O34:P34" si="209">SUM(O32:O33)</f>
        <v>71892.089892564109</v>
      </c>
      <c r="P34" s="1123">
        <f t="shared" si="209"/>
        <v>70864.410000000033</v>
      </c>
      <c r="Q34" s="1123">
        <f t="shared" si="208"/>
        <v>141684.08989256411</v>
      </c>
      <c r="R34" s="1123">
        <f t="shared" si="208"/>
        <v>210696.6116424402</v>
      </c>
      <c r="S34" s="1123">
        <f>SUM(S32:S33)</f>
        <v>67355.222922719942</v>
      </c>
      <c r="T34" s="1123">
        <f t="shared" si="208"/>
        <v>88340.513999999981</v>
      </c>
      <c r="U34" s="1123">
        <f t="shared" ref="U34:Z34" si="210">SUM(U32:U33)</f>
        <v>209039.31281528404</v>
      </c>
      <c r="V34" s="1123">
        <f t="shared" si="210"/>
        <v>299037.12564244017</v>
      </c>
      <c r="W34" s="1123">
        <f>SUM(W32:W33)</f>
        <v>65673.36037437286</v>
      </c>
      <c r="X34" s="1123">
        <f t="shared" ref="X34" si="211">SUM(X32:X33)</f>
        <v>87432</v>
      </c>
      <c r="Y34" s="1123">
        <f t="shared" si="210"/>
        <v>204920.6731896569</v>
      </c>
      <c r="Z34" s="1123">
        <f t="shared" si="210"/>
        <v>246636.92400000003</v>
      </c>
      <c r="AA34" s="1123">
        <f t="shared" ref="AA34:AB34" si="212">SUM(AA32:AA33)</f>
        <v>274712.67318965693</v>
      </c>
      <c r="AB34" s="1123">
        <f t="shared" si="212"/>
        <v>386469.12564244017</v>
      </c>
      <c r="AC34" s="1123">
        <f>SUM(AC32:AC33)</f>
        <v>68643.955317086118</v>
      </c>
      <c r="AD34" s="1123">
        <f t="shared" ref="AD34:AF34" si="213">SUM(AD32:AD33)</f>
        <v>66848.300000000032</v>
      </c>
      <c r="AE34" s="1123">
        <f t="shared" si="213"/>
        <v>343356.628506743</v>
      </c>
      <c r="AF34" s="1123">
        <f t="shared" si="213"/>
        <v>453317.42564244015</v>
      </c>
      <c r="AG34" s="1123">
        <f>SUM(AG32:AG33)</f>
        <v>63673.36037437286</v>
      </c>
      <c r="AH34" s="1123">
        <f t="shared" ref="AH34:AJ34" si="214">SUM(AH32:AH33)</f>
        <v>80719.682000000001</v>
      </c>
      <c r="AI34" s="1123">
        <f t="shared" si="214"/>
        <v>407029.98888111592</v>
      </c>
      <c r="AJ34" s="1123">
        <f t="shared" si="214"/>
        <v>534037.10764244013</v>
      </c>
      <c r="AK34" s="1123">
        <f>SUM(AK32:AK33)</f>
        <v>68969.955317086118</v>
      </c>
      <c r="AL34" s="1123">
        <f t="shared" ref="AL34" si="215">SUM(AL32:AL33)</f>
        <v>72700.60000000002</v>
      </c>
      <c r="AM34" s="1123">
        <f t="shared" ref="AM34:AP34" si="216">SUM(AM32:AM33)</f>
        <v>201287.27100854507</v>
      </c>
      <c r="AN34" s="1123">
        <f t="shared" si="216"/>
        <v>220268.58200000005</v>
      </c>
      <c r="AO34" s="1123">
        <f t="shared" si="216"/>
        <v>475999.94419820199</v>
      </c>
      <c r="AP34" s="1123">
        <f t="shared" si="216"/>
        <v>606737.70764244022</v>
      </c>
      <c r="AQ34" s="1123">
        <f t="shared" ref="AQ34:AT34" si="217">SUM(AQ32:AQ33)</f>
        <v>69143.955317086118</v>
      </c>
      <c r="AR34" s="1123">
        <f t="shared" si="217"/>
        <v>79916.040000000008</v>
      </c>
      <c r="AS34" s="1123">
        <f t="shared" si="217"/>
        <v>545143.89951528818</v>
      </c>
      <c r="AT34" s="1123">
        <f t="shared" si="217"/>
        <v>686653.74764244014</v>
      </c>
      <c r="AU34" s="3992">
        <f t="shared" ref="AU34:AX34" si="218">SUM(AU32:AU33)</f>
        <v>55711.253949988895</v>
      </c>
      <c r="AV34" s="3992">
        <f t="shared" si="218"/>
        <v>74329.437000000005</v>
      </c>
      <c r="AW34" s="3992">
        <f t="shared" si="218"/>
        <v>600855.15346527705</v>
      </c>
      <c r="AX34" s="3992">
        <f t="shared" si="218"/>
        <v>760983.18464244017</v>
      </c>
      <c r="AY34" s="4110">
        <f t="shared" ref="AY34:BB34" si="219">SUM(AY32:AY33)</f>
        <v>69143.955317086118</v>
      </c>
      <c r="AZ34" s="4110">
        <f t="shared" si="219"/>
        <v>71031.739999999991</v>
      </c>
      <c r="BA34" s="4110">
        <f t="shared" si="219"/>
        <v>193999.16458416113</v>
      </c>
      <c r="BB34" s="4110">
        <f t="shared" si="219"/>
        <v>225277.217</v>
      </c>
      <c r="BC34" s="4110">
        <f t="shared" si="170"/>
        <v>395286.4355927062</v>
      </c>
      <c r="BD34" s="4110">
        <f t="shared" si="171"/>
        <v>445545.79900000006</v>
      </c>
      <c r="BE34" s="4110">
        <f t="shared" ref="BE34:BF34" si="220">SUM(BE32:BE33)</f>
        <v>669999.10878236312</v>
      </c>
      <c r="BF34" s="4110">
        <f t="shared" si="220"/>
        <v>832014.92464244016</v>
      </c>
      <c r="BG34" s="1123">
        <v>904433.82567653409</v>
      </c>
      <c r="BH34" s="1123">
        <v>937874.53289999999</v>
      </c>
      <c r="BI34" s="1123">
        <f t="shared" si="208"/>
        <v>571999.74093264237</v>
      </c>
      <c r="BJ34" s="3649">
        <f t="shared" si="208"/>
        <v>877839.95550700894</v>
      </c>
      <c r="BK34" s="1486"/>
      <c r="BL34" s="4452"/>
      <c r="BM34" s="334">
        <f>SUM(BM28:BM33)</f>
        <v>2161988.9927576543</v>
      </c>
      <c r="BN34" s="1486">
        <f t="shared" si="176"/>
        <v>1329974.0681152141</v>
      </c>
    </row>
    <row r="35" spans="1:66" s="334" customFormat="1" ht="15" customHeight="1" x14ac:dyDescent="0.25">
      <c r="A35" s="1726"/>
      <c r="B35" s="4507" t="s">
        <v>2</v>
      </c>
      <c r="C35" s="4489" t="s">
        <v>53</v>
      </c>
      <c r="D35" s="1730">
        <f>+D31+D34</f>
        <v>2370000.1509075612</v>
      </c>
      <c r="E35" s="1730">
        <f>+E31+E34</f>
        <v>87000</v>
      </c>
      <c r="F35" s="1730">
        <f t="shared" ref="F35:BJ35" si="221">+F31+F34</f>
        <v>90138.220499999996</v>
      </c>
      <c r="G35" s="1730">
        <f t="shared" si="221"/>
        <v>91500</v>
      </c>
      <c r="H35" s="1730">
        <f t="shared" si="221"/>
        <v>103829.25399999999</v>
      </c>
      <c r="I35" s="1730">
        <f t="shared" si="221"/>
        <v>178500</v>
      </c>
      <c r="J35" s="1730">
        <f t="shared" si="221"/>
        <v>193967.47450000001</v>
      </c>
      <c r="K35" s="1730">
        <f t="shared" si="221"/>
        <v>216292</v>
      </c>
      <c r="L35" s="1730">
        <f t="shared" si="221"/>
        <v>185059.50895618999</v>
      </c>
      <c r="M35" s="1730">
        <f t="shared" si="221"/>
        <v>394792</v>
      </c>
      <c r="N35" s="1730">
        <f t="shared" si="221"/>
        <v>379026.98345618998</v>
      </c>
      <c r="O35" s="1730">
        <f t="shared" ref="O35:P35" si="222">+O31+O34</f>
        <v>222392.08989256411</v>
      </c>
      <c r="P35" s="1730">
        <f t="shared" si="222"/>
        <v>182935.17262748408</v>
      </c>
      <c r="Q35" s="1730">
        <f t="shared" si="221"/>
        <v>617184.08989256411</v>
      </c>
      <c r="R35" s="1730">
        <f t="shared" si="221"/>
        <v>561962.15608367417</v>
      </c>
      <c r="S35" s="1730">
        <f t="shared" si="221"/>
        <v>222855.22292271996</v>
      </c>
      <c r="T35" s="1730">
        <f t="shared" si="221"/>
        <v>198168.178864535</v>
      </c>
      <c r="U35" s="1730">
        <f t="shared" ref="U35:Z35" si="223">+U31+U34</f>
        <v>840039.31281528401</v>
      </c>
      <c r="V35" s="1730">
        <f t="shared" si="223"/>
        <v>760130.33494820911</v>
      </c>
      <c r="W35" s="1730">
        <f t="shared" si="223"/>
        <v>217673.36037437286</v>
      </c>
      <c r="X35" s="1730">
        <f t="shared" si="223"/>
        <v>190577.746339</v>
      </c>
      <c r="Y35" s="1730">
        <f t="shared" si="223"/>
        <v>662920.67318965693</v>
      </c>
      <c r="Z35" s="1730">
        <f t="shared" si="223"/>
        <v>571681.09783101908</v>
      </c>
      <c r="AA35" s="1730">
        <f>+AA31+AA34</f>
        <v>1057712.6731896568</v>
      </c>
      <c r="AB35" s="1730">
        <f t="shared" ref="AB35:AF35" si="224">+AB31+AB34</f>
        <v>950708.08128720906</v>
      </c>
      <c r="AC35" s="1730">
        <f t="shared" si="224"/>
        <v>224143.95531708613</v>
      </c>
      <c r="AD35" s="1730">
        <f t="shared" si="224"/>
        <v>194931.01231671503</v>
      </c>
      <c r="AE35" s="1730">
        <f t="shared" si="224"/>
        <v>1281856.6285067429</v>
      </c>
      <c r="AF35" s="1730">
        <f t="shared" si="224"/>
        <v>1145639.0936039239</v>
      </c>
      <c r="AG35" s="1730">
        <f t="shared" ref="AG35:AJ35" si="225">+AG31+AG34</f>
        <v>215673.36037437286</v>
      </c>
      <c r="AH35" s="1730">
        <f t="shared" si="225"/>
        <v>193163.17417500002</v>
      </c>
      <c r="AI35" s="1730">
        <f t="shared" si="225"/>
        <v>1497529.9888811158</v>
      </c>
      <c r="AJ35" s="1730">
        <f t="shared" si="225"/>
        <v>1338802.2677789242</v>
      </c>
      <c r="AK35" s="1730">
        <f t="shared" ref="AK35:AL35" si="226">+AK31+AK34</f>
        <v>224469.95531708613</v>
      </c>
      <c r="AL35" s="1730">
        <f t="shared" si="226"/>
        <v>210373.27325849998</v>
      </c>
      <c r="AM35" s="1730">
        <f t="shared" ref="AM35:AP35" si="227">+AM31+AM34</f>
        <v>664287.27100854507</v>
      </c>
      <c r="AN35" s="1730">
        <f t="shared" si="227"/>
        <v>598467.45975021506</v>
      </c>
      <c r="AO35" s="1730">
        <f t="shared" si="227"/>
        <v>1721999.9441982019</v>
      </c>
      <c r="AP35" s="1730">
        <f t="shared" si="227"/>
        <v>1549175.541037424</v>
      </c>
      <c r="AQ35" s="1730">
        <f t="shared" ref="AQ35:AT35" si="228">+AQ31+AQ34</f>
        <v>224643.95531708613</v>
      </c>
      <c r="AR35" s="1730">
        <f t="shared" si="228"/>
        <v>210512.77279878</v>
      </c>
      <c r="AS35" s="1730">
        <f t="shared" si="228"/>
        <v>1946643.8995152882</v>
      </c>
      <c r="AT35" s="1730">
        <f t="shared" si="228"/>
        <v>1759688.3138362039</v>
      </c>
      <c r="AU35" s="1730">
        <f t="shared" ref="AU35:AX35" si="229">+AU31+AU34</f>
        <v>198711.2539499889</v>
      </c>
      <c r="AV35" s="1730">
        <f t="shared" si="229"/>
        <v>190287.89585944999</v>
      </c>
      <c r="AW35" s="1730">
        <f t="shared" si="229"/>
        <v>2145355.153465277</v>
      </c>
      <c r="AX35" s="1730">
        <f t="shared" si="229"/>
        <v>1949976.209695654</v>
      </c>
      <c r="AY35" s="1730">
        <f t="shared" ref="AY35:BB35" si="230">+AY31+AY34</f>
        <v>224643.95531708613</v>
      </c>
      <c r="AZ35" s="1730">
        <f t="shared" si="230"/>
        <v>210449.609</v>
      </c>
      <c r="BA35" s="1730">
        <f t="shared" si="230"/>
        <v>647999.16458416113</v>
      </c>
      <c r="BB35" s="1730">
        <f t="shared" si="230"/>
        <v>611250.27765823004</v>
      </c>
      <c r="BC35" s="1730">
        <f t="shared" si="170"/>
        <v>1312286.4355927063</v>
      </c>
      <c r="BD35" s="1730">
        <f t="shared" si="171"/>
        <v>1209717.7374084452</v>
      </c>
      <c r="BE35" s="1730">
        <f t="shared" ref="BE35:BF35" si="231">+BE31+BE34</f>
        <v>2369999.1087823631</v>
      </c>
      <c r="BF35" s="1730">
        <f t="shared" si="231"/>
        <v>2160425.8186956542</v>
      </c>
      <c r="BG35" s="1730">
        <v>2235274.9274697341</v>
      </c>
      <c r="BH35" s="1730">
        <v>1823884.355038991</v>
      </c>
      <c r="BI35" s="1730">
        <f t="shared" si="221"/>
        <v>2406999.7409326425</v>
      </c>
      <c r="BJ35" s="633">
        <f t="shared" si="221"/>
        <v>2093720.1667959802</v>
      </c>
      <c r="BK35" s="4707">
        <f>+BF35/1000000</f>
        <v>2.160425818695654</v>
      </c>
      <c r="BL35" s="4452"/>
    </row>
    <row r="36" spans="1:66" s="334" customFormat="1" ht="15" customHeight="1" x14ac:dyDescent="0.25">
      <c r="B36" s="4508" t="s">
        <v>3</v>
      </c>
      <c r="C36" s="4490"/>
      <c r="D36" s="2697"/>
      <c r="E36" s="4716"/>
      <c r="F36" s="4717"/>
      <c r="G36" s="4716"/>
      <c r="H36" s="4716"/>
      <c r="I36" s="4716"/>
      <c r="J36" s="4716"/>
      <c r="K36" s="4716"/>
      <c r="L36" s="4716"/>
      <c r="M36" s="4716"/>
      <c r="N36" s="4716"/>
      <c r="O36" s="4716"/>
      <c r="P36" s="4716"/>
      <c r="Q36" s="4716"/>
      <c r="R36" s="4716"/>
      <c r="S36" s="4716"/>
      <c r="T36" s="4716"/>
      <c r="U36" s="4716"/>
      <c r="V36" s="4716"/>
      <c r="W36" s="4716"/>
      <c r="X36" s="4718"/>
      <c r="Y36" s="4716"/>
      <c r="Z36" s="4716"/>
      <c r="AA36" s="4716"/>
      <c r="AB36" s="4716"/>
      <c r="AC36" s="4718"/>
      <c r="AD36" s="4718"/>
      <c r="AE36" s="4716"/>
      <c r="AF36" s="4716"/>
      <c r="AG36" s="4718"/>
      <c r="AH36" s="4718"/>
      <c r="AI36" s="4716"/>
      <c r="AJ36" s="4716"/>
      <c r="AK36" s="4718"/>
      <c r="AL36" s="4718"/>
      <c r="AM36" s="4716"/>
      <c r="AN36" s="4716"/>
      <c r="AO36" s="4716"/>
      <c r="AP36" s="4716"/>
      <c r="AQ36" s="4718"/>
      <c r="AR36" s="4718"/>
      <c r="AS36" s="4716"/>
      <c r="AT36" s="4716"/>
      <c r="AU36" s="4718"/>
      <c r="AV36" s="4718"/>
      <c r="AW36" s="4716"/>
      <c r="AX36" s="4716"/>
      <c r="AY36" s="4718"/>
      <c r="AZ36" s="4718"/>
      <c r="BA36" s="4716"/>
      <c r="BB36" s="4716"/>
      <c r="BC36" s="4716"/>
      <c r="BD36" s="4716"/>
      <c r="BE36" s="4716"/>
      <c r="BF36" s="4716"/>
      <c r="BG36" s="4716"/>
      <c r="BH36" s="4716"/>
      <c r="BI36" s="4716"/>
      <c r="BJ36" s="4719"/>
    </row>
    <row r="37" spans="1:66" ht="15" customHeight="1" x14ac:dyDescent="0.25">
      <c r="B37" s="4509" t="s">
        <v>835</v>
      </c>
      <c r="C37" s="1442" t="s">
        <v>53</v>
      </c>
      <c r="D37" s="4830">
        <f>+D28</f>
        <v>500000</v>
      </c>
      <c r="E37" s="4834">
        <f>+E28</f>
        <v>33000</v>
      </c>
      <c r="F37" s="238">
        <v>32270.342000000001</v>
      </c>
      <c r="G37" s="4834">
        <f>+G28</f>
        <v>41500</v>
      </c>
      <c r="H37" s="238">
        <v>21668.993999999999</v>
      </c>
      <c r="I37" s="4838">
        <f>+E37+G37</f>
        <v>74500</v>
      </c>
      <c r="J37" s="3547">
        <f t="shared" ref="J37:J39" si="232">+F37+H37</f>
        <v>53939.335999999996</v>
      </c>
      <c r="K37" s="4834">
        <f>+K28</f>
        <v>41500</v>
      </c>
      <c r="L37" s="238">
        <v>38759.350000000013</v>
      </c>
      <c r="M37" s="4839">
        <f>+I37+K37</f>
        <v>116000</v>
      </c>
      <c r="N37" s="3549">
        <f t="shared" ref="M37:N39" si="233">+J37+L37</f>
        <v>92698.686000000016</v>
      </c>
      <c r="O37" s="4834">
        <f>+O28</f>
        <v>43500</v>
      </c>
      <c r="P37" s="238">
        <v>38136.149999999994</v>
      </c>
      <c r="Q37" s="4838">
        <f>+M37+O37</f>
        <v>159500</v>
      </c>
      <c r="R37" s="3547">
        <f t="shared" ref="Q37:R39" si="234">+N37+P37</f>
        <v>130834.83600000001</v>
      </c>
      <c r="S37" s="4834">
        <f>+S28</f>
        <v>43500</v>
      </c>
      <c r="T37" s="238">
        <v>41256.250000000007</v>
      </c>
      <c r="U37" s="4838">
        <f>+Q37+S37</f>
        <v>203000</v>
      </c>
      <c r="V37" s="3547">
        <f t="shared" ref="V37:V42" si="235">+R37+T37</f>
        <v>172091.08600000001</v>
      </c>
      <c r="W37" s="4834">
        <f>+W28</f>
        <v>42000</v>
      </c>
      <c r="X37" s="238">
        <v>40056.999999999993</v>
      </c>
      <c r="Y37" s="4839">
        <f>+O37+S37+W37</f>
        <v>129000</v>
      </c>
      <c r="Z37" s="3549">
        <f t="shared" ref="Z37:Z42" si="236">+P37+T37+X37</f>
        <v>119449.4</v>
      </c>
      <c r="AA37" s="4842">
        <f>+U37+W37</f>
        <v>245000</v>
      </c>
      <c r="AB37" s="1134">
        <f t="shared" ref="AB37:AB42" si="237">+V37+X37</f>
        <v>212148.08600000001</v>
      </c>
      <c r="AC37" s="4834">
        <f>+AC28</f>
        <v>43500</v>
      </c>
      <c r="AD37" s="238">
        <v>43248.850000000013</v>
      </c>
      <c r="AE37" s="4838">
        <f>+AA37+AC37</f>
        <v>288500</v>
      </c>
      <c r="AF37" s="3547">
        <f t="shared" ref="AF37:AF42" si="238">+AB37+AD37</f>
        <v>255396.93600000002</v>
      </c>
      <c r="AG37" s="4834">
        <f>+AG28</f>
        <v>42000</v>
      </c>
      <c r="AH37" s="238">
        <v>37008.650000000009</v>
      </c>
      <c r="AI37" s="4838">
        <f>+AE37+AG37</f>
        <v>330500</v>
      </c>
      <c r="AJ37" s="3547">
        <f t="shared" ref="AJ37:AJ42" si="239">+AF37+AH37</f>
        <v>292405.58600000001</v>
      </c>
      <c r="AK37" s="4834">
        <f>+AK28</f>
        <v>43500</v>
      </c>
      <c r="AL37" s="238">
        <v>34066.899999999994</v>
      </c>
      <c r="AM37" s="4839">
        <f>+AC37+AG37+AK37</f>
        <v>129000</v>
      </c>
      <c r="AN37" s="3549">
        <f>+AD37+AH37+AL37</f>
        <v>114324.40000000002</v>
      </c>
      <c r="AO37" s="4838">
        <f>+AI37+AK37</f>
        <v>374000</v>
      </c>
      <c r="AP37" s="3547">
        <f>+AJ37+AL37</f>
        <v>326472.48600000003</v>
      </c>
      <c r="AQ37" s="4834">
        <f>+AQ28</f>
        <v>43500</v>
      </c>
      <c r="AR37" s="3872">
        <v>40182.050000000003</v>
      </c>
      <c r="AS37" s="4838">
        <f>+AO37+AQ37</f>
        <v>417500</v>
      </c>
      <c r="AT37" s="3547">
        <f t="shared" ref="AT37:AT42" si="240">+AP37+AR37</f>
        <v>366654.53600000002</v>
      </c>
      <c r="AU37" s="4834">
        <f>+AU28</f>
        <v>39000</v>
      </c>
      <c r="AV37" s="3989">
        <f>+AV28</f>
        <v>43710.1</v>
      </c>
      <c r="AW37" s="4838">
        <f>+AS37+AU37</f>
        <v>456500</v>
      </c>
      <c r="AX37" s="3991">
        <f t="shared" ref="AX37:AX42" si="241">+AT37+AV37</f>
        <v>410364.636</v>
      </c>
      <c r="AY37" s="4834">
        <f>+AY28</f>
        <v>43500</v>
      </c>
      <c r="AZ37" s="4111">
        <f>+AZ28</f>
        <v>46010.200000000004</v>
      </c>
      <c r="BA37" s="4839">
        <f>+AQ37+AU37+AY37</f>
        <v>126000</v>
      </c>
      <c r="BB37" s="4114">
        <f>+AR37+AV37+AZ37</f>
        <v>129902.35</v>
      </c>
      <c r="BC37" s="4842">
        <f t="shared" ref="BC37:BC46" si="242">+AM37+BA37</f>
        <v>255000</v>
      </c>
      <c r="BD37" s="4115">
        <f t="shared" ref="BD37:BD46" si="243">+AN37+BB37</f>
        <v>244226.75000000003</v>
      </c>
      <c r="BE37" s="4838">
        <f>+AW37+AY37</f>
        <v>500000</v>
      </c>
      <c r="BF37" s="4113">
        <f>+AX37+AZ37</f>
        <v>456374.83600000001</v>
      </c>
      <c r="BG37" s="4836">
        <v>435965.96179320005</v>
      </c>
      <c r="BH37" s="3370">
        <v>337036.56400000001</v>
      </c>
      <c r="BI37" s="4836">
        <f>+BI28</f>
        <v>500000</v>
      </c>
      <c r="BJ37" s="3369">
        <v>270654.57</v>
      </c>
      <c r="BM37" s="1486">
        <f>+BM34-BF35</f>
        <v>1563.1740620001219</v>
      </c>
    </row>
    <row r="38" spans="1:66" ht="15" customHeight="1" x14ac:dyDescent="0.25">
      <c r="B38" s="4509" t="s">
        <v>724</v>
      </c>
      <c r="C38" s="1442" t="s">
        <v>53</v>
      </c>
      <c r="D38" s="4830"/>
      <c r="E38" s="4834"/>
      <c r="F38" s="238">
        <v>0</v>
      </c>
      <c r="G38" s="4834"/>
      <c r="H38" s="238">
        <v>3030.08</v>
      </c>
      <c r="I38" s="4838"/>
      <c r="J38" s="3547">
        <f>+F38+H38</f>
        <v>3030.08</v>
      </c>
      <c r="K38" s="4834"/>
      <c r="L38" s="238">
        <v>0</v>
      </c>
      <c r="M38" s="4839"/>
      <c r="N38" s="3549">
        <f t="shared" si="233"/>
        <v>3030.08</v>
      </c>
      <c r="O38" s="4834"/>
      <c r="P38" s="238">
        <v>0</v>
      </c>
      <c r="Q38" s="4838"/>
      <c r="R38" s="3547">
        <f t="shared" si="234"/>
        <v>3030.08</v>
      </c>
      <c r="S38" s="4834"/>
      <c r="T38" s="238">
        <v>0</v>
      </c>
      <c r="U38" s="4838"/>
      <c r="V38" s="3547">
        <f t="shared" si="235"/>
        <v>3030.08</v>
      </c>
      <c r="W38" s="4834"/>
      <c r="X38" s="238">
        <v>0</v>
      </c>
      <c r="Y38" s="4839"/>
      <c r="Z38" s="3549">
        <f t="shared" si="236"/>
        <v>0</v>
      </c>
      <c r="AA38" s="4842"/>
      <c r="AB38" s="1134">
        <f t="shared" si="237"/>
        <v>3030.08</v>
      </c>
      <c r="AC38" s="4834"/>
      <c r="AD38" s="238">
        <v>0</v>
      </c>
      <c r="AE38" s="4838"/>
      <c r="AF38" s="3547">
        <f t="shared" si="238"/>
        <v>3030.08</v>
      </c>
      <c r="AG38" s="4834"/>
      <c r="AH38" s="238">
        <v>0</v>
      </c>
      <c r="AI38" s="4838"/>
      <c r="AJ38" s="3547">
        <f t="shared" si="239"/>
        <v>3030.08</v>
      </c>
      <c r="AK38" s="4834"/>
      <c r="AL38" s="238">
        <v>5938.85</v>
      </c>
      <c r="AM38" s="4839"/>
      <c r="AN38" s="3549">
        <f>+AD38+AH38+AL38</f>
        <v>5938.85</v>
      </c>
      <c r="AO38" s="4838"/>
      <c r="AP38" s="3547">
        <f>+AJ38+AL38</f>
        <v>8968.93</v>
      </c>
      <c r="AQ38" s="4834"/>
      <c r="AR38" s="3872">
        <v>0</v>
      </c>
      <c r="AS38" s="4838"/>
      <c r="AT38" s="3547">
        <f t="shared" si="240"/>
        <v>8968.93</v>
      </c>
      <c r="AU38" s="4834"/>
      <c r="AV38" s="3989">
        <v>0</v>
      </c>
      <c r="AW38" s="4838"/>
      <c r="AX38" s="3991">
        <f t="shared" si="241"/>
        <v>8968.93</v>
      </c>
      <c r="AY38" s="4834"/>
      <c r="AZ38" s="4111">
        <v>0</v>
      </c>
      <c r="BA38" s="4839"/>
      <c r="BB38" s="4114">
        <f>+AR38+AV38+AZ38</f>
        <v>0</v>
      </c>
      <c r="BC38" s="4842">
        <f t="shared" si="242"/>
        <v>0</v>
      </c>
      <c r="BD38" s="4115">
        <f t="shared" si="243"/>
        <v>5938.85</v>
      </c>
      <c r="BE38" s="4838"/>
      <c r="BF38" s="4113">
        <f>+AX38+AZ38</f>
        <v>8968.93</v>
      </c>
      <c r="BG38" s="4836"/>
      <c r="BH38" s="3370">
        <v>19481.813999999998</v>
      </c>
      <c r="BI38" s="4836"/>
      <c r="BJ38" s="3369">
        <v>141370.65</v>
      </c>
    </row>
    <row r="39" spans="1:66" ht="15" customHeight="1" x14ac:dyDescent="0.25">
      <c r="B39" s="4509" t="s">
        <v>723</v>
      </c>
      <c r="C39" s="1442" t="s">
        <v>53</v>
      </c>
      <c r="D39" s="1123">
        <f>+D29</f>
        <v>750000</v>
      </c>
      <c r="E39" s="3551">
        <f>+E29</f>
        <v>44000</v>
      </c>
      <c r="F39" s="238">
        <f>+F29</f>
        <v>31471.35</v>
      </c>
      <c r="G39" s="3551">
        <f>+G29</f>
        <v>50000</v>
      </c>
      <c r="H39" s="4600">
        <f>+H29</f>
        <v>40050.68</v>
      </c>
      <c r="I39" s="3547">
        <f>+E39+G39</f>
        <v>94000</v>
      </c>
      <c r="J39" s="3547">
        <f t="shared" si="232"/>
        <v>71522.03</v>
      </c>
      <c r="K39" s="3551">
        <f>+K29</f>
        <v>65000</v>
      </c>
      <c r="L39" s="4600">
        <f>+L29</f>
        <v>51899.88</v>
      </c>
      <c r="M39" s="3549">
        <f t="shared" si="233"/>
        <v>159000</v>
      </c>
      <c r="N39" s="3549">
        <f t="shared" si="233"/>
        <v>123421.91</v>
      </c>
      <c r="O39" s="3551">
        <f>+O29</f>
        <v>67000</v>
      </c>
      <c r="P39" s="4600">
        <f>+P29</f>
        <v>50651.530000000006</v>
      </c>
      <c r="Q39" s="3547">
        <f t="shared" si="234"/>
        <v>226000</v>
      </c>
      <c r="R39" s="3547">
        <f t="shared" si="234"/>
        <v>174073.44</v>
      </c>
      <c r="S39" s="3551">
        <f>+S29</f>
        <v>67000</v>
      </c>
      <c r="T39" s="4600">
        <f>+T29</f>
        <v>49962.729999999996</v>
      </c>
      <c r="U39" s="3547">
        <f t="shared" ref="U39:U42" si="244">+Q39+S39</f>
        <v>293000</v>
      </c>
      <c r="V39" s="3547">
        <f t="shared" si="235"/>
        <v>224036.16999999998</v>
      </c>
      <c r="W39" s="3551">
        <f>+W29</f>
        <v>65000</v>
      </c>
      <c r="X39" s="238">
        <f>+X29</f>
        <v>55089.31</v>
      </c>
      <c r="Y39" s="3549">
        <f t="shared" ref="Y39:Y42" si="245">+O39+S39+W39</f>
        <v>199000</v>
      </c>
      <c r="Z39" s="3549">
        <f t="shared" si="236"/>
        <v>155703.57</v>
      </c>
      <c r="AA39" s="1134">
        <f t="shared" ref="AA39:AA42" si="246">+U39+W39</f>
        <v>358000</v>
      </c>
      <c r="AB39" s="1134">
        <f t="shared" si="237"/>
        <v>279125.48</v>
      </c>
      <c r="AC39" s="3551">
        <f>+AC29</f>
        <v>67000</v>
      </c>
      <c r="AD39" s="238">
        <f>AD29</f>
        <v>62348.194999999992</v>
      </c>
      <c r="AE39" s="3547">
        <f t="shared" ref="AE39:AE42" si="247">+AA39+AC39</f>
        <v>425000</v>
      </c>
      <c r="AF39" s="3547">
        <f t="shared" si="238"/>
        <v>341473.67499999999</v>
      </c>
      <c r="AG39" s="3551">
        <f>+AG29</f>
        <v>65000</v>
      </c>
      <c r="AH39" s="238">
        <f>AH29</f>
        <v>54525.299999999996</v>
      </c>
      <c r="AI39" s="3547">
        <f t="shared" ref="AI39:AI42" si="248">+AE39+AG39</f>
        <v>490000</v>
      </c>
      <c r="AJ39" s="3547">
        <f t="shared" si="239"/>
        <v>395998.97499999998</v>
      </c>
      <c r="AK39" s="3551">
        <f>+AK29</f>
        <v>67000</v>
      </c>
      <c r="AL39" s="238">
        <f>AL29</f>
        <v>68121.11</v>
      </c>
      <c r="AM39" s="3549">
        <f>+AC39+AG39+AK39</f>
        <v>199000</v>
      </c>
      <c r="AN39" s="3549">
        <f>+AD39+AH39+AL39</f>
        <v>184994.60499999998</v>
      </c>
      <c r="AO39" s="3547">
        <f>+AI39+AK39</f>
        <v>557000</v>
      </c>
      <c r="AP39" s="3547">
        <f>+AJ39+AL39</f>
        <v>464120.08499999996</v>
      </c>
      <c r="AQ39" s="3551">
        <f>+AQ29</f>
        <v>67000</v>
      </c>
      <c r="AR39" s="3872">
        <f>+AR29</f>
        <v>70032.181000000011</v>
      </c>
      <c r="AS39" s="3547">
        <f t="shared" ref="AS39:AS42" si="249">+AO39+AQ39</f>
        <v>624000</v>
      </c>
      <c r="AT39" s="3547">
        <f t="shared" si="240"/>
        <v>534152.26599999995</v>
      </c>
      <c r="AU39" s="3990">
        <f>+AU29</f>
        <v>59000</v>
      </c>
      <c r="AV39" s="3989">
        <f>+AV29</f>
        <v>48122.457999999999</v>
      </c>
      <c r="AW39" s="3991">
        <f t="shared" ref="AW39:AW42" si="250">+AS39+AU39</f>
        <v>683000</v>
      </c>
      <c r="AX39" s="3991">
        <f t="shared" si="241"/>
        <v>582274.72399999993</v>
      </c>
      <c r="AY39" s="4112">
        <f>+AY29</f>
        <v>67000</v>
      </c>
      <c r="AZ39" s="4111">
        <f>+AZ29</f>
        <v>67566.239999999991</v>
      </c>
      <c r="BA39" s="4114">
        <f>+AQ39+AU39+AY39</f>
        <v>193000</v>
      </c>
      <c r="BB39" s="4114">
        <f>+AR39+AV39+AZ39</f>
        <v>185720.87900000002</v>
      </c>
      <c r="BC39" s="4115">
        <f t="shared" si="242"/>
        <v>392000</v>
      </c>
      <c r="BD39" s="4115">
        <f t="shared" si="243"/>
        <v>370715.484</v>
      </c>
      <c r="BE39" s="4113">
        <f>+AW39+AY39</f>
        <v>750000</v>
      </c>
      <c r="BF39" s="4113">
        <f>+AX39+AZ39</f>
        <v>649840.96399999992</v>
      </c>
      <c r="BG39" s="3370">
        <v>674875.14</v>
      </c>
      <c r="BH39" s="3370">
        <v>440547.14499999996</v>
      </c>
      <c r="BI39" s="3370">
        <f>+BI29</f>
        <v>800000</v>
      </c>
      <c r="BJ39" s="3369">
        <v>632220.18000000005</v>
      </c>
    </row>
    <row r="40" spans="1:66" ht="15" customHeight="1" x14ac:dyDescent="0.25">
      <c r="B40" s="4509" t="s">
        <v>1850</v>
      </c>
      <c r="C40" s="1442" t="s">
        <v>53</v>
      </c>
      <c r="D40" s="4831">
        <f>+D30</f>
        <v>450000</v>
      </c>
      <c r="E40" s="4835">
        <f>+E30</f>
        <v>10000</v>
      </c>
      <c r="F40" s="238">
        <f>6276.41-98.6</f>
        <v>6177.8099999999995</v>
      </c>
      <c r="G40" s="4835">
        <f>+G30</f>
        <v>0</v>
      </c>
      <c r="H40" s="238">
        <f>1415.21-24.18</f>
        <v>1391.03</v>
      </c>
      <c r="I40" s="4838">
        <f t="shared" ref="I40:I42" si="251">+E40+G40</f>
        <v>10000</v>
      </c>
      <c r="J40" s="3547">
        <f t="shared" ref="J40:J42" si="252">+F40+H40</f>
        <v>7568.8399999999992</v>
      </c>
      <c r="K40" s="4835">
        <f>+K30</f>
        <v>40000</v>
      </c>
      <c r="L40" s="238">
        <f>7983.23416703449-7.1-135.16</f>
        <v>7840.9741670344902</v>
      </c>
      <c r="M40" s="4839">
        <f t="shared" ref="M40:M42" si="253">+I40+K40</f>
        <v>50000</v>
      </c>
      <c r="N40" s="3549">
        <f t="shared" ref="N40:N42" si="254">+J40+L40</f>
        <v>15409.814167034488</v>
      </c>
      <c r="O40" s="4835">
        <f>+O30</f>
        <v>40000</v>
      </c>
      <c r="P40" s="238">
        <f>19195.0787899673-313.98</f>
        <v>18881.098789967302</v>
      </c>
      <c r="Q40" s="4838">
        <f t="shared" ref="Q40:Q42" si="255">+M40+O40</f>
        <v>90000</v>
      </c>
      <c r="R40" s="3547">
        <f t="shared" ref="R40:R42" si="256">+N40+P40</f>
        <v>34290.91295700179</v>
      </c>
      <c r="S40" s="4835">
        <f>+S30</f>
        <v>45000</v>
      </c>
      <c r="T40" s="238">
        <f>15219.8668473+4.8</f>
        <v>15224.666847299999</v>
      </c>
      <c r="U40" s="4838">
        <f t="shared" si="244"/>
        <v>135000</v>
      </c>
      <c r="V40" s="3547">
        <f t="shared" si="235"/>
        <v>49515.579804301786</v>
      </c>
      <c r="W40" s="4835">
        <f>+W30</f>
        <v>45000</v>
      </c>
      <c r="X40" s="238">
        <f>7068.013821-19</f>
        <v>7049.0138209999996</v>
      </c>
      <c r="Y40" s="4839">
        <f t="shared" si="245"/>
        <v>130000</v>
      </c>
      <c r="Z40" s="3549">
        <f>+P40+T40+X40</f>
        <v>41154.779458267301</v>
      </c>
      <c r="AA40" s="4842">
        <f>+U40+W40</f>
        <v>180000</v>
      </c>
      <c r="AB40" s="1134">
        <f t="shared" si="237"/>
        <v>56564.593625301786</v>
      </c>
      <c r="AC40" s="4835">
        <f>+AC30</f>
        <v>45000</v>
      </c>
      <c r="AD40" s="238">
        <v>17875.445756715002</v>
      </c>
      <c r="AE40" s="4838">
        <f t="shared" si="247"/>
        <v>225000</v>
      </c>
      <c r="AF40" s="3547">
        <f t="shared" si="238"/>
        <v>74440.039382016781</v>
      </c>
      <c r="AG40" s="4835">
        <f>+AG30</f>
        <v>45000</v>
      </c>
      <c r="AH40" s="238">
        <v>12302.024225000001</v>
      </c>
      <c r="AI40" s="4838">
        <f t="shared" si="248"/>
        <v>270000</v>
      </c>
      <c r="AJ40" s="3547">
        <f t="shared" si="239"/>
        <v>86742.063607016782</v>
      </c>
      <c r="AK40" s="4835">
        <f>+AK30</f>
        <v>45000</v>
      </c>
      <c r="AL40" s="238">
        <v>22613.710277699996</v>
      </c>
      <c r="AM40" s="4839">
        <f>+AC40+AG40+AK40</f>
        <v>135000</v>
      </c>
      <c r="AN40" s="3549">
        <f>+AD40+AH40+AL40</f>
        <v>52791.180259414999</v>
      </c>
      <c r="AO40" s="4838">
        <f>+AI40+AK40</f>
        <v>315000</v>
      </c>
      <c r="AP40" s="3547">
        <f>+AJ40+AL40</f>
        <v>109355.77388471678</v>
      </c>
      <c r="AQ40" s="4835">
        <f>+AQ30</f>
        <v>45000</v>
      </c>
      <c r="AR40" s="3872">
        <v>15435.383376029999</v>
      </c>
      <c r="AS40" s="4838">
        <f t="shared" si="249"/>
        <v>360000</v>
      </c>
      <c r="AT40" s="3547">
        <f t="shared" si="240"/>
        <v>124791.15726074678</v>
      </c>
      <c r="AU40" s="4835">
        <f>+AU30</f>
        <v>45000</v>
      </c>
      <c r="AV40" s="3989">
        <v>20418.944553449997</v>
      </c>
      <c r="AW40" s="4838">
        <f t="shared" si="250"/>
        <v>405000</v>
      </c>
      <c r="AX40" s="3991">
        <f t="shared" si="241"/>
        <v>145210.10181419679</v>
      </c>
      <c r="AY40" s="4835">
        <f>+AY30</f>
        <v>45000</v>
      </c>
      <c r="AZ40" s="4111">
        <v>22909.409000000007</v>
      </c>
      <c r="BA40" s="4839">
        <f>+AQ40+AU40+AY40</f>
        <v>135000</v>
      </c>
      <c r="BB40" s="4114">
        <f>+AR40+AV40+AZ40</f>
        <v>58763.736929480001</v>
      </c>
      <c r="BC40" s="4842">
        <f t="shared" si="242"/>
        <v>270000</v>
      </c>
      <c r="BD40" s="4115">
        <f t="shared" si="243"/>
        <v>111554.91718889499</v>
      </c>
      <c r="BE40" s="4838">
        <f>+AW40+AY40</f>
        <v>450000</v>
      </c>
      <c r="BF40" s="4113">
        <f>+AX40+AZ40</f>
        <v>168119.51081419681</v>
      </c>
      <c r="BG40" s="4836">
        <v>220000</v>
      </c>
      <c r="BH40" s="4836">
        <v>73866.149460184097</v>
      </c>
      <c r="BI40" s="4836">
        <f>+BI30</f>
        <v>535000</v>
      </c>
      <c r="BJ40" s="4837">
        <v>171635</v>
      </c>
      <c r="BL40" s="1486">
        <f>+BF35-BH35</f>
        <v>336541.4636566632</v>
      </c>
    </row>
    <row r="41" spans="1:66" ht="15" customHeight="1" x14ac:dyDescent="0.25">
      <c r="A41" s="4090"/>
      <c r="B41" s="4509" t="s">
        <v>1296</v>
      </c>
      <c r="C41" s="1442" t="s">
        <v>53</v>
      </c>
      <c r="D41" s="4831"/>
      <c r="E41" s="4835"/>
      <c r="F41" s="238">
        <f>1720.55-29.04</f>
        <v>1691.51</v>
      </c>
      <c r="G41" s="4835"/>
      <c r="H41" s="238">
        <f>1359.79-22.78</f>
        <v>1337.01</v>
      </c>
      <c r="I41" s="4838">
        <f t="shared" si="251"/>
        <v>0</v>
      </c>
      <c r="J41" s="3547">
        <f t="shared" si="252"/>
        <v>3028.52</v>
      </c>
      <c r="K41" s="4835"/>
      <c r="L41" s="238">
        <f>1640.5347891555-35.23</f>
        <v>1605.3047891555</v>
      </c>
      <c r="M41" s="4839">
        <f t="shared" si="253"/>
        <v>0</v>
      </c>
      <c r="N41" s="3549">
        <f t="shared" si="254"/>
        <v>4633.8247891555002</v>
      </c>
      <c r="O41" s="4835"/>
      <c r="P41" s="238">
        <f>4476.1938375168-74.21</f>
        <v>4401.9838375168001</v>
      </c>
      <c r="Q41" s="4838">
        <f t="shared" si="255"/>
        <v>0</v>
      </c>
      <c r="R41" s="3547">
        <f t="shared" si="256"/>
        <v>9035.8086266723003</v>
      </c>
      <c r="S41" s="4835"/>
      <c r="T41" s="238">
        <v>3384.0180172350001</v>
      </c>
      <c r="U41" s="4838">
        <f t="shared" si="244"/>
        <v>0</v>
      </c>
      <c r="V41" s="3547">
        <f t="shared" si="235"/>
        <v>12419.826643907301</v>
      </c>
      <c r="W41" s="4835"/>
      <c r="X41" s="238">
        <v>950.53158000000008</v>
      </c>
      <c r="Y41" s="4839">
        <f t="shared" si="245"/>
        <v>0</v>
      </c>
      <c r="Z41" s="3549">
        <f t="shared" si="236"/>
        <v>8736.5334347518001</v>
      </c>
      <c r="AA41" s="4842">
        <f t="shared" si="246"/>
        <v>0</v>
      </c>
      <c r="AB41" s="1134">
        <f>+V41+X41</f>
        <v>13370.358223907302</v>
      </c>
      <c r="AC41" s="4835"/>
      <c r="AD41" s="238">
        <v>4610.221559999999</v>
      </c>
      <c r="AE41" s="4838">
        <f t="shared" si="247"/>
        <v>0</v>
      </c>
      <c r="AF41" s="3547">
        <f t="shared" si="238"/>
        <v>17980.579783907302</v>
      </c>
      <c r="AG41" s="4835"/>
      <c r="AH41" s="238">
        <v>8608.7189500000022</v>
      </c>
      <c r="AI41" s="4838">
        <f t="shared" si="248"/>
        <v>0</v>
      </c>
      <c r="AJ41" s="3547">
        <f t="shared" si="239"/>
        <v>26589.298733907304</v>
      </c>
      <c r="AK41" s="4835"/>
      <c r="AL41" s="238">
        <v>6932.1029808000003</v>
      </c>
      <c r="AM41" s="4839">
        <f>+AC41+AG41+AK41</f>
        <v>0</v>
      </c>
      <c r="AN41" s="3549">
        <f>+AD41+AH41+AL41</f>
        <v>20151.043490800002</v>
      </c>
      <c r="AO41" s="4838">
        <f>+AI41+AK41</f>
        <v>0</v>
      </c>
      <c r="AP41" s="3547">
        <f>+AJ41+AL41</f>
        <v>33521.401714707303</v>
      </c>
      <c r="AQ41" s="4835"/>
      <c r="AR41" s="3872">
        <v>4947.1184227499998</v>
      </c>
      <c r="AS41" s="4838">
        <f t="shared" si="249"/>
        <v>0</v>
      </c>
      <c r="AT41" s="3547">
        <f t="shared" si="240"/>
        <v>38468.520137457301</v>
      </c>
      <c r="AU41" s="4835"/>
      <c r="AV41" s="3989">
        <v>2786.5697610000007</v>
      </c>
      <c r="AW41" s="4838">
        <f t="shared" si="250"/>
        <v>0</v>
      </c>
      <c r="AX41" s="3991">
        <f t="shared" si="241"/>
        <v>41255.0898984573</v>
      </c>
      <c r="AY41" s="4835"/>
      <c r="AZ41" s="4111">
        <v>2932.0200000000004</v>
      </c>
      <c r="BA41" s="4839">
        <f>+AQ41+AU41+AY41</f>
        <v>0</v>
      </c>
      <c r="BB41" s="4114">
        <f>+AR41+AV41+AZ41</f>
        <v>10665.708183750001</v>
      </c>
      <c r="BC41" s="4842">
        <f t="shared" si="242"/>
        <v>0</v>
      </c>
      <c r="BD41" s="4115">
        <f t="shared" si="243"/>
        <v>30816.751674550003</v>
      </c>
      <c r="BE41" s="4838">
        <f>+AW41+AY41</f>
        <v>0</v>
      </c>
      <c r="BF41" s="4113">
        <f>+AX41+AZ41</f>
        <v>44187.109898457304</v>
      </c>
      <c r="BG41" s="4836">
        <v>0</v>
      </c>
      <c r="BH41" s="4836">
        <v>1993.2190468180002</v>
      </c>
      <c r="BI41" s="4836"/>
      <c r="BJ41" s="4837"/>
      <c r="BL41" s="334">
        <f>+BL40/BH35</f>
        <v>0.18451908024040736</v>
      </c>
    </row>
    <row r="42" spans="1:66" ht="15" customHeight="1" x14ac:dyDescent="0.25">
      <c r="B42" s="4509" t="s">
        <v>836</v>
      </c>
      <c r="C42" s="1442" t="s">
        <v>53</v>
      </c>
      <c r="D42" s="4831"/>
      <c r="E42" s="4835"/>
      <c r="F42" s="238">
        <v>0</v>
      </c>
      <c r="G42" s="4835"/>
      <c r="H42" s="238">
        <v>0</v>
      </c>
      <c r="I42" s="4838">
        <f t="shared" si="251"/>
        <v>0</v>
      </c>
      <c r="J42" s="3547">
        <f t="shared" si="252"/>
        <v>0</v>
      </c>
      <c r="K42" s="4835"/>
      <c r="L42" s="238">
        <v>0</v>
      </c>
      <c r="M42" s="4839">
        <f t="shared" si="253"/>
        <v>0</v>
      </c>
      <c r="N42" s="3549">
        <f t="shared" si="254"/>
        <v>0</v>
      </c>
      <c r="O42" s="4835"/>
      <c r="P42" s="238">
        <v>0</v>
      </c>
      <c r="Q42" s="4838">
        <f t="shared" si="255"/>
        <v>0</v>
      </c>
      <c r="R42" s="3547">
        <f t="shared" si="256"/>
        <v>0</v>
      </c>
      <c r="S42" s="4835"/>
      <c r="T42" s="238">
        <v>0</v>
      </c>
      <c r="U42" s="4838">
        <f t="shared" si="244"/>
        <v>0</v>
      </c>
      <c r="V42" s="3547">
        <f t="shared" si="235"/>
        <v>0</v>
      </c>
      <c r="W42" s="4835"/>
      <c r="X42" s="238">
        <v>0</v>
      </c>
      <c r="Y42" s="4839">
        <f t="shared" si="245"/>
        <v>0</v>
      </c>
      <c r="Z42" s="3549">
        <f t="shared" si="236"/>
        <v>0</v>
      </c>
      <c r="AA42" s="4842">
        <f t="shared" si="246"/>
        <v>0</v>
      </c>
      <c r="AB42" s="1134">
        <f t="shared" si="237"/>
        <v>0</v>
      </c>
      <c r="AC42" s="4835"/>
      <c r="AD42" s="238">
        <v>0</v>
      </c>
      <c r="AE42" s="4838">
        <f t="shared" si="247"/>
        <v>0</v>
      </c>
      <c r="AF42" s="3547">
        <f t="shared" si="238"/>
        <v>0</v>
      </c>
      <c r="AG42" s="4835"/>
      <c r="AH42" s="238">
        <v>0</v>
      </c>
      <c r="AI42" s="4838">
        <f t="shared" si="248"/>
        <v>0</v>
      </c>
      <c r="AJ42" s="3547">
        <f t="shared" si="239"/>
        <v>0</v>
      </c>
      <c r="AK42" s="4835"/>
      <c r="AL42" s="238">
        <v>0</v>
      </c>
      <c r="AM42" s="4839">
        <f>+AC42+AG42+AK42</f>
        <v>0</v>
      </c>
      <c r="AN42" s="3549">
        <f>+AD42+AH42+AL42</f>
        <v>0</v>
      </c>
      <c r="AO42" s="4838">
        <f>+AI42+AK42</f>
        <v>0</v>
      </c>
      <c r="AP42" s="3547">
        <f>+AJ42+AL42</f>
        <v>0</v>
      </c>
      <c r="AQ42" s="4835"/>
      <c r="AR42" s="3872">
        <v>0</v>
      </c>
      <c r="AS42" s="4838">
        <f t="shared" si="249"/>
        <v>0</v>
      </c>
      <c r="AT42" s="3547">
        <f t="shared" si="240"/>
        <v>0</v>
      </c>
      <c r="AU42" s="4835"/>
      <c r="AV42" s="3989">
        <v>920.38654500000007</v>
      </c>
      <c r="AW42" s="4838">
        <f t="shared" si="250"/>
        <v>0</v>
      </c>
      <c r="AX42" s="3991">
        <f t="shared" si="241"/>
        <v>920.38654500000007</v>
      </c>
      <c r="AY42" s="4835"/>
      <c r="AZ42" s="4111">
        <v>0</v>
      </c>
      <c r="BA42" s="4839">
        <f>+AQ42+AU42+AY42</f>
        <v>0</v>
      </c>
      <c r="BB42" s="4114">
        <f>+AR42+AV42+AZ42</f>
        <v>920.38654500000007</v>
      </c>
      <c r="BC42" s="4842">
        <f t="shared" si="242"/>
        <v>0</v>
      </c>
      <c r="BD42" s="4115">
        <f t="shared" si="243"/>
        <v>920.38654500000007</v>
      </c>
      <c r="BE42" s="4838">
        <f>+AW42+AY42</f>
        <v>0</v>
      </c>
      <c r="BF42" s="4113">
        <f>+AX42+AZ42</f>
        <v>920.38654500000007</v>
      </c>
      <c r="BG42" s="4836">
        <v>0</v>
      </c>
      <c r="BH42" s="4836">
        <v>1993.5256319888003</v>
      </c>
      <c r="BI42" s="4836"/>
      <c r="BJ42" s="4837"/>
    </row>
    <row r="43" spans="1:66" ht="15" customHeight="1" x14ac:dyDescent="0.25">
      <c r="A43" s="4090"/>
      <c r="B43" s="4509" t="s">
        <v>837</v>
      </c>
      <c r="C43" s="1442" t="s">
        <v>53</v>
      </c>
      <c r="D43" s="1123">
        <f>+D34</f>
        <v>670000.15090756142</v>
      </c>
      <c r="E43" s="3551">
        <f>+E34</f>
        <v>0</v>
      </c>
      <c r="F43" s="3551">
        <f t="shared" ref="F43:BJ43" si="257">+F34</f>
        <v>18527.208574319411</v>
      </c>
      <c r="G43" s="3551">
        <f t="shared" si="257"/>
        <v>0</v>
      </c>
      <c r="H43" s="3551">
        <f t="shared" si="257"/>
        <v>36350.993068120741</v>
      </c>
      <c r="I43" s="3547">
        <f t="shared" si="257"/>
        <v>0</v>
      </c>
      <c r="J43" s="3547">
        <f t="shared" si="257"/>
        <v>54878.201642440152</v>
      </c>
      <c r="K43" s="3551">
        <f t="shared" si="257"/>
        <v>69792</v>
      </c>
      <c r="L43" s="3551">
        <f>+L34</f>
        <v>84954</v>
      </c>
      <c r="M43" s="3549">
        <f t="shared" si="257"/>
        <v>69792</v>
      </c>
      <c r="N43" s="3549">
        <f t="shared" si="257"/>
        <v>139832.20164244017</v>
      </c>
      <c r="O43" s="3551">
        <f t="shared" ref="O43:P43" si="258">+O34</f>
        <v>71892.089892564109</v>
      </c>
      <c r="P43" s="3551">
        <f t="shared" si="258"/>
        <v>70864.410000000033</v>
      </c>
      <c r="Q43" s="3547">
        <f t="shared" si="257"/>
        <v>141684.08989256411</v>
      </c>
      <c r="R43" s="3547">
        <f t="shared" si="257"/>
        <v>210696.6116424402</v>
      </c>
      <c r="S43" s="3551">
        <f t="shared" si="257"/>
        <v>67355.222922719942</v>
      </c>
      <c r="T43" s="3551">
        <f t="shared" si="257"/>
        <v>88340.513999999981</v>
      </c>
      <c r="U43" s="3547">
        <f t="shared" ref="U43:Z43" si="259">+U34</f>
        <v>209039.31281528404</v>
      </c>
      <c r="V43" s="3547">
        <f t="shared" si="259"/>
        <v>299037.12564244017</v>
      </c>
      <c r="W43" s="3551">
        <f t="shared" si="259"/>
        <v>65673.36037437286</v>
      </c>
      <c r="X43" s="3551">
        <f t="shared" si="259"/>
        <v>87432</v>
      </c>
      <c r="Y43" s="3549">
        <f t="shared" si="259"/>
        <v>204920.6731896569</v>
      </c>
      <c r="Z43" s="3549">
        <f t="shared" si="259"/>
        <v>246636.92400000003</v>
      </c>
      <c r="AA43" s="1134">
        <f t="shared" ref="AA43:AF43" si="260">+AA34</f>
        <v>274712.67318965693</v>
      </c>
      <c r="AB43" s="1134">
        <f t="shared" si="260"/>
        <v>386469.12564244017</v>
      </c>
      <c r="AC43" s="3551">
        <f t="shared" si="260"/>
        <v>68643.955317086118</v>
      </c>
      <c r="AD43" s="3551">
        <f t="shared" si="260"/>
        <v>66848.300000000032</v>
      </c>
      <c r="AE43" s="3547">
        <f t="shared" si="260"/>
        <v>343356.628506743</v>
      </c>
      <c r="AF43" s="3547">
        <f t="shared" si="260"/>
        <v>453317.42564244015</v>
      </c>
      <c r="AG43" s="3551">
        <f t="shared" ref="AG43:AJ43" si="261">+AG34</f>
        <v>63673.36037437286</v>
      </c>
      <c r="AH43" s="3551">
        <f t="shared" si="261"/>
        <v>80719.682000000001</v>
      </c>
      <c r="AI43" s="3547">
        <f t="shared" si="261"/>
        <v>407029.98888111592</v>
      </c>
      <c r="AJ43" s="3547">
        <f t="shared" si="261"/>
        <v>534037.10764244013</v>
      </c>
      <c r="AK43" s="3551">
        <f t="shared" ref="AK43:AL43" si="262">+AK34</f>
        <v>68969.955317086118</v>
      </c>
      <c r="AL43" s="3551">
        <f t="shared" si="262"/>
        <v>72700.60000000002</v>
      </c>
      <c r="AM43" s="3549">
        <f t="shared" ref="AM43:AP43" si="263">+AM34</f>
        <v>201287.27100854507</v>
      </c>
      <c r="AN43" s="3549">
        <f t="shared" si="263"/>
        <v>220268.58200000005</v>
      </c>
      <c r="AO43" s="3547">
        <f t="shared" si="263"/>
        <v>475999.94419820199</v>
      </c>
      <c r="AP43" s="3547">
        <f t="shared" si="263"/>
        <v>606737.70764244022</v>
      </c>
      <c r="AQ43" s="3551">
        <f t="shared" ref="AQ43:AT43" si="264">+AQ34</f>
        <v>69143.955317086118</v>
      </c>
      <c r="AR43" s="3873">
        <f t="shared" si="264"/>
        <v>79916.040000000008</v>
      </c>
      <c r="AS43" s="3547">
        <f t="shared" si="264"/>
        <v>545143.89951528818</v>
      </c>
      <c r="AT43" s="3547">
        <f t="shared" si="264"/>
        <v>686653.74764244014</v>
      </c>
      <c r="AU43" s="3990">
        <f t="shared" ref="AU43:AX43" si="265">+AU34</f>
        <v>55711.253949988895</v>
      </c>
      <c r="AV43" s="3990">
        <f t="shared" si="265"/>
        <v>74329.437000000005</v>
      </c>
      <c r="AW43" s="3991">
        <f t="shared" si="265"/>
        <v>600855.15346527705</v>
      </c>
      <c r="AX43" s="3991">
        <f t="shared" si="265"/>
        <v>760983.18464244017</v>
      </c>
      <c r="AY43" s="4112">
        <f t="shared" ref="AY43:BB43" si="266">+AY34</f>
        <v>69143.955317086118</v>
      </c>
      <c r="AZ43" s="4112">
        <f t="shared" si="266"/>
        <v>71031.739999999991</v>
      </c>
      <c r="BA43" s="4114">
        <f t="shared" si="266"/>
        <v>193999.16458416113</v>
      </c>
      <c r="BB43" s="4114">
        <f t="shared" si="266"/>
        <v>225277.217</v>
      </c>
      <c r="BC43" s="4115">
        <f t="shared" si="242"/>
        <v>395286.4355927062</v>
      </c>
      <c r="BD43" s="4115">
        <f t="shared" si="243"/>
        <v>445545.79900000006</v>
      </c>
      <c r="BE43" s="4113">
        <f t="shared" ref="BE43:BF43" si="267">+BE34</f>
        <v>669999.10878236312</v>
      </c>
      <c r="BF43" s="4113">
        <f t="shared" si="267"/>
        <v>832014.92464244016</v>
      </c>
      <c r="BG43" s="3370">
        <v>904433.82567653409</v>
      </c>
      <c r="BH43" s="3370">
        <v>937874.53289999999</v>
      </c>
      <c r="BI43" s="3370">
        <f t="shared" si="257"/>
        <v>571999.74093264237</v>
      </c>
      <c r="BJ43" s="3369">
        <f t="shared" si="257"/>
        <v>877839.95550700894</v>
      </c>
    </row>
    <row r="44" spans="1:66" ht="15" customHeight="1" x14ac:dyDescent="0.25">
      <c r="B44" s="4510" t="s">
        <v>2</v>
      </c>
      <c r="C44" s="4491" t="s">
        <v>53</v>
      </c>
      <c r="D44" s="1730">
        <f>SUM(D37:D43)</f>
        <v>2370000.1509075612</v>
      </c>
      <c r="E44" s="1730">
        <f>SUM(E37:E43)</f>
        <v>87000</v>
      </c>
      <c r="F44" s="1730">
        <f t="shared" ref="F44:BJ44" si="268">SUM(F37:F43)</f>
        <v>90138.220574319392</v>
      </c>
      <c r="G44" s="1730">
        <f t="shared" si="268"/>
        <v>91500</v>
      </c>
      <c r="H44" s="1730">
        <f t="shared" si="268"/>
        <v>103828.78706812073</v>
      </c>
      <c r="I44" s="1730">
        <f t="shared" si="268"/>
        <v>178500</v>
      </c>
      <c r="J44" s="1730">
        <f t="shared" si="268"/>
        <v>193967.00764244015</v>
      </c>
      <c r="K44" s="1730">
        <f t="shared" si="268"/>
        <v>216292</v>
      </c>
      <c r="L44" s="1730">
        <f>SUM(L37:L43)</f>
        <v>185059.50895619002</v>
      </c>
      <c r="M44" s="1730">
        <f t="shared" si="268"/>
        <v>394792</v>
      </c>
      <c r="N44" s="1730">
        <f t="shared" si="268"/>
        <v>379026.51659863023</v>
      </c>
      <c r="O44" s="1730">
        <f t="shared" si="268"/>
        <v>222392.08989256411</v>
      </c>
      <c r="P44" s="1730">
        <f t="shared" si="268"/>
        <v>182935.17262748413</v>
      </c>
      <c r="Q44" s="1730">
        <f t="shared" si="268"/>
        <v>617184.08989256411</v>
      </c>
      <c r="R44" s="1730">
        <f t="shared" si="268"/>
        <v>561961.68922611431</v>
      </c>
      <c r="S44" s="1730">
        <f t="shared" si="268"/>
        <v>222855.22292271996</v>
      </c>
      <c r="T44" s="1730">
        <f t="shared" si="268"/>
        <v>198168.178864535</v>
      </c>
      <c r="U44" s="1730">
        <f t="shared" si="268"/>
        <v>840039.31281528401</v>
      </c>
      <c r="V44" s="1730">
        <f t="shared" si="268"/>
        <v>760129.86809064925</v>
      </c>
      <c r="W44" s="1730">
        <f t="shared" ref="W44:X44" si="269">SUM(W37:W43)</f>
        <v>217673.36037437286</v>
      </c>
      <c r="X44" s="1730">
        <f t="shared" si="269"/>
        <v>190577.85540100001</v>
      </c>
      <c r="Y44" s="1730">
        <f t="shared" si="268"/>
        <v>662920.67318965693</v>
      </c>
      <c r="Z44" s="1730">
        <f t="shared" si="268"/>
        <v>571681.20689301915</v>
      </c>
      <c r="AA44" s="1730">
        <f t="shared" si="268"/>
        <v>1057712.6731896568</v>
      </c>
      <c r="AB44" s="1730">
        <f t="shared" si="268"/>
        <v>950707.72349164914</v>
      </c>
      <c r="AC44" s="1730">
        <f t="shared" ref="AC44:AF44" si="270">SUM(AC37:AC43)</f>
        <v>224143.95531708613</v>
      </c>
      <c r="AD44" s="1730">
        <f t="shared" si="270"/>
        <v>194931.01231671503</v>
      </c>
      <c r="AE44" s="1730">
        <f t="shared" si="270"/>
        <v>1281856.6285067429</v>
      </c>
      <c r="AF44" s="1730">
        <f t="shared" si="270"/>
        <v>1145638.7358083641</v>
      </c>
      <c r="AG44" s="1730">
        <f t="shared" ref="AG44:AJ44" si="271">SUM(AG37:AG43)</f>
        <v>215673.36037437286</v>
      </c>
      <c r="AH44" s="1730">
        <f t="shared" si="271"/>
        <v>193164.37517500002</v>
      </c>
      <c r="AI44" s="1730">
        <f t="shared" si="271"/>
        <v>1497529.9888811158</v>
      </c>
      <c r="AJ44" s="1730">
        <f t="shared" si="271"/>
        <v>1338803.1109833643</v>
      </c>
      <c r="AK44" s="1730">
        <f t="shared" ref="AK44:AL44" si="272">SUM(AK37:AK43)</f>
        <v>224469.95531708613</v>
      </c>
      <c r="AL44" s="1730">
        <f t="shared" si="272"/>
        <v>210373.27325849998</v>
      </c>
      <c r="AM44" s="1730">
        <f t="shared" ref="AM44:AP44" si="273">SUM(AM37:AM43)</f>
        <v>664287.27100854507</v>
      </c>
      <c r="AN44" s="1730">
        <f t="shared" si="273"/>
        <v>598468.66075021506</v>
      </c>
      <c r="AO44" s="1730">
        <f t="shared" si="273"/>
        <v>1721999.9441982019</v>
      </c>
      <c r="AP44" s="1730">
        <f t="shared" si="273"/>
        <v>1549176.3842418641</v>
      </c>
      <c r="AQ44" s="1730">
        <f t="shared" ref="AQ44:AT44" si="274">SUM(AQ37:AQ43)</f>
        <v>224643.95531708613</v>
      </c>
      <c r="AR44" s="1730">
        <f t="shared" si="274"/>
        <v>210512.77279878003</v>
      </c>
      <c r="AS44" s="1730">
        <f t="shared" si="274"/>
        <v>1946643.8995152882</v>
      </c>
      <c r="AT44" s="1730">
        <f t="shared" si="274"/>
        <v>1759689.1570406444</v>
      </c>
      <c r="AU44" s="1730">
        <f t="shared" ref="AU44:AX44" si="275">SUM(AU37:AU43)</f>
        <v>198711.2539499889</v>
      </c>
      <c r="AV44" s="1730">
        <f t="shared" si="275"/>
        <v>190287.89585944999</v>
      </c>
      <c r="AW44" s="1730">
        <f t="shared" si="275"/>
        <v>2145355.153465277</v>
      </c>
      <c r="AX44" s="1730">
        <f t="shared" si="275"/>
        <v>1949977.0529000941</v>
      </c>
      <c r="AY44" s="1730">
        <f t="shared" ref="AY44:BB44" si="276">SUM(AY37:AY43)</f>
        <v>224643.95531708613</v>
      </c>
      <c r="AZ44" s="1730">
        <f t="shared" si="276"/>
        <v>210449.609</v>
      </c>
      <c r="BA44" s="1730">
        <f t="shared" si="276"/>
        <v>647999.16458416113</v>
      </c>
      <c r="BB44" s="1730">
        <f t="shared" si="276"/>
        <v>611250.27765823004</v>
      </c>
      <c r="BC44" s="1730">
        <f t="shared" si="242"/>
        <v>1312286.4355927063</v>
      </c>
      <c r="BD44" s="1730">
        <f t="shared" si="243"/>
        <v>1209718.9384084451</v>
      </c>
      <c r="BE44" s="1730">
        <f t="shared" ref="BE44:BF44" si="277">SUM(BE37:BE43)</f>
        <v>2369999.1087823631</v>
      </c>
      <c r="BF44" s="1730">
        <f t="shared" si="277"/>
        <v>2160426.6619000942</v>
      </c>
      <c r="BG44" s="3637">
        <v>2235274.9274697341</v>
      </c>
      <c r="BH44" s="3637">
        <v>1812792.9500389909</v>
      </c>
      <c r="BI44" s="3637">
        <f t="shared" si="268"/>
        <v>2406999.7409326425</v>
      </c>
      <c r="BJ44" s="3648">
        <f t="shared" si="268"/>
        <v>2093720.3555070087</v>
      </c>
    </row>
    <row r="45" spans="1:66" ht="15" customHeight="1" x14ac:dyDescent="0.25">
      <c r="B45" s="4504" t="s">
        <v>382</v>
      </c>
      <c r="C45" s="1442" t="s">
        <v>53</v>
      </c>
      <c r="D45" s="1123">
        <v>51085.856599999992</v>
      </c>
      <c r="E45" s="3551">
        <v>4199</v>
      </c>
      <c r="F45" s="238">
        <f>2613.29+1462</f>
        <v>4075.29</v>
      </c>
      <c r="G45" s="3551">
        <v>4339</v>
      </c>
      <c r="H45" s="3551">
        <f>2204.4+1363.8</f>
        <v>3568.2</v>
      </c>
      <c r="I45" s="3547">
        <f t="shared" ref="I45:I46" si="278">+E45+G45</f>
        <v>8538</v>
      </c>
      <c r="J45" s="3547">
        <f t="shared" ref="J45:J46" si="279">+F45+H45</f>
        <v>7643.49</v>
      </c>
      <c r="K45" s="3551">
        <v>4199</v>
      </c>
      <c r="L45" s="3551">
        <f>1416.7+2701.31</f>
        <v>4118.01</v>
      </c>
      <c r="M45" s="3549">
        <f>+I45+K45</f>
        <v>12737</v>
      </c>
      <c r="N45" s="3549">
        <f t="shared" ref="N45:N46" si="280">+J45+L45</f>
        <v>11761.5</v>
      </c>
      <c r="O45" s="3551">
        <v>4338.7988000000005</v>
      </c>
      <c r="P45" s="3551">
        <f>1433.3+2722.55</f>
        <v>4155.8500000000004</v>
      </c>
      <c r="Q45" s="3547">
        <f>+M45+O45</f>
        <v>17075.7988</v>
      </c>
      <c r="R45" s="3547">
        <f t="shared" ref="R45:R46" si="281">+N45+P45</f>
        <v>15917.35</v>
      </c>
      <c r="S45" s="3551">
        <v>4338.7988000000005</v>
      </c>
      <c r="T45" s="3551">
        <f>1448.6+2869.97</f>
        <v>4318.57</v>
      </c>
      <c r="U45" s="3547">
        <f>+Q45+S45</f>
        <v>21414.597600000001</v>
      </c>
      <c r="V45" s="3547">
        <f t="shared" ref="V45:V46" si="282">+R45+T45</f>
        <v>20235.919999999998</v>
      </c>
      <c r="W45" s="3551">
        <v>4198.8374999999996</v>
      </c>
      <c r="X45" s="3551">
        <f>1379.6+2782.08</f>
        <v>4161.68</v>
      </c>
      <c r="Y45" s="3549">
        <f t="shared" ref="Y45:Y46" si="283">+O45+S45+W45</f>
        <v>12876.435100000001</v>
      </c>
      <c r="Z45" s="3549">
        <f t="shared" ref="Z45:Z46" si="284">+P45+T45+X45</f>
        <v>12636.1</v>
      </c>
      <c r="AA45" s="1134">
        <f>+U45+W45</f>
        <v>25613.435100000002</v>
      </c>
      <c r="AB45" s="1134">
        <f t="shared" ref="AB45:AB46" si="285">+V45+X45</f>
        <v>24397.599999999999</v>
      </c>
      <c r="AC45" s="3551">
        <v>4338.7988000000005</v>
      </c>
      <c r="AD45" s="3551">
        <f>1398+2894.54</f>
        <v>4292.54</v>
      </c>
      <c r="AE45" s="3547">
        <f>+AA45+AC45</f>
        <v>29952.233900000003</v>
      </c>
      <c r="AF45" s="3547">
        <f t="shared" ref="AF45:AF46" si="286">+AB45+AD45</f>
        <v>28690.14</v>
      </c>
      <c r="AG45" s="3551">
        <v>4198.8374999999996</v>
      </c>
      <c r="AH45" s="3551">
        <f>1386.8+2800.98</f>
        <v>4187.78</v>
      </c>
      <c r="AI45" s="3547">
        <f>+AE45+AG45</f>
        <v>34151.071400000001</v>
      </c>
      <c r="AJ45" s="3547">
        <f t="shared" ref="AJ45:AJ46" si="287">+AF45+AH45</f>
        <v>32877.919999999998</v>
      </c>
      <c r="AK45" s="3551">
        <v>4338.7988000000005</v>
      </c>
      <c r="AL45" s="3551">
        <f>1427.3+2886.83</f>
        <v>4314.13</v>
      </c>
      <c r="AM45" s="3549">
        <f>+AC45+AG45+AK45</f>
        <v>12876.435100000001</v>
      </c>
      <c r="AN45" s="3549">
        <f>+AD45+AH45+AL45</f>
        <v>12794.45</v>
      </c>
      <c r="AO45" s="3547">
        <f>+AI45+AK45</f>
        <v>38489.870200000005</v>
      </c>
      <c r="AP45" s="3547">
        <f>+AJ45+AL45</f>
        <v>37192.049999999996</v>
      </c>
      <c r="AQ45" s="3551">
        <v>4338.7988000000005</v>
      </c>
      <c r="AR45" s="3873">
        <f>1436.2+2896.29</f>
        <v>4332.49</v>
      </c>
      <c r="AS45" s="3547">
        <f>+AO45+AQ45</f>
        <v>42828.669000000009</v>
      </c>
      <c r="AT45" s="3547">
        <f t="shared" ref="AT45:AT46" si="288">+AP45+AR45</f>
        <v>41524.539999999994</v>
      </c>
      <c r="AU45" s="3990">
        <v>3918.915</v>
      </c>
      <c r="AV45" s="3990">
        <f>1194.1+2619.91</f>
        <v>3814.0099999999998</v>
      </c>
      <c r="AW45" s="3991">
        <f>+AS45+AU45</f>
        <v>46747.58400000001</v>
      </c>
      <c r="AX45" s="3991">
        <f t="shared" ref="AX45:AX46" si="289">+AT45+AV45</f>
        <v>45338.549999999996</v>
      </c>
      <c r="AY45" s="4112">
        <v>4338.7988000000005</v>
      </c>
      <c r="AZ45" s="4112">
        <f>1353+2901</f>
        <v>4254</v>
      </c>
      <c r="BA45" s="4114">
        <f>+AQ45+AU45+AY45</f>
        <v>12596.512600000002</v>
      </c>
      <c r="BB45" s="4114">
        <f>+AR45+AV45+AZ45</f>
        <v>12400.5</v>
      </c>
      <c r="BC45" s="4115">
        <f t="shared" si="242"/>
        <v>25472.947700000004</v>
      </c>
      <c r="BD45" s="4115">
        <f t="shared" si="243"/>
        <v>25194.95</v>
      </c>
      <c r="BE45" s="4113">
        <f>+AW45+AY45</f>
        <v>51086.382800000007</v>
      </c>
      <c r="BF45" s="4113">
        <f t="shared" ref="BF45:BF46" si="290">+AX45+AZ45</f>
        <v>49592.549999999996</v>
      </c>
      <c r="BG45" s="3370">
        <v>48584.311000000002</v>
      </c>
      <c r="BH45" s="3370">
        <v>46678.95</v>
      </c>
      <c r="BI45" s="3370">
        <v>46118.873100000012</v>
      </c>
      <c r="BJ45" s="3369">
        <v>49237.57</v>
      </c>
    </row>
    <row r="46" spans="1:66" ht="15" customHeight="1" x14ac:dyDescent="0.25">
      <c r="B46" s="4504" t="s">
        <v>383</v>
      </c>
      <c r="C46" s="1442" t="s">
        <v>53</v>
      </c>
      <c r="D46" s="1123">
        <v>16579.502</v>
      </c>
      <c r="E46" s="3551">
        <v>1360</v>
      </c>
      <c r="F46" s="238">
        <f>528.5+350.5</f>
        <v>879</v>
      </c>
      <c r="G46" s="3551">
        <v>1408</v>
      </c>
      <c r="H46" s="3551">
        <f>281.5+412.5</f>
        <v>694</v>
      </c>
      <c r="I46" s="3547">
        <f t="shared" si="278"/>
        <v>2768</v>
      </c>
      <c r="J46" s="3547">
        <f t="shared" si="279"/>
        <v>1573</v>
      </c>
      <c r="K46" s="3551">
        <v>1360</v>
      </c>
      <c r="L46" s="3551">
        <f>225+312.2</f>
        <v>537.20000000000005</v>
      </c>
      <c r="M46" s="3549">
        <f>+I46+K46</f>
        <v>4128</v>
      </c>
      <c r="N46" s="3549">
        <f t="shared" si="280"/>
        <v>2110.1999999999998</v>
      </c>
      <c r="O46" s="3551">
        <v>1408.4070000000002</v>
      </c>
      <c r="P46" s="3551">
        <f>282.1+313</f>
        <v>595.1</v>
      </c>
      <c r="Q46" s="3547">
        <f>+M46+O46</f>
        <v>5536.4070000000002</v>
      </c>
      <c r="R46" s="3547">
        <f t="shared" si="281"/>
        <v>2705.2999999999997</v>
      </c>
      <c r="S46" s="3551">
        <v>1408.4070000000002</v>
      </c>
      <c r="T46" s="3551">
        <f>477.5+290</f>
        <v>767.5</v>
      </c>
      <c r="U46" s="3547">
        <f>+Q46+S46</f>
        <v>6944.8140000000003</v>
      </c>
      <c r="V46" s="3547">
        <f t="shared" si="282"/>
        <v>3472.7999999999997</v>
      </c>
      <c r="W46" s="3551">
        <v>1360.143</v>
      </c>
      <c r="X46" s="3551">
        <f>355.5+336</f>
        <v>691.5</v>
      </c>
      <c r="Y46" s="3549">
        <f t="shared" si="283"/>
        <v>4176.9570000000003</v>
      </c>
      <c r="Z46" s="3549">
        <f t="shared" si="284"/>
        <v>2054.1</v>
      </c>
      <c r="AA46" s="1134">
        <f>+U46+W46</f>
        <v>8304.9570000000003</v>
      </c>
      <c r="AB46" s="1134">
        <f t="shared" si="285"/>
        <v>4164.2999999999993</v>
      </c>
      <c r="AC46" s="3551">
        <v>1410.107</v>
      </c>
      <c r="AD46" s="3551">
        <f>407.5+270.5</f>
        <v>678</v>
      </c>
      <c r="AE46" s="3547">
        <f>+AA46+AC46</f>
        <v>9715.0640000000003</v>
      </c>
      <c r="AF46" s="3547">
        <f t="shared" si="286"/>
        <v>4842.2999999999993</v>
      </c>
      <c r="AG46" s="3551">
        <v>1358.729</v>
      </c>
      <c r="AH46" s="3551">
        <f>401+241</f>
        <v>642</v>
      </c>
      <c r="AI46" s="3547">
        <f>+AE46+AG46</f>
        <v>11073.793</v>
      </c>
      <c r="AJ46" s="3547">
        <f t="shared" si="287"/>
        <v>5484.2999999999993</v>
      </c>
      <c r="AK46" s="3551">
        <v>1410.107</v>
      </c>
      <c r="AL46" s="3551">
        <f>279.5+457</f>
        <v>736.5</v>
      </c>
      <c r="AM46" s="3549">
        <f>+AC46+AG46+AK46</f>
        <v>4178.9430000000002</v>
      </c>
      <c r="AN46" s="3549">
        <f>+AD46+AH46+AL46</f>
        <v>2056.5</v>
      </c>
      <c r="AO46" s="3547">
        <f>+AI46+AK46</f>
        <v>12483.9</v>
      </c>
      <c r="AP46" s="3547">
        <f>+AJ46+AL46</f>
        <v>6220.7999999999993</v>
      </c>
      <c r="AQ46" s="3551">
        <v>1413.231</v>
      </c>
      <c r="AR46" s="3873">
        <f>268.5+517</f>
        <v>785.5</v>
      </c>
      <c r="AS46" s="3547">
        <f>+AO46+AQ46</f>
        <v>13897.130999999999</v>
      </c>
      <c r="AT46" s="3547">
        <f t="shared" si="288"/>
        <v>7006.2999999999993</v>
      </c>
      <c r="AU46" s="3990">
        <v>1268.4470000000001</v>
      </c>
      <c r="AV46" s="3990">
        <f>490.5+432.1</f>
        <v>922.6</v>
      </c>
      <c r="AW46" s="3991">
        <f>+AS46+AU46</f>
        <v>15165.578</v>
      </c>
      <c r="AX46" s="3991">
        <f t="shared" si="289"/>
        <v>7928.9</v>
      </c>
      <c r="AY46" s="4112">
        <v>1413.231</v>
      </c>
      <c r="AZ46" s="4112">
        <f>591+357</f>
        <v>948</v>
      </c>
      <c r="BA46" s="4114">
        <f>+AQ46+AU46+AY46</f>
        <v>4094.9089999999997</v>
      </c>
      <c r="BB46" s="4114">
        <f>+AR46+AV46+AZ46</f>
        <v>2656.1</v>
      </c>
      <c r="BC46" s="4115">
        <f t="shared" si="242"/>
        <v>8273.851999999999</v>
      </c>
      <c r="BD46" s="4115">
        <f t="shared" si="243"/>
        <v>4712.6000000000004</v>
      </c>
      <c r="BE46" s="4113">
        <f>+AW46+AY46</f>
        <v>16578.809000000001</v>
      </c>
      <c r="BF46" s="4113">
        <f t="shared" si="290"/>
        <v>8876.9</v>
      </c>
      <c r="BG46" s="3370">
        <v>21728.852072500002</v>
      </c>
      <c r="BH46" s="3370">
        <v>10510.61</v>
      </c>
      <c r="BI46" s="3370">
        <v>15654.414839999999</v>
      </c>
      <c r="BJ46" s="3369">
        <v>12312.800000000001</v>
      </c>
    </row>
    <row r="47" spans="1:66" s="334" customFormat="1" ht="15" customHeight="1" x14ac:dyDescent="0.25">
      <c r="A47" s="1726"/>
      <c r="B47" s="4511"/>
      <c r="C47" s="4492"/>
      <c r="D47" s="3643"/>
      <c r="E47" s="1791"/>
      <c r="F47" s="1791"/>
      <c r="G47" s="1791"/>
      <c r="H47" s="1791"/>
      <c r="I47" s="1791"/>
      <c r="J47" s="1791"/>
      <c r="K47" s="1791"/>
      <c r="L47" s="1791"/>
      <c r="M47" s="1791"/>
      <c r="N47" s="1791"/>
      <c r="O47" s="1791"/>
      <c r="P47" s="1791"/>
      <c r="Q47" s="1791"/>
      <c r="R47" s="1791"/>
      <c r="S47" s="1791"/>
      <c r="T47" s="1791"/>
      <c r="U47" s="1791"/>
      <c r="V47" s="1791"/>
      <c r="W47" s="1791"/>
      <c r="X47" s="1791"/>
      <c r="Y47" s="1791"/>
      <c r="Z47" s="1791"/>
      <c r="AA47" s="1791"/>
      <c r="AB47" s="1791"/>
      <c r="AC47" s="1791"/>
      <c r="AD47" s="1791"/>
      <c r="AE47" s="1791"/>
      <c r="AF47" s="1791"/>
      <c r="AG47" s="1791"/>
      <c r="AH47" s="1791"/>
      <c r="AI47" s="1791"/>
      <c r="AJ47" s="1791"/>
      <c r="AK47" s="1791"/>
      <c r="AL47" s="1791"/>
      <c r="AM47" s="1791"/>
      <c r="AN47" s="1791"/>
      <c r="AO47" s="1791"/>
      <c r="AP47" s="1791"/>
      <c r="AQ47" s="1791"/>
      <c r="AR47" s="1791"/>
      <c r="AS47" s="1791"/>
      <c r="AT47" s="1791"/>
      <c r="AU47" s="1791"/>
      <c r="AV47" s="1791"/>
      <c r="AW47" s="1791"/>
      <c r="AX47" s="1791"/>
      <c r="AY47" s="1791"/>
      <c r="AZ47" s="1791"/>
      <c r="BA47" s="1791"/>
      <c r="BB47" s="1791"/>
      <c r="BC47" s="1791"/>
      <c r="BD47" s="1791"/>
      <c r="BE47" s="1791"/>
      <c r="BF47" s="1791"/>
      <c r="BG47" s="1791"/>
      <c r="BH47" s="1791"/>
      <c r="BI47" s="1791"/>
      <c r="BJ47" s="3650"/>
    </row>
    <row r="48" spans="1:66" ht="15.75" thickBot="1" x14ac:dyDescent="0.3">
      <c r="B48" s="4512" t="s">
        <v>871</v>
      </c>
      <c r="C48" s="4493" t="s">
        <v>872</v>
      </c>
      <c r="D48" s="3651">
        <v>16344.916870109544</v>
      </c>
      <c r="E48" s="555">
        <v>626</v>
      </c>
      <c r="F48" s="248">
        <v>653</v>
      </c>
      <c r="G48" s="555">
        <v>648</v>
      </c>
      <c r="H48" s="555">
        <f>232+232+57</f>
        <v>521</v>
      </c>
      <c r="I48" s="1595">
        <f>+E48+G48</f>
        <v>1274</v>
      </c>
      <c r="J48" s="1595">
        <f>+F48+H48</f>
        <v>1174</v>
      </c>
      <c r="K48" s="555">
        <v>1482</v>
      </c>
      <c r="L48" s="555">
        <f>481+498+287</f>
        <v>1266</v>
      </c>
      <c r="M48" s="1167">
        <f t="shared" ref="M48" si="291">+I48+K48</f>
        <v>2756</v>
      </c>
      <c r="N48" s="1167">
        <f t="shared" ref="N48" si="292">+J48+L48</f>
        <v>2440</v>
      </c>
      <c r="O48" s="555">
        <v>1533</v>
      </c>
      <c r="P48" s="555">
        <f>486+552+196</f>
        <v>1234</v>
      </c>
      <c r="Q48" s="1595">
        <f>+M48+O48</f>
        <v>4289</v>
      </c>
      <c r="R48" s="1595">
        <f>+N48+P48</f>
        <v>3674</v>
      </c>
      <c r="S48" s="555">
        <v>1534.131455399061</v>
      </c>
      <c r="T48" s="555">
        <f>510+522+314</f>
        <v>1346</v>
      </c>
      <c r="U48" s="1595">
        <f>+Q48+S48</f>
        <v>5823.1314553990615</v>
      </c>
      <c r="V48" s="1595">
        <f>+R48+T48</f>
        <v>5020</v>
      </c>
      <c r="W48" s="555">
        <v>1492.0187793427231</v>
      </c>
      <c r="X48" s="555">
        <v>1301</v>
      </c>
      <c r="Y48" s="1167">
        <f>+O48+S48+W48</f>
        <v>4559.1502347417845</v>
      </c>
      <c r="Z48" s="1167">
        <f>+P48+T48+X48</f>
        <v>3881</v>
      </c>
      <c r="AA48" s="3652">
        <f>+U48+W48</f>
        <v>7315.1502347417845</v>
      </c>
      <c r="AB48" s="3652">
        <f>+V48+X48</f>
        <v>6321</v>
      </c>
      <c r="AC48" s="555">
        <v>1542.7230046948355</v>
      </c>
      <c r="AD48" s="555">
        <v>1385</v>
      </c>
      <c r="AE48" s="1595">
        <f>+AA48+AC48</f>
        <v>8857.8732394366198</v>
      </c>
      <c r="AF48" s="1595">
        <f>+AB48+AD48</f>
        <v>7706</v>
      </c>
      <c r="AG48" s="555">
        <v>1492.0187793427231</v>
      </c>
      <c r="AH48" s="555">
        <v>1287</v>
      </c>
      <c r="AI48" s="1595">
        <f>+AE48+AG48</f>
        <v>10349.892018779343</v>
      </c>
      <c r="AJ48" s="1595">
        <f>+AF48+AH48</f>
        <v>8993</v>
      </c>
      <c r="AK48" s="555">
        <v>1542.7230046948355</v>
      </c>
      <c r="AL48" s="555">
        <f>594+534+307</f>
        <v>1435</v>
      </c>
      <c r="AM48" s="1167">
        <f t="shared" ref="AM48" si="293">+AC48+AG48+AK48</f>
        <v>4577.4647887323936</v>
      </c>
      <c r="AN48" s="1167">
        <f t="shared" ref="AN48" si="294">+AD48+AH48+AL48</f>
        <v>4107</v>
      </c>
      <c r="AO48" s="1595">
        <f>+AI48+AK48</f>
        <v>11892.615023474178</v>
      </c>
      <c r="AP48" s="1595">
        <f>+AJ48+AL48</f>
        <v>10428</v>
      </c>
      <c r="AQ48" s="555">
        <v>1542.7230046948355</v>
      </c>
      <c r="AR48" s="555">
        <v>1453</v>
      </c>
      <c r="AS48" s="1595">
        <f>+AO48+AQ48</f>
        <v>13435.338028169013</v>
      </c>
      <c r="AT48" s="1595">
        <f>+AP48+AR48</f>
        <v>11881</v>
      </c>
      <c r="AU48" s="555">
        <v>1366.6539593114239</v>
      </c>
      <c r="AV48" s="555">
        <f>514+510+266</f>
        <v>1290</v>
      </c>
      <c r="AW48" s="1595">
        <f>+AS48+AU48</f>
        <v>14801.991987480436</v>
      </c>
      <c r="AX48" s="1595">
        <f>+AT48+AV48</f>
        <v>13171</v>
      </c>
      <c r="AY48" s="555">
        <v>1542.7230046948355</v>
      </c>
      <c r="AZ48" s="555">
        <f>585+582+286</f>
        <v>1453</v>
      </c>
      <c r="BA48" s="1167">
        <f t="shared" ref="BA48" si="295">+AQ48+AU48+AY48</f>
        <v>4452.0999687010944</v>
      </c>
      <c r="BB48" s="1167">
        <f t="shared" ref="BB48" si="296">+AR48+AV48+AZ48</f>
        <v>4196</v>
      </c>
      <c r="BC48" s="3652">
        <f t="shared" ref="BC48" si="297">+AM48+BA48</f>
        <v>9029.5647574334871</v>
      </c>
      <c r="BD48" s="3652">
        <f t="shared" ref="BD48" si="298">+AN48+BB48</f>
        <v>8303</v>
      </c>
      <c r="BE48" s="1595">
        <f t="shared" ref="BE48:BF48" si="299">+AW48+AY48</f>
        <v>16344.714992175272</v>
      </c>
      <c r="BF48" s="1595">
        <f t="shared" si="299"/>
        <v>14624</v>
      </c>
      <c r="BG48" s="3653">
        <v>15300.816666666668</v>
      </c>
      <c r="BH48" s="3653">
        <v>12158</v>
      </c>
      <c r="BI48" s="3653">
        <v>16891.891891891893</v>
      </c>
      <c r="BJ48" s="3374">
        <v>14151</v>
      </c>
    </row>
    <row r="49" spans="14:54" x14ac:dyDescent="0.25">
      <c r="W49" s="1726"/>
      <c r="X49" s="1726"/>
      <c r="AG49" s="1726"/>
      <c r="AH49" s="1726"/>
      <c r="AI49" s="1726"/>
      <c r="AJ49" s="1726"/>
      <c r="AK49" s="1726"/>
      <c r="AL49" s="1726"/>
      <c r="AU49" s="1726"/>
      <c r="AV49" s="1726"/>
      <c r="AW49" s="1726"/>
      <c r="AX49" s="1726"/>
      <c r="AY49" s="1726"/>
      <c r="AZ49" s="1726"/>
      <c r="BA49" s="1726"/>
      <c r="BB49" s="1726"/>
    </row>
    <row r="50" spans="14:54" x14ac:dyDescent="0.25">
      <c r="AG50" s="1726"/>
      <c r="AH50" s="1726"/>
      <c r="AI50" s="1726"/>
      <c r="AJ50" s="1726"/>
      <c r="AK50" s="1726"/>
      <c r="AL50" s="1726"/>
      <c r="AU50" s="1726"/>
      <c r="AV50" s="1726"/>
      <c r="AY50" s="1726"/>
      <c r="AZ50" s="1726"/>
      <c r="BA50" s="1726"/>
      <c r="BB50" s="1726"/>
    </row>
    <row r="51" spans="14:54" x14ac:dyDescent="0.25">
      <c r="N51" s="1714"/>
      <c r="R51" s="1714"/>
      <c r="AG51" s="1726"/>
      <c r="AH51" s="1726"/>
      <c r="AI51" s="1726"/>
      <c r="AJ51" s="1726"/>
      <c r="AK51" s="1726"/>
      <c r="AL51" s="1726"/>
      <c r="AQ51" s="48"/>
      <c r="AR51" s="48"/>
      <c r="AU51" s="48"/>
      <c r="AV51" s="48"/>
      <c r="AY51" s="4090"/>
      <c r="AZ51" s="4090"/>
      <c r="BA51" s="1726"/>
      <c r="BB51" s="1726"/>
    </row>
    <row r="52" spans="14:54" x14ac:dyDescent="0.25">
      <c r="AG52" s="1726"/>
      <c r="AH52" s="1726"/>
      <c r="AI52" s="1726"/>
      <c r="AJ52" s="1726"/>
      <c r="AK52" s="1726"/>
      <c r="AL52" s="1726"/>
      <c r="AU52" s="1726"/>
      <c r="AV52" s="1726"/>
    </row>
    <row r="53" spans="14:54" x14ac:dyDescent="0.25">
      <c r="W53" s="713"/>
      <c r="AG53" s="1726"/>
      <c r="AH53" s="1726"/>
      <c r="AI53" s="1726"/>
      <c r="AJ53" s="1726"/>
      <c r="AK53" s="1726"/>
      <c r="AL53" s="1726"/>
      <c r="AU53" s="4090"/>
      <c r="AV53" s="4090"/>
    </row>
  </sheetData>
  <mergeCells count="94">
    <mergeCell ref="BG3:BH3"/>
    <mergeCell ref="BG37:BG38"/>
    <mergeCell ref="BG40:BG42"/>
    <mergeCell ref="AY37:AY38"/>
    <mergeCell ref="AY40:AY42"/>
    <mergeCell ref="BA3:BB3"/>
    <mergeCell ref="BE3:BF3"/>
    <mergeCell ref="BA37:BA38"/>
    <mergeCell ref="BE37:BE38"/>
    <mergeCell ref="BA40:BA42"/>
    <mergeCell ref="BE40:BE42"/>
    <mergeCell ref="AY3:AZ3"/>
    <mergeCell ref="BC3:BD3"/>
    <mergeCell ref="BC37:BC38"/>
    <mergeCell ref="BC40:BC42"/>
    <mergeCell ref="BH40:BH42"/>
    <mergeCell ref="AU3:AV3"/>
    <mergeCell ref="AW3:AX3"/>
    <mergeCell ref="AU37:AU38"/>
    <mergeCell ref="AW37:AW38"/>
    <mergeCell ref="AU40:AU42"/>
    <mergeCell ref="AW40:AW42"/>
    <mergeCell ref="AS3:AT3"/>
    <mergeCell ref="AS37:AS38"/>
    <mergeCell ref="AS40:AS42"/>
    <mergeCell ref="AQ3:AR3"/>
    <mergeCell ref="AQ37:AQ38"/>
    <mergeCell ref="AQ40:AQ42"/>
    <mergeCell ref="AO3:AP3"/>
    <mergeCell ref="AO37:AO38"/>
    <mergeCell ref="AO40:AO42"/>
    <mergeCell ref="AG3:AH3"/>
    <mergeCell ref="AI3:AJ3"/>
    <mergeCell ref="AG37:AG38"/>
    <mergeCell ref="AI37:AI38"/>
    <mergeCell ref="AG40:AG42"/>
    <mergeCell ref="AI40:AI42"/>
    <mergeCell ref="AK40:AK42"/>
    <mergeCell ref="AM3:AN3"/>
    <mergeCell ref="AM37:AM38"/>
    <mergeCell ref="AM40:AM42"/>
    <mergeCell ref="AK3:AL3"/>
    <mergeCell ref="AK37:AK38"/>
    <mergeCell ref="E37:E38"/>
    <mergeCell ref="M3:N3"/>
    <mergeCell ref="O3:P3"/>
    <mergeCell ref="E40:E42"/>
    <mergeCell ref="K40:K42"/>
    <mergeCell ref="O37:O38"/>
    <mergeCell ref="I40:I42"/>
    <mergeCell ref="M40:M42"/>
    <mergeCell ref="O40:O42"/>
    <mergeCell ref="K37:K38"/>
    <mergeCell ref="K3:L3"/>
    <mergeCell ref="B3:B4"/>
    <mergeCell ref="C3:C4"/>
    <mergeCell ref="E3:F3"/>
    <mergeCell ref="G3:H3"/>
    <mergeCell ref="I3:J3"/>
    <mergeCell ref="D3:D4"/>
    <mergeCell ref="Q37:Q38"/>
    <mergeCell ref="AA40:AA42"/>
    <mergeCell ref="Q3:R3"/>
    <mergeCell ref="AA3:AB3"/>
    <mergeCell ref="AA37:AA38"/>
    <mergeCell ref="Y3:Z3"/>
    <mergeCell ref="Y37:Y38"/>
    <mergeCell ref="W3:X3"/>
    <mergeCell ref="W37:W38"/>
    <mergeCell ref="W40:W42"/>
    <mergeCell ref="Y40:Y42"/>
    <mergeCell ref="U40:U42"/>
    <mergeCell ref="AC3:AD3"/>
    <mergeCell ref="AE3:AF3"/>
    <mergeCell ref="AC37:AC38"/>
    <mergeCell ref="AE37:AE38"/>
    <mergeCell ref="AC40:AC42"/>
    <mergeCell ref="AE40:AE42"/>
    <mergeCell ref="D37:D38"/>
    <mergeCell ref="D40:D42"/>
    <mergeCell ref="BI3:BJ3"/>
    <mergeCell ref="G37:G38"/>
    <mergeCell ref="G40:G42"/>
    <mergeCell ref="BI37:BI38"/>
    <mergeCell ref="BI40:BI42"/>
    <mergeCell ref="BJ40:BJ42"/>
    <mergeCell ref="I37:I38"/>
    <mergeCell ref="M37:M38"/>
    <mergeCell ref="S3:T3"/>
    <mergeCell ref="U3:V3"/>
    <mergeCell ref="S37:S38"/>
    <mergeCell ref="U37:U38"/>
    <mergeCell ref="S40:S42"/>
    <mergeCell ref="Q40:Q42"/>
  </mergeCells>
  <printOptions horizontalCentered="1" verticalCentered="1"/>
  <pageMargins left="0" right="0" top="0" bottom="0" header="0" footer="0"/>
  <pageSetup paperSize="9" scale="67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  <pageSetUpPr fitToPage="1"/>
  </sheetPr>
  <dimension ref="B1:BL57"/>
  <sheetViews>
    <sheetView workbookViewId="0">
      <pane xSplit="4" topLeftCell="AV1" activePane="topRight" state="frozen"/>
      <selection pane="topRight" activeCell="F12" sqref="F12"/>
    </sheetView>
  </sheetViews>
  <sheetFormatPr defaultRowHeight="15" x14ac:dyDescent="0.25"/>
  <cols>
    <col min="2" max="2" width="39" style="724" customWidth="1"/>
    <col min="3" max="3" width="12.42578125" customWidth="1"/>
    <col min="4" max="4" width="13.7109375" style="1803" bestFit="1" customWidth="1"/>
    <col min="5" max="5" width="6.7109375" style="189" bestFit="1" customWidth="1"/>
    <col min="6" max="6" width="8.42578125" style="200" bestFit="1" customWidth="1"/>
    <col min="7" max="7" width="12.5703125" style="189" customWidth="1"/>
    <col min="8" max="8" width="8.42578125" style="200" bestFit="1" customWidth="1"/>
    <col min="9" max="9" width="10.42578125" style="189" hidden="1" customWidth="1"/>
    <col min="10" max="10" width="9.85546875" style="200" hidden="1" customWidth="1"/>
    <col min="11" max="11" width="7.85546875" bestFit="1" customWidth="1"/>
    <col min="12" max="12" width="9.85546875" bestFit="1" customWidth="1"/>
    <col min="13" max="13" width="7.85546875" bestFit="1" customWidth="1"/>
    <col min="14" max="14" width="11.28515625" bestFit="1" customWidth="1"/>
    <col min="15" max="15" width="7.85546875" bestFit="1" customWidth="1"/>
    <col min="16" max="16" width="9.85546875" bestFit="1" customWidth="1"/>
    <col min="17" max="17" width="7.85546875" hidden="1" customWidth="1"/>
    <col min="18" max="18" width="11.28515625" hidden="1" customWidth="1"/>
    <col min="19" max="19" width="12.140625" style="1087" customWidth="1"/>
    <col min="20" max="20" width="9.85546875" style="1087" bestFit="1" customWidth="1"/>
    <col min="21" max="21" width="9" style="1087" hidden="1" customWidth="1"/>
    <col min="22" max="22" width="11.28515625" style="1087" hidden="1" customWidth="1"/>
    <col min="23" max="24" width="9.85546875" style="1114" bestFit="1" customWidth="1"/>
    <col min="25" max="25" width="9.140625" style="1114" customWidth="1"/>
    <col min="26" max="26" width="11.28515625" style="1114" bestFit="1" customWidth="1"/>
    <col min="27" max="27" width="9.140625" style="1114" customWidth="1"/>
    <col min="28" max="28" width="11.28515625" style="1114" bestFit="1" customWidth="1"/>
    <col min="29" max="29" width="9.140625" style="1311" customWidth="1"/>
    <col min="30" max="30" width="9.85546875" style="1311" bestFit="1" customWidth="1"/>
    <col min="31" max="31" width="9.140625" style="1311" hidden="1" customWidth="1"/>
    <col min="32" max="32" width="12.42578125" style="1311" hidden="1" customWidth="1"/>
    <col min="33" max="33" width="9.140625" style="1338" customWidth="1"/>
    <col min="34" max="34" width="9.85546875" style="1338" bestFit="1" customWidth="1"/>
    <col min="35" max="35" width="11.28515625" style="1338" hidden="1" customWidth="1"/>
    <col min="36" max="36" width="12.42578125" style="1338" hidden="1" customWidth="1"/>
    <col min="37" max="37" width="10.5703125" style="1354" bestFit="1" customWidth="1"/>
    <col min="38" max="40" width="9.140625" style="1354" customWidth="1"/>
    <col min="41" max="42" width="9.140625" style="1354" hidden="1" customWidth="1"/>
    <col min="43" max="44" width="9.140625" style="1470" customWidth="1"/>
    <col min="45" max="46" width="9.140625" style="1470" hidden="1" customWidth="1"/>
    <col min="47" max="48" width="9.140625" style="1487" customWidth="1"/>
    <col min="49" max="50" width="9.140625" style="1487" hidden="1" customWidth="1"/>
    <col min="51" max="58" width="9.140625" style="1497" customWidth="1"/>
    <col min="59" max="59" width="9" style="1505" hidden="1" customWidth="1"/>
    <col min="60" max="60" width="13.7109375" style="1505" customWidth="1"/>
    <col min="61" max="61" width="9" hidden="1" customWidth="1"/>
    <col min="62" max="62" width="9" customWidth="1"/>
  </cols>
  <sheetData>
    <row r="1" spans="2:64" ht="22.5" x14ac:dyDescent="0.3">
      <c r="B1" s="2018" t="s">
        <v>1383</v>
      </c>
      <c r="C1" s="2018"/>
      <c r="D1" s="2018"/>
      <c r="E1" s="2018"/>
      <c r="F1" s="2018"/>
      <c r="G1" s="2018"/>
      <c r="H1" s="2018"/>
      <c r="I1" s="2018"/>
      <c r="J1" s="2018"/>
      <c r="K1" s="2018"/>
      <c r="L1" s="2018"/>
      <c r="M1" s="2018"/>
      <c r="N1" s="2018"/>
      <c r="O1" s="2018"/>
      <c r="P1" s="2018"/>
      <c r="Q1" s="2018"/>
      <c r="R1" s="2018"/>
      <c r="S1" s="2018"/>
      <c r="T1" s="2018"/>
      <c r="U1" s="2018"/>
      <c r="V1" s="2018"/>
      <c r="W1" s="2018"/>
      <c r="X1" s="2018"/>
      <c r="Y1" s="2018"/>
      <c r="Z1" s="2018"/>
      <c r="AA1" s="2018"/>
      <c r="AB1" s="2018"/>
      <c r="AC1" s="2018"/>
      <c r="AD1" s="2018"/>
      <c r="AE1" s="2018"/>
      <c r="AF1" s="2018"/>
      <c r="AG1" s="2018"/>
      <c r="AH1" s="2018"/>
      <c r="AI1" s="2018"/>
      <c r="AJ1" s="2018"/>
      <c r="AK1" s="3478"/>
      <c r="AL1" s="2018"/>
      <c r="AM1" s="2018"/>
      <c r="AN1" s="2018"/>
      <c r="AO1" s="2018"/>
      <c r="AP1" s="2018"/>
      <c r="AQ1" s="2018"/>
      <c r="AR1" s="2018"/>
      <c r="AS1" s="2018"/>
      <c r="AT1" s="2018"/>
      <c r="AU1" s="2018"/>
      <c r="AV1" s="2018"/>
      <c r="AW1" s="2018"/>
      <c r="AX1" s="2018"/>
      <c r="AY1" s="2018"/>
      <c r="AZ1" s="2018"/>
      <c r="BA1" s="2018"/>
      <c r="BB1" s="2018"/>
      <c r="BC1" s="2018"/>
      <c r="BD1" s="2018"/>
      <c r="BE1" s="2018"/>
      <c r="BF1" s="2018"/>
      <c r="BG1" s="2018"/>
      <c r="BH1" s="2018"/>
      <c r="BI1" s="2018"/>
      <c r="BJ1" s="2018"/>
    </row>
    <row r="2" spans="2:64" ht="15.75" thickBot="1" x14ac:dyDescent="0.3">
      <c r="B2" s="2019"/>
      <c r="C2" s="106"/>
      <c r="D2" s="106"/>
      <c r="E2" s="476">
        <v>30</v>
      </c>
      <c r="F2" s="476">
        <v>30</v>
      </c>
      <c r="G2" s="476">
        <v>31</v>
      </c>
      <c r="H2" s="476">
        <v>31</v>
      </c>
      <c r="I2" s="476">
        <f>+G2+E2</f>
        <v>61</v>
      </c>
      <c r="J2" s="476">
        <f>+H2+F2</f>
        <v>61</v>
      </c>
      <c r="K2" s="476">
        <v>30</v>
      </c>
      <c r="L2" s="476">
        <v>30</v>
      </c>
      <c r="M2" s="1092">
        <f>+E2+G2+K2</f>
        <v>91</v>
      </c>
      <c r="N2" s="1092">
        <f>+F2+H2+L2</f>
        <v>91</v>
      </c>
      <c r="O2" s="1092">
        <v>31</v>
      </c>
      <c r="P2" s="1092">
        <v>31</v>
      </c>
      <c r="Q2" s="1092">
        <f>+M2+O2</f>
        <v>122</v>
      </c>
      <c r="R2" s="1092">
        <f>+N2+P2</f>
        <v>122</v>
      </c>
      <c r="S2" s="1092">
        <v>31</v>
      </c>
      <c r="T2" s="1092">
        <v>31</v>
      </c>
      <c r="U2" s="1092">
        <f>+Q2+S2</f>
        <v>153</v>
      </c>
      <c r="V2" s="1092">
        <f>+R2+T2</f>
        <v>153</v>
      </c>
      <c r="W2" s="1092">
        <v>30</v>
      </c>
      <c r="X2" s="1092">
        <v>30</v>
      </c>
      <c r="Y2" s="1092">
        <f>+O2+S2+W2</f>
        <v>92</v>
      </c>
      <c r="Z2" s="1092">
        <f>+P2+T2+X2</f>
        <v>92</v>
      </c>
      <c r="AA2" s="1092">
        <f>+M2+Y2</f>
        <v>183</v>
      </c>
      <c r="AB2" s="1092">
        <f>+N2+Z2</f>
        <v>183</v>
      </c>
      <c r="AC2" s="1092">
        <v>31</v>
      </c>
      <c r="AD2" s="1092">
        <v>31</v>
      </c>
      <c r="AE2" s="1092">
        <f>+AA2+AC2</f>
        <v>214</v>
      </c>
      <c r="AF2" s="1092">
        <f>+AB2+AD2</f>
        <v>214</v>
      </c>
      <c r="AG2" s="1092">
        <v>30</v>
      </c>
      <c r="AH2" s="1092">
        <v>30</v>
      </c>
      <c r="AI2" s="1092">
        <f>+AE2+AG2</f>
        <v>244</v>
      </c>
      <c r="AJ2" s="1092">
        <f>+AF2+AH2</f>
        <v>244</v>
      </c>
      <c r="AK2" s="1092">
        <v>31</v>
      </c>
      <c r="AL2" s="1092">
        <v>31</v>
      </c>
      <c r="AM2" s="1092">
        <f>+AC2+AG2+AK2</f>
        <v>92</v>
      </c>
      <c r="AN2" s="1092">
        <f>+AD2+AH2+AL2</f>
        <v>92</v>
      </c>
      <c r="AO2" s="1092">
        <f>+AI2+AK2</f>
        <v>275</v>
      </c>
      <c r="AP2" s="1092">
        <f>+AJ2+AL2</f>
        <v>275</v>
      </c>
      <c r="AQ2" s="1092">
        <v>31</v>
      </c>
      <c r="AR2" s="1092">
        <v>31</v>
      </c>
      <c r="AS2" s="1092">
        <f>+AO2+AQ2</f>
        <v>306</v>
      </c>
      <c r="AT2" s="1092">
        <f>+AP2+AR2</f>
        <v>306</v>
      </c>
      <c r="AU2" s="1092">
        <v>28</v>
      </c>
      <c r="AV2" s="1092">
        <v>28</v>
      </c>
      <c r="AW2" s="1092">
        <f>+AS2+AU2</f>
        <v>334</v>
      </c>
      <c r="AX2" s="1092">
        <f>+AT2+AV2</f>
        <v>334</v>
      </c>
      <c r="AY2" s="1092">
        <v>31</v>
      </c>
      <c r="AZ2" s="1092">
        <v>31</v>
      </c>
      <c r="BA2" s="1092">
        <f>+AQ2+AU2+AY2</f>
        <v>90</v>
      </c>
      <c r="BB2" s="1092">
        <f>+AR2+AV2+AZ2</f>
        <v>90</v>
      </c>
      <c r="BC2" s="1092">
        <f>+AM2+BA2</f>
        <v>182</v>
      </c>
      <c r="BD2" s="1092">
        <f>+AN2+BB2</f>
        <v>182</v>
      </c>
      <c r="BE2" s="1092">
        <f>+AW2+AY2</f>
        <v>365</v>
      </c>
      <c r="BF2" s="1092">
        <f>+AX2+AZ2</f>
        <v>365</v>
      </c>
      <c r="BG2" s="1092">
        <v>365</v>
      </c>
      <c r="BH2" s="1092">
        <v>365</v>
      </c>
      <c r="BI2" s="59">
        <v>366</v>
      </c>
      <c r="BJ2" s="59">
        <v>366</v>
      </c>
    </row>
    <row r="3" spans="2:64" ht="15" customHeight="1" thickBot="1" x14ac:dyDescent="0.3">
      <c r="B3" s="4871" t="s">
        <v>197</v>
      </c>
      <c r="C3" s="4873" t="s">
        <v>198</v>
      </c>
      <c r="D3" s="4885" t="s">
        <v>1572</v>
      </c>
      <c r="E3" s="4875" t="s">
        <v>1323</v>
      </c>
      <c r="F3" s="4876"/>
      <c r="G3" s="4875" t="s">
        <v>1384</v>
      </c>
      <c r="H3" s="4875"/>
      <c r="I3" s="4877" t="s">
        <v>15</v>
      </c>
      <c r="J3" s="4878"/>
      <c r="K3" s="4879" t="s">
        <v>1397</v>
      </c>
      <c r="L3" s="4880"/>
      <c r="M3" s="4881" t="s">
        <v>741</v>
      </c>
      <c r="N3" s="4859"/>
      <c r="O3" s="4875" t="s">
        <v>1424</v>
      </c>
      <c r="P3" s="4875"/>
      <c r="Q3" s="4877" t="s">
        <v>18</v>
      </c>
      <c r="R3" s="4878"/>
      <c r="S3" s="4875" t="s">
        <v>1496</v>
      </c>
      <c r="T3" s="4875"/>
      <c r="U3" s="4877" t="s">
        <v>19</v>
      </c>
      <c r="V3" s="4878"/>
      <c r="W3" s="4875" t="s">
        <v>1573</v>
      </c>
      <c r="X3" s="4875"/>
      <c r="Y3" s="4858" t="s">
        <v>788</v>
      </c>
      <c r="Z3" s="4859"/>
      <c r="AA3" s="4850" t="s">
        <v>784</v>
      </c>
      <c r="AB3" s="4851"/>
      <c r="AC3" s="4875" t="s">
        <v>1634</v>
      </c>
      <c r="AD3" s="4875"/>
      <c r="AE3" s="4877" t="s">
        <v>26</v>
      </c>
      <c r="AF3" s="4878"/>
      <c r="AG3" s="4875" t="s">
        <v>1671</v>
      </c>
      <c r="AH3" s="4875"/>
      <c r="AI3" s="4877" t="s">
        <v>29</v>
      </c>
      <c r="AJ3" s="4878"/>
      <c r="AK3" s="4875" t="s">
        <v>1696</v>
      </c>
      <c r="AL3" s="4875"/>
      <c r="AM3" s="4858" t="s">
        <v>799</v>
      </c>
      <c r="AN3" s="4859"/>
      <c r="AO3" s="4877" t="s">
        <v>30</v>
      </c>
      <c r="AP3" s="4878"/>
      <c r="AQ3" s="4875" t="s">
        <v>1760</v>
      </c>
      <c r="AR3" s="4875"/>
      <c r="AS3" s="4877" t="s">
        <v>31</v>
      </c>
      <c r="AT3" s="4878"/>
      <c r="AU3" s="4875" t="s">
        <v>1812</v>
      </c>
      <c r="AV3" s="4875"/>
      <c r="AW3" s="4877" t="s">
        <v>33</v>
      </c>
      <c r="AX3" s="4878"/>
      <c r="AY3" s="4875" t="s">
        <v>1844</v>
      </c>
      <c r="AZ3" s="4875"/>
      <c r="BA3" s="4858" t="s">
        <v>800</v>
      </c>
      <c r="BB3" s="4859"/>
      <c r="BC3" s="4850" t="s">
        <v>817</v>
      </c>
      <c r="BD3" s="4851"/>
      <c r="BE3" s="4877" t="s">
        <v>1314</v>
      </c>
      <c r="BF3" s="4878"/>
      <c r="BG3" s="4887" t="s">
        <v>828</v>
      </c>
      <c r="BH3" s="4888"/>
      <c r="BI3" s="4887" t="s">
        <v>769</v>
      </c>
      <c r="BJ3" s="4888"/>
    </row>
    <row r="4" spans="2:64" ht="15" customHeight="1" thickBot="1" x14ac:dyDescent="0.3">
      <c r="B4" s="4872"/>
      <c r="C4" s="4874"/>
      <c r="D4" s="4886"/>
      <c r="E4" s="1970" t="s">
        <v>199</v>
      </c>
      <c r="F4" s="353" t="s">
        <v>200</v>
      </c>
      <c r="G4" s="1970" t="s">
        <v>199</v>
      </c>
      <c r="H4" s="410" t="s">
        <v>200</v>
      </c>
      <c r="I4" s="1973" t="s">
        <v>199</v>
      </c>
      <c r="J4" s="381" t="s">
        <v>200</v>
      </c>
      <c r="K4" s="411" t="s">
        <v>199</v>
      </c>
      <c r="L4" s="410" t="s">
        <v>200</v>
      </c>
      <c r="M4" s="1972" t="s">
        <v>199</v>
      </c>
      <c r="N4" s="395" t="s">
        <v>200</v>
      </c>
      <c r="O4" s="1970" t="s">
        <v>199</v>
      </c>
      <c r="P4" s="410" t="s">
        <v>200</v>
      </c>
      <c r="Q4" s="1973" t="s">
        <v>199</v>
      </c>
      <c r="R4" s="381" t="s">
        <v>200</v>
      </c>
      <c r="S4" s="1970" t="s">
        <v>199</v>
      </c>
      <c r="T4" s="410" t="s">
        <v>200</v>
      </c>
      <c r="U4" s="1973" t="s">
        <v>199</v>
      </c>
      <c r="V4" s="381" t="s">
        <v>200</v>
      </c>
      <c r="W4" s="1970" t="s">
        <v>199</v>
      </c>
      <c r="X4" s="374" t="s">
        <v>200</v>
      </c>
      <c r="Y4" s="1971" t="s">
        <v>199</v>
      </c>
      <c r="Z4" s="395" t="s">
        <v>200</v>
      </c>
      <c r="AA4" s="1976" t="s">
        <v>199</v>
      </c>
      <c r="AB4" s="1137" t="s">
        <v>200</v>
      </c>
      <c r="AC4" s="3110" t="s">
        <v>199</v>
      </c>
      <c r="AD4" s="3114" t="s">
        <v>200</v>
      </c>
      <c r="AE4" s="3111" t="s">
        <v>199</v>
      </c>
      <c r="AF4" s="381" t="s">
        <v>200</v>
      </c>
      <c r="AG4" s="1970" t="s">
        <v>199</v>
      </c>
      <c r="AH4" s="410" t="s">
        <v>200</v>
      </c>
      <c r="AI4" s="1973" t="s">
        <v>199</v>
      </c>
      <c r="AJ4" s="381" t="s">
        <v>200</v>
      </c>
      <c r="AK4" s="1970" t="s">
        <v>199</v>
      </c>
      <c r="AL4" s="374" t="s">
        <v>200</v>
      </c>
      <c r="AM4" s="1971" t="s">
        <v>199</v>
      </c>
      <c r="AN4" s="395" t="s">
        <v>200</v>
      </c>
      <c r="AO4" s="3513" t="s">
        <v>199</v>
      </c>
      <c r="AP4" s="381" t="s">
        <v>200</v>
      </c>
      <c r="AQ4" s="1970" t="s">
        <v>199</v>
      </c>
      <c r="AR4" s="374" t="s">
        <v>200</v>
      </c>
      <c r="AS4" s="1973" t="s">
        <v>199</v>
      </c>
      <c r="AT4" s="381" t="s">
        <v>200</v>
      </c>
      <c r="AU4" s="1970" t="s">
        <v>199</v>
      </c>
      <c r="AV4" s="374" t="s">
        <v>200</v>
      </c>
      <c r="AW4" s="1973" t="s">
        <v>199</v>
      </c>
      <c r="AX4" s="381" t="s">
        <v>200</v>
      </c>
      <c r="AY4" s="1970" t="s">
        <v>199</v>
      </c>
      <c r="AZ4" s="374" t="s">
        <v>200</v>
      </c>
      <c r="BA4" s="4116" t="s">
        <v>199</v>
      </c>
      <c r="BB4" s="395" t="s">
        <v>200</v>
      </c>
      <c r="BC4" s="4120" t="s">
        <v>199</v>
      </c>
      <c r="BD4" s="1137" t="s">
        <v>200</v>
      </c>
      <c r="BE4" s="4117" t="s">
        <v>199</v>
      </c>
      <c r="BF4" s="381" t="s">
        <v>200</v>
      </c>
      <c r="BG4" s="3359" t="s">
        <v>199</v>
      </c>
      <c r="BH4" s="3360" t="s">
        <v>200</v>
      </c>
      <c r="BI4" s="3359" t="s">
        <v>199</v>
      </c>
      <c r="BJ4" s="3360" t="s">
        <v>200</v>
      </c>
    </row>
    <row r="5" spans="2:64" s="334" customFormat="1" ht="15" customHeight="1" x14ac:dyDescent="0.25">
      <c r="B5" s="1128" t="s">
        <v>162</v>
      </c>
      <c r="C5" s="691"/>
      <c r="D5" s="622"/>
      <c r="E5" s="690"/>
      <c r="F5" s="684"/>
      <c r="G5" s="622"/>
      <c r="H5" s="622"/>
      <c r="I5" s="622"/>
      <c r="J5" s="622"/>
      <c r="K5" s="622"/>
      <c r="L5" s="622"/>
      <c r="M5" s="622"/>
      <c r="N5" s="622"/>
      <c r="O5" s="622"/>
      <c r="P5" s="622"/>
      <c r="Q5" s="622"/>
      <c r="R5" s="622"/>
      <c r="S5" s="622"/>
      <c r="T5" s="622"/>
      <c r="U5" s="622"/>
      <c r="V5" s="622"/>
      <c r="W5" s="622"/>
      <c r="X5" s="622"/>
      <c r="Y5" s="622"/>
      <c r="Z5" s="622"/>
      <c r="AA5" s="622"/>
      <c r="AB5" s="622"/>
      <c r="AC5" s="622"/>
      <c r="AD5" s="622"/>
      <c r="AE5" s="622"/>
      <c r="AF5" s="622"/>
      <c r="AG5" s="622"/>
      <c r="AH5" s="622"/>
      <c r="AI5" s="622"/>
      <c r="AJ5" s="622"/>
      <c r="AK5" s="622"/>
      <c r="AL5" s="622"/>
      <c r="AM5" s="622"/>
      <c r="AN5" s="622"/>
      <c r="AO5" s="622"/>
      <c r="AP5" s="622"/>
      <c r="AQ5" s="622"/>
      <c r="AR5" s="622"/>
      <c r="AS5" s="622"/>
      <c r="AT5" s="622"/>
      <c r="AU5" s="622"/>
      <c r="AV5" s="622"/>
      <c r="AW5" s="622"/>
      <c r="AX5" s="622"/>
      <c r="AY5" s="622"/>
      <c r="AZ5" s="622"/>
      <c r="BA5" s="622"/>
      <c r="BB5" s="622"/>
      <c r="BC5" s="622"/>
      <c r="BD5" s="622"/>
      <c r="BE5" s="622"/>
      <c r="BF5" s="622"/>
      <c r="BG5" s="3361"/>
      <c r="BH5" s="3375"/>
      <c r="BI5" s="3361"/>
      <c r="BJ5" s="3375"/>
    </row>
    <row r="6" spans="2:64" ht="15" customHeight="1" x14ac:dyDescent="0.25">
      <c r="B6" s="718" t="s">
        <v>682</v>
      </c>
      <c r="C6" s="33" t="s">
        <v>393</v>
      </c>
      <c r="D6" s="1036">
        <v>15050</v>
      </c>
      <c r="E6" s="1036">
        <v>0</v>
      </c>
      <c r="F6" s="1975">
        <v>2956.91</v>
      </c>
      <c r="G6" s="4360">
        <v>500</v>
      </c>
      <c r="H6" s="1975">
        <v>4274.74</v>
      </c>
      <c r="I6" s="1077">
        <f t="shared" ref="I6:J8" si="0">+E6+G6</f>
        <v>500</v>
      </c>
      <c r="J6" s="96">
        <f t="shared" si="0"/>
        <v>7231.65</v>
      </c>
      <c r="K6" s="1036">
        <v>1500</v>
      </c>
      <c r="L6" s="675">
        <v>1722.87</v>
      </c>
      <c r="M6" s="162">
        <f t="shared" ref="M6:N8" si="1">+I6+K6</f>
        <v>2000</v>
      </c>
      <c r="N6" s="163">
        <f t="shared" si="1"/>
        <v>8954.52</v>
      </c>
      <c r="O6" s="266">
        <v>1500</v>
      </c>
      <c r="P6" s="675">
        <v>2943.9700000000003</v>
      </c>
      <c r="Q6" s="143">
        <f t="shared" ref="Q6:R8" si="2">+M6+O6</f>
        <v>3500</v>
      </c>
      <c r="R6" s="96">
        <f t="shared" si="2"/>
        <v>11898.490000000002</v>
      </c>
      <c r="S6" s="4361">
        <v>2000</v>
      </c>
      <c r="T6" s="675">
        <v>3275.9400000000005</v>
      </c>
      <c r="U6" s="143">
        <f t="shared" ref="U6:U11" si="3">+Q6+S6</f>
        <v>5500</v>
      </c>
      <c r="V6" s="96">
        <f t="shared" ref="V6:V11" si="4">+R6+T6</f>
        <v>15174.430000000002</v>
      </c>
      <c r="W6" s="266">
        <v>1500</v>
      </c>
      <c r="X6" s="675">
        <v>1628.4700000000003</v>
      </c>
      <c r="Y6" s="162">
        <f>+O6+S6+W6</f>
        <v>5000</v>
      </c>
      <c r="Z6" s="163">
        <f>+P6+T6+X6</f>
        <v>7848.380000000001</v>
      </c>
      <c r="AA6" s="1789">
        <f>+M6+Y6</f>
        <v>7000</v>
      </c>
      <c r="AB6" s="1789">
        <f>+N6+Z6</f>
        <v>16802.900000000001</v>
      </c>
      <c r="AC6" s="3108">
        <v>1500</v>
      </c>
      <c r="AD6" s="3113">
        <v>3324.25</v>
      </c>
      <c r="AE6" s="143">
        <f t="shared" ref="AE6:AE11" si="5">+AA6+AC6</f>
        <v>8500</v>
      </c>
      <c r="AF6" s="96">
        <f t="shared" ref="AF6:AF11" si="6">+AB6+AD6</f>
        <v>20127.150000000001</v>
      </c>
      <c r="AG6" s="3236">
        <v>1500</v>
      </c>
      <c r="AH6" s="3240">
        <v>2214.3199999999993</v>
      </c>
      <c r="AI6" s="143">
        <f t="shared" ref="AI6:AI11" si="7">+AE6+AG6</f>
        <v>10000</v>
      </c>
      <c r="AJ6" s="96">
        <f t="shared" ref="AJ6:AJ11" si="8">+AF6+AH6</f>
        <v>22341.47</v>
      </c>
      <c r="AK6" s="3425">
        <v>1500</v>
      </c>
      <c r="AL6" s="3429">
        <v>2437.96</v>
      </c>
      <c r="AM6" s="162">
        <f>+AC6+AG6+AK6</f>
        <v>4500</v>
      </c>
      <c r="AN6" s="163">
        <f>+AD6+AH6+AL6</f>
        <v>7976.53</v>
      </c>
      <c r="AO6" s="143">
        <f>+AI6+AK6</f>
        <v>11500</v>
      </c>
      <c r="AP6" s="96">
        <f t="shared" ref="AP6:AP11" si="9">+AJ6+AL6</f>
        <v>24779.43</v>
      </c>
      <c r="AQ6" s="675">
        <v>1500</v>
      </c>
      <c r="AR6" s="675">
        <v>17.600000000000001</v>
      </c>
      <c r="AS6" s="143">
        <f t="shared" ref="AS6:AS11" si="10">+AO6+AQ6</f>
        <v>13000</v>
      </c>
      <c r="AT6" s="96">
        <f t="shared" ref="AT6:AT11" si="11">+AP6+AR6</f>
        <v>24797.03</v>
      </c>
      <c r="AU6" s="4012">
        <v>1500</v>
      </c>
      <c r="AV6" s="4012">
        <v>2076.1399999999994</v>
      </c>
      <c r="AW6" s="143">
        <f t="shared" ref="AW6:AW11" si="12">+AS6+AU6</f>
        <v>14500</v>
      </c>
      <c r="AX6" s="96">
        <f t="shared" ref="AX6:AX11" si="13">+AT6+AV6</f>
        <v>26873.17</v>
      </c>
      <c r="AY6" s="4122">
        <v>1550</v>
      </c>
      <c r="AZ6" s="4548">
        <v>6327.9800000000014</v>
      </c>
      <c r="BA6" s="162">
        <f>+AQ6+AU6+AY6</f>
        <v>4550</v>
      </c>
      <c r="BB6" s="163">
        <f>+AR6+AV6+AZ6</f>
        <v>8421.7200000000012</v>
      </c>
      <c r="BC6" s="1789">
        <f>+AM6+BA6</f>
        <v>9050</v>
      </c>
      <c r="BD6" s="1789">
        <f>+AN6+BB6</f>
        <v>16398.25</v>
      </c>
      <c r="BE6" s="143">
        <f>+AW6+AY6</f>
        <v>16050</v>
      </c>
      <c r="BF6" s="143">
        <f>+AX6+AZ6</f>
        <v>33201.15</v>
      </c>
      <c r="BG6" s="3368">
        <v>0</v>
      </c>
      <c r="BH6" s="3369">
        <v>35268.25</v>
      </c>
      <c r="BI6" s="3368">
        <v>2000</v>
      </c>
      <c r="BJ6" s="3369">
        <v>28405.85</v>
      </c>
    </row>
    <row r="7" spans="2:64" s="462" customFormat="1" ht="15" customHeight="1" x14ac:dyDescent="0.25">
      <c r="B7" s="718" t="s">
        <v>80</v>
      </c>
      <c r="C7" s="33" t="s">
        <v>393</v>
      </c>
      <c r="D7" s="1036">
        <v>0</v>
      </c>
      <c r="E7" s="1036">
        <v>0</v>
      </c>
      <c r="F7" s="1975">
        <v>0</v>
      </c>
      <c r="G7" s="1036">
        <v>0</v>
      </c>
      <c r="H7" s="1975">
        <v>5712.02</v>
      </c>
      <c r="I7" s="1077">
        <f t="shared" si="0"/>
        <v>0</v>
      </c>
      <c r="J7" s="96">
        <f t="shared" si="0"/>
        <v>5712.02</v>
      </c>
      <c r="K7" s="1036">
        <v>0</v>
      </c>
      <c r="L7" s="675">
        <v>0</v>
      </c>
      <c r="M7" s="162">
        <f t="shared" si="1"/>
        <v>0</v>
      </c>
      <c r="N7" s="163">
        <f t="shared" si="1"/>
        <v>5712.02</v>
      </c>
      <c r="O7" s="94">
        <v>0</v>
      </c>
      <c r="P7" s="675">
        <v>2863.6799999999994</v>
      </c>
      <c r="Q7" s="143">
        <f t="shared" si="2"/>
        <v>0</v>
      </c>
      <c r="R7" s="96">
        <f t="shared" si="2"/>
        <v>8575.7000000000007</v>
      </c>
      <c r="S7" s="94">
        <v>0</v>
      </c>
      <c r="T7" s="675">
        <v>8333.58</v>
      </c>
      <c r="U7" s="143">
        <f t="shared" si="3"/>
        <v>0</v>
      </c>
      <c r="V7" s="96">
        <f t="shared" si="4"/>
        <v>16909.28</v>
      </c>
      <c r="W7" s="94">
        <v>0</v>
      </c>
      <c r="X7" s="675">
        <v>5479.1600000000026</v>
      </c>
      <c r="Y7" s="162">
        <f t="shared" ref="Y7:Y11" si="14">+O7+S7+W7</f>
        <v>0</v>
      </c>
      <c r="Z7" s="163">
        <f t="shared" ref="Z7:Z11" si="15">+P7+T7+X7</f>
        <v>16676.420000000002</v>
      </c>
      <c r="AA7" s="1789">
        <f t="shared" ref="AA7:AB11" si="16">+M7+Y7</f>
        <v>0</v>
      </c>
      <c r="AB7" s="1789">
        <f t="shared" si="16"/>
        <v>22388.440000000002</v>
      </c>
      <c r="AC7" s="3104">
        <v>0</v>
      </c>
      <c r="AD7" s="3113">
        <v>11475.779999999999</v>
      </c>
      <c r="AE7" s="143">
        <f t="shared" si="5"/>
        <v>0</v>
      </c>
      <c r="AF7" s="96">
        <f t="shared" si="6"/>
        <v>33864.22</v>
      </c>
      <c r="AG7" s="3233">
        <v>0</v>
      </c>
      <c r="AH7" s="3240">
        <v>2870.48</v>
      </c>
      <c r="AI7" s="143">
        <f t="shared" si="7"/>
        <v>0</v>
      </c>
      <c r="AJ7" s="96">
        <f t="shared" si="8"/>
        <v>36734.700000000004</v>
      </c>
      <c r="AK7" s="3422">
        <v>0</v>
      </c>
      <c r="AL7" s="3429">
        <v>10720.04</v>
      </c>
      <c r="AM7" s="162">
        <f t="shared" ref="AM7:AM11" si="17">+AC7+AG7+AK7</f>
        <v>0</v>
      </c>
      <c r="AN7" s="163">
        <f t="shared" ref="AN7:AN11" si="18">+AD7+AH7+AL7</f>
        <v>25066.3</v>
      </c>
      <c r="AO7" s="143">
        <f t="shared" ref="AO7:AO11" si="19">+AI7+AK7</f>
        <v>0</v>
      </c>
      <c r="AP7" s="96">
        <f t="shared" si="9"/>
        <v>47454.740000000005</v>
      </c>
      <c r="AQ7" s="675">
        <v>0</v>
      </c>
      <c r="AR7" s="675">
        <v>5342.76</v>
      </c>
      <c r="AS7" s="143">
        <f>+AO7+AQ7</f>
        <v>0</v>
      </c>
      <c r="AT7" s="96">
        <f t="shared" si="11"/>
        <v>52797.500000000007</v>
      </c>
      <c r="AU7" s="4012">
        <v>0</v>
      </c>
      <c r="AV7" s="4012">
        <v>8560.9199999999983</v>
      </c>
      <c r="AW7" s="143">
        <f t="shared" si="12"/>
        <v>0</v>
      </c>
      <c r="AX7" s="96">
        <f t="shared" si="13"/>
        <v>61358.420000000006</v>
      </c>
      <c r="AY7" s="4122">
        <v>0</v>
      </c>
      <c r="AZ7" s="4548">
        <v>10349</v>
      </c>
      <c r="BA7" s="162">
        <f t="shared" ref="BA7:BA11" si="20">+AQ7+AU7+AY7</f>
        <v>0</v>
      </c>
      <c r="BB7" s="163">
        <f t="shared" ref="BB7:BB11" si="21">+AR7+AV7+AZ7</f>
        <v>24252.68</v>
      </c>
      <c r="BC7" s="1789">
        <f t="shared" ref="BC7:BD11" si="22">+AM7+BA7</f>
        <v>0</v>
      </c>
      <c r="BD7" s="1789">
        <f t="shared" si="22"/>
        <v>49318.979999999996</v>
      </c>
      <c r="BE7" s="143">
        <f t="shared" ref="BE7:BF11" si="23">+AW7+AY7</f>
        <v>0</v>
      </c>
      <c r="BF7" s="143">
        <f t="shared" si="23"/>
        <v>71707.420000000013</v>
      </c>
      <c r="BG7" s="3368">
        <v>10800</v>
      </c>
      <c r="BH7" s="3369">
        <v>9758.5099999999966</v>
      </c>
      <c r="BI7" s="3368">
        <v>24210</v>
      </c>
      <c r="BJ7" s="3369">
        <v>5928.0949999999839</v>
      </c>
    </row>
    <row r="8" spans="2:64" ht="15" customHeight="1" x14ac:dyDescent="0.25">
      <c r="B8" s="718" t="s">
        <v>634</v>
      </c>
      <c r="C8" s="33" t="s">
        <v>393</v>
      </c>
      <c r="D8" s="345">
        <v>498500</v>
      </c>
      <c r="E8" s="345">
        <v>33000</v>
      </c>
      <c r="F8" s="238">
        <v>32479.46</v>
      </c>
      <c r="G8" s="345">
        <v>41000</v>
      </c>
      <c r="H8" s="238">
        <v>29307.43</v>
      </c>
      <c r="I8" s="1077">
        <f t="shared" si="0"/>
        <v>74000</v>
      </c>
      <c r="J8" s="96">
        <f t="shared" si="0"/>
        <v>61786.89</v>
      </c>
      <c r="K8" s="345">
        <v>41500</v>
      </c>
      <c r="L8" s="475">
        <f>36293.25-127.26</f>
        <v>36165.99</v>
      </c>
      <c r="M8" s="162">
        <f t="shared" si="1"/>
        <v>115500</v>
      </c>
      <c r="N8" s="163">
        <f t="shared" si="1"/>
        <v>97952.88</v>
      </c>
      <c r="O8" s="94">
        <v>43500</v>
      </c>
      <c r="P8" s="475">
        <f>39274.56+127.26</f>
        <v>39401.82</v>
      </c>
      <c r="Q8" s="143">
        <f t="shared" si="2"/>
        <v>159000</v>
      </c>
      <c r="R8" s="96">
        <f t="shared" si="2"/>
        <v>137354.70000000001</v>
      </c>
      <c r="S8" s="94">
        <v>43000</v>
      </c>
      <c r="T8" s="475">
        <v>41652.299999999988</v>
      </c>
      <c r="U8" s="143">
        <f t="shared" si="3"/>
        <v>202000</v>
      </c>
      <c r="V8" s="96">
        <f t="shared" si="4"/>
        <v>179007</v>
      </c>
      <c r="W8" s="94">
        <v>42000</v>
      </c>
      <c r="X8" s="475">
        <v>40286.89</v>
      </c>
      <c r="Y8" s="162">
        <f t="shared" si="14"/>
        <v>128500</v>
      </c>
      <c r="Z8" s="163">
        <f t="shared" si="15"/>
        <v>121341.01</v>
      </c>
      <c r="AA8" s="1789">
        <f t="shared" si="16"/>
        <v>244000</v>
      </c>
      <c r="AB8" s="1789">
        <f t="shared" si="16"/>
        <v>219293.89</v>
      </c>
      <c r="AC8" s="3104">
        <v>43500</v>
      </c>
      <c r="AD8" s="3115">
        <v>41035.009999999995</v>
      </c>
      <c r="AE8" s="143">
        <f t="shared" si="5"/>
        <v>287500</v>
      </c>
      <c r="AF8" s="96">
        <f t="shared" si="6"/>
        <v>260328.90000000002</v>
      </c>
      <c r="AG8" s="3233">
        <v>42000</v>
      </c>
      <c r="AH8" s="3243">
        <v>36699.67</v>
      </c>
      <c r="AI8" s="143">
        <f t="shared" si="7"/>
        <v>329500</v>
      </c>
      <c r="AJ8" s="96">
        <f t="shared" si="8"/>
        <v>297028.57</v>
      </c>
      <c r="AK8" s="3422">
        <v>43000</v>
      </c>
      <c r="AL8" s="3427">
        <v>37448.32</v>
      </c>
      <c r="AM8" s="162">
        <f t="shared" si="17"/>
        <v>128500</v>
      </c>
      <c r="AN8" s="163">
        <f t="shared" si="18"/>
        <v>115183</v>
      </c>
      <c r="AO8" s="143">
        <f t="shared" si="19"/>
        <v>372500</v>
      </c>
      <c r="AP8" s="96">
        <f t="shared" si="9"/>
        <v>334476.89</v>
      </c>
      <c r="AQ8" s="475">
        <v>43500</v>
      </c>
      <c r="AR8" s="475">
        <v>41962.080000000002</v>
      </c>
      <c r="AS8" s="143">
        <f>+AO8+AQ8</f>
        <v>416000</v>
      </c>
      <c r="AT8" s="96">
        <f t="shared" si="11"/>
        <v>376438.97000000003</v>
      </c>
      <c r="AU8" s="3990">
        <v>39000</v>
      </c>
      <c r="AV8" s="3990">
        <v>44216.669999999991</v>
      </c>
      <c r="AW8" s="143">
        <f t="shared" si="12"/>
        <v>455000</v>
      </c>
      <c r="AX8" s="96">
        <f t="shared" si="13"/>
        <v>420655.64</v>
      </c>
      <c r="AY8" s="4112">
        <v>43500</v>
      </c>
      <c r="AZ8" s="4574">
        <v>47298</v>
      </c>
      <c r="BA8" s="162">
        <f t="shared" si="20"/>
        <v>126000</v>
      </c>
      <c r="BB8" s="163">
        <f t="shared" si="21"/>
        <v>133476.75</v>
      </c>
      <c r="BC8" s="1789">
        <f t="shared" si="22"/>
        <v>254500</v>
      </c>
      <c r="BD8" s="1789">
        <f t="shared" si="22"/>
        <v>248659.75</v>
      </c>
      <c r="BE8" s="143">
        <f t="shared" si="23"/>
        <v>498500</v>
      </c>
      <c r="BF8" s="143">
        <f t="shared" si="23"/>
        <v>467953.64</v>
      </c>
      <c r="BG8" s="3368">
        <v>435166.28679320007</v>
      </c>
      <c r="BH8" s="3369">
        <v>351267.01600000006</v>
      </c>
      <c r="BI8" s="3368">
        <v>498000</v>
      </c>
      <c r="BJ8" s="3369">
        <v>399090.26199999993</v>
      </c>
      <c r="BL8">
        <f>+BL10/BH12</f>
        <v>0.16009367811133862</v>
      </c>
    </row>
    <row r="9" spans="2:64" ht="15" customHeight="1" x14ac:dyDescent="0.25">
      <c r="B9" s="718" t="s">
        <v>635</v>
      </c>
      <c r="C9" s="33" t="s">
        <v>393</v>
      </c>
      <c r="D9" s="345">
        <v>750000</v>
      </c>
      <c r="E9" s="345">
        <v>44000</v>
      </c>
      <c r="F9" s="238">
        <v>35076.639999999999</v>
      </c>
      <c r="G9" s="345">
        <v>50000</v>
      </c>
      <c r="H9" s="238">
        <v>34586.76</v>
      </c>
      <c r="I9" s="1077">
        <f t="shared" ref="I9:I11" si="24">+E9+G9</f>
        <v>94000</v>
      </c>
      <c r="J9" s="96">
        <f t="shared" ref="J9:J11" si="25">+F9+H9</f>
        <v>69663.399999999994</v>
      </c>
      <c r="K9" s="345">
        <v>65000</v>
      </c>
      <c r="L9" s="475">
        <v>51668.42</v>
      </c>
      <c r="M9" s="162">
        <f t="shared" ref="M9:M11" si="26">+I9+K9</f>
        <v>159000</v>
      </c>
      <c r="N9" s="163">
        <f t="shared" ref="N9:N11" si="27">+J9+L9</f>
        <v>121331.81999999999</v>
      </c>
      <c r="O9" s="94">
        <v>67000</v>
      </c>
      <c r="P9" s="475">
        <v>53901.93</v>
      </c>
      <c r="Q9" s="143">
        <f t="shared" ref="Q9:Q11" si="28">+M9+O9</f>
        <v>226000</v>
      </c>
      <c r="R9" s="96">
        <f t="shared" ref="R9:R11" si="29">+N9+P9</f>
        <v>175233.75</v>
      </c>
      <c r="S9" s="94">
        <v>67000</v>
      </c>
      <c r="T9" s="475">
        <v>50809.85</v>
      </c>
      <c r="U9" s="143">
        <f t="shared" si="3"/>
        <v>293000</v>
      </c>
      <c r="V9" s="96">
        <f t="shared" si="4"/>
        <v>226043.6</v>
      </c>
      <c r="W9" s="94">
        <v>65000</v>
      </c>
      <c r="X9" s="475">
        <v>54227.869999999995</v>
      </c>
      <c r="Y9" s="162">
        <f t="shared" si="14"/>
        <v>199000</v>
      </c>
      <c r="Z9" s="163">
        <f t="shared" si="15"/>
        <v>158939.65</v>
      </c>
      <c r="AA9" s="1789">
        <f t="shared" si="16"/>
        <v>358000</v>
      </c>
      <c r="AB9" s="1789">
        <f t="shared" si="16"/>
        <v>280271.46999999997</v>
      </c>
      <c r="AC9" s="3104">
        <v>67000</v>
      </c>
      <c r="AD9" s="3115">
        <v>58924.31</v>
      </c>
      <c r="AE9" s="143">
        <f t="shared" si="5"/>
        <v>425000</v>
      </c>
      <c r="AF9" s="96">
        <f t="shared" si="6"/>
        <v>339195.77999999997</v>
      </c>
      <c r="AG9" s="3233">
        <v>65000</v>
      </c>
      <c r="AH9" s="3243">
        <v>49365.069999999992</v>
      </c>
      <c r="AI9" s="143">
        <f t="shared" si="7"/>
        <v>490000</v>
      </c>
      <c r="AJ9" s="96">
        <f t="shared" si="8"/>
        <v>388560.85</v>
      </c>
      <c r="AK9" s="3422">
        <v>67000</v>
      </c>
      <c r="AL9" s="3427">
        <v>75504.19</v>
      </c>
      <c r="AM9" s="162">
        <f t="shared" si="17"/>
        <v>199000</v>
      </c>
      <c r="AN9" s="163">
        <f t="shared" si="18"/>
        <v>183793.57</v>
      </c>
      <c r="AO9" s="143">
        <f t="shared" si="19"/>
        <v>557000</v>
      </c>
      <c r="AP9" s="96">
        <f t="shared" si="9"/>
        <v>464065.04</v>
      </c>
      <c r="AQ9" s="475">
        <v>67000</v>
      </c>
      <c r="AR9" s="475">
        <v>66658.319999999978</v>
      </c>
      <c r="AS9" s="143">
        <f t="shared" si="10"/>
        <v>624000</v>
      </c>
      <c r="AT9" s="96">
        <f t="shared" si="11"/>
        <v>530723.36</v>
      </c>
      <c r="AU9" s="3990">
        <v>59000</v>
      </c>
      <c r="AV9" s="3990">
        <v>46901.53</v>
      </c>
      <c r="AW9" s="143">
        <f t="shared" si="12"/>
        <v>683000</v>
      </c>
      <c r="AX9" s="96">
        <f t="shared" si="13"/>
        <v>577624.89</v>
      </c>
      <c r="AY9" s="4112">
        <v>67000</v>
      </c>
      <c r="AZ9" s="4112">
        <v>71137</v>
      </c>
      <c r="BA9" s="162">
        <f t="shared" si="20"/>
        <v>193000</v>
      </c>
      <c r="BB9" s="163">
        <f t="shared" si="21"/>
        <v>184696.84999999998</v>
      </c>
      <c r="BC9" s="1789">
        <f t="shared" si="22"/>
        <v>392000</v>
      </c>
      <c r="BD9" s="1789">
        <f t="shared" si="22"/>
        <v>368490.42</v>
      </c>
      <c r="BE9" s="143">
        <f t="shared" si="23"/>
        <v>750000</v>
      </c>
      <c r="BF9" s="143">
        <f t="shared" si="23"/>
        <v>648761.89</v>
      </c>
      <c r="BG9" s="3368">
        <v>674874.74</v>
      </c>
      <c r="BH9" s="3369">
        <v>436958.46299999999</v>
      </c>
      <c r="BI9" s="3368">
        <v>800000</v>
      </c>
      <c r="BJ9" s="3369">
        <v>612890.54699999979</v>
      </c>
    </row>
    <row r="10" spans="2:64" ht="15" customHeight="1" x14ac:dyDescent="0.25">
      <c r="B10" s="718" t="s">
        <v>636</v>
      </c>
      <c r="C10" s="33" t="s">
        <v>393</v>
      </c>
      <c r="D10" s="345">
        <v>445000</v>
      </c>
      <c r="E10" s="345">
        <v>10000</v>
      </c>
      <c r="F10" s="238">
        <v>9066.34</v>
      </c>
      <c r="G10" s="345">
        <v>0</v>
      </c>
      <c r="H10" s="238">
        <v>2525.46</v>
      </c>
      <c r="I10" s="1077">
        <f t="shared" si="24"/>
        <v>10000</v>
      </c>
      <c r="J10" s="96">
        <f t="shared" si="25"/>
        <v>11591.8</v>
      </c>
      <c r="K10" s="345">
        <v>39500</v>
      </c>
      <c r="L10" s="475">
        <v>7751.2099999999991</v>
      </c>
      <c r="M10" s="162">
        <f t="shared" si="26"/>
        <v>49500</v>
      </c>
      <c r="N10" s="163">
        <f t="shared" si="27"/>
        <v>19343.009999999998</v>
      </c>
      <c r="O10" s="94">
        <v>39500</v>
      </c>
      <c r="P10" s="475">
        <v>22732.9</v>
      </c>
      <c r="Q10" s="143">
        <f t="shared" si="28"/>
        <v>89000</v>
      </c>
      <c r="R10" s="96">
        <f t="shared" si="29"/>
        <v>42075.91</v>
      </c>
      <c r="S10" s="94">
        <v>44500</v>
      </c>
      <c r="T10" s="475">
        <v>19016.82</v>
      </c>
      <c r="U10" s="143">
        <f t="shared" si="3"/>
        <v>133500</v>
      </c>
      <c r="V10" s="96">
        <f t="shared" si="4"/>
        <v>61092.73</v>
      </c>
      <c r="W10" s="94">
        <v>44500</v>
      </c>
      <c r="X10" s="475">
        <v>9271.7000000000025</v>
      </c>
      <c r="Y10" s="162">
        <f t="shared" si="14"/>
        <v>128500</v>
      </c>
      <c r="Z10" s="163">
        <f t="shared" si="15"/>
        <v>51021.420000000006</v>
      </c>
      <c r="AA10" s="1789">
        <f t="shared" si="16"/>
        <v>178000</v>
      </c>
      <c r="AB10" s="1789">
        <f t="shared" si="16"/>
        <v>70364.430000000008</v>
      </c>
      <c r="AC10" s="3104">
        <v>44500</v>
      </c>
      <c r="AD10" s="3115">
        <v>21321.119999999995</v>
      </c>
      <c r="AE10" s="143">
        <f t="shared" si="5"/>
        <v>222500</v>
      </c>
      <c r="AF10" s="96">
        <f t="shared" si="6"/>
        <v>91685.55</v>
      </c>
      <c r="AG10" s="3233">
        <v>44500</v>
      </c>
      <c r="AH10" s="3243">
        <v>21142.22</v>
      </c>
      <c r="AI10" s="143">
        <f t="shared" si="7"/>
        <v>267000</v>
      </c>
      <c r="AJ10" s="96">
        <f t="shared" si="8"/>
        <v>112827.77</v>
      </c>
      <c r="AK10" s="3422">
        <v>44500</v>
      </c>
      <c r="AL10" s="3427">
        <v>28432.320000000007</v>
      </c>
      <c r="AM10" s="162">
        <f t="shared" si="17"/>
        <v>133500</v>
      </c>
      <c r="AN10" s="163">
        <f t="shared" si="18"/>
        <v>70895.66</v>
      </c>
      <c r="AO10" s="143">
        <f t="shared" si="19"/>
        <v>311500</v>
      </c>
      <c r="AP10" s="96">
        <f t="shared" si="9"/>
        <v>141260.09000000003</v>
      </c>
      <c r="AQ10" s="475">
        <v>44500</v>
      </c>
      <c r="AR10" s="475">
        <v>20928.53</v>
      </c>
      <c r="AS10" s="143">
        <f t="shared" si="10"/>
        <v>356000</v>
      </c>
      <c r="AT10" s="96">
        <f t="shared" si="11"/>
        <v>162188.62000000002</v>
      </c>
      <c r="AU10" s="3990">
        <v>44500</v>
      </c>
      <c r="AV10" s="3990">
        <v>23604.03</v>
      </c>
      <c r="AW10" s="143">
        <f t="shared" si="12"/>
        <v>400500</v>
      </c>
      <c r="AX10" s="96">
        <f t="shared" si="13"/>
        <v>185792.65000000002</v>
      </c>
      <c r="AY10" s="4112">
        <v>44500</v>
      </c>
      <c r="AZ10" s="4112">
        <v>28527</v>
      </c>
      <c r="BA10" s="162">
        <f t="shared" si="20"/>
        <v>133500</v>
      </c>
      <c r="BB10" s="163">
        <f t="shared" si="21"/>
        <v>73059.56</v>
      </c>
      <c r="BC10" s="1789">
        <f t="shared" si="22"/>
        <v>267000</v>
      </c>
      <c r="BD10" s="1789">
        <f t="shared" si="22"/>
        <v>143955.22</v>
      </c>
      <c r="BE10" s="143">
        <f t="shared" si="23"/>
        <v>445000</v>
      </c>
      <c r="BF10" s="143">
        <f t="shared" si="23"/>
        <v>214319.65000000002</v>
      </c>
      <c r="BG10" s="3368">
        <v>220000</v>
      </c>
      <c r="BH10" s="3369">
        <v>100400.402</v>
      </c>
      <c r="BI10" s="3368">
        <v>535000</v>
      </c>
      <c r="BJ10" s="3369">
        <v>167166.99200000003</v>
      </c>
      <c r="BL10" s="4090">
        <f>+BF12-BH12</f>
        <v>300600.67100000009</v>
      </c>
    </row>
    <row r="11" spans="2:64" ht="15" customHeight="1" thickBot="1" x14ac:dyDescent="0.3">
      <c r="B11" s="719" t="s">
        <v>793</v>
      </c>
      <c r="C11" s="34" t="s">
        <v>393</v>
      </c>
      <c r="D11" s="2014">
        <v>659950.15090756118</v>
      </c>
      <c r="E11" s="2014">
        <v>-1.0140470251940314E-4</v>
      </c>
      <c r="F11" s="248">
        <v>26014.07</v>
      </c>
      <c r="G11" s="2014">
        <v>0.46042229194426909</v>
      </c>
      <c r="H11" s="248">
        <v>28054.78</v>
      </c>
      <c r="I11" s="1077">
        <f t="shared" si="24"/>
        <v>0.46032088724174969</v>
      </c>
      <c r="J11" s="96">
        <f t="shared" si="25"/>
        <v>54068.85</v>
      </c>
      <c r="K11" s="2014">
        <v>68792.581804310903</v>
      </c>
      <c r="L11" s="555">
        <v>76797.38</v>
      </c>
      <c r="M11" s="162">
        <f t="shared" si="26"/>
        <v>68793.042125198146</v>
      </c>
      <c r="N11" s="163">
        <f t="shared" si="27"/>
        <v>130866.23000000001</v>
      </c>
      <c r="O11" s="94">
        <v>70892.089892564109</v>
      </c>
      <c r="P11" s="555">
        <v>66760.810000000012</v>
      </c>
      <c r="Q11" s="2016">
        <f t="shared" si="28"/>
        <v>139685.13201776225</v>
      </c>
      <c r="R11" s="101">
        <f t="shared" si="29"/>
        <v>197627.04000000004</v>
      </c>
      <c r="S11" s="94">
        <v>66355.222922719942</v>
      </c>
      <c r="T11" s="555">
        <v>71305.95</v>
      </c>
      <c r="U11" s="2016">
        <f t="shared" si="3"/>
        <v>206040.35494048218</v>
      </c>
      <c r="V11" s="101">
        <f t="shared" si="4"/>
        <v>268932.99000000005</v>
      </c>
      <c r="W11" s="94">
        <v>64673.36037437286</v>
      </c>
      <c r="X11" s="555">
        <v>88791.78999999995</v>
      </c>
      <c r="Y11" s="162">
        <f t="shared" si="14"/>
        <v>201920.67318965693</v>
      </c>
      <c r="Z11" s="163">
        <f t="shared" si="15"/>
        <v>226858.54999999996</v>
      </c>
      <c r="AA11" s="1789">
        <f t="shared" si="16"/>
        <v>270713.7153148551</v>
      </c>
      <c r="AB11" s="1789">
        <f t="shared" si="16"/>
        <v>357724.77999999997</v>
      </c>
      <c r="AC11" s="3104">
        <v>67643.955317086118</v>
      </c>
      <c r="AD11" s="555">
        <v>48239.76999999999</v>
      </c>
      <c r="AE11" s="2016">
        <f t="shared" si="5"/>
        <v>338357.67063194123</v>
      </c>
      <c r="AF11" s="101">
        <f t="shared" si="6"/>
        <v>405964.54999999993</v>
      </c>
      <c r="AG11" s="3233">
        <v>62673.36037437286</v>
      </c>
      <c r="AH11" s="555">
        <v>73495.39</v>
      </c>
      <c r="AI11" s="2016">
        <f t="shared" si="7"/>
        <v>401031.03100631409</v>
      </c>
      <c r="AJ11" s="101">
        <f t="shared" si="8"/>
        <v>479459.93999999994</v>
      </c>
      <c r="AK11" s="3422">
        <v>67969.955317086118</v>
      </c>
      <c r="AL11" s="555">
        <v>68439.609999999957</v>
      </c>
      <c r="AM11" s="162">
        <f t="shared" si="17"/>
        <v>198287.2710085451</v>
      </c>
      <c r="AN11" s="163">
        <f t="shared" si="18"/>
        <v>190174.76999999996</v>
      </c>
      <c r="AO11" s="2016">
        <f t="shared" si="19"/>
        <v>469000.98632340023</v>
      </c>
      <c r="AP11" s="101">
        <f t="shared" si="9"/>
        <v>547899.54999999993</v>
      </c>
      <c r="AQ11" s="555">
        <v>68143.955317086118</v>
      </c>
      <c r="AR11" s="555">
        <v>70955.829999999987</v>
      </c>
      <c r="AS11" s="2016">
        <f t="shared" si="10"/>
        <v>537144.94164048636</v>
      </c>
      <c r="AT11" s="101">
        <f t="shared" si="11"/>
        <v>618855.37999999989</v>
      </c>
      <c r="AU11" s="555">
        <v>54711.253949988895</v>
      </c>
      <c r="AV11" s="555">
        <v>61093.389999999992</v>
      </c>
      <c r="AW11" s="2016">
        <f t="shared" si="12"/>
        <v>591856.19559047522</v>
      </c>
      <c r="AX11" s="101">
        <f t="shared" si="13"/>
        <v>679948.7699999999</v>
      </c>
      <c r="AY11" s="555">
        <v>68093.955317086118</v>
      </c>
      <c r="AZ11" s="555">
        <v>62363</v>
      </c>
      <c r="BA11" s="162">
        <f t="shared" si="20"/>
        <v>190949.16458416113</v>
      </c>
      <c r="BB11" s="163">
        <f t="shared" si="21"/>
        <v>194412.21999999997</v>
      </c>
      <c r="BC11" s="1789">
        <f t="shared" si="22"/>
        <v>389236.4355927062</v>
      </c>
      <c r="BD11" s="1789">
        <f t="shared" si="22"/>
        <v>384586.98999999993</v>
      </c>
      <c r="BE11" s="143">
        <f t="shared" si="23"/>
        <v>659950.1509075613</v>
      </c>
      <c r="BF11" s="143">
        <f t="shared" si="23"/>
        <v>742311.7699999999</v>
      </c>
      <c r="BG11" s="3368">
        <v>893633.77567653405</v>
      </c>
      <c r="BH11" s="3369">
        <v>944002.20799999987</v>
      </c>
      <c r="BI11" s="3368">
        <v>547789.74093264237</v>
      </c>
      <c r="BJ11" s="3369">
        <v>836451.00399999984</v>
      </c>
      <c r="BL11" s="4090">
        <f>+BF12-'Maj Production Summ'!BF35</f>
        <v>17829.701304345857</v>
      </c>
    </row>
    <row r="12" spans="2:64" s="334" customFormat="1" ht="15" customHeight="1" thickBot="1" x14ac:dyDescent="0.3">
      <c r="B12" s="3382" t="s">
        <v>2</v>
      </c>
      <c r="C12" s="2049" t="s">
        <v>393</v>
      </c>
      <c r="D12" s="1999">
        <f>SUM(D6:D11)</f>
        <v>2368500.1509075612</v>
      </c>
      <c r="E12" s="1999">
        <f t="shared" ref="E12:R12" si="30">SUM(E6:E11)</f>
        <v>86999.999898595299</v>
      </c>
      <c r="F12" s="557">
        <f t="shared" si="30"/>
        <v>105593.41999999998</v>
      </c>
      <c r="G12" s="1999">
        <f t="shared" ref="G12:H12" si="31">SUM(G6:G11)</f>
        <v>91500.460422291944</v>
      </c>
      <c r="H12" s="557">
        <f t="shared" si="31"/>
        <v>104461.19000000002</v>
      </c>
      <c r="I12" s="1121">
        <f t="shared" si="30"/>
        <v>178500.46032088724</v>
      </c>
      <c r="J12" s="986">
        <f t="shared" si="30"/>
        <v>210054.61</v>
      </c>
      <c r="K12" s="1999">
        <f t="shared" ref="K12:L12" si="32">SUM(K6:K11)</f>
        <v>216292.5818043109</v>
      </c>
      <c r="L12" s="557">
        <f t="shared" si="32"/>
        <v>174105.87</v>
      </c>
      <c r="M12" s="1121">
        <f t="shared" si="30"/>
        <v>394793.04212519818</v>
      </c>
      <c r="N12" s="1121">
        <f t="shared" si="30"/>
        <v>384160.48</v>
      </c>
      <c r="O12" s="1999">
        <f t="shared" si="30"/>
        <v>222392.08989256411</v>
      </c>
      <c r="P12" s="987">
        <f t="shared" si="30"/>
        <v>188605.11</v>
      </c>
      <c r="Q12" s="1121">
        <f t="shared" si="30"/>
        <v>617185.13201776228</v>
      </c>
      <c r="R12" s="986">
        <f t="shared" si="30"/>
        <v>572765.59000000008</v>
      </c>
      <c r="S12" s="1999">
        <f t="shared" ref="S12:V12" si="33">SUM(S6:S11)</f>
        <v>222855.22292271996</v>
      </c>
      <c r="T12" s="987">
        <f t="shared" si="33"/>
        <v>194394.44</v>
      </c>
      <c r="U12" s="1121">
        <f t="shared" si="33"/>
        <v>840040.35494048218</v>
      </c>
      <c r="V12" s="986">
        <f t="shared" si="33"/>
        <v>767160.03</v>
      </c>
      <c r="W12" s="1999">
        <f t="shared" ref="W12:X12" si="34">SUM(W6:W11)</f>
        <v>217673.36037437286</v>
      </c>
      <c r="X12" s="987">
        <f t="shared" si="34"/>
        <v>199685.87999999995</v>
      </c>
      <c r="Y12" s="1121">
        <f t="shared" ref="Y12:Z12" si="35">SUM(Y6:Y11)</f>
        <v>662920.67318965693</v>
      </c>
      <c r="Z12" s="986">
        <f t="shared" si="35"/>
        <v>582685.42999999993</v>
      </c>
      <c r="AA12" s="1121">
        <f t="shared" ref="AA12:AF12" si="36">SUM(AA6:AA11)</f>
        <v>1057713.7153148551</v>
      </c>
      <c r="AB12" s="986">
        <f t="shared" si="36"/>
        <v>966845.90999999992</v>
      </c>
      <c r="AC12" s="1999">
        <f t="shared" si="36"/>
        <v>224143.95531708613</v>
      </c>
      <c r="AD12" s="987">
        <f t="shared" si="36"/>
        <v>184320.23999999996</v>
      </c>
      <c r="AE12" s="1121">
        <f t="shared" si="36"/>
        <v>1281857.6706319412</v>
      </c>
      <c r="AF12" s="986">
        <f t="shared" si="36"/>
        <v>1151166.1499999999</v>
      </c>
      <c r="AG12" s="1999">
        <f t="shared" ref="AG12:AJ12" si="37">SUM(AG6:AG11)</f>
        <v>215673.36037437286</v>
      </c>
      <c r="AH12" s="987">
        <f t="shared" si="37"/>
        <v>185787.15</v>
      </c>
      <c r="AI12" s="1121">
        <f t="shared" si="37"/>
        <v>1497531.0310063141</v>
      </c>
      <c r="AJ12" s="986">
        <f t="shared" si="37"/>
        <v>1336953.2999999998</v>
      </c>
      <c r="AK12" s="1999">
        <f t="shared" ref="AK12:AL12" si="38">SUM(AK6:AK11)</f>
        <v>223969.95531708613</v>
      </c>
      <c r="AL12" s="987">
        <f t="shared" si="38"/>
        <v>222982.43999999997</v>
      </c>
      <c r="AM12" s="1121">
        <f t="shared" ref="AM12:AP12" si="39">SUM(AM6:AM11)</f>
        <v>663787.27100854507</v>
      </c>
      <c r="AN12" s="986">
        <f t="shared" si="39"/>
        <v>593089.83000000007</v>
      </c>
      <c r="AO12" s="1121">
        <f t="shared" si="39"/>
        <v>1721500.9863234002</v>
      </c>
      <c r="AP12" s="986">
        <f t="shared" si="39"/>
        <v>1559935.7400000002</v>
      </c>
      <c r="AQ12" s="1999">
        <f t="shared" ref="AQ12:AT12" si="40">SUM(AQ6:AQ11)</f>
        <v>224643.95531708613</v>
      </c>
      <c r="AR12" s="987">
        <f t="shared" si="40"/>
        <v>205865.11999999997</v>
      </c>
      <c r="AS12" s="1121">
        <f t="shared" si="40"/>
        <v>1946144.9416404865</v>
      </c>
      <c r="AT12" s="986">
        <f t="shared" si="40"/>
        <v>1765800.8599999999</v>
      </c>
      <c r="AU12" s="1999">
        <f t="shared" ref="AU12:AX12" si="41">SUM(AU6:AU11)</f>
        <v>198711.2539499889</v>
      </c>
      <c r="AV12" s="987">
        <f t="shared" si="41"/>
        <v>186452.67999999996</v>
      </c>
      <c r="AW12" s="1121">
        <f t="shared" si="41"/>
        <v>2144856.1955904751</v>
      </c>
      <c r="AX12" s="986">
        <f t="shared" si="41"/>
        <v>1952253.54</v>
      </c>
      <c r="AY12" s="1999">
        <f t="shared" ref="AY12:BD12" si="42">SUM(AY6:AY11)</f>
        <v>224643.95531708613</v>
      </c>
      <c r="AZ12" s="1999">
        <f t="shared" si="42"/>
        <v>226001.98</v>
      </c>
      <c r="BA12" s="1121">
        <f t="shared" si="42"/>
        <v>647999.16458416113</v>
      </c>
      <c r="BB12" s="986">
        <f t="shared" si="42"/>
        <v>618319.78</v>
      </c>
      <c r="BC12" s="1121">
        <f t="shared" si="42"/>
        <v>1311786.4355927063</v>
      </c>
      <c r="BD12" s="986">
        <f t="shared" si="42"/>
        <v>1211409.6099999999</v>
      </c>
      <c r="BE12" s="1121">
        <f t="shared" ref="BE12:BF12" si="43">SUM(BE6:BE11)</f>
        <v>2369500.1509075612</v>
      </c>
      <c r="BF12" s="986">
        <f t="shared" si="43"/>
        <v>2178255.52</v>
      </c>
      <c r="BG12" s="1121">
        <v>2234474.8024697341</v>
      </c>
      <c r="BH12" s="986">
        <v>1877654.8489999999</v>
      </c>
      <c r="BI12" s="1121">
        <v>2406999.7409326425</v>
      </c>
      <c r="BJ12" s="986">
        <v>2049932.7499999995</v>
      </c>
    </row>
    <row r="13" spans="2:64" s="334" customFormat="1" ht="96.75" customHeight="1" thickBot="1" x14ac:dyDescent="0.3">
      <c r="B13" s="3479" t="s">
        <v>1725</v>
      </c>
      <c r="C13" s="343"/>
      <c r="D13" s="2021" t="s">
        <v>1574</v>
      </c>
      <c r="E13" s="343"/>
      <c r="F13" s="343"/>
      <c r="G13" s="2021" t="s">
        <v>1508</v>
      </c>
      <c r="H13" s="343"/>
      <c r="I13" s="343"/>
      <c r="J13" s="343"/>
      <c r="K13" s="343"/>
      <c r="L13" s="343"/>
      <c r="M13" s="343"/>
      <c r="N13" s="343"/>
      <c r="O13" s="343"/>
      <c r="P13" s="343"/>
      <c r="Q13" s="343"/>
      <c r="R13" s="343"/>
      <c r="S13" s="2021" t="s">
        <v>1509</v>
      </c>
      <c r="T13" s="343"/>
      <c r="U13" s="343"/>
      <c r="V13" s="343"/>
      <c r="W13" s="2021"/>
      <c r="X13" s="1994"/>
      <c r="Y13" s="343"/>
      <c r="Z13" s="343"/>
      <c r="AA13" s="343"/>
      <c r="AB13" s="1995"/>
      <c r="AC13" s="2021"/>
      <c r="AD13" s="343"/>
      <c r="AE13" s="343"/>
      <c r="AF13" s="343"/>
      <c r="AG13" s="2021"/>
      <c r="AH13" s="343"/>
      <c r="AI13" s="343"/>
      <c r="AJ13" s="343"/>
      <c r="AK13" s="2021" t="s">
        <v>1724</v>
      </c>
      <c r="AL13" s="343"/>
      <c r="AM13" s="343"/>
      <c r="AN13" s="343"/>
      <c r="AO13" s="343"/>
      <c r="AP13" s="343"/>
      <c r="AQ13" s="343"/>
      <c r="AR13" s="343"/>
      <c r="AS13" s="343"/>
      <c r="AT13" s="343"/>
      <c r="AU13" s="343"/>
      <c r="AV13" s="343"/>
      <c r="AW13" s="343"/>
      <c r="AX13" s="2020">
        <f>+AX12-AX6-AX7</f>
        <v>1864021.9500000002</v>
      </c>
      <c r="AY13" s="343"/>
      <c r="AZ13" s="2020">
        <f>+AZ12-AZ17</f>
        <v>179557.98</v>
      </c>
      <c r="BA13" s="343"/>
      <c r="BB13" s="343"/>
      <c r="BC13" s="343"/>
      <c r="BD13" s="1995"/>
      <c r="BE13" s="343"/>
      <c r="BF13" s="343"/>
      <c r="BG13" s="343"/>
      <c r="BH13" s="343"/>
      <c r="BI13" s="343"/>
      <c r="BJ13" s="343"/>
    </row>
    <row r="14" spans="2:64" s="334" customFormat="1" ht="15" customHeight="1" x14ac:dyDescent="0.25">
      <c r="B14" s="721" t="s">
        <v>390</v>
      </c>
      <c r="C14" s="701"/>
      <c r="D14" s="682"/>
      <c r="E14" s="682"/>
      <c r="F14" s="702"/>
      <c r="G14" s="682"/>
      <c r="H14" s="702"/>
      <c r="I14" s="622"/>
      <c r="J14" s="622"/>
      <c r="K14" s="682"/>
      <c r="L14" s="622"/>
      <c r="M14" s="622"/>
      <c r="N14" s="622"/>
      <c r="O14" s="622"/>
      <c r="P14" s="622"/>
      <c r="Q14" s="622"/>
      <c r="R14" s="622"/>
      <c r="S14" s="622"/>
      <c r="T14" s="622"/>
      <c r="U14" s="622"/>
      <c r="V14" s="622"/>
      <c r="W14" s="622"/>
      <c r="X14" s="622"/>
      <c r="Y14" s="622"/>
      <c r="Z14" s="622"/>
      <c r="AA14" s="622"/>
      <c r="AB14" s="622"/>
      <c r="AC14" s="622"/>
      <c r="AD14" s="622"/>
      <c r="AE14" s="622"/>
      <c r="AF14" s="622"/>
      <c r="AG14" s="622"/>
      <c r="AH14" s="622"/>
      <c r="AI14" s="622"/>
      <c r="AJ14" s="622"/>
      <c r="AK14" s="622"/>
      <c r="AL14" s="622"/>
      <c r="AM14" s="622"/>
      <c r="AN14" s="622"/>
      <c r="AO14" s="622"/>
      <c r="AP14" s="622"/>
      <c r="AQ14" s="622"/>
      <c r="AR14" s="622"/>
      <c r="AS14" s="622"/>
      <c r="AT14" s="622"/>
      <c r="AU14" s="622"/>
      <c r="AV14" s="622"/>
      <c r="AW14" s="622"/>
      <c r="AX14" s="622"/>
      <c r="AY14" s="622"/>
      <c r="AZ14" s="622"/>
      <c r="BA14" s="622"/>
      <c r="BB14" s="622"/>
      <c r="BC14" s="622"/>
      <c r="BD14" s="622"/>
      <c r="BE14" s="622"/>
      <c r="BF14" s="622"/>
      <c r="BG14" s="445"/>
      <c r="BH14" s="445"/>
      <c r="BI14" s="445"/>
      <c r="BJ14" s="445"/>
    </row>
    <row r="15" spans="2:64" ht="15" customHeight="1" x14ac:dyDescent="0.25">
      <c r="B15" s="722" t="s">
        <v>80</v>
      </c>
      <c r="C15" s="33" t="s">
        <v>393</v>
      </c>
      <c r="D15" s="4882">
        <f>+D12</f>
        <v>2368500.1509075612</v>
      </c>
      <c r="E15" s="4882">
        <f>+E12</f>
        <v>86999.999898595299</v>
      </c>
      <c r="F15" s="1975">
        <v>0</v>
      </c>
      <c r="G15" s="4882">
        <f>+G12</f>
        <v>91500.460422291944</v>
      </c>
      <c r="H15" s="1975">
        <f>+H7</f>
        <v>5712.02</v>
      </c>
      <c r="I15" s="4863">
        <f>+E15+G15</f>
        <v>178500.46032088724</v>
      </c>
      <c r="J15" s="96">
        <f t="shared" ref="J15:J19" si="44">+F15+H15</f>
        <v>5712.02</v>
      </c>
      <c r="K15" s="4882">
        <f>+K12</f>
        <v>216292.5818043109</v>
      </c>
      <c r="L15" s="417">
        <v>0</v>
      </c>
      <c r="M15" s="4860">
        <f>+I15+K15</f>
        <v>394793.04212519818</v>
      </c>
      <c r="N15" s="163">
        <f t="shared" ref="N15:N19" si="45">+J15+L15</f>
        <v>5712.02</v>
      </c>
      <c r="O15" s="4855">
        <f>+O12</f>
        <v>222392.08989256411</v>
      </c>
      <c r="P15" s="417">
        <v>2863.6799999999989</v>
      </c>
      <c r="Q15" s="4863">
        <f>+M15+O15</f>
        <v>617185.13201776228</v>
      </c>
      <c r="R15" s="96">
        <f t="shared" ref="R15:R19" si="46">+N15+P15</f>
        <v>8575.6999999999989</v>
      </c>
      <c r="S15" s="4855">
        <f>+S12</f>
        <v>222855.22292271996</v>
      </c>
      <c r="T15" s="417">
        <f>+T7</f>
        <v>8333.58</v>
      </c>
      <c r="U15" s="4863">
        <f>+Q15+S15</f>
        <v>840040.35494048218</v>
      </c>
      <c r="V15" s="96">
        <f t="shared" ref="V15:V19" si="47">+R15+T15</f>
        <v>16909.28</v>
      </c>
      <c r="W15" s="4855">
        <f>+W12</f>
        <v>217673.36037437286</v>
      </c>
      <c r="X15" s="417">
        <f>+X7</f>
        <v>5479.1600000000026</v>
      </c>
      <c r="Y15" s="4860">
        <f>+O15+S15+W15</f>
        <v>662920.67318965693</v>
      </c>
      <c r="Z15" s="163">
        <f>+P15+T15+X15</f>
        <v>16676.420000000002</v>
      </c>
      <c r="AA15" s="4852">
        <f>+M15+Y15</f>
        <v>1057713.7153148551</v>
      </c>
      <c r="AB15" s="1789">
        <f t="shared" ref="AB15:AB19" si="48">+N15+Z15</f>
        <v>22388.440000000002</v>
      </c>
      <c r="AC15" s="4855">
        <f>+AC12</f>
        <v>224143.95531708613</v>
      </c>
      <c r="AD15" s="417">
        <f>+AD7</f>
        <v>11475.779999999999</v>
      </c>
      <c r="AE15" s="4863">
        <f>+AA15+AC15</f>
        <v>1281857.6706319412</v>
      </c>
      <c r="AF15" s="96">
        <f t="shared" ref="AF15:AF19" si="49">+AB15+AD15</f>
        <v>33864.22</v>
      </c>
      <c r="AG15" s="4855">
        <f>+AG12</f>
        <v>215673.36037437286</v>
      </c>
      <c r="AH15" s="417">
        <f>+AH7</f>
        <v>2870.48</v>
      </c>
      <c r="AI15" s="4863">
        <f>+AE15+AG15</f>
        <v>1497531.0310063141</v>
      </c>
      <c r="AJ15" s="96">
        <f t="shared" ref="AJ15:AJ19" si="50">+AF15+AH15</f>
        <v>36734.700000000004</v>
      </c>
      <c r="AK15" s="4855">
        <f>+AK12</f>
        <v>223969.95531708613</v>
      </c>
      <c r="AL15" s="417">
        <f>+AL7</f>
        <v>10720.04</v>
      </c>
      <c r="AM15" s="4860">
        <f>+AC15+AG15+AK15</f>
        <v>663787.27100854507</v>
      </c>
      <c r="AN15" s="163">
        <f>+AD15+AH15+AL15</f>
        <v>25066.3</v>
      </c>
      <c r="AO15" s="4863">
        <f>+AI15+AK15</f>
        <v>1721500.9863234002</v>
      </c>
      <c r="AP15" s="96">
        <f t="shared" ref="AP15:AP16" si="51">+AJ15+AL15</f>
        <v>47454.740000000005</v>
      </c>
      <c r="AQ15" s="4882">
        <f>+AQ12</f>
        <v>224643.95531708613</v>
      </c>
      <c r="AR15" s="417">
        <f>+AR7</f>
        <v>5342.76</v>
      </c>
      <c r="AS15" s="4863">
        <f>+AO15+AQ15</f>
        <v>1946144.9416404862</v>
      </c>
      <c r="AT15" s="96">
        <f t="shared" ref="AT15:AT19" si="52">+AP15+AR15</f>
        <v>52797.500000000007</v>
      </c>
      <c r="AU15" s="4882">
        <f>+AU12</f>
        <v>198711.2539499889</v>
      </c>
      <c r="AV15" s="417">
        <f>+AV7</f>
        <v>8560.9199999999983</v>
      </c>
      <c r="AW15" s="4863">
        <f>+AS15+AU15</f>
        <v>2144856.1955904751</v>
      </c>
      <c r="AX15" s="96">
        <f t="shared" ref="AX15:AX19" si="53">+AT15+AV15</f>
        <v>61358.420000000006</v>
      </c>
      <c r="AY15" s="4882">
        <f>+AY12</f>
        <v>224643.95531708613</v>
      </c>
      <c r="AZ15" s="417">
        <f>+AZ7</f>
        <v>10349</v>
      </c>
      <c r="BA15" s="4860">
        <f>+AQ15+AU15+AY15</f>
        <v>647999.16458416125</v>
      </c>
      <c r="BB15" s="163">
        <f>+AR15+AV15+AZ15</f>
        <v>24252.68</v>
      </c>
      <c r="BC15" s="4852">
        <f>+AM15+BA15</f>
        <v>1311786.4355927063</v>
      </c>
      <c r="BD15" s="1789">
        <f t="shared" ref="BD15:BD19" si="54">+AN15+BB15</f>
        <v>49318.979999999996</v>
      </c>
      <c r="BE15" s="4863">
        <f>+AW15+AY15</f>
        <v>2369500.1509075612</v>
      </c>
      <c r="BF15" s="143">
        <f t="shared" ref="BF15:BF19" si="55">+AX15+AZ15</f>
        <v>71707.420000000013</v>
      </c>
      <c r="BG15" s="4889">
        <v>2234474.8024697341</v>
      </c>
      <c r="BH15" s="3369">
        <v>9758.5099999999966</v>
      </c>
      <c r="BI15" s="4889">
        <f>+BI12</f>
        <v>2406999.7409326425</v>
      </c>
      <c r="BJ15" s="3369">
        <v>5928.2490000000007</v>
      </c>
    </row>
    <row r="16" spans="2:64" ht="15" customHeight="1" x14ac:dyDescent="0.25">
      <c r="B16" s="718" t="s">
        <v>78</v>
      </c>
      <c r="C16" s="33" t="s">
        <v>393</v>
      </c>
      <c r="D16" s="4883"/>
      <c r="E16" s="4883"/>
      <c r="F16" s="238">
        <v>53811.41</v>
      </c>
      <c r="G16" s="4883"/>
      <c r="H16" s="238">
        <v>55157.91</v>
      </c>
      <c r="I16" s="4864"/>
      <c r="J16" s="96">
        <f t="shared" si="44"/>
        <v>108969.32</v>
      </c>
      <c r="K16" s="4883"/>
      <c r="L16" s="417">
        <f>65178.53-127.26</f>
        <v>65051.27</v>
      </c>
      <c r="M16" s="4861"/>
      <c r="N16" s="163">
        <f t="shared" si="45"/>
        <v>174020.59</v>
      </c>
      <c r="O16" s="4856"/>
      <c r="P16" s="417">
        <f>82528.9+127.26</f>
        <v>82656.159999999989</v>
      </c>
      <c r="Q16" s="4864"/>
      <c r="R16" s="96">
        <f t="shared" si="46"/>
        <v>256676.75</v>
      </c>
      <c r="S16" s="4856"/>
      <c r="T16" s="417">
        <v>97004.969999999987</v>
      </c>
      <c r="U16" s="4864"/>
      <c r="V16" s="96">
        <f t="shared" si="47"/>
        <v>353681.72</v>
      </c>
      <c r="W16" s="4856"/>
      <c r="X16" s="417">
        <v>102219.46</v>
      </c>
      <c r="Y16" s="4861"/>
      <c r="Z16" s="163">
        <f t="shared" ref="Z16:Z19" si="56">+P16+T16+X16</f>
        <v>281880.58999999997</v>
      </c>
      <c r="AA16" s="4853"/>
      <c r="AB16" s="1789">
        <f t="shared" si="48"/>
        <v>455901.17999999993</v>
      </c>
      <c r="AC16" s="4856"/>
      <c r="AD16" s="417">
        <v>101716.5</v>
      </c>
      <c r="AE16" s="4864"/>
      <c r="AF16" s="96">
        <f t="shared" si="49"/>
        <v>557617.67999999993</v>
      </c>
      <c r="AG16" s="4856"/>
      <c r="AH16" s="417">
        <v>81658.61</v>
      </c>
      <c r="AI16" s="4864"/>
      <c r="AJ16" s="96">
        <f t="shared" si="50"/>
        <v>639276.28999999992</v>
      </c>
      <c r="AK16" s="4856"/>
      <c r="AL16" s="417">
        <v>95716.889999999985</v>
      </c>
      <c r="AM16" s="4861"/>
      <c r="AN16" s="163">
        <f t="shared" ref="AN16:AN19" si="57">+AD16+AH16+AL16</f>
        <v>279092</v>
      </c>
      <c r="AO16" s="4864"/>
      <c r="AP16" s="96">
        <f t="shared" si="51"/>
        <v>734993.17999999993</v>
      </c>
      <c r="AQ16" s="4883"/>
      <c r="AR16" s="417">
        <v>114017.20000000001</v>
      </c>
      <c r="AS16" s="4864"/>
      <c r="AT16" s="96">
        <f t="shared" si="52"/>
        <v>849010.37999999989</v>
      </c>
      <c r="AU16" s="4883"/>
      <c r="AV16" s="417">
        <v>103913.77</v>
      </c>
      <c r="AW16" s="4864"/>
      <c r="AX16" s="96">
        <f t="shared" si="53"/>
        <v>952924.14999999991</v>
      </c>
      <c r="AY16" s="4883"/>
      <c r="AZ16" s="417">
        <v>144169</v>
      </c>
      <c r="BA16" s="4861"/>
      <c r="BB16" s="163">
        <f t="shared" ref="BB16:BB19" si="58">+AR16+AV16+AZ16</f>
        <v>362099.97000000003</v>
      </c>
      <c r="BC16" s="4853"/>
      <c r="BD16" s="1789">
        <f t="shared" si="54"/>
        <v>641191.97</v>
      </c>
      <c r="BE16" s="4864"/>
      <c r="BF16" s="143">
        <f t="shared" si="55"/>
        <v>1097093.1499999999</v>
      </c>
      <c r="BG16" s="4890"/>
      <c r="BH16" s="3369">
        <v>691326.51799999992</v>
      </c>
      <c r="BI16" s="4890"/>
      <c r="BJ16" s="3369">
        <v>569419.82700000005</v>
      </c>
      <c r="BL16">
        <f>+BF16/BF12</f>
        <v>0.50365677484889371</v>
      </c>
    </row>
    <row r="17" spans="2:64" ht="15" customHeight="1" x14ac:dyDescent="0.25">
      <c r="B17" s="718" t="s">
        <v>79</v>
      </c>
      <c r="C17" s="33" t="s">
        <v>393</v>
      </c>
      <c r="D17" s="4883"/>
      <c r="E17" s="4883"/>
      <c r="F17" s="238">
        <v>29580.3</v>
      </c>
      <c r="G17" s="4883"/>
      <c r="H17" s="238">
        <v>23511.71</v>
      </c>
      <c r="I17" s="4864"/>
      <c r="J17" s="96">
        <f t="shared" si="44"/>
        <v>53092.009999999995</v>
      </c>
      <c r="K17" s="4883"/>
      <c r="L17" s="417">
        <v>50006.46</v>
      </c>
      <c r="M17" s="4861"/>
      <c r="N17" s="163">
        <f t="shared" si="45"/>
        <v>103098.47</v>
      </c>
      <c r="O17" s="4856"/>
      <c r="P17" s="417">
        <v>57970.83</v>
      </c>
      <c r="Q17" s="4864"/>
      <c r="R17" s="96">
        <f t="shared" si="46"/>
        <v>161069.29999999999</v>
      </c>
      <c r="S17" s="4856"/>
      <c r="T17" s="417">
        <v>42991.689999999995</v>
      </c>
      <c r="U17" s="4864"/>
      <c r="V17" s="96">
        <f t="shared" si="47"/>
        <v>204060.99</v>
      </c>
      <c r="W17" s="4856"/>
      <c r="X17" s="417">
        <v>36485.469999999994</v>
      </c>
      <c r="Y17" s="4861"/>
      <c r="Z17" s="163">
        <f t="shared" si="56"/>
        <v>137447.99</v>
      </c>
      <c r="AA17" s="4853"/>
      <c r="AB17" s="1789">
        <f t="shared" si="48"/>
        <v>240546.46</v>
      </c>
      <c r="AC17" s="4856"/>
      <c r="AD17" s="417">
        <v>44126.7</v>
      </c>
      <c r="AE17" s="4864"/>
      <c r="AF17" s="96">
        <f t="shared" si="49"/>
        <v>284673.15999999997</v>
      </c>
      <c r="AG17" s="4856"/>
      <c r="AH17" s="417">
        <v>55003.569999999992</v>
      </c>
      <c r="AI17" s="4864"/>
      <c r="AJ17" s="96">
        <f t="shared" si="50"/>
        <v>339676.73</v>
      </c>
      <c r="AK17" s="4856"/>
      <c r="AL17" s="417">
        <v>93671.32</v>
      </c>
      <c r="AM17" s="4861"/>
      <c r="AN17" s="163">
        <f t="shared" si="57"/>
        <v>192801.59</v>
      </c>
      <c r="AO17" s="4864"/>
      <c r="AP17" s="96">
        <f>+AJ17+AL17</f>
        <v>433348.05</v>
      </c>
      <c r="AQ17" s="4883"/>
      <c r="AR17" s="417">
        <v>52992.639999999978</v>
      </c>
      <c r="AS17" s="4864"/>
      <c r="AT17" s="96">
        <f t="shared" si="52"/>
        <v>486340.68999999994</v>
      </c>
      <c r="AU17" s="4883"/>
      <c r="AV17" s="417">
        <v>34486.53</v>
      </c>
      <c r="AW17" s="4864"/>
      <c r="AX17" s="96">
        <f t="shared" si="53"/>
        <v>520827.22</v>
      </c>
      <c r="AY17" s="4883"/>
      <c r="AZ17" s="417">
        <v>46444</v>
      </c>
      <c r="BA17" s="4861"/>
      <c r="BB17" s="163">
        <f t="shared" si="58"/>
        <v>133923.16999999998</v>
      </c>
      <c r="BC17" s="4853"/>
      <c r="BD17" s="1789">
        <f t="shared" si="54"/>
        <v>326724.76</v>
      </c>
      <c r="BE17" s="4864"/>
      <c r="BF17" s="143">
        <f t="shared" si="55"/>
        <v>567271.22</v>
      </c>
      <c r="BG17" s="4890"/>
      <c r="BH17" s="3369">
        <v>479205.15300000005</v>
      </c>
      <c r="BI17" s="4890"/>
      <c r="BJ17" s="3369">
        <v>909567.00199999986</v>
      </c>
    </row>
    <row r="18" spans="2:64" ht="15" customHeight="1" x14ac:dyDescent="0.25">
      <c r="B18" s="719" t="s">
        <v>633</v>
      </c>
      <c r="C18" s="33" t="s">
        <v>393</v>
      </c>
      <c r="D18" s="4883"/>
      <c r="E18" s="4883"/>
      <c r="F18" s="238">
        <f>+F6</f>
        <v>2956.91</v>
      </c>
      <c r="G18" s="4883"/>
      <c r="H18" s="238">
        <f>+H6</f>
        <v>4274.74</v>
      </c>
      <c r="I18" s="4864"/>
      <c r="J18" s="96">
        <f t="shared" si="44"/>
        <v>7231.65</v>
      </c>
      <c r="K18" s="4883"/>
      <c r="L18" s="417">
        <v>1722.87</v>
      </c>
      <c r="M18" s="4861"/>
      <c r="N18" s="163">
        <f t="shared" si="45"/>
        <v>8954.52</v>
      </c>
      <c r="O18" s="4856"/>
      <c r="P18" s="417">
        <v>2943.9699999999993</v>
      </c>
      <c r="Q18" s="4864"/>
      <c r="R18" s="96">
        <f t="shared" si="46"/>
        <v>11898.49</v>
      </c>
      <c r="S18" s="4856"/>
      <c r="T18" s="417">
        <f>+T6</f>
        <v>3275.9400000000005</v>
      </c>
      <c r="U18" s="4864"/>
      <c r="V18" s="96">
        <f t="shared" si="47"/>
        <v>15174.43</v>
      </c>
      <c r="W18" s="4856"/>
      <c r="X18" s="417">
        <f>+X6</f>
        <v>1628.4700000000003</v>
      </c>
      <c r="Y18" s="4861"/>
      <c r="Z18" s="163">
        <f t="shared" si="56"/>
        <v>7848.38</v>
      </c>
      <c r="AA18" s="4853"/>
      <c r="AB18" s="1789">
        <f t="shared" si="48"/>
        <v>16802.900000000001</v>
      </c>
      <c r="AC18" s="4856"/>
      <c r="AD18" s="417">
        <f>+AD6</f>
        <v>3324.25</v>
      </c>
      <c r="AE18" s="4864"/>
      <c r="AF18" s="96">
        <f t="shared" si="49"/>
        <v>20127.150000000001</v>
      </c>
      <c r="AG18" s="4856"/>
      <c r="AH18" s="417">
        <f>+AH6</f>
        <v>2214.3199999999993</v>
      </c>
      <c r="AI18" s="4864"/>
      <c r="AJ18" s="96">
        <f t="shared" si="50"/>
        <v>22341.47</v>
      </c>
      <c r="AK18" s="4856"/>
      <c r="AL18" s="417">
        <f>+AL6</f>
        <v>2437.96</v>
      </c>
      <c r="AM18" s="4861"/>
      <c r="AN18" s="163">
        <f t="shared" si="57"/>
        <v>7976.53</v>
      </c>
      <c r="AO18" s="4864"/>
      <c r="AP18" s="96">
        <f t="shared" ref="AP18:AP19" si="59">+AJ18+AL18</f>
        <v>24779.43</v>
      </c>
      <c r="AQ18" s="4883"/>
      <c r="AR18" s="417">
        <f>+AR6</f>
        <v>17.600000000000001</v>
      </c>
      <c r="AS18" s="4864"/>
      <c r="AT18" s="96">
        <f t="shared" si="52"/>
        <v>24797.03</v>
      </c>
      <c r="AU18" s="4883"/>
      <c r="AV18" s="417">
        <f>+AV6</f>
        <v>2076.1399999999994</v>
      </c>
      <c r="AW18" s="4864"/>
      <c r="AX18" s="96">
        <f t="shared" si="53"/>
        <v>26873.17</v>
      </c>
      <c r="AY18" s="4883"/>
      <c r="AZ18" s="417">
        <f>+AZ6</f>
        <v>6327.9800000000014</v>
      </c>
      <c r="BA18" s="4861"/>
      <c r="BB18" s="163">
        <f t="shared" si="58"/>
        <v>8421.7200000000012</v>
      </c>
      <c r="BC18" s="4853"/>
      <c r="BD18" s="1789">
        <f t="shared" si="54"/>
        <v>16398.25</v>
      </c>
      <c r="BE18" s="4864"/>
      <c r="BF18" s="143">
        <f t="shared" si="55"/>
        <v>33201.15</v>
      </c>
      <c r="BG18" s="4890"/>
      <c r="BH18" s="3369">
        <v>35268.25</v>
      </c>
      <c r="BI18" s="4890"/>
      <c r="BJ18" s="3369">
        <v>28405.85</v>
      </c>
    </row>
    <row r="19" spans="2:64" ht="15" customHeight="1" thickBot="1" x14ac:dyDescent="0.3">
      <c r="B19" s="719" t="s">
        <v>127</v>
      </c>
      <c r="C19" s="34" t="s">
        <v>393</v>
      </c>
      <c r="D19" s="4883"/>
      <c r="E19" s="4883"/>
      <c r="F19" s="1974">
        <v>19244.8</v>
      </c>
      <c r="G19" s="4883"/>
      <c r="H19" s="1974">
        <v>15804.81</v>
      </c>
      <c r="I19" s="4864"/>
      <c r="J19" s="96">
        <f t="shared" si="44"/>
        <v>35049.61</v>
      </c>
      <c r="K19" s="4883"/>
      <c r="L19" s="417">
        <v>57325.27</v>
      </c>
      <c r="M19" s="4861"/>
      <c r="N19" s="163">
        <f t="shared" si="45"/>
        <v>92374.88</v>
      </c>
      <c r="O19" s="4856"/>
      <c r="P19" s="417">
        <v>42170.470000000008</v>
      </c>
      <c r="Q19" s="4864"/>
      <c r="R19" s="96">
        <f t="shared" si="46"/>
        <v>134545.35</v>
      </c>
      <c r="S19" s="4856"/>
      <c r="T19" s="417">
        <v>42788.259999999995</v>
      </c>
      <c r="U19" s="4864"/>
      <c r="V19" s="96">
        <f t="shared" si="47"/>
        <v>177333.61</v>
      </c>
      <c r="W19" s="4856"/>
      <c r="X19" s="417">
        <v>53873.319999999963</v>
      </c>
      <c r="Y19" s="4861"/>
      <c r="Z19" s="163">
        <f t="shared" si="56"/>
        <v>138832.04999999999</v>
      </c>
      <c r="AA19" s="4853"/>
      <c r="AB19" s="1789">
        <f t="shared" si="48"/>
        <v>231206.93</v>
      </c>
      <c r="AC19" s="4856"/>
      <c r="AD19" s="417">
        <v>23677.009999999995</v>
      </c>
      <c r="AE19" s="4864"/>
      <c r="AF19" s="96">
        <f t="shared" si="49"/>
        <v>254883.94</v>
      </c>
      <c r="AG19" s="4856"/>
      <c r="AH19" s="417">
        <v>44040.17</v>
      </c>
      <c r="AI19" s="4864"/>
      <c r="AJ19" s="96">
        <f t="shared" si="50"/>
        <v>298924.11</v>
      </c>
      <c r="AK19" s="4856"/>
      <c r="AL19" s="417">
        <v>20436.229999999992</v>
      </c>
      <c r="AM19" s="4861"/>
      <c r="AN19" s="163">
        <f t="shared" si="57"/>
        <v>88153.409999999989</v>
      </c>
      <c r="AO19" s="4864"/>
      <c r="AP19" s="96">
        <f t="shared" si="59"/>
        <v>319360.33999999997</v>
      </c>
      <c r="AQ19" s="4883"/>
      <c r="AR19" s="417">
        <v>33494.919999999991</v>
      </c>
      <c r="AS19" s="4864"/>
      <c r="AT19" s="96">
        <f t="shared" si="52"/>
        <v>352855.25999999995</v>
      </c>
      <c r="AU19" s="4883"/>
      <c r="AV19" s="417">
        <v>37415.319999999992</v>
      </c>
      <c r="AW19" s="4864"/>
      <c r="AX19" s="96">
        <f t="shared" si="53"/>
        <v>390270.57999999996</v>
      </c>
      <c r="AY19" s="4883"/>
      <c r="AZ19" s="417">
        <v>18712</v>
      </c>
      <c r="BA19" s="4861"/>
      <c r="BB19" s="163">
        <f t="shared" si="58"/>
        <v>89622.239999999991</v>
      </c>
      <c r="BC19" s="4853"/>
      <c r="BD19" s="1789">
        <f t="shared" si="54"/>
        <v>177775.64999999997</v>
      </c>
      <c r="BE19" s="4864"/>
      <c r="BF19" s="143">
        <f t="shared" si="55"/>
        <v>408982.57999999996</v>
      </c>
      <c r="BG19" s="4890"/>
      <c r="BH19" s="3369">
        <v>662096.97799999977</v>
      </c>
      <c r="BI19" s="4890"/>
      <c r="BJ19" s="3369">
        <v>536611.97599999979</v>
      </c>
    </row>
    <row r="20" spans="2:64" ht="15" customHeight="1" thickBot="1" x14ac:dyDescent="0.3">
      <c r="B20" s="720" t="s">
        <v>469</v>
      </c>
      <c r="C20" s="237" t="s">
        <v>52</v>
      </c>
      <c r="D20" s="4884"/>
      <c r="E20" s="4884"/>
      <c r="F20" s="249">
        <f>+((F16+F18+F15+F19)/F12)*100</f>
        <v>71.986606741215525</v>
      </c>
      <c r="G20" s="4884"/>
      <c r="H20" s="249">
        <f>+((H16+H18+H15+H19)/H12)*100</f>
        <v>77.492396937082546</v>
      </c>
      <c r="I20" s="2022"/>
      <c r="J20" s="99">
        <f>+((+J15+J16+J18+J19)/J12)*100</f>
        <v>74.724663267328438</v>
      </c>
      <c r="K20" s="4884"/>
      <c r="L20" s="249">
        <f>+((L16+L18+L15+L19)/L12)*100</f>
        <v>71.278130944120392</v>
      </c>
      <c r="M20" s="4862"/>
      <c r="N20" s="249">
        <f>+((N16+N18+N15+N19)/N12)*100</f>
        <v>73.162655877564504</v>
      </c>
      <c r="O20" s="206"/>
      <c r="P20" s="249">
        <f>+((P16+P18+P15+P19)/P12)*100</f>
        <v>69.263383160721375</v>
      </c>
      <c r="Q20" s="4865"/>
      <c r="R20" s="146">
        <f>+((R16+R18+R19)/R12)*100</f>
        <v>70.381426021070837</v>
      </c>
      <c r="S20" s="206"/>
      <c r="T20" s="249">
        <f>+((T16+T18+T15+T19)/T12)*100</f>
        <v>77.884300600366956</v>
      </c>
      <c r="U20" s="4865"/>
      <c r="V20" s="146">
        <f>+((V16+V18+V19)/V12)*100</f>
        <v>71.196326534373796</v>
      </c>
      <c r="W20" s="206"/>
      <c r="X20" s="249">
        <f>+((X16+X18+X15+X19)/X12)*100</f>
        <v>81.728567888726047</v>
      </c>
      <c r="Y20" s="4862"/>
      <c r="Z20" s="249">
        <f>+((Z16+Z18+Z15+Z19)/Z12)*100</f>
        <v>76.411287647950971</v>
      </c>
      <c r="AA20" s="4854"/>
      <c r="AB20" s="249">
        <f>+((AB16+AB18+AB15+AB19)/AB12)*100</f>
        <v>75.12049670872581</v>
      </c>
      <c r="AC20" s="3112"/>
      <c r="AD20" s="249">
        <f>+((AD16+AD18+AD15+AD19)/AD12)*100</f>
        <v>76.059764245098648</v>
      </c>
      <c r="AE20" s="4865"/>
      <c r="AF20" s="249">
        <f>+((AF16+AF18+AF15+AF19)/AF12)*100</f>
        <v>75.270888568083777</v>
      </c>
      <c r="AG20" s="3239"/>
      <c r="AH20" s="249">
        <f>+((AH16+AH18+AH15+AH19)/AH12)*100</f>
        <v>70.39430875601461</v>
      </c>
      <c r="AI20" s="4865"/>
      <c r="AJ20" s="249">
        <f>+((AJ16+AJ18+AJ15+AJ19)/AJ12)*100</f>
        <v>74.593224011639009</v>
      </c>
      <c r="AK20" s="3428"/>
      <c r="AL20" s="249">
        <f>+((AL16+AL18+AL15+AL19)/AL12)*100</f>
        <v>57.991615842036701</v>
      </c>
      <c r="AM20" s="4862"/>
      <c r="AN20" s="249">
        <f>+((AN16+AN18+AN15+AN19)/AN12)*100</f>
        <v>67.49200875691966</v>
      </c>
      <c r="AO20" s="4865"/>
      <c r="AP20" s="249">
        <f>+((AP16+AP18+AP15+AP19)/AP12)*100</f>
        <v>72.220134529387707</v>
      </c>
      <c r="AQ20" s="4884"/>
      <c r="AR20" s="249">
        <f>+((AR16+AR18+AR15+AR19)/AR12)*100</f>
        <v>74.258563082468783</v>
      </c>
      <c r="AS20" s="4865"/>
      <c r="AT20" s="249">
        <f>+((AT16+AT18+AT15+AT19)/AT12)*100</f>
        <v>72.457783829598995</v>
      </c>
      <c r="AU20" s="4884"/>
      <c r="AV20" s="249">
        <f>+((AV16+AV18+AV15+AV19)/AV12)*100</f>
        <v>81.503870043594986</v>
      </c>
      <c r="AW20" s="4865"/>
      <c r="AX20" s="249">
        <f>+((AX16+AX18+AX15+AX19)/AX12)*100</f>
        <v>73.321742830595653</v>
      </c>
      <c r="AY20" s="4884"/>
      <c r="AZ20" s="249">
        <f>+((AZ16+AZ18+AZ15+AZ19)/AZ12)*100</f>
        <v>79.449737564246121</v>
      </c>
      <c r="BA20" s="4862"/>
      <c r="BB20" s="249">
        <f>+((BB16+BB18+BB15+BB19)/BB12)*100</f>
        <v>78.340791556110332</v>
      </c>
      <c r="BC20" s="4854"/>
      <c r="BD20" s="249">
        <f>+((BD16+BD18+BD15+BD19)/BD12)*100</f>
        <v>73.029373607164956</v>
      </c>
      <c r="BE20" s="4865"/>
      <c r="BF20" s="249">
        <f>+((BF16+BF18+BF19)/BF12)*100</f>
        <v>70.665579215426476</v>
      </c>
      <c r="BG20" s="4891"/>
      <c r="BH20" s="249">
        <f>+((BH16+BH18+BH15+BH19)/BH12)*100</f>
        <v>74.478558013193179</v>
      </c>
      <c r="BI20" s="4891"/>
      <c r="BJ20" s="249">
        <f>+((BJ16+BJ18+BJ15+BJ19)/BJ12)*100</f>
        <v>55.629429892273293</v>
      </c>
    </row>
    <row r="21" spans="2:64" s="334" customFormat="1" ht="15" customHeight="1" thickBot="1" x14ac:dyDescent="0.3">
      <c r="B21" s="721" t="s">
        <v>164</v>
      </c>
      <c r="C21" s="701"/>
      <c r="D21" s="682"/>
      <c r="E21" s="682"/>
      <c r="F21" s="2993"/>
      <c r="G21" s="2993"/>
      <c r="H21" s="2993"/>
      <c r="I21" s="2993"/>
      <c r="J21" s="2993"/>
      <c r="K21" s="2993"/>
      <c r="L21" s="2993"/>
      <c r="M21" s="2993"/>
      <c r="N21" s="2993"/>
      <c r="O21" s="2993"/>
      <c r="P21" s="2993"/>
      <c r="Q21" s="2993"/>
      <c r="R21" s="2993"/>
      <c r="S21" s="2993"/>
      <c r="T21" s="2993"/>
      <c r="U21" s="2993"/>
      <c r="V21" s="2993"/>
      <c r="W21" s="2993"/>
      <c r="X21" s="2993"/>
      <c r="Y21" s="2993"/>
      <c r="Z21" s="2993"/>
      <c r="AA21" s="2993"/>
      <c r="AB21" s="2993"/>
      <c r="AC21" s="2993"/>
      <c r="AD21" s="2993"/>
      <c r="AE21" s="2993"/>
      <c r="AF21" s="2993"/>
      <c r="AG21" s="2993"/>
      <c r="AH21" s="2993"/>
      <c r="AI21" s="2993"/>
      <c r="AJ21" s="2993"/>
      <c r="AK21" s="2993"/>
      <c r="AL21" s="2993"/>
      <c r="AM21" s="622"/>
      <c r="AN21" s="622"/>
      <c r="AO21" s="2993"/>
      <c r="AP21" s="2993"/>
      <c r="AQ21" s="622"/>
      <c r="AR21" s="682"/>
      <c r="AS21" s="622"/>
      <c r="AT21" s="622"/>
      <c r="AU21" s="622"/>
      <c r="AV21" s="682"/>
      <c r="AW21" s="2993"/>
      <c r="AX21" s="2993"/>
      <c r="AY21" s="622"/>
      <c r="AZ21" s="682"/>
      <c r="BA21" s="622"/>
      <c r="BB21" s="622"/>
      <c r="BC21" s="2993"/>
      <c r="BD21" s="2993"/>
      <c r="BE21" s="2993"/>
      <c r="BF21" s="2993"/>
      <c r="BG21" s="444"/>
      <c r="BH21" s="445"/>
      <c r="BI21" s="444"/>
      <c r="BJ21" s="445"/>
    </row>
    <row r="22" spans="2:64" ht="15" customHeight="1" x14ac:dyDescent="0.25">
      <c r="B22" s="718" t="s">
        <v>24</v>
      </c>
      <c r="C22" s="33" t="s">
        <v>393</v>
      </c>
      <c r="D22" s="4882">
        <f>+D12</f>
        <v>2368500.1509075612</v>
      </c>
      <c r="E22" s="4882">
        <f>+E12</f>
        <v>86999.999898595299</v>
      </c>
      <c r="F22" s="1975">
        <f>+F12-F23</f>
        <v>87893.419999999984</v>
      </c>
      <c r="G22" s="4882">
        <f>+G12</f>
        <v>91500.460422291944</v>
      </c>
      <c r="H22" s="1975">
        <f>82707.82+H7</f>
        <v>88419.840000000011</v>
      </c>
      <c r="I22" s="4863">
        <f>+I12</f>
        <v>178500.46032088724</v>
      </c>
      <c r="J22" s="96">
        <f t="shared" ref="J22" si="60">+F22+H22</f>
        <v>176313.26</v>
      </c>
      <c r="K22" s="4882">
        <f>+K12</f>
        <v>216292.5818043109</v>
      </c>
      <c r="L22" s="629">
        <f>156180.8-127.26</f>
        <v>156053.53999999998</v>
      </c>
      <c r="M22" s="4860">
        <f>+M12</f>
        <v>394793.04212519818</v>
      </c>
      <c r="N22" s="163">
        <f t="shared" ref="N22:N23" si="61">+J22+L22</f>
        <v>332366.8</v>
      </c>
      <c r="O22" s="4855">
        <f>+O12</f>
        <v>222392.08989256411</v>
      </c>
      <c r="P22" s="629">
        <f>168910.33+127.26</f>
        <v>169037.59</v>
      </c>
      <c r="Q22" s="4863">
        <f>+Q12</f>
        <v>617185.13201776228</v>
      </c>
      <c r="R22" s="96">
        <f t="shared" ref="R22:R23" si="62">+N22+P22</f>
        <v>501404.39</v>
      </c>
      <c r="S22" s="4855">
        <f>+S12</f>
        <v>222855.22292271996</v>
      </c>
      <c r="T22" s="629">
        <f>165344.65+9553.54</f>
        <v>174898.19</v>
      </c>
      <c r="U22" s="4863">
        <f>+U12</f>
        <v>840040.35494048218</v>
      </c>
      <c r="V22" s="96">
        <f t="shared" ref="V22:V23" si="63">+R22+T22</f>
        <v>676302.58000000007</v>
      </c>
      <c r="W22" s="4855">
        <f>+W12</f>
        <v>217673.36037437286</v>
      </c>
      <c r="X22" s="629">
        <v>180394.03</v>
      </c>
      <c r="Y22" s="4860">
        <f>+Y12</f>
        <v>662920.67318965693</v>
      </c>
      <c r="Z22" s="163">
        <f>+P22+T22+X22</f>
        <v>524329.81000000006</v>
      </c>
      <c r="AA22" s="4852">
        <f>+AA12</f>
        <v>1057713.7153148551</v>
      </c>
      <c r="AB22" s="1789">
        <f t="shared" ref="AB22:AB23" si="64">+N22+Z22</f>
        <v>856696.6100000001</v>
      </c>
      <c r="AC22" s="4855">
        <f>+AC12</f>
        <v>224143.95531708613</v>
      </c>
      <c r="AD22" s="629">
        <v>115157.63</v>
      </c>
      <c r="AE22" s="4863">
        <f>+AE12</f>
        <v>1281857.6706319412</v>
      </c>
      <c r="AF22" s="96">
        <f t="shared" ref="AF22:AF23" si="65">+AB22+AD22</f>
        <v>971854.24000000011</v>
      </c>
      <c r="AG22" s="4855">
        <f>+AG12</f>
        <v>215673.36037437286</v>
      </c>
      <c r="AH22" s="629">
        <v>171729.8</v>
      </c>
      <c r="AI22" s="4863">
        <f>+AI12</f>
        <v>1497531.0310063141</v>
      </c>
      <c r="AJ22" s="96">
        <f t="shared" ref="AJ22:AJ23" si="66">+AF22+AH22</f>
        <v>1143584.04</v>
      </c>
      <c r="AK22" s="4855">
        <f>+AK12</f>
        <v>223969.95531708613</v>
      </c>
      <c r="AL22" s="629">
        <v>198333.83999999997</v>
      </c>
      <c r="AM22" s="4860">
        <f>+AM12</f>
        <v>663787.27100854507</v>
      </c>
      <c r="AN22" s="163">
        <f>+AD22+AH22+AL22</f>
        <v>485221.26999999996</v>
      </c>
      <c r="AO22" s="4863">
        <f>+AO12</f>
        <v>1721500.9863234002</v>
      </c>
      <c r="AP22" s="96">
        <f t="shared" ref="AP22:AP23" si="67">+AJ22+AL22</f>
        <v>1341917.8799999999</v>
      </c>
      <c r="AQ22" s="4855">
        <f>+AQ12</f>
        <v>224643.95531708613</v>
      </c>
      <c r="AR22" s="629">
        <v>175450.07999999996</v>
      </c>
      <c r="AS22" s="4863">
        <f>+AS12</f>
        <v>1946144.9416404865</v>
      </c>
      <c r="AT22" s="96">
        <f t="shared" ref="AT22:AT23" si="68">+AP22+AR22</f>
        <v>1517367.96</v>
      </c>
      <c r="AU22" s="4855">
        <f>+AU12</f>
        <v>198711.2539499889</v>
      </c>
      <c r="AV22" s="629">
        <v>161776.84000000003</v>
      </c>
      <c r="AW22" s="4863">
        <f>+AW12</f>
        <v>2144856.1955904751</v>
      </c>
      <c r="AX22" s="96">
        <f t="shared" ref="AX22:AX23" si="69">+AT22+AV22</f>
        <v>1679144.8</v>
      </c>
      <c r="AY22" s="4855">
        <f>+AY12</f>
        <v>224643.95531708613</v>
      </c>
      <c r="AZ22" s="629">
        <f>191829.09+1268.28+10349</f>
        <v>203446.37</v>
      </c>
      <c r="BA22" s="4860">
        <f>+BA12</f>
        <v>647999.16458416113</v>
      </c>
      <c r="BB22" s="163">
        <f>+AR22+AV22+AZ22</f>
        <v>540673.29</v>
      </c>
      <c r="BC22" s="4852">
        <f>+BC12</f>
        <v>1311786.4355927063</v>
      </c>
      <c r="BD22" s="1789">
        <f t="shared" ref="BD22:BD23" si="70">+AN22+BB22</f>
        <v>1025894.56</v>
      </c>
      <c r="BE22" s="4863">
        <f>+BE12</f>
        <v>2369500.1509075612</v>
      </c>
      <c r="BF22" s="143">
        <f t="shared" ref="BF22:BF23" si="71">+AX22+AZ22</f>
        <v>1882591.17</v>
      </c>
      <c r="BG22" s="4892">
        <v>2234474.8024697341</v>
      </c>
      <c r="BH22" s="3373">
        <v>1557181.9489999996</v>
      </c>
      <c r="BI22" s="4892">
        <f>+BI12</f>
        <v>2406999.7409326425</v>
      </c>
      <c r="BJ22" s="3373">
        <v>1655527.3639999998</v>
      </c>
    </row>
    <row r="23" spans="2:64" ht="15" customHeight="1" thickBot="1" x14ac:dyDescent="0.3">
      <c r="B23" s="719" t="s">
        <v>25</v>
      </c>
      <c r="C23" s="34" t="s">
        <v>393</v>
      </c>
      <c r="D23" s="4883"/>
      <c r="E23" s="4883"/>
      <c r="F23" s="1974">
        <f>14743.09+F18</f>
        <v>17700</v>
      </c>
      <c r="G23" s="4883"/>
      <c r="H23" s="1974">
        <f>+H24-H22</f>
        <v>16041.350000000006</v>
      </c>
      <c r="I23" s="4864"/>
      <c r="J23" s="96">
        <f>+F23+H23</f>
        <v>33741.350000000006</v>
      </c>
      <c r="K23" s="4883"/>
      <c r="L23" s="629">
        <v>18052.329999999998</v>
      </c>
      <c r="M23" s="4861"/>
      <c r="N23" s="163">
        <f t="shared" si="61"/>
        <v>51793.680000000008</v>
      </c>
      <c r="O23" s="4856"/>
      <c r="P23" s="629">
        <v>19567.519999999997</v>
      </c>
      <c r="Q23" s="4864"/>
      <c r="R23" s="96">
        <f t="shared" si="62"/>
        <v>71361.200000000012</v>
      </c>
      <c r="S23" s="4856"/>
      <c r="T23" s="629">
        <f>17440.27+2055.98</f>
        <v>19496.25</v>
      </c>
      <c r="U23" s="4864"/>
      <c r="V23" s="96">
        <f t="shared" si="63"/>
        <v>90857.450000000012</v>
      </c>
      <c r="W23" s="4856"/>
      <c r="X23" s="629">
        <v>19291.850000000002</v>
      </c>
      <c r="Y23" s="4861"/>
      <c r="Z23" s="163">
        <f>+P23+T23+X23</f>
        <v>58355.619999999995</v>
      </c>
      <c r="AA23" s="4853"/>
      <c r="AB23" s="1789">
        <f t="shared" si="64"/>
        <v>110149.3</v>
      </c>
      <c r="AC23" s="4856"/>
      <c r="AD23" s="629">
        <v>69162.61</v>
      </c>
      <c r="AE23" s="4864"/>
      <c r="AF23" s="96">
        <f t="shared" si="65"/>
        <v>179311.91</v>
      </c>
      <c r="AG23" s="4856"/>
      <c r="AH23" s="629">
        <v>14057.35</v>
      </c>
      <c r="AI23" s="4864"/>
      <c r="AJ23" s="96">
        <f t="shared" si="66"/>
        <v>193369.26</v>
      </c>
      <c r="AK23" s="4856"/>
      <c r="AL23" s="629">
        <v>24648.6</v>
      </c>
      <c r="AM23" s="4861"/>
      <c r="AN23" s="163">
        <f>+AD23+AH23+AL23</f>
        <v>107868.56</v>
      </c>
      <c r="AO23" s="4864"/>
      <c r="AP23" s="96">
        <f t="shared" si="67"/>
        <v>218017.86000000002</v>
      </c>
      <c r="AQ23" s="4856"/>
      <c r="AR23" s="629">
        <v>30415.039999999986</v>
      </c>
      <c r="AS23" s="4864"/>
      <c r="AT23" s="96">
        <f t="shared" si="68"/>
        <v>248432.9</v>
      </c>
      <c r="AU23" s="4856"/>
      <c r="AV23" s="629">
        <v>24675.839999999997</v>
      </c>
      <c r="AW23" s="4864"/>
      <c r="AX23" s="96">
        <f t="shared" si="69"/>
        <v>273108.74</v>
      </c>
      <c r="AY23" s="4856"/>
      <c r="AZ23" s="629">
        <f>17495.69+4746.43+248.87+64.4</f>
        <v>22555.39</v>
      </c>
      <c r="BA23" s="4861"/>
      <c r="BB23" s="163">
        <f>+AR23+AV23+AZ23</f>
        <v>77646.26999999999</v>
      </c>
      <c r="BC23" s="4853"/>
      <c r="BD23" s="1789">
        <f t="shared" si="70"/>
        <v>185514.83</v>
      </c>
      <c r="BE23" s="4864"/>
      <c r="BF23" s="143">
        <f t="shared" si="71"/>
        <v>295664.13</v>
      </c>
      <c r="BG23" s="4893"/>
      <c r="BH23" s="3366">
        <v>320472.90000000002</v>
      </c>
      <c r="BI23" s="4893"/>
      <c r="BJ23" s="3366">
        <v>394405.53999999992</v>
      </c>
      <c r="BL23" s="4108"/>
    </row>
    <row r="24" spans="2:64" ht="15" customHeight="1" thickBot="1" x14ac:dyDescent="0.3">
      <c r="B24" s="720" t="s">
        <v>2</v>
      </c>
      <c r="C24" s="35" t="s">
        <v>393</v>
      </c>
      <c r="D24" s="4883"/>
      <c r="E24" s="4883"/>
      <c r="F24" s="247">
        <f>SUM(F22:F23)</f>
        <v>105593.41999999998</v>
      </c>
      <c r="G24" s="4883"/>
      <c r="H24" s="247">
        <f>+H12</f>
        <v>104461.19000000002</v>
      </c>
      <c r="I24" s="4864"/>
      <c r="J24" s="98">
        <f>SUM(J22:J23)</f>
        <v>210054.61000000002</v>
      </c>
      <c r="K24" s="4883"/>
      <c r="L24" s="56">
        <f>SUM(L22:L23)</f>
        <v>174105.86999999997</v>
      </c>
      <c r="M24" s="4861"/>
      <c r="N24" s="159">
        <f>SUM(N22:N23)</f>
        <v>384160.48</v>
      </c>
      <c r="O24" s="4856"/>
      <c r="P24" s="56">
        <f>SUM(P22:P23)</f>
        <v>188605.11</v>
      </c>
      <c r="Q24" s="4864"/>
      <c r="R24" s="95">
        <f>SUM(R22:R23)</f>
        <v>572765.59000000008</v>
      </c>
      <c r="S24" s="4856"/>
      <c r="T24" s="56">
        <f>SUM(T22:T23)</f>
        <v>194394.44</v>
      </c>
      <c r="U24" s="4864"/>
      <c r="V24" s="95">
        <f>SUM(V22:V23)</f>
        <v>767160.03</v>
      </c>
      <c r="W24" s="4856"/>
      <c r="X24" s="56">
        <f>SUM(X22:X23)</f>
        <v>199685.88</v>
      </c>
      <c r="Y24" s="4861"/>
      <c r="Z24" s="165">
        <f>SUM(Z22:Z23)</f>
        <v>582685.43000000005</v>
      </c>
      <c r="AA24" s="4853"/>
      <c r="AB24" s="1126">
        <f>SUM(AB22:AB23)</f>
        <v>966845.91000000015</v>
      </c>
      <c r="AC24" s="4856"/>
      <c r="AD24" s="56">
        <f>SUM(AD22:AD23)</f>
        <v>184320.24</v>
      </c>
      <c r="AE24" s="4864"/>
      <c r="AF24" s="95">
        <f>SUM(AF22:AF23)</f>
        <v>1151166.1500000001</v>
      </c>
      <c r="AG24" s="4856"/>
      <c r="AH24" s="56">
        <f>SUM(AH22:AH23)</f>
        <v>185787.15</v>
      </c>
      <c r="AI24" s="4864"/>
      <c r="AJ24" s="95">
        <f>SUM(AJ22:AJ23)</f>
        <v>1336953.3</v>
      </c>
      <c r="AK24" s="4856"/>
      <c r="AL24" s="56">
        <f>SUM(AL22:AL23)</f>
        <v>222982.43999999997</v>
      </c>
      <c r="AM24" s="4861"/>
      <c r="AN24" s="165">
        <f>SUM(AN22:AN23)</f>
        <v>593089.82999999996</v>
      </c>
      <c r="AO24" s="4864"/>
      <c r="AP24" s="95">
        <f>SUM(AP22:AP23)</f>
        <v>1559935.74</v>
      </c>
      <c r="AQ24" s="4856"/>
      <c r="AR24" s="56">
        <f>SUM(AR22:AR23)</f>
        <v>205865.11999999994</v>
      </c>
      <c r="AS24" s="4864"/>
      <c r="AT24" s="95">
        <f>SUM(AT22:AT23)</f>
        <v>1765800.8599999999</v>
      </c>
      <c r="AU24" s="4856"/>
      <c r="AV24" s="56">
        <f>SUM(AV22:AV23)</f>
        <v>186452.68000000002</v>
      </c>
      <c r="AW24" s="4864"/>
      <c r="AX24" s="95">
        <f>SUM(AX22:AX23)</f>
        <v>1952253.54</v>
      </c>
      <c r="AY24" s="4856"/>
      <c r="AZ24" s="56">
        <f>SUM(AZ22:AZ23)</f>
        <v>226001.76</v>
      </c>
      <c r="BA24" s="4861"/>
      <c r="BB24" s="165">
        <f>SUM(BB22:BB23)</f>
        <v>618319.56000000006</v>
      </c>
      <c r="BC24" s="4853"/>
      <c r="BD24" s="1126">
        <f>SUM(BD22:BD23)</f>
        <v>1211409.3900000001</v>
      </c>
      <c r="BE24" s="4864"/>
      <c r="BF24" s="95">
        <f>SUM(BF22:BF23)</f>
        <v>2178255.2999999998</v>
      </c>
      <c r="BG24" s="4893"/>
      <c r="BH24" s="3365">
        <v>1877654.8489999995</v>
      </c>
      <c r="BI24" s="4893"/>
      <c r="BJ24" s="3365">
        <f>SUM(BJ22:BJ23)</f>
        <v>2049932.9039999996</v>
      </c>
    </row>
    <row r="25" spans="2:64" ht="15" customHeight="1" thickBot="1" x14ac:dyDescent="0.3">
      <c r="B25" s="720" t="s">
        <v>779</v>
      </c>
      <c r="C25" s="35" t="s">
        <v>52</v>
      </c>
      <c r="D25" s="4884"/>
      <c r="E25" s="4884"/>
      <c r="F25" s="250">
        <f>+F23/F24*100</f>
        <v>16.762408112172146</v>
      </c>
      <c r="G25" s="4884"/>
      <c r="H25" s="250">
        <f>+H23/H24*100</f>
        <v>15.356277293031031</v>
      </c>
      <c r="I25" s="4865"/>
      <c r="J25" s="99">
        <f>+J23/J24*100</f>
        <v>16.063132344488896</v>
      </c>
      <c r="K25" s="4884"/>
      <c r="L25" s="55">
        <f>+L23/L24*100</f>
        <v>10.368593545984407</v>
      </c>
      <c r="M25" s="4862"/>
      <c r="N25" s="166">
        <f>+N23/N24*100</f>
        <v>13.482303020862535</v>
      </c>
      <c r="O25" s="4857"/>
      <c r="P25" s="55">
        <f>+P23/P24*100</f>
        <v>10.3748620596759</v>
      </c>
      <c r="Q25" s="4865"/>
      <c r="R25" s="99">
        <f>+R23/R24*100</f>
        <v>12.459058512924983</v>
      </c>
      <c r="S25" s="4857"/>
      <c r="T25" s="55">
        <f>+T23/T24*100</f>
        <v>10.029222029189723</v>
      </c>
      <c r="U25" s="4865"/>
      <c r="V25" s="99">
        <f>+V23/V24*100</f>
        <v>11.843350337217126</v>
      </c>
      <c r="W25" s="4857"/>
      <c r="X25" s="55">
        <f>+X23/X24*100</f>
        <v>9.6610987216522286</v>
      </c>
      <c r="Y25" s="4862"/>
      <c r="Z25" s="166">
        <f>+Z23/Z24*100</f>
        <v>10.01494408398027</v>
      </c>
      <c r="AA25" s="4854"/>
      <c r="AB25" s="1127">
        <f>+AB23/AB24*100</f>
        <v>11.392642701462115</v>
      </c>
      <c r="AC25" s="4857"/>
      <c r="AD25" s="55">
        <f>+AD23/AD24*100</f>
        <v>37.523068546351723</v>
      </c>
      <c r="AE25" s="4865"/>
      <c r="AF25" s="99">
        <f>+AF23/AF24*100</f>
        <v>15.576544706426606</v>
      </c>
      <c r="AG25" s="4857"/>
      <c r="AH25" s="55">
        <f>+AH23/AH24*100</f>
        <v>7.5663736700842881</v>
      </c>
      <c r="AI25" s="4865"/>
      <c r="AJ25" s="55">
        <f>+AJ23/AJ24*100</f>
        <v>14.463426658208631</v>
      </c>
      <c r="AK25" s="4857"/>
      <c r="AL25" s="55">
        <f>+AL23/AL24*100</f>
        <v>11.054054301316283</v>
      </c>
      <c r="AM25" s="4862"/>
      <c r="AN25" s="55">
        <f>+AN23/AN24*100</f>
        <v>18.18755853561003</v>
      </c>
      <c r="AO25" s="4865"/>
      <c r="AP25" s="55">
        <f>+AP23/AP24*100</f>
        <v>13.976079553123133</v>
      </c>
      <c r="AQ25" s="4857"/>
      <c r="AR25" s="55">
        <f>+AR23/AR24*100</f>
        <v>14.774256076017151</v>
      </c>
      <c r="AS25" s="4865"/>
      <c r="AT25" s="55">
        <f>+AT23/AT24*100</f>
        <v>14.069134613514686</v>
      </c>
      <c r="AU25" s="4857"/>
      <c r="AV25" s="55">
        <f>+AV23/AV24*100</f>
        <v>13.234371316089419</v>
      </c>
      <c r="AW25" s="4865"/>
      <c r="AX25" s="55">
        <f>+AX23/AX24*100</f>
        <v>13.989409387881043</v>
      </c>
      <c r="AY25" s="4857"/>
      <c r="AZ25" s="55">
        <f>+AZ23/AZ24*100</f>
        <v>9.980183340165139</v>
      </c>
      <c r="BA25" s="4862"/>
      <c r="BB25" s="55">
        <f>+BB23/BB24*100</f>
        <v>12.557627968295225</v>
      </c>
      <c r="BC25" s="4854"/>
      <c r="BD25" s="1127">
        <f>+BD23/BD24*100</f>
        <v>15.313966651686592</v>
      </c>
      <c r="BE25" s="4865"/>
      <c r="BF25" s="55">
        <f>+BF23/BF24*100</f>
        <v>13.573437879389068</v>
      </c>
      <c r="BG25" s="4894"/>
      <c r="BH25" s="55">
        <f>+BH23/BH24*100</f>
        <v>17.06772148090355</v>
      </c>
      <c r="BI25" s="4894"/>
      <c r="BJ25" s="55">
        <f>+BJ23/BJ24*100</f>
        <v>19.239924352177724</v>
      </c>
    </row>
    <row r="26" spans="2:64" x14ac:dyDescent="0.25">
      <c r="B26" s="23" t="s">
        <v>738</v>
      </c>
      <c r="C26" s="36" t="s">
        <v>393</v>
      </c>
      <c r="D26" s="94">
        <f>+'Maj Production Summ'!D21</f>
        <v>34535.234215885946</v>
      </c>
      <c r="E26" s="94">
        <f>+'Maj Production Summ'!E21</f>
        <v>1935</v>
      </c>
      <c r="F26" s="1975">
        <v>2848.37</v>
      </c>
      <c r="G26" s="94">
        <f>+'Maj Production Summ'!G21</f>
        <v>11609</v>
      </c>
      <c r="H26" s="1975">
        <v>4721.7700000000004</v>
      </c>
      <c r="I26" s="143">
        <f t="shared" ref="I26:I28" si="72">+E26+G26</f>
        <v>13544</v>
      </c>
      <c r="J26" s="96">
        <f t="shared" ref="J26:J28" si="73">+F26+H26</f>
        <v>7570.14</v>
      </c>
      <c r="K26" s="94">
        <f>+'Maj Production Summ'!K21</f>
        <v>774</v>
      </c>
      <c r="L26" s="311">
        <v>1038.3600000000001</v>
      </c>
      <c r="M26" s="167">
        <f t="shared" ref="M26:M28" si="74">+I26+K26</f>
        <v>14318</v>
      </c>
      <c r="N26" s="163">
        <f t="shared" ref="N26:N28" si="75">+J26+L26</f>
        <v>8608.5</v>
      </c>
      <c r="O26" s="94">
        <f>+'Maj Production Summ'!O21</f>
        <v>773.93075356415477</v>
      </c>
      <c r="P26" s="311">
        <v>1060.74</v>
      </c>
      <c r="Q26" s="143">
        <f t="shared" ref="Q26:Q28" si="76">+M26+O26</f>
        <v>15091.930753564155</v>
      </c>
      <c r="R26" s="96">
        <f t="shared" ref="R26:R28" si="77">+N26+P26</f>
        <v>9669.24</v>
      </c>
      <c r="S26" s="94">
        <f>+'Maj Production Summ'!S21</f>
        <v>580.44806517311611</v>
      </c>
      <c r="T26" s="311">
        <v>997.9</v>
      </c>
      <c r="U26" s="143">
        <f t="shared" ref="U26:U28" si="78">+Q26+S26</f>
        <v>15672.37881873727</v>
      </c>
      <c r="V26" s="96">
        <f t="shared" ref="V26:V28" si="79">+R26+T26</f>
        <v>10667.14</v>
      </c>
      <c r="W26" s="94">
        <f>+'Maj Production Summ'!W21</f>
        <v>580.44806517311611</v>
      </c>
      <c r="X26" s="311">
        <v>2037.1499999999999</v>
      </c>
      <c r="Y26" s="2001">
        <f t="shared" ref="Y26:Y28" si="80">+O26+S26+W26</f>
        <v>1934.8268839103871</v>
      </c>
      <c r="Z26" s="168">
        <f t="shared" ref="Z26:Z28" si="81">+P26+T26+X26</f>
        <v>4095.79</v>
      </c>
      <c r="AA26" s="1789">
        <f t="shared" ref="AA26:AA28" si="82">+M26+Y26</f>
        <v>16252.826883910388</v>
      </c>
      <c r="AB26" s="1789">
        <f t="shared" ref="AB26:AB28" si="83">+N26+Z26</f>
        <v>12704.29</v>
      </c>
      <c r="AC26" s="3104">
        <f>+'Maj Production Summ'!AC21</f>
        <v>580.44806517311611</v>
      </c>
      <c r="AD26" s="311">
        <v>1997.2599999999998</v>
      </c>
      <c r="AE26" s="143">
        <f t="shared" ref="AE26:AE28" si="84">+AA26+AC26</f>
        <v>16833.274949083505</v>
      </c>
      <c r="AF26" s="96">
        <f t="shared" ref="AF26:AF28" si="85">+AB26+AD26</f>
        <v>14701.550000000001</v>
      </c>
      <c r="AG26" s="3233">
        <f>+'Maj Production Summ'!AG21</f>
        <v>580.44806517311611</v>
      </c>
      <c r="AH26" s="311">
        <v>1498.0199999999998</v>
      </c>
      <c r="AI26" s="143">
        <f t="shared" ref="AI26:AI28" si="86">+AE26+AG26</f>
        <v>17413.723014256622</v>
      </c>
      <c r="AJ26" s="96">
        <f t="shared" ref="AJ26:AJ28" si="87">+AF26+AH26</f>
        <v>16199.570000000002</v>
      </c>
      <c r="AK26" s="3422">
        <f>+'Maj Production Summ'!AK21</f>
        <v>580.44806517311611</v>
      </c>
      <c r="AL26" s="311">
        <v>0</v>
      </c>
      <c r="AM26" s="2001">
        <f t="shared" ref="AM26:AM28" si="88">+AC26+AG26+AK26</f>
        <v>1741.3441955193484</v>
      </c>
      <c r="AN26" s="168">
        <f t="shared" ref="AN26:AN28" si="89">+AD26+AH26+AL26</f>
        <v>3495.2799999999997</v>
      </c>
      <c r="AO26" s="143">
        <f t="shared" ref="AO26" si="90">+AI26+AK26</f>
        <v>17994.17107942974</v>
      </c>
      <c r="AP26" s="96">
        <f t="shared" ref="AP26:AP28" si="91">+AJ26+AL26</f>
        <v>16199.570000000002</v>
      </c>
      <c r="AQ26" s="3490">
        <f>+'Maj Production Summ'!AQ21</f>
        <v>580.44806517311611</v>
      </c>
      <c r="AR26" s="311">
        <v>1493.8999999999992</v>
      </c>
      <c r="AS26" s="143">
        <f t="shared" ref="AS26:AS28" si="92">+AO26+AQ26</f>
        <v>18574.619144602857</v>
      </c>
      <c r="AT26" s="96">
        <f t="shared" ref="AT26:AT28" si="93">+AP26+AR26</f>
        <v>17693.47</v>
      </c>
      <c r="AU26" s="3490">
        <f>+'Maj Production Summ'!AU21</f>
        <v>580.44806517311611</v>
      </c>
      <c r="AV26" s="311">
        <v>999.39000000000021</v>
      </c>
      <c r="AW26" s="143">
        <f t="shared" ref="AW26:AW28" si="94">+AS26+AU26</f>
        <v>19155.067209775974</v>
      </c>
      <c r="AX26" s="96">
        <f t="shared" ref="AX26:AX28" si="95">+AT26+AV26</f>
        <v>18692.86</v>
      </c>
      <c r="AY26" s="3490">
        <f>+'Maj Production Summ'!AY21</f>
        <v>580.44806517311611</v>
      </c>
      <c r="AZ26" s="311">
        <v>1796</v>
      </c>
      <c r="BA26" s="2001">
        <f t="shared" ref="BA26:BA28" si="96">+AQ26+AU26+AY26</f>
        <v>1741.3441955193484</v>
      </c>
      <c r="BB26" s="168">
        <f t="shared" ref="BB26:BB28" si="97">+AR26+AV26+AZ26</f>
        <v>4289.2899999999991</v>
      </c>
      <c r="BC26" s="1789">
        <f t="shared" ref="BC26:BC28" si="98">+AM26+BA26</f>
        <v>3482.6883910386969</v>
      </c>
      <c r="BD26" s="1789">
        <f t="shared" ref="BD26:BD28" si="99">+AN26+BB26</f>
        <v>7784.5699999999988</v>
      </c>
      <c r="BE26" s="143">
        <f t="shared" ref="BE26:BE28" si="100">+AW26+AY26</f>
        <v>19735.515274949092</v>
      </c>
      <c r="BF26" s="143">
        <f t="shared" ref="BF26:BF28" si="101">+AX26+AZ26</f>
        <v>20488.86</v>
      </c>
      <c r="BG26" s="3362">
        <v>20754.644854293481</v>
      </c>
      <c r="BH26" s="3373">
        <v>80002.179999999993</v>
      </c>
      <c r="BI26" s="3362">
        <v>29958.27154308611</v>
      </c>
      <c r="BJ26" s="3373">
        <v>124050.80000000006</v>
      </c>
    </row>
    <row r="27" spans="2:64" ht="15" customHeight="1" x14ac:dyDescent="0.25">
      <c r="B27" s="718" t="s">
        <v>163</v>
      </c>
      <c r="C27" s="33" t="s">
        <v>393</v>
      </c>
      <c r="D27" s="345">
        <f>+'Maj Production Summ'!D25</f>
        <v>2399.04</v>
      </c>
      <c r="E27" s="345">
        <f>+'Maj Production Summ'!E25</f>
        <v>235</v>
      </c>
      <c r="F27" s="238">
        <v>3043.45</v>
      </c>
      <c r="G27" s="345">
        <f>+'Maj Production Summ'!G25</f>
        <v>1411</v>
      </c>
      <c r="H27" s="238">
        <v>1483.44</v>
      </c>
      <c r="I27" s="143">
        <f t="shared" si="72"/>
        <v>1646</v>
      </c>
      <c r="J27" s="96">
        <f t="shared" si="73"/>
        <v>4526.8899999999994</v>
      </c>
      <c r="K27" s="345">
        <f>+'Maj Production Summ'!K25</f>
        <v>94</v>
      </c>
      <c r="L27" s="312">
        <v>4331.1699999999983</v>
      </c>
      <c r="M27" s="167">
        <f t="shared" si="74"/>
        <v>1740</v>
      </c>
      <c r="N27" s="163">
        <f t="shared" si="75"/>
        <v>8858.0599999999977</v>
      </c>
      <c r="O27" s="345">
        <f>+'Maj Production Summ'!O25</f>
        <v>94.08</v>
      </c>
      <c r="P27" s="312">
        <v>3852.52</v>
      </c>
      <c r="Q27" s="143">
        <f t="shared" si="76"/>
        <v>1834.08</v>
      </c>
      <c r="R27" s="96">
        <f t="shared" si="77"/>
        <v>12710.579999999998</v>
      </c>
      <c r="S27" s="345">
        <f>+'Maj Production Summ'!S25</f>
        <v>70.56</v>
      </c>
      <c r="T27" s="312">
        <v>2314.79</v>
      </c>
      <c r="U27" s="143">
        <f t="shared" si="78"/>
        <v>1904.6399999999999</v>
      </c>
      <c r="V27" s="96">
        <f t="shared" si="79"/>
        <v>15025.369999999999</v>
      </c>
      <c r="W27" s="345">
        <f>+'Maj Production Summ'!W25</f>
        <v>70.56</v>
      </c>
      <c r="X27" s="312">
        <v>996.19</v>
      </c>
      <c r="Y27" s="167">
        <f t="shared" si="80"/>
        <v>235.2</v>
      </c>
      <c r="Z27" s="163">
        <f t="shared" si="81"/>
        <v>7163.5</v>
      </c>
      <c r="AA27" s="1789">
        <f t="shared" si="82"/>
        <v>1975.2</v>
      </c>
      <c r="AB27" s="1789">
        <f t="shared" si="83"/>
        <v>16021.559999999998</v>
      </c>
      <c r="AC27" s="3109">
        <f>+'Maj Production Summ'!AC25</f>
        <v>70.56</v>
      </c>
      <c r="AD27" s="312">
        <v>405.24</v>
      </c>
      <c r="AE27" s="143">
        <f t="shared" si="84"/>
        <v>2045.76</v>
      </c>
      <c r="AF27" s="96">
        <f t="shared" si="85"/>
        <v>16426.8</v>
      </c>
      <c r="AG27" s="3237">
        <f>+'Maj Production Summ'!AG25</f>
        <v>70.56</v>
      </c>
      <c r="AH27" s="312">
        <v>441.81</v>
      </c>
      <c r="AI27" s="143">
        <f t="shared" si="86"/>
        <v>2116.3200000000002</v>
      </c>
      <c r="AJ27" s="96">
        <f t="shared" si="87"/>
        <v>16868.61</v>
      </c>
      <c r="AK27" s="3426">
        <f>+'Maj Production Summ'!AK25</f>
        <v>70.56</v>
      </c>
      <c r="AL27" s="312">
        <v>0</v>
      </c>
      <c r="AM27" s="167">
        <f t="shared" si="88"/>
        <v>211.68</v>
      </c>
      <c r="AN27" s="163">
        <f t="shared" si="89"/>
        <v>847.05</v>
      </c>
      <c r="AO27" s="143">
        <f>+AI27+AK27</f>
        <v>2186.88</v>
      </c>
      <c r="AP27" s="96">
        <f t="shared" si="91"/>
        <v>16868.61</v>
      </c>
      <c r="AQ27" s="3502">
        <f>+'Maj Production Summ'!AQ25</f>
        <v>70.56</v>
      </c>
      <c r="AR27" s="312">
        <v>0</v>
      </c>
      <c r="AS27" s="143">
        <f t="shared" si="92"/>
        <v>2257.44</v>
      </c>
      <c r="AT27" s="96">
        <f t="shared" si="93"/>
        <v>16868.61</v>
      </c>
      <c r="AU27" s="3502">
        <f>+'Maj Production Summ'!AU25</f>
        <v>70.56</v>
      </c>
      <c r="AV27" s="312">
        <v>256.97000000000003</v>
      </c>
      <c r="AW27" s="143">
        <f t="shared" si="94"/>
        <v>2328</v>
      </c>
      <c r="AX27" s="96">
        <f t="shared" si="95"/>
        <v>17125.580000000002</v>
      </c>
      <c r="AY27" s="3502">
        <f>+'Maj Production Summ'!AY25</f>
        <v>70.56</v>
      </c>
      <c r="AZ27" s="312">
        <v>737</v>
      </c>
      <c r="BA27" s="167">
        <f t="shared" si="96"/>
        <v>211.68</v>
      </c>
      <c r="BB27" s="163">
        <f t="shared" si="97"/>
        <v>993.97</v>
      </c>
      <c r="BC27" s="1789">
        <f t="shared" si="98"/>
        <v>423.36</v>
      </c>
      <c r="BD27" s="1789">
        <f t="shared" si="99"/>
        <v>1841.02</v>
      </c>
      <c r="BE27" s="143">
        <f t="shared" si="100"/>
        <v>2398.56</v>
      </c>
      <c r="BF27" s="143">
        <f t="shared" si="101"/>
        <v>17862.580000000002</v>
      </c>
      <c r="BG27" s="3371">
        <v>6973.7102305913804</v>
      </c>
      <c r="BH27" s="3369">
        <v>29483.779999999995</v>
      </c>
      <c r="BI27" s="3371">
        <v>8472.5250501001919</v>
      </c>
      <c r="BJ27" s="3369">
        <v>59555.1</v>
      </c>
    </row>
    <row r="28" spans="2:64" ht="15" customHeight="1" thickBot="1" x14ac:dyDescent="0.3">
      <c r="B28" s="719" t="s">
        <v>354</v>
      </c>
      <c r="C28" s="34" t="s">
        <v>393</v>
      </c>
      <c r="D28" s="2003">
        <v>0</v>
      </c>
      <c r="E28" s="2003">
        <v>0</v>
      </c>
      <c r="F28" s="1974">
        <v>0</v>
      </c>
      <c r="G28" s="2003">
        <v>0</v>
      </c>
      <c r="H28" s="1974">
        <v>0</v>
      </c>
      <c r="I28" s="143">
        <f t="shared" si="72"/>
        <v>0</v>
      </c>
      <c r="J28" s="96">
        <f t="shared" si="73"/>
        <v>0</v>
      </c>
      <c r="K28" s="2003">
        <v>0</v>
      </c>
      <c r="L28" s="313">
        <v>0</v>
      </c>
      <c r="M28" s="167">
        <f t="shared" si="74"/>
        <v>0</v>
      </c>
      <c r="N28" s="163">
        <f t="shared" si="75"/>
        <v>0</v>
      </c>
      <c r="O28" s="2003">
        <v>0</v>
      </c>
      <c r="P28" s="313">
        <v>0</v>
      </c>
      <c r="Q28" s="143">
        <f t="shared" si="76"/>
        <v>0</v>
      </c>
      <c r="R28" s="96">
        <f t="shared" si="77"/>
        <v>0</v>
      </c>
      <c r="S28" s="2003">
        <v>0</v>
      </c>
      <c r="T28" s="313">
        <v>0</v>
      </c>
      <c r="U28" s="143">
        <f t="shared" si="78"/>
        <v>0</v>
      </c>
      <c r="V28" s="96">
        <f t="shared" si="79"/>
        <v>0</v>
      </c>
      <c r="W28" s="2003">
        <v>0</v>
      </c>
      <c r="X28" s="313">
        <v>0</v>
      </c>
      <c r="Y28" s="167">
        <f t="shared" si="80"/>
        <v>0</v>
      </c>
      <c r="Z28" s="163">
        <f t="shared" si="81"/>
        <v>0</v>
      </c>
      <c r="AA28" s="1789">
        <f t="shared" si="82"/>
        <v>0</v>
      </c>
      <c r="AB28" s="1789">
        <f t="shared" si="83"/>
        <v>0</v>
      </c>
      <c r="AC28" s="3105">
        <v>0</v>
      </c>
      <c r="AD28" s="313">
        <v>0</v>
      </c>
      <c r="AE28" s="143">
        <f t="shared" si="84"/>
        <v>0</v>
      </c>
      <c r="AF28" s="96">
        <f t="shared" si="85"/>
        <v>0</v>
      </c>
      <c r="AG28" s="3234">
        <v>0</v>
      </c>
      <c r="AH28" s="313">
        <v>0</v>
      </c>
      <c r="AI28" s="143">
        <f t="shared" si="86"/>
        <v>0</v>
      </c>
      <c r="AJ28" s="96">
        <f t="shared" si="87"/>
        <v>0</v>
      </c>
      <c r="AK28" s="3423">
        <v>0</v>
      </c>
      <c r="AL28" s="313">
        <v>0</v>
      </c>
      <c r="AM28" s="167">
        <f t="shared" si="88"/>
        <v>0</v>
      </c>
      <c r="AN28" s="163">
        <f t="shared" si="89"/>
        <v>0</v>
      </c>
      <c r="AO28" s="143">
        <f t="shared" ref="AO28" si="102">+AI28+AK28</f>
        <v>0</v>
      </c>
      <c r="AP28" s="96">
        <f t="shared" si="91"/>
        <v>0</v>
      </c>
      <c r="AQ28" s="3891">
        <v>0</v>
      </c>
      <c r="AR28" s="313">
        <v>0</v>
      </c>
      <c r="AS28" s="143">
        <f t="shared" si="92"/>
        <v>0</v>
      </c>
      <c r="AT28" s="96">
        <f t="shared" si="93"/>
        <v>0</v>
      </c>
      <c r="AU28" s="4016">
        <v>0</v>
      </c>
      <c r="AV28" s="313">
        <v>0</v>
      </c>
      <c r="AW28" s="143">
        <f t="shared" si="94"/>
        <v>0</v>
      </c>
      <c r="AX28" s="96">
        <f t="shared" si="95"/>
        <v>0</v>
      </c>
      <c r="AY28" s="4127">
        <v>0</v>
      </c>
      <c r="AZ28" s="313">
        <v>0</v>
      </c>
      <c r="BA28" s="167">
        <f t="shared" si="96"/>
        <v>0</v>
      </c>
      <c r="BB28" s="163">
        <f t="shared" si="97"/>
        <v>0</v>
      </c>
      <c r="BC28" s="1789">
        <f t="shared" si="98"/>
        <v>0</v>
      </c>
      <c r="BD28" s="1789">
        <f t="shared" si="99"/>
        <v>0</v>
      </c>
      <c r="BE28" s="143">
        <f t="shared" si="100"/>
        <v>0</v>
      </c>
      <c r="BF28" s="143">
        <f t="shared" si="101"/>
        <v>0</v>
      </c>
      <c r="BG28" s="3363">
        <v>0</v>
      </c>
      <c r="BH28" s="3367">
        <v>0</v>
      </c>
      <c r="BI28" s="3363">
        <v>4268.537074148353</v>
      </c>
      <c r="BJ28" s="3367">
        <v>0</v>
      </c>
    </row>
    <row r="29" spans="2:64" ht="15" customHeight="1" thickBot="1" x14ac:dyDescent="0.3">
      <c r="B29" s="720" t="s">
        <v>391</v>
      </c>
      <c r="C29" s="35" t="s">
        <v>393</v>
      </c>
      <c r="D29" s="1373">
        <f t="shared" ref="D29:BJ29" si="103">SUM(D26:D28)</f>
        <v>36934.274215885947</v>
      </c>
      <c r="E29" s="1373">
        <f t="shared" si="103"/>
        <v>2170</v>
      </c>
      <c r="F29" s="247">
        <f t="shared" si="103"/>
        <v>5891.82</v>
      </c>
      <c r="G29" s="1373">
        <f t="shared" si="103"/>
        <v>13020</v>
      </c>
      <c r="H29" s="247">
        <f t="shared" si="103"/>
        <v>6205.2100000000009</v>
      </c>
      <c r="I29" s="2024">
        <f t="shared" si="103"/>
        <v>15190</v>
      </c>
      <c r="J29" s="98">
        <f t="shared" si="103"/>
        <v>12097.029999999999</v>
      </c>
      <c r="K29" s="1121">
        <f t="shared" si="103"/>
        <v>868</v>
      </c>
      <c r="L29" s="56">
        <f t="shared" si="103"/>
        <v>5369.5299999999988</v>
      </c>
      <c r="M29" s="2025">
        <f t="shared" si="103"/>
        <v>16058</v>
      </c>
      <c r="N29" s="159">
        <f t="shared" si="103"/>
        <v>17466.559999999998</v>
      </c>
      <c r="O29" s="1373">
        <f t="shared" si="103"/>
        <v>868.01075356415481</v>
      </c>
      <c r="P29" s="56">
        <f t="shared" si="103"/>
        <v>4913.26</v>
      </c>
      <c r="Q29" s="2024">
        <f t="shared" si="103"/>
        <v>16926.010753564155</v>
      </c>
      <c r="R29" s="98">
        <f t="shared" si="103"/>
        <v>22379.82</v>
      </c>
      <c r="S29" s="1373">
        <f t="shared" si="103"/>
        <v>651.00806517311617</v>
      </c>
      <c r="T29" s="56">
        <f t="shared" si="103"/>
        <v>3312.69</v>
      </c>
      <c r="U29" s="2024">
        <f t="shared" si="103"/>
        <v>17577.01881873727</v>
      </c>
      <c r="V29" s="98">
        <f t="shared" si="103"/>
        <v>25692.51</v>
      </c>
      <c r="W29" s="1373">
        <f t="shared" ref="W29:X29" si="104">SUM(W26:W28)</f>
        <v>651.00806517311617</v>
      </c>
      <c r="X29" s="56">
        <f t="shared" si="104"/>
        <v>3033.34</v>
      </c>
      <c r="Y29" s="871">
        <f t="shared" si="103"/>
        <v>2170.0268839103869</v>
      </c>
      <c r="Z29" s="159">
        <f t="shared" si="103"/>
        <v>11259.29</v>
      </c>
      <c r="AA29" s="2026">
        <f t="shared" si="103"/>
        <v>18228.026883910388</v>
      </c>
      <c r="AB29" s="1126">
        <f t="shared" si="103"/>
        <v>28725.85</v>
      </c>
      <c r="AC29" s="1373">
        <f t="shared" ref="AC29:AF29" si="105">SUM(AC26:AC28)</f>
        <v>651.00806517311617</v>
      </c>
      <c r="AD29" s="56">
        <f t="shared" si="105"/>
        <v>2402.5</v>
      </c>
      <c r="AE29" s="2024">
        <f t="shared" si="105"/>
        <v>18879.034949083503</v>
      </c>
      <c r="AF29" s="98">
        <f t="shared" si="105"/>
        <v>31128.35</v>
      </c>
      <c r="AG29" s="1373">
        <f t="shared" ref="AG29:AJ29" si="106">SUM(AG26:AG28)</f>
        <v>651.00806517311617</v>
      </c>
      <c r="AH29" s="56">
        <f t="shared" si="106"/>
        <v>1939.8299999999997</v>
      </c>
      <c r="AI29" s="2024">
        <f t="shared" si="106"/>
        <v>19530.043014256622</v>
      </c>
      <c r="AJ29" s="98">
        <f t="shared" si="106"/>
        <v>33068.18</v>
      </c>
      <c r="AK29" s="1373">
        <f t="shared" ref="AK29:AL29" si="107">SUM(AK26:AK28)</f>
        <v>651.00806517311617</v>
      </c>
      <c r="AL29" s="56">
        <f t="shared" si="107"/>
        <v>0</v>
      </c>
      <c r="AM29" s="871">
        <f t="shared" ref="AM29:AQ29" si="108">SUM(AM26:AM28)</f>
        <v>1953.0241955193485</v>
      </c>
      <c r="AN29" s="159">
        <f t="shared" si="108"/>
        <v>4342.33</v>
      </c>
      <c r="AO29" s="2024">
        <f t="shared" si="108"/>
        <v>20181.051079429741</v>
      </c>
      <c r="AP29" s="98">
        <f t="shared" si="108"/>
        <v>33068.18</v>
      </c>
      <c r="AQ29" s="1373">
        <f t="shared" si="108"/>
        <v>651.00806517311617</v>
      </c>
      <c r="AR29" s="53">
        <f t="shared" ref="AR29" si="109">SUM(AR26:AR28)</f>
        <v>1493.8999999999992</v>
      </c>
      <c r="AS29" s="2024">
        <f t="shared" ref="AS29:AX29" si="110">SUM(AS26:AS28)</f>
        <v>20832.059144602856</v>
      </c>
      <c r="AT29" s="98">
        <f t="shared" si="110"/>
        <v>34562.080000000002</v>
      </c>
      <c r="AU29" s="1373">
        <f t="shared" si="110"/>
        <v>651.00806517311617</v>
      </c>
      <c r="AV29" s="53">
        <f t="shared" si="110"/>
        <v>1256.3600000000001</v>
      </c>
      <c r="AW29" s="2024">
        <f t="shared" si="110"/>
        <v>21483.067209775974</v>
      </c>
      <c r="AX29" s="98">
        <f t="shared" si="110"/>
        <v>35818.44</v>
      </c>
      <c r="AY29" s="1373">
        <f t="shared" ref="AY29:BB29" si="111">SUM(AY26:AY28)</f>
        <v>651.00806517311617</v>
      </c>
      <c r="AZ29" s="53">
        <f t="shared" si="111"/>
        <v>2533</v>
      </c>
      <c r="BA29" s="871">
        <f t="shared" si="111"/>
        <v>1953.0241955193485</v>
      </c>
      <c r="BB29" s="159">
        <f t="shared" si="111"/>
        <v>5283.2599999999993</v>
      </c>
      <c r="BC29" s="2026">
        <f t="shared" ref="BC29:BD29" si="112">SUM(BC26:BC28)</f>
        <v>3906.048391038697</v>
      </c>
      <c r="BD29" s="1126">
        <f t="shared" si="112"/>
        <v>9625.5899999999983</v>
      </c>
      <c r="BE29" s="2024">
        <f t="shared" ref="BE29:BF29" si="113">SUM(BE26:BE28)</f>
        <v>22134.075274949093</v>
      </c>
      <c r="BF29" s="98">
        <f t="shared" si="113"/>
        <v>38351.440000000002</v>
      </c>
      <c r="BG29" s="3364">
        <v>27728.355084884861</v>
      </c>
      <c r="BH29" s="3365">
        <v>109485.95999999999</v>
      </c>
      <c r="BI29" s="3364">
        <f t="shared" si="103"/>
        <v>42699.333667334649</v>
      </c>
      <c r="BJ29" s="3365">
        <f t="shared" si="103"/>
        <v>183605.90000000005</v>
      </c>
    </row>
    <row r="30" spans="2:64" s="334" customFormat="1" ht="15" customHeight="1" thickBot="1" x14ac:dyDescent="0.3">
      <c r="B30" s="721" t="s">
        <v>1661</v>
      </c>
      <c r="C30" s="682"/>
      <c r="D30" s="622"/>
      <c r="E30" s="622"/>
      <c r="F30" s="702"/>
      <c r="G30" s="622"/>
      <c r="H30" s="702"/>
      <c r="I30" s="682"/>
      <c r="J30" s="622"/>
      <c r="K30" s="622"/>
      <c r="L30" s="622"/>
      <c r="M30" s="622"/>
      <c r="N30" s="622"/>
      <c r="O30" s="622"/>
      <c r="P30" s="622"/>
      <c r="Q30" s="622"/>
      <c r="R30" s="622"/>
      <c r="S30" s="622"/>
      <c r="T30" s="622"/>
      <c r="U30" s="622"/>
      <c r="V30" s="622"/>
      <c r="W30" s="622"/>
      <c r="X30" s="622"/>
      <c r="Y30" s="622"/>
      <c r="Z30" s="622"/>
      <c r="AA30" s="622"/>
      <c r="AB30" s="622"/>
      <c r="AC30" s="622"/>
      <c r="AD30" s="622"/>
      <c r="AE30" s="622"/>
      <c r="AF30" s="622"/>
      <c r="AG30" s="622"/>
      <c r="AH30" s="622"/>
      <c r="AI30" s="622"/>
      <c r="AJ30" s="622"/>
      <c r="AK30" s="622"/>
      <c r="AL30" s="622"/>
      <c r="AM30" s="622"/>
      <c r="AN30" s="622"/>
      <c r="AO30" s="622"/>
      <c r="AP30" s="622"/>
      <c r="AQ30" s="622"/>
      <c r="AR30" s="622"/>
      <c r="AS30" s="622"/>
      <c r="AT30" s="622"/>
      <c r="AU30" s="622"/>
      <c r="AV30" s="622"/>
      <c r="AW30" s="622"/>
      <c r="AX30" s="622"/>
      <c r="AY30" s="622"/>
      <c r="AZ30" s="622"/>
      <c r="BA30" s="622"/>
      <c r="BB30" s="622"/>
      <c r="BC30" s="622"/>
      <c r="BD30" s="622"/>
      <c r="BE30" s="622"/>
      <c r="BF30" s="622"/>
      <c r="BG30" s="444"/>
      <c r="BH30" s="445"/>
      <c r="BI30" s="444"/>
      <c r="BJ30" s="445"/>
    </row>
    <row r="31" spans="2:64" ht="15" customHeight="1" x14ac:dyDescent="0.25">
      <c r="B31" s="718" t="s">
        <v>24</v>
      </c>
      <c r="C31" s="33" t="s">
        <v>393</v>
      </c>
      <c r="D31" s="2027"/>
      <c r="E31" s="2027"/>
      <c r="F31" s="238">
        <v>45170.8</v>
      </c>
      <c r="G31" s="2027"/>
      <c r="H31" s="238">
        <v>60440.2</v>
      </c>
      <c r="I31" s="2028"/>
      <c r="J31" s="96">
        <f t="shared" ref="J31:J32" si="114">+F31+H31</f>
        <v>105611</v>
      </c>
      <c r="K31" s="2029"/>
      <c r="L31" s="312">
        <v>56493.389999999992</v>
      </c>
      <c r="M31" s="2030"/>
      <c r="N31" s="163">
        <f t="shared" ref="N31:N32" si="115">+J31+L31</f>
        <v>162104.38999999998</v>
      </c>
      <c r="O31" s="2027"/>
      <c r="P31" s="312">
        <v>87150.200000000012</v>
      </c>
      <c r="Q31" s="2028"/>
      <c r="R31" s="96">
        <f t="shared" ref="R31:R32" si="116">+N31+P31</f>
        <v>249254.59</v>
      </c>
      <c r="S31" s="2027"/>
      <c r="T31" s="312">
        <v>105109.83999999998</v>
      </c>
      <c r="U31" s="2028"/>
      <c r="V31" s="96">
        <f t="shared" ref="V31:V32" si="117">+R31+T31</f>
        <v>354364.43</v>
      </c>
      <c r="W31" s="2027"/>
      <c r="X31" s="312">
        <v>80756.84</v>
      </c>
      <c r="Y31" s="2030"/>
      <c r="Z31" s="163">
        <f t="shared" ref="Z31:Z32" si="118">+P31+T31+X31</f>
        <v>273016.88</v>
      </c>
      <c r="AA31" s="2031"/>
      <c r="AB31" s="1789">
        <f t="shared" ref="AB31:AB32" si="119">+N31+Z31</f>
        <v>435121.27</v>
      </c>
      <c r="AC31" s="2027"/>
      <c r="AD31" s="312">
        <v>89058.160000000018</v>
      </c>
      <c r="AE31" s="2028"/>
      <c r="AF31" s="96">
        <f t="shared" ref="AF31:AF32" si="120">+AB31+AD31</f>
        <v>524179.43000000005</v>
      </c>
      <c r="AG31" s="2027"/>
      <c r="AH31" s="312">
        <v>120688.65999999999</v>
      </c>
      <c r="AI31" s="2028"/>
      <c r="AJ31" s="96">
        <f t="shared" ref="AJ31:AJ32" si="121">+AF31+AH31</f>
        <v>644868.09000000008</v>
      </c>
      <c r="AK31" s="2027"/>
      <c r="AL31" s="312">
        <v>94046.810000000012</v>
      </c>
      <c r="AM31" s="2030"/>
      <c r="AN31" s="163">
        <f t="shared" ref="AN31:AN32" si="122">+AD31+AH31+AL31</f>
        <v>303793.63</v>
      </c>
      <c r="AO31" s="2028"/>
      <c r="AP31" s="96">
        <f t="shared" ref="AP31:AP32" si="123">+AJ31+AL31</f>
        <v>738914.90000000014</v>
      </c>
      <c r="AQ31" s="2027"/>
      <c r="AR31" s="312">
        <v>105999.62000000001</v>
      </c>
      <c r="AS31" s="2028"/>
      <c r="AT31" s="96">
        <f t="shared" ref="AT31:AT32" si="124">+AP31+AR31</f>
        <v>844914.52000000014</v>
      </c>
      <c r="AU31" s="2027"/>
      <c r="AV31" s="312">
        <v>98379.65</v>
      </c>
      <c r="AW31" s="2028"/>
      <c r="AX31" s="96">
        <f t="shared" ref="AX31:AX32" si="125">+AT31+AV31</f>
        <v>943294.17000000016</v>
      </c>
      <c r="AY31" s="2027"/>
      <c r="AZ31" s="312">
        <v>94500</v>
      </c>
      <c r="BA31" s="2030"/>
      <c r="BB31" s="163">
        <f t="shared" ref="BB31:BB32" si="126">+AR31+AV31+AZ31</f>
        <v>298879.27</v>
      </c>
      <c r="BC31" s="2031"/>
      <c r="BD31" s="1789">
        <f t="shared" ref="BD31:BD32" si="127">+AN31+BB31</f>
        <v>602672.9</v>
      </c>
      <c r="BE31" s="2028"/>
      <c r="BF31" s="143">
        <f t="shared" ref="BF31:BF32" si="128">+AX31+AZ31</f>
        <v>1037794.1700000002</v>
      </c>
      <c r="BG31" s="3376"/>
      <c r="BH31" s="3373">
        <v>798966.66</v>
      </c>
      <c r="BI31" s="3376"/>
      <c r="BJ31" s="3373">
        <v>895368.16999999993</v>
      </c>
    </row>
    <row r="32" spans="2:64" ht="15" customHeight="1" thickBot="1" x14ac:dyDescent="0.3">
      <c r="B32" s="719" t="s">
        <v>25</v>
      </c>
      <c r="C32" s="34" t="s">
        <v>393</v>
      </c>
      <c r="D32" s="2032"/>
      <c r="E32" s="2032"/>
      <c r="F32" s="1974">
        <v>249.15</v>
      </c>
      <c r="G32" s="2032"/>
      <c r="H32" s="1974">
        <v>249.95</v>
      </c>
      <c r="I32" s="2033"/>
      <c r="J32" s="96">
        <f t="shared" si="114"/>
        <v>499.1</v>
      </c>
      <c r="K32" s="2034"/>
      <c r="L32" s="312">
        <v>998.11000000000024</v>
      </c>
      <c r="M32" s="2035"/>
      <c r="N32" s="163">
        <f t="shared" si="115"/>
        <v>1497.2100000000003</v>
      </c>
      <c r="O32" s="2032"/>
      <c r="P32" s="312">
        <v>0</v>
      </c>
      <c r="Q32" s="2033"/>
      <c r="R32" s="96">
        <f t="shared" si="116"/>
        <v>1497.2100000000003</v>
      </c>
      <c r="S32" s="2032"/>
      <c r="T32" s="312">
        <v>998.14</v>
      </c>
      <c r="U32" s="2033"/>
      <c r="V32" s="96">
        <f t="shared" si="117"/>
        <v>2495.3500000000004</v>
      </c>
      <c r="W32" s="2032"/>
      <c r="X32" s="312">
        <v>740.54000000000008</v>
      </c>
      <c r="Y32" s="2035"/>
      <c r="Z32" s="163">
        <f t="shared" si="118"/>
        <v>1738.68</v>
      </c>
      <c r="AA32" s="2036"/>
      <c r="AB32" s="1789">
        <f t="shared" si="119"/>
        <v>3235.8900000000003</v>
      </c>
      <c r="AC32" s="2032"/>
      <c r="AD32" s="312">
        <v>832.31</v>
      </c>
      <c r="AE32" s="2033"/>
      <c r="AF32" s="96">
        <f t="shared" si="120"/>
        <v>4068.2000000000003</v>
      </c>
      <c r="AG32" s="2032"/>
      <c r="AH32" s="312">
        <v>3919.5699999999988</v>
      </c>
      <c r="AI32" s="2033"/>
      <c r="AJ32" s="96">
        <f t="shared" si="121"/>
        <v>7987.7699999999986</v>
      </c>
      <c r="AK32" s="2032"/>
      <c r="AL32" s="312">
        <v>2630.420000000001</v>
      </c>
      <c r="AM32" s="2035"/>
      <c r="AN32" s="163">
        <f t="shared" si="122"/>
        <v>7382.3</v>
      </c>
      <c r="AO32" s="2033"/>
      <c r="AP32" s="96">
        <f t="shared" si="123"/>
        <v>10618.189999999999</v>
      </c>
      <c r="AQ32" s="2032"/>
      <c r="AR32" s="312">
        <v>2367.9199999999996</v>
      </c>
      <c r="AS32" s="2033"/>
      <c r="AT32" s="96">
        <f t="shared" si="124"/>
        <v>12986.109999999999</v>
      </c>
      <c r="AU32" s="2032"/>
      <c r="AV32" s="312">
        <v>1998.2400000000005</v>
      </c>
      <c r="AW32" s="2033"/>
      <c r="AX32" s="96">
        <f t="shared" si="125"/>
        <v>14984.349999999999</v>
      </c>
      <c r="AY32" s="2032"/>
      <c r="AZ32" s="312">
        <v>1500</v>
      </c>
      <c r="BA32" s="2035"/>
      <c r="BB32" s="163">
        <f t="shared" si="126"/>
        <v>5866.16</v>
      </c>
      <c r="BC32" s="2036"/>
      <c r="BD32" s="1789">
        <f t="shared" si="127"/>
        <v>13248.46</v>
      </c>
      <c r="BE32" s="2033"/>
      <c r="BF32" s="143">
        <f t="shared" si="128"/>
        <v>16484.349999999999</v>
      </c>
      <c r="BG32" s="3377"/>
      <c r="BH32" s="3369">
        <v>248.04</v>
      </c>
      <c r="BI32" s="3377"/>
      <c r="BJ32" s="3369">
        <v>0</v>
      </c>
    </row>
    <row r="33" spans="2:62" ht="15" customHeight="1" thickBot="1" x14ac:dyDescent="0.3">
      <c r="B33" s="720" t="s">
        <v>2</v>
      </c>
      <c r="C33" s="35" t="s">
        <v>393</v>
      </c>
      <c r="D33" s="1528">
        <f>+'Maj Production Summ'!D26</f>
        <v>953450.92424878944</v>
      </c>
      <c r="E33" s="1528">
        <v>36985</v>
      </c>
      <c r="F33" s="52">
        <f>SUM(F31:F32)</f>
        <v>45419.950000000004</v>
      </c>
      <c r="G33" s="1528">
        <f>+'Maj Production Summ'!G26</f>
        <v>46750</v>
      </c>
      <c r="H33" s="247">
        <f>SUM(H31:H32)</f>
        <v>60690.149999999994</v>
      </c>
      <c r="I33" s="2037">
        <f>+E33+G33</f>
        <v>83735</v>
      </c>
      <c r="J33" s="145">
        <f>SUM(J31:J32)</f>
        <v>106110.1</v>
      </c>
      <c r="K33" s="1528">
        <v>91932</v>
      </c>
      <c r="L33" s="56">
        <f>SUM(L31:L32)</f>
        <v>57491.499999999993</v>
      </c>
      <c r="M33" s="2038">
        <f>+I33+K33</f>
        <v>175667</v>
      </c>
      <c r="N33" s="159">
        <f>SUM(N31:N32)</f>
        <v>163601.59999999998</v>
      </c>
      <c r="O33" s="1528">
        <v>95048.257150000005</v>
      </c>
      <c r="P33" s="56">
        <f>SUM(P31:P32)</f>
        <v>87150.200000000012</v>
      </c>
      <c r="Q33" s="2037">
        <f>+M33+O33</f>
        <v>270715.25715000002</v>
      </c>
      <c r="R33" s="98">
        <f>SUM(R31:R32)</f>
        <v>250751.8</v>
      </c>
      <c r="S33" s="1528">
        <v>95048.257150000005</v>
      </c>
      <c r="T33" s="56">
        <f>SUM(T31:T32)</f>
        <v>106107.97999999998</v>
      </c>
      <c r="U33" s="2037">
        <f>+Q33+S33</f>
        <v>365763.51430000004</v>
      </c>
      <c r="V33" s="98">
        <f>SUM(V31:V32)</f>
        <v>356859.77999999997</v>
      </c>
      <c r="W33" s="1528">
        <v>92445.507000000012</v>
      </c>
      <c r="X33" s="56">
        <f>SUM(X31:X32)</f>
        <v>81497.37999999999</v>
      </c>
      <c r="Y33" s="2038">
        <f>+O33+S33+W33</f>
        <v>282542.02130000002</v>
      </c>
      <c r="Z33" s="159">
        <f>SUM(Z31:Z32)</f>
        <v>274755.56</v>
      </c>
      <c r="AA33" s="2039">
        <f>+M33+Y33</f>
        <v>458209.02130000002</v>
      </c>
      <c r="AB33" s="1126">
        <f>SUM(AB31:AB32)</f>
        <v>438357.16000000003</v>
      </c>
      <c r="AC33" s="1528">
        <v>88166</v>
      </c>
      <c r="AD33" s="56">
        <f>SUM(AD31:AD32)</f>
        <v>89890.470000000016</v>
      </c>
      <c r="AE33" s="2037">
        <f>+AA33+AC33</f>
        <v>546375.02130000002</v>
      </c>
      <c r="AF33" s="98">
        <f>SUM(AF31:AF32)</f>
        <v>528247.63</v>
      </c>
      <c r="AG33" s="1528">
        <v>88166</v>
      </c>
      <c r="AH33" s="56">
        <f>SUM(AH31:AH32)</f>
        <v>124608.22999999998</v>
      </c>
      <c r="AI33" s="2037">
        <f>+AE33+AG33</f>
        <v>634541.02130000002</v>
      </c>
      <c r="AJ33" s="98">
        <f>SUM(AJ31:AJ32)</f>
        <v>652855.8600000001</v>
      </c>
      <c r="AK33" s="1528">
        <v>83400.179210526316</v>
      </c>
      <c r="AL33" s="56">
        <f>SUM(AL31:AL32)</f>
        <v>96677.23000000001</v>
      </c>
      <c r="AM33" s="2038">
        <f>+AC33+AG33+AK33</f>
        <v>259732.17921052632</v>
      </c>
      <c r="AN33" s="159">
        <f>SUM(AN31:AN32)</f>
        <v>311175.93</v>
      </c>
      <c r="AO33" s="2037">
        <f>+AI33+AK33</f>
        <v>717941.20051052631</v>
      </c>
      <c r="AP33" s="98">
        <f>SUM(AP31:AP32)</f>
        <v>749533.09000000008</v>
      </c>
      <c r="AQ33" s="1528">
        <v>83400.179210526316</v>
      </c>
      <c r="AR33" s="56">
        <f>SUM(AR31:AR32)</f>
        <v>108367.54000000001</v>
      </c>
      <c r="AS33" s="2037">
        <f>+AO33+AQ33</f>
        <v>801341.3797210526</v>
      </c>
      <c r="AT33" s="98">
        <f>SUM(AT31:AT32)</f>
        <v>857900.63000000012</v>
      </c>
      <c r="AU33" s="1528">
        <v>73904.937993526328</v>
      </c>
      <c r="AV33" s="56">
        <f>SUM(AV31:AV32)</f>
        <v>100377.89</v>
      </c>
      <c r="AW33" s="2037">
        <f>+AS33+AU33</f>
        <v>875246.31771457894</v>
      </c>
      <c r="AX33" s="98">
        <f>SUM(AX31:AX32)</f>
        <v>958278.52000000014</v>
      </c>
      <c r="AY33" s="1528">
        <v>83400.179210526316</v>
      </c>
      <c r="AZ33" s="56">
        <f>SUM(AZ31:AZ32)</f>
        <v>96000</v>
      </c>
      <c r="BA33" s="2038">
        <f>+AQ33+AU33+AY33</f>
        <v>240705.29641457894</v>
      </c>
      <c r="BB33" s="159">
        <f>SUM(BB31:BB32)</f>
        <v>304745.43</v>
      </c>
      <c r="BC33" s="2039">
        <f>+AM33+BA33</f>
        <v>500437.47562510526</v>
      </c>
      <c r="BD33" s="1126">
        <f>SUM(BD31:BD32)</f>
        <v>615921.36</v>
      </c>
      <c r="BE33" s="2037">
        <f>+AW33+AY33</f>
        <v>958646.49692510522</v>
      </c>
      <c r="BF33" s="98">
        <f>SUM(BF31:BF32)</f>
        <v>1054278.5200000003</v>
      </c>
      <c r="BG33" s="3378">
        <v>891056.60324435518</v>
      </c>
      <c r="BH33" s="3379">
        <v>799214.70000000007</v>
      </c>
      <c r="BI33" s="3378">
        <v>850423</v>
      </c>
      <c r="BJ33" s="3379">
        <f>SUM(BJ31:BJ32)</f>
        <v>895368.16999999993</v>
      </c>
    </row>
    <row r="34" spans="2:62" s="343" customFormat="1" ht="15" customHeight="1" thickBot="1" x14ac:dyDescent="0.3">
      <c r="B34" s="721" t="s">
        <v>1662</v>
      </c>
      <c r="C34" s="682"/>
      <c r="D34" s="622"/>
      <c r="E34" s="622"/>
      <c r="F34" s="702"/>
      <c r="G34" s="622"/>
      <c r="H34" s="702"/>
      <c r="I34" s="682"/>
      <c r="J34" s="622"/>
      <c r="K34" s="622"/>
      <c r="L34" s="622"/>
      <c r="M34" s="622"/>
      <c r="N34" s="622"/>
      <c r="O34" s="622"/>
      <c r="P34" s="682"/>
      <c r="Q34" s="622"/>
      <c r="R34" s="622"/>
      <c r="S34" s="622"/>
      <c r="T34" s="682"/>
      <c r="U34" s="622"/>
      <c r="V34" s="622"/>
      <c r="W34" s="622"/>
      <c r="X34" s="682"/>
      <c r="Y34" s="622"/>
      <c r="Z34" s="622"/>
      <c r="AA34" s="622"/>
      <c r="AB34" s="622"/>
      <c r="AC34" s="622"/>
      <c r="AD34" s="682"/>
      <c r="AE34" s="622"/>
      <c r="AF34" s="622"/>
      <c r="AG34" s="622"/>
      <c r="AH34" s="682"/>
      <c r="AI34" s="622"/>
      <c r="AJ34" s="622"/>
      <c r="AK34" s="622"/>
      <c r="AL34" s="682"/>
      <c r="AM34" s="622"/>
      <c r="AN34" s="622"/>
      <c r="AO34" s="622"/>
      <c r="AP34" s="622"/>
      <c r="AQ34" s="622"/>
      <c r="AR34" s="682"/>
      <c r="AS34" s="622"/>
      <c r="AT34" s="622"/>
      <c r="AU34" s="622"/>
      <c r="AV34" s="682"/>
      <c r="AW34" s="622"/>
      <c r="AX34" s="622"/>
      <c r="AY34" s="622"/>
      <c r="AZ34" s="682"/>
      <c r="BA34" s="622"/>
      <c r="BB34" s="622"/>
      <c r="BC34" s="622"/>
      <c r="BD34" s="622"/>
      <c r="BE34" s="622"/>
      <c r="BF34" s="622"/>
      <c r="BG34" s="703"/>
      <c r="BH34" s="704"/>
      <c r="BI34" s="703"/>
      <c r="BJ34" s="704"/>
    </row>
    <row r="35" spans="2:62" ht="15" customHeight="1" x14ac:dyDescent="0.25">
      <c r="B35" s="718" t="s">
        <v>133</v>
      </c>
      <c r="C35" s="33" t="s">
        <v>393</v>
      </c>
      <c r="D35" s="4855">
        <f>+D33</f>
        <v>953450.92424878944</v>
      </c>
      <c r="E35" s="4855">
        <f>+E33</f>
        <v>36985</v>
      </c>
      <c r="F35" s="238">
        <v>45419.95</v>
      </c>
      <c r="G35" s="4855">
        <f>+G33</f>
        <v>46750</v>
      </c>
      <c r="H35" s="238">
        <v>53284.23</v>
      </c>
      <c r="I35" s="4863">
        <f t="shared" ref="I35" si="129">+E35+G35</f>
        <v>83735</v>
      </c>
      <c r="J35" s="96">
        <f t="shared" ref="J35:J36" si="130">+F35+H35</f>
        <v>98704.18</v>
      </c>
      <c r="K35" s="4855">
        <f>+K33</f>
        <v>91932</v>
      </c>
      <c r="L35" s="312">
        <v>53807.759999999995</v>
      </c>
      <c r="M35" s="4866">
        <f t="shared" ref="M35" si="131">+I35+K35</f>
        <v>175667</v>
      </c>
      <c r="N35" s="163">
        <f t="shared" ref="N35:N36" si="132">+J35+L35</f>
        <v>152511.94</v>
      </c>
      <c r="O35" s="4855">
        <f>+O33</f>
        <v>95048.257150000005</v>
      </c>
      <c r="P35" s="312">
        <v>69177.680000000008</v>
      </c>
      <c r="Q35" s="4895">
        <f t="shared" ref="Q35" si="133">+M35+O35</f>
        <v>270715.25715000002</v>
      </c>
      <c r="R35" s="96">
        <f t="shared" ref="R35:R36" si="134">+N35+P35</f>
        <v>221689.62</v>
      </c>
      <c r="S35" s="4855">
        <f>+S33</f>
        <v>95048.257150000005</v>
      </c>
      <c r="T35" s="312">
        <v>95222.919999999984</v>
      </c>
      <c r="U35" s="4863">
        <f t="shared" ref="U35" si="135">+Q35+S35</f>
        <v>365763.51430000004</v>
      </c>
      <c r="V35" s="96">
        <f t="shared" ref="V35:V36" si="136">+R35+T35</f>
        <v>316912.53999999998</v>
      </c>
      <c r="W35" s="4855">
        <f>+W33</f>
        <v>92445.507000000012</v>
      </c>
      <c r="X35" s="312">
        <v>70297</v>
      </c>
      <c r="Y35" s="4866">
        <f>+O35+S35+W35</f>
        <v>282542.02130000002</v>
      </c>
      <c r="Z35" s="163">
        <f t="shared" ref="Z35:Z36" si="137">+P35+T35+X35</f>
        <v>234697.59999999998</v>
      </c>
      <c r="AA35" s="4852">
        <f>+Y35+M35</f>
        <v>458209.02130000002</v>
      </c>
      <c r="AB35" s="1789">
        <f t="shared" ref="AB35:AB36" si="138">+N35+Z35</f>
        <v>387209.54</v>
      </c>
      <c r="AC35" s="4855">
        <f>+AC33</f>
        <v>88166</v>
      </c>
      <c r="AD35" s="312">
        <v>74893.2</v>
      </c>
      <c r="AE35" s="4863">
        <f t="shared" ref="AE35" si="139">+AA35+AC35</f>
        <v>546375.02130000002</v>
      </c>
      <c r="AF35" s="96">
        <f t="shared" ref="AF35:AF36" si="140">+AB35+AD35</f>
        <v>462102.74</v>
      </c>
      <c r="AG35" s="4855">
        <f>+AG33</f>
        <v>88166</v>
      </c>
      <c r="AH35" s="312">
        <v>102165.9</v>
      </c>
      <c r="AI35" s="4863">
        <f t="shared" ref="AI35" si="141">+AE35+AG35</f>
        <v>634541.02130000002</v>
      </c>
      <c r="AJ35" s="96">
        <f t="shared" ref="AJ35:AJ36" si="142">+AF35+AH35</f>
        <v>564268.64</v>
      </c>
      <c r="AK35" s="4855">
        <f>+AK33</f>
        <v>83400.179210526316</v>
      </c>
      <c r="AL35" s="312">
        <v>85439.110000000015</v>
      </c>
      <c r="AM35" s="4866">
        <f>+AC35+AG35+AK35</f>
        <v>259732.17921052632</v>
      </c>
      <c r="AN35" s="163">
        <f t="shared" ref="AN35:AN36" si="143">+AD35+AH35+AL35</f>
        <v>262498.20999999996</v>
      </c>
      <c r="AO35" s="4863">
        <f t="shared" ref="AO35" si="144">+AI35+AK35</f>
        <v>717941.20051052631</v>
      </c>
      <c r="AP35" s="96">
        <f t="shared" ref="AP35:AP36" si="145">+AJ35+AL35</f>
        <v>649707.75</v>
      </c>
      <c r="AQ35" s="4855">
        <f>+AQ33</f>
        <v>83400.179210526316</v>
      </c>
      <c r="AR35" s="312">
        <v>93407.250000000015</v>
      </c>
      <c r="AS35" s="4863">
        <f t="shared" ref="AS35" si="146">+AO35+AQ35</f>
        <v>801341.3797210526</v>
      </c>
      <c r="AT35" s="96">
        <f t="shared" ref="AT35:AT36" si="147">+AP35+AR35</f>
        <v>743115</v>
      </c>
      <c r="AU35" s="4855">
        <f>+AU33</f>
        <v>73904.937993526328</v>
      </c>
      <c r="AV35" s="312">
        <v>89211.799999999988</v>
      </c>
      <c r="AW35" s="4863">
        <f t="shared" ref="AW35" si="148">+AS35+AU35</f>
        <v>875246.31771457894</v>
      </c>
      <c r="AX35" s="96">
        <f t="shared" ref="AX35:AX36" si="149">+AT35+AV35</f>
        <v>832326.8</v>
      </c>
      <c r="AY35" s="4855">
        <f>+AY33</f>
        <v>83400.179210526316</v>
      </c>
      <c r="AZ35" s="312">
        <v>96000</v>
      </c>
      <c r="BA35" s="4866">
        <f>+AQ35+AU35+AY35</f>
        <v>240705.29641457894</v>
      </c>
      <c r="BB35" s="163">
        <f t="shared" ref="BB35:BB36" si="150">+AR35+AV35+AZ35</f>
        <v>278619.05</v>
      </c>
      <c r="BC35" s="4852">
        <f>+BA35+AM35</f>
        <v>500437.47562510526</v>
      </c>
      <c r="BD35" s="1789">
        <f t="shared" ref="BD35:BD36" si="151">+AN35+BB35</f>
        <v>541117.26</v>
      </c>
      <c r="BE35" s="4863">
        <f>+AW35+AY35</f>
        <v>958646.49692510522</v>
      </c>
      <c r="BF35" s="143">
        <f t="shared" ref="BF35:BF36" si="152">+AX35+AZ35</f>
        <v>928326.8</v>
      </c>
      <c r="BG35" s="4892">
        <v>891056.60324435518</v>
      </c>
      <c r="BH35" s="3373">
        <v>747068.74</v>
      </c>
      <c r="BI35" s="4892">
        <f>+BI33</f>
        <v>850423</v>
      </c>
      <c r="BJ35" s="3373">
        <v>843210.72000000009</v>
      </c>
    </row>
    <row r="36" spans="2:62" ht="15" customHeight="1" thickBot="1" x14ac:dyDescent="0.3">
      <c r="B36" s="719" t="s">
        <v>134</v>
      </c>
      <c r="C36" s="34" t="s">
        <v>393</v>
      </c>
      <c r="D36" s="4869"/>
      <c r="E36" s="4869"/>
      <c r="F36" s="1974">
        <v>0</v>
      </c>
      <c r="G36" s="4869"/>
      <c r="H36" s="1974">
        <v>7405.92</v>
      </c>
      <c r="I36" s="4864"/>
      <c r="J36" s="96">
        <f t="shared" si="130"/>
        <v>7405.92</v>
      </c>
      <c r="K36" s="4869"/>
      <c r="L36" s="312">
        <v>3683.74</v>
      </c>
      <c r="M36" s="4867"/>
      <c r="N36" s="163">
        <f t="shared" si="132"/>
        <v>11089.66</v>
      </c>
      <c r="O36" s="4869"/>
      <c r="P36" s="312">
        <v>17972.519999999997</v>
      </c>
      <c r="Q36" s="4896"/>
      <c r="R36" s="96">
        <f t="shared" si="134"/>
        <v>29062.179999999997</v>
      </c>
      <c r="S36" s="4869"/>
      <c r="T36" s="312">
        <v>10885.06</v>
      </c>
      <c r="U36" s="4864"/>
      <c r="V36" s="96">
        <f t="shared" si="136"/>
        <v>39947.24</v>
      </c>
      <c r="W36" s="4869"/>
      <c r="X36" s="312">
        <v>11200.380000000001</v>
      </c>
      <c r="Y36" s="4867"/>
      <c r="Z36" s="163">
        <f t="shared" si="137"/>
        <v>40057.959999999992</v>
      </c>
      <c r="AA36" s="4853"/>
      <c r="AB36" s="1789">
        <f t="shared" si="138"/>
        <v>51147.619999999995</v>
      </c>
      <c r="AC36" s="4869"/>
      <c r="AD36" s="312">
        <v>14997.27</v>
      </c>
      <c r="AE36" s="4864"/>
      <c r="AF36" s="96">
        <f t="shared" si="140"/>
        <v>66144.89</v>
      </c>
      <c r="AG36" s="4869"/>
      <c r="AH36" s="312">
        <v>22442.329999999998</v>
      </c>
      <c r="AI36" s="4864"/>
      <c r="AJ36" s="96">
        <f t="shared" si="142"/>
        <v>88587.22</v>
      </c>
      <c r="AK36" s="4869"/>
      <c r="AL36" s="312">
        <v>11238.12</v>
      </c>
      <c r="AM36" s="4867"/>
      <c r="AN36" s="163">
        <f t="shared" si="143"/>
        <v>48677.72</v>
      </c>
      <c r="AO36" s="4864"/>
      <c r="AP36" s="96">
        <f t="shared" si="145"/>
        <v>99825.34</v>
      </c>
      <c r="AQ36" s="4869"/>
      <c r="AR36" s="312">
        <v>14960.289999999999</v>
      </c>
      <c r="AS36" s="4864"/>
      <c r="AT36" s="96">
        <f t="shared" si="147"/>
        <v>114785.62999999999</v>
      </c>
      <c r="AU36" s="4869"/>
      <c r="AV36" s="312">
        <v>11166.09</v>
      </c>
      <c r="AW36" s="4864"/>
      <c r="AX36" s="96">
        <f t="shared" si="149"/>
        <v>125951.71999999999</v>
      </c>
      <c r="AY36" s="4869"/>
      <c r="AZ36" s="312">
        <v>0</v>
      </c>
      <c r="BA36" s="4867"/>
      <c r="BB36" s="163">
        <f t="shared" si="150"/>
        <v>26126.379999999997</v>
      </c>
      <c r="BC36" s="4853"/>
      <c r="BD36" s="1789">
        <f t="shared" si="151"/>
        <v>74804.100000000006</v>
      </c>
      <c r="BE36" s="4864"/>
      <c r="BF36" s="143">
        <f t="shared" si="152"/>
        <v>125951.71999999999</v>
      </c>
      <c r="BG36" s="4898"/>
      <c r="BH36" s="3369">
        <v>52145.51</v>
      </c>
      <c r="BI36" s="4898"/>
      <c r="BJ36" s="3369">
        <v>52157.45</v>
      </c>
    </row>
    <row r="37" spans="2:62" ht="15" customHeight="1" thickBot="1" x14ac:dyDescent="0.3">
      <c r="B37" s="720" t="s">
        <v>2</v>
      </c>
      <c r="C37" s="35" t="s">
        <v>393</v>
      </c>
      <c r="D37" s="4870"/>
      <c r="E37" s="4870"/>
      <c r="F37" s="247">
        <f>SUM(F35:F36)</f>
        <v>45419.95</v>
      </c>
      <c r="G37" s="4870"/>
      <c r="H37" s="247">
        <f>SUM(H35:H36)</f>
        <v>60690.15</v>
      </c>
      <c r="I37" s="4865"/>
      <c r="J37" s="98">
        <f>SUM(J35:J36)</f>
        <v>106110.09999999999</v>
      </c>
      <c r="K37" s="4870"/>
      <c r="L37" s="56">
        <f>SUM(L35:L36)</f>
        <v>57491.499999999993</v>
      </c>
      <c r="M37" s="4868"/>
      <c r="N37" s="159">
        <f>SUM(N35:N36)</f>
        <v>163601.60000000001</v>
      </c>
      <c r="O37" s="4870"/>
      <c r="P37" s="56">
        <f>SUM(P35:P36)</f>
        <v>87150.200000000012</v>
      </c>
      <c r="Q37" s="4897"/>
      <c r="R37" s="98">
        <f>SUM(R35:R36)</f>
        <v>250751.8</v>
      </c>
      <c r="S37" s="4870"/>
      <c r="T37" s="56">
        <f>SUM(T35:T36)</f>
        <v>106107.97999999998</v>
      </c>
      <c r="U37" s="4865"/>
      <c r="V37" s="98">
        <f>SUM(V35:V36)</f>
        <v>356859.77999999997</v>
      </c>
      <c r="W37" s="4870"/>
      <c r="X37" s="56">
        <f>SUM(X35:X36)</f>
        <v>81497.38</v>
      </c>
      <c r="Y37" s="4868"/>
      <c r="Z37" s="159">
        <f>SUM(Z35:Z36)</f>
        <v>274755.55999999994</v>
      </c>
      <c r="AA37" s="4854"/>
      <c r="AB37" s="1126">
        <f>SUM(AB35:AB36)</f>
        <v>438357.16</v>
      </c>
      <c r="AC37" s="4870"/>
      <c r="AD37" s="56">
        <f>SUM(AD35:AD36)</f>
        <v>89890.47</v>
      </c>
      <c r="AE37" s="4865"/>
      <c r="AF37" s="98">
        <f>SUM(AF35:AF36)</f>
        <v>528247.63</v>
      </c>
      <c r="AG37" s="4870"/>
      <c r="AH37" s="56">
        <f>SUM(AH35:AH36)</f>
        <v>124608.23</v>
      </c>
      <c r="AI37" s="4865"/>
      <c r="AJ37" s="98">
        <f>SUM(AJ35:AJ36)</f>
        <v>652855.86</v>
      </c>
      <c r="AK37" s="4870"/>
      <c r="AL37" s="56">
        <f>SUM(AL35:AL36)</f>
        <v>96677.23000000001</v>
      </c>
      <c r="AM37" s="4868"/>
      <c r="AN37" s="159">
        <f>SUM(AN35:AN36)</f>
        <v>311175.92999999993</v>
      </c>
      <c r="AO37" s="4865"/>
      <c r="AP37" s="98">
        <f>SUM(AP35:AP36)</f>
        <v>749533.09</v>
      </c>
      <c r="AQ37" s="4870"/>
      <c r="AR37" s="56">
        <f>SUM(AR35:AR36)</f>
        <v>108367.54000000001</v>
      </c>
      <c r="AS37" s="4865"/>
      <c r="AT37" s="98">
        <f>SUM(AT35:AT36)</f>
        <v>857900.63</v>
      </c>
      <c r="AU37" s="4870"/>
      <c r="AV37" s="56">
        <f>SUM(AV35:AV36)</f>
        <v>100377.88999999998</v>
      </c>
      <c r="AW37" s="4865"/>
      <c r="AX37" s="98">
        <f>SUM(AX35:AX36)</f>
        <v>958278.52</v>
      </c>
      <c r="AY37" s="4870"/>
      <c r="AZ37" s="56">
        <f>SUM(AZ35:AZ36)</f>
        <v>96000</v>
      </c>
      <c r="BA37" s="4868"/>
      <c r="BB37" s="159">
        <f>SUM(BB35:BB36)</f>
        <v>304745.43</v>
      </c>
      <c r="BC37" s="4854"/>
      <c r="BD37" s="1126">
        <f>SUM(BD35:BD36)</f>
        <v>615921.36</v>
      </c>
      <c r="BE37" s="4865"/>
      <c r="BF37" s="98">
        <f>SUM(BF35:BF36)</f>
        <v>1054278.52</v>
      </c>
      <c r="BG37" s="4899"/>
      <c r="BH37" s="3365">
        <v>799214.25</v>
      </c>
      <c r="BI37" s="4899"/>
      <c r="BJ37" s="3365">
        <f>SUM(BJ35:BJ36)</f>
        <v>895368.17</v>
      </c>
    </row>
    <row r="38" spans="2:62" ht="15" customHeight="1" x14ac:dyDescent="0.25">
      <c r="B38" s="23" t="s">
        <v>359</v>
      </c>
      <c r="C38" s="36" t="s">
        <v>393</v>
      </c>
      <c r="D38" s="150">
        <f>+'Maj Production Summ'!D45</f>
        <v>51085.856599999992</v>
      </c>
      <c r="E38" s="150">
        <f>+'Maj Production Summ'!E45</f>
        <v>4199</v>
      </c>
      <c r="F38" s="354">
        <v>3879.26</v>
      </c>
      <c r="G38" s="150">
        <f>+'Maj Production Summ'!G45</f>
        <v>4339</v>
      </c>
      <c r="H38" s="354">
        <v>3790.04</v>
      </c>
      <c r="I38" s="2000">
        <f t="shared" ref="I38:I39" si="153">+E38+G38</f>
        <v>8538</v>
      </c>
      <c r="J38" s="100">
        <f t="shared" ref="J38:J39" si="154">+F38+H38</f>
        <v>7669.3</v>
      </c>
      <c r="K38" s="150">
        <f>+'Maj Production Summ'!K45</f>
        <v>4199</v>
      </c>
      <c r="L38" s="931">
        <v>3734.08</v>
      </c>
      <c r="M38" s="2001">
        <f t="shared" ref="M38:M39" si="155">+I38+K38</f>
        <v>12737</v>
      </c>
      <c r="N38" s="168">
        <f t="shared" ref="N38:N39" si="156">+J38+L38</f>
        <v>11403.380000000001</v>
      </c>
      <c r="O38" s="150">
        <f>+'Maj Production Summ'!O45</f>
        <v>4338.7988000000005</v>
      </c>
      <c r="P38" s="2040">
        <v>4335.4299999999985</v>
      </c>
      <c r="Q38" s="2000">
        <f t="shared" ref="Q38:Q39" si="157">+M38+O38</f>
        <v>17075.7988</v>
      </c>
      <c r="R38" s="100">
        <f t="shared" ref="R38:R39" si="158">+N38+P38</f>
        <v>15738.81</v>
      </c>
      <c r="S38" s="150">
        <f>+'Maj Production Summ'!S45</f>
        <v>4338.7988000000005</v>
      </c>
      <c r="T38" s="2040">
        <v>4464.18</v>
      </c>
      <c r="U38" s="2000">
        <f t="shared" ref="U38:U39" si="159">+Q38+S38</f>
        <v>21414.597600000001</v>
      </c>
      <c r="V38" s="100">
        <f t="shared" ref="V38:V39" si="160">+R38+T38</f>
        <v>20202.989999999998</v>
      </c>
      <c r="W38" s="150">
        <f>+'Maj Production Summ'!W45</f>
        <v>4198.8374999999996</v>
      </c>
      <c r="X38" s="2040">
        <v>3796.3800000000006</v>
      </c>
      <c r="Y38" s="167">
        <f t="shared" ref="Y38:Y39" si="161">+O38+S38+W38</f>
        <v>12876.435100000001</v>
      </c>
      <c r="Z38" s="163">
        <f t="shared" ref="Z38:Z39" si="162">+P38+T38+X38</f>
        <v>12595.99</v>
      </c>
      <c r="AA38" s="1789">
        <f t="shared" ref="AA38:AA39" si="163">+M38+Y38</f>
        <v>25613.435100000002</v>
      </c>
      <c r="AB38" s="1789">
        <f t="shared" ref="AB38:AB39" si="164">+N38+Z38</f>
        <v>23999.370000000003</v>
      </c>
      <c r="AC38" s="3107">
        <f>+'Maj Production Summ'!AC45</f>
        <v>4338.7988000000005</v>
      </c>
      <c r="AD38" s="2040">
        <v>4373.6000000000022</v>
      </c>
      <c r="AE38" s="2000">
        <f t="shared" ref="AE38:AE39" si="165">+AA38+AC38</f>
        <v>29952.233900000003</v>
      </c>
      <c r="AF38" s="100">
        <f t="shared" ref="AF38:AF39" si="166">+AB38+AD38</f>
        <v>28372.970000000005</v>
      </c>
      <c r="AG38" s="3235">
        <f>+'Maj Production Summ'!AG45</f>
        <v>4198.8374999999996</v>
      </c>
      <c r="AH38" s="2040">
        <v>3918.3400000000011</v>
      </c>
      <c r="AI38" s="2000">
        <f t="shared" ref="AI38:AI39" si="167">+AE38+AG38</f>
        <v>34151.071400000001</v>
      </c>
      <c r="AJ38" s="100">
        <f t="shared" ref="AJ38:AJ39" si="168">+AF38+AH38</f>
        <v>32291.310000000005</v>
      </c>
      <c r="AK38" s="3424">
        <f>+'Maj Production Summ'!AK45</f>
        <v>4338.7988000000005</v>
      </c>
      <c r="AL38" s="2040">
        <v>4123.43</v>
      </c>
      <c r="AM38" s="167">
        <f t="shared" ref="AM38:AM39" si="169">+AC38+AG38+AK38</f>
        <v>12876.435100000001</v>
      </c>
      <c r="AN38" s="163">
        <f t="shared" ref="AN38:AN39" si="170">+AD38+AH38+AL38</f>
        <v>12415.370000000003</v>
      </c>
      <c r="AO38" s="2000">
        <f t="shared" ref="AO38:AO39" si="171">+AI38+AK38</f>
        <v>38489.870200000005</v>
      </c>
      <c r="AP38" s="100">
        <f t="shared" ref="AP38:AP39" si="172">+AJ38+AL38</f>
        <v>36414.740000000005</v>
      </c>
      <c r="AQ38" s="3500">
        <f>+'Maj Production Summ'!AQ45</f>
        <v>4338.7988000000005</v>
      </c>
      <c r="AR38" s="2040">
        <v>4090.85</v>
      </c>
      <c r="AS38" s="2000">
        <f t="shared" ref="AS38:AS39" si="173">+AO38+AQ38</f>
        <v>42828.669000000009</v>
      </c>
      <c r="AT38" s="100">
        <f t="shared" ref="AT38:AT39" si="174">+AP38+AR38</f>
        <v>40505.590000000004</v>
      </c>
      <c r="AU38" s="3500">
        <f>+'Maj Production Summ'!AU45</f>
        <v>3918.915</v>
      </c>
      <c r="AV38" s="2040">
        <v>3938.19</v>
      </c>
      <c r="AW38" s="2000">
        <f t="shared" ref="AW38:AW39" si="175">+AS38+AU38</f>
        <v>46747.58400000001</v>
      </c>
      <c r="AX38" s="100">
        <f t="shared" ref="AX38:AX39" si="176">+AT38+AV38</f>
        <v>44443.780000000006</v>
      </c>
      <c r="AY38" s="3500">
        <f>+'Maj Production Summ'!AY45</f>
        <v>4338.7988000000005</v>
      </c>
      <c r="AZ38" s="2040">
        <v>4456</v>
      </c>
      <c r="BA38" s="167">
        <f t="shared" ref="BA38:BA39" si="177">+AQ38+AU38+AY38</f>
        <v>12596.512600000002</v>
      </c>
      <c r="BB38" s="163">
        <f t="shared" ref="BB38:BB39" si="178">+AR38+AV38+AZ38</f>
        <v>12485.04</v>
      </c>
      <c r="BC38" s="1789">
        <f t="shared" ref="BC38:BC39" si="179">+AM38+BA38</f>
        <v>25472.947700000004</v>
      </c>
      <c r="BD38" s="1789">
        <f t="shared" ref="BD38:BD39" si="180">+AN38+BB38</f>
        <v>24900.410000000003</v>
      </c>
      <c r="BE38" s="143">
        <f t="shared" ref="BE38:BE39" si="181">+AW38+AY38</f>
        <v>51086.382800000007</v>
      </c>
      <c r="BF38" s="143">
        <f t="shared" ref="BF38:BF39" si="182">+AX38+AZ38</f>
        <v>48899.780000000006</v>
      </c>
      <c r="BG38" s="3362">
        <v>48732.013800000001</v>
      </c>
      <c r="BH38" s="3380">
        <v>49421.520000000004</v>
      </c>
      <c r="BI38" s="3362">
        <v>46118.873100000012</v>
      </c>
      <c r="BJ38" s="3380">
        <v>46910.34</v>
      </c>
    </row>
    <row r="39" spans="2:62" ht="15" customHeight="1" thickBot="1" x14ac:dyDescent="0.3">
      <c r="B39" s="723" t="s">
        <v>360</v>
      </c>
      <c r="C39" s="2041" t="s">
        <v>393</v>
      </c>
      <c r="D39" s="206">
        <f>+'Maj Production Summ'!D46</f>
        <v>16579.502</v>
      </c>
      <c r="E39" s="206">
        <f>+'Maj Production Summ'!E46</f>
        <v>1360</v>
      </c>
      <c r="F39" s="474">
        <v>179.83</v>
      </c>
      <c r="G39" s="206">
        <f>+'Maj Production Summ'!G46</f>
        <v>1408</v>
      </c>
      <c r="H39" s="474">
        <v>1089.04</v>
      </c>
      <c r="I39" s="2016">
        <f t="shared" si="153"/>
        <v>2768</v>
      </c>
      <c r="J39" s="101">
        <f t="shared" si="154"/>
        <v>1268.8699999999999</v>
      </c>
      <c r="K39" s="206">
        <f>+'Maj Production Summ'!K46</f>
        <v>1360</v>
      </c>
      <c r="L39" s="932">
        <v>691.5</v>
      </c>
      <c r="M39" s="2013">
        <f t="shared" si="155"/>
        <v>4128</v>
      </c>
      <c r="N39" s="169">
        <f t="shared" si="156"/>
        <v>1960.37</v>
      </c>
      <c r="O39" s="206">
        <f>+'Maj Production Summ'!O46</f>
        <v>1408.4070000000002</v>
      </c>
      <c r="P39" s="2042">
        <v>1204.9200000000003</v>
      </c>
      <c r="Q39" s="2016">
        <f t="shared" si="157"/>
        <v>5536.4070000000002</v>
      </c>
      <c r="R39" s="101">
        <f t="shared" si="158"/>
        <v>3165.29</v>
      </c>
      <c r="S39" s="206">
        <f>+'Maj Production Summ'!S46</f>
        <v>1408.4070000000002</v>
      </c>
      <c r="T39" s="2042">
        <v>972.05000000000007</v>
      </c>
      <c r="U39" s="2016">
        <f t="shared" si="159"/>
        <v>6944.8140000000003</v>
      </c>
      <c r="V39" s="101">
        <f t="shared" si="160"/>
        <v>4137.34</v>
      </c>
      <c r="W39" s="206">
        <f>+'Maj Production Summ'!W46</f>
        <v>1360.143</v>
      </c>
      <c r="X39" s="2042">
        <v>732.5200000000001</v>
      </c>
      <c r="Y39" s="167">
        <f t="shared" si="161"/>
        <v>4176.9570000000003</v>
      </c>
      <c r="Z39" s="163">
        <f t="shared" si="162"/>
        <v>2909.4900000000002</v>
      </c>
      <c r="AA39" s="1789">
        <f t="shared" si="163"/>
        <v>8304.9570000000003</v>
      </c>
      <c r="AB39" s="1789">
        <f t="shared" si="164"/>
        <v>4869.8600000000006</v>
      </c>
      <c r="AC39" s="3112">
        <f>+'Maj Production Summ'!AC46</f>
        <v>1410.107</v>
      </c>
      <c r="AD39" s="2042">
        <v>595.40999999999985</v>
      </c>
      <c r="AE39" s="2016">
        <f t="shared" si="165"/>
        <v>9715.0640000000003</v>
      </c>
      <c r="AF39" s="101">
        <f t="shared" si="166"/>
        <v>5465.27</v>
      </c>
      <c r="AG39" s="3239">
        <f>+'Maj Production Summ'!AG46</f>
        <v>1358.729</v>
      </c>
      <c r="AH39" s="2042">
        <v>728.94</v>
      </c>
      <c r="AI39" s="2016">
        <f t="shared" si="167"/>
        <v>11073.793</v>
      </c>
      <c r="AJ39" s="101">
        <f t="shared" si="168"/>
        <v>6194.2100000000009</v>
      </c>
      <c r="AK39" s="3428">
        <f>+'Maj Production Summ'!AK46</f>
        <v>1410.107</v>
      </c>
      <c r="AL39" s="2042">
        <v>730.03</v>
      </c>
      <c r="AM39" s="167">
        <f t="shared" si="169"/>
        <v>4178.9430000000002</v>
      </c>
      <c r="AN39" s="163">
        <f t="shared" si="170"/>
        <v>2054.38</v>
      </c>
      <c r="AO39" s="2016">
        <f t="shared" si="171"/>
        <v>12483.9</v>
      </c>
      <c r="AP39" s="101">
        <f t="shared" si="172"/>
        <v>6924.2400000000007</v>
      </c>
      <c r="AQ39" s="3886">
        <f>+'Maj Production Summ'!AQ46</f>
        <v>1413.231</v>
      </c>
      <c r="AR39" s="2042">
        <v>770.63</v>
      </c>
      <c r="AS39" s="2016">
        <f t="shared" si="173"/>
        <v>13897.130999999999</v>
      </c>
      <c r="AT39" s="101">
        <f t="shared" si="174"/>
        <v>7694.8700000000008</v>
      </c>
      <c r="AU39" s="4009">
        <f>+'Maj Production Summ'!AU46</f>
        <v>1268.4470000000001</v>
      </c>
      <c r="AV39" s="2042">
        <v>947.42000000000007</v>
      </c>
      <c r="AW39" s="2016">
        <f t="shared" si="175"/>
        <v>15165.578</v>
      </c>
      <c r="AX39" s="101">
        <f t="shared" si="176"/>
        <v>8642.2900000000009</v>
      </c>
      <c r="AY39" s="4123">
        <f>+'Maj Production Summ'!AY46</f>
        <v>1413.231</v>
      </c>
      <c r="AZ39" s="2042">
        <v>951</v>
      </c>
      <c r="BA39" s="167">
        <f t="shared" si="177"/>
        <v>4094.9089999999997</v>
      </c>
      <c r="BB39" s="163">
        <f t="shared" si="178"/>
        <v>2669.05</v>
      </c>
      <c r="BC39" s="1789">
        <f t="shared" si="179"/>
        <v>8273.851999999999</v>
      </c>
      <c r="BD39" s="1789">
        <f t="shared" si="180"/>
        <v>4723.43</v>
      </c>
      <c r="BE39" s="143">
        <f t="shared" si="181"/>
        <v>16578.809000000001</v>
      </c>
      <c r="BF39" s="143">
        <f t="shared" si="182"/>
        <v>9593.2900000000009</v>
      </c>
      <c r="BG39" s="3372">
        <v>21939.637306390083</v>
      </c>
      <c r="BH39" s="3381">
        <v>10514.48</v>
      </c>
      <c r="BI39" s="3372">
        <v>15654.414839999999</v>
      </c>
      <c r="BJ39" s="3381">
        <v>12285.02</v>
      </c>
    </row>
    <row r="40" spans="2:62" ht="15" customHeight="1" x14ac:dyDescent="0.25">
      <c r="AG40" s="1726"/>
      <c r="AH40" s="1726"/>
      <c r="AI40" s="1726"/>
      <c r="AJ40" s="1726"/>
      <c r="AK40" s="1361"/>
      <c r="AL40" s="1361"/>
      <c r="AM40" s="1361"/>
      <c r="AN40" s="1361"/>
      <c r="AO40" s="1361"/>
      <c r="AP40" s="1361"/>
      <c r="AU40" s="1726"/>
      <c r="AV40" s="1726"/>
      <c r="AW40" s="1726"/>
      <c r="AX40" s="1726"/>
      <c r="AY40" s="1726"/>
      <c r="AZ40" s="1726"/>
      <c r="BC40" s="1726"/>
      <c r="BD40" s="1726"/>
      <c r="BE40" s="1726"/>
      <c r="BF40" s="1726"/>
    </row>
    <row r="41" spans="2:62" ht="15" customHeight="1" x14ac:dyDescent="0.25">
      <c r="B41" s="725"/>
      <c r="AG41" s="1726"/>
      <c r="AH41" s="1726"/>
      <c r="AI41" s="1726"/>
      <c r="AJ41" s="1726"/>
      <c r="AK41" s="1361"/>
      <c r="AL41" s="1361"/>
      <c r="AM41" s="1361"/>
      <c r="AN41" s="1361"/>
      <c r="AO41" s="1361"/>
      <c r="AP41" s="1361"/>
      <c r="AU41" s="1726"/>
      <c r="AV41" s="1726"/>
      <c r="AW41" s="1726"/>
      <c r="AX41" s="1726"/>
      <c r="BC41" s="1726"/>
      <c r="BD41" s="1726"/>
    </row>
    <row r="42" spans="2:62" ht="15" customHeight="1" x14ac:dyDescent="0.25">
      <c r="B42" s="726"/>
      <c r="AK42" s="1361"/>
      <c r="AL42" s="1361"/>
      <c r="AM42" s="1361"/>
      <c r="AN42" s="1361"/>
      <c r="AO42" s="1361"/>
      <c r="AP42" s="1361"/>
      <c r="AU42" s="1726"/>
      <c r="AV42" s="1726"/>
      <c r="AW42" s="1726"/>
      <c r="AX42" s="1726"/>
    </row>
    <row r="43" spans="2:62" ht="15" customHeight="1" x14ac:dyDescent="0.25">
      <c r="B43" s="726"/>
      <c r="AK43" s="1361"/>
      <c r="AL43" s="1361"/>
      <c r="AM43" s="1361"/>
      <c r="AN43" s="1361"/>
      <c r="AO43" s="1361"/>
      <c r="AP43" s="1361"/>
      <c r="AU43" s="1726"/>
      <c r="AV43" s="1726"/>
      <c r="AW43" s="1726"/>
      <c r="AX43" s="1726"/>
    </row>
    <row r="44" spans="2:62" ht="15" customHeight="1" x14ac:dyDescent="0.25">
      <c r="B44" s="726"/>
      <c r="H44" s="270"/>
      <c r="AU44" s="1726"/>
      <c r="AV44" s="1726"/>
    </row>
    <row r="45" spans="2:62" ht="15" customHeight="1" x14ac:dyDescent="0.25">
      <c r="B45" s="726"/>
      <c r="AU45" s="1726"/>
      <c r="AV45" s="1726"/>
    </row>
    <row r="46" spans="2:62" ht="15" customHeight="1" x14ac:dyDescent="0.25">
      <c r="B46" s="726"/>
      <c r="AU46" s="1726"/>
      <c r="AV46" s="1726"/>
    </row>
    <row r="47" spans="2:62" ht="15" customHeight="1" x14ac:dyDescent="0.25">
      <c r="AU47" s="1726"/>
      <c r="AV47" s="1726"/>
    </row>
    <row r="48" spans="2:62" ht="15" customHeight="1" x14ac:dyDescent="0.25">
      <c r="AU48" s="1726"/>
      <c r="AV48" s="1726"/>
    </row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</sheetData>
  <mergeCells count="122">
    <mergeCell ref="D22:D25"/>
    <mergeCell ref="D35:D37"/>
    <mergeCell ref="W15:W19"/>
    <mergeCell ref="BG3:BH3"/>
    <mergeCell ref="BG15:BG20"/>
    <mergeCell ref="BG22:BG25"/>
    <mergeCell ref="BG35:BG37"/>
    <mergeCell ref="AQ3:AR3"/>
    <mergeCell ref="AQ15:AQ20"/>
    <mergeCell ref="AQ22:AQ25"/>
    <mergeCell ref="AQ35:AQ37"/>
    <mergeCell ref="AU15:AU20"/>
    <mergeCell ref="AW15:AW20"/>
    <mergeCell ref="AU22:AU25"/>
    <mergeCell ref="AW22:AW25"/>
    <mergeCell ref="AS3:AT3"/>
    <mergeCell ref="AS15:AS20"/>
    <mergeCell ref="AU3:AV3"/>
    <mergeCell ref="AW3:AX3"/>
    <mergeCell ref="BE3:BF3"/>
    <mergeCell ref="BA15:BA20"/>
    <mergeCell ref="BE15:BE20"/>
    <mergeCell ref="BC3:BD3"/>
    <mergeCell ref="BC15:BC20"/>
    <mergeCell ref="AY3:AZ3"/>
    <mergeCell ref="AY15:AY20"/>
    <mergeCell ref="BA3:BB3"/>
    <mergeCell ref="AK22:AK25"/>
    <mergeCell ref="AM22:AM25"/>
    <mergeCell ref="AO22:AO25"/>
    <mergeCell ref="AK35:AK37"/>
    <mergeCell ref="AM35:AM37"/>
    <mergeCell ref="AO35:AO37"/>
    <mergeCell ref="AS22:AS25"/>
    <mergeCell ref="BA22:BA25"/>
    <mergeCell ref="AK3:AL3"/>
    <mergeCell ref="AM3:AN3"/>
    <mergeCell ref="AO3:AP3"/>
    <mergeCell ref="AM15:AM20"/>
    <mergeCell ref="AO15:AO20"/>
    <mergeCell ref="AK15:AK19"/>
    <mergeCell ref="BI35:BI37"/>
    <mergeCell ref="AI35:AI37"/>
    <mergeCell ref="AU35:AU37"/>
    <mergeCell ref="AW35:AW37"/>
    <mergeCell ref="BE35:BE37"/>
    <mergeCell ref="BC35:BC37"/>
    <mergeCell ref="AS35:AS37"/>
    <mergeCell ref="AY35:AY37"/>
    <mergeCell ref="BA35:BA37"/>
    <mergeCell ref="BE22:BE25"/>
    <mergeCell ref="BC22:BC25"/>
    <mergeCell ref="AY22:AY25"/>
    <mergeCell ref="O35:O37"/>
    <mergeCell ref="S35:S37"/>
    <mergeCell ref="U35:U37"/>
    <mergeCell ref="W35:W37"/>
    <mergeCell ref="AA35:AA37"/>
    <mergeCell ref="Y35:Y37"/>
    <mergeCell ref="AC35:AC37"/>
    <mergeCell ref="AE35:AE37"/>
    <mergeCell ref="AG35:AG37"/>
    <mergeCell ref="Q35:Q37"/>
    <mergeCell ref="BI3:BJ3"/>
    <mergeCell ref="BI15:BI20"/>
    <mergeCell ref="BI22:BI25"/>
    <mergeCell ref="O22:O25"/>
    <mergeCell ref="S3:T3"/>
    <mergeCell ref="U3:V3"/>
    <mergeCell ref="S15:S19"/>
    <mergeCell ref="U15:U20"/>
    <mergeCell ref="S22:S25"/>
    <mergeCell ref="U22:U25"/>
    <mergeCell ref="Q3:R3"/>
    <mergeCell ref="O15:O19"/>
    <mergeCell ref="Q15:Q20"/>
    <mergeCell ref="Q22:Q25"/>
    <mergeCell ref="O3:P3"/>
    <mergeCell ref="W3:X3"/>
    <mergeCell ref="AC3:AD3"/>
    <mergeCell ref="AE3:AF3"/>
    <mergeCell ref="AC15:AC19"/>
    <mergeCell ref="AE15:AE20"/>
    <mergeCell ref="AC22:AC25"/>
    <mergeCell ref="AE22:AE25"/>
    <mergeCell ref="AG3:AH3"/>
    <mergeCell ref="AI3:AJ3"/>
    <mergeCell ref="M35:M37"/>
    <mergeCell ref="I22:I25"/>
    <mergeCell ref="E35:E37"/>
    <mergeCell ref="G35:G37"/>
    <mergeCell ref="I35:I37"/>
    <mergeCell ref="K35:K37"/>
    <mergeCell ref="B3:B4"/>
    <mergeCell ref="C3:C4"/>
    <mergeCell ref="E3:F3"/>
    <mergeCell ref="G3:H3"/>
    <mergeCell ref="I3:J3"/>
    <mergeCell ref="K3:L3"/>
    <mergeCell ref="M3:N3"/>
    <mergeCell ref="M15:M20"/>
    <mergeCell ref="E15:E20"/>
    <mergeCell ref="E22:E25"/>
    <mergeCell ref="K22:K25"/>
    <mergeCell ref="G22:G25"/>
    <mergeCell ref="M22:M25"/>
    <mergeCell ref="G15:G20"/>
    <mergeCell ref="K15:K20"/>
    <mergeCell ref="I15:I19"/>
    <mergeCell ref="D3:D4"/>
    <mergeCell ref="D15:D20"/>
    <mergeCell ref="AA3:AB3"/>
    <mergeCell ref="AA15:AA20"/>
    <mergeCell ref="W22:W25"/>
    <mergeCell ref="AA22:AA25"/>
    <mergeCell ref="Y3:Z3"/>
    <mergeCell ref="Y15:Y20"/>
    <mergeCell ref="Y22:Y25"/>
    <mergeCell ref="AG15:AG19"/>
    <mergeCell ref="AI15:AI20"/>
    <mergeCell ref="AG22:AG25"/>
    <mergeCell ref="AI22:AI25"/>
  </mergeCells>
  <printOptions horizontalCentered="1" verticalCentered="1"/>
  <pageMargins left="0" right="0" top="0" bottom="0" header="0" footer="0"/>
  <pageSetup scale="51" orientation="landscape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  <pageSetUpPr fitToPage="1"/>
  </sheetPr>
  <dimension ref="A1:BO109"/>
  <sheetViews>
    <sheetView workbookViewId="0">
      <pane xSplit="4" topLeftCell="BD1" activePane="topRight" state="frozen"/>
      <selection pane="topRight" activeCell="BF25" sqref="BF25"/>
    </sheetView>
  </sheetViews>
  <sheetFormatPr defaultColWidth="9.140625" defaultRowHeight="15" x14ac:dyDescent="0.25"/>
  <cols>
    <col min="1" max="1" width="9.140625" style="200"/>
    <col min="2" max="2" width="48.42578125" style="200" bestFit="1" customWidth="1"/>
    <col min="3" max="3" width="22.140625" style="200" customWidth="1"/>
    <col min="4" max="4" width="14.5703125" style="200" bestFit="1" customWidth="1"/>
    <col min="5" max="7" width="9.7109375" style="200" customWidth="1"/>
    <col min="8" max="8" width="12.140625" style="200" customWidth="1"/>
    <col min="9" max="9" width="15.42578125" style="200" hidden="1" customWidth="1"/>
    <col min="10" max="10" width="13" style="200" hidden="1" customWidth="1"/>
    <col min="11" max="16" width="8.5703125" style="200" customWidth="1"/>
    <col min="17" max="17" width="8.7109375" style="200" hidden="1" customWidth="1"/>
    <col min="18" max="18" width="10.42578125" style="200" hidden="1" customWidth="1"/>
    <col min="19" max="20" width="11.28515625" style="200" customWidth="1"/>
    <col min="21" max="22" width="11.28515625" style="200" hidden="1" customWidth="1"/>
    <col min="23" max="30" width="11.28515625" style="200" customWidth="1"/>
    <col min="31" max="32" width="11.28515625" style="200" hidden="1" customWidth="1"/>
    <col min="33" max="34" width="11.28515625" style="200" customWidth="1"/>
    <col min="35" max="36" width="11.28515625" style="200" hidden="1" customWidth="1"/>
    <col min="37" max="40" width="11.28515625" style="200" customWidth="1"/>
    <col min="41" max="42" width="11.28515625" style="200" hidden="1" customWidth="1"/>
    <col min="43" max="44" width="11.28515625" style="200" customWidth="1"/>
    <col min="45" max="46" width="11.28515625" style="200" hidden="1" customWidth="1"/>
    <col min="47" max="48" width="11.28515625" style="200" customWidth="1"/>
    <col min="49" max="50" width="11.28515625" style="200" hidden="1" customWidth="1"/>
    <col min="51" max="52" width="8.7109375" style="200" bestFit="1" customWidth="1"/>
    <col min="53" max="53" width="10.7109375" style="200" customWidth="1"/>
    <col min="54" max="54" width="12" style="200" bestFit="1" customWidth="1"/>
    <col min="55" max="55" width="8.28515625" style="200" bestFit="1" customWidth="1"/>
    <col min="56" max="56" width="12" style="200" bestFit="1" customWidth="1"/>
    <col min="57" max="58" width="11.28515625" style="200" customWidth="1"/>
    <col min="59" max="59" width="8" style="200" customWidth="1"/>
    <col min="60" max="60" width="9.28515625" style="200" customWidth="1"/>
    <col min="61" max="61" width="6.5703125" style="200" hidden="1" customWidth="1"/>
    <col min="62" max="62" width="9" style="200" customWidth="1"/>
    <col min="63" max="63" width="8.5703125" style="666" hidden="1" customWidth="1"/>
    <col min="64" max="64" width="11.85546875" style="666" customWidth="1"/>
    <col min="65" max="65" width="11.7109375" style="666" bestFit="1" customWidth="1"/>
    <col min="66" max="66" width="10.42578125" style="666" bestFit="1" customWidth="1"/>
    <col min="67" max="16384" width="9.140625" style="666"/>
  </cols>
  <sheetData>
    <row r="1" spans="1:67" ht="22.5" x14ac:dyDescent="0.3">
      <c r="B1" s="971" t="s">
        <v>1419</v>
      </c>
      <c r="C1" s="106"/>
      <c r="D1" s="106"/>
      <c r="E1" s="106"/>
      <c r="F1" s="106"/>
      <c r="G1" s="106"/>
      <c r="H1" s="106"/>
      <c r="I1" s="106"/>
      <c r="J1" s="106"/>
    </row>
    <row r="2" spans="1:67" ht="15.75" thickBot="1" x14ac:dyDescent="0.3">
      <c r="B2" s="106"/>
      <c r="C2" s="106"/>
      <c r="D2" s="106"/>
      <c r="E2" s="207">
        <v>30</v>
      </c>
      <c r="F2" s="207">
        <v>30</v>
      </c>
      <c r="G2" s="207">
        <v>31</v>
      </c>
      <c r="H2" s="207">
        <v>31</v>
      </c>
      <c r="I2" s="207">
        <f>+E2+G2</f>
        <v>61</v>
      </c>
      <c r="J2" s="207">
        <f>+F2+H2</f>
        <v>61</v>
      </c>
      <c r="K2" s="207">
        <v>30</v>
      </c>
      <c r="L2" s="207">
        <v>30</v>
      </c>
      <c r="M2" s="1136">
        <f>+I2+K2</f>
        <v>91</v>
      </c>
      <c r="N2" s="1136">
        <f>+J2+L2</f>
        <v>91</v>
      </c>
      <c r="O2" s="207">
        <v>31</v>
      </c>
      <c r="P2" s="207">
        <v>31</v>
      </c>
      <c r="Q2" s="1136">
        <f>+M2+O2</f>
        <v>122</v>
      </c>
      <c r="R2" s="1136">
        <f>+N2+P2</f>
        <v>122</v>
      </c>
      <c r="S2" s="1136">
        <v>31</v>
      </c>
      <c r="T2" s="1136">
        <v>31</v>
      </c>
      <c r="U2" s="1136">
        <f>+Q2+S2</f>
        <v>153</v>
      </c>
      <c r="V2" s="1136">
        <f>+R2+T2</f>
        <v>153</v>
      </c>
      <c r="W2" s="1136">
        <v>30</v>
      </c>
      <c r="X2" s="1136">
        <v>30</v>
      </c>
      <c r="Y2" s="1136">
        <f>+O2+S2+W2</f>
        <v>92</v>
      </c>
      <c r="Z2" s="1136">
        <f>+P2+T2+X2</f>
        <v>92</v>
      </c>
      <c r="AA2" s="1136">
        <f>+U2+W2</f>
        <v>183</v>
      </c>
      <c r="AB2" s="1136">
        <f>+V2+X2</f>
        <v>183</v>
      </c>
      <c r="AC2" s="1136">
        <v>31</v>
      </c>
      <c r="AD2" s="1136">
        <v>31</v>
      </c>
      <c r="AE2" s="1136">
        <f>+AA2+AC2</f>
        <v>214</v>
      </c>
      <c r="AF2" s="1136">
        <f>+AB2+AD2</f>
        <v>214</v>
      </c>
      <c r="AG2" s="1136">
        <v>30</v>
      </c>
      <c r="AH2" s="1136">
        <v>30</v>
      </c>
      <c r="AI2" s="1136">
        <f>+AE2+AG2</f>
        <v>244</v>
      </c>
      <c r="AJ2" s="1136">
        <f>+AF2+AH2</f>
        <v>244</v>
      </c>
      <c r="AK2" s="1136">
        <v>31</v>
      </c>
      <c r="AL2" s="1136">
        <v>31</v>
      </c>
      <c r="AM2" s="1136">
        <f>+AC2+AG2+AK2</f>
        <v>92</v>
      </c>
      <c r="AN2" s="1136">
        <f>+AD2+AH2+AL2</f>
        <v>92</v>
      </c>
      <c r="AO2" s="1136">
        <f>+AI2+AK2</f>
        <v>275</v>
      </c>
      <c r="AP2" s="1136">
        <f>+AJ2+AL2</f>
        <v>275</v>
      </c>
      <c r="AQ2" s="1136">
        <v>31</v>
      </c>
      <c r="AR2" s="1136">
        <v>31</v>
      </c>
      <c r="AS2" s="1136">
        <f>+AO2+AQ2</f>
        <v>306</v>
      </c>
      <c r="AT2" s="1136">
        <f>+AP2+AR2</f>
        <v>306</v>
      </c>
      <c r="AU2" s="1136">
        <v>28</v>
      </c>
      <c r="AV2" s="1136">
        <v>28</v>
      </c>
      <c r="AW2" s="1136">
        <f>+AS2+AU2</f>
        <v>334</v>
      </c>
      <c r="AX2" s="1136">
        <f>+AT2+AV2</f>
        <v>334</v>
      </c>
      <c r="AY2" s="1136">
        <v>31</v>
      </c>
      <c r="AZ2" s="1136">
        <v>31</v>
      </c>
      <c r="BA2" s="1136">
        <f>+AQ2+AU2+AY2</f>
        <v>90</v>
      </c>
      <c r="BB2" s="1136">
        <f>+AR2+AV2+AZ2</f>
        <v>90</v>
      </c>
      <c r="BC2" s="1136">
        <f>+AM2+BA2</f>
        <v>182</v>
      </c>
      <c r="BD2" s="1136">
        <f>+AN2+BB2</f>
        <v>182</v>
      </c>
      <c r="BE2" s="1136">
        <f>+AW2+AY2</f>
        <v>365</v>
      </c>
      <c r="BF2" s="1136">
        <f>+AX2+AZ2</f>
        <v>365</v>
      </c>
      <c r="BG2" s="1136">
        <v>365</v>
      </c>
      <c r="BH2" s="1136">
        <v>365</v>
      </c>
      <c r="BI2" s="1136">
        <v>366</v>
      </c>
      <c r="BJ2" s="1136">
        <v>366</v>
      </c>
      <c r="BK2" s="258">
        <v>365</v>
      </c>
      <c r="BL2" s="258"/>
    </row>
    <row r="3" spans="1:67" s="200" customFormat="1" ht="15.75" thickBot="1" x14ac:dyDescent="0.3">
      <c r="B3" s="4909" t="s">
        <v>197</v>
      </c>
      <c r="C3" s="4840" t="s">
        <v>198</v>
      </c>
      <c r="D3" s="4840" t="s">
        <v>1571</v>
      </c>
      <c r="E3" s="4840" t="s">
        <v>1323</v>
      </c>
      <c r="F3" s="4840"/>
      <c r="G3" s="4840" t="s">
        <v>1384</v>
      </c>
      <c r="H3" s="4840"/>
      <c r="I3" s="4841" t="s">
        <v>15</v>
      </c>
      <c r="J3" s="4841"/>
      <c r="K3" s="4840" t="s">
        <v>1397</v>
      </c>
      <c r="L3" s="4840"/>
      <c r="M3" s="4844" t="s">
        <v>741</v>
      </c>
      <c r="N3" s="4844"/>
      <c r="O3" s="4840" t="s">
        <v>1424</v>
      </c>
      <c r="P3" s="4840"/>
      <c r="Q3" s="4841" t="s">
        <v>18</v>
      </c>
      <c r="R3" s="4841"/>
      <c r="S3" s="4840" t="s">
        <v>1496</v>
      </c>
      <c r="T3" s="4840"/>
      <c r="U3" s="4841" t="s">
        <v>19</v>
      </c>
      <c r="V3" s="4841"/>
      <c r="W3" s="4840" t="s">
        <v>1573</v>
      </c>
      <c r="X3" s="4840"/>
      <c r="Y3" s="4844" t="s">
        <v>788</v>
      </c>
      <c r="Z3" s="4844"/>
      <c r="AA3" s="4906" t="s">
        <v>784</v>
      </c>
      <c r="AB3" s="4907"/>
      <c r="AC3" s="4840" t="s">
        <v>1634</v>
      </c>
      <c r="AD3" s="4840"/>
      <c r="AE3" s="4841" t="s">
        <v>26</v>
      </c>
      <c r="AF3" s="4841"/>
      <c r="AG3" s="4840" t="s">
        <v>1671</v>
      </c>
      <c r="AH3" s="4840"/>
      <c r="AI3" s="4841" t="s">
        <v>29</v>
      </c>
      <c r="AJ3" s="4900"/>
      <c r="AK3" s="4901" t="s">
        <v>1696</v>
      </c>
      <c r="AL3" s="4902"/>
      <c r="AM3" s="4903" t="s">
        <v>799</v>
      </c>
      <c r="AN3" s="4904"/>
      <c r="AO3" s="4905" t="s">
        <v>1221</v>
      </c>
      <c r="AP3" s="4878"/>
      <c r="AQ3" s="4875" t="s">
        <v>1760</v>
      </c>
      <c r="AR3" s="4875"/>
      <c r="AS3" s="4877" t="s">
        <v>31</v>
      </c>
      <c r="AT3" s="4878"/>
      <c r="AU3" s="4875" t="s">
        <v>1812</v>
      </c>
      <c r="AV3" s="4875"/>
      <c r="AW3" s="4877" t="s">
        <v>33</v>
      </c>
      <c r="AX3" s="4878"/>
      <c r="AY3" s="4875" t="s">
        <v>1844</v>
      </c>
      <c r="AZ3" s="4875"/>
      <c r="BA3" s="4903" t="s">
        <v>800</v>
      </c>
      <c r="BB3" s="4904"/>
      <c r="BC3" s="4906" t="s">
        <v>817</v>
      </c>
      <c r="BD3" s="4907"/>
      <c r="BE3" s="4877" t="s">
        <v>1314</v>
      </c>
      <c r="BF3" s="4878"/>
      <c r="BG3" s="4887" t="s">
        <v>828</v>
      </c>
      <c r="BH3" s="4888"/>
      <c r="BI3" s="4887" t="s">
        <v>813</v>
      </c>
      <c r="BJ3" s="4888"/>
      <c r="BK3" s="4147" t="s">
        <v>721</v>
      </c>
    </row>
    <row r="4" spans="1:67" s="200" customFormat="1" ht="15.75" thickBot="1" x14ac:dyDescent="0.3">
      <c r="B4" s="4910"/>
      <c r="C4" s="4911"/>
      <c r="D4" s="4911"/>
      <c r="E4" s="4119" t="s">
        <v>199</v>
      </c>
      <c r="F4" s="4119" t="s">
        <v>200</v>
      </c>
      <c r="G4" s="4119" t="s">
        <v>199</v>
      </c>
      <c r="H4" s="4119" t="s">
        <v>200</v>
      </c>
      <c r="I4" s="3667" t="s">
        <v>199</v>
      </c>
      <c r="J4" s="3667" t="s">
        <v>200</v>
      </c>
      <c r="K4" s="4119" t="s">
        <v>199</v>
      </c>
      <c r="L4" s="4119" t="s">
        <v>200</v>
      </c>
      <c r="M4" s="3668" t="s">
        <v>199</v>
      </c>
      <c r="N4" s="3668" t="s">
        <v>200</v>
      </c>
      <c r="O4" s="4119" t="s">
        <v>199</v>
      </c>
      <c r="P4" s="4119" t="s">
        <v>200</v>
      </c>
      <c r="Q4" s="3667" t="s">
        <v>199</v>
      </c>
      <c r="R4" s="3667" t="s">
        <v>200</v>
      </c>
      <c r="S4" s="4119" t="s">
        <v>199</v>
      </c>
      <c r="T4" s="4119" t="s">
        <v>200</v>
      </c>
      <c r="U4" s="3667" t="s">
        <v>199</v>
      </c>
      <c r="V4" s="3667" t="s">
        <v>200</v>
      </c>
      <c r="W4" s="4119" t="s">
        <v>199</v>
      </c>
      <c r="X4" s="4119" t="s">
        <v>200</v>
      </c>
      <c r="Y4" s="3668" t="s">
        <v>199</v>
      </c>
      <c r="Z4" s="3668" t="s">
        <v>200</v>
      </c>
      <c r="AA4" s="3669" t="s">
        <v>199</v>
      </c>
      <c r="AB4" s="3669" t="s">
        <v>200</v>
      </c>
      <c r="AC4" s="4119" t="s">
        <v>199</v>
      </c>
      <c r="AD4" s="4119" t="s">
        <v>200</v>
      </c>
      <c r="AE4" s="3667" t="s">
        <v>199</v>
      </c>
      <c r="AF4" s="3667" t="s">
        <v>200</v>
      </c>
      <c r="AG4" s="4119" t="s">
        <v>199</v>
      </c>
      <c r="AH4" s="4119" t="s">
        <v>200</v>
      </c>
      <c r="AI4" s="3667" t="s">
        <v>199</v>
      </c>
      <c r="AJ4" s="3670" t="s">
        <v>200</v>
      </c>
      <c r="AK4" s="3671" t="s">
        <v>199</v>
      </c>
      <c r="AL4" s="3672" t="s">
        <v>200</v>
      </c>
      <c r="AM4" s="3673" t="s">
        <v>199</v>
      </c>
      <c r="AN4" s="3674" t="s">
        <v>200</v>
      </c>
      <c r="AO4" s="4117" t="s">
        <v>199</v>
      </c>
      <c r="AP4" s="381" t="s">
        <v>200</v>
      </c>
      <c r="AQ4" s="411" t="s">
        <v>199</v>
      </c>
      <c r="AR4" s="4121" t="s">
        <v>200</v>
      </c>
      <c r="AS4" s="4117" t="s">
        <v>199</v>
      </c>
      <c r="AT4" s="381" t="s">
        <v>200</v>
      </c>
      <c r="AU4" s="411" t="s">
        <v>199</v>
      </c>
      <c r="AV4" s="4121" t="s">
        <v>200</v>
      </c>
      <c r="AW4" s="4117" t="s">
        <v>199</v>
      </c>
      <c r="AX4" s="381" t="s">
        <v>200</v>
      </c>
      <c r="AY4" s="411" t="s">
        <v>199</v>
      </c>
      <c r="AZ4" s="4442" t="s">
        <v>200</v>
      </c>
      <c r="BA4" s="3673" t="s">
        <v>199</v>
      </c>
      <c r="BB4" s="3674" t="s">
        <v>200</v>
      </c>
      <c r="BC4" s="3669" t="s">
        <v>199</v>
      </c>
      <c r="BD4" s="3669" t="s">
        <v>200</v>
      </c>
      <c r="BE4" s="4436" t="s">
        <v>199</v>
      </c>
      <c r="BF4" s="381" t="s">
        <v>200</v>
      </c>
      <c r="BG4" s="3359" t="s">
        <v>199</v>
      </c>
      <c r="BH4" s="3360" t="s">
        <v>200</v>
      </c>
      <c r="BI4" s="3359" t="s">
        <v>199</v>
      </c>
      <c r="BJ4" s="3360" t="s">
        <v>200</v>
      </c>
      <c r="BK4" s="4148" t="s">
        <v>200</v>
      </c>
    </row>
    <row r="5" spans="1:67" x14ac:dyDescent="0.25">
      <c r="B5" s="49" t="s">
        <v>400</v>
      </c>
      <c r="C5" s="2386" t="s">
        <v>52</v>
      </c>
      <c r="D5" s="3664">
        <v>70.5</v>
      </c>
      <c r="E5" s="3665">
        <f>('Maj Production Summ'!E14*100)/('Maj Production Summ'!E10*31.55)</f>
        <v>70.5</v>
      </c>
      <c r="F5" s="232">
        <f>('Maj Production Summ'!F14*100)/('Maj Production Summ'!F10*31.55)</f>
        <v>71.951927199715755</v>
      </c>
      <c r="G5" s="3665">
        <f>('Maj Production Summ'!G14*100)/('Maj Production Summ'!G10*31.55)</f>
        <v>70.499999999999986</v>
      </c>
      <c r="H5" s="232">
        <f>('Maj Production Summ'!H14*100)/('Maj Production Summ'!H10*31.55)</f>
        <v>71.406401658267484</v>
      </c>
      <c r="I5" s="824">
        <f>('Maj Production Summ'!I14*100)/('Maj Production Summ'!I10*31.55)</f>
        <v>70.499999999999986</v>
      </c>
      <c r="J5" s="824">
        <f>('Maj Production Summ'!J14*100)/('Maj Production Summ'!J10*31.55)</f>
        <v>71.672937850081084</v>
      </c>
      <c r="K5" s="3665">
        <f>('Maj Production Summ'!K14*100)/('Maj Production Summ'!K10*31.55)</f>
        <v>70.50003468386987</v>
      </c>
      <c r="L5" s="232">
        <f>('Maj Production Summ'!L14*100)/('Maj Production Summ'!L10*31.55)</f>
        <v>70.500212674512483</v>
      </c>
      <c r="M5" s="1099">
        <f>('Maj Production Summ'!M14*100)/('Maj Production Summ'!M10*31.55)</f>
        <v>70.500011434242808</v>
      </c>
      <c r="N5" s="1099">
        <f>('Maj Production Summ'!N14*100)/('Maj Production Summ'!N10*31.55)</f>
        <v>71.279409613623386</v>
      </c>
      <c r="O5" s="3665">
        <f>('Maj Production Summ'!O14*100)/('Maj Production Summ'!O10*31.55)</f>
        <v>70.500000000000014</v>
      </c>
      <c r="P5" s="232">
        <f>('Maj Production Summ'!P14*100)/('Maj Production Summ'!P10*31.55)</f>
        <v>70.5029014071646</v>
      </c>
      <c r="Q5" s="824">
        <f>('Maj Production Summ'!Q14*100)/('Maj Production Summ'!Q10*31.55)</f>
        <v>70.500008528820459</v>
      </c>
      <c r="R5" s="824">
        <f>('Maj Production Summ'!R14*100)/('Maj Production Summ'!R10*31.55)</f>
        <v>71.082929713499752</v>
      </c>
      <c r="S5" s="3665">
        <f>('Maj Production Summ'!S14*100)/('Maj Production Summ'!S10*31.55)</f>
        <v>70.500000000000014</v>
      </c>
      <c r="T5" s="232">
        <f>('Maj Production Summ'!T14*100)/('Maj Production Summ'!T10*31.55)</f>
        <v>69.78694359633198</v>
      </c>
      <c r="U5" s="824">
        <f>('Maj Production Summ'!U14*100)/('Maj Production Summ'!U10*31.55)</f>
        <v>70.500006800758797</v>
      </c>
      <c r="V5" s="824">
        <f>('Maj Production Summ'!V14*100)/('Maj Production Summ'!V10*31.55)</f>
        <v>70.810038509323178</v>
      </c>
      <c r="W5" s="3665">
        <f>('Maj Production Summ'!W14*100)/('Maj Production Summ'!W10*31.55)</f>
        <v>70.5</v>
      </c>
      <c r="X5" s="232">
        <f>('Maj Production Summ'!X14*100)/('Maj Production Summ'!X10*31.55)</f>
        <v>69.496959622407502</v>
      </c>
      <c r="Y5" s="1099">
        <f>('Maj Production Summ'!Y14*100)/('Maj Production Summ'!Y10*31.55)</f>
        <v>70.499999999999986</v>
      </c>
      <c r="Z5" s="1099">
        <f>('Maj Production Summ'!Z14*100)/('Maj Production Summ'!Z10*31.55)</f>
        <v>69.923364453223769</v>
      </c>
      <c r="AA5" s="1144">
        <f>('Maj Production Summ'!AA14*100)/('Maj Production Summ'!AA10*31.55)</f>
        <v>70.500005685880311</v>
      </c>
      <c r="AB5" s="1144">
        <f>('Maj Production Summ'!AB14*100)/('Maj Production Summ'!AB10*31.55)</f>
        <v>70.587449447131689</v>
      </c>
      <c r="AC5" s="3665">
        <f>('Maj Production Summ'!AC14*100)/('Maj Production Summ'!AC10*31.55)</f>
        <v>70.500000000000014</v>
      </c>
      <c r="AD5" s="232">
        <f>('Maj Production Summ'!AD14*100)/('Maj Production Summ'!AD10*31.55)</f>
        <v>68.944400077791073</v>
      </c>
      <c r="AE5" s="824">
        <f>('Maj Production Summ'!AE14*100)/('Maj Production Summ'!AE10*31.55)</f>
        <v>70.500004862224756</v>
      </c>
      <c r="AF5" s="824">
        <f>('Maj Production Summ'!AF14*100)/('Maj Production Summ'!AF10*31.55)</f>
        <v>70.341044314359934</v>
      </c>
      <c r="AG5" s="3665">
        <f>('Maj Production Summ'!AG14*100)/('Maj Production Summ'!AG10*31.55)</f>
        <v>70.5</v>
      </c>
      <c r="AH5" s="232">
        <f>('Maj Production Summ'!AH14*100)/('Maj Production Summ'!AH10*31.55)</f>
        <v>69.03978219350644</v>
      </c>
      <c r="AI5" s="824">
        <f>('Maj Production Summ'!AI14*100)/('Maj Production Summ'!AI10*31.55)</f>
        <v>70.500004264410236</v>
      </c>
      <c r="AJ5" s="876">
        <f>('Maj Production Summ'!AJ14*100)/('Maj Production Summ'!AJ10*31.55)</f>
        <v>70.176182552179569</v>
      </c>
      <c r="AK5" s="2943">
        <f>('Maj Production Summ'!AK14*100)/('Maj Production Summ'!AK10*31.55)</f>
        <v>70.500000000000014</v>
      </c>
      <c r="AL5" s="1919">
        <f>('Maj Production Summ'!AL14*100)/('Maj Production Summ'!AL10*31.55)</f>
        <v>69.093554337377569</v>
      </c>
      <c r="AM5" s="577">
        <f>('Maj Production Summ'!AM14*100)/('Maj Production Summ'!AM10*31.55)</f>
        <v>70.499999999999986</v>
      </c>
      <c r="AN5" s="290">
        <f>('Maj Production Summ'!AN14*100)/('Maj Production Summ'!AN10*31.55)</f>
        <v>69.025655099020312</v>
      </c>
      <c r="AO5" s="1074">
        <f>('Maj Production Summ'!AO14*100)/('Maj Production Summ'!AO10*31.55)</f>
        <v>70.500003783694893</v>
      </c>
      <c r="AP5" s="122">
        <f>('Maj Production Summ'!AP14*100)/('Maj Production Summ'!AP10*31.55)</f>
        <v>70.051319022017111</v>
      </c>
      <c r="AQ5" s="2305">
        <f>('Maj Production Summ'!AQ14*100)/('Maj Production Summ'!AQ10*31.55)</f>
        <v>70.500000000000014</v>
      </c>
      <c r="AR5" s="232">
        <f>('Maj Production Summ'!AR14*100)/('Maj Production Summ'!AR10*31.55)</f>
        <v>69.026237013558728</v>
      </c>
      <c r="AS5" s="122">
        <f>('Maj Production Summ'!AS14*100)/('Maj Production Summ'!AS10*31.55)</f>
        <v>70.500003400379384</v>
      </c>
      <c r="AT5" s="122">
        <f>('Maj Production Summ'!AT14*100)/('Maj Production Summ'!AT10*31.55)</f>
        <v>69.94500650055015</v>
      </c>
      <c r="AU5" s="2305">
        <f>('Maj Production Summ'!AU14*100)/('Maj Production Summ'!AU10*31.55)</f>
        <v>70.5</v>
      </c>
      <c r="AV5" s="232">
        <f>('Maj Production Summ'!AV14*100)/('Maj Production Summ'!AV10*31.55)</f>
        <v>69.071022232807806</v>
      </c>
      <c r="AW5" s="122">
        <f>('Maj Production Summ'!AW14*100)/('Maj Production Summ'!AW10*31.55)</f>
        <v>70.500003115317654</v>
      </c>
      <c r="AX5" s="122">
        <f>('Maj Production Summ'!AX14*100)/('Maj Production Summ'!AX10*31.55)</f>
        <v>69.870046365046448</v>
      </c>
      <c r="AY5" s="2305">
        <f>('Maj Production Summ'!AY14*100)/('Maj Production Summ'!AY10*31.55)</f>
        <v>70.500000000000014</v>
      </c>
      <c r="AZ5" s="232">
        <f>('Maj Production Summ'!AZ14*100)/('Maj Production Summ'!AZ10*31.55)</f>
        <v>69.043931924002663</v>
      </c>
      <c r="BA5" s="577">
        <f>('Maj Production Summ'!BA14*100)/('Maj Production Summ'!BA10*31.55)</f>
        <v>70.500000000000014</v>
      </c>
      <c r="BB5" s="290">
        <f>('Maj Production Summ'!BB14*100)/('Maj Production Summ'!BB10*31.55)</f>
        <v>69.046275289437745</v>
      </c>
      <c r="BC5" s="1144">
        <f>('Maj Production Summ'!BC14*100)/('Maj Production Summ'!BC10*31.55)</f>
        <v>70.5</v>
      </c>
      <c r="BD5" s="1144">
        <f>('Maj Production Summ'!BD14*100)/('Maj Production Summ'!BD10*31.55)</f>
        <v>69.035859058364935</v>
      </c>
      <c r="BE5" s="122">
        <f>('Maj Production Summ'!BE14*100)/('Maj Production Summ'!BE10*31.55)</f>
        <v>70.500002850729032</v>
      </c>
      <c r="BF5" s="122">
        <f>('Maj Production Summ'!BF14*100)/('Maj Production Summ'!BF10*31.55)</f>
        <v>69.798394297532738</v>
      </c>
      <c r="BG5" s="4149">
        <v>70.99978732308368</v>
      </c>
      <c r="BH5" s="4150">
        <v>72.813877092165015</v>
      </c>
      <c r="BI5" s="4149">
        <v>66.5</v>
      </c>
      <c r="BJ5" s="4150">
        <v>67.485669750420143</v>
      </c>
      <c r="BK5" s="4149">
        <v>67.015011462089603</v>
      </c>
    </row>
    <row r="6" spans="1:67" s="334" customFormat="1" x14ac:dyDescent="0.25">
      <c r="A6" s="343"/>
      <c r="B6" s="3657" t="s">
        <v>398</v>
      </c>
      <c r="C6" s="2734"/>
      <c r="D6" s="2734"/>
      <c r="E6" s="2734"/>
      <c r="F6" s="2734"/>
      <c r="G6" s="2734"/>
      <c r="H6" s="2734"/>
      <c r="I6" s="2734"/>
      <c r="J6" s="2734"/>
      <c r="K6" s="2734"/>
      <c r="L6" s="2734"/>
      <c r="M6" s="3655"/>
      <c r="N6" s="3655"/>
      <c r="O6" s="2734"/>
      <c r="P6" s="2734"/>
      <c r="Q6" s="3655"/>
      <c r="R6" s="3655"/>
      <c r="S6" s="2734"/>
      <c r="T6" s="2734"/>
      <c r="U6" s="3655"/>
      <c r="V6" s="3655"/>
      <c r="W6" s="2734"/>
      <c r="X6" s="2734"/>
      <c r="Y6" s="3655"/>
      <c r="Z6" s="3655"/>
      <c r="AA6" s="3655"/>
      <c r="AB6" s="3655"/>
      <c r="AC6" s="2734"/>
      <c r="AD6" s="2734"/>
      <c r="AE6" s="3655"/>
      <c r="AF6" s="3655"/>
      <c r="AG6" s="2734"/>
      <c r="AH6" s="2734"/>
      <c r="AI6" s="3655"/>
      <c r="AJ6" s="3661"/>
      <c r="AK6" s="3657"/>
      <c r="AL6" s="3663"/>
      <c r="AM6" s="3660"/>
      <c r="AN6" s="3658"/>
      <c r="AO6" s="870"/>
      <c r="AP6" s="710"/>
      <c r="AQ6" s="710"/>
      <c r="AR6" s="711"/>
      <c r="AS6" s="870"/>
      <c r="AT6" s="710"/>
      <c r="AU6" s="710"/>
      <c r="AV6" s="711"/>
      <c r="AW6" s="870"/>
      <c r="AX6" s="710"/>
      <c r="AY6" s="710"/>
      <c r="AZ6" s="711"/>
      <c r="BA6" s="3660"/>
      <c r="BB6" s="3658"/>
      <c r="BC6" s="3655"/>
      <c r="BD6" s="3655"/>
      <c r="BE6" s="870"/>
      <c r="BF6" s="710"/>
      <c r="BG6" s="4151"/>
      <c r="BH6" s="4151"/>
      <c r="BI6" s="4151"/>
      <c r="BJ6" s="4151"/>
      <c r="BK6" s="4151"/>
    </row>
    <row r="7" spans="1:67" x14ac:dyDescent="0.25">
      <c r="B7" s="26" t="s">
        <v>388</v>
      </c>
      <c r="C7" s="3620" t="s">
        <v>52</v>
      </c>
      <c r="D7" s="4110">
        <v>95</v>
      </c>
      <c r="E7" s="4112">
        <v>95</v>
      </c>
      <c r="F7" s="4111">
        <f>'COKE OVENS'!F112</f>
        <v>94.99818445896878</v>
      </c>
      <c r="G7" s="4112">
        <v>95</v>
      </c>
      <c r="H7" s="4111">
        <f>'COKE OVENS'!H112</f>
        <v>96.930632289748317</v>
      </c>
      <c r="I7" s="4113">
        <v>95</v>
      </c>
      <c r="J7" s="4113">
        <f>'COKE OVENS'!J112</f>
        <v>95.981087470449168</v>
      </c>
      <c r="K7" s="4112">
        <v>95</v>
      </c>
      <c r="L7" s="4111">
        <f>'COKE OVENS'!L112</f>
        <v>96.168723521827218</v>
      </c>
      <c r="M7" s="4114">
        <v>95</v>
      </c>
      <c r="N7" s="4114">
        <f>'COKE OVENS'!N112</f>
        <v>96.042311506445884</v>
      </c>
      <c r="O7" s="4112">
        <v>95</v>
      </c>
      <c r="P7" s="4111">
        <f>'COKE OVENS'!P112</f>
        <v>95.314145314145321</v>
      </c>
      <c r="Q7" s="4113">
        <v>95</v>
      </c>
      <c r="R7" s="4113">
        <f>'COKE OVENS'!R112</f>
        <v>95.856557652273182</v>
      </c>
      <c r="S7" s="4112">
        <v>95</v>
      </c>
      <c r="T7" s="230">
        <f>'COKE OVENS'!T112</f>
        <v>95.003031090326488</v>
      </c>
      <c r="U7" s="4113">
        <v>95</v>
      </c>
      <c r="V7" s="4113">
        <f>'COKE OVENS'!V112</f>
        <v>95.681252223408038</v>
      </c>
      <c r="W7" s="4112">
        <v>95</v>
      </c>
      <c r="X7" s="230">
        <f>'COKE OVENS'!X112</f>
        <v>94.799054373522452</v>
      </c>
      <c r="Y7" s="4114">
        <v>95</v>
      </c>
      <c r="Z7" s="4114">
        <f>'COKE OVENS'!Z112</f>
        <v>95.041395362540868</v>
      </c>
      <c r="AA7" s="4115">
        <v>95</v>
      </c>
      <c r="AB7" s="4115">
        <f>'COKE OVENS'!AB112</f>
        <v>95.536909756315268</v>
      </c>
      <c r="AC7" s="4112">
        <v>95</v>
      </c>
      <c r="AD7" s="230">
        <f>'COKE OVENS'!AD112</f>
        <v>92.005407841369987</v>
      </c>
      <c r="AE7" s="4113">
        <v>95</v>
      </c>
      <c r="AF7" s="4113">
        <f>'COKE OVENS'!AF112</f>
        <v>95.036583964348196</v>
      </c>
      <c r="AG7" s="4112">
        <v>95</v>
      </c>
      <c r="AH7" s="230">
        <f>'COKE OVENS'!AH112</f>
        <v>93.33213353729866</v>
      </c>
      <c r="AI7" s="4113">
        <v>95</v>
      </c>
      <c r="AJ7" s="1325">
        <f>'COKE OVENS'!AJ112</f>
        <v>94.82477131930311</v>
      </c>
      <c r="AK7" s="3502">
        <v>95</v>
      </c>
      <c r="AL7" s="225">
        <f>'COKE OVENS'!AL112</f>
        <v>96.701013074725068</v>
      </c>
      <c r="AM7" s="167">
        <v>95</v>
      </c>
      <c r="AN7" s="163">
        <f>'COKE OVENS'!AN112</f>
        <v>94.048641763189863</v>
      </c>
      <c r="AO7" s="3504">
        <f>'COKE OVENS'!AO112</f>
        <v>95.002886846291688</v>
      </c>
      <c r="AP7" s="3497">
        <f>'COKE OVENS'!AP112</f>
        <v>95.039366179747461</v>
      </c>
      <c r="AQ7" s="823">
        <f>'COKE OVENS'!AQ112</f>
        <v>95.003297870736972</v>
      </c>
      <c r="AR7" s="4111">
        <f>'COKE OVENS'!AR112</f>
        <v>90.89096897209221</v>
      </c>
      <c r="AS7" s="3497">
        <f>'COKE OVENS'!AS112</f>
        <v>95.002928485833721</v>
      </c>
      <c r="AT7" s="3497">
        <f>'COKE OVENS'!AT112</f>
        <v>94.61395572067228</v>
      </c>
      <c r="AU7" s="823">
        <f>'COKE OVENS'!AU112</f>
        <v>95.003014175382219</v>
      </c>
      <c r="AV7" s="4111">
        <f>'COKE OVENS'!AV112</f>
        <v>89.998080245728531</v>
      </c>
      <c r="AW7" s="3497">
        <v>95</v>
      </c>
      <c r="AX7" s="3497">
        <f>'COKE OVENS'!AX112</f>
        <v>94.222775378057619</v>
      </c>
      <c r="AY7" s="823">
        <f>'COKE OVENS'!AY112</f>
        <v>95.003297870736972</v>
      </c>
      <c r="AZ7" s="4428">
        <f>'COKE OVENS'!AZ112</f>
        <v>90.007916263523626</v>
      </c>
      <c r="BA7" s="167">
        <v>95</v>
      </c>
      <c r="BB7" s="163">
        <f>'COKE OVENS'!BB112</f>
        <v>90.310577644411111</v>
      </c>
      <c r="BC7" s="4432">
        <v>95</v>
      </c>
      <c r="BD7" s="4432">
        <f>'COKE OVENS'!BD112</f>
        <v>92.191646045138782</v>
      </c>
      <c r="BE7" s="3497">
        <v>95</v>
      </c>
      <c r="BF7" s="3497">
        <f>'COKE OVENS'!BF112</f>
        <v>93.865971705137753</v>
      </c>
      <c r="BG7" s="3371">
        <v>94.377234802612818</v>
      </c>
      <c r="BH7" s="4152">
        <v>95.478511315335126</v>
      </c>
      <c r="BI7" s="3371">
        <v>90</v>
      </c>
      <c r="BJ7" s="4152">
        <v>91.425994537590384</v>
      </c>
      <c r="BK7" s="3371">
        <v>91.808305695910761</v>
      </c>
    </row>
    <row r="8" spans="1:67" ht="15.75" thickBot="1" x14ac:dyDescent="0.3">
      <c r="B8" s="4277" t="s">
        <v>399</v>
      </c>
      <c r="C8" s="373" t="s">
        <v>52</v>
      </c>
      <c r="D8" s="1448">
        <v>95</v>
      </c>
      <c r="E8" s="551">
        <v>95</v>
      </c>
      <c r="F8" s="4204">
        <f>'COKE OVENS'!F137</f>
        <v>94.306067295065958</v>
      </c>
      <c r="G8" s="551">
        <v>95</v>
      </c>
      <c r="H8" s="4204">
        <f>'COKE OVENS'!H137</f>
        <v>95.330380471992058</v>
      </c>
      <c r="I8" s="716">
        <v>95</v>
      </c>
      <c r="J8" s="716">
        <f>'COKE OVENS'!J137</f>
        <v>94.829913848060443</v>
      </c>
      <c r="K8" s="551">
        <v>95</v>
      </c>
      <c r="L8" s="4204">
        <f>'COKE OVENS'!L137</f>
        <v>95.502779181404748</v>
      </c>
      <c r="M8" s="4278">
        <v>95</v>
      </c>
      <c r="N8" s="4278">
        <f>'COKE OVENS'!N137</f>
        <v>95.055707354361033</v>
      </c>
      <c r="O8" s="551">
        <v>95</v>
      </c>
      <c r="P8" s="4204">
        <f>'COKE OVENS'!P137</f>
        <v>96.66787138422049</v>
      </c>
      <c r="Q8" s="716">
        <v>95</v>
      </c>
      <c r="R8" s="716">
        <f>'COKE OVENS'!R137</f>
        <v>95.463632761875417</v>
      </c>
      <c r="S8" s="551">
        <v>95</v>
      </c>
      <c r="T8" s="360">
        <f>'COKE OVENS'!T137</f>
        <v>95.497926276690805</v>
      </c>
      <c r="U8" s="716">
        <v>95</v>
      </c>
      <c r="V8" s="716">
        <f>'COKE OVENS'!V137</f>
        <v>95.470853820447189</v>
      </c>
      <c r="W8" s="551">
        <v>95</v>
      </c>
      <c r="X8" s="360">
        <f>'COKE OVENS'!X137</f>
        <v>94.803344779782407</v>
      </c>
      <c r="Y8" s="4278">
        <v>95</v>
      </c>
      <c r="Z8" s="4278">
        <f>'COKE OVENS'!Z137</f>
        <v>95.647526772320646</v>
      </c>
      <c r="AA8" s="4210">
        <v>95</v>
      </c>
      <c r="AB8" s="4210">
        <f>'COKE OVENS'!AB137</f>
        <v>95.357699699528141</v>
      </c>
      <c r="AC8" s="551">
        <v>95</v>
      </c>
      <c r="AD8" s="360">
        <f>'COKE OVENS'!AD137</f>
        <v>92.581568295208498</v>
      </c>
      <c r="AE8" s="716">
        <v>95</v>
      </c>
      <c r="AF8" s="716">
        <f>'COKE OVENS'!AF137</f>
        <v>94.941367934703436</v>
      </c>
      <c r="AG8" s="551">
        <v>95</v>
      </c>
      <c r="AH8" s="360">
        <f>'COKE OVENS'!AH137</f>
        <v>97.642018030081275</v>
      </c>
      <c r="AI8" s="716">
        <v>95</v>
      </c>
      <c r="AJ8" s="4279">
        <f>'COKE OVENS'!AJ137</f>
        <v>95.283519694956738</v>
      </c>
      <c r="AK8" s="4208">
        <v>95</v>
      </c>
      <c r="AL8" s="307">
        <f>'COKE OVENS'!AL137</f>
        <v>95.153435150598128</v>
      </c>
      <c r="AM8" s="4209">
        <v>95</v>
      </c>
      <c r="AN8" s="399">
        <f>'COKE OVENS'!AN137</f>
        <v>95.097900911428781</v>
      </c>
      <c r="AO8" s="4280">
        <f>'COKE OVENS'!AO137</f>
        <v>95.002484965816237</v>
      </c>
      <c r="AP8" s="4203">
        <f>'COKE OVENS'!AP137</f>
        <v>95.268516480556059</v>
      </c>
      <c r="AQ8" s="1996">
        <f>'COKE OVENS'!AQ137</f>
        <v>95.002341136286802</v>
      </c>
      <c r="AR8" s="4204">
        <f>'COKE OVENS'!AR137</f>
        <v>93.352938958639669</v>
      </c>
      <c r="AS8" s="4203">
        <f>'COKE OVENS'!AS137</f>
        <v>95.002470394837587</v>
      </c>
      <c r="AT8" s="4203">
        <f>'COKE OVENS'!AT137</f>
        <v>95.069848111566145</v>
      </c>
      <c r="AU8" s="1996">
        <f>'COKE OVENS'!AU137</f>
        <v>95.002805114121131</v>
      </c>
      <c r="AV8" s="4204">
        <f>'COKE OVENS'!AV137</f>
        <v>93.071531642809873</v>
      </c>
      <c r="AW8" s="4203">
        <v>95</v>
      </c>
      <c r="AX8" s="4203">
        <f>'COKE OVENS'!AX137</f>
        <v>94.898455944677778</v>
      </c>
      <c r="AY8" s="1996">
        <f>'COKE OVENS'!AY137</f>
        <v>95.002341136286802</v>
      </c>
      <c r="AZ8" s="4439">
        <f>'COKE OVENS'!AZ137</f>
        <v>93.226431784390115</v>
      </c>
      <c r="BA8" s="4443">
        <v>95</v>
      </c>
      <c r="BB8" s="399">
        <f>'COKE OVENS'!BB137</f>
        <v>93.221748499514973</v>
      </c>
      <c r="BC8" s="4444">
        <v>95</v>
      </c>
      <c r="BD8" s="4444">
        <f>'COKE OVENS'!BD137</f>
        <v>94.169477236018494</v>
      </c>
      <c r="BE8" s="4438">
        <v>95</v>
      </c>
      <c r="BF8" s="4438">
        <f>'COKE OVENS'!BF137</f>
        <v>94.753433109833978</v>
      </c>
      <c r="BG8" s="3363">
        <v>94.836589147670892</v>
      </c>
      <c r="BH8" s="4281">
        <v>95.080612657941344</v>
      </c>
      <c r="BI8" s="3363">
        <v>90</v>
      </c>
      <c r="BJ8" s="4281">
        <v>96.370934540963361</v>
      </c>
      <c r="BK8" s="3371">
        <v>94.117212910536992</v>
      </c>
      <c r="BM8" s="1548"/>
      <c r="BN8" s="1548"/>
      <c r="BO8" s="1548"/>
    </row>
    <row r="9" spans="1:67" ht="16.5" thickBot="1" x14ac:dyDescent="0.3">
      <c r="B9" s="22" t="s">
        <v>397</v>
      </c>
      <c r="C9" s="4050" t="s">
        <v>52</v>
      </c>
      <c r="D9" s="247">
        <v>95</v>
      </c>
      <c r="E9" s="247">
        <v>95</v>
      </c>
      <c r="F9" s="247">
        <f>'COKE OVENS'!F174</f>
        <v>94.558856587361007</v>
      </c>
      <c r="G9" s="247">
        <v>95</v>
      </c>
      <c r="H9" s="247">
        <f>'COKE OVENS'!H174</f>
        <v>95.910734322403712</v>
      </c>
      <c r="I9" s="247">
        <v>95</v>
      </c>
      <c r="J9" s="247">
        <f>'COKE OVENS'!J174</f>
        <v>95.248855336551998</v>
      </c>
      <c r="K9" s="247">
        <v>95</v>
      </c>
      <c r="L9" s="250">
        <f>'COKE OVENS'!L174</f>
        <v>95.738710519446627</v>
      </c>
      <c r="M9" s="250">
        <v>95</v>
      </c>
      <c r="N9" s="250">
        <f>'COKE OVENS'!N174</f>
        <v>95.411596546215208</v>
      </c>
      <c r="O9" s="250">
        <v>95</v>
      </c>
      <c r="P9" s="250">
        <f>'COKE OVENS'!P174</f>
        <v>96.176141155680909</v>
      </c>
      <c r="Q9" s="4051">
        <v>95</v>
      </c>
      <c r="R9" s="4051">
        <f>'COKE OVENS'!R174</f>
        <v>95.605620514028473</v>
      </c>
      <c r="S9" s="250">
        <v>95</v>
      </c>
      <c r="T9" s="250">
        <f>'COKE OVENS'!T174</f>
        <v>95.322664046269168</v>
      </c>
      <c r="U9" s="4054">
        <v>95</v>
      </c>
      <c r="V9" s="4054">
        <f>'COKE OVENS'!V174</f>
        <v>95.546566530555381</v>
      </c>
      <c r="W9" s="247">
        <v>95</v>
      </c>
      <c r="X9" s="250">
        <f>'COKE OVENS'!X174</f>
        <v>94.801842613786491</v>
      </c>
      <c r="Y9" s="250">
        <v>95</v>
      </c>
      <c r="Z9" s="250">
        <f>'COKE OVENS'!Z174</f>
        <v>95.431858842364662</v>
      </c>
      <c r="AA9" s="4056">
        <v>95</v>
      </c>
      <c r="AB9" s="4056">
        <f>'COKE OVENS'!AB174</f>
        <v>95.421897196532626</v>
      </c>
      <c r="AC9" s="247">
        <v>95</v>
      </c>
      <c r="AD9" s="250">
        <f>'COKE OVENS'!AD174</f>
        <v>92.383908970038007</v>
      </c>
      <c r="AE9" s="4054">
        <v>95</v>
      </c>
      <c r="AF9" s="4054">
        <f>'COKE OVENS'!AF174</f>
        <v>94.975264443257672</v>
      </c>
      <c r="AG9" s="247">
        <v>95</v>
      </c>
      <c r="AH9" s="250">
        <f>'COKE OVENS'!AH174</f>
        <v>96.12945645267439</v>
      </c>
      <c r="AI9" s="4054">
        <v>95</v>
      </c>
      <c r="AJ9" s="1871">
        <f>'COKE OVENS'!AJ174</f>
        <v>95.120498359138125</v>
      </c>
      <c r="AK9" s="1373">
        <v>95</v>
      </c>
      <c r="AL9" s="55">
        <f>'COKE OVENS'!AL174</f>
        <v>95.700042816074358</v>
      </c>
      <c r="AM9" s="2298">
        <v>95</v>
      </c>
      <c r="AN9" s="55">
        <f>'COKE OVENS'!AN174</f>
        <v>94.731631430736485</v>
      </c>
      <c r="AO9" s="52">
        <f>'COKE OVENS'!AO174</f>
        <v>95.002626757124801</v>
      </c>
      <c r="AP9" s="247">
        <f>'COKE OVENS'!AP174</f>
        <v>95.187142267117707</v>
      </c>
      <c r="AQ9" s="247">
        <f>'COKE OVENS'!AQ174</f>
        <v>95.002678689626137</v>
      </c>
      <c r="AR9" s="247">
        <f>'COKE OVENS'!AR174</f>
        <v>92.485743244068331</v>
      </c>
      <c r="AS9" s="247">
        <f>'COKE OVENS'!AS174</f>
        <v>95.002632018255241</v>
      </c>
      <c r="AT9" s="247">
        <f>'COKE OVENS'!AT174</f>
        <v>94.908090326841773</v>
      </c>
      <c r="AU9" s="247">
        <f>'COKE OVENS'!AU174</f>
        <v>95.002878875117432</v>
      </c>
      <c r="AV9" s="247">
        <f>'COKE OVENS'!AV174</f>
        <v>91.990221256849367</v>
      </c>
      <c r="AW9" s="247">
        <v>95</v>
      </c>
      <c r="AX9" s="247">
        <f>'COKE OVENS'!AX174</f>
        <v>94.658886571969603</v>
      </c>
      <c r="AY9" s="247">
        <f>'COKE OVENS'!AY174</f>
        <v>95.002678689626137</v>
      </c>
      <c r="AZ9" s="247">
        <f>'COKE OVENS'!AZ174</f>
        <v>92.104763014143742</v>
      </c>
      <c r="BA9" s="2298">
        <v>95</v>
      </c>
      <c r="BB9" s="55">
        <f>'COKE OVENS'!BB174</f>
        <v>92.200433917664498</v>
      </c>
      <c r="BC9" s="4056">
        <v>95</v>
      </c>
      <c r="BD9" s="4056">
        <f>'COKE OVENS'!BD174</f>
        <v>93.477350278519793</v>
      </c>
      <c r="BE9" s="247">
        <v>95</v>
      </c>
      <c r="BF9" s="247">
        <f>'COKE OVENS'!BF174</f>
        <v>94.439236826010074</v>
      </c>
      <c r="BG9" s="3364">
        <v>94.673168200952773</v>
      </c>
      <c r="BH9" s="4153">
        <v>94.712020160218685</v>
      </c>
      <c r="BI9" s="3364">
        <v>90</v>
      </c>
      <c r="BJ9" s="4153">
        <v>94.617132782598674</v>
      </c>
      <c r="BK9" s="3364">
        <v>93.297277602628242</v>
      </c>
      <c r="BM9" s="1548"/>
      <c r="BN9" s="1548"/>
      <c r="BO9" s="1548"/>
    </row>
    <row r="10" spans="1:67" x14ac:dyDescent="0.25">
      <c r="B10" s="3515" t="s">
        <v>394</v>
      </c>
      <c r="C10" s="2386" t="s">
        <v>405</v>
      </c>
      <c r="D10" s="4282">
        <v>377.88521380903757</v>
      </c>
      <c r="E10" s="4205">
        <v>410</v>
      </c>
      <c r="F10" s="4207">
        <f>+('B-FCE'!F22/'Maj Production Summ'!F$17)*1000</f>
        <v>395.28297591403725</v>
      </c>
      <c r="G10" s="4205">
        <v>440</v>
      </c>
      <c r="H10" s="4207">
        <f>+('B-FCE'!H22/'Maj Production Summ'!H$17)*1000</f>
        <v>422.4828205430544</v>
      </c>
      <c r="I10" s="1552">
        <f>+('B-FCE'!I22/'Maj Production Summ'!I$17)*1000</f>
        <v>427.03389830508473</v>
      </c>
      <c r="J10" s="1552">
        <f>+('B-FCE'!J22/'Maj Production Summ'!J$17)*1000</f>
        <v>408.47809187477964</v>
      </c>
      <c r="K10" s="4205">
        <v>380</v>
      </c>
      <c r="L10" s="4207">
        <f>+('B-FCE'!L22/'Maj Production Summ'!L$17)*1000</f>
        <v>404.78986358166981</v>
      </c>
      <c r="M10" s="1166">
        <f>+('B-FCE'!M22/'Maj Production Summ'!M$17)*1000</f>
        <v>403.43636183209009</v>
      </c>
      <c r="N10" s="1166">
        <f>+('B-FCE'!N22/'Maj Production Summ'!N$17)*1000</f>
        <v>406.66182077613894</v>
      </c>
      <c r="O10" s="4205">
        <v>385</v>
      </c>
      <c r="P10" s="4207">
        <f>+('B-FCE'!P22/'Maj Production Summ'!P$17)*1000</f>
        <v>424.5462083295871</v>
      </c>
      <c r="Q10" s="1552">
        <f>+('B-FCE'!Q22/'Maj Production Summ'!Q$17)*1000</f>
        <v>397.13941183135563</v>
      </c>
      <c r="R10" s="1552">
        <f>+('B-FCE'!R22/'Maj Production Summ'!R$17)*1000</f>
        <v>412.43288988147719</v>
      </c>
      <c r="S10" s="4205">
        <v>385</v>
      </c>
      <c r="T10" s="4207">
        <f>+('B-FCE'!T22/'Maj Production Summ'!T$17)*1000</f>
        <v>387.96940573733264</v>
      </c>
      <c r="U10" s="1552">
        <f>+('B-FCE'!U22/'Maj Production Summ'!U$17)*1000</f>
        <v>394.04879178592677</v>
      </c>
      <c r="V10" s="1552">
        <f>+('B-FCE'!V22/'Maj Production Summ'!V$17)*1000</f>
        <v>406.02529810517012</v>
      </c>
      <c r="W10" s="4205">
        <v>380</v>
      </c>
      <c r="X10" s="4207">
        <f>+('B-FCE'!X22/'Maj Production Summ'!X$17)*1000</f>
        <v>383.96826514564702</v>
      </c>
      <c r="Y10" s="1166">
        <f>+('B-FCE'!Y22/'Maj Production Summ'!Y$17)*1000</f>
        <v>383.36403968205065</v>
      </c>
      <c r="Z10" s="1166">
        <f>+('B-FCE'!Z22/'Maj Production Summ'!Z$17)*1000</f>
        <v>398.18500163406691</v>
      </c>
      <c r="AA10" s="4211">
        <f>+('B-FCE'!AA22/'Maj Production Summ'!AA$17)*1000</f>
        <v>391.26045328292059</v>
      </c>
      <c r="AB10" s="4211">
        <f>+('B-FCE'!AB22/'Maj Production Summ'!AB$17)*1000</f>
        <v>401.56587803656691</v>
      </c>
      <c r="AC10" s="2386">
        <v>375</v>
      </c>
      <c r="AD10" s="4207">
        <f>+('B-FCE'!AD22/'Maj Production Summ'!AD$17)*1000</f>
        <v>389.85265546825303</v>
      </c>
      <c r="AE10" s="1552">
        <f>+('B-FCE'!AE22/'Maj Production Summ'!AE$17)*1000</f>
        <v>388.49187582444392</v>
      </c>
      <c r="AF10" s="1552">
        <f>+('B-FCE'!AF22/'Maj Production Summ'!AF$17)*1000</f>
        <v>399.44725077270562</v>
      </c>
      <c r="AG10" s="2386">
        <v>375</v>
      </c>
      <c r="AH10" s="4207">
        <f>+('B-FCE'!AH22/'Maj Production Summ'!AH$17)*1000</f>
        <v>401.55734497799716</v>
      </c>
      <c r="AI10" s="1552">
        <f>+('B-FCE'!AI22/'Maj Production Summ'!AI$17)*1000</f>
        <v>386.58417104160651</v>
      </c>
      <c r="AJ10" s="1366">
        <f>+('B-FCE'!AJ22/'Maj Production Summ'!AJ$17)*1000</f>
        <v>399.7397813107346</v>
      </c>
      <c r="AK10" s="4283">
        <v>370</v>
      </c>
      <c r="AL10" s="629">
        <f>+('B-FCE'!AL22/'Maj Production Summ'!AL$17)*1000</f>
        <v>394.73569946071746</v>
      </c>
      <c r="AM10" s="3494">
        <f>+('B-FCE'!AM22/'Maj Production Summ'!AM$17)*1000</f>
        <v>373.31491712707179</v>
      </c>
      <c r="AN10" s="184">
        <f>+('B-FCE'!AN22/'Maj Production Summ'!AN$17)*1000</f>
        <v>395.14789313663005</v>
      </c>
      <c r="AO10" s="3504">
        <f>+('B-FCE'!AO22/'Maj Production Summ'!AO$17)*1000</f>
        <v>384.4689588627233</v>
      </c>
      <c r="AP10" s="3497">
        <f>+('B-FCE'!AP22/'Maj Production Summ'!AP$17)*1000</f>
        <v>399.07113407720169</v>
      </c>
      <c r="AQ10" s="481">
        <v>360</v>
      </c>
      <c r="AR10" s="4122">
        <f>+('B-FCE'!AR22/'Maj Production Summ'!AR$17)*1000</f>
        <v>390.96789470774132</v>
      </c>
      <c r="AS10" s="3497">
        <f>+('B-FCE'!AS22/'Maj Production Summ'!AS$17)*1000</f>
        <v>381.70111143263733</v>
      </c>
      <c r="AT10" s="3497">
        <f>+('B-FCE'!AT22/'Maj Production Summ'!AT$17)*1000</f>
        <v>398.09844414279337</v>
      </c>
      <c r="AU10" s="481">
        <v>360</v>
      </c>
      <c r="AV10" s="4122">
        <f>+('B-FCE'!AV22/'Maj Production Summ'!AV$17)*1000</f>
        <v>391.80281930656571</v>
      </c>
      <c r="AW10" s="3497">
        <f>+('B-FCE'!AW22/'Maj Production Summ'!AW$17)*1000</f>
        <v>379.72401251283122</v>
      </c>
      <c r="AX10" s="3497">
        <f>+('B-FCE'!AX22/'Maj Production Summ'!AX$17)*1000</f>
        <v>397.48822502665604</v>
      </c>
      <c r="AY10" s="481">
        <v>360</v>
      </c>
      <c r="AZ10" s="4441">
        <f>+('B-FCE'!AZ22/'Maj Production Summ'!AZ$17)*1000</f>
        <v>389.66003671983492</v>
      </c>
      <c r="BA10" s="3494">
        <f>+('B-FCE'!BA22/'Maj Production Summ'!BA$17)*1000</f>
        <v>360.00000000000006</v>
      </c>
      <c r="BB10" s="184">
        <f>+('B-FCE'!BB22/'Maj Production Summ'!BB$17)*1000</f>
        <v>390.76948266037635</v>
      </c>
      <c r="BC10" s="4445">
        <f>+('B-FCE'!BC22/'Maj Production Summ'!BC$17)*1000</f>
        <v>366.74965938959497</v>
      </c>
      <c r="BD10" s="4445">
        <f>+('B-FCE'!BD22/'Maj Production Summ'!BD$17)*1000</f>
        <v>392.93729362010811</v>
      </c>
      <c r="BE10" s="3497">
        <f>+('B-FCE'!BE22/'Maj Production Summ'!BE$17)*1000</f>
        <v>377.88521420805364</v>
      </c>
      <c r="BF10" s="3497">
        <f>+('B-FCE'!BF22/'Maj Production Summ'!BF$17)*1000</f>
        <v>396.71458967036409</v>
      </c>
      <c r="BG10" s="4154">
        <v>373.8786504081541</v>
      </c>
      <c r="BH10" s="3366">
        <v>423.66105089932233</v>
      </c>
      <c r="BI10" s="4154">
        <v>370.47898148148147</v>
      </c>
      <c r="BJ10" s="3366">
        <v>381.58770716890342</v>
      </c>
      <c r="BK10" s="3362">
        <v>388.39310872643784</v>
      </c>
      <c r="BM10" s="1548"/>
      <c r="BN10" s="1548"/>
      <c r="BO10" s="1548"/>
    </row>
    <row r="11" spans="1:67" x14ac:dyDescent="0.25">
      <c r="B11" s="4118" t="s">
        <v>395</v>
      </c>
      <c r="C11" s="3620" t="s">
        <v>405</v>
      </c>
      <c r="D11" s="4109">
        <v>23.751423862955011</v>
      </c>
      <c r="E11" s="4111">
        <v>16</v>
      </c>
      <c r="F11" s="4112">
        <f>+('B-FCE'!F23/'Maj Production Summ'!F$17)*1000</f>
        <v>46.651186085689574</v>
      </c>
      <c r="G11" s="4111">
        <v>25</v>
      </c>
      <c r="H11" s="4112">
        <f>+('B-FCE'!H23/'Maj Production Summ'!H$17)*1000</f>
        <v>33.665405067915636</v>
      </c>
      <c r="I11" s="4113">
        <f>+('B-FCE'!I23/'Maj Production Summ'!I$17)*1000</f>
        <v>21.110169491525422</v>
      </c>
      <c r="J11" s="4113">
        <f>+('B-FCE'!J23/'Maj Production Summ'!J$17)*1000</f>
        <v>40.351558690482435</v>
      </c>
      <c r="K11" s="4111">
        <v>30</v>
      </c>
      <c r="L11" s="4112">
        <f>+('B-FCE'!L23/'Maj Production Summ'!L$17)*1000</f>
        <v>44.970208324272605</v>
      </c>
      <c r="M11" s="4114">
        <f>+('B-FCE'!M23/'Maj Production Summ'!M$17)*1000</f>
        <v>25.570316475340089</v>
      </c>
      <c r="N11" s="4114">
        <f>+('B-FCE'!N23/'Maj Production Summ'!N$17)*1000</f>
        <v>42.626016554241055</v>
      </c>
      <c r="O11" s="4111">
        <v>30</v>
      </c>
      <c r="P11" s="4112">
        <f>+('B-FCE'!P23/'Maj Production Summ'!P$17)*1000</f>
        <v>37.482143035534115</v>
      </c>
      <c r="Q11" s="4113">
        <f>+('B-FCE'!Q23/'Maj Production Summ'!Q$17)*1000</f>
        <v>27.083277434118287</v>
      </c>
      <c r="R11" s="4113">
        <f>+('B-FCE'!R23/'Maj Production Summ'!R$17)*1000</f>
        <v>40.966152639032295</v>
      </c>
      <c r="S11" s="4111">
        <v>30</v>
      </c>
      <c r="T11" s="4112">
        <f>+('B-FCE'!T23/'Maj Production Summ'!T$17)*1000</f>
        <v>41.140562832694442</v>
      </c>
      <c r="U11" s="4113">
        <f>+('B-FCE'!U23/'Maj Production Summ'!U$17)*1000</f>
        <v>27.825857169800763</v>
      </c>
      <c r="V11" s="4113">
        <f>+('B-FCE'!V23/'Maj Production Summ'!V$17)*1000</f>
        <v>41.011834984033882</v>
      </c>
      <c r="W11" s="4111">
        <v>30</v>
      </c>
      <c r="X11" s="4112">
        <f>+('B-FCE'!X23/'Maj Production Summ'!X$17)*1000</f>
        <v>40.10515691383236</v>
      </c>
      <c r="Y11" s="4114">
        <f>+('B-FCE'!Y23/'Maj Production Summ'!Y$17)*1000</f>
        <v>30.000000000000004</v>
      </c>
      <c r="Z11" s="4114">
        <f>+('B-FCE'!Z23/'Maj Production Summ'!Z$17)*1000</f>
        <v>39.635989889309727</v>
      </c>
      <c r="AA11" s="4115">
        <f>+('B-FCE'!AA23/'Maj Production Summ'!AA$17)*1000</f>
        <v>28.257370872676766</v>
      </c>
      <c r="AB11" s="4115">
        <f>+('B-FCE'!AB23/'Maj Production Summ'!AB$17)*1000</f>
        <v>40.828525724377833</v>
      </c>
      <c r="AC11" s="3620">
        <v>20</v>
      </c>
      <c r="AD11" s="4112">
        <f>+('B-FCE'!AD23/'Maj Production Summ'!AD$17)*1000</f>
        <v>36.165603562402211</v>
      </c>
      <c r="AE11" s="4113">
        <f>+('B-FCE'!AE23/'Maj Production Summ'!AE$17)*1000</f>
        <v>26.851433998310103</v>
      </c>
      <c r="AF11" s="4113">
        <f>+('B-FCE'!AF23/'Maj Production Summ'!AF$17)*1000</f>
        <v>39.985120422036104</v>
      </c>
      <c r="AG11" s="3620">
        <v>20</v>
      </c>
      <c r="AH11" s="4112">
        <f>+('B-FCE'!AH23/'Maj Production Summ'!AH$17)*1000</f>
        <v>38.740405470029323</v>
      </c>
      <c r="AI11" s="4113">
        <f>+('B-FCE'!AI23/'Maj Production Summ'!AI$17)*1000</f>
        <v>25.882664823590115</v>
      </c>
      <c r="AJ11" s="1325">
        <f>+('B-FCE'!AJ23/'Maj Production Summ'!AJ$17)*1000</f>
        <v>39.812560763945854</v>
      </c>
      <c r="AK11" s="2389">
        <v>20</v>
      </c>
      <c r="AL11" s="417">
        <f>+('B-FCE'!AL23/'Maj Production Summ'!AL$17)*1000</f>
        <v>31.536303873976365</v>
      </c>
      <c r="AM11" s="167">
        <f>+('B-FCE'!AM23/'Maj Production Summ'!AM$17)*1000</f>
        <v>20</v>
      </c>
      <c r="AN11" s="163">
        <f>+('B-FCE'!AN23/'Maj Production Summ'!AN$17)*1000</f>
        <v>35.369870906016175</v>
      </c>
      <c r="AO11" s="3504">
        <f>+('B-FCE'!AO23/'Maj Production Summ'!AO$17)*1000</f>
        <v>25.132365984538801</v>
      </c>
      <c r="AP11" s="3497">
        <f>+('B-FCE'!AP23/'Maj Production Summ'!AP$17)*1000</f>
        <v>38.706684313610126</v>
      </c>
      <c r="AQ11" s="2045">
        <v>20</v>
      </c>
      <c r="AR11" s="4122">
        <f>+('B-FCE'!AR23/'Maj Production Summ'!AR$17)*1000</f>
        <v>34.31724630715771</v>
      </c>
      <c r="AS11" s="3497">
        <f>+('B-FCE'!AS23/'Maj Production Summ'!AS$17)*1000</f>
        <v>24.551809775332551</v>
      </c>
      <c r="AT11" s="3497">
        <f>+('B-FCE'!AT23/'Maj Production Summ'!AT$17)*1000</f>
        <v>38.179788590564279</v>
      </c>
      <c r="AU11" s="2045">
        <v>20</v>
      </c>
      <c r="AV11" s="4122">
        <f>+('B-FCE'!AV23/'Maj Production Summ'!AV$17)*1000</f>
        <v>31.914392876339612</v>
      </c>
      <c r="AW11" s="3497">
        <f>+('B-FCE'!AW23/'Maj Production Summ'!AW$17)*1000</f>
        <v>24.137113126365616</v>
      </c>
      <c r="AX11" s="3497">
        <f>+('B-FCE'!AX23/'Maj Production Summ'!AX$17)*1000</f>
        <v>37.572499507360902</v>
      </c>
      <c r="AY11" s="2045">
        <v>20</v>
      </c>
      <c r="AZ11" s="4441">
        <f>+('B-FCE'!AZ23/'Maj Production Summ'!AZ$17)*1000</f>
        <v>32.222435844343877</v>
      </c>
      <c r="BA11" s="167">
        <f>+('B-FCE'!BA23/'Maj Production Summ'!BA$17)*1000</f>
        <v>20</v>
      </c>
      <c r="BB11" s="163">
        <f>+('B-FCE'!BB23/'Maj Production Summ'!BB$17)*1000</f>
        <v>32.848556010814384</v>
      </c>
      <c r="BC11" s="4432">
        <f>+('B-FCE'!BC23/'Maj Production Summ'!BC$17)*1000</f>
        <v>20</v>
      </c>
      <c r="BD11" s="4432">
        <f>+('B-FCE'!BD23/'Maj Production Summ'!BD$17)*1000</f>
        <v>34.096893527910325</v>
      </c>
      <c r="BE11" s="3497">
        <f>+('B-FCE'!BE23/'Maj Production Summ'!BE$17)*1000</f>
        <v>23.75142504193121</v>
      </c>
      <c r="BF11" s="3497">
        <f>+('B-FCE'!BF23/'Maj Production Summ'!BF$17)*1000</f>
        <v>37.043769455668603</v>
      </c>
      <c r="BG11" s="3371">
        <v>34.857516027392144</v>
      </c>
      <c r="BH11" s="3366">
        <v>41.208946109466851</v>
      </c>
      <c r="BI11" s="3371">
        <v>25</v>
      </c>
      <c r="BJ11" s="3366">
        <v>44.993877243288374</v>
      </c>
      <c r="BK11" s="3371">
        <v>29.180384193772984</v>
      </c>
      <c r="BM11" s="1548"/>
      <c r="BN11" s="1548"/>
      <c r="BO11" s="1548"/>
    </row>
    <row r="12" spans="1:67" ht="15.75" thickBot="1" x14ac:dyDescent="0.3">
      <c r="B12" s="3514" t="s">
        <v>396</v>
      </c>
      <c r="C12" s="373" t="s">
        <v>405</v>
      </c>
      <c r="D12" s="1444">
        <v>133.64291710861468</v>
      </c>
      <c r="E12" s="4204">
        <v>108</v>
      </c>
      <c r="F12" s="551">
        <f>+('B-FCE'!F24/'Maj Production Summ'!F$17)*1000</f>
        <v>110.29458634977007</v>
      </c>
      <c r="G12" s="4204">
        <v>75</v>
      </c>
      <c r="H12" s="551">
        <f>+('B-FCE'!H24/'Maj Production Summ'!H$17)*1000</f>
        <v>99.06421009291887</v>
      </c>
      <c r="I12" s="716">
        <f>+('B-FCE'!I24/'Maj Production Summ'!I$17)*1000</f>
        <v>89.262711864406782</v>
      </c>
      <c r="J12" s="716">
        <f>+('B-FCE'!J24/'Maj Production Summ'!J$17)*1000</f>
        <v>104.84653622253396</v>
      </c>
      <c r="K12" s="4204">
        <v>125</v>
      </c>
      <c r="L12" s="551">
        <f>+('B-FCE'!L24/'Maj Production Summ'!L$17)*1000</f>
        <v>110.20745444265647</v>
      </c>
      <c r="M12" s="4278">
        <f>+('B-FCE'!M24/'Maj Production Summ'!M$17)*1000</f>
        <v>107.19258777550922</v>
      </c>
      <c r="N12" s="4278">
        <f>+('B-FCE'!N24/'Maj Production Summ'!N$17)*1000</f>
        <v>107.48652487062687</v>
      </c>
      <c r="O12" s="4204">
        <v>130</v>
      </c>
      <c r="P12" s="551">
        <f>+('B-FCE'!P24/'Maj Production Summ'!P$17)*1000</f>
        <v>100.34365291056034</v>
      </c>
      <c r="Q12" s="716">
        <f>+('B-FCE'!Q24/'Maj Production Summ'!Q$17)*1000</f>
        <v>114.98247255493358</v>
      </c>
      <c r="R12" s="716">
        <f>+('B-FCE'!R24/'Maj Production Summ'!R$17)*1000</f>
        <v>105.1816090568237</v>
      </c>
      <c r="S12" s="4204">
        <v>130</v>
      </c>
      <c r="T12" s="551">
        <f>+('B-FCE'!T24/'Maj Production Summ'!T$17)*1000</f>
        <v>117.28103482731682</v>
      </c>
      <c r="U12" s="716">
        <f>+('B-FCE'!U24/'Maj Production Summ'!U$17)*1000</f>
        <v>118.80584324202209</v>
      </c>
      <c r="V12" s="716">
        <f>+('B-FCE'!V24/'Maj Production Summ'!V$17)*1000</f>
        <v>108.35074803180518</v>
      </c>
      <c r="W12" s="4204">
        <v>135</v>
      </c>
      <c r="X12" s="551">
        <f>+('B-FCE'!X24/'Maj Production Summ'!X$17)*1000</f>
        <v>124.09924183742929</v>
      </c>
      <c r="Y12" s="4278">
        <f>+('B-FCE'!Y24/'Maj Production Summ'!Y$17)*1000</f>
        <v>131.63596031794933</v>
      </c>
      <c r="Z12" s="4278">
        <f>+('B-FCE'!Z24/'Maj Production Summ'!Z$17)*1000</f>
        <v>114.22048693614823</v>
      </c>
      <c r="AA12" s="4210">
        <f>+('B-FCE'!AA24/'Maj Production Summ'!AA$17)*1000</f>
        <v>122.01998375318125</v>
      </c>
      <c r="AB12" s="4210">
        <f>+('B-FCE'!AB24/'Maj Production Summ'!AB$17)*1000</f>
        <v>111.5347279195784</v>
      </c>
      <c r="AC12" s="373">
        <v>140</v>
      </c>
      <c r="AD12" s="551">
        <f>+('B-FCE'!AD24/'Maj Production Summ'!AD$17)*1000</f>
        <v>125.49644963292813</v>
      </c>
      <c r="AE12" s="716">
        <f>+('B-FCE'!AE24/'Maj Production Summ'!AE$17)*1000</f>
        <v>125.08134168815791</v>
      </c>
      <c r="AF12" s="716">
        <f>+('B-FCE'!AF24/'Maj Production Summ'!AF$17)*1000</f>
        <v>114.06005210767717</v>
      </c>
      <c r="AG12" s="373">
        <v>140</v>
      </c>
      <c r="AH12" s="551">
        <f>+('B-FCE'!AH24/'Maj Production Summ'!AH$17)*1000</f>
        <v>110.53574792651882</v>
      </c>
      <c r="AI12" s="716">
        <f>+('B-FCE'!AI24/'Maj Production Summ'!AI$17)*1000</f>
        <v>127.19078860164457</v>
      </c>
      <c r="AJ12" s="4279">
        <f>+('B-FCE'!AJ24/'Maj Production Summ'!AJ$17)*1000</f>
        <v>113.57146415946761</v>
      </c>
      <c r="AK12" s="4284">
        <v>145</v>
      </c>
      <c r="AL12" s="937">
        <f>+('B-FCE'!AL24/'Maj Production Summ'!AL$17)*1000</f>
        <v>121.41238178770853</v>
      </c>
      <c r="AM12" s="4209">
        <f>+('B-FCE'!AM24/'Maj Production Summ'!AM$17)*1000</f>
        <v>141.68508287292818</v>
      </c>
      <c r="AN12" s="399">
        <f>+('B-FCE'!AN24/'Maj Production Summ'!AN$17)*1000</f>
        <v>119.46977284294834</v>
      </c>
      <c r="AO12" s="4280">
        <f>+('B-FCE'!AO24/'Maj Production Summ'!AO$17)*1000</f>
        <v>129.4622473770998</v>
      </c>
      <c r="AP12" s="4203">
        <f>+('B-FCE'!AP24/'Maj Production Summ'!AP$17)*1000</f>
        <v>114.61917041960109</v>
      </c>
      <c r="AQ12" s="2046">
        <v>145</v>
      </c>
      <c r="AR12" s="4206">
        <f>+('B-FCE'!AR24/'Maj Production Summ'!AR$17)*1000</f>
        <v>125.93205765640086</v>
      </c>
      <c r="AS12" s="4203">
        <f>+('B-FCE'!AS24/'Maj Production Summ'!AS$17)*1000</f>
        <v>131.21982639416711</v>
      </c>
      <c r="AT12" s="4203">
        <f>+('B-FCE'!AT24/'Maj Production Summ'!AT$17)*1000</f>
        <v>115.97713740571815</v>
      </c>
      <c r="AU12" s="2046">
        <v>145</v>
      </c>
      <c r="AV12" s="4206">
        <f>+('B-FCE'!AV24/'Maj Production Summ'!AV$17)*1000</f>
        <v>123.86496867701409</v>
      </c>
      <c r="AW12" s="4203">
        <f>+('B-FCE'!AW24/'Maj Production Summ'!AW$17)*1000</f>
        <v>132.47528127883527</v>
      </c>
      <c r="AX12" s="4203">
        <f>+('B-FCE'!AX24/'Maj Production Summ'!AX$17)*1000</f>
        <v>116.74168509587166</v>
      </c>
      <c r="AY12" s="2046">
        <v>145</v>
      </c>
      <c r="AZ12" s="4440">
        <f>+('B-FCE'!AZ24/'Maj Production Summ'!AZ$17)*1000</f>
        <v>130.24316064696532</v>
      </c>
      <c r="BA12" s="4443">
        <f>+('B-FCE'!BA24/'Maj Production Summ'!BA$17)*1000</f>
        <v>145.00000000000003</v>
      </c>
      <c r="BB12" s="399">
        <f>+('B-FCE'!BB24/'Maj Production Summ'!BB$17)*1000</f>
        <v>126.79689201320079</v>
      </c>
      <c r="BC12" s="4444">
        <f>+('B-FCE'!BC24/'Maj Production Summ'!BC$17)*1000</f>
        <v>143.31958687395976</v>
      </c>
      <c r="BD12" s="4444">
        <f>+('B-FCE'!BD24/'Maj Production Summ'!BD$17)*1000</f>
        <v>123.16913501629975</v>
      </c>
      <c r="BE12" s="4438">
        <f>+('B-FCE'!BE24/'Maj Production Summ'!BE$17)*1000</f>
        <v>133.64291547787624</v>
      </c>
      <c r="BF12" s="4438">
        <f>+('B-FCE'!BF24/'Maj Production Summ'!BF$17)*1000</f>
        <v>118.07599367903838</v>
      </c>
      <c r="BG12" s="4285">
        <v>128.5773179329438</v>
      </c>
      <c r="BH12" s="4286">
        <v>89.175352805191892</v>
      </c>
      <c r="BI12" s="4285">
        <v>139.85351851851851</v>
      </c>
      <c r="BJ12" s="4286">
        <v>118.98027062075417</v>
      </c>
      <c r="BK12" s="4154">
        <v>123.03826485628637</v>
      </c>
      <c r="BM12" s="1548"/>
      <c r="BN12" s="1548"/>
      <c r="BO12" s="1548"/>
    </row>
    <row r="13" spans="1:67" ht="16.5" thickBot="1" x14ac:dyDescent="0.3">
      <c r="B13" s="4213" t="s">
        <v>270</v>
      </c>
      <c r="C13" s="4214" t="s">
        <v>405</v>
      </c>
      <c r="D13" s="480">
        <f>SUM(D10:D12)</f>
        <v>535.27955478060721</v>
      </c>
      <c r="E13" s="480">
        <f t="shared" ref="E13" si="0">SUM(E10:E12)</f>
        <v>534</v>
      </c>
      <c r="F13" s="480">
        <f t="shared" ref="F13" si="1">SUM(F10:F12)</f>
        <v>552.22874834949687</v>
      </c>
      <c r="G13" s="480">
        <f t="shared" ref="G13:H13" si="2">SUM(G10:G12)</f>
        <v>540</v>
      </c>
      <c r="H13" s="480">
        <f t="shared" si="2"/>
        <v>555.2124357038889</v>
      </c>
      <c r="I13" s="4294">
        <f>SUM(I10:I12)</f>
        <v>537.40677966101691</v>
      </c>
      <c r="J13" s="4294">
        <f>SUM(J10:J12)</f>
        <v>553.67618678779604</v>
      </c>
      <c r="K13" s="480">
        <f t="shared" ref="K13:L13" si="3">SUM(K10:K12)</f>
        <v>535</v>
      </c>
      <c r="L13" s="480">
        <f t="shared" si="3"/>
        <v>559.96752634859888</v>
      </c>
      <c r="M13" s="4295">
        <f t="shared" ref="M13:P13" si="4">SUM(M10:M12)</f>
        <v>536.1992660829394</v>
      </c>
      <c r="N13" s="4295">
        <f t="shared" si="4"/>
        <v>556.77436220100685</v>
      </c>
      <c r="O13" s="480">
        <f t="shared" si="4"/>
        <v>545</v>
      </c>
      <c r="P13" s="480">
        <f t="shared" si="4"/>
        <v>562.37200427568155</v>
      </c>
      <c r="Q13" s="4294">
        <f t="shared" ref="Q13:T13" si="5">SUM(Q10:Q12)</f>
        <v>539.20516182040751</v>
      </c>
      <c r="R13" s="4294">
        <f t="shared" si="5"/>
        <v>558.58065157733324</v>
      </c>
      <c r="S13" s="480">
        <f t="shared" si="5"/>
        <v>545</v>
      </c>
      <c r="T13" s="480">
        <f t="shared" si="5"/>
        <v>546.39100339734387</v>
      </c>
      <c r="U13" s="4294">
        <f t="shared" ref="U13:Z13" si="6">SUM(U10:U12)</f>
        <v>540.68049219774957</v>
      </c>
      <c r="V13" s="4294">
        <f t="shared" si="6"/>
        <v>555.38788112100917</v>
      </c>
      <c r="W13" s="480">
        <f t="shared" si="6"/>
        <v>545</v>
      </c>
      <c r="X13" s="480">
        <f t="shared" si="6"/>
        <v>548.17266389690872</v>
      </c>
      <c r="Y13" s="4295">
        <f t="shared" si="6"/>
        <v>545</v>
      </c>
      <c r="Z13" s="4295">
        <f t="shared" si="6"/>
        <v>552.0414784595248</v>
      </c>
      <c r="AA13" s="4296">
        <f t="shared" ref="AA13:AF13" si="7">SUM(AA10:AA12)</f>
        <v>541.53780790877863</v>
      </c>
      <c r="AB13" s="4296">
        <f t="shared" si="7"/>
        <v>553.92913168052314</v>
      </c>
      <c r="AC13" s="480">
        <f t="shared" si="7"/>
        <v>535</v>
      </c>
      <c r="AD13" s="480">
        <f t="shared" si="7"/>
        <v>551.51470866358341</v>
      </c>
      <c r="AE13" s="4294">
        <f t="shared" si="7"/>
        <v>540.42465151091187</v>
      </c>
      <c r="AF13" s="4294">
        <f t="shared" si="7"/>
        <v>553.49242330241896</v>
      </c>
      <c r="AG13" s="480">
        <f t="shared" ref="AG13:AJ13" si="8">SUM(AG10:AG12)</f>
        <v>535</v>
      </c>
      <c r="AH13" s="480">
        <f t="shared" si="8"/>
        <v>550.83349837454534</v>
      </c>
      <c r="AI13" s="4294">
        <f t="shared" si="8"/>
        <v>539.65762446684118</v>
      </c>
      <c r="AJ13" s="1889">
        <f t="shared" si="8"/>
        <v>553.12380623414811</v>
      </c>
      <c r="AK13" s="4297">
        <f t="shared" ref="AK13:AN13" si="9">SUM(AK10:AK12)</f>
        <v>535</v>
      </c>
      <c r="AL13" s="301">
        <f t="shared" si="9"/>
        <v>547.68438512240232</v>
      </c>
      <c r="AM13" s="3000">
        <f t="shared" si="9"/>
        <v>535</v>
      </c>
      <c r="AN13" s="4298">
        <f t="shared" si="9"/>
        <v>549.98753688559452</v>
      </c>
      <c r="AO13" s="2024">
        <f t="shared" ref="AO13:AT13" si="10">SUM(AO10:AO12)</f>
        <v>539.06357222436191</v>
      </c>
      <c r="AP13" s="97">
        <f t="shared" si="10"/>
        <v>552.39698881041295</v>
      </c>
      <c r="AQ13" s="52">
        <f t="shared" si="10"/>
        <v>525</v>
      </c>
      <c r="AR13" s="247">
        <f t="shared" si="10"/>
        <v>551.21719867129991</v>
      </c>
      <c r="AS13" s="97">
        <f t="shared" si="10"/>
        <v>537.47274760213702</v>
      </c>
      <c r="AT13" s="97">
        <f t="shared" si="10"/>
        <v>552.25537013907581</v>
      </c>
      <c r="AU13" s="52">
        <f t="shared" ref="AU13:AX13" si="11">SUM(AU10:AU12)</f>
        <v>525</v>
      </c>
      <c r="AV13" s="247">
        <f t="shared" si="11"/>
        <v>547.58218085991939</v>
      </c>
      <c r="AW13" s="97">
        <f t="shared" si="11"/>
        <v>536.33640691803203</v>
      </c>
      <c r="AX13" s="97">
        <f t="shared" si="11"/>
        <v>551.80240962988853</v>
      </c>
      <c r="AY13" s="52">
        <f t="shared" ref="AY13:BF13" si="12">SUM(AY10:AY12)</f>
        <v>525</v>
      </c>
      <c r="AZ13" s="247">
        <f t="shared" si="12"/>
        <v>552.12563321114408</v>
      </c>
      <c r="BA13" s="3000">
        <f t="shared" si="12"/>
        <v>525.00000000000011</v>
      </c>
      <c r="BB13" s="4298">
        <f t="shared" si="12"/>
        <v>550.41493068439149</v>
      </c>
      <c r="BC13" s="4296">
        <f t="shared" si="12"/>
        <v>530.06924626355476</v>
      </c>
      <c r="BD13" s="4296">
        <f t="shared" si="12"/>
        <v>550.20332216431814</v>
      </c>
      <c r="BE13" s="97">
        <f t="shared" si="12"/>
        <v>535.27955472786107</v>
      </c>
      <c r="BF13" s="97">
        <f t="shared" si="12"/>
        <v>551.83435280507103</v>
      </c>
      <c r="BG13" s="3364">
        <v>537.31348436848998</v>
      </c>
      <c r="BH13" s="3365">
        <v>554.04534981398115</v>
      </c>
      <c r="BI13" s="3364">
        <v>535.33249999999998</v>
      </c>
      <c r="BJ13" s="3365">
        <v>545.56185503294591</v>
      </c>
      <c r="BK13" s="3364">
        <v>540.61175777649714</v>
      </c>
      <c r="BM13" s="1548"/>
      <c r="BN13" s="1548"/>
      <c r="BO13" s="1548"/>
    </row>
    <row r="14" spans="1:67" ht="16.5" thickBot="1" x14ac:dyDescent="0.3">
      <c r="B14" s="4299" t="s">
        <v>401</v>
      </c>
      <c r="C14" s="4215" t="s">
        <v>413</v>
      </c>
      <c r="D14" s="4300">
        <v>2.2268038942305983</v>
      </c>
      <c r="E14" s="4300">
        <v>2.1120000000000001</v>
      </c>
      <c r="F14" s="4300">
        <v>1.9339999999999999</v>
      </c>
      <c r="G14" s="4300">
        <v>1.448</v>
      </c>
      <c r="H14" s="4301">
        <v>1.4319999999999999</v>
      </c>
      <c r="I14" s="4302">
        <f>+('Maj Production Summ'!I17/3551)/('B-FCE'!E46+'B-FCE'!G46)</f>
        <v>1.6756973141647162</v>
      </c>
      <c r="J14" s="4302">
        <f>+('Maj Production Summ'!J17/3551)/('B-FCE'!F46+'B-FCE'!H46)</f>
        <v>1.6529037498823971</v>
      </c>
      <c r="K14" s="4300">
        <v>2.2679999999999998</v>
      </c>
      <c r="L14" s="4301">
        <v>1.9430000000000001</v>
      </c>
      <c r="M14" s="4303">
        <f>+('Maj Production Summ'!M17/3551)/('B-FCE'!I46+'B-FCE'!K46)</f>
        <v>1.9283622413970996</v>
      </c>
      <c r="N14" s="4303">
        <f>+('Maj Production Summ'!N17/3551)/('B-FCE'!J46+'B-FCE'!L46)</f>
        <v>1.7840771651940746</v>
      </c>
      <c r="O14" s="4300">
        <v>2.2683751056040551</v>
      </c>
      <c r="P14" s="4301">
        <v>1.8779999999999999</v>
      </c>
      <c r="Q14" s="4302">
        <f>+('Maj Production Summ'!Q17/3551)/('B-FCE'!M46+'B-FCE'!O46)</f>
        <v>2.0324135584063052</v>
      </c>
      <c r="R14" s="4302">
        <f>+('Maj Production Summ'!R17/3551)/('B-FCE'!N46+'B-FCE'!P46)</f>
        <v>1.8133414144298954</v>
      </c>
      <c r="S14" s="4300">
        <v>2.2683751056040551</v>
      </c>
      <c r="T14" s="4301">
        <v>2.0579999999999998</v>
      </c>
      <c r="U14" s="4302">
        <f>+('Maj Production Summ'!U17/3551)/('B-FCE'!Q46+'B-FCE'!S46)</f>
        <v>2.0877031106557449</v>
      </c>
      <c r="V14" s="4302">
        <f>+('Maj Production Summ'!V17/3551)/('B-FCE'!R46+'B-FCE'!T46)</f>
        <v>1.8716200401382324</v>
      </c>
      <c r="W14" s="4300">
        <v>2.2810475922275417</v>
      </c>
      <c r="X14" s="4301">
        <v>2.0619999999999998</v>
      </c>
      <c r="Y14" s="4303">
        <f>+('Maj Production Summ'!Y17/3551)/('B-FCE'!O46+'B-FCE'!S46+'B-FCE'!W46)</f>
        <v>2.2725059161608825</v>
      </c>
      <c r="Z14" s="4303">
        <f>+('Maj Production Summ'!Z17/3551)/('B-FCE'!P46+'B-FCE'!T46+'B-FCE'!X46)</f>
        <v>1.9987512692271994</v>
      </c>
      <c r="AA14" s="4304">
        <f>+('Maj Production Summ'!AA17/3551)/('B-FCE'!M46+'B-FCE'!Y46)</f>
        <v>2.1234255404125526</v>
      </c>
      <c r="AB14" s="4304">
        <f>+('Maj Production Summ'!AB17/3551)/('B-FCE'!N46+'B-FCE'!Z46)</f>
        <v>1.9072212651661153</v>
      </c>
      <c r="AC14" s="4300">
        <v>2.2810475922275417</v>
      </c>
      <c r="AD14" s="4301">
        <v>2.113</v>
      </c>
      <c r="AE14" s="4302">
        <f>+('Maj Production Summ'!AE17/3551)/('B-FCE'!AA46+'B-FCE'!AC46)</f>
        <v>2.1487059229633863</v>
      </c>
      <c r="AF14" s="4302">
        <f>+('Maj Production Summ'!AF17/3551)/('B-FCE'!AB46+'B-FCE'!AD46)</f>
        <v>1.9414190875279593</v>
      </c>
      <c r="AG14" s="4300">
        <v>2.2810475922275417</v>
      </c>
      <c r="AH14" s="4301">
        <v>1.9430000000000001</v>
      </c>
      <c r="AI14" s="4302">
        <f>+('Maj Production Summ'!AI17/3551)/('B-FCE'!AE46+'B-FCE'!AG46)</f>
        <v>2.1664787093145264</v>
      </c>
      <c r="AJ14" s="4305">
        <f>+('Maj Production Summ'!AJ17/3551)/('B-FCE'!AF46+'B-FCE'!AH46)</f>
        <v>1.9416381019308571</v>
      </c>
      <c r="AK14" s="4306">
        <v>2.2810475922275417</v>
      </c>
      <c r="AL14" s="4307">
        <v>2.1091596779104935</v>
      </c>
      <c r="AM14" s="4308">
        <f>+('Maj Production Summ'!AM17/3551)/('B-FCE'!AC46+'B-FCE'!AG46+'B-FCE'!AK46)</f>
        <v>2.2810475922275422</v>
      </c>
      <c r="AN14" s="4309">
        <f>+('Maj Production Summ'!AN17/3551)/('B-FCE'!AD46+'B-FCE'!AH46+'B-FCE'!AL46)</f>
        <v>2.0561257089256699</v>
      </c>
      <c r="AO14" s="4310">
        <f>+('Maj Production Summ'!AO17/3551)/('B-FCE'!AK46+'B-FCE'!AI46)</f>
        <v>2.1804468307885272</v>
      </c>
      <c r="AP14" s="4311">
        <f>+('Maj Production Summ'!AP17/3551)/('B-FCE'!AL46+'B-FCE'!AJ46)</f>
        <v>1.9624655460631397</v>
      </c>
      <c r="AQ14" s="4312">
        <v>2.2810475922275417</v>
      </c>
      <c r="AR14" s="4313">
        <v>2.1693866939371018</v>
      </c>
      <c r="AS14" s="4311">
        <f>+('Maj Production Summ'!AS17/3551)/('B-FCE'!AO46+'B-FCE'!AQ46)</f>
        <v>2.1913791196096217</v>
      </c>
      <c r="AT14" s="4311">
        <f>+('Maj Production Summ'!AT17/3551)/('B-FCE'!AP46+'B-FCE'!AR46)</f>
        <v>1.9851948851685839</v>
      </c>
      <c r="AU14" s="4312">
        <v>2.2808389105922653</v>
      </c>
      <c r="AV14" s="4313">
        <v>2.1848276292107922</v>
      </c>
      <c r="AW14" s="4311">
        <f>+('Maj Production Summ'!AW17/3551)/('B-FCE'!AS46+'B-FCE'!AU46)</f>
        <v>2.1992378409065818</v>
      </c>
      <c r="AX14" s="4311">
        <f>+('Maj Production Summ'!AX17/3551)/('B-FCE'!AT46+'B-FCE'!AV46)</f>
        <v>2.0029338458482204</v>
      </c>
      <c r="AY14" s="4312">
        <v>2.2810475922275417</v>
      </c>
      <c r="AZ14" s="4313">
        <v>2.181</v>
      </c>
      <c r="BA14" s="4308">
        <f>+('Maj Production Summ'!BA17/3551)/('B-FCE'!AQ46+'B-FCE'!AU46+'B-FCE'!AY46)</f>
        <v>2.2809835156104623</v>
      </c>
      <c r="BB14" s="4308">
        <f>+('Maj Production Summ'!BB17/3551)/('B-FCE'!AR46+'B-FCE'!AV46+'B-FCE'!AZ46)</f>
        <v>2.1781614412197001</v>
      </c>
      <c r="BC14" s="4304">
        <f>+('Maj Production Summ'!BC17/3551)/('B-FCE'!AM46+'B-FCE'!BA46)</f>
        <v>2.2810159971757211</v>
      </c>
      <c r="BD14" s="4304">
        <f>+('Maj Production Summ'!BD17/3551)/('B-FCE'!AN46+'B-FCE'!BB46)</f>
        <v>2.1159809658027364</v>
      </c>
      <c r="BE14" s="4311">
        <f>+('Maj Production Summ'!BE17/3551)/('B-FCE'!AW46+'B-FCE'!AY46)</f>
        <v>2.2066158005423167</v>
      </c>
      <c r="BF14" s="4311">
        <f>+('Maj Production Summ'!BF17/3551)/('B-FCE'!AX46+'B-FCE'!AZ46)</f>
        <v>2.0192262714625757</v>
      </c>
      <c r="BG14" s="4314">
        <v>2.0565754006373806</v>
      </c>
      <c r="BH14" s="4315">
        <v>1.7450412546954082</v>
      </c>
      <c r="BI14" s="4314">
        <v>2.1585498861864605</v>
      </c>
      <c r="BJ14" s="4315">
        <v>2.0057992136444116</v>
      </c>
      <c r="BK14" s="4155">
        <v>1.7419241961288634</v>
      </c>
      <c r="BM14" s="1548"/>
      <c r="BN14" s="1548"/>
      <c r="BO14" s="1548"/>
    </row>
    <row r="15" spans="1:67" x14ac:dyDescent="0.25">
      <c r="B15" s="27" t="s">
        <v>402</v>
      </c>
      <c r="C15" s="2386" t="s">
        <v>405</v>
      </c>
      <c r="D15" s="4282">
        <v>908</v>
      </c>
      <c r="E15" s="4205">
        <v>982</v>
      </c>
      <c r="F15" s="4207">
        <f>+'Coal to Hot Metal'!F19</f>
        <v>948.46405595735609</v>
      </c>
      <c r="G15" s="4205">
        <f>+'Coal to Hot Metal'!G19</f>
        <v>1051.5031216562909</v>
      </c>
      <c r="H15" s="4207">
        <f>+'Coal to Hot Metal'!H19</f>
        <v>1024.9108226631874</v>
      </c>
      <c r="I15" s="4287">
        <f>+'Coal to Hot Metal'!I19</f>
        <v>1021.6231030316935</v>
      </c>
      <c r="J15" s="4287">
        <f>+'Coal to Hot Metal'!J19</f>
        <v>985.55052941563929</v>
      </c>
      <c r="K15" s="4205">
        <v>906.6340969439907</v>
      </c>
      <c r="L15" s="4207">
        <f>+'Coal to Hot Metal'!L19</f>
        <v>983.61627997837002</v>
      </c>
      <c r="M15" s="4288">
        <f>+((I15*'Maj Production Summ'!I$17)+('Maj Production Summ'!K$17*K15))/('Maj Production Summ'!M$17)</f>
        <v>963.93157919611508</v>
      </c>
      <c r="N15" s="4288">
        <f>+'Coal to Hot Metal'!N19</f>
        <v>982.08184326348726</v>
      </c>
      <c r="O15" s="4205">
        <v>921.47599466356405</v>
      </c>
      <c r="P15" s="4207">
        <f>+'Coal to Hot Metal'!P19</f>
        <v>976.41610518004916</v>
      </c>
      <c r="Q15" s="4287">
        <f>+((M15*'Maj Production Summ'!M$17)+('Maj Production Summ'!O$17*O15))/('Maj Production Summ'!Q$17)</f>
        <v>949.430849850041</v>
      </c>
      <c r="R15" s="4287">
        <f>+'Coal to Hot Metal'!R19</f>
        <v>979.1856004970964</v>
      </c>
      <c r="S15" s="4205">
        <v>921.47599466356405</v>
      </c>
      <c r="T15" s="4207">
        <f>+'Coal to Hot Metal'!T19</f>
        <v>935.25446114607621</v>
      </c>
      <c r="U15" s="4287">
        <f>+((Q15*'Maj Production Summ'!Q$17)+('Maj Production Summ'!S$17*S15))/('Maj Production Summ'!U$17)</f>
        <v>942.31371460439209</v>
      </c>
      <c r="V15" s="4287">
        <f>+'Coal to Hot Metal'!V19</f>
        <v>966.78308113444677</v>
      </c>
      <c r="W15" s="4205">
        <v>917.94419003692371</v>
      </c>
      <c r="X15" s="4207">
        <f>+'Coal to Hot Metal'!X19</f>
        <v>894.5616789893719</v>
      </c>
      <c r="Y15" s="4288">
        <f>+((O15*'Maj Production Summ'!O$17)+(S15*'Maj Production Summ'!S17)+('Maj Production Summ'!W$17*W15))/('Maj Production Summ'!Y$17)</f>
        <v>920.3204162195774</v>
      </c>
      <c r="Z15" s="4288">
        <f>+'Coal to Hot Metal'!Z19</f>
        <v>934.78552205709184</v>
      </c>
      <c r="AA15" s="4289">
        <f>+((M15*'Maj Production Summ'!M$17)+('Maj Production Summ'!Y$17*Y15))/('Maj Production Summ'!AA$17)</f>
        <v>937.4769653175606</v>
      </c>
      <c r="AB15" s="4289">
        <f>+'Coal to Hot Metal'!AB19</f>
        <v>951.8665051824313</v>
      </c>
      <c r="AC15" s="4205">
        <v>895.63343671376776</v>
      </c>
      <c r="AD15" s="4207">
        <f>+'Coal to Hot Metal'!AD19</f>
        <v>929.88523552909919</v>
      </c>
      <c r="AE15" s="4287">
        <f>+((AA15*'Maj Production Summ'!AA$17)+('Maj Production Summ'!AC$17*AC15))/('Maj Production Summ'!AE$17)</f>
        <v>930.35249910127959</v>
      </c>
      <c r="AF15" s="4287">
        <f>+'Coal to Hot Metal'!AF19</f>
        <v>947.29291978625088</v>
      </c>
      <c r="AG15" s="4205">
        <v>895.74367850207182</v>
      </c>
      <c r="AH15" s="4207">
        <f>+'Coal to Hot Metal'!AH19</f>
        <v>957.83017609203</v>
      </c>
      <c r="AI15" s="4287">
        <f>+((AE15*'Maj Production Summ'!AE$17)+('Maj Production Summ'!AG$17*AG15))/('Maj Production Summ'!AI$17)</f>
        <v>925.45893104265178</v>
      </c>
      <c r="AJ15" s="4290">
        <f>+'Coal to Hot Metal'!AJ19</f>
        <v>948.50499102939625</v>
      </c>
      <c r="AK15" s="3490">
        <v>892.00955863823674</v>
      </c>
      <c r="AL15" s="629">
        <f>+'Coal to Hot Metal'!AL19</f>
        <v>928.91573633522341</v>
      </c>
      <c r="AM15" s="4291">
        <f>+((AC15*'Maj Production Summ'!AC$17)+(AG15*'Maj Production Summ'!AG17)+('Maj Production Summ'!AK$17*AK15))/('Maj Production Summ'!AM$17)</f>
        <v>894.44806490659937</v>
      </c>
      <c r="AN15" s="194">
        <f>+'Coal to Hot Metal'!AN19</f>
        <v>938.17486577746331</v>
      </c>
      <c r="AO15" s="4292">
        <f>+((AK15*'Maj Production Summ'!AK$17)+(AI15*'Maj Production Summ'!AI$17))/('Maj Production Summ'!AO$17)</f>
        <v>921.19266294228578</v>
      </c>
      <c r="AP15" s="4293">
        <f>+'Coal to Hot Metal'!AP19</f>
        <v>945.71878382737304</v>
      </c>
      <c r="AQ15" s="151">
        <v>873.43292517891575</v>
      </c>
      <c r="AR15" s="629">
        <f>+'Coal to Hot Metal'!AR19</f>
        <v>904.16594384810003</v>
      </c>
      <c r="AS15" s="4293">
        <f>+((AO15*'Maj Production Summ'!AO$17)+('Maj Production Summ'!AQ$17*AQ15))/('Maj Production Summ'!AS$17)</f>
        <v>915.79023988981544</v>
      </c>
      <c r="AT15" s="4293">
        <f>+'Coal to Hot Metal'!AT19</f>
        <v>940.644595050725</v>
      </c>
      <c r="AU15" s="151">
        <v>873.85075632547421</v>
      </c>
      <c r="AV15" s="629">
        <f>+'Coal to Hot Metal'!AV19</f>
        <v>906.1439220404236</v>
      </c>
      <c r="AW15" s="4293">
        <f>+((AS15*'Maj Production Summ'!AS$17)+('Maj Production Summ'!AU$17*AU15))/('Maj Production Summ'!AW$17)</f>
        <v>911.96930620585772</v>
      </c>
      <c r="AX15" s="4293">
        <f>+'Coal to Hot Metal'!AX19</f>
        <v>937.25379626302151</v>
      </c>
      <c r="AY15" s="151">
        <v>873.43292517891575</v>
      </c>
      <c r="AZ15" s="629">
        <f>+'Coal to Hot Metal'!AZ19</f>
        <v>916.99896980659673</v>
      </c>
      <c r="BA15" s="4291">
        <f>+((AQ15*'Maj Production Summ'!AQ$17)+(AU15*'Maj Production Summ'!AU17)+('Maj Production Summ'!AY$17*AY15))/('Maj Production Summ'!BA$17)</f>
        <v>873.56121394296929</v>
      </c>
      <c r="BB15" s="4291">
        <f>+'Coal to Hot Metal'!BB19</f>
        <v>909.25395464447149</v>
      </c>
      <c r="BC15" s="4289">
        <f>+((AM15*'Maj Production Summ'!AM$17)+('Maj Production Summ'!BA$17*BA15))/('Maj Production Summ'!BC$17)</f>
        <v>884.1492730634501</v>
      </c>
      <c r="BD15" s="4289">
        <f>+'Coal to Hot Metal'!BD19</f>
        <v>923.55845361141837</v>
      </c>
      <c r="BE15" s="4293">
        <f>+((AW15*'Maj Production Summ'!AW$17)+('Maj Production Summ'!AY$17*AY15))/('Maj Production Summ'!BE$17)</f>
        <v>908.37669886703623</v>
      </c>
      <c r="BF15" s="4293">
        <f>+'Coal to Hot Metal'!BF19</f>
        <v>935.21205199417307</v>
      </c>
      <c r="BG15" s="4154">
        <v>907.5085368428455</v>
      </c>
      <c r="BH15" s="3366">
        <v>991.44637124749988</v>
      </c>
      <c r="BI15" s="4154">
        <v>886.42711546488033</v>
      </c>
      <c r="BJ15" s="3366">
        <v>931.68362998699263</v>
      </c>
      <c r="BK15" s="3371">
        <v>905.60969999999998</v>
      </c>
      <c r="BM15" s="1548"/>
      <c r="BN15" s="1548"/>
      <c r="BO15" s="1548"/>
    </row>
    <row r="16" spans="1:67" x14ac:dyDescent="0.25">
      <c r="B16" s="26" t="s">
        <v>406</v>
      </c>
      <c r="C16" s="3620" t="s">
        <v>302</v>
      </c>
      <c r="D16" s="4109">
        <v>1065</v>
      </c>
      <c r="E16" s="4111">
        <v>1065</v>
      </c>
      <c r="F16" s="4111">
        <f>+(F43/'Maj Production Summ'!F18)*1000</f>
        <v>1061.7091310869539</v>
      </c>
      <c r="G16" s="4111">
        <v>1065</v>
      </c>
      <c r="H16" s="4111">
        <f>+(H43/'Maj Production Summ'!H18)*1000</f>
        <v>1049.636168137831</v>
      </c>
      <c r="I16" s="950">
        <v>1065</v>
      </c>
      <c r="J16" s="950">
        <f>+(J43/'Maj Production Summ'!J18)*1000</f>
        <v>1056.3398341936049</v>
      </c>
      <c r="K16" s="4111">
        <v>1065</v>
      </c>
      <c r="L16" s="4111">
        <f>+(L43/'Maj Production Summ'!L18)*1000</f>
        <v>1055.0811206794976</v>
      </c>
      <c r="M16" s="952">
        <f>+(M43/'Maj Production Summ'!M18)*1000</f>
        <v>1064.9983432055708</v>
      </c>
      <c r="N16" s="952">
        <f>+(N43/'Maj Production Summ'!N18)*1000</f>
        <v>1055.684698651924</v>
      </c>
      <c r="O16" s="4111">
        <v>1065</v>
      </c>
      <c r="P16" s="4111">
        <f>+(P43/'Maj Production Summ'!P18)*1000</f>
        <v>1059.4345189051844</v>
      </c>
      <c r="Q16" s="950">
        <f>+(Q43/'Maj Production Summ'!Q18)*1000</f>
        <v>1064.9989353119224</v>
      </c>
      <c r="R16" s="950">
        <f>+(R43/'Maj Production Summ'!R18)*1000</f>
        <v>1056.937306555981</v>
      </c>
      <c r="S16" s="4111">
        <v>1065</v>
      </c>
      <c r="T16" s="4111">
        <f>+(T43/'Maj Production Summ'!T18)*1000</f>
        <v>1068.4898638722946</v>
      </c>
      <c r="U16" s="950">
        <f>+(U43/'Maj Production Summ'!U18)*1000</f>
        <v>1064.9992157990891</v>
      </c>
      <c r="V16" s="950">
        <f>+(V43/'Maj Production Summ'!V18)*1000</f>
        <v>1060.0117178440762</v>
      </c>
      <c r="W16" s="4111">
        <v>1065</v>
      </c>
      <c r="X16" s="4111">
        <f>+(X43/'Maj Production Summ'!X18)*1000</f>
        <v>1065.903993952375</v>
      </c>
      <c r="Y16" s="952">
        <f>+(Y43/'Maj Production Summ'!Y18)*1000</f>
        <v>1065</v>
      </c>
      <c r="Z16" s="952">
        <f>+(Z43/'Maj Production Summ'!Z18)*1000</f>
        <v>1064.7377650786773</v>
      </c>
      <c r="AA16" s="1434">
        <f>+(AA43/'Maj Production Summ'!AA18)*1000</f>
        <v>1064.999375742422</v>
      </c>
      <c r="AB16" s="1434">
        <f>+(AB43/'Maj Production Summ'!AB18)*1000</f>
        <v>1061.2222794096699</v>
      </c>
      <c r="AC16" s="4111">
        <v>1065</v>
      </c>
      <c r="AD16" s="4111">
        <f>+(AD43/'Maj Production Summ'!AD18)*1000</f>
        <v>1072.5156161272005</v>
      </c>
      <c r="AE16" s="950">
        <f>+(AE43/'Maj Production Summ'!AE18)*1000</f>
        <v>1064.9994844631146</v>
      </c>
      <c r="AF16" s="950">
        <f>+(AF43/'Maj Production Summ'!AF18)*1000</f>
        <v>1063.2496713378041</v>
      </c>
      <c r="AG16" s="4111">
        <v>1065</v>
      </c>
      <c r="AH16" s="4111">
        <f>+(AH43/'Maj Production Summ'!AH18)*1000</f>
        <v>1057.6207319640025</v>
      </c>
      <c r="AI16" s="950">
        <f>+(AI43/'Maj Production Summ'!AI18)*1000</f>
        <v>1064.999558780353</v>
      </c>
      <c r="AJ16" s="3662">
        <f>+(AJ43/'Maj Production Summ'!AJ18)*1000</f>
        <v>1062.4504524825463</v>
      </c>
      <c r="AK16" s="3501">
        <v>1065</v>
      </c>
      <c r="AL16" s="40">
        <f>+(AL43/'Maj Production Summ'!AL18)*1000</f>
        <v>1056.6639437698736</v>
      </c>
      <c r="AM16" s="1501">
        <f>+(AM43/'Maj Production Summ'!AM18)*1000</f>
        <v>1065.000699077382</v>
      </c>
      <c r="AN16" s="3659">
        <f>+(AN43/'Maj Production Summ'!AN18)*1000</f>
        <v>1062.3418412567919</v>
      </c>
      <c r="AO16" s="2489">
        <f>+(AO43/'Maj Production Summ'!AO18)*1000</f>
        <v>1064.9998850847087</v>
      </c>
      <c r="AP16" s="1592">
        <f>+(AP43/'Maj Production Summ'!AP18)*1000</f>
        <v>1061.6611893972395</v>
      </c>
      <c r="AQ16" s="4111">
        <v>1065</v>
      </c>
      <c r="AR16" s="4111">
        <f>+(AR43/'Maj Production Summ'!AR18)*1000</f>
        <v>1060.8699182957143</v>
      </c>
      <c r="AS16" s="1592">
        <f>+(AS43/'Maj Production Summ'!AS18)*1000</f>
        <v>1064.9998982797458</v>
      </c>
      <c r="AT16" s="1592">
        <f>+(AT43/'Maj Production Summ'!AT18)*1000</f>
        <v>1061.5643039199474</v>
      </c>
      <c r="AU16" s="4111">
        <v>1065</v>
      </c>
      <c r="AV16" s="4111">
        <f>+(AV43/'Maj Production Summ'!AV18)*1000</f>
        <v>1064.3522267206479</v>
      </c>
      <c r="AW16" s="1592">
        <f>+(AW43/'Maj Production Summ'!AW18)*1000</f>
        <v>1064.9999076713518</v>
      </c>
      <c r="AX16" s="1592">
        <f>+(AX43/'Maj Production Summ'!AX18)*1000</f>
        <v>1061.838672834376</v>
      </c>
      <c r="AY16" s="4428">
        <v>1065</v>
      </c>
      <c r="AZ16" s="4428">
        <f>+(AZ43/'Maj Production Summ'!AZ18)*1000</f>
        <v>1064.0561792645788</v>
      </c>
      <c r="BA16" s="1501">
        <f>+(BA43/'Maj Production Summ'!BA18)*1000</f>
        <v>1065.0000000000002</v>
      </c>
      <c r="BB16" s="3659">
        <f>+(BB43/'Maj Production Summ'!BB18)*1000</f>
        <v>1063.0429103514516</v>
      </c>
      <c r="BC16" s="1434">
        <f>+(BC43/'Maj Production Summ'!BC18)*1000</f>
        <v>1065.0003543915072</v>
      </c>
      <c r="BD16" s="1434">
        <f>+(BD43/'Maj Production Summ'!BD18)*1000</f>
        <v>1062.6969506083333</v>
      </c>
      <c r="BE16" s="1592">
        <f>+(BE43/'Maj Production Summ'!BE18)*1000</f>
        <v>1064.9999163858361</v>
      </c>
      <c r="BF16" s="1592">
        <f>+(BF43/'Maj Production Summ'!BF18)*1000</f>
        <v>1062.0576596902831</v>
      </c>
      <c r="BG16" s="3371">
        <v>1077.0434194075694</v>
      </c>
      <c r="BH16" s="4156">
        <v>1071.1760588881978</v>
      </c>
      <c r="BI16" s="3371">
        <v>1065</v>
      </c>
      <c r="BJ16" s="4156">
        <v>1093.6626453647993</v>
      </c>
      <c r="BK16" s="3371">
        <v>1078.3300007201833</v>
      </c>
      <c r="BM16" s="1548"/>
      <c r="BN16" s="1548"/>
      <c r="BO16" s="1548"/>
    </row>
    <row r="17" spans="1:67" ht="15.75" thickBot="1" x14ac:dyDescent="0.3">
      <c r="B17" s="4277" t="s">
        <v>407</v>
      </c>
      <c r="C17" s="373" t="s">
        <v>302</v>
      </c>
      <c r="D17" s="1444">
        <v>50</v>
      </c>
      <c r="E17" s="4204">
        <v>50</v>
      </c>
      <c r="F17" s="4204">
        <f>+(F44/'Maj Production Summ'!F18)*1000</f>
        <v>47.439890245245799</v>
      </c>
      <c r="G17" s="4204">
        <v>50</v>
      </c>
      <c r="H17" s="4204">
        <f>+(H44/'Maj Production Summ'!H18)*1000</f>
        <v>57.115350953964651</v>
      </c>
      <c r="I17" s="1445">
        <v>50</v>
      </c>
      <c r="J17" s="1445">
        <f>+(J44/'Maj Production Summ'!J18)*1000</f>
        <v>51.7429284757091</v>
      </c>
      <c r="K17" s="4204">
        <v>50</v>
      </c>
      <c r="L17" s="4204">
        <f>+(L44/'Maj Production Summ'!L18)*1000</f>
        <v>52.43259581051521</v>
      </c>
      <c r="M17" s="1447">
        <f>+(M44/'Maj Production Summ'!M18)*1000</f>
        <v>50</v>
      </c>
      <c r="N17" s="1447">
        <f>+(N44/'Maj Production Summ'!N18)*1000</f>
        <v>52.101886711959132</v>
      </c>
      <c r="O17" s="4204">
        <v>50</v>
      </c>
      <c r="P17" s="4204">
        <f>+(P44/'Maj Production Summ'!P18)*1000</f>
        <v>45.991186617266365</v>
      </c>
      <c r="Q17" s="1445">
        <f>+(Q44/'Maj Production Summ'!Q18)*1000</f>
        <v>50</v>
      </c>
      <c r="R17" s="1445">
        <f>+(R44/'Maj Production Summ'!R18)*1000</f>
        <v>50.060639206487593</v>
      </c>
      <c r="S17" s="4204">
        <v>50</v>
      </c>
      <c r="T17" s="4204">
        <f>+(T44/'Maj Production Summ'!T18)*1000</f>
        <v>43.502105572421904</v>
      </c>
      <c r="U17" s="1445">
        <f>+(U44/'Maj Production Summ'!U18)*1000</f>
        <v>50</v>
      </c>
      <c r="V17" s="1445">
        <f>+(V44/'Maj Production Summ'!V18)*1000</f>
        <v>48.31525683911768</v>
      </c>
      <c r="W17" s="4204">
        <v>50</v>
      </c>
      <c r="X17" s="4204">
        <f>+(X44/'Maj Production Summ'!X18)*1000</f>
        <v>41.678215950611062</v>
      </c>
      <c r="Y17" s="1447">
        <f>+(Y44/'Maj Production Summ'!Y18)*1000</f>
        <v>50</v>
      </c>
      <c r="Z17" s="1447">
        <f>+(Z44/'Maj Production Summ'!Z18)*1000</f>
        <v>43.682122254421365</v>
      </c>
      <c r="AA17" s="1450">
        <f>+(AA44/'Maj Production Summ'!AA18)*1000</f>
        <v>49.999999999999993</v>
      </c>
      <c r="AB17" s="1450">
        <f>+(AB44/'Maj Production Summ'!AB18)*1000</f>
        <v>46.951684178701441</v>
      </c>
      <c r="AC17" s="4204">
        <v>50</v>
      </c>
      <c r="AD17" s="4204">
        <f>+(AD44/'Maj Production Summ'!AD18)*1000</f>
        <v>34.653605905735382</v>
      </c>
      <c r="AE17" s="1445">
        <f>+(AE44/'Maj Production Summ'!AE18)*1000</f>
        <v>49.999999999999993</v>
      </c>
      <c r="AF17" s="1445">
        <f>+(AF44/'Maj Production Summ'!AF18)*1000</f>
        <v>44.743919968193879</v>
      </c>
      <c r="AG17" s="4204">
        <v>50</v>
      </c>
      <c r="AH17" s="4204">
        <f>+(AH44/'Maj Production Summ'!AH18)*1000</f>
        <v>50.094716901704899</v>
      </c>
      <c r="AI17" s="1445">
        <f>+(AI44/'Maj Production Summ'!AI18)*1000</f>
        <v>49.999999999999993</v>
      </c>
      <c r="AJ17" s="4316">
        <f>+(AJ44/'Maj Production Summ'!AJ18)*1000</f>
        <v>45.503647070571745</v>
      </c>
      <c r="AK17" s="2023">
        <v>50</v>
      </c>
      <c r="AL17" s="297">
        <f>+(AL44/'Maj Production Summ'!AL18)*1000</f>
        <v>51.218150183910915</v>
      </c>
      <c r="AM17" s="4192">
        <f>+(AM44/'Maj Production Summ'!AM18)*1000</f>
        <v>49.999999999999993</v>
      </c>
      <c r="AN17" s="4317">
        <f>+(AN44/'Maj Production Summ'!AN18)*1000</f>
        <v>45.246245937648524</v>
      </c>
      <c r="AO17" s="4318">
        <f>+(AO44/'Maj Production Summ'!AO18)*1000</f>
        <v>49.999999999999993</v>
      </c>
      <c r="AP17" s="4193">
        <f>+(AP44/'Maj Production Summ'!AP18)*1000</f>
        <v>46.28308879997784</v>
      </c>
      <c r="AQ17" s="4204">
        <v>50</v>
      </c>
      <c r="AR17" s="4204">
        <f>+(AR44/'Maj Production Summ'!AR18)*1000</f>
        <v>46.733949010390113</v>
      </c>
      <c r="AS17" s="4193">
        <f>+(AS44/'Maj Production Summ'!AS18)*1000</f>
        <v>49.999999999999993</v>
      </c>
      <c r="AT17" s="4193">
        <f>+(AT44/'Maj Production Summ'!AT18)*1000</f>
        <v>46.33829340253898</v>
      </c>
      <c r="AU17" s="4204">
        <v>50</v>
      </c>
      <c r="AV17" s="4204">
        <f>+(AV44/'Maj Production Summ'!AV18)*1000</f>
        <v>42.540485829959515</v>
      </c>
      <c r="AW17" s="4193">
        <f>+(AW44/'Maj Production Summ'!AW18)*1000</f>
        <v>49.999999999999993</v>
      </c>
      <c r="AX17" s="4193">
        <f>+(AX44/'Maj Production Summ'!AX18)*1000</f>
        <v>45.964538311244283</v>
      </c>
      <c r="AY17" s="4439">
        <v>50</v>
      </c>
      <c r="AZ17" s="4439">
        <f>+(AZ44/'Maj Production Summ'!AZ18)*1000</f>
        <v>42.386891504931597</v>
      </c>
      <c r="BA17" s="4435">
        <f>+(BA44/'Maj Production Summ'!BA18)*1000</f>
        <v>49.999999999999993</v>
      </c>
      <c r="BB17" s="4317">
        <f>+(BB44/'Maj Production Summ'!BB18)*1000</f>
        <v>43.941632786505714</v>
      </c>
      <c r="BC17" s="1450">
        <f>+(BC44/'Maj Production Summ'!BC18)*1000</f>
        <v>49.999999999999986</v>
      </c>
      <c r="BD17" s="1450">
        <f>+(BD44/'Maj Production Summ'!BD18)*1000</f>
        <v>44.585426150207397</v>
      </c>
      <c r="BE17" s="4434">
        <f>+(BE44/'Maj Production Summ'!BE18)*1000</f>
        <v>49.999999999999993</v>
      </c>
      <c r="BF17" s="4434">
        <f>+(BF44/'Maj Production Summ'!BF18)*1000</f>
        <v>45.611232627441403</v>
      </c>
      <c r="BG17" s="3363">
        <v>40.465027848474861</v>
      </c>
      <c r="BH17" s="4319">
        <v>41.122433127480129</v>
      </c>
      <c r="BI17" s="3363">
        <v>50</v>
      </c>
      <c r="BJ17" s="4319">
        <v>25.53216575879436</v>
      </c>
      <c r="BK17" s="3371">
        <v>41.130412495604766</v>
      </c>
      <c r="BM17" s="1548"/>
      <c r="BN17" s="1548"/>
      <c r="BO17" s="1548"/>
    </row>
    <row r="18" spans="1:67" ht="16.5" thickBot="1" x14ac:dyDescent="0.3">
      <c r="B18" s="4320" t="s">
        <v>319</v>
      </c>
      <c r="C18" s="4214" t="s">
        <v>302</v>
      </c>
      <c r="D18" s="480">
        <v>1115</v>
      </c>
      <c r="E18" s="480">
        <f t="shared" ref="E18:F18" si="13">SUM(E16:E17)</f>
        <v>1115</v>
      </c>
      <c r="F18" s="480">
        <f t="shared" si="13"/>
        <v>1109.1490213321997</v>
      </c>
      <c r="G18" s="480">
        <f t="shared" ref="G18:H18" si="14">SUM(G16:G17)</f>
        <v>1115</v>
      </c>
      <c r="H18" s="480">
        <f t="shared" si="14"/>
        <v>1106.7515190917957</v>
      </c>
      <c r="I18" s="4294">
        <f t="shared" ref="I18:L18" si="15">SUM(I16:I17)</f>
        <v>1115</v>
      </c>
      <c r="J18" s="4294">
        <f t="shared" si="15"/>
        <v>1108.082762669314</v>
      </c>
      <c r="K18" s="480">
        <f t="shared" si="15"/>
        <v>1115</v>
      </c>
      <c r="L18" s="480">
        <f t="shared" si="15"/>
        <v>1107.5137164900129</v>
      </c>
      <c r="M18" s="4295">
        <f t="shared" ref="M18:P18" si="16">SUM(M16:M17)</f>
        <v>1114.9983432055708</v>
      </c>
      <c r="N18" s="4295">
        <f t="shared" si="16"/>
        <v>1107.7865853638832</v>
      </c>
      <c r="O18" s="480">
        <f t="shared" si="16"/>
        <v>1115</v>
      </c>
      <c r="P18" s="480">
        <f t="shared" si="16"/>
        <v>1105.4257055224507</v>
      </c>
      <c r="Q18" s="4294">
        <f t="shared" ref="Q18:T18" si="17">SUM(Q16:Q17)</f>
        <v>1114.9989353119224</v>
      </c>
      <c r="R18" s="4294">
        <f t="shared" si="17"/>
        <v>1106.9979457624686</v>
      </c>
      <c r="S18" s="480">
        <f t="shared" si="17"/>
        <v>1115</v>
      </c>
      <c r="T18" s="480">
        <f t="shared" si="17"/>
        <v>1111.9919694447165</v>
      </c>
      <c r="U18" s="4294">
        <f t="shared" ref="U18:Z18" si="18">SUM(U16:U17)</f>
        <v>1114.9992157990891</v>
      </c>
      <c r="V18" s="4294">
        <f t="shared" si="18"/>
        <v>1108.3269746831938</v>
      </c>
      <c r="W18" s="480">
        <f t="shared" si="18"/>
        <v>1115</v>
      </c>
      <c r="X18" s="480">
        <f t="shared" si="18"/>
        <v>1107.5822099029861</v>
      </c>
      <c r="Y18" s="4295">
        <f t="shared" si="18"/>
        <v>1115</v>
      </c>
      <c r="Z18" s="4295">
        <f t="shared" si="18"/>
        <v>1108.4198873330986</v>
      </c>
      <c r="AA18" s="4296">
        <f t="shared" ref="AA18:AF18" si="19">SUM(AA16:AA17)</f>
        <v>1114.999375742422</v>
      </c>
      <c r="AB18" s="4296">
        <f t="shared" si="19"/>
        <v>1108.1739635883714</v>
      </c>
      <c r="AC18" s="480">
        <f t="shared" si="19"/>
        <v>1115</v>
      </c>
      <c r="AD18" s="480">
        <f t="shared" si="19"/>
        <v>1107.1692220329357</v>
      </c>
      <c r="AE18" s="4294">
        <f t="shared" si="19"/>
        <v>1114.9994844631146</v>
      </c>
      <c r="AF18" s="4294">
        <f t="shared" si="19"/>
        <v>1107.9935913059981</v>
      </c>
      <c r="AG18" s="480">
        <f t="shared" ref="AG18:AJ18" si="20">SUM(AG16:AG17)</f>
        <v>1115</v>
      </c>
      <c r="AH18" s="480">
        <f t="shared" si="20"/>
        <v>1107.7154488657075</v>
      </c>
      <c r="AI18" s="4294">
        <f t="shared" si="20"/>
        <v>1114.999558780353</v>
      </c>
      <c r="AJ18" s="1889">
        <f t="shared" si="20"/>
        <v>1107.9540995531181</v>
      </c>
      <c r="AK18" s="4297">
        <f t="shared" ref="AK18:AN18" si="21">SUM(AK16:AK17)</f>
        <v>1115</v>
      </c>
      <c r="AL18" s="301">
        <f t="shared" si="21"/>
        <v>1107.8820939537845</v>
      </c>
      <c r="AM18" s="3000">
        <f t="shared" si="21"/>
        <v>1115.000699077382</v>
      </c>
      <c r="AN18" s="4298">
        <f t="shared" si="21"/>
        <v>1107.5880871944405</v>
      </c>
      <c r="AO18" s="2024">
        <f t="shared" ref="AO18" si="22">SUM(AO16:AO17)</f>
        <v>1114.9998850847087</v>
      </c>
      <c r="AP18" s="98">
        <f>SUM(AP16:AP17)</f>
        <v>1107.9442781972173</v>
      </c>
      <c r="AQ18" s="52">
        <f t="shared" ref="AQ18:AS18" si="23">SUM(AQ16:AQ17)</f>
        <v>1115</v>
      </c>
      <c r="AR18" s="247">
        <f t="shared" si="23"/>
        <v>1107.6038673061043</v>
      </c>
      <c r="AS18" s="97">
        <f t="shared" si="23"/>
        <v>1114.9998982797458</v>
      </c>
      <c r="AT18" s="98">
        <f>SUM(AT16:AT17)</f>
        <v>1107.9025973224864</v>
      </c>
      <c r="AU18" s="52">
        <f t="shared" ref="AU18:AX18" si="24">SUM(AU16:AU17)</f>
        <v>1115</v>
      </c>
      <c r="AV18" s="247">
        <f t="shared" si="24"/>
        <v>1106.8927125506075</v>
      </c>
      <c r="AW18" s="97">
        <f t="shared" si="24"/>
        <v>1114.9999076713518</v>
      </c>
      <c r="AX18" s="98">
        <f t="shared" si="24"/>
        <v>1107.8032111456203</v>
      </c>
      <c r="AY18" s="52">
        <f t="shared" ref="AY18:BF18" si="25">SUM(AY16:AY17)</f>
        <v>1115</v>
      </c>
      <c r="AZ18" s="247">
        <f t="shared" si="25"/>
        <v>1106.4430707695103</v>
      </c>
      <c r="BA18" s="3000">
        <f t="shared" si="25"/>
        <v>1115.0000000000002</v>
      </c>
      <c r="BB18" s="4298">
        <f t="shared" si="25"/>
        <v>1106.9845431379574</v>
      </c>
      <c r="BC18" s="4296">
        <f t="shared" si="25"/>
        <v>1115.0003543915072</v>
      </c>
      <c r="BD18" s="4296">
        <f t="shared" si="25"/>
        <v>1107.2823767585407</v>
      </c>
      <c r="BE18" s="97">
        <f t="shared" si="25"/>
        <v>1114.9999163858361</v>
      </c>
      <c r="BF18" s="98">
        <f t="shared" si="25"/>
        <v>1107.6688923177246</v>
      </c>
      <c r="BG18" s="3364">
        <v>1117.5084472560443</v>
      </c>
      <c r="BH18" s="3379">
        <v>1112.298492015678</v>
      </c>
      <c r="BI18" s="4157">
        <v>1115</v>
      </c>
      <c r="BJ18" s="3379">
        <v>1119.1948111235938</v>
      </c>
      <c r="BK18" s="3364">
        <v>1119.4604132157881</v>
      </c>
    </row>
    <row r="19" spans="1:67" s="334" customFormat="1" ht="16.5" thickBot="1" x14ac:dyDescent="0.3">
      <c r="A19" s="343"/>
      <c r="B19" s="4326" t="s">
        <v>689</v>
      </c>
      <c r="C19" s="4327" t="s">
        <v>302</v>
      </c>
      <c r="D19" s="4328">
        <v>22</v>
      </c>
      <c r="E19" s="4328">
        <f>E53+E54+E55</f>
        <v>21.957789999999999</v>
      </c>
      <c r="F19" s="4328">
        <f>F53+F54+F55</f>
        <v>19.287194944872272</v>
      </c>
      <c r="G19" s="4328">
        <f>G53+G54+G55</f>
        <v>21.957789999999999</v>
      </c>
      <c r="H19" s="4328">
        <f t="shared" ref="H19:N19" si="26">H53+H54+H55</f>
        <v>19.663424270460855</v>
      </c>
      <c r="I19" s="4328">
        <f t="shared" si="26"/>
        <v>21.957790000000003</v>
      </c>
      <c r="J19" s="4328">
        <f t="shared" si="26"/>
        <v>19.454518157705973</v>
      </c>
      <c r="K19" s="4328">
        <f t="shared" si="26"/>
        <v>21.957789999999999</v>
      </c>
      <c r="L19" s="4328">
        <f t="shared" si="26"/>
        <v>19.482282546887085</v>
      </c>
      <c r="M19" s="4328">
        <f t="shared" si="26"/>
        <v>21.957789999999999</v>
      </c>
      <c r="N19" s="4328">
        <f t="shared" si="26"/>
        <v>19.468968974307014</v>
      </c>
      <c r="O19" s="4328">
        <f t="shared" ref="O19:R19" si="27">O53+O54+O55</f>
        <v>21.957789999999999</v>
      </c>
      <c r="P19" s="4328">
        <f t="shared" si="27"/>
        <v>21.459364352046268</v>
      </c>
      <c r="Q19" s="4328">
        <f t="shared" si="27"/>
        <v>21.957789999999996</v>
      </c>
      <c r="R19" s="4328">
        <f t="shared" si="27"/>
        <v>20.133850172328991</v>
      </c>
      <c r="S19" s="4328">
        <f t="shared" ref="S19:V19" si="28">S53+S54+S55</f>
        <v>21.957789999999999</v>
      </c>
      <c r="T19" s="4328">
        <f t="shared" si="28"/>
        <v>19.924591127215749</v>
      </c>
      <c r="U19" s="4328">
        <f t="shared" si="28"/>
        <v>21.957789999999996</v>
      </c>
      <c r="V19" s="4328">
        <f t="shared" si="28"/>
        <v>20.078161344927658</v>
      </c>
      <c r="W19" s="4328">
        <f t="shared" ref="W19:AF19" si="29">W53+W54+W55</f>
        <v>21.957789999999999</v>
      </c>
      <c r="X19" s="4328">
        <f t="shared" si="29"/>
        <v>18.702280458611568</v>
      </c>
      <c r="Y19" s="4328">
        <f t="shared" si="29"/>
        <v>21.957789999999999</v>
      </c>
      <c r="Z19" s="4328">
        <f t="shared" si="29"/>
        <v>20.002776047450102</v>
      </c>
      <c r="AA19" s="4328">
        <f t="shared" si="29"/>
        <v>21.957789999999996</v>
      </c>
      <c r="AB19" s="4328">
        <f t="shared" si="29"/>
        <v>19.795488148832273</v>
      </c>
      <c r="AC19" s="4328">
        <f t="shared" si="29"/>
        <v>21.957789999999999</v>
      </c>
      <c r="AD19" s="4328">
        <f t="shared" si="29"/>
        <v>21.098618209350743</v>
      </c>
      <c r="AE19" s="4328">
        <f t="shared" si="29"/>
        <v>21.957789999999999</v>
      </c>
      <c r="AF19" s="4328">
        <f t="shared" si="29"/>
        <v>20.029427455884303</v>
      </c>
      <c r="AG19" s="4328">
        <f t="shared" ref="AG19:AJ19" si="30">AG53+AG54+AG55</f>
        <v>21.957789999999999</v>
      </c>
      <c r="AH19" s="4328">
        <f t="shared" si="30"/>
        <v>20.206477712009281</v>
      </c>
      <c r="AI19" s="4328">
        <f t="shared" si="30"/>
        <v>21.957789999999999</v>
      </c>
      <c r="AJ19" s="4329">
        <f t="shared" si="30"/>
        <v>20.054565744578962</v>
      </c>
      <c r="AK19" s="4330">
        <f t="shared" ref="AK19:AN19" si="31">AK53+AK54+AK55</f>
        <v>21.957789999999999</v>
      </c>
      <c r="AL19" s="1514">
        <f t="shared" si="31"/>
        <v>21.572726727308812</v>
      </c>
      <c r="AM19" s="4330">
        <f t="shared" si="31"/>
        <v>21.957789999999999</v>
      </c>
      <c r="AN19" s="1514">
        <f t="shared" si="31"/>
        <v>20.984534162288536</v>
      </c>
      <c r="AO19" s="4331">
        <f t="shared" ref="AO19:AP19" si="32">AO53+AO54+AO55</f>
        <v>21.957789999999999</v>
      </c>
      <c r="AP19" s="4332">
        <f t="shared" si="32"/>
        <v>20.261638520361274</v>
      </c>
      <c r="AQ19" s="4332">
        <f t="shared" ref="AQ19:AT19" si="33">AQ53+AQ54+AQ55</f>
        <v>21.957789999999999</v>
      </c>
      <c r="AR19" s="4332">
        <f t="shared" si="33"/>
        <v>23.023825529092772</v>
      </c>
      <c r="AS19" s="4332">
        <f t="shared" si="33"/>
        <v>21.957789999999999</v>
      </c>
      <c r="AT19" s="4332">
        <f t="shared" si="33"/>
        <v>20.599848529794389</v>
      </c>
      <c r="AU19" s="4332">
        <f t="shared" ref="AU19:AX19" si="34">AU53+AU54+AU55</f>
        <v>21.957789999999999</v>
      </c>
      <c r="AV19" s="4332">
        <f t="shared" si="34"/>
        <v>22.232388663967612</v>
      </c>
      <c r="AW19" s="4332">
        <f t="shared" si="34"/>
        <v>21.957789999999996</v>
      </c>
      <c r="AX19" s="4332">
        <f t="shared" si="34"/>
        <v>20.760512327322115</v>
      </c>
      <c r="AY19" s="4332">
        <f t="shared" ref="AY19:BF19" si="35">AY53+AY54+AY55</f>
        <v>21.957789999999999</v>
      </c>
      <c r="AZ19" s="4332">
        <f t="shared" si="35"/>
        <v>22.540793600290897</v>
      </c>
      <c r="BA19" s="4330">
        <f t="shared" si="35"/>
        <v>21.957789999999999</v>
      </c>
      <c r="BB19" s="1514">
        <f t="shared" si="35"/>
        <v>22.612946471170709</v>
      </c>
      <c r="BC19" s="4328">
        <f t="shared" si="35"/>
        <v>21.957789999999996</v>
      </c>
      <c r="BD19" s="4328">
        <f t="shared" si="35"/>
        <v>21.809366469765582</v>
      </c>
      <c r="BE19" s="4332">
        <f t="shared" si="35"/>
        <v>21.957789999999999</v>
      </c>
      <c r="BF19" s="4669">
        <f t="shared" si="35"/>
        <v>20.936321602680948</v>
      </c>
      <c r="BG19" s="4333">
        <v>20.938577554449214</v>
      </c>
      <c r="BH19" s="4334">
        <v>20.212673477197818</v>
      </c>
      <c r="BI19" s="4333">
        <v>21</v>
      </c>
      <c r="BJ19" s="4334">
        <v>21.832464031742681</v>
      </c>
      <c r="BK19" s="4158">
        <v>23.120676252165847</v>
      </c>
    </row>
    <row r="20" spans="1:67" s="4221" customFormat="1" ht="15.75" thickBot="1" x14ac:dyDescent="0.3">
      <c r="B20" s="4339" t="s">
        <v>409</v>
      </c>
      <c r="C20" s="4340"/>
      <c r="D20" s="4340"/>
      <c r="E20" s="4340"/>
      <c r="F20" s="4340"/>
      <c r="G20" s="4340"/>
      <c r="H20" s="4340"/>
      <c r="I20" s="4340"/>
      <c r="J20" s="4340"/>
      <c r="K20" s="4340"/>
      <c r="L20" s="4340"/>
      <c r="M20" s="4340"/>
      <c r="N20" s="4340"/>
      <c r="O20" s="4340"/>
      <c r="P20" s="4340"/>
      <c r="Q20" s="4340"/>
      <c r="R20" s="4340"/>
      <c r="S20" s="4340"/>
      <c r="T20" s="4340"/>
      <c r="U20" s="4340"/>
      <c r="V20" s="4340"/>
      <c r="W20" s="4340"/>
      <c r="X20" s="4340"/>
      <c r="Y20" s="4340"/>
      <c r="Z20" s="4340"/>
      <c r="AA20" s="4340"/>
      <c r="AB20" s="4340"/>
      <c r="AC20" s="4340"/>
      <c r="AD20" s="4340"/>
      <c r="AE20" s="4340"/>
      <c r="AF20" s="4340"/>
      <c r="AG20" s="4340"/>
      <c r="AH20" s="4340"/>
      <c r="AI20" s="4340"/>
      <c r="AJ20" s="4340"/>
      <c r="AK20" s="4340"/>
      <c r="AL20" s="4340"/>
      <c r="AM20" s="4340"/>
      <c r="AN20" s="4340"/>
      <c r="AO20" s="4340"/>
      <c r="AP20" s="4340"/>
      <c r="AQ20" s="4340"/>
      <c r="AR20" s="4340"/>
      <c r="AS20" s="4340"/>
      <c r="AT20" s="4340"/>
      <c r="AU20" s="4340"/>
      <c r="AV20" s="4340"/>
      <c r="AW20" s="4340"/>
      <c r="AX20" s="4340"/>
      <c r="AY20" s="4340"/>
      <c r="AZ20" s="4340"/>
      <c r="BA20" s="4340"/>
      <c r="BB20" s="4340"/>
      <c r="BC20" s="4340"/>
      <c r="BD20" s="4340"/>
      <c r="BE20" s="4340"/>
      <c r="BF20" s="4340"/>
      <c r="BG20" s="4340"/>
      <c r="BH20" s="4340"/>
      <c r="BI20" s="4340"/>
      <c r="BJ20" s="4341"/>
    </row>
    <row r="21" spans="1:67" ht="15.75" thickBot="1" x14ac:dyDescent="0.3">
      <c r="B21" s="26" t="s">
        <v>37</v>
      </c>
      <c r="C21" s="3620" t="s">
        <v>52</v>
      </c>
      <c r="D21" s="512">
        <v>96</v>
      </c>
      <c r="E21" s="449">
        <f>+WRM!E118</f>
        <v>96</v>
      </c>
      <c r="F21" s="449">
        <f>+WRM!F118</f>
        <v>94.596207163205023</v>
      </c>
      <c r="G21" s="449">
        <f>+WRM!G118</f>
        <v>95.999999259759036</v>
      </c>
      <c r="H21" s="449">
        <f>+WRM!H118</f>
        <v>94.668702695016222</v>
      </c>
      <c r="I21" s="449">
        <f>+WRM!I118</f>
        <v>95.999999587651004</v>
      </c>
      <c r="J21" s="449">
        <f>+WRM!J118</f>
        <v>94.627623941947874</v>
      </c>
      <c r="K21" s="449">
        <f>+WRM!K118</f>
        <v>95.999999999999986</v>
      </c>
      <c r="L21" s="449">
        <f>+WRM!L118</f>
        <v>95.456321129512546</v>
      </c>
      <c r="M21" s="869">
        <f>+WRM!M118</f>
        <v>95.999999735172409</v>
      </c>
      <c r="N21" s="869">
        <f>+WRM!N118</f>
        <v>94.961413207522256</v>
      </c>
      <c r="O21" s="449">
        <f>+WRM!O118</f>
        <v>96</v>
      </c>
      <c r="P21" s="449">
        <f>+WRM!P118</f>
        <v>95.334459496788199</v>
      </c>
      <c r="Q21" s="449">
        <f>+WRM!Q118</f>
        <v>95.999999807398112</v>
      </c>
      <c r="R21" s="449">
        <f>+WRM!R118</f>
        <v>95.067390902173173</v>
      </c>
      <c r="S21" s="449">
        <f>+WRM!S118</f>
        <v>96</v>
      </c>
      <c r="T21" s="449">
        <f>+WRM!T118</f>
        <v>95.570778980523386</v>
      </c>
      <c r="U21" s="449">
        <f>+WRM!U118</f>
        <v>95.999999848669944</v>
      </c>
      <c r="V21" s="449">
        <f>+WRM!V118</f>
        <v>95.185504453018098</v>
      </c>
      <c r="W21" s="449">
        <f>+WRM!W118</f>
        <v>96</v>
      </c>
      <c r="X21" s="449">
        <f>+WRM!X118</f>
        <v>95.574741764835508</v>
      </c>
      <c r="Y21" s="869">
        <f>+WRM!Y118</f>
        <v>96</v>
      </c>
      <c r="Z21" s="869">
        <f>+WRM!Z118</f>
        <v>95.496529725021134</v>
      </c>
      <c r="AA21" s="1135">
        <f>+WRM!AA118</f>
        <v>95.999999874612243</v>
      </c>
      <c r="AB21" s="1135">
        <f>+WRM!AB118</f>
        <v>95.257723499231957</v>
      </c>
      <c r="AC21" s="449">
        <f>+WRM!AC118</f>
        <v>96</v>
      </c>
      <c r="AD21" s="449">
        <f>+WRM!AD118</f>
        <v>95.682472998185943</v>
      </c>
      <c r="AE21" s="449">
        <f>+WRM!AE118</f>
        <v>95.999999893518208</v>
      </c>
      <c r="AF21" s="449">
        <f>+WRM!AF118</f>
        <v>95.328544179725881</v>
      </c>
      <c r="AG21" s="449">
        <f>+WRM!AG118</f>
        <v>96</v>
      </c>
      <c r="AH21" s="449">
        <f>+WRM!AH118</f>
        <v>95.131263440415879</v>
      </c>
      <c r="AI21" s="449">
        <f>+WRM!AI118</f>
        <v>95.999999907049926</v>
      </c>
      <c r="AJ21" s="449">
        <f>+WRM!AJ118</f>
        <v>95.303786388461504</v>
      </c>
      <c r="AK21" s="449">
        <f>+WRM!AK118</f>
        <v>96</v>
      </c>
      <c r="AL21" s="449">
        <f>+WRM!AL118</f>
        <v>95.645899612883454</v>
      </c>
      <c r="AM21" s="869">
        <f>+WRM!AM118</f>
        <v>96</v>
      </c>
      <c r="AN21" s="869">
        <f>+WRM!AN118</f>
        <v>95.50004390929692</v>
      </c>
      <c r="AO21" s="687">
        <f>+WRM!AO118</f>
        <v>95.999999917860961</v>
      </c>
      <c r="AP21" s="687">
        <f>+WRM!AP118</f>
        <v>95.344459250918646</v>
      </c>
      <c r="AQ21" s="449">
        <f>+WRM!AQ118</f>
        <v>96</v>
      </c>
      <c r="AR21" s="449">
        <f>+WRM!AR118</f>
        <v>95.761750628055836</v>
      </c>
      <c r="AS21" s="687">
        <f>+WRM!AS118</f>
        <v>95.999999926419164</v>
      </c>
      <c r="AT21" s="687">
        <f>+WRM!AT118</f>
        <v>95.388924902137404</v>
      </c>
      <c r="AU21" s="449">
        <f>+WRM!AU118</f>
        <v>96</v>
      </c>
      <c r="AV21" s="449">
        <f>+WRM!AV118</f>
        <v>96.094762629771068</v>
      </c>
      <c r="AW21" s="687">
        <f>+WRM!AW118</f>
        <v>95.999999932705379</v>
      </c>
      <c r="AX21" s="687">
        <f>+WRM!AX118</f>
        <v>95.462014894242245</v>
      </c>
      <c r="AY21" s="449">
        <f>+WRM!AY118</f>
        <v>96</v>
      </c>
      <c r="AZ21" s="449">
        <f>+WRM!AZ118</f>
        <v>95.901976891538411</v>
      </c>
      <c r="BA21" s="869">
        <f>+WRM!BA118</f>
        <v>96</v>
      </c>
      <c r="BB21" s="869">
        <f>+WRM!BB118</f>
        <v>95.923281843695676</v>
      </c>
      <c r="BC21" s="1135">
        <f>+WRM!BC118</f>
        <v>96</v>
      </c>
      <c r="BD21" s="1135">
        <f>+WRM!BD118</f>
        <v>95.719349501648722</v>
      </c>
      <c r="BE21" s="687">
        <f>+WRM!BE118</f>
        <v>95.999999938560009</v>
      </c>
      <c r="BF21" s="687">
        <f>+WRM!BF118</f>
        <v>95.505335593423183</v>
      </c>
      <c r="BG21" s="4335">
        <v>96.222984019632065</v>
      </c>
      <c r="BH21" s="4335">
        <v>94.958654249153824</v>
      </c>
      <c r="BI21" s="4335">
        <v>96.5</v>
      </c>
      <c r="BJ21" s="4159">
        <v>96.195270984402612</v>
      </c>
      <c r="BK21" s="4321">
        <v>96.032658515622913</v>
      </c>
    </row>
    <row r="22" spans="1:67" x14ac:dyDescent="0.25">
      <c r="B22" s="26" t="s">
        <v>95</v>
      </c>
      <c r="C22" s="3620" t="s">
        <v>52</v>
      </c>
      <c r="D22" s="512">
        <v>96.5</v>
      </c>
      <c r="E22" s="449">
        <f>+BM!E55</f>
        <v>96.499692955522406</v>
      </c>
      <c r="F22" s="449">
        <f>+BM!F55</f>
        <v>96.011264594413277</v>
      </c>
      <c r="G22" s="449">
        <f>+BM!G55</f>
        <v>96.499999073600009</v>
      </c>
      <c r="H22" s="449">
        <f>+BM!H55</f>
        <v>92.888093432934895</v>
      </c>
      <c r="I22" s="449">
        <f>+BM!I55</f>
        <v>0</v>
      </c>
      <c r="J22" s="449">
        <f>+BM!J55</f>
        <v>94.236964454225102</v>
      </c>
      <c r="K22" s="449">
        <f>+BM!K55</f>
        <v>96.499999999999986</v>
      </c>
      <c r="L22" s="449">
        <f>+BM!L55</f>
        <v>95.58845021424294</v>
      </c>
      <c r="M22" s="869">
        <f>+BM!M55</f>
        <v>96.499914740201092</v>
      </c>
      <c r="N22" s="869">
        <f>+BM!N55</f>
        <v>94.800590673353142</v>
      </c>
      <c r="O22" s="449">
        <f>+BM!O55</f>
        <v>96.499999999999986</v>
      </c>
      <c r="P22" s="449">
        <f>+BM!P55</f>
        <v>95.686747411751654</v>
      </c>
      <c r="Q22" s="449">
        <f>+BM!Q55</f>
        <v>0</v>
      </c>
      <c r="R22" s="449">
        <f>+BM!R55</f>
        <v>95.056745030422121</v>
      </c>
      <c r="S22" s="449">
        <f>+BM!S55</f>
        <v>96.499999999999986</v>
      </c>
      <c r="T22" s="449">
        <f>+BM!T55</f>
        <v>95.432255558505744</v>
      </c>
      <c r="U22" s="449">
        <f>+BM!U55</f>
        <v>96.49995373271841</v>
      </c>
      <c r="V22" s="449">
        <f>+BM!V55</f>
        <v>95.140232088295534</v>
      </c>
      <c r="W22" s="449">
        <f>+BM!W55</f>
        <v>96.499999999999986</v>
      </c>
      <c r="X22" s="449">
        <f>+BM!X55</f>
        <v>95.664507991741857</v>
      </c>
      <c r="Y22" s="869">
        <f>+BM!Y55</f>
        <v>96.499999999999986</v>
      </c>
      <c r="Z22" s="869">
        <f>+BM!Z55</f>
        <v>95.597081134998788</v>
      </c>
      <c r="AA22" s="1135">
        <f>+BM!AA55</f>
        <v>96.499962133199205</v>
      </c>
      <c r="AB22" s="1135">
        <f>+BM!AB55</f>
        <v>95.243249612809748</v>
      </c>
      <c r="AC22" s="449">
        <f>+BM!AC55</f>
        <v>96.499999999999986</v>
      </c>
      <c r="AD22" s="449">
        <f>+BM!AD55</f>
        <v>95.863567940492786</v>
      </c>
      <c r="AE22" s="449">
        <f>+BM!AE55</f>
        <v>96.499968102787008</v>
      </c>
      <c r="AF22" s="449">
        <f>+BM!AF55</f>
        <v>95.355911053414687</v>
      </c>
      <c r="AG22" s="449">
        <f>+BM!AG55</f>
        <v>96.499999999999986</v>
      </c>
      <c r="AH22" s="449">
        <f>+BM!AH55</f>
        <v>95.567757430122185</v>
      </c>
      <c r="AI22" s="449">
        <f>+BM!AI55</f>
        <v>96.499972334048735</v>
      </c>
      <c r="AJ22" s="449">
        <f>+BM!AJ55</f>
        <v>95.385024514797578</v>
      </c>
      <c r="AK22" s="449">
        <f>+BM!AK55</f>
        <v>96.499999999999986</v>
      </c>
      <c r="AL22" s="449">
        <f>+BM!AL55</f>
        <v>96.081063677336104</v>
      </c>
      <c r="AM22" s="869">
        <f>+BM!AM55</f>
        <v>96.5</v>
      </c>
      <c r="AN22" s="869">
        <f>+BM!AN55</f>
        <v>95.856019293384435</v>
      </c>
      <c r="AO22" s="687">
        <f>+BM!AO55</f>
        <v>96.49997566190919</v>
      </c>
      <c r="AP22" s="687">
        <f>+BM!AP55</f>
        <v>95.486553359378931</v>
      </c>
      <c r="AQ22" s="449">
        <f>+BM!AQ55</f>
        <v>96.499999999999986</v>
      </c>
      <c r="AR22" s="449">
        <f>+BM!AR55</f>
        <v>95.735001138312896</v>
      </c>
      <c r="AS22" s="687">
        <f>+BM!AS55</f>
        <v>96.499978275133088</v>
      </c>
      <c r="AT22" s="687">
        <f>+BM!AT55</f>
        <v>95.519053628663002</v>
      </c>
      <c r="AU22" s="449">
        <f>+BM!AU55</f>
        <v>96.5</v>
      </c>
      <c r="AV22" s="449">
        <f>+BM!AV55</f>
        <v>94.502870869031838</v>
      </c>
      <c r="AW22" s="687">
        <f>+BM!AW55</f>
        <v>96.499980151804948</v>
      </c>
      <c r="AX22" s="687">
        <f>+BM!AX55</f>
        <v>95.434242876117409</v>
      </c>
      <c r="AY22" s="449">
        <f>+BM!AY55</f>
        <v>96.499999999999986</v>
      </c>
      <c r="AZ22" s="449">
        <f>+BM!AZ55</f>
        <v>95.335491381273812</v>
      </c>
      <c r="BA22" s="869">
        <f>+BM!BA55</f>
        <v>96.5</v>
      </c>
      <c r="BB22" s="869">
        <f>+BM!BB55</f>
        <v>95.267916432663696</v>
      </c>
      <c r="BC22" s="1135">
        <f>+BM!BC55</f>
        <v>96.500000000000014</v>
      </c>
      <c r="BD22" s="1135">
        <f>+BM!BD55</f>
        <v>95.56048697301776</v>
      </c>
      <c r="BE22" s="687">
        <f>+BM!BE55</f>
        <v>96.499981924910045</v>
      </c>
      <c r="BF22" s="687">
        <f>+BM!BF55</f>
        <v>95.423965808878961</v>
      </c>
      <c r="BG22" s="4335">
        <v>96.209843463927712</v>
      </c>
      <c r="BH22" s="4335">
        <v>95.175924318366739</v>
      </c>
      <c r="BI22" s="4335">
        <v>96.5</v>
      </c>
      <c r="BJ22" s="4159">
        <v>96.065592581466589</v>
      </c>
      <c r="BK22" s="4321">
        <v>96.054939695674079</v>
      </c>
    </row>
    <row r="23" spans="1:67" ht="15.75" thickBot="1" x14ac:dyDescent="0.3">
      <c r="B23" s="26" t="s">
        <v>115</v>
      </c>
      <c r="C23" s="3620" t="s">
        <v>52</v>
      </c>
      <c r="D23" s="512">
        <v>95.7</v>
      </c>
      <c r="E23" s="449">
        <f>+USM!F45</f>
        <v>95.702938080199061</v>
      </c>
      <c r="F23" s="449">
        <f>+USM!G45</f>
        <v>93.890167951223006</v>
      </c>
      <c r="G23" s="449" t="e">
        <f>+USM!H45</f>
        <v>#DIV/0!</v>
      </c>
      <c r="H23" s="449">
        <f>+USM!I45</f>
        <v>91.729935514515063</v>
      </c>
      <c r="I23" s="449">
        <f>+USM!J45</f>
        <v>95.702938080199061</v>
      </c>
      <c r="J23" s="449">
        <f>+USM!K45</f>
        <v>93.324329424589052</v>
      </c>
      <c r="K23" s="449">
        <f>+USM!L45</f>
        <v>95.7</v>
      </c>
      <c r="L23" s="449">
        <f>+USM!M45</f>
        <v>93.15056003309347</v>
      </c>
      <c r="M23" s="869">
        <f>+USM!N45</f>
        <v>95.700587601607879</v>
      </c>
      <c r="N23" s="869">
        <f>+USM!O45</f>
        <v>93.24235561351253</v>
      </c>
      <c r="O23" s="449">
        <f>+USM!P45</f>
        <v>95.7</v>
      </c>
      <c r="P23" s="449">
        <f>+USM!Q45</f>
        <v>93.442549163692604</v>
      </c>
      <c r="Q23" s="449">
        <f>+USM!R45</f>
        <v>95.700326444446873</v>
      </c>
      <c r="R23" s="449">
        <f>+USM!S45</f>
        <v>93.349828496567596</v>
      </c>
      <c r="S23" s="449">
        <f>+USM!T45</f>
        <v>95.7</v>
      </c>
      <c r="T23" s="449">
        <f>+USM!U45</f>
        <v>93.615564413689953</v>
      </c>
      <c r="U23" s="449">
        <f>+USM!V45</f>
        <v>95.7002176293838</v>
      </c>
      <c r="V23" s="449">
        <f>+USM!W45</f>
        <v>93.429510397564727</v>
      </c>
      <c r="W23" s="449">
        <f>+USM!X45</f>
        <v>95.7</v>
      </c>
      <c r="X23" s="449">
        <f>+USM!Y45</f>
        <v>92.464122045798661</v>
      </c>
      <c r="Y23" s="869">
        <f>+USM!Z45</f>
        <v>95.7</v>
      </c>
      <c r="Z23" s="869">
        <f>+USM!AA45</f>
        <v>93.348518052887798</v>
      </c>
      <c r="AA23" s="1135">
        <f>+USM!AB45</f>
        <v>95.700163221945061</v>
      </c>
      <c r="AB23" s="1135">
        <f>+USM!AC45</f>
        <v>93.318066210905442</v>
      </c>
      <c r="AC23" s="449">
        <f>+USM!AD45</f>
        <v>95.7</v>
      </c>
      <c r="AD23" s="449">
        <f>+USM!AE45</f>
        <v>93.477831550160275</v>
      </c>
      <c r="AE23" s="449">
        <f>+USM!AF45</f>
        <v>95.700130577511516</v>
      </c>
      <c r="AF23" s="449">
        <f>+USM!AG45</f>
        <v>93.356886209956215</v>
      </c>
      <c r="AG23" s="449">
        <f>+USM!AH45</f>
        <v>95.7</v>
      </c>
      <c r="AH23" s="449">
        <f>+USM!AI45</f>
        <v>92.872683509236751</v>
      </c>
      <c r="AI23" s="449">
        <f>+USM!AJ45</f>
        <v>95.700108814568182</v>
      </c>
      <c r="AJ23" s="449">
        <f>+USM!AK45</f>
        <v>93.267171085709023</v>
      </c>
      <c r="AK23" s="449">
        <f>+USM!AL45</f>
        <v>95.7</v>
      </c>
      <c r="AL23" s="449">
        <f>+USM!AM45</f>
        <v>93.508790019330874</v>
      </c>
      <c r="AM23" s="869">
        <f>+USM!AN45</f>
        <v>95.700000000000017</v>
      </c>
      <c r="AN23" s="869">
        <f>+USM!AO45</f>
        <v>93.316043771528669</v>
      </c>
      <c r="AO23" s="687">
        <f>+USM!AP45</f>
        <v>95.700093269614712</v>
      </c>
      <c r="AP23" s="687">
        <f>+USM!AQ45</f>
        <v>93.317033707067608</v>
      </c>
      <c r="AQ23" s="449">
        <f>+USM!AR45</f>
        <v>95.7</v>
      </c>
      <c r="AR23" s="449">
        <f>+USM!AS45</f>
        <v>93.241083755201743</v>
      </c>
      <c r="AS23" s="687">
        <f>+USM!AT45</f>
        <v>95.700081610902927</v>
      </c>
      <c r="AT23" s="687">
        <f>+USM!AU45</f>
        <v>93.307544765977525</v>
      </c>
      <c r="AU23" s="449">
        <f>+USM!AV45</f>
        <v>95.7</v>
      </c>
      <c r="AV23" s="449">
        <f>+USM!AW45</f>
        <v>94.088207441195308</v>
      </c>
      <c r="AW23" s="687">
        <f>+USM!AX45</f>
        <v>95.700072543017953</v>
      </c>
      <c r="AX23" s="687">
        <f>+USM!AY45</f>
        <v>93.407328212578292</v>
      </c>
      <c r="AY23" s="449">
        <f>+USM!AZ45</f>
        <v>95.7</v>
      </c>
      <c r="AZ23" s="449">
        <f>+USM!BA45</f>
        <v>93.72307378724372</v>
      </c>
      <c r="BA23" s="869">
        <f>+USM!BB45</f>
        <v>95.700000000000017</v>
      </c>
      <c r="BB23" s="869">
        <f>+USM!BC45</f>
        <v>93.707440898176401</v>
      </c>
      <c r="BC23" s="1135">
        <f>+USM!BD45</f>
        <v>95.700000000000017</v>
      </c>
      <c r="BD23" s="1135">
        <f>+USM!BE45</f>
        <v>93.507794029626083</v>
      </c>
      <c r="BE23" s="687">
        <f>+USM!BF45</f>
        <v>95.700065288711201</v>
      </c>
      <c r="BF23" s="687">
        <f>+USM!BG45</f>
        <v>93.445480895587224</v>
      </c>
      <c r="BG23" s="4335">
        <v>95.699819475340547</v>
      </c>
      <c r="BH23" s="4335">
        <v>95.266762287385887</v>
      </c>
      <c r="BI23" s="4335">
        <v>95.7</v>
      </c>
      <c r="BJ23" s="4159">
        <v>95.476013180662989</v>
      </c>
      <c r="BK23" s="4322">
        <v>95.486332877569964</v>
      </c>
    </row>
    <row r="24" spans="1:67" x14ac:dyDescent="0.25">
      <c r="B24" s="28" t="s">
        <v>408</v>
      </c>
      <c r="C24" s="3620" t="s">
        <v>363</v>
      </c>
      <c r="D24" s="1039">
        <v>5.9870000000000001</v>
      </c>
      <c r="E24" s="4220">
        <v>7.3209999999999997</v>
      </c>
      <c r="F24" s="413">
        <v>7.1032828575590443</v>
      </c>
      <c r="G24" s="4220">
        <v>8.2520000000000007</v>
      </c>
      <c r="H24" s="4220">
        <v>8.3854789583946889</v>
      </c>
      <c r="I24" s="4216">
        <f>+((E33*E24)+(G33*G24))/I33</f>
        <v>7.7945051967762184</v>
      </c>
      <c r="J24" s="957">
        <f>+((F33*F24)+(H33*H24))/J33</f>
        <v>7.6735232840304075</v>
      </c>
      <c r="K24" s="4220">
        <v>5.8292322198025799</v>
      </c>
      <c r="L24" s="4220">
        <v>6.2324448409226454</v>
      </c>
      <c r="M24" s="4217">
        <f>+((I33*I24)+(K33*K24))/M33</f>
        <v>6.7375047284798848</v>
      </c>
      <c r="N24" s="958">
        <f>+((J33*J24)+(L33*L24))/N33</f>
        <v>6.9234703960226947</v>
      </c>
      <c r="O24" s="4220">
        <v>5.8872140984238799</v>
      </c>
      <c r="P24" s="4220">
        <v>6.2565281827853498</v>
      </c>
      <c r="Q24" s="4216">
        <f>+((M33*M24)+(O33*O24))/Q33</f>
        <v>6.4336272684602118</v>
      </c>
      <c r="R24" s="4216">
        <f>+((N33*N24)+(P33*P24))/R33</f>
        <v>6.7006818271242166</v>
      </c>
      <c r="S24" s="4220">
        <v>5.8930627350847002</v>
      </c>
      <c r="T24" s="4220">
        <v>6.0410060729797577</v>
      </c>
      <c r="U24" s="4216">
        <f>+((Q33*Q24)+(S33*S24))/U33</f>
        <v>6.2912180337125037</v>
      </c>
      <c r="V24" s="4216">
        <f>+((R33*R24)+(T33*T24))/V33</f>
        <v>6.5251263609625783</v>
      </c>
      <c r="W24" s="4220">
        <v>5.8835537304144596</v>
      </c>
      <c r="X24" s="4220">
        <v>6.0824688404174054</v>
      </c>
      <c r="Y24" s="4217">
        <f>+((O33*O24)+(S24*S33)+(W33*W24))/Y33</f>
        <v>5.887984270997455</v>
      </c>
      <c r="Z24" s="869">
        <f>+((P33*P24)+(T24*T33)+(X33*X24))/Z33</f>
        <v>6.1235628727586429</v>
      </c>
      <c r="AA24" s="4218">
        <f>+((M33*M24)+(Y33*Y24))/AA33</f>
        <v>6.2080720100770321</v>
      </c>
      <c r="AB24" s="4218">
        <f>+((N33*N24)+(Z33*Z24))/AB33</f>
        <v>6.4341828662512102</v>
      </c>
      <c r="AC24" s="4220">
        <v>5.8274836302956796</v>
      </c>
      <c r="AD24" s="4220">
        <v>6.1103524416204937</v>
      </c>
      <c r="AE24" s="4216">
        <f>+((AA33*AA24)+(AC33*AC24))/AE33</f>
        <v>6.1417887423457058</v>
      </c>
      <c r="AF24" s="4216">
        <f>+((AB33*AB24)+(AD33*AD24))/AF33</f>
        <v>6.3760484808696534</v>
      </c>
      <c r="AG24" s="4220">
        <v>5.8408092650650003</v>
      </c>
      <c r="AH24" s="4220">
        <v>6.171426031960082</v>
      </c>
      <c r="AI24" s="4216">
        <f>+((AE33*AE24)+(AG33*AG24))/AI33</f>
        <v>6.0984010348778694</v>
      </c>
      <c r="AJ24" s="4216">
        <f>+((AF33*AF24)+(AH33*AH24))/AJ33</f>
        <v>6.3469953842705413</v>
      </c>
      <c r="AK24" s="4220">
        <v>5.8435620698832897</v>
      </c>
      <c r="AL24" s="4220">
        <v>6.1066156311709205</v>
      </c>
      <c r="AM24" s="4217">
        <f>+((AC33*AC24)+(AG24*AG33)+(AK33*AK24))/AM33</f>
        <v>5.8372459461273305</v>
      </c>
      <c r="AN24" s="869">
        <f>+((AD33*AD24)+(AH24*AH33)+(AL33*AL24))/AN33</f>
        <v>6.1281543560812048</v>
      </c>
      <c r="AO24" s="4216">
        <f>+((AI33*AI24)+(AK33*AK24))/AO33</f>
        <v>6.0653436752199692</v>
      </c>
      <c r="AP24" s="4216">
        <f>+((AJ33*AJ24)+(AL33*AL24))/AP33</f>
        <v>6.3142082798182173</v>
      </c>
      <c r="AQ24" s="4220">
        <v>5.7623995856445802</v>
      </c>
      <c r="AR24" s="4220">
        <v>6.1598176813392094</v>
      </c>
      <c r="AS24" s="4216">
        <f>+((AO33*AO24)+(AQ33*AQ24))/AS33</f>
        <v>6.0305584135369887</v>
      </c>
      <c r="AT24" s="4216">
        <f>+((AP33*AP24)+(AR33*AR24))/AT33</f>
        <v>6.29530425717134</v>
      </c>
      <c r="AU24" s="4220">
        <v>5.7941094703269602</v>
      </c>
      <c r="AV24" s="4220">
        <v>6.2728732321019187</v>
      </c>
      <c r="AW24" s="4216">
        <f>+((AS33*AS24)+(AU33*AU24))/AW33</f>
        <v>6.0087276052570395</v>
      </c>
      <c r="AX24" s="4216">
        <f>+((AT33*AT24)+(AV33*AV24))/AX33</f>
        <v>6.2930967441095449</v>
      </c>
      <c r="AY24" s="4446">
        <v>5.7623995856445802</v>
      </c>
      <c r="AZ24" s="4446">
        <v>6.3184260217605566</v>
      </c>
      <c r="BA24" s="4450">
        <f>+((AQ33*AQ24)+(AU24*AU33)+(AY33*AY24))/BA33</f>
        <v>5.7721335178911932</v>
      </c>
      <c r="BB24" s="869">
        <f>+((AR33*AR24)+(AV24*AV33)+(AZ33*AZ24))/BB33</f>
        <v>6.2493507808722839</v>
      </c>
      <c r="BC24" s="4449">
        <f>+((AM33*AM24)+(BA33*BA24))/BC33</f>
        <v>5.8051417258284612</v>
      </c>
      <c r="BD24" s="4449">
        <f>+((AN33*AN24)+(BB33*BB24))/BD33</f>
        <v>6.1895434319148412</v>
      </c>
      <c r="BE24" s="4448">
        <f>+((AW33*AW24)+(AY33*AY24))/BE33</f>
        <v>5.9854778159958535</v>
      </c>
      <c r="BF24" s="4672">
        <v>6.3006370372485003</v>
      </c>
      <c r="BG24" s="4336">
        <v>6.1969869203763626</v>
      </c>
      <c r="BH24" s="4336">
        <v>6.4827565550935358</v>
      </c>
      <c r="BI24" s="4336">
        <v>5.95</v>
      </c>
      <c r="BJ24" s="4342">
        <v>6.1800190917369466</v>
      </c>
      <c r="BK24" s="4323">
        <v>6.3116941199196104</v>
      </c>
    </row>
    <row r="25" spans="1:67" x14ac:dyDescent="0.25">
      <c r="B25" s="4908" t="s">
        <v>403</v>
      </c>
      <c r="C25" s="3620" t="s">
        <v>410</v>
      </c>
      <c r="D25" s="4184">
        <v>501</v>
      </c>
      <c r="E25" s="4186">
        <f>+'POWER DISTRIBUTION'!I17/('Maj Production Summ'!E35+0.25*'Maj Production Summ'!E24)</f>
        <v>909.25908154909405</v>
      </c>
      <c r="F25" s="4186">
        <f>+'POWER DISTRIBUTION'!J17/('Maj Production Summ'!F35+0.25*'Maj Production Summ'!F24)</f>
        <v>810.06262281065165</v>
      </c>
      <c r="G25" s="4186">
        <f>+'POWER DISTRIBUTION'!K17/('Maj Production Summ'!G35+0.25*'Maj Production Summ'!G24)</f>
        <v>835.62339512049357</v>
      </c>
      <c r="H25" s="4187">
        <f>+'POWER DISTRIBUTION'!L17/('Maj Production Summ'!H35+0.25*'Maj Production Summ'!H24)</f>
        <v>740.71692582555374</v>
      </c>
      <c r="I25" s="4189">
        <f>+'POWER DISTRIBUTION'!M17/('Maj Production Summ'!I35+0.25*'Maj Production Summ'!I24)</f>
        <v>870.33466635107163</v>
      </c>
      <c r="J25" s="4189">
        <f>+'POWER DISTRIBUTION'!N17/('Maj Production Summ'!J35+0.25*'Maj Production Summ'!J24)</f>
        <v>772.47471636292016</v>
      </c>
      <c r="K25" s="4186">
        <v>468.63114706870033</v>
      </c>
      <c r="L25" s="4187">
        <f>+'POWER DISTRIBUTION'!P17/('Maj Production Summ'!L35+0.25*'Maj Production Summ'!L24)</f>
        <v>526.78216215950806</v>
      </c>
      <c r="M25" s="4190">
        <f>+'POWER DISTRIBUTION'!Q17/('Maj Production Summ'!M35+0.25*'Maj Production Summ'!M24)</f>
        <v>654.04795444848367</v>
      </c>
      <c r="N25" s="4190">
        <f>+'POWER DISTRIBUTION'!R17/('Maj Production Summ'!N35+0.25*'Maj Production Summ'!N24)</f>
        <v>653.94854803392889</v>
      </c>
      <c r="O25" s="4186">
        <v>469.14543516697404</v>
      </c>
      <c r="P25" s="4187">
        <f>+'POWER DISTRIBUTION'!T17/('Maj Production Summ'!P35+0.25*'Maj Production Summ'!P24)</f>
        <v>542.65258721488465</v>
      </c>
      <c r="Q25" s="4189">
        <f>+'POWER DISTRIBUTION'!U17/('Maj Production Summ'!Q35+0.25*'Maj Production Summ'!Q24)</f>
        <v>588.16119044229833</v>
      </c>
      <c r="R25" s="4189">
        <f>+'POWER DISTRIBUTION'!V17/('Maj Production Summ'!R35+0.25*'Maj Production Summ'!R24)</f>
        <v>617.97676281986753</v>
      </c>
      <c r="S25" s="4186">
        <v>470.81127754835256</v>
      </c>
      <c r="T25" s="4187">
        <f>+'POWER DISTRIBUTION'!X17/('Maj Production Summ'!T35+0.25*'Maj Production Summ'!T24)</f>
        <v>506.04961074011459</v>
      </c>
      <c r="U25" s="4189">
        <f>+'POWER DISTRIBUTION'!Y17/('Maj Production Summ'!U35+0.25*'Maj Production Summ'!U24)</f>
        <v>557.28896582860921</v>
      </c>
      <c r="V25" s="4189">
        <f>+'POWER DISTRIBUTION'!Z17/('Maj Production Summ'!V35+0.25*'Maj Production Summ'!V24)</f>
        <v>588.92640704296923</v>
      </c>
      <c r="W25" s="4186">
        <v>468.18290290017228</v>
      </c>
      <c r="X25" s="4187">
        <f>+'POWER DISTRIBUTION'!AB17/('Maj Production Summ'!X35+0.25*'Maj Production Summ'!X24)</f>
        <v>509.11695266757113</v>
      </c>
      <c r="Y25" s="4190">
        <f>+'POWER DISTRIBUTION'!AC17/('Maj Production Summ'!Y35+0.25*'Maj Production Summ'!Y24)</f>
        <v>469.3893679867171</v>
      </c>
      <c r="Z25" s="4190">
        <f>+'POWER DISTRIBUTION'!AD17/('Maj Production Summ'!Z35+0.25*'Maj Production Summ'!Z24)</f>
        <v>518.77945631782848</v>
      </c>
      <c r="AA25" s="4191">
        <f>+'POWER DISTRIBUTION'!AE17/('Maj Production Summ'!AA35+0.25*'Maj Production Summ'!AA24)</f>
        <v>539.07274256746257</v>
      </c>
      <c r="AB25" s="4191">
        <f>+'POWER DISTRIBUTION'!AF17/('Maj Production Summ'!AB35+0.25*'Maj Production Summ'!AB24)</f>
        <v>572.99776768199865</v>
      </c>
      <c r="AC25" s="4186">
        <v>469.22232616084045</v>
      </c>
      <c r="AD25" s="4187">
        <f>+'POWER DISTRIBUTION'!AH17/('Maj Production Summ'!AD35+0.25*'Maj Production Summ'!AD24)</f>
        <v>525.18284717278254</v>
      </c>
      <c r="AE25" s="4189">
        <f>+'POWER DISTRIBUTION'!AI17/('Maj Production Summ'!AE35+0.25*'Maj Production Summ'!AE24)</f>
        <v>526.92581239839092</v>
      </c>
      <c r="AF25" s="4189">
        <f>+'POWER DISTRIBUTION'!AJ17/('Maj Production Summ'!AF35+0.25*'Maj Production Summ'!AF24)</f>
        <v>564.86802015341505</v>
      </c>
      <c r="AG25" s="4186">
        <v>472.52157602406214</v>
      </c>
      <c r="AH25" s="4187">
        <f>+'POWER DISTRIBUTION'!AL17/('Maj Production Summ'!AH35+0.25*'Maj Production Summ'!AH24)</f>
        <v>500.48337525205568</v>
      </c>
      <c r="AI25" s="4189">
        <f>+'POWER DISTRIBUTION'!AM17/('Maj Production Summ'!AI35+0.25*'Maj Production Summ'!AI24)</f>
        <v>519.12721483629946</v>
      </c>
      <c r="AJ25" s="4189">
        <f>+'POWER DISTRIBUTION'!AN17/('Maj Production Summ'!AJ35+0.25*'Maj Production Summ'!AJ24)</f>
        <v>555.61714334131614</v>
      </c>
      <c r="AK25" s="4186">
        <v>468.54131005562346</v>
      </c>
      <c r="AL25" s="4187">
        <f>+'POWER DISTRIBUTION'!AP17/('Maj Production Summ'!AL35+0.25*'Maj Production Summ'!AL24)</f>
        <v>488.01896962480276</v>
      </c>
      <c r="AM25" s="4190">
        <f>+'POWER DISTRIBUTION'!AQ17/('Maj Production Summ'!AM35+0.25*'Maj Production Summ'!AM24)</f>
        <v>470.06338765213223</v>
      </c>
      <c r="AN25" s="4190">
        <f>+'POWER DISTRIBUTION'!AR17/('Maj Production Summ'!AN35+0.25*'Maj Production Summ'!AN24)</f>
        <v>504.17770800254328</v>
      </c>
      <c r="AO25" s="4189">
        <f>+((AI25*'Maj Production Summ'!AI35)+('Maj Production Summ'!AK35*AK25))/'Maj Production Summ'!AO35</f>
        <v>512.53312880043734</v>
      </c>
      <c r="AP25" s="4189">
        <f>+((AJ25*'Maj Production Summ'!AJ35)+('Maj Production Summ'!AL35*AL25))/'Maj Production Summ'!AP35</f>
        <v>546.43751928043253</v>
      </c>
      <c r="AQ25" s="4186">
        <v>468.17863143910171</v>
      </c>
      <c r="AR25" s="4187">
        <f>+'POWER DISTRIBUTION'!AV17/('Maj Production Summ'!AR35+0.25*'Maj Production Summ'!AR24)</f>
        <v>481.9518600316872</v>
      </c>
      <c r="AS25" s="4189">
        <f>+((AO25*'Maj Production Summ'!AO35)+('Maj Production Summ'!AQ35*AQ25))/'Maj Production Summ'!AS35</f>
        <v>507.41459133920324</v>
      </c>
      <c r="AT25" s="4189">
        <f>+((AP25*'Maj Production Summ'!AP35)+('Maj Production Summ'!AR35*AR25))/'Maj Production Summ'!AT35</f>
        <v>538.72305369725416</v>
      </c>
      <c r="AU25" s="4186">
        <v>475.67970763190652</v>
      </c>
      <c r="AV25" s="4187">
        <f>+'POWER DISTRIBUTION'!AZ17/('Maj Production Summ'!AV35+0.25*'Maj Production Summ'!AV24)</f>
        <v>475.63824350267868</v>
      </c>
      <c r="AW25" s="4189">
        <f>+'POWER DISTRIBUTION'!BA17/('Maj Production Summ'!AW35+0.25*'Maj Production Summ'!AW24)</f>
        <v>504.52316017420759</v>
      </c>
      <c r="AX25" s="4189">
        <f>+'POWER DISTRIBUTION'!BB17/('Maj Production Summ'!AX35+0.25*'Maj Production Summ'!AX24)</f>
        <v>532.64743022720074</v>
      </c>
      <c r="AY25" s="4428">
        <v>468.17863143910171</v>
      </c>
      <c r="AZ25" s="4429">
        <f>+'POWER DISTRIBUTION'!BD17/('Maj Production Summ'!AZ35+0.25*'Maj Production Summ'!AZ24)</f>
        <v>488.44645667200786</v>
      </c>
      <c r="BA25" s="4430">
        <f>+'POWER DISTRIBUTION'!BE17/('Maj Production Summ'!BA35+0.25*'Maj Production Summ'!BA24)</f>
        <v>470.4789975533061</v>
      </c>
      <c r="BB25" s="4430">
        <f>+'POWER DISTRIBUTION'!BF17/('Maj Production Summ'!BB35+0.25*'Maj Production Summ'!BB24)</f>
        <v>482.22978112768118</v>
      </c>
      <c r="BC25" s="4432">
        <f>+'POWER DISTRIBUTION'!BG17/('Maj Production Summ'!BC35+0.25*'Maj Production Summ'!BC24)</f>
        <v>312.46546916619519</v>
      </c>
      <c r="BD25" s="4432">
        <f>+'POWER DISTRIBUTION'!BH17/('Maj Production Summ'!BD35+0.25*'Maj Production Summ'!BD24)</f>
        <v>328.66457839054175</v>
      </c>
      <c r="BE25" s="4431">
        <f>+'POWER DISTRIBUTION'!BI17/('Maj Production Summ'!BE35+0.25*'Maj Production Summ'!BE24)</f>
        <v>501.08847615207304</v>
      </c>
      <c r="BF25" s="4431">
        <f>+'POWER DISTRIBUTION'!BJ17/('Maj Production Summ'!BF35+0.25*'Maj Production Summ'!BF24)</f>
        <v>528.34198170405227</v>
      </c>
      <c r="BG25" s="4337">
        <v>500.04339220311806</v>
      </c>
      <c r="BH25" s="4335">
        <v>579.80533013641912</v>
      </c>
      <c r="BI25" s="4337">
        <v>483.42299975438647</v>
      </c>
      <c r="BJ25" s="4159">
        <v>525.26172798809614</v>
      </c>
      <c r="BK25" s="4150">
        <v>552.0369062994705</v>
      </c>
    </row>
    <row r="26" spans="1:67" x14ac:dyDescent="0.25">
      <c r="B26" s="4908"/>
      <c r="C26" s="3620" t="s">
        <v>305</v>
      </c>
      <c r="D26" s="4184">
        <v>486</v>
      </c>
      <c r="E26" s="4186">
        <f>+'POWER DISTRIBUTION'!I17/'Maj Production Summ'!E18</f>
        <v>847.15586414337588</v>
      </c>
      <c r="F26" s="4186">
        <f>+'POWER DISTRIBUTION'!J17/'Maj Production Summ'!F18</f>
        <v>737.97594425894135</v>
      </c>
      <c r="G26" s="4186">
        <f>+'POWER DISTRIBUTION'!K17/'Maj Production Summ'!G18</f>
        <v>843.52752244692431</v>
      </c>
      <c r="H26" s="4187">
        <f>+'POWER DISTRIBUTION'!L17/'Maj Production Summ'!H18</f>
        <v>997.16882047136983</v>
      </c>
      <c r="I26" s="4189">
        <f>+'POWER DISTRIBUTION'!M17/'Maj Production Summ'!I18</f>
        <v>845.31049502527731</v>
      </c>
      <c r="J26" s="4189">
        <f>+'POWER DISTRIBUTION'!N17/'Maj Production Summ'!J18</f>
        <v>853.2486830961501</v>
      </c>
      <c r="K26" s="4186">
        <v>456.23409961003608</v>
      </c>
      <c r="L26" s="4187">
        <f>+'POWER DISTRIBUTION'!P17/'Maj Production Summ'!L18</f>
        <v>499.6507582115666</v>
      </c>
      <c r="M26" s="4190">
        <f>+'POWER DISTRIBUTION'!Q17/'Maj Production Summ'!M18</f>
        <v>636.04952997112946</v>
      </c>
      <c r="N26" s="4190">
        <f>+'POWER DISTRIBUTION'!R17/'Maj Production Summ'!N18</f>
        <v>669.20794192645974</v>
      </c>
      <c r="O26" s="4186">
        <v>454.15618280796366</v>
      </c>
      <c r="P26" s="4187">
        <f>+'POWER DISTRIBUTION'!T17/'Maj Production Summ'!P18</f>
        <v>528.69757086816071</v>
      </c>
      <c r="Q26" s="4189">
        <f>+'POWER DISTRIBUTION'!U17/'Maj Production Summ'!Q18</f>
        <v>571.04435835495076</v>
      </c>
      <c r="R26" s="4189">
        <f>+'POWER DISTRIBUTION'!V17/'Maj Production Summ'!R18</f>
        <v>622.27118509482659</v>
      </c>
      <c r="S26" s="4186">
        <v>456.24544197023357</v>
      </c>
      <c r="T26" s="4187">
        <f>+'POWER DISTRIBUTION'!X17/'Maj Production Summ'!T18</f>
        <v>492.55878422289669</v>
      </c>
      <c r="U26" s="4189">
        <f>+'POWER DISTRIBUTION'!Y17/'Maj Production Summ'!U18</f>
        <v>540.80111296456732</v>
      </c>
      <c r="V26" s="4189">
        <f>+'POWER DISTRIBUTION'!Z17/'Maj Production Summ'!V18</f>
        <v>587.75161868822147</v>
      </c>
      <c r="W26" s="4186">
        <v>455.66399083380492</v>
      </c>
      <c r="X26" s="4187">
        <f>+'POWER DISTRIBUTION'!AB17/'Maj Production Summ'!X18</f>
        <v>489.97807151316653</v>
      </c>
      <c r="Y26" s="4190">
        <f>+'POWER DISTRIBUTION'!AC17/'Maj Production Summ'!Y18</f>
        <v>455.35268215274425</v>
      </c>
      <c r="Z26" s="4190">
        <f>+'POWER DISTRIBUTION'!AD17/'Maj Production Summ'!Z18</f>
        <v>503.19994799723582</v>
      </c>
      <c r="AA26" s="4191">
        <f>+'POWER DISTRIBUTION'!AE17/'Maj Production Summ'!AA18</f>
        <v>523.43679356825965</v>
      </c>
      <c r="AB26" s="4191">
        <f>+'POWER DISTRIBUTION'!AF17/'Maj Production Summ'!AB18</f>
        <v>567.66415228874587</v>
      </c>
      <c r="AC26" s="4186">
        <v>454.78649369260927</v>
      </c>
      <c r="AD26" s="4187">
        <f>+'POWER DISTRIBUTION'!AH17/'Maj Production Summ'!AD18</f>
        <v>487.13557746545501</v>
      </c>
      <c r="AE26" s="4189">
        <f>+'POWER DISTRIBUTION'!AI17/'Maj Production Summ'!AE18</f>
        <v>511.48065815207121</v>
      </c>
      <c r="AF26" s="4189">
        <f>+'POWER DISTRIBUTION'!AJ17/'Maj Production Summ'!AF18</f>
        <v>553.2075761089651</v>
      </c>
      <c r="AG26" s="4186">
        <v>455.66399083380492</v>
      </c>
      <c r="AH26" s="4187">
        <f>+'POWER DISTRIBUTION'!AL17/'Maj Production Summ'!AH18</f>
        <v>496.99530788212286</v>
      </c>
      <c r="AI26" s="4189">
        <f>+'POWER DISTRIBUTION'!AM17/'Maj Production Summ'!AI18</f>
        <v>503.43440444961084</v>
      </c>
      <c r="AJ26" s="4189">
        <f>+'POWER DISTRIBUTION'!AN17/'Maj Production Summ'!AJ18</f>
        <v>545.22633813848506</v>
      </c>
      <c r="AK26" s="4186">
        <v>454.78649369260927</v>
      </c>
      <c r="AL26" s="4187">
        <f>+'POWER DISTRIBUTION'!AP17/'Maj Production Summ'!AL18</f>
        <v>474.2666945728979</v>
      </c>
      <c r="AM26" s="4190">
        <f>+'POWER DISTRIBUTION'!AQ17/'Maj Production Summ'!AM18</f>
        <v>455.0728114752464</v>
      </c>
      <c r="AN26" s="4190">
        <f>+'POWER DISTRIBUTION'!AR17/'Maj Production Summ'!AN18</f>
        <v>485.74208547061721</v>
      </c>
      <c r="AO26" s="4189">
        <f>+((AI26*AI33)+(AK33*AK26))/AO33</f>
        <v>497.12386444826586</v>
      </c>
      <c r="AP26" s="4189">
        <f>+((AJ26*AJ33)+(AL33*AL26))/(AP33)</f>
        <v>535.54764758537362</v>
      </c>
      <c r="AQ26" s="4186">
        <v>454.78649369260927</v>
      </c>
      <c r="AR26" s="4187">
        <f>+'POWER DISTRIBUTION'!AV17/'Maj Production Summ'!AR18</f>
        <v>457.72907387132136</v>
      </c>
      <c r="AS26" s="4189">
        <f>+((AO26*AO33)+(AQ33*AQ26))/AS33</f>
        <v>492.26251685515382</v>
      </c>
      <c r="AT26" s="4189">
        <f>+((AP26*AP33)+(AR33*AR26))/(AT33)</f>
        <v>526.01932076799858</v>
      </c>
      <c r="AU26" s="4186">
        <v>461.42837831089201</v>
      </c>
      <c r="AV26" s="4187">
        <f>+'POWER DISTRIBUTION'!AZ17/'Maj Production Summ'!AV18</f>
        <v>458.26913323555954</v>
      </c>
      <c r="AW26" s="4189">
        <f>+'POWER DISTRIBUTION'!BA17/'Maj Production Summ'!AW18</f>
        <v>489.41576131615312</v>
      </c>
      <c r="AX26" s="4189">
        <f>+'POWER DISTRIBUTION'!BB17/'Maj Production Summ'!AX18</f>
        <v>519.3517956123676</v>
      </c>
      <c r="AY26" s="4428">
        <v>454.78649369260927</v>
      </c>
      <c r="AZ26" s="4429">
        <f>+'POWER DISTRIBUTION'!BD17/'Maj Production Summ'!AZ18</f>
        <v>469.05453483830655</v>
      </c>
      <c r="BA26" s="4430">
        <f>+'POWER DISTRIBUTION'!BE17/'Maj Production Summ'!BA18</f>
        <v>456.82534232015115</v>
      </c>
      <c r="BB26" s="4430">
        <f>+'POWER DISTRIBUTION'!BF17/'Maj Production Summ'!BB18</f>
        <v>461.79380215642448</v>
      </c>
      <c r="BC26" s="4432">
        <f>+'POWER DISTRIBUTION'!BG17/'Maj Production Summ'!BC18</f>
        <v>302.94290611167776</v>
      </c>
      <c r="BD26" s="4432">
        <f>+'POWER DISTRIBUTION'!BH17/'Maj Production Summ'!BD18</f>
        <v>315.67909445919406</v>
      </c>
      <c r="BE26" s="4431">
        <f>+'POWER DISTRIBUTION'!BI17/'Maj Production Summ'!BE18</f>
        <v>486.14726114397098</v>
      </c>
      <c r="BF26" s="4431">
        <f>+'POWER DISTRIBUTION'!BJ17/'Maj Production Summ'!BF18</f>
        <v>514.38475747997404</v>
      </c>
      <c r="BG26" s="4337">
        <v>487.7465843305942</v>
      </c>
      <c r="BH26" s="4335">
        <v>580.20285834899937</v>
      </c>
      <c r="BI26" s="4337">
        <v>448.29125296551734</v>
      </c>
      <c r="BJ26" s="4159">
        <v>538.52023832812074</v>
      </c>
      <c r="BK26" s="4150">
        <v>565.51993685574621</v>
      </c>
    </row>
    <row r="27" spans="1:67" x14ac:dyDescent="0.25">
      <c r="B27" s="2052" t="s">
        <v>404</v>
      </c>
      <c r="C27" s="3620" t="s">
        <v>32</v>
      </c>
      <c r="D27" s="522">
        <v>4.3</v>
      </c>
      <c r="E27" s="4219">
        <v>4.3</v>
      </c>
      <c r="F27" s="4219">
        <v>3.7175599079047323</v>
      </c>
      <c r="G27" s="4219">
        <v>4.3</v>
      </c>
      <c r="H27" s="4220">
        <v>4.1764989484978718</v>
      </c>
      <c r="I27" s="4216">
        <f>+((E27*E33)+(G27*G33))/I33</f>
        <v>4.3</v>
      </c>
      <c r="J27" s="4216">
        <f>+((F27*F33)+(H27*H33))/J33</f>
        <v>3.9216672157195274</v>
      </c>
      <c r="K27" s="4219">
        <v>4.3</v>
      </c>
      <c r="L27" s="4220">
        <v>3.3800539148175197</v>
      </c>
      <c r="M27" s="4217">
        <f>+((I27*I33)+(K27*K33))/M33</f>
        <v>4.3</v>
      </c>
      <c r="N27" s="4217">
        <f>+((J27*J33)+(L27*L33))/N33</f>
        <v>3.6397681820702101</v>
      </c>
      <c r="O27" s="4219">
        <v>4.3</v>
      </c>
      <c r="P27" s="4220">
        <v>3.7609869664355036</v>
      </c>
      <c r="Q27" s="4216">
        <f>+((M27*M33)+(O27*O33))/Q33</f>
        <v>4.3</v>
      </c>
      <c r="R27" s="4216">
        <f>+((N27*N33)+(P27*P33))/R33</f>
        <v>3.680260684953284</v>
      </c>
      <c r="S27" s="4219">
        <v>4.3</v>
      </c>
      <c r="T27" s="4220">
        <v>3.5007920309262577</v>
      </c>
      <c r="U27" s="4216">
        <f>+((Q27*Q33)+(S27*S33))/U33</f>
        <v>4.3</v>
      </c>
      <c r="V27" s="4216">
        <f>+((R27*R33)+(T27*T33))/V33</f>
        <v>3.6324997917854311</v>
      </c>
      <c r="W27" s="4219">
        <v>4.3</v>
      </c>
      <c r="X27" s="4220">
        <v>3.65</v>
      </c>
      <c r="Y27" s="4217">
        <f>+((O27*O33)+(S27*S33)+(W27*W33))/Y33</f>
        <v>4.3</v>
      </c>
      <c r="Z27" s="4217">
        <f>+((P27*P33)+(T27*T33)+(X27*X33))/Z33</f>
        <v>3.6337634225999151</v>
      </c>
      <c r="AA27" s="4218">
        <f>+((M27*M33)+(Y27*Y33))/AA33</f>
        <v>4.3</v>
      </c>
      <c r="AB27" s="4218">
        <f>+((N27*N33)+(Z27*Z33))/AB33</f>
        <v>3.6360951900772061</v>
      </c>
      <c r="AC27" s="4219">
        <v>4.3</v>
      </c>
      <c r="AD27" s="4220">
        <v>3.4</v>
      </c>
      <c r="AE27" s="4216">
        <f>+((AA27*AA33)+(AC27*AC33))/AE33</f>
        <v>4.3</v>
      </c>
      <c r="AF27" s="4216">
        <f>+((AB27*AB33)+(AD27*AD33))/AF33</f>
        <v>3.5937111281647653</v>
      </c>
      <c r="AG27" s="4219">
        <v>4.3</v>
      </c>
      <c r="AH27" s="4220">
        <v>3.28</v>
      </c>
      <c r="AI27" s="4216">
        <f>+((AE27*AE33)+(AG27*AG33))/AI33</f>
        <v>4.3</v>
      </c>
      <c r="AJ27" s="4216">
        <f>+((AF27*AF33)+(AH27*AH33))/AJ33</f>
        <v>3.5491691936929741</v>
      </c>
      <c r="AK27" s="4219">
        <v>4.3</v>
      </c>
      <c r="AL27" s="4220">
        <v>3.04</v>
      </c>
      <c r="AM27" s="4217">
        <f>+((AC27*AC33)+(AG27*AG33)+(AK27*AK33))/AM33</f>
        <v>4.3</v>
      </c>
      <c r="AN27" s="4217">
        <f>+((AD27*AD33)+(AH27*AH33)+(AL27*AL33))/AN33</f>
        <v>3.237216791480944</v>
      </c>
      <c r="AO27" s="4216">
        <f>+((AI27*AI33)+(AK27*AK33))/AO33</f>
        <v>4.3</v>
      </c>
      <c r="AP27" s="4216">
        <f>+((AJ27*AJ33)+(AL27*AL33))/AP33</f>
        <v>3.4797199854204361</v>
      </c>
      <c r="AQ27" s="4219">
        <v>4.3</v>
      </c>
      <c r="AR27" s="4220">
        <v>2.91</v>
      </c>
      <c r="AS27" s="4216">
        <f>+((AO27*AO33)+(AQ27*AQ33))/AS33</f>
        <v>4.3</v>
      </c>
      <c r="AT27" s="4216">
        <f>+((AP27*AP33)+(AR27*AR33))/AT33</f>
        <v>3.4099618549845943</v>
      </c>
      <c r="AU27" s="4219">
        <v>4.3</v>
      </c>
      <c r="AV27" s="4220">
        <v>2.86</v>
      </c>
      <c r="AW27" s="4216">
        <f>+((AS27*AS33)+(AU27*AU33))/AW33</f>
        <v>4.2999999999999989</v>
      </c>
      <c r="AX27" s="4216">
        <f>+((AT27*AT33)+(AV27*AV33))/AX33</f>
        <v>3.355838248300973</v>
      </c>
      <c r="AY27" s="4447">
        <v>4.3</v>
      </c>
      <c r="AZ27" s="4572">
        <v>2.99</v>
      </c>
      <c r="BA27" s="4450">
        <f>+((AQ27*AQ33)+(AU27*AU33)+(AY27*AY33))/BA33</f>
        <v>4.3</v>
      </c>
      <c r="BB27" s="4450">
        <f>+((AR27*AR33)+(AV27*AV33)+(AZ27*AZ33))/BB33</f>
        <v>2.9220776581782455</v>
      </c>
      <c r="BC27" s="4449">
        <f>+((AM27*AM33)+(BA27*BA33))/BC33</f>
        <v>4.3</v>
      </c>
      <c r="BD27" s="4449">
        <f>+((AN27*AN33)+(BB27*BB33))/BD33</f>
        <v>3.0775907943790086</v>
      </c>
      <c r="BE27" s="4448">
        <f>+((AW27*AW33)+(AY27*AY33))/BE33</f>
        <v>4.2999999999999989</v>
      </c>
      <c r="BF27" s="4448">
        <f>+((AX27*AX33)+(AZ27*AZ33))/BF33</f>
        <v>3.3197103856374044</v>
      </c>
      <c r="BG27" s="4337">
        <v>4.3000000000000007</v>
      </c>
      <c r="BH27" s="4337">
        <v>5.0407393881131286</v>
      </c>
      <c r="BI27" s="4337">
        <v>4.5999999999999988</v>
      </c>
      <c r="BJ27" s="4160">
        <v>5.0056729201905341</v>
      </c>
      <c r="BK27" s="4324">
        <v>5.0192042238753487</v>
      </c>
    </row>
    <row r="28" spans="1:67" x14ac:dyDescent="0.25">
      <c r="B28" s="28" t="s">
        <v>411</v>
      </c>
      <c r="C28" s="3620" t="s">
        <v>467</v>
      </c>
      <c r="D28" s="522">
        <v>2.4500000000000002</v>
      </c>
      <c r="E28" s="4219">
        <v>2.4500000000000002</v>
      </c>
      <c r="F28" s="4219">
        <v>4.2</v>
      </c>
      <c r="G28" s="4219">
        <v>2.4500000000000002</v>
      </c>
      <c r="H28" s="4220">
        <v>4.09</v>
      </c>
      <c r="I28" s="4216">
        <f>+((E28*E33)+(G28*G33))/I33</f>
        <v>2.4500000000000002</v>
      </c>
      <c r="J28" s="4216">
        <f>+((F28*F33)+(H28*H33))/J33</f>
        <v>4.1510788974705441</v>
      </c>
      <c r="K28" s="4219">
        <v>2.4500000000000002</v>
      </c>
      <c r="L28" s="4220">
        <v>2.44</v>
      </c>
      <c r="M28" s="4217">
        <f>+((I28*I33)+(K28*K33))/M33</f>
        <v>2.4500000000000002</v>
      </c>
      <c r="N28" s="4217">
        <f>+((J28*J33)+(L28*L33))/N33</f>
        <v>3.2604961017907237</v>
      </c>
      <c r="O28" s="4219">
        <v>2.4500000000000002</v>
      </c>
      <c r="P28" s="4220">
        <v>2.4300000000000002</v>
      </c>
      <c r="Q28" s="4216">
        <f>+((M28*M33)+(O28*O33))/Q33</f>
        <v>2.4499999999999997</v>
      </c>
      <c r="R28" s="4216">
        <v>2.94</v>
      </c>
      <c r="S28" s="4219">
        <v>2.4500000000000002</v>
      </c>
      <c r="T28" s="4220">
        <v>2.1800000000000002</v>
      </c>
      <c r="U28" s="4216">
        <f>+((Q28*Q33)+(S28*S33))/U33</f>
        <v>2.4499999999999997</v>
      </c>
      <c r="V28" s="4216">
        <v>2.74</v>
      </c>
      <c r="W28" s="4219">
        <v>2.4500000000000002</v>
      </c>
      <c r="X28" s="4220">
        <v>2.41</v>
      </c>
      <c r="Y28" s="4217">
        <f>+((O28*O33)+(S28*S33)+(W28*W33))/Y33</f>
        <v>2.4500000000000002</v>
      </c>
      <c r="Z28" s="4217">
        <f>+((P28*P33)+(T28*T33)+(X28*X33))/Z33</f>
        <v>2.3368610689813938</v>
      </c>
      <c r="AA28" s="4218">
        <f>+((M28*M33)+(Y28*Y33))/AA33</f>
        <v>2.4499999999999997</v>
      </c>
      <c r="AB28" s="4218">
        <v>2.67</v>
      </c>
      <c r="AC28" s="4219">
        <v>2.4500000000000002</v>
      </c>
      <c r="AD28" s="4220">
        <v>2.36</v>
      </c>
      <c r="AE28" s="4216">
        <f>+((AA28*AA33)+(AC28*AC33))/AE33</f>
        <v>2.4499999999999997</v>
      </c>
      <c r="AF28" s="4216">
        <f>+((AB28*AB33)+(AD28*AD33))/AF33+0.01</f>
        <v>2.6243484672916888</v>
      </c>
      <c r="AG28" s="4219">
        <v>2.4500000000000002</v>
      </c>
      <c r="AH28" s="4220">
        <v>2.2999999999999998</v>
      </c>
      <c r="AI28" s="4216">
        <f>+((AE28*AE33)+(AG28*AG33))/AI33</f>
        <v>2.4499999999999997</v>
      </c>
      <c r="AJ28" s="4216">
        <f>+((AF28*AF33)+(AH28*AH33))/AJ33-0.01</f>
        <v>2.5682962017547633</v>
      </c>
      <c r="AK28" s="4219">
        <v>2.4500000000000002</v>
      </c>
      <c r="AL28" s="4220">
        <v>2.3199999999999998</v>
      </c>
      <c r="AM28" s="4217">
        <f>+((AC28*AC33)+(AG28*AG33)+(AK28*AK33))/AM33</f>
        <v>2.4500000000000002</v>
      </c>
      <c r="AN28" s="4217">
        <f>+((AD28*AD33)+(AH28*AH33)+(AL28*AL33))/AN33</f>
        <v>2.3273170175596345</v>
      </c>
      <c r="AO28" s="4216">
        <f>+((AI28*AI33)+(AK28*AK33))/AO33</f>
        <v>2.4500000000000002</v>
      </c>
      <c r="AP28" s="4216">
        <f>+((AJ28*AJ33)+(AL28*AL33))/AP33</f>
        <v>2.5344293165571785</v>
      </c>
      <c r="AQ28" s="4219">
        <v>2.4500000000000002</v>
      </c>
      <c r="AR28" s="4220">
        <v>2.2799999999999998</v>
      </c>
      <c r="AS28" s="4216">
        <f>+((AO28*AO33)+(AQ28*AQ33))/AS33</f>
        <v>2.4500000000000002</v>
      </c>
      <c r="AT28" s="4216">
        <f>+((AP28*AP33)+(AR28*AR33))/AT33</f>
        <v>2.5032762696125466</v>
      </c>
      <c r="AU28" s="4219">
        <v>2.4500000000000002</v>
      </c>
      <c r="AV28" s="4220">
        <v>2.27</v>
      </c>
      <c r="AW28" s="4216">
        <f>+((AS28*AS33)+(AU28*AU33))/AW33</f>
        <v>2.4499999999999997</v>
      </c>
      <c r="AX28" s="4216">
        <f>+((AT28*AT33)+(AV28*AV33))/AX33</f>
        <v>2.4803187627405734</v>
      </c>
      <c r="AY28" s="4447">
        <v>2.4500000000000002</v>
      </c>
      <c r="AZ28" s="4572">
        <v>2.31</v>
      </c>
      <c r="BA28" s="4450">
        <f>+((AQ28*AQ33)+(AU28*AU33)+(AY28*AY33))/BA33</f>
        <v>2.4500000000000002</v>
      </c>
      <c r="BB28" s="4450">
        <f>+((AR28*AR33)+(AV28*AV33)+(AZ28*AZ33))/BB33</f>
        <v>2.2872337989215707</v>
      </c>
      <c r="BC28" s="4449">
        <f>+((AM28*AM33)+(BA28*BA33))/BC33</f>
        <v>2.4499999999999997</v>
      </c>
      <c r="BD28" s="4449">
        <f>+((AN28*AN33)+(BB28*BB33))/BD33</f>
        <v>2.3070138464646948</v>
      </c>
      <c r="BE28" s="4448">
        <f>+((AW28*AW33)+(AY28*AY33))/BE33</f>
        <v>2.4499999999999997</v>
      </c>
      <c r="BF28" s="4448">
        <f>+((AX28*AX33)+(AZ28*AZ33))/BF33+0.01</f>
        <v>2.4734991631008487</v>
      </c>
      <c r="BG28" s="4336">
        <v>2.4499999999999997</v>
      </c>
      <c r="BH28" s="4337">
        <v>2.6211067789738518</v>
      </c>
      <c r="BI28" s="4336">
        <v>2.456658</v>
      </c>
      <c r="BJ28" s="4160">
        <v>2.4355941599645199</v>
      </c>
      <c r="BK28" s="4323">
        <v>2.6099530027409332</v>
      </c>
    </row>
    <row r="29" spans="1:67" x14ac:dyDescent="0.25">
      <c r="B29" s="28" t="s">
        <v>412</v>
      </c>
      <c r="C29" s="3620" t="s">
        <v>468</v>
      </c>
      <c r="D29" s="522">
        <v>0.55000000000000004</v>
      </c>
      <c r="E29" s="4219">
        <v>0.55000000000000016</v>
      </c>
      <c r="F29" s="4219">
        <v>0.57999999999999996</v>
      </c>
      <c r="G29" s="4219">
        <v>0.55000000000000016</v>
      </c>
      <c r="H29" s="4220">
        <v>0.69</v>
      </c>
      <c r="I29" s="4216">
        <f>+((E29*E33)+(G29*G33))/I33</f>
        <v>0.55000000000000016</v>
      </c>
      <c r="J29" s="4216">
        <f>+((F29*F33)+(H29*H33))/J33</f>
        <v>0.62892110252945654</v>
      </c>
      <c r="K29" s="4219">
        <v>0.55000000000000016</v>
      </c>
      <c r="L29" s="4220">
        <v>0.48</v>
      </c>
      <c r="M29" s="4217">
        <f>+((I29*I33)+(K29*K33))/M33</f>
        <v>0.55000000000000016</v>
      </c>
      <c r="N29" s="4217">
        <f>+((J29*J33)+(L29*L33))/N33</f>
        <v>0.55141060782201556</v>
      </c>
      <c r="O29" s="4219">
        <v>0.55000000000000016</v>
      </c>
      <c r="P29" s="4220">
        <v>0.54</v>
      </c>
      <c r="Q29" s="4216">
        <f>+((M29*M33)+(O29*O33))/Q33</f>
        <v>0.55000000000000004</v>
      </c>
      <c r="R29" s="4216">
        <v>0.55000000000000004</v>
      </c>
      <c r="S29" s="4219">
        <v>0.55000000000000016</v>
      </c>
      <c r="T29" s="4220">
        <v>0.53</v>
      </c>
      <c r="U29" s="4216">
        <f>+((Q29*Q33)+(S29*S33))/U33</f>
        <v>0.55000000000000004</v>
      </c>
      <c r="V29" s="4216">
        <v>0.54</v>
      </c>
      <c r="W29" s="4219">
        <v>0.55000000000000016</v>
      </c>
      <c r="X29" s="4220">
        <v>0.53</v>
      </c>
      <c r="Y29" s="4217">
        <f>+((O29*O33)+(S29*S33)+(W29*W33))/Y33</f>
        <v>0.55000000000000016</v>
      </c>
      <c r="Z29" s="4217">
        <f>+((P29*P33)+(T29*T33)+(X29*X33))/Z33</f>
        <v>0.53318438033204241</v>
      </c>
      <c r="AA29" s="4218">
        <f>+((M29*M33)+(Y29*Y33))/AA33</f>
        <v>0.55000000000000016</v>
      </c>
      <c r="AB29" s="4218">
        <f>+((N29*N33)+(Z29*Z33))/AB33</f>
        <v>0.54026198680488546</v>
      </c>
      <c r="AC29" s="4219">
        <v>0.55000000000000016</v>
      </c>
      <c r="AD29" s="4220">
        <v>0.55000000000000004</v>
      </c>
      <c r="AE29" s="4216">
        <f>+((AA29*AA33)+(AC29*AC33))/AE33</f>
        <v>0.55000000000000016</v>
      </c>
      <c r="AF29" s="4216">
        <f>+((AB29*AB33)+(AD29*AD33))/AF33</f>
        <v>0.54201016538502067</v>
      </c>
      <c r="AG29" s="4219">
        <v>0.55000000000000016</v>
      </c>
      <c r="AH29" s="4220">
        <v>0.52</v>
      </c>
      <c r="AI29" s="4216">
        <f>+((AE29*AE33)+(AG29*AG33))/AI33</f>
        <v>0.55000000000000016</v>
      </c>
      <c r="AJ29" s="4216">
        <f>+((AF29*AF33)+(AH29*AH33))/AJ33</f>
        <v>0.53888507591169477</v>
      </c>
      <c r="AK29" s="4219">
        <v>0.55000000000000016</v>
      </c>
      <c r="AL29" s="4220">
        <v>0.56000000000000005</v>
      </c>
      <c r="AM29" s="4217">
        <f>+((AC29*AC33)+(AG29*AG33)+(AK29*AK33))/AM33</f>
        <v>0.55000000000000004</v>
      </c>
      <c r="AN29" s="4217">
        <f>+((AD29*AD33)+(AH29*AH33)+(AL29*AL33))/AN33</f>
        <v>0.54409607059820941</v>
      </c>
      <c r="AO29" s="4216">
        <f>+((AI29*AI33)+(AK29*AK33))/AO33</f>
        <v>0.55000000000000016</v>
      </c>
      <c r="AP29" s="4216">
        <f>+((AJ29*AJ33)+(AL29*AL33))/AP33</f>
        <v>0.54176509060785449</v>
      </c>
      <c r="AQ29" s="4219">
        <v>0.55000000000000016</v>
      </c>
      <c r="AR29" s="4220">
        <v>0.51</v>
      </c>
      <c r="AS29" s="4216">
        <f>+((AO29*AO33)+(AQ29*AQ33))/AS33</f>
        <v>0.55000000000000004</v>
      </c>
      <c r="AT29" s="4216">
        <f>+((AP29*AP33)+(AR29*AR33))/AT33</f>
        <v>0.53787568284503251</v>
      </c>
      <c r="AU29" s="4219">
        <v>0.55000000000000016</v>
      </c>
      <c r="AV29" s="4220">
        <v>0.55000000000000004</v>
      </c>
      <c r="AW29" s="4216">
        <f>+((AS29*AS33)+(AU29*AU33))/AW33</f>
        <v>0.55000000000000004</v>
      </c>
      <c r="AX29" s="4216">
        <f>+((AT29*AT33)+(AV29*AV33))/AX33</f>
        <v>0.53906887791311831</v>
      </c>
      <c r="AY29" s="4447">
        <v>0.55000000000000016</v>
      </c>
      <c r="AZ29" s="4572">
        <v>0.54</v>
      </c>
      <c r="BA29" s="4450">
        <f>+((AQ29*AQ33)+(AU29*AU33)+(AY29*AY33))/BA33</f>
        <v>0.55000000000000016</v>
      </c>
      <c r="BB29" s="4450">
        <f>+((AR29*AR33)+(AV29*AV33)+(AZ29*AZ33))/BB33</f>
        <v>0.53268909666287589</v>
      </c>
      <c r="BC29" s="4449">
        <f>+((AM29*AM33)+(BA29*BA33))/BC33</f>
        <v>0.55000000000000004</v>
      </c>
      <c r="BD29" s="4449">
        <f>+((AN29*AN33)+(BB29*BB33))/BD33</f>
        <v>0.53831814778278297</v>
      </c>
      <c r="BE29" s="4448">
        <f>+((AW29*AW33)+(AY29*AY33))/BE33</f>
        <v>0.55000000000000004</v>
      </c>
      <c r="BF29" s="4448">
        <f>+((AX29*AX33)+(AZ29*AZ33))/BF33</f>
        <v>0.5391608296186442</v>
      </c>
      <c r="BG29" s="4338">
        <v>0.55000000000000004</v>
      </c>
      <c r="BH29" s="4337">
        <v>0.6232821487978184</v>
      </c>
      <c r="BI29" s="4338">
        <v>0.55112399999999995</v>
      </c>
      <c r="BJ29" s="4160">
        <v>0.57147495070586141</v>
      </c>
      <c r="BK29" s="4325">
        <v>0.55061804440565798</v>
      </c>
    </row>
    <row r="30" spans="1:67" x14ac:dyDescent="0.25">
      <c r="B30" s="4194" t="s">
        <v>602</v>
      </c>
      <c r="C30" s="3620" t="s">
        <v>603</v>
      </c>
      <c r="D30" s="4184">
        <v>614.29999999999995</v>
      </c>
      <c r="E30" s="4186">
        <f t="shared" ref="E30:K30" si="36">+E39</f>
        <v>282.40390261805726</v>
      </c>
      <c r="F30" s="4187">
        <f t="shared" si="36"/>
        <v>303.65179654211732</v>
      </c>
      <c r="G30" s="4186">
        <f t="shared" si="36"/>
        <v>318.55975253004431</v>
      </c>
      <c r="H30" s="4187">
        <f t="shared" si="36"/>
        <v>254.43639954240777</v>
      </c>
      <c r="I30" s="687">
        <f t="shared" si="36"/>
        <v>300.75847021299234</v>
      </c>
      <c r="J30" s="687">
        <f t="shared" si="36"/>
        <v>278.66781502648178</v>
      </c>
      <c r="K30" s="4186">
        <f t="shared" si="36"/>
        <v>666.05996559351195</v>
      </c>
      <c r="L30" s="4187">
        <f t="shared" ref="L30:O30" si="37">+L39</f>
        <v>588.6958271421496</v>
      </c>
      <c r="M30" s="869">
        <f t="shared" si="37"/>
        <v>420.90602761083306</v>
      </c>
      <c r="N30" s="4190">
        <f t="shared" si="37"/>
        <v>380.46926793269625</v>
      </c>
      <c r="O30" s="4186">
        <f t="shared" si="37"/>
        <v>668.59447528699104</v>
      </c>
      <c r="P30" s="4187">
        <f t="shared" ref="P30:S30" si="38">+P39</f>
        <v>552.35740332598687</v>
      </c>
      <c r="Q30" s="4189">
        <f t="shared" si="38"/>
        <v>483.57096703337265</v>
      </c>
      <c r="R30" s="4189">
        <f t="shared" si="38"/>
        <v>423.89702838218557</v>
      </c>
      <c r="S30" s="4186">
        <f t="shared" si="38"/>
        <v>670.84353526524899</v>
      </c>
      <c r="T30" s="4187">
        <f t="shared" ref="T30:W30" si="39">+T39</f>
        <v>604.10375914408166</v>
      </c>
      <c r="U30" s="4189">
        <f t="shared" si="39"/>
        <v>521.28962819996252</v>
      </c>
      <c r="V30" s="4189">
        <f t="shared" si="39"/>
        <v>460.08668160050757</v>
      </c>
      <c r="W30" s="4186">
        <f t="shared" si="39"/>
        <v>677.21443898748282</v>
      </c>
      <c r="X30" s="4187">
        <f t="shared" ref="X30:AF30" si="40">+X39</f>
        <v>605.29774392274396</v>
      </c>
      <c r="Y30" s="4190">
        <f t="shared" si="40"/>
        <v>672.18118409038243</v>
      </c>
      <c r="Z30" s="4190">
        <f t="shared" si="40"/>
        <v>587.00675045797971</v>
      </c>
      <c r="AA30" s="4191">
        <f t="shared" si="40"/>
        <v>546.64938252476782</v>
      </c>
      <c r="AB30" s="4191">
        <f t="shared" si="40"/>
        <v>483.7332758039534</v>
      </c>
      <c r="AC30" s="4186">
        <f t="shared" si="40"/>
        <v>682.35743903351954</v>
      </c>
      <c r="AD30" s="4187">
        <f t="shared" si="40"/>
        <v>627.44606880002584</v>
      </c>
      <c r="AE30" s="4189">
        <f t="shared" si="40"/>
        <v>566.03193270050213</v>
      </c>
      <c r="AF30" s="4189">
        <f t="shared" si="40"/>
        <v>504.42696288835316</v>
      </c>
      <c r="AG30" s="4186">
        <f t="shared" ref="AG30:AJ30" si="41">+AG39</f>
        <v>683.32464445203152</v>
      </c>
      <c r="AH30" s="4187">
        <f t="shared" si="41"/>
        <v>594.87690863579473</v>
      </c>
      <c r="AI30" s="4189">
        <f t="shared" si="41"/>
        <v>580.27909905534284</v>
      </c>
      <c r="AJ30" s="4189">
        <f t="shared" si="41"/>
        <v>515.4746933567784</v>
      </c>
      <c r="AK30" s="4186">
        <f t="shared" ref="AK30:AN30" si="42">+AK39</f>
        <v>686.47703436769723</v>
      </c>
      <c r="AL30" s="4187">
        <f t="shared" si="42"/>
        <v>643.01729561249749</v>
      </c>
      <c r="AM30" s="4190">
        <f t="shared" si="42"/>
        <v>684.0515654420301</v>
      </c>
      <c r="AN30" s="4190">
        <f t="shared" si="42"/>
        <v>622.03706666553217</v>
      </c>
      <c r="AO30" s="687">
        <f t="shared" ref="AO30:AR30" si="43">+AO39</f>
        <v>592.05039357809233</v>
      </c>
      <c r="AP30" s="4189">
        <f t="shared" si="43"/>
        <v>529.68413840619053</v>
      </c>
      <c r="AQ30" s="4186">
        <f t="shared" si="43"/>
        <v>690.82426975335807</v>
      </c>
      <c r="AR30" s="4187">
        <f t="shared" si="43"/>
        <v>661.54254057811033</v>
      </c>
      <c r="AS30" s="4189">
        <f t="shared" ref="AS30:AX30" si="44">+AS39</f>
        <v>601.84562916206437</v>
      </c>
      <c r="AT30" s="4189">
        <f t="shared" si="44"/>
        <v>542.80745295753388</v>
      </c>
      <c r="AU30" s="4186">
        <f t="shared" si="44"/>
        <v>681.80378566146101</v>
      </c>
      <c r="AV30" s="4187">
        <f t="shared" si="44"/>
        <v>657.41114682742034</v>
      </c>
      <c r="AW30" s="4189">
        <f t="shared" si="44"/>
        <v>608.5019986076544</v>
      </c>
      <c r="AX30" s="4189">
        <f t="shared" si="44"/>
        <v>552.30532502927804</v>
      </c>
      <c r="AY30" s="4428">
        <f t="shared" ref="AY30:BF30" si="45">+AY39</f>
        <v>696.46797070615537</v>
      </c>
      <c r="AZ30" s="4429">
        <f t="shared" si="45"/>
        <v>667.83132328453621</v>
      </c>
      <c r="BA30" s="4430">
        <f t="shared" si="45"/>
        <v>689.99029938672777</v>
      </c>
      <c r="BB30" s="4430">
        <f t="shared" si="45"/>
        <v>662.43180935109706</v>
      </c>
      <c r="BC30" s="4432">
        <f t="shared" si="45"/>
        <v>687.02127610088689</v>
      </c>
      <c r="BD30" s="4432">
        <f t="shared" si="45"/>
        <v>641.90128892913015</v>
      </c>
      <c r="BE30" s="4431">
        <f t="shared" si="45"/>
        <v>615.77607331821741</v>
      </c>
      <c r="BF30" s="4431">
        <f t="shared" si="45"/>
        <v>561.88093987319337</v>
      </c>
      <c r="BG30" s="4188">
        <v>549.90657676580804</v>
      </c>
      <c r="BH30" s="4222">
        <v>459.24950351799106</v>
      </c>
      <c r="BI30" s="4188">
        <v>562.64319308862753</v>
      </c>
      <c r="BJ30" s="4229">
        <v>490.34382042747291</v>
      </c>
      <c r="BK30" s="4156">
        <v>421.02863329539394</v>
      </c>
    </row>
    <row r="31" spans="1:67" ht="16.5" customHeight="1" thickBot="1" x14ac:dyDescent="0.3">
      <c r="B31" s="2054" t="s">
        <v>613</v>
      </c>
      <c r="C31" s="2793" t="s">
        <v>201</v>
      </c>
      <c r="D31" s="3651">
        <v>4020</v>
      </c>
      <c r="E31" s="555">
        <v>4087</v>
      </c>
      <c r="F31" s="555">
        <v>4068</v>
      </c>
      <c r="G31" s="555">
        <v>4080</v>
      </c>
      <c r="H31" s="555">
        <v>4057</v>
      </c>
      <c r="I31" s="1595">
        <f>+AVERAGE(E31,G31)</f>
        <v>4083.5</v>
      </c>
      <c r="J31" s="1595">
        <f>+AVERAGE(F31,H31)</f>
        <v>4062.5</v>
      </c>
      <c r="K31" s="555">
        <v>4069</v>
      </c>
      <c r="L31" s="555">
        <v>4038</v>
      </c>
      <c r="M31" s="1167">
        <f>+AVERAGE(E31,G31,K31)</f>
        <v>4078.6666666666665</v>
      </c>
      <c r="N31" s="1167">
        <f>+AVERAGE(F31,H31,L31)</f>
        <v>4054.3333333333335</v>
      </c>
      <c r="O31" s="555">
        <v>4056</v>
      </c>
      <c r="P31" s="555">
        <v>4025</v>
      </c>
      <c r="Q31" s="1595">
        <f>+AVERAGE(E31,G31,K31,O31)</f>
        <v>4073</v>
      </c>
      <c r="R31" s="1595">
        <f>+AVERAGE(F31,H31,L31,P31)</f>
        <v>4047</v>
      </c>
      <c r="S31" s="555">
        <v>4044</v>
      </c>
      <c r="T31" s="555">
        <v>4004</v>
      </c>
      <c r="U31" s="1595">
        <f>AVERAGE(E31,G31,K31,O31,S31)</f>
        <v>4067.2</v>
      </c>
      <c r="V31" s="1595">
        <f>AVERAGE(F31,H31,L31,P31,T31)</f>
        <v>4038.4</v>
      </c>
      <c r="W31" s="555">
        <v>4026</v>
      </c>
      <c r="X31" s="555">
        <v>4004</v>
      </c>
      <c r="Y31" s="1167">
        <f>+AVERAGE(O31,S31,W31)</f>
        <v>4042</v>
      </c>
      <c r="Z31" s="1167">
        <f>+AVERAGE(P31,T31,X31)</f>
        <v>4011</v>
      </c>
      <c r="AA31" s="3652">
        <f>+AVERAGE(M31,Y31)</f>
        <v>4060.333333333333</v>
      </c>
      <c r="AB31" s="3652">
        <f>+AVERAGE(N31,Z31)</f>
        <v>4032.666666666667</v>
      </c>
      <c r="AC31" s="555">
        <v>3998</v>
      </c>
      <c r="AD31" s="555">
        <v>4006</v>
      </c>
      <c r="AE31" s="1595">
        <f>+AVERAGE(E31,G31,K31,O31,S31,W31,AC31)</f>
        <v>4051.4285714285716</v>
      </c>
      <c r="AF31" s="1595">
        <f>+AVERAGE(F31,H31,L31,P31,T31,X31,AD31)</f>
        <v>4028.8571428571427</v>
      </c>
      <c r="AG31" s="555">
        <v>3990</v>
      </c>
      <c r="AH31" s="555">
        <v>3995</v>
      </c>
      <c r="AI31" s="1595">
        <f>+AVERAGE(E31,G31,K31,O31,S31,W31,AC31,AG31)</f>
        <v>4043.75</v>
      </c>
      <c r="AJ31" s="1595">
        <f>+AVERAGE(F31,H31,L31,P31,T31,X31,AD31,AH31)</f>
        <v>4024.625</v>
      </c>
      <c r="AK31" s="555">
        <v>3974</v>
      </c>
      <c r="AL31" s="555">
        <v>3975</v>
      </c>
      <c r="AM31" s="1167">
        <f>+AVERAGE(AC31,AG31,AK31)</f>
        <v>3987.3333333333335</v>
      </c>
      <c r="AN31" s="1167">
        <f>+AVERAGE(AD31,AH31,AL31)</f>
        <v>3992</v>
      </c>
      <c r="AO31" s="1595">
        <f>+AVERAGE(E31,G31,K31,O31,S31,W31,AC31,AG31,AK31)</f>
        <v>4036</v>
      </c>
      <c r="AP31" s="1595">
        <f>+AVERAGE(F31,H31,L31,P31,T31,X31,AD31,AH31,AL31)</f>
        <v>4019.1111111111113</v>
      </c>
      <c r="AQ31" s="555">
        <v>3949</v>
      </c>
      <c r="AR31" s="555">
        <v>3945</v>
      </c>
      <c r="AS31" s="1595">
        <f>+AVERAGE(E31,G31,K31,O31,S31,W31,AC31,AG31,AK31,AQ31)</f>
        <v>4027.3</v>
      </c>
      <c r="AT31" s="1595">
        <f>+AVERAGE(F31,H31,L31,P31,T31,X31,AD31,AH31,AL31,AR31)</f>
        <v>4011.7</v>
      </c>
      <c r="AU31" s="555">
        <v>3925</v>
      </c>
      <c r="AV31" s="555">
        <v>3922</v>
      </c>
      <c r="AW31" s="1595">
        <f>+AVERAGE(E31,G31,K31,O31,S31,W31,AC31,AG31,AK31,AQ31,AU31)</f>
        <v>4018</v>
      </c>
      <c r="AX31" s="1595">
        <f>+AVERAGE(F31,H31,L31,P31,T31,X31,AD31,AH31,AL31,AR31,AV31)</f>
        <v>4003.5454545454545</v>
      </c>
      <c r="AY31" s="555">
        <v>3917</v>
      </c>
      <c r="AZ31" s="555">
        <v>3908</v>
      </c>
      <c r="BA31" s="1167">
        <f>+AVERAGE(AQ31,AU31,AY31)</f>
        <v>3930.3333333333335</v>
      </c>
      <c r="BB31" s="1167">
        <f>+AVERAGE(AR31,AV31,AZ31)</f>
        <v>3925</v>
      </c>
      <c r="BC31" s="3652">
        <f>+AVERAGE(AM31,BA31)</f>
        <v>3958.8333333333335</v>
      </c>
      <c r="BD31" s="3652">
        <f>+AVERAGE(AN31,BB31)</f>
        <v>3958.5</v>
      </c>
      <c r="BE31" s="1595">
        <f>+AVERAGE(E31,G31,K31,O31,S31,W31,AC31,AG31,AK31,AQ31,AU31,AY31)</f>
        <v>4009.5833333333335</v>
      </c>
      <c r="BF31" s="1595">
        <f>+AVERAGE(F31,H31,L31,P31,T31,X31,AD31,AH31,AL31,AR31,AV31,AZ31)</f>
        <v>3995.5833333333335</v>
      </c>
      <c r="BG31" s="3653">
        <v>4196.5983072916661</v>
      </c>
      <c r="BH31" s="3653">
        <v>4090.302734375</v>
      </c>
      <c r="BI31" s="3653">
        <v>4470.8032786885242</v>
      </c>
      <c r="BJ31" s="3374">
        <v>4421.333333333333</v>
      </c>
      <c r="BK31" s="4161">
        <v>4614.4191780821911</v>
      </c>
    </row>
    <row r="32" spans="1:67" s="334" customFormat="1" ht="15" hidden="1" customHeight="1" x14ac:dyDescent="0.25">
      <c r="A32" s="343"/>
      <c r="B32" s="1790"/>
      <c r="C32" s="1790"/>
      <c r="D32" s="1790"/>
      <c r="E32" s="1790"/>
      <c r="F32" s="1790"/>
      <c r="G32" s="1790"/>
      <c r="H32" s="1790"/>
      <c r="I32" s="1790"/>
      <c r="J32" s="1790"/>
      <c r="K32" s="1790"/>
      <c r="L32" s="1790"/>
      <c r="M32" s="1790"/>
      <c r="N32" s="343"/>
      <c r="O32" s="343"/>
      <c r="P32" s="343"/>
      <c r="Q32" s="343"/>
      <c r="R32" s="343"/>
      <c r="S32" s="343"/>
      <c r="T32" s="343"/>
      <c r="U32" s="343"/>
      <c r="V32" s="343"/>
      <c r="W32" s="343"/>
      <c r="X32" s="343"/>
      <c r="Y32" s="1790"/>
      <c r="Z32" s="343"/>
      <c r="AA32" s="343"/>
      <c r="AB32" s="343"/>
      <c r="AC32" s="343"/>
      <c r="AD32" s="343"/>
      <c r="AE32" s="343"/>
      <c r="AF32" s="343"/>
      <c r="AG32" s="343"/>
      <c r="AH32" s="343"/>
      <c r="AI32" s="343"/>
      <c r="AJ32" s="343"/>
      <c r="AK32" s="343"/>
      <c r="AL32" s="343"/>
      <c r="AM32" s="1790"/>
      <c r="AN32" s="343"/>
      <c r="AO32" s="343"/>
      <c r="AP32" s="343"/>
      <c r="AQ32" s="343"/>
      <c r="AR32" s="343"/>
      <c r="AS32" s="343"/>
      <c r="AT32" s="343"/>
      <c r="AU32" s="343"/>
      <c r="AV32" s="343"/>
      <c r="AW32" s="343"/>
      <c r="AX32" s="343"/>
      <c r="AY32" s="343"/>
      <c r="AZ32" s="343"/>
      <c r="BA32" s="1790"/>
      <c r="BB32" s="343"/>
      <c r="BC32" s="343"/>
      <c r="BD32" s="343"/>
      <c r="BE32" s="343"/>
      <c r="BF32" s="343"/>
      <c r="BG32" s="343"/>
      <c r="BH32" s="343"/>
      <c r="BI32" s="343"/>
      <c r="BJ32" s="343"/>
    </row>
    <row r="33" spans="1:64" s="334" customFormat="1" ht="15" hidden="1" customHeight="1" x14ac:dyDescent="0.25">
      <c r="A33" s="343"/>
      <c r="B33" s="343"/>
      <c r="C33" s="1790" t="s">
        <v>661</v>
      </c>
      <c r="D33" s="1790"/>
      <c r="E33" s="1093">
        <f>'Maj Production Summ'!E18</f>
        <v>93897</v>
      </c>
      <c r="F33" s="1093">
        <f>'Maj Production Summ'!F18</f>
        <v>99859</v>
      </c>
      <c r="G33" s="1093">
        <f>'Maj Production Summ'!G18</f>
        <v>97183</v>
      </c>
      <c r="H33" s="1093">
        <f>'Maj Production Summ'!H18</f>
        <v>79982</v>
      </c>
      <c r="I33" s="1093">
        <f>+E33+G33</f>
        <v>191080</v>
      </c>
      <c r="J33" s="1093">
        <f>+F33+H33</f>
        <v>179841</v>
      </c>
      <c r="K33" s="1093">
        <f>'Maj Production Summ'!K18</f>
        <v>222369</v>
      </c>
      <c r="L33" s="1093">
        <f>'Maj Production Summ'!L18</f>
        <v>195203</v>
      </c>
      <c r="M33" s="1093">
        <f>+I33+K33</f>
        <v>413449</v>
      </c>
      <c r="N33" s="1093">
        <f>+J33+L33</f>
        <v>375044</v>
      </c>
      <c r="O33" s="1093">
        <f>'Maj Production Summ'!O18</f>
        <v>229931.92488262913</v>
      </c>
      <c r="P33" s="1093">
        <f>'Maj Production Summ'!P18</f>
        <v>188123</v>
      </c>
      <c r="Q33" s="1093">
        <f>+M33+O33</f>
        <v>643380.92488262919</v>
      </c>
      <c r="R33" s="1093">
        <f>+N33+P33</f>
        <v>563167</v>
      </c>
      <c r="S33" s="1093">
        <f>'Maj Production Summ'!S18</f>
        <v>230119.71830985916</v>
      </c>
      <c r="T33" s="1093">
        <f>'Maj Production Summ'!T18</f>
        <v>204220</v>
      </c>
      <c r="U33" s="1093">
        <f>+Q33+S33</f>
        <v>873500.64319248835</v>
      </c>
      <c r="V33" s="1093">
        <f>+R33+T33</f>
        <v>767387</v>
      </c>
      <c r="W33" s="1093">
        <f>'Maj Production Summ'!W18</f>
        <v>223802.81690140846</v>
      </c>
      <c r="X33" s="1093">
        <f>'Maj Production Summ'!X18</f>
        <v>198425</v>
      </c>
      <c r="Y33" s="1093">
        <f t="shared" ref="Y33:Z36" si="46">+O33+S33+W33</f>
        <v>683854.46009389672</v>
      </c>
      <c r="Z33" s="1093">
        <f t="shared" si="46"/>
        <v>590768</v>
      </c>
      <c r="AA33" s="1093">
        <f>+M33+Y33</f>
        <v>1097303.4600938968</v>
      </c>
      <c r="AB33" s="1093">
        <f>+N33+Z33</f>
        <v>965812</v>
      </c>
      <c r="AC33" s="1093">
        <f>'Maj Production Summ'!AC18</f>
        <v>231408.45070422534</v>
      </c>
      <c r="AD33" s="1093">
        <f>'Maj Production Summ'!AD18</f>
        <v>211320</v>
      </c>
      <c r="AE33" s="1093">
        <f>+AA33+AC33</f>
        <v>1328711.9107981222</v>
      </c>
      <c r="AF33" s="1093">
        <f>+AB33+AD33</f>
        <v>1177132</v>
      </c>
      <c r="AG33" s="1093">
        <f>'Maj Production Summ'!AG18</f>
        <v>223802.81690140846</v>
      </c>
      <c r="AH33" s="1093">
        <f>'Maj Production Summ'!AH18</f>
        <v>194791</v>
      </c>
      <c r="AI33" s="1093">
        <f>+AE33+AG33</f>
        <v>1552514.7276995305</v>
      </c>
      <c r="AJ33" s="1093">
        <f>+AF33+AH33</f>
        <v>1371923</v>
      </c>
      <c r="AK33" s="1093">
        <f>'Maj Production Summ'!AK18</f>
        <v>231408</v>
      </c>
      <c r="AL33" s="1093">
        <f>'Maj Production Summ'!AL18</f>
        <v>216681</v>
      </c>
      <c r="AM33" s="1093">
        <f t="shared" ref="AM33:AM36" si="47">+AC33+AG33+AK33</f>
        <v>686619.26760563382</v>
      </c>
      <c r="AN33" s="1093">
        <f t="shared" ref="AN33:AN36" si="48">+AD33+AH33+AL33</f>
        <v>622792</v>
      </c>
      <c r="AO33" s="1093">
        <f>'Maj Production Summ'!AO18</f>
        <v>1783922.7276995305</v>
      </c>
      <c r="AP33" s="1093">
        <f>'Maj Production Summ'!AP18</f>
        <v>1588604</v>
      </c>
      <c r="AQ33" s="1093">
        <f>'Maj Production Summ'!AQ18</f>
        <v>231408.45070422534</v>
      </c>
      <c r="AR33" s="1093">
        <f>'Maj Production Summ'!AR18</f>
        <v>221653</v>
      </c>
      <c r="AS33" s="1093">
        <f>'Maj Production Summ'!AS18</f>
        <v>2015331.1784037559</v>
      </c>
      <c r="AT33" s="1093">
        <f>'Maj Production Summ'!AT18</f>
        <v>1810257</v>
      </c>
      <c r="AU33" s="1093">
        <f>'Maj Production Summ'!AU18</f>
        <v>204998.0938967136</v>
      </c>
      <c r="AV33" s="1093">
        <f>'Maj Production Summ'!AV18</f>
        <v>197600</v>
      </c>
      <c r="AW33" s="1093">
        <f>+AS33+AU33</f>
        <v>2220329.2723004697</v>
      </c>
      <c r="AX33" s="1093">
        <f>+AT33+AV33</f>
        <v>2007857</v>
      </c>
      <c r="AY33" s="1093">
        <f>'Maj Production Summ'!AY18</f>
        <v>231408.45070422534</v>
      </c>
      <c r="AZ33" s="1093">
        <f>'Maj Production Summ'!AZ18</f>
        <v>220010</v>
      </c>
      <c r="BA33" s="1093">
        <f t="shared" ref="BA33:BA36" si="49">+AQ33+AU33+AY33</f>
        <v>667814.99530516425</v>
      </c>
      <c r="BB33" s="1093">
        <f t="shared" ref="BB33:BB36" si="50">+AR33+AV33+AZ33</f>
        <v>639263</v>
      </c>
      <c r="BC33" s="1093">
        <f t="shared" ref="BC33:BD36" si="51">+AM33+BA33</f>
        <v>1354434.2629107982</v>
      </c>
      <c r="BD33" s="1093">
        <f t="shared" si="51"/>
        <v>1262055</v>
      </c>
      <c r="BE33" s="1093">
        <f>+AW33+AY33</f>
        <v>2451737.723004695</v>
      </c>
      <c r="BF33" s="1093">
        <f>+AX33+AZ33</f>
        <v>2227867</v>
      </c>
      <c r="BG33" s="343"/>
      <c r="BH33" s="343"/>
      <c r="BI33" s="343"/>
      <c r="BJ33" s="343"/>
    </row>
    <row r="34" spans="1:64" s="334" customFormat="1" ht="15" hidden="1" customHeight="1" x14ac:dyDescent="0.25">
      <c r="A34" s="343"/>
      <c r="B34" s="343">
        <f>81-47</f>
        <v>34</v>
      </c>
      <c r="C34" s="1790" t="s">
        <v>664</v>
      </c>
      <c r="D34" s="1790"/>
      <c r="E34" s="1093">
        <f>'Maj Production Summ'!E24</f>
        <v>1935</v>
      </c>
      <c r="F34" s="1093">
        <f>'Maj Production Summ'!F24</f>
        <v>3337.7</v>
      </c>
      <c r="G34" s="1093">
        <f>'Maj Production Summ'!G24</f>
        <v>26409</v>
      </c>
      <c r="H34" s="1093">
        <f>'Maj Production Summ'!H24</f>
        <v>15376.836499999999</v>
      </c>
      <c r="I34" s="1093">
        <f>+E34+G34</f>
        <v>28344</v>
      </c>
      <c r="J34" s="1093">
        <f t="shared" ref="J34:J36" si="52">+F34+H34</f>
        <v>18714.536499999998</v>
      </c>
      <c r="K34" s="1093">
        <f>'Maj Production Summ'!K24</f>
        <v>774</v>
      </c>
      <c r="L34" s="1093">
        <f>'Maj Production Summ'!L24</f>
        <v>359</v>
      </c>
      <c r="M34" s="1093">
        <f t="shared" ref="M34:N36" si="53">+I34+K34</f>
        <v>29118</v>
      </c>
      <c r="N34" s="1093">
        <f t="shared" si="53"/>
        <v>19073.536499999998</v>
      </c>
      <c r="O34" s="1093">
        <f>'Maj Production Summ'!O24</f>
        <v>773.93075356415477</v>
      </c>
      <c r="P34" s="1093">
        <f>'Maj Production Summ'!P24</f>
        <v>1400</v>
      </c>
      <c r="Q34" s="1093">
        <f t="shared" ref="Q34:Q36" si="54">+M34+O34</f>
        <v>29891.930753564156</v>
      </c>
      <c r="R34" s="1093">
        <f t="shared" ref="R34:R36" si="55">+N34+P34</f>
        <v>20473.536499999998</v>
      </c>
      <c r="S34" s="1093">
        <f>'Maj Production Summ'!S24</f>
        <v>580.44806517311611</v>
      </c>
      <c r="T34" s="1093">
        <f>'Maj Production Summ'!T24</f>
        <v>2430</v>
      </c>
      <c r="U34" s="1093">
        <f t="shared" ref="U34:U36" si="56">+Q34+S34</f>
        <v>30472.378818737274</v>
      </c>
      <c r="V34" s="1093">
        <f t="shared" ref="V34:V36" si="57">+R34+T34</f>
        <v>22903.536499999998</v>
      </c>
      <c r="W34" s="1093">
        <f>'Maj Production Summ'!W24</f>
        <v>580.44806517311611</v>
      </c>
      <c r="X34" s="1093">
        <f>'Maj Production Summ'!X24</f>
        <v>1552</v>
      </c>
      <c r="Y34" s="1093">
        <f t="shared" si="46"/>
        <v>1934.8268839103871</v>
      </c>
      <c r="Z34" s="1093">
        <f t="shared" si="46"/>
        <v>5382</v>
      </c>
      <c r="AA34" s="1093">
        <f t="shared" ref="AA34:AB36" si="58">+M34+Y34</f>
        <v>31052.826883910388</v>
      </c>
      <c r="AB34" s="1093">
        <f t="shared" si="58"/>
        <v>24455.536499999998</v>
      </c>
      <c r="AC34" s="1093">
        <f>'Maj Production Summ'!AC24</f>
        <v>580.44806517311611</v>
      </c>
      <c r="AD34" s="1093">
        <f>'Maj Production Summ'!AD24</f>
        <v>4319</v>
      </c>
      <c r="AE34" s="1093">
        <f t="shared" ref="AE34:AE36" si="59">+AA34+AC34</f>
        <v>31633.274949083505</v>
      </c>
      <c r="AF34" s="1093">
        <f t="shared" ref="AF34:AF36" si="60">+AB34+AD34</f>
        <v>28774.536499999998</v>
      </c>
      <c r="AG34" s="1093">
        <f>'Maj Production Summ'!AG24</f>
        <v>580.44806517311611</v>
      </c>
      <c r="AH34" s="1093">
        <f>'Maj Production Summ'!AH24</f>
        <v>1081</v>
      </c>
      <c r="AI34" s="1093">
        <f t="shared" ref="AI34:AI36" si="61">+AE34+AG34</f>
        <v>32213.723014256622</v>
      </c>
      <c r="AJ34" s="1093">
        <f t="shared" ref="AJ34:AJ36" si="62">+AF34+AH34</f>
        <v>29855.536499999998</v>
      </c>
      <c r="AK34" s="1093">
        <f>'Maj Production Summ'!AK24</f>
        <v>580.44806517311611</v>
      </c>
      <c r="AL34" s="1093">
        <f>'Maj Production Summ'!AL24</f>
        <v>806.80137999999988</v>
      </c>
      <c r="AM34" s="1093">
        <f t="shared" si="47"/>
        <v>1741.3441955193484</v>
      </c>
      <c r="AN34" s="1093">
        <f t="shared" si="48"/>
        <v>6206.8013799999999</v>
      </c>
      <c r="AO34" s="1093">
        <f>'Maj Production Summ'!AO24</f>
        <v>32794.17107942974</v>
      </c>
      <c r="AP34" s="1093">
        <f>'Maj Production Summ'!AP24</f>
        <v>30662.337879999999</v>
      </c>
      <c r="AQ34" s="1093">
        <f>'Maj Production Summ'!AQ24</f>
        <v>580.44806517311611</v>
      </c>
      <c r="AR34" s="1093">
        <f>'Maj Production Summ'!AR24</f>
        <v>0</v>
      </c>
      <c r="AS34" s="1093">
        <f>'Maj Production Summ'!AS24</f>
        <v>33374.619144602853</v>
      </c>
      <c r="AT34" s="1093">
        <f>'Maj Production Summ'!AT24</f>
        <v>30662.337879999999</v>
      </c>
      <c r="AU34" s="1093">
        <f>'Maj Production Summ'!AU24</f>
        <v>580.44806517311611</v>
      </c>
      <c r="AV34" s="1093">
        <f>'Maj Production Summ'!AV24</f>
        <v>385</v>
      </c>
      <c r="AW34" s="1093">
        <f t="shared" ref="AW34:AW36" si="63">+AS34+AU34</f>
        <v>33955.067209775967</v>
      </c>
      <c r="AX34" s="1093">
        <f t="shared" ref="AX34:AX36" si="64">+AT34+AV34</f>
        <v>31047.337879999999</v>
      </c>
      <c r="AY34" s="1093">
        <f>'Maj Production Summ'!AY24</f>
        <v>580.44806517311611</v>
      </c>
      <c r="AZ34" s="1093">
        <f>'Maj Production Summ'!AZ24</f>
        <v>3302.8994699999998</v>
      </c>
      <c r="BA34" s="1093">
        <f t="shared" si="49"/>
        <v>1741.3441955193484</v>
      </c>
      <c r="BB34" s="1093">
        <f t="shared" si="50"/>
        <v>3687.8994699999998</v>
      </c>
      <c r="BC34" s="1093">
        <f t="shared" si="51"/>
        <v>3482.6883910386969</v>
      </c>
      <c r="BD34" s="1093">
        <f t="shared" si="51"/>
        <v>9894.7008499999993</v>
      </c>
      <c r="BE34" s="1093">
        <f t="shared" ref="BE34:BE36" si="65">+AW34+AY34</f>
        <v>34535.515274949081</v>
      </c>
      <c r="BF34" s="1093">
        <f t="shared" ref="BF34:BF36" si="66">+AX34+AZ34</f>
        <v>34350.237349999996</v>
      </c>
      <c r="BG34" s="343"/>
      <c r="BH34" s="343"/>
      <c r="BI34" s="343"/>
      <c r="BJ34" s="343"/>
    </row>
    <row r="35" spans="1:64" s="334" customFormat="1" ht="15" hidden="1" customHeight="1" x14ac:dyDescent="0.25">
      <c r="A35" s="343"/>
      <c r="B35" s="343"/>
      <c r="C35" s="1790" t="s">
        <v>662</v>
      </c>
      <c r="D35" s="1790"/>
      <c r="E35" s="1093">
        <f>+E34/2</f>
        <v>967.5</v>
      </c>
      <c r="F35" s="1093">
        <f>+F34/2</f>
        <v>1668.85</v>
      </c>
      <c r="G35" s="1093">
        <f>+G34/2</f>
        <v>13204.5</v>
      </c>
      <c r="H35" s="1093">
        <f>+H34/2</f>
        <v>7688.4182499999997</v>
      </c>
      <c r="I35" s="1093">
        <f>+E35+G35</f>
        <v>14172</v>
      </c>
      <c r="J35" s="1093">
        <f t="shared" si="52"/>
        <v>9357.2682499999992</v>
      </c>
      <c r="K35" s="1093">
        <f>+K34/2</f>
        <v>387</v>
      </c>
      <c r="L35" s="1093">
        <f>+L34/2</f>
        <v>179.5</v>
      </c>
      <c r="M35" s="1093">
        <f t="shared" si="53"/>
        <v>14559</v>
      </c>
      <c r="N35" s="1093">
        <f t="shared" si="53"/>
        <v>9536.7682499999992</v>
      </c>
      <c r="O35" s="1093">
        <f>+O34/2</f>
        <v>386.96537678207739</v>
      </c>
      <c r="P35" s="1093">
        <f>+P34/2</f>
        <v>700</v>
      </c>
      <c r="Q35" s="1093">
        <f t="shared" si="54"/>
        <v>14945.965376782078</v>
      </c>
      <c r="R35" s="1093">
        <f t="shared" si="55"/>
        <v>10236.768249999999</v>
      </c>
      <c r="S35" s="1093">
        <f>+S34/2</f>
        <v>290.22403258655805</v>
      </c>
      <c r="T35" s="1093">
        <f>+T34/2</f>
        <v>1215</v>
      </c>
      <c r="U35" s="1093">
        <f t="shared" si="56"/>
        <v>15236.189409368637</v>
      </c>
      <c r="V35" s="1093">
        <f t="shared" si="57"/>
        <v>11451.768249999999</v>
      </c>
      <c r="W35" s="1093">
        <f>+W34/2</f>
        <v>290.22403258655805</v>
      </c>
      <c r="X35" s="1093">
        <f>+X34/2</f>
        <v>776</v>
      </c>
      <c r="Y35" s="1093">
        <f t="shared" si="46"/>
        <v>967.41344195519355</v>
      </c>
      <c r="Z35" s="1093">
        <f t="shared" si="46"/>
        <v>2691</v>
      </c>
      <c r="AA35" s="1093">
        <f t="shared" si="58"/>
        <v>15526.413441955194</v>
      </c>
      <c r="AB35" s="1093">
        <f t="shared" si="58"/>
        <v>12227.768249999999</v>
      </c>
      <c r="AC35" s="1093">
        <f>+AC34/2</f>
        <v>290.22403258655805</v>
      </c>
      <c r="AD35" s="1093">
        <f>+AD34/2</f>
        <v>2159.5</v>
      </c>
      <c r="AE35" s="1093">
        <f t="shared" si="59"/>
        <v>15816.637474541752</v>
      </c>
      <c r="AF35" s="1093">
        <f t="shared" si="60"/>
        <v>14387.268249999999</v>
      </c>
      <c r="AG35" s="1093">
        <f>+AG34/2</f>
        <v>290.22403258655805</v>
      </c>
      <c r="AH35" s="1093">
        <f>+AH34/2</f>
        <v>540.5</v>
      </c>
      <c r="AI35" s="1093">
        <f t="shared" si="61"/>
        <v>16106.861507128311</v>
      </c>
      <c r="AJ35" s="1093">
        <f t="shared" si="62"/>
        <v>14927.768249999999</v>
      </c>
      <c r="AK35" s="1093">
        <f>+AK34/2</f>
        <v>290.22403258655805</v>
      </c>
      <c r="AL35" s="1093">
        <f>+AL34/2</f>
        <v>403.40068999999994</v>
      </c>
      <c r="AM35" s="1093">
        <f t="shared" si="47"/>
        <v>870.67209775967422</v>
      </c>
      <c r="AN35" s="1093">
        <f t="shared" si="48"/>
        <v>3103.4006899999999</v>
      </c>
      <c r="AO35" s="1093">
        <f t="shared" ref="AO35:AP35" si="67">+AO34/2</f>
        <v>16397.08553971487</v>
      </c>
      <c r="AP35" s="1093">
        <f t="shared" si="67"/>
        <v>15331.16894</v>
      </c>
      <c r="AQ35" s="1093">
        <f t="shared" ref="AQ35:AT35" si="68">+AQ34/2</f>
        <v>290.22403258655805</v>
      </c>
      <c r="AR35" s="1093">
        <f t="shared" si="68"/>
        <v>0</v>
      </c>
      <c r="AS35" s="1093">
        <f t="shared" si="68"/>
        <v>16687.309572301427</v>
      </c>
      <c r="AT35" s="1093">
        <f t="shared" si="68"/>
        <v>15331.16894</v>
      </c>
      <c r="AU35" s="1093">
        <f t="shared" ref="AU35:AV35" si="69">+AU34/2</f>
        <v>290.22403258655805</v>
      </c>
      <c r="AV35" s="1093">
        <f t="shared" si="69"/>
        <v>192.5</v>
      </c>
      <c r="AW35" s="1093">
        <f t="shared" si="63"/>
        <v>16977.533604887984</v>
      </c>
      <c r="AX35" s="1093">
        <f t="shared" si="64"/>
        <v>15523.66894</v>
      </c>
      <c r="AY35" s="1093">
        <f t="shared" ref="AY35:AZ35" si="70">+AY34/2</f>
        <v>290.22403258655805</v>
      </c>
      <c r="AZ35" s="1093">
        <f t="shared" si="70"/>
        <v>1651.4497349999999</v>
      </c>
      <c r="BA35" s="1093">
        <f t="shared" si="49"/>
        <v>870.67209775967422</v>
      </c>
      <c r="BB35" s="1093">
        <f t="shared" si="50"/>
        <v>1843.9497349999999</v>
      </c>
      <c r="BC35" s="1093">
        <f t="shared" si="51"/>
        <v>1741.3441955193484</v>
      </c>
      <c r="BD35" s="1093">
        <f t="shared" si="51"/>
        <v>4947.3504249999996</v>
      </c>
      <c r="BE35" s="1093">
        <f t="shared" si="65"/>
        <v>17267.75763747454</v>
      </c>
      <c r="BF35" s="1093">
        <f t="shared" si="66"/>
        <v>17175.118674999998</v>
      </c>
      <c r="BG35" s="343"/>
      <c r="BH35" s="343"/>
      <c r="BI35" s="343"/>
      <c r="BJ35" s="343"/>
    </row>
    <row r="36" spans="1:64" s="334" customFormat="1" ht="15" hidden="1" customHeight="1" x14ac:dyDescent="0.25">
      <c r="A36" s="343"/>
      <c r="B36" s="343"/>
      <c r="C36" s="1790" t="s">
        <v>663</v>
      </c>
      <c r="D36" s="1790"/>
      <c r="E36" s="1093">
        <f>+E33+E35</f>
        <v>94864.5</v>
      </c>
      <c r="F36" s="1093">
        <f>+F33+F35</f>
        <v>101527.85</v>
      </c>
      <c r="G36" s="1093">
        <f>+G33+G35</f>
        <v>110387.5</v>
      </c>
      <c r="H36" s="1093">
        <f>+H33+H35</f>
        <v>87670.418250000002</v>
      </c>
      <c r="I36" s="1093">
        <f>+E36+G36</f>
        <v>205252</v>
      </c>
      <c r="J36" s="1093">
        <f t="shared" si="52"/>
        <v>189198.26825000002</v>
      </c>
      <c r="K36" s="1093">
        <f>+K33+K35</f>
        <v>222756</v>
      </c>
      <c r="L36" s="1093">
        <f>+L33+L35</f>
        <v>195382.5</v>
      </c>
      <c r="M36" s="1093">
        <f t="shared" si="53"/>
        <v>428008</v>
      </c>
      <c r="N36" s="1093">
        <f t="shared" si="53"/>
        <v>384580.76825000002</v>
      </c>
      <c r="O36" s="1093">
        <f>+O33+O35</f>
        <v>230318.89025941122</v>
      </c>
      <c r="P36" s="1093">
        <f>+P33+P35</f>
        <v>188823</v>
      </c>
      <c r="Q36" s="1093">
        <f t="shared" si="54"/>
        <v>658326.89025941119</v>
      </c>
      <c r="R36" s="1093">
        <f t="shared" si="55"/>
        <v>573403.76824999996</v>
      </c>
      <c r="S36" s="1093">
        <f>+S33+S35</f>
        <v>230409.94234244572</v>
      </c>
      <c r="T36" s="1093">
        <f>+T33+T35</f>
        <v>205435</v>
      </c>
      <c r="U36" s="1093">
        <f t="shared" si="56"/>
        <v>888736.83260185691</v>
      </c>
      <c r="V36" s="1093">
        <f t="shared" si="57"/>
        <v>778838.76824999996</v>
      </c>
      <c r="W36" s="1093">
        <f>+W33+W35</f>
        <v>224093.04093399501</v>
      </c>
      <c r="X36" s="1093">
        <f>+X33+X35</f>
        <v>199201</v>
      </c>
      <c r="Y36" s="1093">
        <f t="shared" si="46"/>
        <v>684821.87353585195</v>
      </c>
      <c r="Z36" s="1093">
        <f t="shared" si="46"/>
        <v>593459</v>
      </c>
      <c r="AA36" s="1093">
        <f t="shared" si="58"/>
        <v>1112829.8735358519</v>
      </c>
      <c r="AB36" s="1093">
        <f t="shared" si="58"/>
        <v>978039.76824999996</v>
      </c>
      <c r="AC36" s="1093">
        <f>+AC33+AC35</f>
        <v>231698.6747368119</v>
      </c>
      <c r="AD36" s="1093">
        <f>+AD33+AD35</f>
        <v>213479.5</v>
      </c>
      <c r="AE36" s="1093">
        <f t="shared" si="59"/>
        <v>1344528.5482726637</v>
      </c>
      <c r="AF36" s="1093">
        <f t="shared" si="60"/>
        <v>1191519.26825</v>
      </c>
      <c r="AG36" s="1093">
        <f>+AG33+AG35</f>
        <v>224093.04093399501</v>
      </c>
      <c r="AH36" s="1093">
        <f>+AH33+AH35</f>
        <v>195331.5</v>
      </c>
      <c r="AI36" s="1093">
        <f t="shared" si="61"/>
        <v>1568621.5892066588</v>
      </c>
      <c r="AJ36" s="1093">
        <f t="shared" si="62"/>
        <v>1386850.76825</v>
      </c>
      <c r="AK36" s="1093">
        <f>+AK33+AK35</f>
        <v>231698.22403258656</v>
      </c>
      <c r="AL36" s="1093">
        <f>+AL33+AL35</f>
        <v>217084.40069000001</v>
      </c>
      <c r="AM36" s="1093">
        <f t="shared" si="47"/>
        <v>687489.93970339349</v>
      </c>
      <c r="AN36" s="1093">
        <f t="shared" si="48"/>
        <v>625895.40069000004</v>
      </c>
      <c r="AO36" s="1093">
        <f t="shared" ref="AO36:AP36" si="71">+AO33+AO35</f>
        <v>1800319.8132392454</v>
      </c>
      <c r="AP36" s="1093">
        <f t="shared" si="71"/>
        <v>1603935.16894</v>
      </c>
      <c r="AQ36" s="1093">
        <f t="shared" ref="AQ36:AT36" si="72">+AQ33+AQ35</f>
        <v>231698.6747368119</v>
      </c>
      <c r="AR36" s="1093">
        <f t="shared" si="72"/>
        <v>221653</v>
      </c>
      <c r="AS36" s="1093">
        <f t="shared" si="72"/>
        <v>2032018.4879760572</v>
      </c>
      <c r="AT36" s="1093">
        <f t="shared" si="72"/>
        <v>1825588.16894</v>
      </c>
      <c r="AU36" s="1093">
        <f t="shared" ref="AU36:AV36" si="73">+AU33+AU35</f>
        <v>205288.31792930016</v>
      </c>
      <c r="AV36" s="1093">
        <f t="shared" si="73"/>
        <v>197792.5</v>
      </c>
      <c r="AW36" s="1093">
        <f t="shared" si="63"/>
        <v>2237306.8059053575</v>
      </c>
      <c r="AX36" s="1093">
        <f t="shared" si="64"/>
        <v>2023380.66894</v>
      </c>
      <c r="AY36" s="1093">
        <f t="shared" ref="AY36:AZ36" si="74">+AY33+AY35</f>
        <v>231698.6747368119</v>
      </c>
      <c r="AZ36" s="1093">
        <f t="shared" si="74"/>
        <v>221661.449735</v>
      </c>
      <c r="BA36" s="1093">
        <f t="shared" si="49"/>
        <v>668685.66740292392</v>
      </c>
      <c r="BB36" s="1093">
        <f t="shared" si="50"/>
        <v>641106.94973500003</v>
      </c>
      <c r="BC36" s="1093">
        <f t="shared" si="51"/>
        <v>1356175.6071063173</v>
      </c>
      <c r="BD36" s="1093">
        <f t="shared" si="51"/>
        <v>1267002.3504250001</v>
      </c>
      <c r="BE36" s="1093">
        <f t="shared" si="65"/>
        <v>2469005.4806421692</v>
      </c>
      <c r="BF36" s="1093">
        <f t="shared" si="66"/>
        <v>2245042.118675</v>
      </c>
      <c r="BG36" s="343"/>
      <c r="BH36" s="343"/>
      <c r="BI36" s="343"/>
      <c r="BJ36" s="343"/>
    </row>
    <row r="37" spans="1:64" s="334" customFormat="1" ht="15" hidden="1" customHeight="1" x14ac:dyDescent="0.25">
      <c r="A37" s="343"/>
      <c r="B37" s="343"/>
      <c r="C37" s="343"/>
      <c r="D37" s="343"/>
      <c r="E37" s="1093"/>
      <c r="F37" s="1093"/>
      <c r="G37" s="1093"/>
      <c r="H37" s="1093"/>
      <c r="I37" s="1093"/>
      <c r="J37" s="1093"/>
      <c r="K37" s="1093"/>
      <c r="L37" s="1093"/>
      <c r="M37" s="1093"/>
      <c r="N37" s="1093"/>
      <c r="O37" s="1093"/>
      <c r="P37" s="1093"/>
      <c r="Q37" s="1093"/>
      <c r="R37" s="1093"/>
      <c r="S37" s="1093"/>
      <c r="T37" s="1093"/>
      <c r="U37" s="1093"/>
      <c r="V37" s="1093"/>
      <c r="W37" s="1093"/>
      <c r="X37" s="1093"/>
      <c r="Y37" s="1093"/>
      <c r="Z37" s="1093"/>
      <c r="AA37" s="1093"/>
      <c r="AB37" s="1093"/>
      <c r="AC37" s="1093"/>
      <c r="AD37" s="1093"/>
      <c r="AE37" s="1093"/>
      <c r="AF37" s="1093"/>
      <c r="AG37" s="1093"/>
      <c r="AH37" s="1093"/>
      <c r="AI37" s="1093"/>
      <c r="AJ37" s="1093"/>
      <c r="AK37" s="1093"/>
      <c r="AL37" s="1093"/>
      <c r="AM37" s="1093"/>
      <c r="AN37" s="1093"/>
      <c r="AO37" s="1093"/>
      <c r="AP37" s="1093"/>
      <c r="AQ37" s="1093"/>
      <c r="AR37" s="1093"/>
      <c r="AS37" s="1093"/>
      <c r="AT37" s="1093"/>
      <c r="AU37" s="1093"/>
      <c r="AV37" s="1093"/>
      <c r="AW37" s="1093"/>
      <c r="AX37" s="1093"/>
      <c r="AY37" s="1093"/>
      <c r="AZ37" s="1093"/>
      <c r="BA37" s="1093"/>
      <c r="BB37" s="1093"/>
      <c r="BC37" s="1093"/>
      <c r="BD37" s="1093"/>
      <c r="BE37" s="1093"/>
      <c r="BF37" s="1093"/>
      <c r="BG37" s="343"/>
      <c r="BH37" s="343"/>
      <c r="BI37" s="343"/>
      <c r="BJ37" s="343"/>
    </row>
    <row r="38" spans="1:64" s="334" customFormat="1" ht="15" hidden="1" customHeight="1" x14ac:dyDescent="0.25">
      <c r="A38" s="343"/>
      <c r="B38" s="343"/>
      <c r="C38" s="343"/>
      <c r="D38" s="343"/>
      <c r="E38" s="1093"/>
      <c r="F38" s="1093"/>
      <c r="G38" s="1093"/>
      <c r="H38" s="1093"/>
      <c r="I38" s="1093"/>
      <c r="J38" s="1093"/>
      <c r="K38" s="1093"/>
      <c r="L38" s="1093"/>
      <c r="M38" s="1093"/>
      <c r="N38" s="1093"/>
      <c r="O38" s="1093"/>
      <c r="P38" s="1093"/>
      <c r="Q38" s="1093"/>
      <c r="R38" s="1093"/>
      <c r="S38" s="1093"/>
      <c r="T38" s="1093"/>
      <c r="U38" s="1093"/>
      <c r="V38" s="1093"/>
      <c r="W38" s="1093"/>
      <c r="X38" s="1093"/>
      <c r="Y38" s="1093"/>
      <c r="Z38" s="1093"/>
      <c r="AA38" s="1093"/>
      <c r="AB38" s="1093"/>
      <c r="AC38" s="1093"/>
      <c r="AD38" s="1093"/>
      <c r="AE38" s="1093"/>
      <c r="AF38" s="1093"/>
      <c r="AG38" s="1093"/>
      <c r="AH38" s="1093"/>
      <c r="AI38" s="1093"/>
      <c r="AJ38" s="1093"/>
      <c r="AK38" s="1093"/>
      <c r="AL38" s="1093"/>
      <c r="AM38" s="1093"/>
      <c r="AN38" s="1093"/>
      <c r="AO38" s="1093"/>
      <c r="AP38" s="1093"/>
      <c r="AQ38" s="1093"/>
      <c r="AR38" s="1093"/>
      <c r="AS38" s="1093"/>
      <c r="AT38" s="1093"/>
      <c r="AU38" s="1093"/>
      <c r="AV38" s="1093"/>
      <c r="AW38" s="1093"/>
      <c r="AX38" s="1093"/>
      <c r="AY38" s="1093"/>
      <c r="AZ38" s="1093"/>
      <c r="BA38" s="1093"/>
      <c r="BB38" s="1093"/>
      <c r="BC38" s="1093"/>
      <c r="BD38" s="1093"/>
      <c r="BE38" s="1093"/>
      <c r="BF38" s="1093"/>
      <c r="BG38" s="343"/>
      <c r="BH38" s="343"/>
      <c r="BI38" s="343"/>
      <c r="BJ38" s="343"/>
    </row>
    <row r="39" spans="1:64" s="334" customFormat="1" ht="15" hidden="1" customHeight="1" x14ac:dyDescent="0.25">
      <c r="A39" s="343"/>
      <c r="B39" s="343"/>
      <c r="C39" s="343"/>
      <c r="D39" s="343"/>
      <c r="E39" s="1093">
        <f t="shared" ref="E39:N39" si="75">+E36/(E31/365*E2)</f>
        <v>282.40390261805726</v>
      </c>
      <c r="F39" s="1093">
        <f t="shared" si="75"/>
        <v>303.65179654211732</v>
      </c>
      <c r="G39" s="1093">
        <f t="shared" si="75"/>
        <v>318.55975253004431</v>
      </c>
      <c r="H39" s="1093">
        <f t="shared" si="75"/>
        <v>254.43639954240777</v>
      </c>
      <c r="I39" s="1093">
        <f t="shared" si="75"/>
        <v>300.75847021299234</v>
      </c>
      <c r="J39" s="1093">
        <f t="shared" si="75"/>
        <v>278.66781502648178</v>
      </c>
      <c r="K39" s="1093">
        <f t="shared" si="75"/>
        <v>666.05996559351195</v>
      </c>
      <c r="L39" s="1093">
        <f t="shared" si="75"/>
        <v>588.6958271421496</v>
      </c>
      <c r="M39" s="1093">
        <f t="shared" si="75"/>
        <v>420.90602761083306</v>
      </c>
      <c r="N39" s="1093">
        <f t="shared" si="75"/>
        <v>380.46926793269625</v>
      </c>
      <c r="O39" s="1093">
        <f t="shared" ref="O39:R39" si="76">+O36/(O31/365*O2)</f>
        <v>668.59447528699104</v>
      </c>
      <c r="P39" s="1093">
        <f t="shared" si="76"/>
        <v>552.35740332598687</v>
      </c>
      <c r="Q39" s="1093">
        <f t="shared" si="76"/>
        <v>483.57096703337265</v>
      </c>
      <c r="R39" s="1093">
        <f t="shared" si="76"/>
        <v>423.89702838218557</v>
      </c>
      <c r="S39" s="1093">
        <f t="shared" ref="S39:V39" si="77">+S36/(S31/365*S2)</f>
        <v>670.84353526524899</v>
      </c>
      <c r="T39" s="1093">
        <f t="shared" si="77"/>
        <v>604.10375914408166</v>
      </c>
      <c r="U39" s="1093">
        <f t="shared" si="77"/>
        <v>521.28962819996252</v>
      </c>
      <c r="V39" s="1093">
        <f t="shared" si="77"/>
        <v>460.08668160050757</v>
      </c>
      <c r="W39" s="1093">
        <f t="shared" ref="W39:AF39" si="78">+W36/(W31/365*W2)</f>
        <v>677.21443898748282</v>
      </c>
      <c r="X39" s="1093">
        <f t="shared" si="78"/>
        <v>605.29774392274396</v>
      </c>
      <c r="Y39" s="1093">
        <f t="shared" si="78"/>
        <v>672.18118409038243</v>
      </c>
      <c r="Z39" s="1093">
        <f t="shared" si="78"/>
        <v>587.00675045797971</v>
      </c>
      <c r="AA39" s="1093">
        <f t="shared" si="78"/>
        <v>546.64938252476782</v>
      </c>
      <c r="AB39" s="1093">
        <f t="shared" si="78"/>
        <v>483.7332758039534</v>
      </c>
      <c r="AC39" s="1093">
        <f t="shared" si="78"/>
        <v>682.35743903351954</v>
      </c>
      <c r="AD39" s="1093">
        <f t="shared" si="78"/>
        <v>627.44606880002584</v>
      </c>
      <c r="AE39" s="1093">
        <f t="shared" si="78"/>
        <v>566.03193270050213</v>
      </c>
      <c r="AF39" s="1093">
        <f t="shared" si="78"/>
        <v>504.42696288835316</v>
      </c>
      <c r="AG39" s="1093">
        <f t="shared" ref="AG39:AJ39" si="79">+AG36/(AG31/365*AG2)</f>
        <v>683.32464445203152</v>
      </c>
      <c r="AH39" s="1093">
        <f>+AH36/(AH31/365*AH2)</f>
        <v>594.87690863579473</v>
      </c>
      <c r="AI39" s="1093">
        <f t="shared" si="79"/>
        <v>580.27909905534284</v>
      </c>
      <c r="AJ39" s="1093">
        <f t="shared" si="79"/>
        <v>515.4746933567784</v>
      </c>
      <c r="AK39" s="1093">
        <f t="shared" ref="AK39" si="80">+AK36/(AK31/365*AK2)</f>
        <v>686.47703436769723</v>
      </c>
      <c r="AL39" s="1093">
        <f>+AL36/(AL31/365*AL2)</f>
        <v>643.01729561249749</v>
      </c>
      <c r="AM39" s="1093">
        <f t="shared" ref="AM39:AN39" si="81">+AM36/(AM31/365*AM2)</f>
        <v>684.0515654420301</v>
      </c>
      <c r="AN39" s="1093">
        <f t="shared" si="81"/>
        <v>622.03706666553217</v>
      </c>
      <c r="AO39" s="1093">
        <f t="shared" ref="AO39:AP39" si="82">+AO36/(AO31/365*AO2)</f>
        <v>592.05039357809233</v>
      </c>
      <c r="AP39" s="1093">
        <f t="shared" si="82"/>
        <v>529.68413840619053</v>
      </c>
      <c r="AQ39" s="1093">
        <f t="shared" ref="AQ39:AT39" si="83">+AQ36/(AQ31/365*AQ2)</f>
        <v>690.82426975335807</v>
      </c>
      <c r="AR39" s="1093">
        <f t="shared" si="83"/>
        <v>661.54254057811033</v>
      </c>
      <c r="AS39" s="1093">
        <f t="shared" si="83"/>
        <v>601.84562916206437</v>
      </c>
      <c r="AT39" s="1093">
        <f t="shared" si="83"/>
        <v>542.80745295753388</v>
      </c>
      <c r="AU39" s="1093">
        <f t="shared" ref="AU39:AX39" si="84">+AU36/(AU31/365*AU2)</f>
        <v>681.80378566146101</v>
      </c>
      <c r="AV39" s="1093">
        <f t="shared" si="84"/>
        <v>657.41114682742034</v>
      </c>
      <c r="AW39" s="1093">
        <f t="shared" si="84"/>
        <v>608.5019986076544</v>
      </c>
      <c r="AX39" s="1093">
        <f t="shared" si="84"/>
        <v>552.30532502927804</v>
      </c>
      <c r="AY39" s="1093">
        <f t="shared" ref="AY39:BF39" si="85">+AY36/(AY31/365*AY2)</f>
        <v>696.46797070615537</v>
      </c>
      <c r="AZ39" s="1093">
        <f t="shared" si="85"/>
        <v>667.83132328453621</v>
      </c>
      <c r="BA39" s="1093">
        <f t="shared" si="85"/>
        <v>689.99029938672777</v>
      </c>
      <c r="BB39" s="1093">
        <f t="shared" si="85"/>
        <v>662.43180935109706</v>
      </c>
      <c r="BC39" s="1093">
        <f t="shared" si="85"/>
        <v>687.02127610088689</v>
      </c>
      <c r="BD39" s="1093">
        <f t="shared" si="85"/>
        <v>641.90128892913015</v>
      </c>
      <c r="BE39" s="1093">
        <f t="shared" si="85"/>
        <v>615.77607331821741</v>
      </c>
      <c r="BF39" s="1093">
        <f t="shared" si="85"/>
        <v>561.88093987319337</v>
      </c>
      <c r="BG39" s="343"/>
      <c r="BH39" s="343"/>
      <c r="BI39" s="343"/>
      <c r="BJ39" s="343"/>
    </row>
    <row r="40" spans="1:64" s="334" customFormat="1" ht="15" hidden="1" customHeight="1" x14ac:dyDescent="0.25">
      <c r="A40" s="343"/>
      <c r="B40" s="343"/>
      <c r="C40" s="343"/>
      <c r="D40" s="343"/>
      <c r="E40" s="343"/>
      <c r="F40" s="343"/>
      <c r="G40" s="343"/>
      <c r="H40" s="343"/>
      <c r="I40" s="343"/>
      <c r="J40" s="343"/>
      <c r="K40" s="343"/>
      <c r="L40" s="343"/>
      <c r="M40" s="343"/>
      <c r="N40" s="343"/>
      <c r="O40" s="343"/>
      <c r="P40" s="343"/>
      <c r="Q40" s="343"/>
      <c r="R40" s="343"/>
      <c r="S40" s="343"/>
      <c r="T40" s="343"/>
      <c r="U40" s="343"/>
      <c r="V40" s="343"/>
      <c r="W40" s="343"/>
      <c r="X40" s="343"/>
      <c r="Y40" s="343"/>
      <c r="Z40" s="343"/>
      <c r="AA40" s="343"/>
      <c r="AB40" s="343"/>
      <c r="AC40" s="343"/>
      <c r="AD40" s="343"/>
      <c r="AE40" s="343"/>
      <c r="AF40" s="343"/>
      <c r="AG40" s="343"/>
      <c r="AH40" s="343"/>
      <c r="AI40" s="343"/>
      <c r="AJ40" s="343"/>
      <c r="AK40" s="343"/>
      <c r="AL40" s="343"/>
      <c r="AM40" s="343"/>
      <c r="AN40" s="343"/>
      <c r="AO40" s="343"/>
      <c r="AP40" s="343"/>
      <c r="AQ40" s="343"/>
      <c r="AR40" s="343"/>
      <c r="AS40" s="343"/>
      <c r="AT40" s="343"/>
      <c r="AU40" s="343"/>
      <c r="AV40" s="343"/>
      <c r="AW40" s="343"/>
      <c r="AX40" s="343"/>
      <c r="AY40" s="343"/>
      <c r="AZ40" s="343"/>
      <c r="BA40" s="343"/>
      <c r="BB40" s="343"/>
      <c r="BC40" s="343"/>
      <c r="BD40" s="343"/>
      <c r="BE40" s="343"/>
      <c r="BF40" s="343"/>
      <c r="BG40" s="343"/>
      <c r="BH40" s="343"/>
      <c r="BI40" s="343"/>
      <c r="BJ40" s="343"/>
    </row>
    <row r="41" spans="1:64" s="334" customFormat="1" ht="15" hidden="1" customHeight="1" x14ac:dyDescent="0.25">
      <c r="A41" s="343"/>
      <c r="B41" s="343"/>
      <c r="C41" s="343"/>
      <c r="D41" s="343"/>
      <c r="E41" s="343"/>
      <c r="F41" s="343"/>
      <c r="G41" s="343"/>
      <c r="H41" s="343"/>
      <c r="I41" s="343"/>
      <c r="J41" s="343"/>
      <c r="K41" s="343"/>
      <c r="L41" s="343"/>
      <c r="M41" s="343"/>
      <c r="N41" s="343"/>
      <c r="O41" s="343"/>
      <c r="P41" s="343"/>
      <c r="Q41" s="343"/>
      <c r="R41" s="343"/>
      <c r="S41" s="343"/>
      <c r="T41" s="343"/>
      <c r="U41" s="343"/>
      <c r="V41" s="343"/>
      <c r="W41" s="343"/>
      <c r="X41" s="343"/>
      <c r="Y41" s="343"/>
      <c r="Z41" s="343"/>
      <c r="AA41" s="343"/>
      <c r="AB41" s="343"/>
      <c r="AC41" s="343"/>
      <c r="AD41" s="343"/>
      <c r="AE41" s="343"/>
      <c r="AF41" s="343"/>
      <c r="AG41" s="343"/>
      <c r="AH41" s="343"/>
      <c r="AI41" s="343"/>
      <c r="AJ41" s="343"/>
      <c r="AK41" s="343"/>
      <c r="AL41" s="343"/>
      <c r="AM41" s="343"/>
      <c r="AN41" s="343"/>
      <c r="AO41" s="343"/>
      <c r="AP41" s="343"/>
      <c r="AQ41" s="343"/>
      <c r="AR41" s="343"/>
      <c r="AS41" s="343"/>
      <c r="AT41" s="343"/>
      <c r="AU41" s="343"/>
      <c r="AV41" s="343"/>
      <c r="AW41" s="343"/>
      <c r="AX41" s="343"/>
      <c r="AY41" s="343"/>
      <c r="AZ41" s="343"/>
      <c r="BA41" s="343"/>
      <c r="BB41" s="343"/>
      <c r="BC41" s="343"/>
      <c r="BD41" s="343"/>
      <c r="BE41" s="343"/>
      <c r="BF41" s="343"/>
      <c r="BG41" s="343"/>
      <c r="BH41" s="343"/>
      <c r="BI41" s="343"/>
      <c r="BJ41" s="343"/>
    </row>
    <row r="42" spans="1:64" s="334" customFormat="1" ht="15" hidden="1" customHeight="1" thickBot="1" x14ac:dyDescent="0.3">
      <c r="A42" s="343"/>
      <c r="B42" s="343"/>
      <c r="C42" s="343"/>
      <c r="D42" s="343"/>
      <c r="E42" s="343"/>
      <c r="F42" s="343"/>
      <c r="G42" s="343"/>
      <c r="H42" s="343"/>
      <c r="I42" s="343"/>
      <c r="J42" s="343"/>
      <c r="K42" s="343"/>
      <c r="L42" s="343"/>
      <c r="M42" s="343"/>
      <c r="N42" s="343"/>
      <c r="O42" s="343"/>
      <c r="P42" s="343"/>
      <c r="Q42" s="343"/>
      <c r="R42" s="343"/>
      <c r="S42" s="343"/>
      <c r="T42" s="343"/>
      <c r="U42" s="343"/>
      <c r="V42" s="343"/>
      <c r="W42" s="343"/>
      <c r="X42" s="343"/>
      <c r="Y42" s="343"/>
      <c r="Z42" s="343"/>
      <c r="AA42" s="343"/>
      <c r="AB42" s="343"/>
      <c r="AC42" s="343"/>
      <c r="AD42" s="343"/>
      <c r="AE42" s="343"/>
      <c r="AF42" s="343"/>
      <c r="AG42" s="343"/>
      <c r="AH42" s="343"/>
      <c r="AI42" s="343"/>
      <c r="AJ42" s="343"/>
      <c r="AK42" s="343"/>
      <c r="AL42" s="343"/>
      <c r="AM42" s="343"/>
      <c r="AN42" s="343"/>
      <c r="AO42" s="343"/>
      <c r="AP42" s="343"/>
      <c r="AQ42" s="343"/>
      <c r="AR42" s="343"/>
      <c r="AS42" s="343"/>
      <c r="AT42" s="343"/>
      <c r="AU42" s="343"/>
      <c r="AV42" s="343"/>
      <c r="AW42" s="343"/>
      <c r="AX42" s="343"/>
      <c r="AY42" s="343"/>
      <c r="AZ42" s="343"/>
      <c r="BA42" s="343"/>
      <c r="BB42" s="343"/>
      <c r="BC42" s="343"/>
      <c r="BD42" s="343"/>
      <c r="BE42" s="343"/>
      <c r="BF42" s="343"/>
      <c r="BG42" s="343"/>
      <c r="BH42" s="343"/>
      <c r="BI42" s="343"/>
      <c r="BJ42" s="343"/>
    </row>
    <row r="43" spans="1:64" ht="15" hidden="1" customHeight="1" x14ac:dyDescent="0.25">
      <c r="B43" s="3264" t="s">
        <v>873</v>
      </c>
      <c r="C43" s="3265" t="s">
        <v>393</v>
      </c>
      <c r="D43" s="3265"/>
      <c r="E43" s="354">
        <v>100000</v>
      </c>
      <c r="F43" s="354">
        <v>106021.21212121213</v>
      </c>
      <c r="G43" s="354">
        <v>103500</v>
      </c>
      <c r="H43" s="715">
        <v>83952</v>
      </c>
      <c r="I43" s="947">
        <f>+E43+G43</f>
        <v>203500</v>
      </c>
      <c r="J43" s="947">
        <f>+F43+H43</f>
        <v>189973.21212121213</v>
      </c>
      <c r="K43" s="354">
        <v>236822.5</v>
      </c>
      <c r="L43" s="715">
        <v>205955</v>
      </c>
      <c r="M43" s="1715">
        <f>+E43+G43+K43</f>
        <v>440322.5</v>
      </c>
      <c r="N43" s="1715">
        <f>+F43+H43+L43</f>
        <v>395928.21212121216</v>
      </c>
      <c r="O43" s="354">
        <v>244877.5</v>
      </c>
      <c r="P43" s="715">
        <v>199304</v>
      </c>
      <c r="Q43" s="947">
        <f>+M43+O43</f>
        <v>685200</v>
      </c>
      <c r="R43" s="947">
        <f>+N43+P43</f>
        <v>595232.21212121216</v>
      </c>
      <c r="S43" s="354">
        <v>245077.5</v>
      </c>
      <c r="T43" s="715">
        <v>218207</v>
      </c>
      <c r="U43" s="947">
        <f>+Q43+S43</f>
        <v>930277.5</v>
      </c>
      <c r="V43" s="947">
        <f>+R43+T43</f>
        <v>813439.21212121216</v>
      </c>
      <c r="W43" s="354">
        <v>238350</v>
      </c>
      <c r="X43" s="715">
        <v>211502</v>
      </c>
      <c r="Y43" s="1715">
        <f>+O43+S43+W43</f>
        <v>728305</v>
      </c>
      <c r="Z43" s="1715">
        <f>+P43+T43+X43</f>
        <v>629013</v>
      </c>
      <c r="AA43" s="3259">
        <f>+M43+Y43</f>
        <v>1168627.5</v>
      </c>
      <c r="AB43" s="3259">
        <f>+N43+Z43</f>
        <v>1024941.2121212122</v>
      </c>
      <c r="AC43" s="354">
        <v>246450</v>
      </c>
      <c r="AD43" s="715">
        <v>226644</v>
      </c>
      <c r="AE43" s="947">
        <f>+AA43+AC43</f>
        <v>1415077.5</v>
      </c>
      <c r="AF43" s="947">
        <f>+AB43+AD43</f>
        <v>1251585.2121212122</v>
      </c>
      <c r="AG43" s="354">
        <v>238350</v>
      </c>
      <c r="AH43" s="715">
        <v>206015</v>
      </c>
      <c r="AI43" s="947">
        <f>+AE43+AG43</f>
        <v>1653427.5</v>
      </c>
      <c r="AJ43" s="947">
        <f>+AF43+AH43</f>
        <v>1457600.2121212122</v>
      </c>
      <c r="AK43" s="354">
        <v>246450</v>
      </c>
      <c r="AL43" s="715">
        <v>228959</v>
      </c>
      <c r="AM43" s="1715">
        <f>+AC43+AG43+AK43</f>
        <v>731250</v>
      </c>
      <c r="AN43" s="1715">
        <f>+AD43+AH43+AL43</f>
        <v>661618</v>
      </c>
      <c r="AO43" s="947">
        <f>+AI43+AK43</f>
        <v>1899877.5</v>
      </c>
      <c r="AP43" s="947">
        <f>+AJ43+AL43</f>
        <v>1686559.2121212122</v>
      </c>
      <c r="AQ43" s="354">
        <v>246450</v>
      </c>
      <c r="AR43" s="715">
        <v>235145</v>
      </c>
      <c r="AS43" s="947">
        <f>+AO43+AQ43</f>
        <v>2146327.5</v>
      </c>
      <c r="AT43" s="947">
        <f>+AP43+AR43</f>
        <v>1921704.2121212122</v>
      </c>
      <c r="AU43" s="354">
        <v>218322.97</v>
      </c>
      <c r="AV43" s="715">
        <v>210316</v>
      </c>
      <c r="AW43" s="947">
        <f>+AS43+AU43</f>
        <v>2364650.4700000002</v>
      </c>
      <c r="AX43" s="947">
        <f>+AT43+AV43</f>
        <v>2132020.2121212119</v>
      </c>
      <c r="AY43" s="354">
        <v>246450</v>
      </c>
      <c r="AZ43" s="715">
        <v>234103</v>
      </c>
      <c r="BA43" s="1715">
        <f>+AQ43+AU43+AY43</f>
        <v>711222.97</v>
      </c>
      <c r="BB43" s="1715">
        <f>+AR43+AV43+AZ43</f>
        <v>679564</v>
      </c>
      <c r="BC43" s="3259">
        <f t="shared" ref="BC43:BD46" si="86">+AM43+BA43</f>
        <v>1442472.97</v>
      </c>
      <c r="BD43" s="3259">
        <f t="shared" si="86"/>
        <v>1341182</v>
      </c>
      <c r="BE43" s="947">
        <f>+AW43+AY43</f>
        <v>2611100.4700000002</v>
      </c>
      <c r="BF43" s="947">
        <f>+AX43+AZ43</f>
        <v>2366123.2121212119</v>
      </c>
      <c r="BG43" s="3265"/>
      <c r="BH43" s="3265"/>
      <c r="BI43" s="3265"/>
      <c r="BJ43" s="4344"/>
      <c r="BK43" s="1726"/>
      <c r="BL43" s="1726"/>
    </row>
    <row r="44" spans="1:64" ht="15" hidden="1" customHeight="1" x14ac:dyDescent="0.25">
      <c r="B44" s="3273" t="s">
        <v>312</v>
      </c>
      <c r="C44" s="700" t="s">
        <v>393</v>
      </c>
      <c r="D44" s="700"/>
      <c r="E44" s="4186">
        <f>+(50*E33)/1000</f>
        <v>4694.8500000000004</v>
      </c>
      <c r="F44" s="4186">
        <v>4737.3</v>
      </c>
      <c r="G44" s="4186">
        <f>+(50*G33)/1000</f>
        <v>4859.1499999999996</v>
      </c>
      <c r="H44" s="4187">
        <v>4568.2000000000007</v>
      </c>
      <c r="I44" s="4189">
        <f t="shared" ref="I44:I49" si="87">+E44+G44</f>
        <v>9554</v>
      </c>
      <c r="J44" s="4189">
        <f t="shared" ref="J44:J49" si="88">+F44+H44</f>
        <v>9305.5</v>
      </c>
      <c r="K44" s="4186">
        <f>+(50*K33)/1000</f>
        <v>11118.45</v>
      </c>
      <c r="L44" s="4187">
        <v>10235</v>
      </c>
      <c r="M44" s="4190">
        <f t="shared" ref="M44:M49" si="89">+E44+G44+K44</f>
        <v>20672.45</v>
      </c>
      <c r="N44" s="4190">
        <f t="shared" ref="N44:N49" si="90">+F44+H44+L44</f>
        <v>19540.5</v>
      </c>
      <c r="O44" s="4186">
        <f>+(50*O33)/1000</f>
        <v>11496.596244131457</v>
      </c>
      <c r="P44" s="4187">
        <v>8652</v>
      </c>
      <c r="Q44" s="4189">
        <f t="shared" ref="Q44:Q46" si="91">+M44+O44</f>
        <v>32169.046244131459</v>
      </c>
      <c r="R44" s="4189">
        <f t="shared" ref="R44:R46" si="92">+N44+P44</f>
        <v>28192.5</v>
      </c>
      <c r="S44" s="4186">
        <f>+(50*S33)/1000</f>
        <v>11505.985915492958</v>
      </c>
      <c r="T44" s="4187">
        <v>8884</v>
      </c>
      <c r="U44" s="4189">
        <f t="shared" ref="U44:U46" si="93">+Q44+S44</f>
        <v>43675.032159624418</v>
      </c>
      <c r="V44" s="4189">
        <f t="shared" ref="V44:V46" si="94">+R44+T44</f>
        <v>37076.5</v>
      </c>
      <c r="W44" s="4186">
        <f>+(50*W33)/1000</f>
        <v>11190.140845070424</v>
      </c>
      <c r="X44" s="4187">
        <v>8270</v>
      </c>
      <c r="Y44" s="4190">
        <f t="shared" ref="Y44:Y49" si="95">+O44+S44+W44</f>
        <v>34192.723004694839</v>
      </c>
      <c r="Z44" s="4190">
        <f t="shared" ref="Z44:Z49" si="96">+P44+T44+X44</f>
        <v>25806</v>
      </c>
      <c r="AA44" s="4191">
        <f t="shared" ref="AA44:AB49" si="97">+M44+Y44</f>
        <v>54865.173004694836</v>
      </c>
      <c r="AB44" s="4191">
        <f t="shared" si="97"/>
        <v>45346.5</v>
      </c>
      <c r="AC44" s="4186">
        <f>+(50*AC33)/1000</f>
        <v>11570.422535211266</v>
      </c>
      <c r="AD44" s="4187">
        <v>7323</v>
      </c>
      <c r="AE44" s="4189">
        <f t="shared" ref="AE44:AE46" si="98">+AA44+AC44</f>
        <v>66435.595539906106</v>
      </c>
      <c r="AF44" s="4189">
        <f t="shared" ref="AF44:AF46" si="99">+AB44+AD44</f>
        <v>52669.5</v>
      </c>
      <c r="AG44" s="4186">
        <f>+(50*AG33)/1000</f>
        <v>11190.140845070424</v>
      </c>
      <c r="AH44" s="4187">
        <v>9758</v>
      </c>
      <c r="AI44" s="4189">
        <f t="shared" ref="AI44:AI46" si="100">+AE44+AG44</f>
        <v>77625.736384976524</v>
      </c>
      <c r="AJ44" s="4189">
        <f t="shared" ref="AJ44:AJ46" si="101">+AF44+AH44</f>
        <v>62427.5</v>
      </c>
      <c r="AK44" s="4186">
        <f>+(50*AK33)/1000</f>
        <v>11570.4</v>
      </c>
      <c r="AL44" s="4187">
        <v>11098</v>
      </c>
      <c r="AM44" s="4190">
        <f t="shared" ref="AM44:AM46" si="102">+AC44+AG44+AK44</f>
        <v>34330.96338028169</v>
      </c>
      <c r="AN44" s="4190">
        <f t="shared" ref="AN44:AN46" si="103">+AD44+AH44+AL44</f>
        <v>28179</v>
      </c>
      <c r="AO44" s="4189">
        <f t="shared" ref="AO44:AO46" si="104">+AI44+AK44</f>
        <v>89196.136384976518</v>
      </c>
      <c r="AP44" s="4189">
        <f t="shared" ref="AP44" si="105">+AJ44+AL44</f>
        <v>73525.5</v>
      </c>
      <c r="AQ44" s="4186">
        <f>+(50*AQ33)/1000</f>
        <v>11570.422535211266</v>
      </c>
      <c r="AR44" s="4187">
        <v>10358.719999999999</v>
      </c>
      <c r="AS44" s="4189">
        <f t="shared" ref="AS44:AS46" si="106">+AO44+AQ44</f>
        <v>100766.55892018779</v>
      </c>
      <c r="AT44" s="4189">
        <f t="shared" ref="AT44:AT46" si="107">+AP44+AR44</f>
        <v>83884.22</v>
      </c>
      <c r="AU44" s="4186">
        <f>+(50*AU33)/1000</f>
        <v>10249.904694835679</v>
      </c>
      <c r="AV44" s="4187">
        <v>8406</v>
      </c>
      <c r="AW44" s="4189">
        <f t="shared" ref="AW44:AW46" si="108">+AS44+AU44</f>
        <v>111016.46361502347</v>
      </c>
      <c r="AX44" s="4189">
        <f t="shared" ref="AX44:AX46" si="109">+AT44+AV44</f>
        <v>92290.22</v>
      </c>
      <c r="AY44" s="4428">
        <f>+(50*AY33)/1000</f>
        <v>11570.422535211266</v>
      </c>
      <c r="AZ44" s="4429">
        <v>9325.5400000000009</v>
      </c>
      <c r="BA44" s="4430">
        <f t="shared" ref="BA44:BA46" si="110">+AQ44+AU44+AY44</f>
        <v>33390.74976525821</v>
      </c>
      <c r="BB44" s="4430">
        <f t="shared" ref="BB44:BB46" si="111">+AR44+AV44+AZ44</f>
        <v>28090.260000000002</v>
      </c>
      <c r="BC44" s="4432">
        <f t="shared" si="86"/>
        <v>67721.713145539892</v>
      </c>
      <c r="BD44" s="4432">
        <f t="shared" si="86"/>
        <v>56269.26</v>
      </c>
      <c r="BE44" s="4431">
        <f t="shared" ref="BE44:BE46" si="112">+AW44+AY44</f>
        <v>122586.88615023474</v>
      </c>
      <c r="BF44" s="4431">
        <f t="shared" ref="BF44:BF46" si="113">+AX44+AZ44</f>
        <v>101615.76000000001</v>
      </c>
      <c r="BG44" s="700"/>
      <c r="BH44" s="700"/>
      <c r="BI44" s="700"/>
      <c r="BJ44" s="4345"/>
      <c r="BK44" s="1726"/>
      <c r="BL44" s="1726"/>
    </row>
    <row r="45" spans="1:64" ht="15" hidden="1" customHeight="1" x14ac:dyDescent="0.25">
      <c r="B45" s="3273" t="s">
        <v>86</v>
      </c>
      <c r="C45" s="700" t="s">
        <v>393</v>
      </c>
      <c r="D45" s="700"/>
      <c r="E45" s="4186">
        <f>+(E51*'Maj Production Summ'!E$18)/1000</f>
        <v>244.26177785999997</v>
      </c>
      <c r="F45" s="4186">
        <v>193</v>
      </c>
      <c r="G45" s="4186">
        <f>+(G51*'Maj Production Summ'!G$18)/1000</f>
        <v>252.80991254</v>
      </c>
      <c r="H45" s="4187">
        <v>103</v>
      </c>
      <c r="I45" s="4189">
        <f t="shared" si="87"/>
        <v>497.07169039999997</v>
      </c>
      <c r="J45" s="4189">
        <f t="shared" si="88"/>
        <v>296</v>
      </c>
      <c r="K45" s="4186">
        <f>+(K51*'Maj Production Summ'!K$18)/1000</f>
        <v>578.46626921999984</v>
      </c>
      <c r="L45" s="4187">
        <v>356</v>
      </c>
      <c r="M45" s="4190">
        <f t="shared" si="89"/>
        <v>1075.5379596199998</v>
      </c>
      <c r="N45" s="4190">
        <f t="shared" si="90"/>
        <v>652</v>
      </c>
      <c r="O45" s="4186">
        <f>+(O51*'Maj Production Summ'!O$18)/1000</f>
        <v>598.14031075117373</v>
      </c>
      <c r="P45" s="4187">
        <v>390</v>
      </c>
      <c r="Q45" s="4189">
        <f t="shared" si="91"/>
        <v>1673.6782703711735</v>
      </c>
      <c r="R45" s="4189">
        <f t="shared" si="92"/>
        <v>1042</v>
      </c>
      <c r="S45" s="4186">
        <f>+(S51*'Maj Production Summ'!S$18)/1000</f>
        <v>598.62883281690142</v>
      </c>
      <c r="T45" s="4187">
        <v>379</v>
      </c>
      <c r="U45" s="4189">
        <f t="shared" si="93"/>
        <v>2272.307103188075</v>
      </c>
      <c r="V45" s="4189">
        <f t="shared" si="94"/>
        <v>1421</v>
      </c>
      <c r="W45" s="4186">
        <f>+(W51*'Maj Production Summ'!W$18)/1000</f>
        <v>582.19617183098592</v>
      </c>
      <c r="X45" s="4187">
        <v>376</v>
      </c>
      <c r="Y45" s="4190">
        <f t="shared" si="95"/>
        <v>1778.9653153990612</v>
      </c>
      <c r="Z45" s="4190">
        <f t="shared" si="96"/>
        <v>1145</v>
      </c>
      <c r="AA45" s="4191">
        <f t="shared" si="97"/>
        <v>2854.5032750190612</v>
      </c>
      <c r="AB45" s="4191">
        <f t="shared" si="97"/>
        <v>1797</v>
      </c>
      <c r="AC45" s="4186">
        <f>+(AC51*'Maj Production Summ'!AC$18)/1000</f>
        <v>601.98131549295772</v>
      </c>
      <c r="AD45" s="4187">
        <v>413</v>
      </c>
      <c r="AE45" s="4189">
        <f t="shared" si="98"/>
        <v>3456.4845905120192</v>
      </c>
      <c r="AF45" s="4189">
        <f t="shared" si="99"/>
        <v>2210</v>
      </c>
      <c r="AG45" s="4186">
        <f>+(AG51*'Maj Production Summ'!AG$18)/1000</f>
        <v>582.19617183098592</v>
      </c>
      <c r="AH45" s="4187">
        <v>293.38</v>
      </c>
      <c r="AI45" s="4189">
        <f t="shared" si="100"/>
        <v>4038.680762343005</v>
      </c>
      <c r="AJ45" s="4189">
        <f t="shared" si="101"/>
        <v>2503.38</v>
      </c>
      <c r="AK45" s="4186">
        <f>+(AK51*'Maj Production Summ'!AK$18)/1000</f>
        <v>601.98014304000003</v>
      </c>
      <c r="AL45" s="4187">
        <v>505</v>
      </c>
      <c r="AM45" s="4190">
        <f t="shared" si="102"/>
        <v>1786.1576303639438</v>
      </c>
      <c r="AN45" s="4190">
        <f t="shared" si="103"/>
        <v>1211.3800000000001</v>
      </c>
      <c r="AO45" s="4189">
        <f t="shared" si="104"/>
        <v>4640.6609053830052</v>
      </c>
      <c r="AP45" s="4189">
        <f>+AJ45+AL45</f>
        <v>3008.38</v>
      </c>
      <c r="AQ45" s="4186">
        <f>+(AQ51*'Maj Production Summ'!AQ$18)/1000</f>
        <v>601.98131549295772</v>
      </c>
      <c r="AR45" s="4187">
        <v>425</v>
      </c>
      <c r="AS45" s="4189">
        <f t="shared" si="106"/>
        <v>5242.6422208759632</v>
      </c>
      <c r="AT45" s="4189">
        <f t="shared" si="107"/>
        <v>3433.38</v>
      </c>
      <c r="AU45" s="4186">
        <f>+(AU51*'Maj Production Summ'!AU$18)/1000</f>
        <v>533.27794150103284</v>
      </c>
      <c r="AV45" s="4187">
        <v>286.62</v>
      </c>
      <c r="AW45" s="4189">
        <f t="shared" si="108"/>
        <v>5775.9201623769959</v>
      </c>
      <c r="AX45" s="4189">
        <f t="shared" si="109"/>
        <v>3720</v>
      </c>
      <c r="AY45" s="4428">
        <f>+(AY51*'Maj Production Summ'!AY$18)/1000</f>
        <v>601.98131549295772</v>
      </c>
      <c r="AZ45" s="4429">
        <v>416</v>
      </c>
      <c r="BA45" s="4430">
        <f t="shared" si="110"/>
        <v>1737.2405724869484</v>
      </c>
      <c r="BB45" s="4430">
        <f t="shared" si="111"/>
        <v>1127.6199999999999</v>
      </c>
      <c r="BC45" s="4432">
        <f t="shared" si="86"/>
        <v>3523.3982028508922</v>
      </c>
      <c r="BD45" s="4432">
        <f t="shared" si="86"/>
        <v>2339</v>
      </c>
      <c r="BE45" s="4431">
        <f t="shared" si="112"/>
        <v>6377.9014778699539</v>
      </c>
      <c r="BF45" s="4431">
        <f t="shared" si="113"/>
        <v>4136</v>
      </c>
      <c r="BG45" s="700"/>
      <c r="BH45" s="700"/>
      <c r="BI45" s="700"/>
      <c r="BJ45" s="4345"/>
      <c r="BK45" s="1726"/>
      <c r="BL45" s="1726"/>
    </row>
    <row r="46" spans="1:64" s="1328" customFormat="1" ht="15" hidden="1" customHeight="1" x14ac:dyDescent="0.25">
      <c r="A46" s="200"/>
      <c r="B46" s="3273" t="s">
        <v>1102</v>
      </c>
      <c r="C46" s="700" t="s">
        <v>393</v>
      </c>
      <c r="D46" s="700"/>
      <c r="E46" s="4186"/>
      <c r="F46" s="4187">
        <v>72</v>
      </c>
      <c r="G46" s="4186"/>
      <c r="H46" s="4187">
        <v>34.72</v>
      </c>
      <c r="I46" s="4189">
        <f t="shared" ref="I46" si="114">+E46+G46</f>
        <v>0</v>
      </c>
      <c r="J46" s="4189">
        <f t="shared" ref="J46" si="115">+F46+H46</f>
        <v>106.72</v>
      </c>
      <c r="K46" s="4186"/>
      <c r="L46" s="4187">
        <v>67</v>
      </c>
      <c r="M46" s="4190">
        <f t="shared" ref="M46" si="116">+E46+G46+K46</f>
        <v>0</v>
      </c>
      <c r="N46" s="4190">
        <f t="shared" ref="N46" si="117">+F46+H46+L46</f>
        <v>173.72</v>
      </c>
      <c r="O46" s="4186"/>
      <c r="P46" s="4187">
        <v>110</v>
      </c>
      <c r="Q46" s="4189">
        <f t="shared" si="91"/>
        <v>0</v>
      </c>
      <c r="R46" s="4189">
        <f t="shared" si="92"/>
        <v>283.72000000000003</v>
      </c>
      <c r="S46" s="4186"/>
      <c r="T46" s="4187">
        <f>84+25</f>
        <v>109</v>
      </c>
      <c r="U46" s="4189">
        <f t="shared" si="93"/>
        <v>0</v>
      </c>
      <c r="V46" s="4189">
        <f t="shared" si="94"/>
        <v>392.72</v>
      </c>
      <c r="W46" s="4186"/>
      <c r="X46" s="4187">
        <v>79</v>
      </c>
      <c r="Y46" s="4190">
        <f t="shared" si="95"/>
        <v>0</v>
      </c>
      <c r="Z46" s="4190">
        <f t="shared" si="96"/>
        <v>298</v>
      </c>
      <c r="AA46" s="4191">
        <f t="shared" si="97"/>
        <v>0</v>
      </c>
      <c r="AB46" s="4191">
        <f t="shared" si="97"/>
        <v>471.72</v>
      </c>
      <c r="AC46" s="4186"/>
      <c r="AD46" s="4187">
        <v>58.56</v>
      </c>
      <c r="AE46" s="4189">
        <f t="shared" si="98"/>
        <v>0</v>
      </c>
      <c r="AF46" s="4189">
        <f t="shared" si="99"/>
        <v>530.28</v>
      </c>
      <c r="AG46" s="4186"/>
      <c r="AH46" s="4187">
        <v>120.66</v>
      </c>
      <c r="AI46" s="4189">
        <f t="shared" si="100"/>
        <v>0</v>
      </c>
      <c r="AJ46" s="4189">
        <f t="shared" si="101"/>
        <v>650.93999999999994</v>
      </c>
      <c r="AK46" s="4186"/>
      <c r="AL46" s="4187">
        <f>57+18.4</f>
        <v>75.400000000000006</v>
      </c>
      <c r="AM46" s="4190">
        <f t="shared" si="102"/>
        <v>0</v>
      </c>
      <c r="AN46" s="4190">
        <f t="shared" si="103"/>
        <v>254.62</v>
      </c>
      <c r="AO46" s="4189">
        <f t="shared" si="104"/>
        <v>0</v>
      </c>
      <c r="AP46" s="4189">
        <f>+AJ46+AL46</f>
        <v>726.33999999999992</v>
      </c>
      <c r="AQ46" s="4186"/>
      <c r="AR46" s="4187">
        <v>81.3</v>
      </c>
      <c r="AS46" s="4189">
        <f t="shared" si="106"/>
        <v>0</v>
      </c>
      <c r="AT46" s="4189">
        <f t="shared" si="107"/>
        <v>807.63999999999987</v>
      </c>
      <c r="AU46" s="4186"/>
      <c r="AV46" s="4187">
        <v>59.5</v>
      </c>
      <c r="AW46" s="4189">
        <f t="shared" si="108"/>
        <v>0</v>
      </c>
      <c r="AX46" s="4189">
        <f t="shared" si="109"/>
        <v>867.13999999999987</v>
      </c>
      <c r="AY46" s="4428"/>
      <c r="AZ46" s="4429">
        <v>101.2</v>
      </c>
      <c r="BA46" s="4430">
        <f t="shared" si="110"/>
        <v>0</v>
      </c>
      <c r="BB46" s="4430">
        <f t="shared" si="111"/>
        <v>242</v>
      </c>
      <c r="BC46" s="4432">
        <f t="shared" si="86"/>
        <v>0</v>
      </c>
      <c r="BD46" s="4432">
        <f t="shared" si="86"/>
        <v>496.62</v>
      </c>
      <c r="BE46" s="4431">
        <f t="shared" si="112"/>
        <v>0</v>
      </c>
      <c r="BF46" s="4431">
        <f t="shared" si="113"/>
        <v>968.33999999999992</v>
      </c>
      <c r="BG46" s="700"/>
      <c r="BH46" s="700"/>
      <c r="BI46" s="700"/>
      <c r="BJ46" s="4345"/>
      <c r="BK46" s="1726"/>
      <c r="BL46" s="1726"/>
    </row>
    <row r="47" spans="1:64" s="60" customFormat="1" ht="15.75" hidden="1" customHeight="1" x14ac:dyDescent="0.25">
      <c r="A47" s="4162"/>
      <c r="B47" s="4346" t="s">
        <v>1151</v>
      </c>
      <c r="C47" s="2448" t="s">
        <v>393</v>
      </c>
      <c r="D47" s="2448"/>
      <c r="E47" s="4185">
        <f>SUM(E45:E46)</f>
        <v>244.26177785999997</v>
      </c>
      <c r="F47" s="4185">
        <f t="shared" ref="F47:N47" si="118">SUM(F45:F46)</f>
        <v>265</v>
      </c>
      <c r="G47" s="4185">
        <f t="shared" si="118"/>
        <v>252.80991254</v>
      </c>
      <c r="H47" s="4185">
        <f t="shared" si="118"/>
        <v>137.72</v>
      </c>
      <c r="I47" s="950">
        <f t="shared" si="118"/>
        <v>497.07169039999997</v>
      </c>
      <c r="J47" s="950">
        <f t="shared" si="118"/>
        <v>402.72</v>
      </c>
      <c r="K47" s="4185">
        <f t="shared" si="118"/>
        <v>578.46626921999984</v>
      </c>
      <c r="L47" s="4185">
        <f t="shared" ref="L47" si="119">SUM(L45:L46)</f>
        <v>423</v>
      </c>
      <c r="M47" s="952">
        <f t="shared" si="118"/>
        <v>1075.5379596199998</v>
      </c>
      <c r="N47" s="952">
        <f t="shared" si="118"/>
        <v>825.72</v>
      </c>
      <c r="O47" s="4185">
        <f t="shared" ref="O47:R47" si="120">SUM(O45:O46)</f>
        <v>598.14031075117373</v>
      </c>
      <c r="P47" s="4185">
        <f t="shared" si="120"/>
        <v>500</v>
      </c>
      <c r="Q47" s="950">
        <f t="shared" si="120"/>
        <v>1673.6782703711735</v>
      </c>
      <c r="R47" s="950">
        <f t="shared" si="120"/>
        <v>1325.72</v>
      </c>
      <c r="S47" s="4185">
        <f t="shared" ref="S47:V47" si="121">SUM(S45:S46)</f>
        <v>598.62883281690142</v>
      </c>
      <c r="T47" s="4185">
        <f t="shared" si="121"/>
        <v>488</v>
      </c>
      <c r="U47" s="950">
        <f t="shared" si="121"/>
        <v>2272.307103188075</v>
      </c>
      <c r="V47" s="950">
        <f t="shared" si="121"/>
        <v>1813.72</v>
      </c>
      <c r="W47" s="4185">
        <f t="shared" ref="W47:AF47" si="122">SUM(W45:W46)</f>
        <v>582.19617183098592</v>
      </c>
      <c r="X47" s="4185">
        <f t="shared" si="122"/>
        <v>455</v>
      </c>
      <c r="Y47" s="952">
        <f t="shared" si="122"/>
        <v>1778.9653153990612</v>
      </c>
      <c r="Z47" s="952">
        <f t="shared" si="122"/>
        <v>1443</v>
      </c>
      <c r="AA47" s="1434">
        <f t="shared" si="122"/>
        <v>2854.5032750190612</v>
      </c>
      <c r="AB47" s="1434">
        <f t="shared" si="122"/>
        <v>2268.7200000000003</v>
      </c>
      <c r="AC47" s="4185">
        <f t="shared" si="122"/>
        <v>601.98131549295772</v>
      </c>
      <c r="AD47" s="4185">
        <f t="shared" si="122"/>
        <v>471.56</v>
      </c>
      <c r="AE47" s="950">
        <f t="shared" si="122"/>
        <v>3456.4845905120192</v>
      </c>
      <c r="AF47" s="950">
        <f t="shared" si="122"/>
        <v>2740.2799999999997</v>
      </c>
      <c r="AG47" s="4185">
        <f t="shared" ref="AG47:AJ47" si="123">SUM(AG45:AG46)</f>
        <v>582.19617183098592</v>
      </c>
      <c r="AH47" s="4185">
        <f t="shared" si="123"/>
        <v>414.03999999999996</v>
      </c>
      <c r="AI47" s="950">
        <f t="shared" si="123"/>
        <v>4038.680762343005</v>
      </c>
      <c r="AJ47" s="950">
        <f t="shared" si="123"/>
        <v>3154.32</v>
      </c>
      <c r="AK47" s="4185">
        <f t="shared" ref="AK47:AN47" si="124">SUM(AK45:AK46)</f>
        <v>601.98014304000003</v>
      </c>
      <c r="AL47" s="4185">
        <f t="shared" si="124"/>
        <v>580.4</v>
      </c>
      <c r="AM47" s="952">
        <f t="shared" si="124"/>
        <v>1786.1576303639438</v>
      </c>
      <c r="AN47" s="952">
        <f t="shared" si="124"/>
        <v>1466</v>
      </c>
      <c r="AO47" s="950">
        <f t="shared" ref="AO47:AP47" si="125">SUM(AO45:AO46)</f>
        <v>4640.6609053830052</v>
      </c>
      <c r="AP47" s="950">
        <f t="shared" si="125"/>
        <v>3734.7200000000003</v>
      </c>
      <c r="AQ47" s="4185">
        <f t="shared" ref="AQ47:AT47" si="126">SUM(AQ45:AQ46)</f>
        <v>601.98131549295772</v>
      </c>
      <c r="AR47" s="4185">
        <f t="shared" si="126"/>
        <v>506.3</v>
      </c>
      <c r="AS47" s="950">
        <f t="shared" si="126"/>
        <v>5242.6422208759632</v>
      </c>
      <c r="AT47" s="950">
        <f t="shared" si="126"/>
        <v>4241.0200000000004</v>
      </c>
      <c r="AU47" s="4185">
        <f t="shared" ref="AU47:AX47" si="127">SUM(AU45:AU46)</f>
        <v>533.27794150103284</v>
      </c>
      <c r="AV47" s="4185">
        <f t="shared" si="127"/>
        <v>346.12</v>
      </c>
      <c r="AW47" s="950">
        <f t="shared" si="127"/>
        <v>5775.9201623769959</v>
      </c>
      <c r="AX47" s="950">
        <f t="shared" si="127"/>
        <v>4587.1399999999994</v>
      </c>
      <c r="AY47" s="4433">
        <f t="shared" ref="AY47:BF47" si="128">SUM(AY45:AY46)</f>
        <v>601.98131549295772</v>
      </c>
      <c r="AZ47" s="4433">
        <f t="shared" si="128"/>
        <v>517.20000000000005</v>
      </c>
      <c r="BA47" s="952">
        <f t="shared" si="128"/>
        <v>1737.2405724869484</v>
      </c>
      <c r="BB47" s="952">
        <f t="shared" si="128"/>
        <v>1369.62</v>
      </c>
      <c r="BC47" s="1434">
        <f t="shared" si="128"/>
        <v>3523.3982028508922</v>
      </c>
      <c r="BD47" s="1434">
        <f t="shared" si="128"/>
        <v>2835.62</v>
      </c>
      <c r="BE47" s="950">
        <f t="shared" si="128"/>
        <v>6377.9014778699539</v>
      </c>
      <c r="BF47" s="950">
        <f t="shared" si="128"/>
        <v>5104.34</v>
      </c>
      <c r="BG47" s="700"/>
      <c r="BH47" s="700"/>
      <c r="BI47" s="700"/>
      <c r="BJ47" s="4345"/>
      <c r="BK47" s="1726"/>
      <c r="BL47" s="1726"/>
    </row>
    <row r="48" spans="1:64" ht="15" hidden="1" customHeight="1" x14ac:dyDescent="0.25">
      <c r="B48" s="3273" t="s">
        <v>87</v>
      </c>
      <c r="C48" s="700" t="s">
        <v>393</v>
      </c>
      <c r="D48" s="700"/>
      <c r="E48" s="4186">
        <f>+(E54*'Maj Production Summ'!E$18)/1000</f>
        <v>1533.0009197700001</v>
      </c>
      <c r="F48" s="4186">
        <v>1451</v>
      </c>
      <c r="G48" s="4186">
        <f>+(G54*'Maj Production Summ'!G$18)/1000</f>
        <v>1586.64950303</v>
      </c>
      <c r="H48" s="4187">
        <v>1265</v>
      </c>
      <c r="I48" s="4189">
        <f t="shared" si="87"/>
        <v>3119.6504228000003</v>
      </c>
      <c r="J48" s="4189">
        <f t="shared" si="88"/>
        <v>2716</v>
      </c>
      <c r="K48" s="4186">
        <f>+(K54*'Maj Production Summ'!K$18)/1000</f>
        <v>3630.4874652899998</v>
      </c>
      <c r="L48" s="4187">
        <v>2947</v>
      </c>
      <c r="M48" s="4190">
        <f t="shared" si="89"/>
        <v>6750.1378880900002</v>
      </c>
      <c r="N48" s="4190">
        <f t="shared" si="90"/>
        <v>5663</v>
      </c>
      <c r="O48" s="4186">
        <f>+(O54*'Maj Production Summ'!O$18)/1000</f>
        <v>3753.9628777230046</v>
      </c>
      <c r="P48" s="4187">
        <v>3114</v>
      </c>
      <c r="Q48" s="4189">
        <f t="shared" ref="Q48:Q49" si="129">+M48+O48</f>
        <v>10504.100765813004</v>
      </c>
      <c r="R48" s="4189">
        <f t="shared" ref="R48:R49" si="130">+N48+P48</f>
        <v>8777</v>
      </c>
      <c r="S48" s="4186">
        <f>+(S54*'Maj Production Summ'!S$18)/1000</f>
        <v>3757.0288702112675</v>
      </c>
      <c r="T48" s="4187">
        <v>3108</v>
      </c>
      <c r="U48" s="4189">
        <f t="shared" ref="U48:U49" si="131">+Q48+S48</f>
        <v>14261.12963602427</v>
      </c>
      <c r="V48" s="4189">
        <f t="shared" ref="V48:V49" si="132">+R48+T48</f>
        <v>11885</v>
      </c>
      <c r="W48" s="4186">
        <f>+(W54*'Maj Production Summ'!W$18)/1000</f>
        <v>3653.8965478873238</v>
      </c>
      <c r="X48" s="4187">
        <v>2762</v>
      </c>
      <c r="Y48" s="4190">
        <f t="shared" si="95"/>
        <v>11164.888295821596</v>
      </c>
      <c r="Z48" s="4190">
        <f t="shared" si="96"/>
        <v>8984</v>
      </c>
      <c r="AA48" s="4191">
        <f t="shared" si="97"/>
        <v>17915.026183911596</v>
      </c>
      <c r="AB48" s="4191">
        <f t="shared" si="97"/>
        <v>14647</v>
      </c>
      <c r="AC48" s="4186">
        <f>+(AC54*'Maj Production Summ'!AC$18)/1000</f>
        <v>3778.0692436619711</v>
      </c>
      <c r="AD48" s="4187">
        <v>3502</v>
      </c>
      <c r="AE48" s="4189">
        <f t="shared" ref="AE48:AE49" si="133">+AA48+AC48</f>
        <v>21693.095427573568</v>
      </c>
      <c r="AF48" s="4189">
        <f t="shared" ref="AF48:AF49" si="134">+AB48+AD48</f>
        <v>18149</v>
      </c>
      <c r="AG48" s="4186">
        <f>+(AG54*'Maj Production Summ'!AG$18)/1000</f>
        <v>3653.8965478873238</v>
      </c>
      <c r="AH48" s="4187">
        <v>3014</v>
      </c>
      <c r="AI48" s="4189">
        <f t="shared" ref="AI48:AI49" si="135">+AE48+AG48</f>
        <v>25346.991975460893</v>
      </c>
      <c r="AJ48" s="4189">
        <f t="shared" ref="AJ48:AJ49" si="136">+AF48+AH48</f>
        <v>21163</v>
      </c>
      <c r="AK48" s="4186">
        <f>+(AK54*'Maj Production Summ'!AK$18)/1000</f>
        <v>3778.0618852799998</v>
      </c>
      <c r="AL48" s="4187">
        <v>3643</v>
      </c>
      <c r="AM48" s="4190">
        <f t="shared" ref="AM48:AM49" si="137">+AC48+AG48+AK48</f>
        <v>11210.027676829295</v>
      </c>
      <c r="AN48" s="4190">
        <f t="shared" ref="AN48:AN49" si="138">+AD48+AH48+AL48</f>
        <v>10159</v>
      </c>
      <c r="AO48" s="4189">
        <f t="shared" ref="AO48:AO49" si="139">+AI48+AK48</f>
        <v>29125.053860740893</v>
      </c>
      <c r="AP48" s="4189">
        <f t="shared" ref="AP48:AP49" si="140">+AJ48+AL48</f>
        <v>24806</v>
      </c>
      <c r="AQ48" s="4186">
        <f>+(AQ54*'Maj Production Summ'!AQ$18)/1000</f>
        <v>3778.0692436619711</v>
      </c>
      <c r="AR48" s="4187">
        <v>4057</v>
      </c>
      <c r="AS48" s="4189">
        <f t="shared" ref="AS48:AS49" si="141">+AO48+AQ48</f>
        <v>32903.123104402861</v>
      </c>
      <c r="AT48" s="4189">
        <f t="shared" ref="AT48:AT49" si="142">+AP48+AR48</f>
        <v>28863</v>
      </c>
      <c r="AU48" s="4186">
        <f>+(AU54*'Maj Production Summ'!AU$18)/1000</f>
        <v>3346.8829301762435</v>
      </c>
      <c r="AV48" s="4187">
        <v>3594</v>
      </c>
      <c r="AW48" s="4189">
        <f t="shared" ref="AW48:AW49" si="143">+AS48+AU48</f>
        <v>36250.006034579106</v>
      </c>
      <c r="AX48" s="4189">
        <f t="shared" ref="AX48:AX49" si="144">+AT48+AV48</f>
        <v>32457</v>
      </c>
      <c r="AY48" s="4428">
        <f>+(AY54*'Maj Production Summ'!AY$18)/1000</f>
        <v>3778.0692436619711</v>
      </c>
      <c r="AZ48" s="4429">
        <v>3890</v>
      </c>
      <c r="BA48" s="4430">
        <f t="shared" ref="BA48:BA49" si="145">+AQ48+AU48+AY48</f>
        <v>10903.021417500186</v>
      </c>
      <c r="BB48" s="4430">
        <f t="shared" ref="BB48:BB49" si="146">+AR48+AV48+AZ48</f>
        <v>11541</v>
      </c>
      <c r="BC48" s="4432">
        <f>+AM48+BA48</f>
        <v>22113.049094329479</v>
      </c>
      <c r="BD48" s="4432">
        <f>+AN48+BB48</f>
        <v>21700</v>
      </c>
      <c r="BE48" s="4431">
        <f t="shared" ref="BE48:BE49" si="147">+AW48+AY48</f>
        <v>40028.075278241078</v>
      </c>
      <c r="BF48" s="4431">
        <f t="shared" ref="BF48:BF49" si="148">+AX48+AZ48</f>
        <v>36347</v>
      </c>
      <c r="BG48" s="700"/>
      <c r="BH48" s="700"/>
      <c r="BI48" s="700"/>
      <c r="BJ48" s="4345"/>
      <c r="BK48" s="1726"/>
      <c r="BL48" s="1726"/>
    </row>
    <row r="49" spans="1:64" ht="15" hidden="1" customHeight="1" x14ac:dyDescent="0.25">
      <c r="B49" s="3273" t="s">
        <v>88</v>
      </c>
      <c r="C49" s="700" t="s">
        <v>393</v>
      </c>
      <c r="D49" s="700"/>
      <c r="E49" s="4186">
        <f>+(E55*'Maj Production Summ'!E$18)/1000</f>
        <v>284.50790999999998</v>
      </c>
      <c r="F49" s="4186">
        <v>210</v>
      </c>
      <c r="G49" s="4186">
        <f>+(G55*'Maj Production Summ'!G$18)/1000</f>
        <v>294.46449000000001</v>
      </c>
      <c r="H49" s="4187">
        <v>170</v>
      </c>
      <c r="I49" s="4189">
        <f t="shared" si="87"/>
        <v>578.97239999999999</v>
      </c>
      <c r="J49" s="4189">
        <f t="shared" si="88"/>
        <v>380</v>
      </c>
      <c r="K49" s="4186">
        <f>+(K55*'Maj Production Summ'!K$18)/1000</f>
        <v>673.77806999999996</v>
      </c>
      <c r="L49" s="4187">
        <v>433</v>
      </c>
      <c r="M49" s="4190">
        <f t="shared" si="89"/>
        <v>1252.75047</v>
      </c>
      <c r="N49" s="4190">
        <f t="shared" si="90"/>
        <v>813</v>
      </c>
      <c r="O49" s="4186">
        <f>+(O55*'Maj Production Summ'!O$18)/1000</f>
        <v>696.69373239436618</v>
      </c>
      <c r="P49" s="4187">
        <v>423</v>
      </c>
      <c r="Q49" s="4189">
        <f t="shared" si="129"/>
        <v>1949.4442023943661</v>
      </c>
      <c r="R49" s="4189">
        <f t="shared" si="130"/>
        <v>1236</v>
      </c>
      <c r="S49" s="4186">
        <f>+(S55*'Maj Production Summ'!S$18)/1000</f>
        <v>697.26274647887317</v>
      </c>
      <c r="T49" s="4187">
        <v>473</v>
      </c>
      <c r="U49" s="4189">
        <f t="shared" si="131"/>
        <v>2646.7069488732395</v>
      </c>
      <c r="V49" s="4189">
        <f t="shared" si="132"/>
        <v>1709</v>
      </c>
      <c r="W49" s="4186">
        <f>+(W55*'Maj Production Summ'!W$18)/1000</f>
        <v>678.12253521126752</v>
      </c>
      <c r="X49" s="4187">
        <v>494</v>
      </c>
      <c r="Y49" s="4190">
        <f t="shared" si="95"/>
        <v>2072.079014084507</v>
      </c>
      <c r="Z49" s="4190">
        <f t="shared" si="96"/>
        <v>1390</v>
      </c>
      <c r="AA49" s="4191">
        <f t="shared" si="97"/>
        <v>3324.8294840845069</v>
      </c>
      <c r="AB49" s="4191">
        <f t="shared" si="97"/>
        <v>2203</v>
      </c>
      <c r="AC49" s="4186">
        <f>+(AC55*'Maj Production Summ'!AC$18)/1000</f>
        <v>701.16760563380274</v>
      </c>
      <c r="AD49" s="4187">
        <v>485</v>
      </c>
      <c r="AE49" s="4189">
        <f t="shared" si="133"/>
        <v>4025.9970897183098</v>
      </c>
      <c r="AF49" s="4189">
        <f t="shared" si="134"/>
        <v>2688</v>
      </c>
      <c r="AG49" s="4186">
        <f>+(AG55*'Maj Production Summ'!AG$18)/1000</f>
        <v>678.12253521126752</v>
      </c>
      <c r="AH49" s="4187">
        <v>508</v>
      </c>
      <c r="AI49" s="4189">
        <f t="shared" si="135"/>
        <v>4704.1196249295772</v>
      </c>
      <c r="AJ49" s="4189">
        <f t="shared" si="136"/>
        <v>3196</v>
      </c>
      <c r="AK49" s="4186">
        <f>+(AK55*'Maj Production Summ'!AK$18)/1000</f>
        <v>701.16624000000002</v>
      </c>
      <c r="AL49" s="4187">
        <v>451</v>
      </c>
      <c r="AM49" s="4190">
        <f t="shared" si="137"/>
        <v>2080.4563808450703</v>
      </c>
      <c r="AN49" s="4190">
        <f t="shared" si="138"/>
        <v>1444</v>
      </c>
      <c r="AO49" s="4189">
        <f t="shared" si="139"/>
        <v>5405.2858649295777</v>
      </c>
      <c r="AP49" s="4189">
        <f t="shared" si="140"/>
        <v>3647</v>
      </c>
      <c r="AQ49" s="4186">
        <f>+(AQ55*'Maj Production Summ'!AQ$18)/1000</f>
        <v>701.16760563380274</v>
      </c>
      <c r="AR49" s="4187">
        <v>540</v>
      </c>
      <c r="AS49" s="4189">
        <f t="shared" si="141"/>
        <v>6106.4534705633805</v>
      </c>
      <c r="AT49" s="4189">
        <f t="shared" si="142"/>
        <v>4187</v>
      </c>
      <c r="AU49" s="4186">
        <f>+(AU55*'Maj Production Summ'!AU$18)/1000</f>
        <v>621.14422450704217</v>
      </c>
      <c r="AV49" s="4187">
        <v>453</v>
      </c>
      <c r="AW49" s="4189">
        <f t="shared" si="143"/>
        <v>6727.5976950704226</v>
      </c>
      <c r="AX49" s="4189">
        <f t="shared" si="144"/>
        <v>4640</v>
      </c>
      <c r="AY49" s="4428">
        <f>+(AY55*'Maj Production Summ'!AY$18)/1000</f>
        <v>701.16760563380274</v>
      </c>
      <c r="AZ49" s="4429">
        <v>552</v>
      </c>
      <c r="BA49" s="4430">
        <f t="shared" si="145"/>
        <v>2023.4794357746478</v>
      </c>
      <c r="BB49" s="4430">
        <f t="shared" si="146"/>
        <v>1545</v>
      </c>
      <c r="BC49" s="4432">
        <f>+AM49+BA49</f>
        <v>4103.935816619718</v>
      </c>
      <c r="BD49" s="4432">
        <f>+AN49+BB49</f>
        <v>2989</v>
      </c>
      <c r="BE49" s="4431">
        <f t="shared" si="147"/>
        <v>7428.7653007042254</v>
      </c>
      <c r="BF49" s="4431">
        <f t="shared" si="148"/>
        <v>5192</v>
      </c>
      <c r="BG49" s="700"/>
      <c r="BH49" s="700"/>
      <c r="BI49" s="700"/>
      <c r="BJ49" s="4345"/>
      <c r="BK49" s="1726"/>
      <c r="BL49" s="1726"/>
    </row>
    <row r="50" spans="1:64" s="334" customFormat="1" ht="15" hidden="1" customHeight="1" x14ac:dyDescent="0.25">
      <c r="A50" s="343"/>
      <c r="B50" s="3274"/>
      <c r="C50" s="1791"/>
      <c r="D50" s="1791"/>
      <c r="E50" s="1791"/>
      <c r="F50" s="1791"/>
      <c r="G50" s="1791"/>
      <c r="H50" s="1791"/>
      <c r="I50" s="1791"/>
      <c r="J50" s="1791"/>
      <c r="K50" s="1791"/>
      <c r="L50" s="1791"/>
      <c r="M50" s="1791"/>
      <c r="N50" s="1791"/>
      <c r="O50" s="1791"/>
      <c r="P50" s="1791"/>
      <c r="Q50" s="1791"/>
      <c r="R50" s="1791"/>
      <c r="S50" s="1791"/>
      <c r="T50" s="1791"/>
      <c r="U50" s="1791"/>
      <c r="V50" s="1791"/>
      <c r="W50" s="1791"/>
      <c r="X50" s="1791"/>
      <c r="Y50" s="1791"/>
      <c r="Z50" s="1791"/>
      <c r="AA50" s="1791"/>
      <c r="AB50" s="1791"/>
      <c r="AC50" s="1791"/>
      <c r="AD50" s="1791"/>
      <c r="AE50" s="1791"/>
      <c r="AF50" s="1791"/>
      <c r="AG50" s="1791"/>
      <c r="AH50" s="1791"/>
      <c r="AI50" s="1791"/>
      <c r="AJ50" s="1791"/>
      <c r="AK50" s="1791"/>
      <c r="AL50" s="1791"/>
      <c r="AM50" s="1791"/>
      <c r="AN50" s="1791"/>
      <c r="AO50" s="1791"/>
      <c r="AP50" s="1791"/>
      <c r="AQ50" s="1791"/>
      <c r="AR50" s="1791"/>
      <c r="AS50" s="1791"/>
      <c r="AT50" s="1791"/>
      <c r="AU50" s="1791"/>
      <c r="AV50" s="1791"/>
      <c r="AW50" s="1791"/>
      <c r="AX50" s="1791"/>
      <c r="AY50" s="1791"/>
      <c r="AZ50" s="1791"/>
      <c r="BA50" s="1791"/>
      <c r="BB50" s="1791"/>
      <c r="BC50" s="1791"/>
      <c r="BD50" s="1791"/>
      <c r="BE50" s="1791"/>
      <c r="BF50" s="1791"/>
      <c r="BG50" s="1791"/>
      <c r="BH50" s="1791"/>
      <c r="BI50" s="1791"/>
      <c r="BJ50" s="3650"/>
    </row>
    <row r="51" spans="1:64" ht="15" hidden="1" customHeight="1" x14ac:dyDescent="0.25">
      <c r="B51" s="3273" t="s">
        <v>86</v>
      </c>
      <c r="C51" s="2760" t="s">
        <v>585</v>
      </c>
      <c r="D51" s="2760"/>
      <c r="E51" s="230">
        <v>2.6013799999999998</v>
      </c>
      <c r="F51" s="230">
        <f>+(F45/'Maj Production Summ'!F$18)*1000</f>
        <v>1.9327251424508558</v>
      </c>
      <c r="G51" s="230">
        <v>2.6013799999999998</v>
      </c>
      <c r="H51" s="449">
        <f>+(H45/'Maj Production Summ'!H$18)*1000</f>
        <v>1.2877897526943562</v>
      </c>
      <c r="I51" s="687">
        <f>+(I45/'Maj Production Summ'!I$18)*1000</f>
        <v>2.6013799999999998</v>
      </c>
      <c r="J51" s="687">
        <f>+(J45/'Maj Production Summ'!$J$18)*1000</f>
        <v>1.6458983212949216</v>
      </c>
      <c r="K51" s="230">
        <v>2.6013799999999998</v>
      </c>
      <c r="L51" s="449">
        <f>+(L45/'Maj Production Summ'!L$18)*1000</f>
        <v>1.8237424629744419</v>
      </c>
      <c r="M51" s="869">
        <f>+(M45/'Maj Production Summ'!M$18)*1000</f>
        <v>2.6013799999999994</v>
      </c>
      <c r="N51" s="869">
        <f>+(N45/'Maj Production Summ'!N$18)*1000</f>
        <v>1.73846268704472</v>
      </c>
      <c r="O51" s="230">
        <v>2.6013799999999998</v>
      </c>
      <c r="P51" s="449">
        <f>+(P45/'Maj Production Summ'!P$18)*1000</f>
        <v>2.0731117407228248</v>
      </c>
      <c r="Q51" s="687">
        <f>+(Q45/'Maj Production Summ'!Q$18)*1000</f>
        <v>2.6013799999999994</v>
      </c>
      <c r="R51" s="687">
        <f>+(R45/'Maj Production Summ'!R$18)*1000</f>
        <v>1.8502504585673523</v>
      </c>
      <c r="S51" s="230">
        <v>2.6013799999999998</v>
      </c>
      <c r="T51" s="449">
        <f>+(T45/'Maj Production Summ'!T$18)*1000</f>
        <v>1.855841739300754</v>
      </c>
      <c r="U51" s="687">
        <f>+(U45/'Maj Production Summ'!U$18)*1000</f>
        <v>2.6013799999999994</v>
      </c>
      <c r="V51" s="687">
        <f>+(V45/'Maj Production Summ'!V$18)*1000</f>
        <v>1.8517384318472949</v>
      </c>
      <c r="W51" s="230">
        <v>2.6013799999999998</v>
      </c>
      <c r="X51" s="449">
        <f>+(X45/'Maj Production Summ'!X$18)*1000</f>
        <v>1.8949225148040822</v>
      </c>
      <c r="Y51" s="869">
        <f>+(Y45/'Maj Production Summ'!Y$18)*1000</f>
        <v>2.6013800000000002</v>
      </c>
      <c r="Z51" s="869">
        <f>+(Z45/'Maj Production Summ'!Z$18)*1000</f>
        <v>1.9381550794897491</v>
      </c>
      <c r="AA51" s="1135">
        <f>+(AA45/'Maj Production Summ'!AA$18)*1000</f>
        <v>2.6013799999999998</v>
      </c>
      <c r="AB51" s="1135">
        <f>+(AB45/'Maj Production Summ'!AB$18)*1000</f>
        <v>1.8606105536067059</v>
      </c>
      <c r="AC51" s="230">
        <v>2.6013799999999998</v>
      </c>
      <c r="AD51" s="449">
        <f>+(AD45/'Maj Production Summ'!AD$18)*1000</f>
        <v>1.9543819799356423</v>
      </c>
      <c r="AE51" s="687">
        <f>+(AE45/'Maj Production Summ'!AE$18)*1000</f>
        <v>2.6013799999999998</v>
      </c>
      <c r="AF51" s="687">
        <f>+(AF45/'Maj Production Summ'!AF$18)*1000</f>
        <v>1.8774445007017055</v>
      </c>
      <c r="AG51" s="230">
        <v>2.6013799999999998</v>
      </c>
      <c r="AH51" s="449">
        <f>+(AH45/'Maj Production Summ'!AH$18)*1000</f>
        <v>1.5061270797932143</v>
      </c>
      <c r="AI51" s="687">
        <f>+(AI45/'Maj Production Summ'!AI$18)*1000</f>
        <v>2.6013799999999998</v>
      </c>
      <c r="AJ51" s="687">
        <f>+(AJ45/'Maj Production Summ'!AJ$18)*1000</f>
        <v>1.824723399199518</v>
      </c>
      <c r="AK51" s="230">
        <v>2.6013799999999998</v>
      </c>
      <c r="AL51" s="449">
        <f>+(AL45/'Maj Production Summ'!AL$18)*1000</f>
        <v>2.3306150516196618</v>
      </c>
      <c r="AM51" s="869">
        <f>+(AM45/'Maj Production Summ'!AM$18)*1000</f>
        <v>2.6013799999999998</v>
      </c>
      <c r="AN51" s="869">
        <f>+(AN45/'Maj Production Summ'!AN$18)*1000</f>
        <v>1.9450795771300855</v>
      </c>
      <c r="AO51" s="687">
        <f>+(AO45/'Maj Production Summ'!AO$18)*1000</f>
        <v>2.6013800000000002</v>
      </c>
      <c r="AP51" s="687">
        <f>+(AP45/'Maj Production Summ'!AP$18)*1000</f>
        <v>1.8937255603032601</v>
      </c>
      <c r="AQ51" s="230">
        <v>2.6013799999999998</v>
      </c>
      <c r="AR51" s="449">
        <f>+(AR45/'Maj Production Summ'!AR$18)*1000</f>
        <v>1.9174114494277092</v>
      </c>
      <c r="AS51" s="687">
        <f>+(AS45/'Maj Production Summ'!AS$18)*1000</f>
        <v>2.6013800000000002</v>
      </c>
      <c r="AT51" s="687">
        <f>+(AT45/'Maj Production Summ'!AT$18)*1000</f>
        <v>1.8966257277281624</v>
      </c>
      <c r="AU51" s="230">
        <v>2.6013799999999998</v>
      </c>
      <c r="AV51" s="449">
        <f>+(AV45/'Maj Production Summ'!AV$18)*1000</f>
        <v>1.4505060728744941</v>
      </c>
      <c r="AW51" s="687">
        <f>+(AW45/'Maj Production Summ'!AW$18)*1000</f>
        <v>2.6013799999999998</v>
      </c>
      <c r="AX51" s="687">
        <f>+(AX45/'Maj Production Summ'!AX$18)*1000</f>
        <v>1.8527215832601625</v>
      </c>
      <c r="AY51" s="230">
        <v>2.6013799999999998</v>
      </c>
      <c r="AZ51" s="449">
        <f>+(AZ45/'Maj Production Summ'!AZ$18)*1000</f>
        <v>1.890823144402527</v>
      </c>
      <c r="BA51" s="869">
        <f>+(BA45/'Maj Production Summ'!BA$18)*1000</f>
        <v>2.6013800000000002</v>
      </c>
      <c r="BB51" s="869">
        <f>+(BB45/'Maj Production Summ'!BB$18)*1000</f>
        <v>1.7639375343168615</v>
      </c>
      <c r="BC51" s="1135">
        <f>+(BC45/'Maj Production Summ'!BC$18)*1000</f>
        <v>2.6013799999999998</v>
      </c>
      <c r="BD51" s="1135">
        <f>+(BD45/'Maj Production Summ'!BD$18)*1000</f>
        <v>1.853326519050279</v>
      </c>
      <c r="BE51" s="687">
        <f>+(BE45/'Maj Production Summ'!BE$18)*1000</f>
        <v>2.6013799999999998</v>
      </c>
      <c r="BF51" s="687">
        <f>+(BF45/'Maj Production Summ'!BF$18)*1000</f>
        <v>1.8564842515284798</v>
      </c>
      <c r="BG51" s="700"/>
      <c r="BH51" s="700"/>
      <c r="BI51" s="700"/>
      <c r="BJ51" s="4345"/>
      <c r="BK51" s="1726"/>
      <c r="BL51" s="1726"/>
    </row>
    <row r="52" spans="1:64" s="1328" customFormat="1" ht="15" hidden="1" customHeight="1" x14ac:dyDescent="0.25">
      <c r="A52" s="200"/>
      <c r="B52" s="3273" t="s">
        <v>1102</v>
      </c>
      <c r="C52" s="2760" t="s">
        <v>585</v>
      </c>
      <c r="D52" s="2760"/>
      <c r="E52" s="230"/>
      <c r="F52" s="230">
        <f>+(F46/'Maj Production Summ'!F$18)*1000</f>
        <v>0.72101663345316891</v>
      </c>
      <c r="G52" s="230">
        <v>0</v>
      </c>
      <c r="H52" s="449">
        <f>+(H46/'Maj Production Summ'!H$18)*1000</f>
        <v>0.43409767197619464</v>
      </c>
      <c r="I52" s="687">
        <f>+(I46/'Maj Production Summ'!I$18)*1000</f>
        <v>0</v>
      </c>
      <c r="J52" s="687">
        <f>+(J46/'Maj Production Summ'!$J$18)*1000</f>
        <v>0.59341307043443936</v>
      </c>
      <c r="K52" s="230">
        <v>0</v>
      </c>
      <c r="L52" s="449">
        <f>+(L46/'Maj Production Summ'!L$18)*1000</f>
        <v>0.34323242982945956</v>
      </c>
      <c r="M52" s="869">
        <f>+(M46/'Maj Production Summ'!M$18)*1000</f>
        <v>0</v>
      </c>
      <c r="N52" s="869">
        <f>+(N46/'Maj Production Summ'!N$18)*1000</f>
        <v>0.46319898465246745</v>
      </c>
      <c r="O52" s="230">
        <v>0</v>
      </c>
      <c r="P52" s="449">
        <f>+(P46/'Maj Production Summ'!P$18)*1000</f>
        <v>0.58472382430643777</v>
      </c>
      <c r="Q52" s="687">
        <f>+(Q46/'Maj Production Summ'!Q$18)*1000</f>
        <v>0</v>
      </c>
      <c r="R52" s="687">
        <f>+(R46/'Maj Production Summ'!R$18)*1000</f>
        <v>0.50379372370895326</v>
      </c>
      <c r="S52" s="230">
        <v>0</v>
      </c>
      <c r="T52" s="449">
        <f>+(T46/'Maj Production Summ'!T$18)*1000</f>
        <v>0.53373812555087652</v>
      </c>
      <c r="U52" s="687">
        <f>+(U46/'Maj Production Summ'!U$18)*1000</f>
        <v>0</v>
      </c>
      <c r="V52" s="687">
        <f>+(V46/'Maj Production Summ'!V$18)*1000</f>
        <v>0.5117626438811187</v>
      </c>
      <c r="W52" s="230">
        <v>0</v>
      </c>
      <c r="X52" s="449">
        <f>+(X46/'Maj Production Summ'!X$18)*1000</f>
        <v>0.39813531561043214</v>
      </c>
      <c r="Y52" s="869">
        <f>+(Y46/'Maj Production Summ'!Y$18)*1000</f>
        <v>0</v>
      </c>
      <c r="Z52" s="869">
        <f>+(Z46/'Maj Production Summ'!Z$18)*1000</f>
        <v>0.50442813422527966</v>
      </c>
      <c r="AA52" s="1135">
        <f>+(AA46/'Maj Production Summ'!AA$18)*1000</f>
        <v>0</v>
      </c>
      <c r="AB52" s="1135">
        <f>+(AB46/'Maj Production Summ'!AB$18)*1000</f>
        <v>0.48841803580821114</v>
      </c>
      <c r="AC52" s="230">
        <v>0</v>
      </c>
      <c r="AD52" s="449">
        <f>+(AD46/'Maj Production Summ'!AD$18)*1000</f>
        <v>0.27711527541169795</v>
      </c>
      <c r="AE52" s="687">
        <f>+(AE46/'Maj Production Summ'!AE$18)*1000</f>
        <v>0</v>
      </c>
      <c r="AF52" s="687">
        <f>+(AF46/'Maj Production Summ'!AF$18)*1000</f>
        <v>0.45048473748058837</v>
      </c>
      <c r="AG52" s="230">
        <v>0</v>
      </c>
      <c r="AH52" s="449">
        <f>+(AH46/'Maj Production Summ'!AH$18)*1000</f>
        <v>0.61943313602784522</v>
      </c>
      <c r="AI52" s="687">
        <f>+(AI46/'Maj Production Summ'!AI$18)*1000</f>
        <v>0</v>
      </c>
      <c r="AJ52" s="687">
        <f>+(AJ46/'Maj Production Summ'!AJ$18)*1000</f>
        <v>0.47447269270943043</v>
      </c>
      <c r="AK52" s="230">
        <v>0</v>
      </c>
      <c r="AL52" s="449">
        <f>+(AL46/'Maj Production Summ'!AL$18)*1000</f>
        <v>0.34797697998440102</v>
      </c>
      <c r="AM52" s="869">
        <f>+(AM46/'Maj Production Summ'!AM$18)*1000</f>
        <v>0</v>
      </c>
      <c r="AN52" s="869">
        <f>+(AN46/'Maj Production Summ'!AN$18)*1000</f>
        <v>0.40883633701139388</v>
      </c>
      <c r="AO52" s="687">
        <f>+(AO46/'Maj Production Summ'!AO$18)*1000</f>
        <v>0</v>
      </c>
      <c r="AP52" s="687">
        <f>+(AP46/'Maj Production Summ'!AP$18)*1000</f>
        <v>0.45721904263114022</v>
      </c>
      <c r="AQ52" s="230">
        <v>0</v>
      </c>
      <c r="AR52" s="449">
        <f>+(AR46/'Maj Production Summ'!AR$18)*1000</f>
        <v>0.36678953138464176</v>
      </c>
      <c r="AS52" s="687">
        <f>+(AS46/'Maj Production Summ'!AS$18)*1000</f>
        <v>0</v>
      </c>
      <c r="AT52" s="687">
        <f>+(AT46/'Maj Production Summ'!AT$18)*1000</f>
        <v>0.44614659686442304</v>
      </c>
      <c r="AU52" s="230">
        <v>0</v>
      </c>
      <c r="AV52" s="449">
        <f>+(AV46/'Maj Production Summ'!AV$18)*1000</f>
        <v>0.30111336032388664</v>
      </c>
      <c r="AW52" s="687">
        <f>+(AW46/'Maj Production Summ'!AW$18)*1000</f>
        <v>0</v>
      </c>
      <c r="AX52" s="687">
        <f>+(AX46/'Maj Production Summ'!AX$18)*1000</f>
        <v>0.43187338540543468</v>
      </c>
      <c r="AY52" s="230">
        <v>0</v>
      </c>
      <c r="AZ52" s="449">
        <f>+(AZ46/'Maj Production Summ'!AZ$18)*1000</f>
        <v>0.45997909185946095</v>
      </c>
      <c r="BA52" s="869">
        <f>+(BA46/'Maj Production Summ'!BA$18)*1000</f>
        <v>0</v>
      </c>
      <c r="BB52" s="869">
        <f>+(BB46/'Maj Production Summ'!BB$18)*1000</f>
        <v>0.37856093657852874</v>
      </c>
      <c r="BC52" s="1135">
        <f>+(BC46/'Maj Production Summ'!BC$18)*1000</f>
        <v>0</v>
      </c>
      <c r="BD52" s="1135">
        <f>+(BD46/'Maj Production Summ'!BD$18)*1000</f>
        <v>0.39350107562665648</v>
      </c>
      <c r="BE52" s="687">
        <f>+(BE46/'Maj Production Summ'!BE$18)*1000</f>
        <v>0</v>
      </c>
      <c r="BF52" s="687">
        <f>+(BF46/'Maj Production Summ'!BF$18)*1000</f>
        <v>0.43464892652927661</v>
      </c>
      <c r="BG52" s="700"/>
      <c r="BH52" s="700"/>
      <c r="BI52" s="700"/>
      <c r="BJ52" s="4345"/>
      <c r="BK52" s="1726"/>
      <c r="BL52" s="1726"/>
    </row>
    <row r="53" spans="1:64" s="60" customFormat="1" ht="15.75" hidden="1" customHeight="1" x14ac:dyDescent="0.25">
      <c r="A53" s="4162"/>
      <c r="B53" s="4346" t="s">
        <v>1151</v>
      </c>
      <c r="C53" s="4343" t="s">
        <v>585</v>
      </c>
      <c r="D53" s="4343"/>
      <c r="E53" s="1717">
        <f>SUM(E51:E52)</f>
        <v>2.6013799999999998</v>
      </c>
      <c r="F53" s="1717">
        <f t="shared" ref="F53:N53" si="149">SUM(F51:F52)</f>
        <v>2.6537417759040247</v>
      </c>
      <c r="G53" s="1717">
        <f t="shared" si="149"/>
        <v>2.6013799999999998</v>
      </c>
      <c r="H53" s="512">
        <f t="shared" ref="H53" si="150">SUM(H51:H52)</f>
        <v>1.7218874246705509</v>
      </c>
      <c r="I53" s="1718">
        <f t="shared" si="149"/>
        <v>2.6013799999999998</v>
      </c>
      <c r="J53" s="1718">
        <f t="shared" si="149"/>
        <v>2.2393113917293608</v>
      </c>
      <c r="K53" s="1717">
        <f t="shared" si="149"/>
        <v>2.6013799999999998</v>
      </c>
      <c r="L53" s="512">
        <f t="shared" si="149"/>
        <v>2.1669748928039017</v>
      </c>
      <c r="M53" s="1719">
        <f t="shared" si="149"/>
        <v>2.6013799999999994</v>
      </c>
      <c r="N53" s="1719">
        <f t="shared" si="149"/>
        <v>2.2016616716971873</v>
      </c>
      <c r="O53" s="1717">
        <f t="shared" ref="O53:R53" si="151">SUM(O51:O52)</f>
        <v>2.6013799999999998</v>
      </c>
      <c r="P53" s="512">
        <f t="shared" si="151"/>
        <v>2.6578355650292624</v>
      </c>
      <c r="Q53" s="1718">
        <f t="shared" si="151"/>
        <v>2.6013799999999994</v>
      </c>
      <c r="R53" s="1718">
        <f t="shared" si="151"/>
        <v>2.3540441822763056</v>
      </c>
      <c r="S53" s="1717">
        <f t="shared" ref="S53:V53" si="152">SUM(S51:S52)</f>
        <v>2.6013799999999998</v>
      </c>
      <c r="T53" s="512">
        <f t="shared" si="152"/>
        <v>2.3895798648516307</v>
      </c>
      <c r="U53" s="1718">
        <f t="shared" si="152"/>
        <v>2.6013799999999994</v>
      </c>
      <c r="V53" s="1718">
        <f t="shared" si="152"/>
        <v>2.3635010757284136</v>
      </c>
      <c r="W53" s="1717">
        <f t="shared" ref="W53:AF53" si="153">SUM(W51:W52)</f>
        <v>2.6013799999999998</v>
      </c>
      <c r="X53" s="512">
        <f t="shared" si="153"/>
        <v>2.2930578304145142</v>
      </c>
      <c r="Y53" s="1719">
        <f t="shared" si="153"/>
        <v>2.6013800000000002</v>
      </c>
      <c r="Z53" s="1719">
        <f t="shared" si="153"/>
        <v>2.4425832137150287</v>
      </c>
      <c r="AA53" s="1720">
        <f t="shared" si="153"/>
        <v>2.6013799999999998</v>
      </c>
      <c r="AB53" s="1720">
        <f t="shared" si="153"/>
        <v>2.349028589414917</v>
      </c>
      <c r="AC53" s="1717">
        <f t="shared" si="153"/>
        <v>2.6013799999999998</v>
      </c>
      <c r="AD53" s="512">
        <f t="shared" si="153"/>
        <v>2.2314972553473402</v>
      </c>
      <c r="AE53" s="1718">
        <f t="shared" si="153"/>
        <v>2.6013799999999998</v>
      </c>
      <c r="AF53" s="1718">
        <f t="shared" si="153"/>
        <v>2.327929238182294</v>
      </c>
      <c r="AG53" s="1717">
        <f t="shared" ref="AG53:AJ53" si="154">SUM(AG51:AG52)</f>
        <v>2.6013799999999998</v>
      </c>
      <c r="AH53" s="512">
        <f t="shared" si="154"/>
        <v>2.1255602158210594</v>
      </c>
      <c r="AI53" s="1718">
        <f t="shared" si="154"/>
        <v>2.6013799999999998</v>
      </c>
      <c r="AJ53" s="1718">
        <f t="shared" si="154"/>
        <v>2.2991960919089482</v>
      </c>
      <c r="AK53" s="1717">
        <f t="shared" ref="AK53:AN53" si="155">SUM(AK51:AK52)</f>
        <v>2.6013799999999998</v>
      </c>
      <c r="AL53" s="512">
        <f t="shared" si="155"/>
        <v>2.6785920316040626</v>
      </c>
      <c r="AM53" s="1719">
        <f t="shared" si="155"/>
        <v>2.6013799999999998</v>
      </c>
      <c r="AN53" s="1719">
        <f t="shared" si="155"/>
        <v>2.3539159141414796</v>
      </c>
      <c r="AO53" s="1718">
        <f t="shared" ref="AO53:AQ53" si="156">SUM(AO51:AO52)</f>
        <v>2.6013800000000002</v>
      </c>
      <c r="AP53" s="1718">
        <f t="shared" si="156"/>
        <v>2.3509446029344003</v>
      </c>
      <c r="AQ53" s="1717">
        <f t="shared" si="156"/>
        <v>2.6013799999999998</v>
      </c>
      <c r="AR53" s="512">
        <f t="shared" ref="AR53:AU53" si="157">SUM(AR51:AR52)</f>
        <v>2.2842009808123511</v>
      </c>
      <c r="AS53" s="1718">
        <f t="shared" si="157"/>
        <v>2.6013800000000002</v>
      </c>
      <c r="AT53" s="1718">
        <f t="shared" si="157"/>
        <v>2.3427723245925853</v>
      </c>
      <c r="AU53" s="1717">
        <f t="shared" si="157"/>
        <v>2.6013799999999998</v>
      </c>
      <c r="AV53" s="512">
        <f t="shared" ref="AV53:AY53" si="158">SUM(AV51:AV52)</f>
        <v>1.7516194331983808</v>
      </c>
      <c r="AW53" s="1718">
        <f t="shared" si="158"/>
        <v>2.6013799999999998</v>
      </c>
      <c r="AX53" s="1718">
        <f t="shared" si="158"/>
        <v>2.2845949686655973</v>
      </c>
      <c r="AY53" s="1717">
        <f t="shared" si="158"/>
        <v>2.6013799999999998</v>
      </c>
      <c r="AZ53" s="512">
        <f t="shared" ref="AZ53:BF53" si="159">SUM(AZ51:AZ52)</f>
        <v>2.350802236261988</v>
      </c>
      <c r="BA53" s="1719">
        <f t="shared" si="159"/>
        <v>2.6013800000000002</v>
      </c>
      <c r="BB53" s="1719">
        <f t="shared" si="159"/>
        <v>2.14249847089539</v>
      </c>
      <c r="BC53" s="1720">
        <f t="shared" si="159"/>
        <v>2.6013799999999998</v>
      </c>
      <c r="BD53" s="1720">
        <f t="shared" si="159"/>
        <v>2.2468275946769354</v>
      </c>
      <c r="BE53" s="1718">
        <f t="shared" si="159"/>
        <v>2.6013799999999998</v>
      </c>
      <c r="BF53" s="1718">
        <f t="shared" si="159"/>
        <v>2.2911331780577564</v>
      </c>
      <c r="BG53" s="700"/>
      <c r="BH53" s="700"/>
      <c r="BI53" s="700"/>
      <c r="BJ53" s="4345"/>
      <c r="BK53" s="1726"/>
      <c r="BL53" s="1726"/>
    </row>
    <row r="54" spans="1:64" ht="15" hidden="1" customHeight="1" x14ac:dyDescent="0.25">
      <c r="B54" s="3273" t="s">
        <v>87</v>
      </c>
      <c r="C54" s="2760" t="s">
        <v>585</v>
      </c>
      <c r="D54" s="2760"/>
      <c r="E54" s="230">
        <v>16.326409999999999</v>
      </c>
      <c r="F54" s="449">
        <f>+(F48/'Maj Production Summ'!F$18)*1000</f>
        <v>14.53048798806317</v>
      </c>
      <c r="G54" s="230">
        <v>16.326409999999999</v>
      </c>
      <c r="H54" s="449">
        <f>+(H48/'Maj Production Summ'!H$18)*1000</f>
        <v>15.816058613187966</v>
      </c>
      <c r="I54" s="687">
        <f>+(I48/'Maj Production Summ'!I$18)*1000</f>
        <v>16.326410000000003</v>
      </c>
      <c r="J54" s="687">
        <f>+(J48/'Maj Production Summ'!$J$18)*1000</f>
        <v>15.102229191341239</v>
      </c>
      <c r="K54" s="230">
        <v>16.326409999999999</v>
      </c>
      <c r="L54" s="449">
        <f>+(L48/'Maj Production Summ'!L$18)*1000</f>
        <v>15.097104040409214</v>
      </c>
      <c r="M54" s="869">
        <f>+(M48/'Maj Production Summ'!M$18)*1000</f>
        <v>16.326409999999999</v>
      </c>
      <c r="N54" s="869">
        <f>+(N48/'Maj Production Summ'!N$18)*1000</f>
        <v>15.099561651432898</v>
      </c>
      <c r="O54" s="230">
        <v>16.326409999999999</v>
      </c>
      <c r="P54" s="449">
        <f>+(P48/'Maj Production Summ'!P$18)*1000</f>
        <v>16.552999899002248</v>
      </c>
      <c r="Q54" s="687">
        <f>+(Q48/'Maj Production Summ'!Q$18)*1000</f>
        <v>16.326409999999996</v>
      </c>
      <c r="R54" s="687">
        <f>+(R48/'Maj Production Summ'!R$18)*1000</f>
        <v>15.585075119813483</v>
      </c>
      <c r="S54" s="230">
        <v>16.326409999999999</v>
      </c>
      <c r="T54" s="449">
        <f>+(T48/'Maj Production Summ'!T$18)*1000</f>
        <v>15.218881598276369</v>
      </c>
      <c r="U54" s="687">
        <f>+(U48/'Maj Production Summ'!U$18)*1000</f>
        <v>16.326409999999996</v>
      </c>
      <c r="V54" s="687">
        <f>+(V48/'Maj Production Summ'!V$18)*1000</f>
        <v>15.48762228184736</v>
      </c>
      <c r="W54" s="230">
        <v>16.326409999999999</v>
      </c>
      <c r="X54" s="449">
        <f>+(X48/'Maj Production Summ'!X$18)*1000</f>
        <v>13.919616983747009</v>
      </c>
      <c r="Y54" s="869">
        <f>+(Y48/'Maj Production Summ'!Y$18)*1000</f>
        <v>16.326409999999999</v>
      </c>
      <c r="Z54" s="869">
        <f>+(Z48/'Maj Production Summ'!Z$18)*1000</f>
        <v>15.207323348590309</v>
      </c>
      <c r="AA54" s="1135">
        <f>+(AA48/'Maj Production Summ'!AA$18)*1000</f>
        <v>16.326409999999996</v>
      </c>
      <c r="AB54" s="1135">
        <f>+(AB48/'Maj Production Summ'!AB$18)*1000</f>
        <v>15.165477339275137</v>
      </c>
      <c r="AC54" s="230">
        <v>16.326409999999999</v>
      </c>
      <c r="AD54" s="449">
        <f>+(AD48/'Maj Production Summ'!AD$18)*1000</f>
        <v>16.572023471512395</v>
      </c>
      <c r="AE54" s="687">
        <f>+(AE48/'Maj Production Summ'!AE$18)*1000</f>
        <v>16.326409999999999</v>
      </c>
      <c r="AF54" s="687">
        <f>+(AF48/'Maj Production Summ'!AF$18)*1000</f>
        <v>15.41798201051369</v>
      </c>
      <c r="AG54" s="230">
        <v>16.326409999999999</v>
      </c>
      <c r="AH54" s="449">
        <f>+(AH48/'Maj Production Summ'!AH$18)*1000</f>
        <v>15.472994132172431</v>
      </c>
      <c r="AI54" s="687">
        <f>+(AI48/'Maj Production Summ'!AI$18)*1000</f>
        <v>16.326409999999999</v>
      </c>
      <c r="AJ54" s="687">
        <f>+(AJ48/'Maj Production Summ'!AJ$18)*1000</f>
        <v>15.425792846974648</v>
      </c>
      <c r="AK54" s="230">
        <v>16.326409999999999</v>
      </c>
      <c r="AL54" s="449">
        <f>+(AL48/'Maj Production Summ'!AL$18)*1000</f>
        <v>16.812733926832536</v>
      </c>
      <c r="AM54" s="869">
        <f>+(AM48/'Maj Production Summ'!AM$18)*1000</f>
        <v>16.326409999999999</v>
      </c>
      <c r="AN54" s="869">
        <f>+(AN48/'Maj Production Summ'!AN$18)*1000</f>
        <v>16.312027129442896</v>
      </c>
      <c r="AO54" s="687">
        <f>+(AO48/'Maj Production Summ'!AO$18)*1000</f>
        <v>16.326409999999999</v>
      </c>
      <c r="AP54" s="687">
        <f>+(AP48/'Maj Production Summ'!AP$18)*1000</f>
        <v>15.614967606779285</v>
      </c>
      <c r="AQ54" s="230">
        <v>16.326409999999999</v>
      </c>
      <c r="AR54" s="449">
        <f>+(AR48/'Maj Production Summ'!AR$18)*1000</f>
        <v>18.303384118419331</v>
      </c>
      <c r="AS54" s="687">
        <f>+(AS48/'Maj Production Summ'!AS$18)*1000</f>
        <v>16.326409999999999</v>
      </c>
      <c r="AT54" s="687">
        <f>+(AT48/'Maj Production Summ'!AT$18)*1000</f>
        <v>15.944144947374877</v>
      </c>
      <c r="AU54" s="230">
        <v>16.326409999999999</v>
      </c>
      <c r="AV54" s="449">
        <f>+(AV48/'Maj Production Summ'!AV$18)*1000</f>
        <v>18.188259109311741</v>
      </c>
      <c r="AW54" s="687">
        <f>+(AW48/'Maj Production Summ'!AW$18)*1000</f>
        <v>16.326409999999996</v>
      </c>
      <c r="AX54" s="687">
        <f>+(AX48/'Maj Production Summ'!AX$18)*1000</f>
        <v>16.164995813944916</v>
      </c>
      <c r="AY54" s="230">
        <v>16.326409999999999</v>
      </c>
      <c r="AZ54" s="449">
        <f>+(AZ48/'Maj Production Summ'!AZ$18)*1000</f>
        <v>17.681014499340939</v>
      </c>
      <c r="BA54" s="869">
        <f>+(BA48/'Maj Production Summ'!BA$18)*1000</f>
        <v>16.326409999999999</v>
      </c>
      <c r="BB54" s="869">
        <f>+(BB48/'Maj Production Summ'!BB$18)*1000</f>
        <v>18.053602351457851</v>
      </c>
      <c r="BC54" s="1135">
        <f>+(BC48/'Maj Production Summ'!BC$18)*1000</f>
        <v>16.326409999999996</v>
      </c>
      <c r="BD54" s="1135">
        <f>+(BD48/'Maj Production Summ'!BD$18)*1000</f>
        <v>17.194179334498099</v>
      </c>
      <c r="BE54" s="687">
        <f>+(BE48/'Maj Production Summ'!BE$18)*1000</f>
        <v>16.326409999999999</v>
      </c>
      <c r="BF54" s="687">
        <f>+(BF48/'Maj Production Summ'!BF$18)*1000</f>
        <v>16.314708193981058</v>
      </c>
      <c r="BG54" s="700"/>
      <c r="BH54" s="700"/>
      <c r="BI54" s="700"/>
      <c r="BJ54" s="4345"/>
      <c r="BK54" s="1726"/>
      <c r="BL54" s="1726"/>
    </row>
    <row r="55" spans="1:64" ht="15" hidden="1" customHeight="1" thickBot="1" x14ac:dyDescent="0.3">
      <c r="B55" s="3277" t="s">
        <v>88</v>
      </c>
      <c r="C55" s="4347" t="s">
        <v>585</v>
      </c>
      <c r="D55" s="4347"/>
      <c r="E55" s="450">
        <v>3.03</v>
      </c>
      <c r="F55" s="450">
        <f>+(F49/'Maj Production Summ'!F$18)*1000</f>
        <v>2.102965180905076</v>
      </c>
      <c r="G55" s="450">
        <v>3.03</v>
      </c>
      <c r="H55" s="450">
        <f>+(H49/'Maj Production Summ'!H$18)*1000</f>
        <v>2.1254782326023354</v>
      </c>
      <c r="I55" s="1604">
        <f>+(I49/'Maj Production Summ'!I$18)*1000</f>
        <v>3.0300000000000002</v>
      </c>
      <c r="J55" s="1604">
        <f>+(J49/'Maj Production Summ'!$J$18)*1000</f>
        <v>2.1129775746353725</v>
      </c>
      <c r="K55" s="450">
        <v>3.03</v>
      </c>
      <c r="L55" s="450">
        <f>+(L49/'Maj Production Summ'!L$18)*1000</f>
        <v>2.2182036136739702</v>
      </c>
      <c r="M55" s="1605">
        <f>+(M49/'Maj Production Summ'!M$18)*1000</f>
        <v>3.03</v>
      </c>
      <c r="N55" s="1605">
        <f>+(N49/'Maj Production Summ'!N$18)*1000</f>
        <v>2.1677456511769289</v>
      </c>
      <c r="O55" s="450">
        <v>3.03</v>
      </c>
      <c r="P55" s="450">
        <f>+(P49/'Maj Production Summ'!P$18)*1000</f>
        <v>2.2485288880147563</v>
      </c>
      <c r="Q55" s="1604">
        <f>+(Q49/'Maj Production Summ'!Q$18)*1000</f>
        <v>3.03</v>
      </c>
      <c r="R55" s="1604">
        <f>+(R49/'Maj Production Summ'!R$18)*1000</f>
        <v>2.194730870239201</v>
      </c>
      <c r="S55" s="450">
        <v>3.03</v>
      </c>
      <c r="T55" s="450">
        <f>+(T49/'Maj Production Summ'!T$18)*1000</f>
        <v>2.3161296640877485</v>
      </c>
      <c r="U55" s="1604">
        <f>+(U49/'Maj Production Summ'!U$18)*1000</f>
        <v>3.03</v>
      </c>
      <c r="V55" s="1604">
        <f>+(V49/'Maj Production Summ'!V$18)*1000</f>
        <v>2.2270379873518835</v>
      </c>
      <c r="W55" s="450">
        <v>3.03</v>
      </c>
      <c r="X55" s="450">
        <f>+(X49/'Maj Production Summ'!X$18)*1000</f>
        <v>2.4896056444500445</v>
      </c>
      <c r="Y55" s="1605">
        <f>+(Y49/'Maj Production Summ'!Y$18)*1000</f>
        <v>3.03</v>
      </c>
      <c r="Z55" s="1605">
        <f>+(Z49/'Maj Production Summ'!Z$18)*1000</f>
        <v>2.3528694851447609</v>
      </c>
      <c r="AA55" s="1716">
        <f>+(AA49/'Maj Production Summ'!AA$18)*1000</f>
        <v>3.03</v>
      </c>
      <c r="AB55" s="1716">
        <f>+(AB49/'Maj Production Summ'!AB$18)*1000</f>
        <v>2.2809822201422221</v>
      </c>
      <c r="AC55" s="450">
        <v>3.03</v>
      </c>
      <c r="AD55" s="450">
        <f>+(AD49/'Maj Production Summ'!AD$18)*1000</f>
        <v>2.2950974824910086</v>
      </c>
      <c r="AE55" s="1604">
        <f>+(AE49/'Maj Production Summ'!AE$18)*1000</f>
        <v>3.03</v>
      </c>
      <c r="AF55" s="1604">
        <f>+(AF49/'Maj Production Summ'!AF$18)*1000</f>
        <v>2.2835162071883186</v>
      </c>
      <c r="AG55" s="450">
        <v>3.03</v>
      </c>
      <c r="AH55" s="450">
        <f>+(AH49/'Maj Production Summ'!AH$18)*1000</f>
        <v>2.6079233640157913</v>
      </c>
      <c r="AI55" s="1604">
        <f>+(AI49/'Maj Production Summ'!AI$18)*1000</f>
        <v>3.03</v>
      </c>
      <c r="AJ55" s="1604">
        <f>+(AJ49/'Maj Production Summ'!AJ$18)*1000</f>
        <v>2.3295768056953632</v>
      </c>
      <c r="AK55" s="450">
        <v>3.03</v>
      </c>
      <c r="AL55" s="450">
        <f>+(AL49/'Maj Production Summ'!AL$18)*1000</f>
        <v>2.0814007688722129</v>
      </c>
      <c r="AM55" s="1605">
        <f>+(AM49/'Maj Production Summ'!AM$18)*1000</f>
        <v>3.03</v>
      </c>
      <c r="AN55" s="1605">
        <f>+(AN49/'Maj Production Summ'!AN$18)*1000</f>
        <v>2.3185911187041581</v>
      </c>
      <c r="AO55" s="1604">
        <f>+(AO49/'Maj Production Summ'!AO$18)*1000</f>
        <v>3.0300000000000002</v>
      </c>
      <c r="AP55" s="1604">
        <f>+(AP49/'Maj Production Summ'!AP$18)*1000</f>
        <v>2.2957263106475878</v>
      </c>
      <c r="AQ55" s="450">
        <v>3.03</v>
      </c>
      <c r="AR55" s="450">
        <f>+(AR49/'Maj Production Summ'!AR$18)*1000</f>
        <v>2.4362404298610891</v>
      </c>
      <c r="AS55" s="1604">
        <f>+(AS49/'Maj Production Summ'!AS$18)*1000</f>
        <v>3.0300000000000002</v>
      </c>
      <c r="AT55" s="1604">
        <f>+(AT49/'Maj Production Summ'!AT$18)*1000</f>
        <v>2.3129312578269272</v>
      </c>
      <c r="AU55" s="450">
        <v>3.03</v>
      </c>
      <c r="AV55" s="450">
        <f>+(AV49/'Maj Production Summ'!AV$18)*1000</f>
        <v>2.2925101214574899</v>
      </c>
      <c r="AW55" s="1604">
        <f>+(AW49/'Maj Production Summ'!AW$18)*1000</f>
        <v>3.03</v>
      </c>
      <c r="AX55" s="1604">
        <f>+(AX49/'Maj Production Summ'!AX$18)*1000</f>
        <v>2.3109215447116007</v>
      </c>
      <c r="AY55" s="450">
        <v>3.03</v>
      </c>
      <c r="AZ55" s="450">
        <f>+(AZ49/'Maj Production Summ'!AZ$18)*1000</f>
        <v>2.5089768646879689</v>
      </c>
      <c r="BA55" s="1605">
        <f>+(BA49/'Maj Production Summ'!BA$18)*1000</f>
        <v>3.0300000000000002</v>
      </c>
      <c r="BB55" s="1605">
        <f>+(BB49/'Maj Production Summ'!BB$18)*1000</f>
        <v>2.4168456488174663</v>
      </c>
      <c r="BC55" s="1716">
        <f>+(BC49/'Maj Production Summ'!BC$18)*1000</f>
        <v>3.03</v>
      </c>
      <c r="BD55" s="1716">
        <f>+(BD49/'Maj Production Summ'!BD$18)*1000</f>
        <v>2.3683595405905451</v>
      </c>
      <c r="BE55" s="1604">
        <f>+(BE49/'Maj Production Summ'!BE$18)*1000</f>
        <v>3.03</v>
      </c>
      <c r="BF55" s="1604">
        <f>+(BF49/'Maj Production Summ'!BF$18)*1000</f>
        <v>2.3304802306421344</v>
      </c>
      <c r="BG55" s="2860"/>
      <c r="BH55" s="2860"/>
      <c r="BI55" s="2860"/>
      <c r="BJ55" s="4348"/>
      <c r="BK55" s="1726"/>
      <c r="BL55" s="1726"/>
    </row>
    <row r="56" spans="1:64" s="334" customFormat="1" ht="15" hidden="1" customHeight="1" x14ac:dyDescent="0.25">
      <c r="A56" s="343"/>
      <c r="B56" s="343"/>
      <c r="C56" s="343"/>
      <c r="D56" s="343"/>
      <c r="E56" s="343"/>
      <c r="F56" s="343"/>
      <c r="G56" s="343"/>
      <c r="H56" s="343"/>
      <c r="I56" s="343"/>
      <c r="J56" s="343"/>
      <c r="K56" s="343"/>
      <c r="L56" s="343"/>
      <c r="M56" s="343"/>
      <c r="N56" s="343"/>
      <c r="O56" s="343"/>
      <c r="P56" s="343"/>
      <c r="Q56" s="343"/>
      <c r="R56" s="343"/>
      <c r="S56" s="343"/>
      <c r="T56" s="343"/>
      <c r="U56" s="343"/>
      <c r="V56" s="343"/>
      <c r="W56" s="343"/>
      <c r="X56" s="343"/>
      <c r="Y56" s="343"/>
      <c r="Z56" s="343"/>
      <c r="AA56" s="343"/>
      <c r="AB56" s="343"/>
      <c r="AC56" s="343"/>
      <c r="AD56" s="343"/>
      <c r="AE56" s="343"/>
      <c r="AF56" s="343"/>
      <c r="AG56" s="343"/>
      <c r="AH56" s="343"/>
      <c r="AI56" s="343"/>
      <c r="AJ56" s="343"/>
      <c r="AK56" s="343"/>
      <c r="AL56" s="343"/>
      <c r="AM56" s="343"/>
      <c r="AN56" s="343"/>
      <c r="AO56" s="343"/>
      <c r="AP56" s="343"/>
      <c r="AQ56" s="343"/>
      <c r="AR56" s="343"/>
      <c r="AS56" s="343"/>
      <c r="AT56" s="343"/>
      <c r="AU56" s="343"/>
      <c r="AV56" s="343"/>
      <c r="AW56" s="343"/>
      <c r="AX56" s="343"/>
      <c r="AY56" s="343"/>
      <c r="AZ56" s="343"/>
      <c r="BA56" s="343"/>
      <c r="BB56" s="343"/>
      <c r="BC56" s="343"/>
      <c r="BD56" s="343"/>
      <c r="BE56" s="343"/>
      <c r="BF56" s="343"/>
      <c r="BG56" s="343"/>
      <c r="BH56" s="343"/>
      <c r="BI56" s="343"/>
      <c r="BJ56" s="343"/>
    </row>
    <row r="57" spans="1:64" s="334" customFormat="1" ht="15" hidden="1" customHeight="1" x14ac:dyDescent="0.25">
      <c r="A57" s="343"/>
      <c r="B57" s="343" t="s">
        <v>876</v>
      </c>
      <c r="C57" s="343"/>
      <c r="D57" s="343"/>
      <c r="E57" s="343"/>
      <c r="F57" s="343"/>
      <c r="G57" s="343"/>
      <c r="H57" s="343"/>
      <c r="I57" s="343"/>
      <c r="J57" s="343"/>
      <c r="K57" s="343"/>
      <c r="L57" s="343"/>
      <c r="M57" s="343"/>
      <c r="N57" s="343"/>
      <c r="O57" s="343"/>
      <c r="P57" s="343"/>
      <c r="Q57" s="343"/>
      <c r="R57" s="343"/>
      <c r="S57" s="343"/>
      <c r="T57" s="343"/>
      <c r="U57" s="343"/>
      <c r="V57" s="343"/>
      <c r="W57" s="343"/>
      <c r="X57" s="343"/>
      <c r="Y57" s="343"/>
      <c r="Z57" s="343"/>
      <c r="AA57" s="343"/>
      <c r="AB57" s="343"/>
      <c r="AC57" s="343"/>
      <c r="AD57" s="343"/>
      <c r="AE57" s="343"/>
      <c r="AF57" s="343"/>
      <c r="AG57" s="343"/>
      <c r="AH57" s="343"/>
      <c r="AI57" s="343"/>
      <c r="AJ57" s="343"/>
      <c r="AK57" s="343"/>
      <c r="AL57" s="343"/>
      <c r="AM57" s="343"/>
      <c r="AN57" s="343"/>
      <c r="AO57" s="343"/>
      <c r="AP57" s="343"/>
      <c r="AQ57" s="343"/>
      <c r="AR57" s="343"/>
      <c r="AS57" s="343"/>
      <c r="AT57" s="343"/>
      <c r="AU57" s="343"/>
      <c r="AV57" s="343"/>
      <c r="AW57" s="343"/>
      <c r="AX57" s="343"/>
      <c r="AY57" s="343"/>
      <c r="AZ57" s="343"/>
      <c r="BA57" s="343"/>
      <c r="BB57" s="343"/>
      <c r="BC57" s="343"/>
      <c r="BD57" s="343"/>
      <c r="BE57" s="343"/>
      <c r="BF57" s="343"/>
      <c r="BG57" s="343"/>
      <c r="BH57" s="343"/>
      <c r="BI57" s="343"/>
      <c r="BJ57" s="343"/>
    </row>
    <row r="58" spans="1:64" s="334" customFormat="1" ht="15" hidden="1" customHeight="1" x14ac:dyDescent="0.25">
      <c r="A58" s="343"/>
      <c r="B58" s="343" t="s">
        <v>875</v>
      </c>
      <c r="C58" s="343" t="s">
        <v>874</v>
      </c>
      <c r="D58" s="343"/>
      <c r="E58" s="343"/>
      <c r="F58" s="343"/>
      <c r="G58" s="343"/>
      <c r="H58" s="343"/>
      <c r="I58" s="343"/>
      <c r="J58" s="343"/>
      <c r="K58" s="343"/>
      <c r="L58" s="343"/>
      <c r="M58" s="343"/>
      <c r="N58" s="343"/>
      <c r="O58" s="343"/>
      <c r="P58" s="343"/>
      <c r="Q58" s="343"/>
      <c r="R58" s="343"/>
      <c r="S58" s="343"/>
      <c r="T58" s="343"/>
      <c r="U58" s="343"/>
      <c r="V58" s="343"/>
      <c r="W58" s="343"/>
      <c r="X58" s="343"/>
      <c r="Y58" s="343"/>
      <c r="Z58" s="343"/>
      <c r="AA58" s="343"/>
      <c r="AB58" s="343"/>
      <c r="AC58" s="343"/>
      <c r="AD58" s="343"/>
      <c r="AE58" s="343"/>
      <c r="AF58" s="343"/>
      <c r="AG58" s="343"/>
      <c r="AH58" s="343"/>
      <c r="AI58" s="343"/>
      <c r="AJ58" s="343"/>
      <c r="AK58" s="343"/>
      <c r="AL58" s="343"/>
      <c r="AM58" s="343"/>
      <c r="AN58" s="343"/>
      <c r="AO58" s="343"/>
      <c r="AP58" s="343"/>
      <c r="AQ58" s="343"/>
      <c r="AR58" s="343"/>
      <c r="AS58" s="343"/>
      <c r="AT58" s="343"/>
      <c r="AU58" s="343"/>
      <c r="AV58" s="343"/>
      <c r="AW58" s="343"/>
      <c r="AX58" s="343"/>
      <c r="AY58" s="343"/>
      <c r="AZ58" s="343"/>
      <c r="BA58" s="343"/>
      <c r="BB58" s="343"/>
      <c r="BC58" s="343"/>
      <c r="BD58" s="343"/>
      <c r="BE58" s="343"/>
      <c r="BF58" s="343"/>
      <c r="BG58" s="343"/>
      <c r="BH58" s="343"/>
      <c r="BI58" s="343"/>
      <c r="BJ58" s="343"/>
    </row>
    <row r="59" spans="1:64" s="334" customFormat="1" ht="15" hidden="1" customHeight="1" x14ac:dyDescent="0.25">
      <c r="A59" s="343"/>
      <c r="B59" s="2555" t="s">
        <v>116</v>
      </c>
      <c r="C59" s="2555">
        <v>133</v>
      </c>
      <c r="D59" s="4163"/>
      <c r="E59" s="343"/>
      <c r="F59" s="343"/>
      <c r="G59" s="343"/>
      <c r="H59" s="343"/>
      <c r="I59" s="343"/>
      <c r="J59" s="343"/>
      <c r="K59" s="343"/>
      <c r="L59" s="343"/>
      <c r="M59" s="343"/>
      <c r="N59" s="343"/>
      <c r="O59" s="343"/>
      <c r="P59" s="343"/>
      <c r="Q59" s="343"/>
      <c r="R59" s="343"/>
      <c r="S59" s="343"/>
      <c r="T59" s="343"/>
      <c r="U59" s="343"/>
      <c r="V59" s="343"/>
      <c r="W59" s="343"/>
      <c r="X59" s="343"/>
      <c r="Y59" s="343"/>
      <c r="Z59" s="343"/>
      <c r="AA59" s="343"/>
      <c r="AB59" s="343"/>
      <c r="AC59" s="343"/>
      <c r="AD59" s="343"/>
      <c r="AE59" s="343"/>
      <c r="AF59" s="343"/>
      <c r="AG59" s="343"/>
      <c r="AH59" s="343"/>
      <c r="AI59" s="343"/>
      <c r="AJ59" s="343"/>
      <c r="AK59" s="343"/>
      <c r="AL59" s="343"/>
      <c r="AM59" s="343"/>
      <c r="AN59" s="343"/>
      <c r="AO59" s="343"/>
      <c r="AP59" s="343"/>
      <c r="AQ59" s="343"/>
      <c r="AR59" s="343"/>
      <c r="AS59" s="343"/>
      <c r="AT59" s="343"/>
      <c r="AU59" s="343"/>
      <c r="AV59" s="343"/>
      <c r="AW59" s="343"/>
      <c r="AX59" s="343"/>
      <c r="AY59" s="343"/>
      <c r="AZ59" s="343"/>
      <c r="BA59" s="343"/>
      <c r="BB59" s="343"/>
      <c r="BC59" s="343"/>
      <c r="BD59" s="343"/>
      <c r="BE59" s="343"/>
      <c r="BF59" s="343"/>
      <c r="BG59" s="343"/>
      <c r="BH59" s="343"/>
      <c r="BI59" s="343"/>
      <c r="BJ59" s="343"/>
    </row>
    <row r="60" spans="1:64" s="334" customFormat="1" ht="15" hidden="1" customHeight="1" x14ac:dyDescent="0.25">
      <c r="A60" s="343"/>
      <c r="B60" s="2555" t="s">
        <v>116</v>
      </c>
      <c r="C60" s="2555">
        <v>158</v>
      </c>
      <c r="D60" s="4163"/>
      <c r="E60" s="343"/>
      <c r="F60" s="343"/>
      <c r="G60" s="343"/>
      <c r="H60" s="343"/>
      <c r="I60" s="343"/>
      <c r="J60" s="343"/>
      <c r="K60" s="343"/>
      <c r="L60" s="343"/>
      <c r="M60" s="343"/>
      <c r="N60" s="343"/>
      <c r="O60" s="343"/>
      <c r="P60" s="343"/>
      <c r="Q60" s="343"/>
      <c r="R60" s="343"/>
      <c r="S60" s="343"/>
      <c r="T60" s="343"/>
      <c r="U60" s="343"/>
      <c r="V60" s="343"/>
      <c r="W60" s="343"/>
      <c r="X60" s="343"/>
      <c r="Y60" s="343"/>
      <c r="Z60" s="343"/>
      <c r="AA60" s="343"/>
      <c r="AB60" s="343"/>
      <c r="AC60" s="343"/>
      <c r="AD60" s="343"/>
      <c r="AE60" s="343"/>
      <c r="AF60" s="343"/>
      <c r="AG60" s="343"/>
      <c r="AH60" s="343"/>
      <c r="AI60" s="343"/>
      <c r="AJ60" s="343"/>
      <c r="AK60" s="343"/>
      <c r="AL60" s="343"/>
      <c r="AM60" s="343"/>
      <c r="AN60" s="343"/>
      <c r="AO60" s="343"/>
      <c r="AP60" s="343"/>
      <c r="AQ60" s="343"/>
      <c r="AR60" s="343"/>
      <c r="AS60" s="343"/>
      <c r="AT60" s="343"/>
      <c r="AU60" s="343"/>
      <c r="AV60" s="343"/>
      <c r="AW60" s="343"/>
      <c r="AX60" s="343"/>
      <c r="AY60" s="343"/>
      <c r="AZ60" s="343"/>
      <c r="BA60" s="343"/>
      <c r="BB60" s="343"/>
      <c r="BC60" s="343"/>
      <c r="BD60" s="343"/>
      <c r="BE60" s="343"/>
      <c r="BF60" s="343"/>
      <c r="BG60" s="343"/>
      <c r="BH60" s="343"/>
      <c r="BI60" s="343"/>
      <c r="BJ60" s="343"/>
    </row>
    <row r="61" spans="1:64" s="334" customFormat="1" ht="15" hidden="1" customHeight="1" x14ac:dyDescent="0.25">
      <c r="A61" s="343"/>
      <c r="B61" s="2555" t="s">
        <v>116</v>
      </c>
      <c r="C61" s="2555">
        <v>257</v>
      </c>
      <c r="D61" s="4163"/>
      <c r="E61" s="343"/>
      <c r="F61" s="343"/>
      <c r="G61" s="343"/>
      <c r="H61" s="343"/>
      <c r="I61" s="343"/>
      <c r="J61" s="343"/>
      <c r="K61" s="343"/>
      <c r="L61" s="343"/>
      <c r="M61" s="343"/>
      <c r="N61" s="343"/>
      <c r="O61" s="343"/>
      <c r="P61" s="343"/>
      <c r="Q61" s="343"/>
      <c r="R61" s="343"/>
      <c r="S61" s="343"/>
      <c r="T61" s="343"/>
      <c r="U61" s="343"/>
      <c r="V61" s="343"/>
      <c r="W61" s="343"/>
      <c r="X61" s="343"/>
      <c r="Y61" s="343"/>
      <c r="Z61" s="343"/>
      <c r="AA61" s="343"/>
      <c r="AB61" s="343"/>
      <c r="AC61" s="343"/>
      <c r="AD61" s="343"/>
      <c r="AE61" s="343"/>
      <c r="AF61" s="343"/>
      <c r="AG61" s="343"/>
      <c r="AH61" s="343"/>
      <c r="AI61" s="343"/>
      <c r="AJ61" s="343"/>
      <c r="AK61" s="343"/>
      <c r="AL61" s="343"/>
      <c r="AM61" s="343"/>
      <c r="AN61" s="343"/>
      <c r="AO61" s="343"/>
      <c r="AP61" s="343"/>
      <c r="AQ61" s="343"/>
      <c r="AR61" s="343"/>
      <c r="AS61" s="343"/>
      <c r="AT61" s="343"/>
      <c r="AU61" s="343"/>
      <c r="AV61" s="343"/>
      <c r="AW61" s="343"/>
      <c r="AX61" s="343"/>
      <c r="AY61" s="343"/>
      <c r="AZ61" s="343"/>
      <c r="BA61" s="343"/>
      <c r="BB61" s="343"/>
      <c r="BC61" s="343"/>
      <c r="BD61" s="343"/>
      <c r="BE61" s="343"/>
      <c r="BF61" s="343"/>
      <c r="BG61" s="343"/>
      <c r="BH61" s="343"/>
      <c r="BI61" s="343"/>
      <c r="BJ61" s="343"/>
    </row>
    <row r="62" spans="1:64" s="334" customFormat="1" ht="15" hidden="1" customHeight="1" x14ac:dyDescent="0.25">
      <c r="A62" s="343"/>
      <c r="B62" s="2555" t="s">
        <v>16</v>
      </c>
      <c r="C62" s="2555">
        <v>5</v>
      </c>
      <c r="D62" s="4163"/>
      <c r="E62" s="343"/>
      <c r="F62" s="343"/>
      <c r="G62" s="343"/>
      <c r="H62" s="343"/>
      <c r="I62" s="343"/>
      <c r="J62" s="343"/>
      <c r="K62" s="343"/>
      <c r="L62" s="343"/>
      <c r="M62" s="343"/>
      <c r="N62" s="343"/>
      <c r="O62" s="343"/>
      <c r="P62" s="343"/>
      <c r="Q62" s="343"/>
      <c r="R62" s="343"/>
      <c r="S62" s="343"/>
      <c r="T62" s="343"/>
      <c r="U62" s="343"/>
      <c r="V62" s="343"/>
      <c r="W62" s="343"/>
      <c r="X62" s="343"/>
      <c r="Y62" s="343"/>
      <c r="Z62" s="343"/>
      <c r="AA62" s="343"/>
      <c r="AB62" s="343"/>
      <c r="AC62" s="343"/>
      <c r="AD62" s="343"/>
      <c r="AE62" s="343"/>
      <c r="AF62" s="343"/>
      <c r="AG62" s="343"/>
      <c r="AH62" s="343"/>
      <c r="AI62" s="343"/>
      <c r="AJ62" s="343"/>
      <c r="AK62" s="343"/>
      <c r="AL62" s="343"/>
      <c r="AM62" s="343"/>
      <c r="AN62" s="343"/>
      <c r="AO62" s="343"/>
      <c r="AP62" s="343"/>
      <c r="AQ62" s="343"/>
      <c r="AR62" s="343"/>
      <c r="AS62" s="343"/>
      <c r="AT62" s="343"/>
      <c r="AU62" s="343"/>
      <c r="AV62" s="343"/>
      <c r="AW62" s="343"/>
      <c r="AX62" s="343"/>
      <c r="AY62" s="343"/>
      <c r="AZ62" s="343"/>
      <c r="BA62" s="343"/>
      <c r="BB62" s="343"/>
      <c r="BC62" s="343"/>
      <c r="BD62" s="343"/>
      <c r="BE62" s="343"/>
      <c r="BF62" s="343"/>
      <c r="BG62" s="343"/>
      <c r="BH62" s="343"/>
      <c r="BI62" s="343"/>
      <c r="BJ62" s="343"/>
    </row>
    <row r="63" spans="1:64" s="334" customFormat="1" ht="15" hidden="1" customHeight="1" x14ac:dyDescent="0.25">
      <c r="A63" s="343"/>
      <c r="B63" s="2555" t="s">
        <v>16</v>
      </c>
      <c r="C63" s="2555">
        <v>23</v>
      </c>
      <c r="D63" s="4163"/>
      <c r="E63" s="343"/>
      <c r="F63" s="343"/>
      <c r="G63" s="343"/>
      <c r="H63" s="343"/>
      <c r="I63" s="343"/>
      <c r="J63" s="343"/>
      <c r="K63" s="343"/>
      <c r="L63" s="343"/>
      <c r="M63" s="343"/>
      <c r="N63" s="343"/>
      <c r="O63" s="343"/>
      <c r="P63" s="343"/>
      <c r="Q63" s="343"/>
      <c r="R63" s="343"/>
      <c r="S63" s="343"/>
      <c r="T63" s="343"/>
      <c r="U63" s="343"/>
      <c r="V63" s="343"/>
      <c r="W63" s="343"/>
      <c r="X63" s="343"/>
      <c r="Y63" s="343"/>
      <c r="Z63" s="343"/>
      <c r="AA63" s="343"/>
      <c r="AB63" s="343"/>
      <c r="AC63" s="343"/>
      <c r="AD63" s="343"/>
      <c r="AE63" s="343"/>
      <c r="AF63" s="343"/>
      <c r="AG63" s="343"/>
      <c r="AH63" s="343"/>
      <c r="AI63" s="343"/>
      <c r="AJ63" s="343"/>
      <c r="AK63" s="343"/>
      <c r="AL63" s="343"/>
      <c r="AM63" s="343"/>
      <c r="AN63" s="343"/>
      <c r="AO63" s="343"/>
      <c r="AP63" s="343"/>
      <c r="AQ63" s="343"/>
      <c r="AR63" s="343"/>
      <c r="AS63" s="343"/>
      <c r="AT63" s="343"/>
      <c r="AU63" s="343"/>
      <c r="AV63" s="343"/>
      <c r="AW63" s="343"/>
      <c r="AX63" s="343"/>
      <c r="AY63" s="343"/>
      <c r="AZ63" s="343"/>
      <c r="BA63" s="343"/>
      <c r="BB63" s="343"/>
      <c r="BC63" s="343"/>
      <c r="BD63" s="343"/>
      <c r="BE63" s="343"/>
      <c r="BF63" s="343"/>
      <c r="BG63" s="343"/>
      <c r="BH63" s="343"/>
      <c r="BI63" s="343"/>
      <c r="BJ63" s="343"/>
    </row>
    <row r="64" spans="1:64" s="334" customFormat="1" ht="15" hidden="1" customHeight="1" x14ac:dyDescent="0.25">
      <c r="A64" s="343"/>
      <c r="B64" s="2555" t="s">
        <v>16</v>
      </c>
      <c r="C64" s="2555">
        <v>24</v>
      </c>
      <c r="D64" s="4163"/>
      <c r="E64" s="343"/>
      <c r="F64" s="343"/>
      <c r="G64" s="343"/>
      <c r="H64" s="343"/>
      <c r="I64" s="343"/>
      <c r="J64" s="343"/>
      <c r="K64" s="343"/>
      <c r="L64" s="343"/>
      <c r="M64" s="343"/>
      <c r="N64" s="343"/>
      <c r="O64" s="343"/>
      <c r="P64" s="343"/>
      <c r="Q64" s="343"/>
      <c r="R64" s="343"/>
      <c r="S64" s="343"/>
      <c r="T64" s="343"/>
      <c r="U64" s="343"/>
      <c r="V64" s="343"/>
      <c r="W64" s="343"/>
      <c r="X64" s="343"/>
      <c r="Y64" s="343"/>
      <c r="Z64" s="343"/>
      <c r="AA64" s="343"/>
      <c r="AB64" s="343"/>
      <c r="AC64" s="343"/>
      <c r="AD64" s="343"/>
      <c r="AE64" s="343"/>
      <c r="AF64" s="343"/>
      <c r="AG64" s="343"/>
      <c r="AH64" s="343"/>
      <c r="AI64" s="343"/>
      <c r="AJ64" s="343"/>
      <c r="AK64" s="343"/>
      <c r="AL64" s="343"/>
      <c r="AM64" s="343"/>
      <c r="AN64" s="343"/>
      <c r="AO64" s="343"/>
      <c r="AP64" s="343"/>
      <c r="AQ64" s="343"/>
      <c r="AR64" s="343"/>
      <c r="AS64" s="343"/>
      <c r="AT64" s="343"/>
      <c r="AU64" s="343"/>
      <c r="AV64" s="343"/>
      <c r="AW64" s="343"/>
      <c r="AX64" s="343"/>
      <c r="AY64" s="343"/>
      <c r="AZ64" s="343"/>
      <c r="BA64" s="343"/>
      <c r="BB64" s="343"/>
      <c r="BC64" s="343"/>
      <c r="BD64" s="343"/>
      <c r="BE64" s="343"/>
      <c r="BF64" s="343"/>
      <c r="BG64" s="343"/>
      <c r="BH64" s="343"/>
      <c r="BI64" s="343"/>
      <c r="BJ64" s="343"/>
    </row>
    <row r="65" spans="1:63" s="334" customFormat="1" ht="15" hidden="1" customHeight="1" x14ac:dyDescent="0.25">
      <c r="A65" s="343"/>
      <c r="B65" s="2555" t="s">
        <v>16</v>
      </c>
      <c r="C65" s="2555">
        <v>25</v>
      </c>
      <c r="D65" s="4163"/>
      <c r="E65" s="343"/>
      <c r="F65" s="343"/>
      <c r="G65" s="343"/>
      <c r="H65" s="343"/>
      <c r="I65" s="343"/>
      <c r="J65" s="343"/>
      <c r="K65" s="343"/>
      <c r="L65" s="343"/>
      <c r="M65" s="343"/>
      <c r="N65" s="343"/>
      <c r="O65" s="343"/>
      <c r="P65" s="343"/>
      <c r="Q65" s="343"/>
      <c r="R65" s="343"/>
      <c r="S65" s="343"/>
      <c r="T65" s="343"/>
      <c r="U65" s="343"/>
      <c r="V65" s="343"/>
      <c r="W65" s="343"/>
      <c r="X65" s="343"/>
      <c r="Y65" s="343"/>
      <c r="Z65" s="343"/>
      <c r="AA65" s="343"/>
      <c r="AB65" s="343"/>
      <c r="AC65" s="343"/>
      <c r="AD65" s="343"/>
      <c r="AE65" s="343"/>
      <c r="AF65" s="343"/>
      <c r="AG65" s="343"/>
      <c r="AH65" s="343"/>
      <c r="AI65" s="343"/>
      <c r="AJ65" s="343"/>
      <c r="AK65" s="343"/>
      <c r="AL65" s="343"/>
      <c r="AM65" s="343"/>
      <c r="AN65" s="343"/>
      <c r="AO65" s="343"/>
      <c r="AP65" s="343"/>
      <c r="AQ65" s="343"/>
      <c r="AR65" s="343"/>
      <c r="AS65" s="343"/>
      <c r="AT65" s="343"/>
      <c r="AU65" s="343"/>
      <c r="AV65" s="343"/>
      <c r="AW65" s="343"/>
      <c r="AX65" s="343"/>
      <c r="AY65" s="343"/>
      <c r="AZ65" s="343"/>
      <c r="BA65" s="343"/>
      <c r="BB65" s="343"/>
      <c r="BC65" s="343"/>
      <c r="BD65" s="343"/>
      <c r="BE65" s="343"/>
      <c r="BF65" s="343"/>
      <c r="BG65" s="343"/>
      <c r="BH65" s="343"/>
      <c r="BI65" s="343"/>
      <c r="BJ65" s="343"/>
    </row>
    <row r="66" spans="1:63" s="334" customFormat="1" ht="15" hidden="1" customHeight="1" x14ac:dyDescent="0.25">
      <c r="A66" s="343"/>
      <c r="B66" s="2555" t="s">
        <v>16</v>
      </c>
      <c r="C66" s="2555">
        <v>46</v>
      </c>
      <c r="D66" s="4163"/>
      <c r="E66" s="343"/>
      <c r="F66" s="343"/>
      <c r="G66" s="343"/>
      <c r="H66" s="343"/>
      <c r="I66" s="343"/>
      <c r="J66" s="343"/>
      <c r="K66" s="343"/>
      <c r="L66" s="343"/>
      <c r="M66" s="343"/>
      <c r="N66" s="343"/>
      <c r="O66" s="343"/>
      <c r="P66" s="343"/>
      <c r="Q66" s="343"/>
      <c r="R66" s="343"/>
      <c r="S66" s="343"/>
      <c r="T66" s="343"/>
      <c r="U66" s="343"/>
      <c r="V66" s="343"/>
      <c r="W66" s="343"/>
      <c r="X66" s="343"/>
      <c r="Y66" s="343"/>
      <c r="Z66" s="343"/>
      <c r="AA66" s="343"/>
      <c r="AB66" s="343"/>
      <c r="AC66" s="343"/>
      <c r="AD66" s="343"/>
      <c r="AE66" s="343"/>
      <c r="AF66" s="343"/>
      <c r="AG66" s="343"/>
      <c r="AH66" s="343"/>
      <c r="AI66" s="343"/>
      <c r="AJ66" s="343"/>
      <c r="AK66" s="343"/>
      <c r="AL66" s="343"/>
      <c r="AM66" s="343"/>
      <c r="AN66" s="343"/>
      <c r="AO66" s="343"/>
      <c r="AP66" s="343"/>
      <c r="AQ66" s="343"/>
      <c r="AR66" s="343"/>
      <c r="AS66" s="343"/>
      <c r="AT66" s="343"/>
      <c r="AU66" s="343"/>
      <c r="AV66" s="343"/>
      <c r="AW66" s="343"/>
      <c r="AX66" s="343"/>
      <c r="AY66" s="343"/>
      <c r="AZ66" s="343"/>
      <c r="BA66" s="343"/>
      <c r="BB66" s="343"/>
      <c r="BC66" s="343"/>
      <c r="BD66" s="343"/>
      <c r="BE66" s="343"/>
      <c r="BF66" s="343"/>
      <c r="BG66" s="343"/>
      <c r="BH66" s="343"/>
      <c r="BI66" s="343"/>
      <c r="BJ66" s="343"/>
    </row>
    <row r="67" spans="1:63" s="334" customFormat="1" ht="15" hidden="1" customHeight="1" x14ac:dyDescent="0.25">
      <c r="A67" s="343"/>
      <c r="B67" s="483" t="s">
        <v>37</v>
      </c>
      <c r="C67" s="2555">
        <v>5</v>
      </c>
      <c r="D67" s="4163"/>
      <c r="E67" s="343"/>
      <c r="F67" s="343"/>
      <c r="G67" s="343"/>
      <c r="H67" s="343"/>
      <c r="I67" s="343"/>
      <c r="J67" s="343"/>
      <c r="K67" s="343"/>
      <c r="L67" s="343"/>
      <c r="M67" s="343"/>
      <c r="N67" s="343"/>
      <c r="O67" s="343"/>
      <c r="P67" s="343"/>
      <c r="Q67" s="343"/>
      <c r="R67" s="343"/>
      <c r="S67" s="343"/>
      <c r="T67" s="343"/>
      <c r="U67" s="343"/>
      <c r="V67" s="343"/>
      <c r="W67" s="343"/>
      <c r="X67" s="343"/>
      <c r="Y67" s="343"/>
      <c r="Z67" s="343"/>
      <c r="AA67" s="343"/>
      <c r="AB67" s="343"/>
      <c r="AC67" s="343"/>
      <c r="AD67" s="343"/>
      <c r="AE67" s="343"/>
      <c r="AF67" s="343"/>
      <c r="AG67" s="343"/>
      <c r="AH67" s="343"/>
      <c r="AI67" s="343"/>
      <c r="AJ67" s="343"/>
      <c r="AK67" s="343"/>
      <c r="AL67" s="343"/>
      <c r="AM67" s="343"/>
      <c r="AN67" s="343"/>
      <c r="AO67" s="343"/>
      <c r="AP67" s="343"/>
      <c r="AQ67" s="343"/>
      <c r="AR67" s="343"/>
      <c r="AS67" s="343"/>
      <c r="AT67" s="343"/>
      <c r="AU67" s="343"/>
      <c r="AV67" s="343"/>
      <c r="AW67" s="343"/>
      <c r="AX67" s="343"/>
      <c r="AY67" s="343"/>
      <c r="AZ67" s="343"/>
      <c r="BA67" s="343"/>
      <c r="BB67" s="343"/>
      <c r="BC67" s="343"/>
      <c r="BD67" s="343"/>
      <c r="BE67" s="343"/>
      <c r="BF67" s="343"/>
      <c r="BG67" s="343"/>
      <c r="BH67" s="343"/>
      <c r="BI67" s="343"/>
      <c r="BJ67" s="343"/>
    </row>
    <row r="68" spans="1:63" s="334" customFormat="1" ht="15" hidden="1" customHeight="1" x14ac:dyDescent="0.25">
      <c r="A68" s="343"/>
      <c r="B68" s="483" t="s">
        <v>95</v>
      </c>
      <c r="C68" s="2555">
        <v>5</v>
      </c>
      <c r="D68" s="4163"/>
      <c r="E68" s="343"/>
      <c r="F68" s="343"/>
      <c r="G68" s="343"/>
      <c r="H68" s="343"/>
      <c r="I68" s="343"/>
      <c r="J68" s="343"/>
      <c r="K68" s="343"/>
      <c r="L68" s="343"/>
      <c r="M68" s="343"/>
      <c r="N68" s="343"/>
      <c r="O68" s="343"/>
      <c r="P68" s="343"/>
      <c r="Q68" s="343"/>
      <c r="R68" s="343"/>
      <c r="S68" s="343"/>
      <c r="T68" s="343"/>
      <c r="U68" s="343"/>
      <c r="V68" s="343"/>
      <c r="W68" s="343"/>
      <c r="X68" s="343"/>
      <c r="Y68" s="343"/>
      <c r="Z68" s="343"/>
      <c r="AA68" s="343"/>
      <c r="AB68" s="343"/>
      <c r="AC68" s="343"/>
      <c r="AD68" s="343"/>
      <c r="AE68" s="343"/>
      <c r="AF68" s="343"/>
      <c r="AG68" s="343"/>
      <c r="AH68" s="343"/>
      <c r="AI68" s="343"/>
      <c r="AJ68" s="343"/>
      <c r="AK68" s="343"/>
      <c r="AL68" s="343"/>
      <c r="AM68" s="343"/>
      <c r="AN68" s="343"/>
      <c r="AO68" s="343"/>
      <c r="AP68" s="343"/>
      <c r="AQ68" s="343"/>
      <c r="AR68" s="343"/>
      <c r="AS68" s="343"/>
      <c r="AT68" s="343"/>
      <c r="AU68" s="343"/>
      <c r="AV68" s="343"/>
      <c r="AW68" s="343"/>
      <c r="AX68" s="343"/>
      <c r="AY68" s="343"/>
      <c r="AZ68" s="343"/>
      <c r="BA68" s="343"/>
      <c r="BB68" s="343"/>
      <c r="BC68" s="343"/>
      <c r="BD68" s="343"/>
      <c r="BE68" s="343"/>
      <c r="BF68" s="343"/>
      <c r="BG68" s="343"/>
      <c r="BH68" s="343"/>
      <c r="BI68" s="343"/>
      <c r="BJ68" s="343"/>
    </row>
    <row r="69" spans="1:63" s="334" customFormat="1" ht="15" hidden="1" customHeight="1" x14ac:dyDescent="0.25">
      <c r="A69" s="343"/>
      <c r="B69" s="483" t="s">
        <v>115</v>
      </c>
      <c r="C69" s="2555">
        <v>5</v>
      </c>
      <c r="D69" s="4163"/>
      <c r="E69" s="343"/>
      <c r="F69" s="343"/>
      <c r="G69" s="343"/>
      <c r="H69" s="343"/>
      <c r="I69" s="343"/>
      <c r="J69" s="343"/>
      <c r="K69" s="343"/>
      <c r="L69" s="343"/>
      <c r="M69" s="343"/>
      <c r="N69" s="343"/>
      <c r="O69" s="343"/>
      <c r="P69" s="343"/>
      <c r="Q69" s="343"/>
      <c r="R69" s="343"/>
      <c r="S69" s="343"/>
      <c r="T69" s="343"/>
      <c r="U69" s="343"/>
      <c r="V69" s="343"/>
      <c r="W69" s="343"/>
      <c r="X69" s="343"/>
      <c r="Y69" s="343"/>
      <c r="Z69" s="343"/>
      <c r="AA69" s="343"/>
      <c r="AB69" s="343"/>
      <c r="AC69" s="343"/>
      <c r="AD69" s="343"/>
      <c r="AE69" s="343"/>
      <c r="AF69" s="343"/>
      <c r="AG69" s="343"/>
      <c r="AH69" s="343"/>
      <c r="AI69" s="343"/>
      <c r="AJ69" s="343"/>
      <c r="AK69" s="343"/>
      <c r="AL69" s="343"/>
      <c r="AM69" s="343"/>
      <c r="AN69" s="343"/>
      <c r="AO69" s="343"/>
      <c r="AP69" s="343"/>
      <c r="AQ69" s="343"/>
      <c r="AR69" s="343"/>
      <c r="AS69" s="343"/>
      <c r="AT69" s="343"/>
      <c r="AU69" s="343"/>
      <c r="AV69" s="343"/>
      <c r="AW69" s="343"/>
      <c r="AX69" s="343"/>
      <c r="AY69" s="343"/>
      <c r="AZ69" s="343"/>
      <c r="BA69" s="343"/>
      <c r="BB69" s="343"/>
      <c r="BC69" s="343"/>
      <c r="BD69" s="343"/>
      <c r="BE69" s="343"/>
      <c r="BF69" s="343"/>
      <c r="BG69" s="343"/>
      <c r="BH69" s="343"/>
      <c r="BI69" s="343"/>
      <c r="BJ69" s="343"/>
    </row>
    <row r="70" spans="1:63" s="334" customFormat="1" ht="15" hidden="1" customHeight="1" x14ac:dyDescent="0.25">
      <c r="A70" s="343"/>
      <c r="B70" s="343"/>
      <c r="C70" s="343"/>
      <c r="D70" s="343"/>
      <c r="E70" s="343"/>
      <c r="F70" s="343"/>
      <c r="G70" s="343"/>
      <c r="H70" s="343"/>
      <c r="I70" s="343"/>
      <c r="J70" s="343"/>
      <c r="K70" s="343"/>
      <c r="L70" s="343"/>
      <c r="M70" s="343"/>
      <c r="N70" s="343"/>
      <c r="O70" s="343"/>
      <c r="P70" s="343"/>
      <c r="Q70" s="343"/>
      <c r="R70" s="343"/>
      <c r="S70" s="343"/>
      <c r="T70" s="343"/>
      <c r="U70" s="343"/>
      <c r="V70" s="343"/>
      <c r="W70" s="343"/>
      <c r="X70" s="343"/>
      <c r="Y70" s="343"/>
      <c r="Z70" s="343"/>
      <c r="AA70" s="343"/>
      <c r="AB70" s="343"/>
      <c r="AC70" s="343"/>
      <c r="AD70" s="343"/>
      <c r="AE70" s="343"/>
      <c r="AF70" s="343"/>
      <c r="AG70" s="343"/>
      <c r="AH70" s="343"/>
      <c r="AI70" s="343"/>
      <c r="AJ70" s="343"/>
      <c r="AK70" s="343"/>
      <c r="AL70" s="343"/>
      <c r="AM70" s="343"/>
      <c r="AN70" s="343"/>
      <c r="AO70" s="343"/>
      <c r="AP70" s="343"/>
      <c r="AQ70" s="343"/>
      <c r="AR70" s="343"/>
      <c r="AS70" s="343"/>
      <c r="AT70" s="343"/>
      <c r="AU70" s="343"/>
      <c r="AV70" s="343"/>
      <c r="AW70" s="343"/>
      <c r="AX70" s="343"/>
      <c r="AY70" s="343"/>
      <c r="AZ70" s="343"/>
      <c r="BA70" s="343"/>
      <c r="BB70" s="343"/>
      <c r="BC70" s="343"/>
      <c r="BD70" s="343"/>
      <c r="BE70" s="343"/>
      <c r="BF70" s="343"/>
      <c r="BG70" s="343"/>
      <c r="BH70" s="343"/>
      <c r="BI70" s="343"/>
      <c r="BJ70" s="343"/>
    </row>
    <row r="71" spans="1:63" s="334" customFormat="1" ht="15" hidden="1" customHeight="1" x14ac:dyDescent="0.25">
      <c r="A71" s="343"/>
      <c r="B71" s="343"/>
      <c r="C71" s="343"/>
      <c r="D71" s="343"/>
      <c r="E71" s="343"/>
      <c r="F71" s="343"/>
      <c r="G71" s="343"/>
      <c r="H71" s="343"/>
      <c r="I71" s="343"/>
      <c r="J71" s="343"/>
      <c r="K71" s="343"/>
      <c r="L71" s="343"/>
      <c r="M71" s="343"/>
      <c r="N71" s="343"/>
      <c r="O71" s="343"/>
      <c r="P71" s="343"/>
      <c r="Q71" s="343"/>
      <c r="R71" s="343"/>
      <c r="S71" s="343"/>
      <c r="T71" s="343"/>
      <c r="U71" s="343"/>
      <c r="V71" s="343"/>
      <c r="W71" s="343"/>
      <c r="X71" s="343"/>
      <c r="Y71" s="343"/>
      <c r="Z71" s="343"/>
      <c r="AA71" s="343"/>
      <c r="AB71" s="343"/>
      <c r="AC71" s="343"/>
      <c r="AD71" s="343"/>
      <c r="AE71" s="343"/>
      <c r="AF71" s="343"/>
      <c r="AG71" s="343"/>
      <c r="AH71" s="343"/>
      <c r="AI71" s="343"/>
      <c r="AJ71" s="343"/>
      <c r="AK71" s="343"/>
      <c r="AL71" s="343"/>
      <c r="AM71" s="343"/>
      <c r="AN71" s="343"/>
      <c r="AO71" s="343"/>
      <c r="AP71" s="343"/>
      <c r="AQ71" s="343"/>
      <c r="AR71" s="343"/>
      <c r="AS71" s="343"/>
      <c r="AT71" s="343"/>
      <c r="AU71" s="343"/>
      <c r="AV71" s="343"/>
      <c r="AW71" s="343"/>
      <c r="AX71" s="343"/>
      <c r="AY71" s="343"/>
      <c r="AZ71" s="343"/>
      <c r="BA71" s="343"/>
      <c r="BB71" s="343"/>
      <c r="BC71" s="343"/>
      <c r="BD71" s="343"/>
      <c r="BE71" s="343"/>
      <c r="BF71" s="343"/>
      <c r="BG71" s="343"/>
      <c r="BH71" s="343"/>
      <c r="BI71" s="343"/>
      <c r="BJ71" s="343"/>
    </row>
    <row r="72" spans="1:63" s="334" customFormat="1" ht="15" hidden="1" customHeight="1" x14ac:dyDescent="0.25">
      <c r="A72" s="343"/>
      <c r="B72" s="343" t="s">
        <v>404</v>
      </c>
      <c r="C72" s="343" t="s">
        <v>32</v>
      </c>
      <c r="D72" s="343">
        <v>4.3</v>
      </c>
      <c r="E72" s="343">
        <v>4.3</v>
      </c>
      <c r="F72" s="343">
        <v>4.33</v>
      </c>
      <c r="G72" s="343">
        <v>4.3</v>
      </c>
      <c r="H72" s="343">
        <v>4.92</v>
      </c>
      <c r="I72" s="343">
        <v>4.3</v>
      </c>
      <c r="J72" s="343">
        <v>4.5923950044761765</v>
      </c>
      <c r="K72" s="343">
        <v>4.3</v>
      </c>
      <c r="L72" s="343">
        <v>4.1399999999999997</v>
      </c>
      <c r="M72" s="343">
        <v>4.3</v>
      </c>
      <c r="N72" s="343">
        <v>4.356932333272896</v>
      </c>
      <c r="O72" s="343">
        <v>4.3</v>
      </c>
      <c r="P72" s="343">
        <v>4.4400000000000004</v>
      </c>
      <c r="Q72" s="343">
        <v>4.3</v>
      </c>
      <c r="R72" s="343">
        <v>4.3846806542286751</v>
      </c>
      <c r="S72" s="343">
        <v>4.3</v>
      </c>
      <c r="T72" s="343">
        <v>4.08</v>
      </c>
      <c r="U72" s="343">
        <v>4.3</v>
      </c>
      <c r="V72" s="343">
        <v>4.3035978587075361</v>
      </c>
      <c r="W72" s="343">
        <v>4.3</v>
      </c>
      <c r="X72" s="343"/>
      <c r="Y72" s="343">
        <v>4.3</v>
      </c>
      <c r="Z72" s="343">
        <v>2.8242621807545434</v>
      </c>
      <c r="AA72" s="343">
        <v>4.3</v>
      </c>
      <c r="AB72" s="343">
        <v>3.4194284705512046</v>
      </c>
      <c r="AC72" s="343">
        <v>4.3</v>
      </c>
      <c r="AD72" s="343">
        <v>4.08</v>
      </c>
      <c r="AE72" s="343">
        <v>4.3</v>
      </c>
      <c r="AF72" s="343">
        <v>4.3035978587075361</v>
      </c>
      <c r="AG72" s="343">
        <v>4.3</v>
      </c>
      <c r="AH72" s="343">
        <v>4.08</v>
      </c>
      <c r="AI72" s="343">
        <v>4.3</v>
      </c>
      <c r="AJ72" s="343">
        <v>4.3035978587075361</v>
      </c>
      <c r="AK72" s="343">
        <v>4.3</v>
      </c>
      <c r="AL72" s="343">
        <v>4.08</v>
      </c>
      <c r="AM72" s="343">
        <v>4.3</v>
      </c>
      <c r="AN72" s="343">
        <v>2.8242621807545434</v>
      </c>
      <c r="AO72" s="343">
        <v>4.3</v>
      </c>
      <c r="AP72" s="343">
        <v>4.4929326908668932</v>
      </c>
      <c r="AQ72" s="343">
        <v>4.3</v>
      </c>
      <c r="AR72" s="343">
        <v>3.9</v>
      </c>
      <c r="AS72" s="343">
        <v>4.3</v>
      </c>
      <c r="AT72" s="343">
        <v>4.4200976183261034</v>
      </c>
      <c r="AU72" s="343">
        <v>4.3</v>
      </c>
      <c r="AV72" s="343">
        <v>3.97</v>
      </c>
      <c r="AW72" s="343">
        <v>4.3</v>
      </c>
      <c r="AX72" s="343">
        <v>4.3759251443425384</v>
      </c>
      <c r="AY72" s="343">
        <v>4.3</v>
      </c>
      <c r="AZ72" s="343">
        <v>3.97</v>
      </c>
      <c r="BA72" s="343">
        <v>4.3</v>
      </c>
      <c r="BB72" s="343">
        <v>2.8242621807545434</v>
      </c>
      <c r="BC72" s="343">
        <v>4.3</v>
      </c>
      <c r="BD72" s="343">
        <v>4.3759251443425384</v>
      </c>
      <c r="BE72" s="343">
        <v>4.3</v>
      </c>
      <c r="BF72" s="343">
        <v>4.3759251443425384</v>
      </c>
      <c r="BG72" s="343">
        <v>4.3000000000000007</v>
      </c>
      <c r="BH72" s="343">
        <v>5.0407393881131286</v>
      </c>
      <c r="BI72" s="343">
        <v>4.5999999999999988</v>
      </c>
      <c r="BJ72" s="343">
        <v>5.0056729201905341</v>
      </c>
      <c r="BK72" s="334">
        <v>5.0192042238753487</v>
      </c>
    </row>
    <row r="73" spans="1:63" s="334" customFormat="1" ht="15" hidden="1" customHeight="1" x14ac:dyDescent="0.25">
      <c r="A73" s="343"/>
      <c r="B73" s="343"/>
      <c r="C73" s="343"/>
      <c r="D73" s="343"/>
      <c r="E73" s="343"/>
      <c r="F73" s="343"/>
      <c r="G73" s="343"/>
      <c r="H73" s="343"/>
      <c r="I73" s="343"/>
      <c r="J73" s="343"/>
      <c r="K73" s="343"/>
      <c r="L73" s="343"/>
      <c r="M73" s="343"/>
      <c r="N73" s="343"/>
      <c r="O73" s="343"/>
      <c r="P73" s="343"/>
      <c r="Q73" s="343"/>
      <c r="R73" s="343"/>
      <c r="S73" s="343"/>
      <c r="T73" s="343"/>
      <c r="U73" s="343"/>
      <c r="V73" s="343"/>
      <c r="W73" s="343"/>
      <c r="X73" s="343"/>
      <c r="Y73" s="343"/>
      <c r="Z73" s="343"/>
      <c r="AA73" s="343"/>
      <c r="AB73" s="343"/>
      <c r="AC73" s="343"/>
      <c r="AD73" s="343"/>
      <c r="AE73" s="343"/>
      <c r="AF73" s="343"/>
      <c r="AG73" s="343"/>
      <c r="AH73" s="343"/>
      <c r="AI73" s="343"/>
      <c r="AJ73" s="343"/>
      <c r="AK73" s="343"/>
      <c r="AL73" s="343"/>
      <c r="AM73" s="343"/>
      <c r="AN73" s="343"/>
      <c r="AO73" s="343"/>
      <c r="AP73" s="343"/>
      <c r="AQ73" s="343"/>
      <c r="AR73" s="343"/>
      <c r="AS73" s="343"/>
      <c r="AT73" s="343"/>
      <c r="AU73" s="343"/>
      <c r="AV73" s="343"/>
      <c r="AW73" s="343"/>
      <c r="AX73" s="343"/>
      <c r="AY73" s="343"/>
      <c r="AZ73" s="343"/>
      <c r="BA73" s="343"/>
      <c r="BB73" s="343"/>
      <c r="BC73" s="343"/>
      <c r="BD73" s="343"/>
      <c r="BE73" s="343"/>
      <c r="BF73" s="343"/>
      <c r="BG73" s="343"/>
      <c r="BH73" s="343"/>
      <c r="BI73" s="343"/>
      <c r="BJ73" s="343"/>
    </row>
    <row r="74" spans="1:63" s="334" customFormat="1" ht="15" hidden="1" customHeight="1" x14ac:dyDescent="0.25">
      <c r="A74" s="343"/>
      <c r="B74" s="343"/>
      <c r="C74" s="343"/>
      <c r="D74" s="343"/>
      <c r="E74" s="343"/>
      <c r="F74" s="343"/>
      <c r="G74" s="343"/>
      <c r="H74" s="343"/>
      <c r="I74" s="343"/>
      <c r="J74" s="343"/>
      <c r="K74" s="343"/>
      <c r="L74" s="343"/>
      <c r="M74" s="343"/>
      <c r="N74" s="343"/>
      <c r="O74" s="343"/>
      <c r="P74" s="343"/>
      <c r="Q74" s="343"/>
      <c r="R74" s="343"/>
      <c r="S74" s="343"/>
      <c r="T74" s="343"/>
      <c r="U74" s="343"/>
      <c r="V74" s="343"/>
      <c r="W74" s="343"/>
      <c r="X74" s="343"/>
      <c r="Y74" s="343"/>
      <c r="Z74" s="343"/>
      <c r="AA74" s="343"/>
      <c r="AB74" s="343"/>
      <c r="AC74" s="343"/>
      <c r="AD74" s="343"/>
      <c r="AE74" s="343"/>
      <c r="AF74" s="343"/>
      <c r="AG74" s="343"/>
      <c r="AH74" s="343"/>
      <c r="AI74" s="343"/>
      <c r="AJ74" s="343"/>
      <c r="AK74" s="343"/>
      <c r="AL74" s="343"/>
      <c r="AM74" s="343"/>
      <c r="AN74" s="343"/>
      <c r="AO74" s="343"/>
      <c r="AP74" s="343"/>
      <c r="AQ74" s="343"/>
      <c r="AR74" s="343"/>
      <c r="AS74" s="343"/>
      <c r="AT74" s="343"/>
      <c r="AU74" s="343"/>
      <c r="AV74" s="343"/>
      <c r="AW74" s="343"/>
      <c r="AX74" s="343"/>
      <c r="AY74" s="343"/>
      <c r="AZ74" s="343"/>
      <c r="BA74" s="343"/>
      <c r="BB74" s="343"/>
      <c r="BC74" s="343"/>
      <c r="BD74" s="343"/>
      <c r="BE74" s="343"/>
      <c r="BF74" s="343"/>
      <c r="BG74" s="343"/>
      <c r="BH74" s="343"/>
      <c r="BI74" s="343"/>
      <c r="BJ74" s="343"/>
    </row>
    <row r="75" spans="1:63" s="334" customFormat="1" ht="15" hidden="1" customHeight="1" x14ac:dyDescent="0.25">
      <c r="A75" s="343"/>
      <c r="B75" s="343"/>
      <c r="C75" s="343"/>
      <c r="D75" s="343"/>
      <c r="E75" s="343"/>
      <c r="F75" s="343"/>
      <c r="G75" s="343"/>
      <c r="H75" s="343"/>
      <c r="I75" s="343"/>
      <c r="J75" s="343"/>
      <c r="K75" s="343"/>
      <c r="L75" s="343"/>
      <c r="M75" s="343"/>
      <c r="N75" s="343"/>
      <c r="O75" s="343"/>
      <c r="P75" s="343"/>
      <c r="Q75" s="343"/>
      <c r="R75" s="343"/>
      <c r="S75" s="343"/>
      <c r="T75" s="343"/>
      <c r="U75" s="343"/>
      <c r="V75" s="343"/>
      <c r="W75" s="343"/>
      <c r="X75" s="343"/>
      <c r="Y75" s="343"/>
      <c r="Z75" s="343"/>
      <c r="AA75" s="343"/>
      <c r="AB75" s="343"/>
      <c r="AC75" s="343"/>
      <c r="AD75" s="343"/>
      <c r="AE75" s="343"/>
      <c r="AF75" s="343"/>
      <c r="AG75" s="343"/>
      <c r="AH75" s="343"/>
      <c r="AI75" s="343"/>
      <c r="AJ75" s="343"/>
      <c r="AK75" s="343"/>
      <c r="AL75" s="343"/>
      <c r="AM75" s="343"/>
      <c r="AN75" s="343"/>
      <c r="AO75" s="343"/>
      <c r="AP75" s="343"/>
      <c r="AQ75" s="343"/>
      <c r="AR75" s="343"/>
      <c r="AS75" s="343"/>
      <c r="AT75" s="343"/>
      <c r="AU75" s="343"/>
      <c r="AV75" s="343"/>
      <c r="AW75" s="343"/>
      <c r="AX75" s="343"/>
      <c r="AY75" s="343"/>
      <c r="AZ75" s="343"/>
      <c r="BA75" s="343"/>
      <c r="BB75" s="343"/>
      <c r="BC75" s="343"/>
      <c r="BD75" s="343"/>
      <c r="BE75" s="343"/>
      <c r="BF75" s="343"/>
      <c r="BG75" s="343"/>
      <c r="BH75" s="343"/>
      <c r="BI75" s="343"/>
      <c r="BJ75" s="343"/>
    </row>
    <row r="76" spans="1:63" s="334" customFormat="1" ht="15" hidden="1" customHeight="1" x14ac:dyDescent="0.25">
      <c r="A76" s="343"/>
      <c r="B76" s="343"/>
      <c r="C76" s="343"/>
      <c r="D76" s="343"/>
      <c r="E76" s="343"/>
      <c r="F76" s="343"/>
      <c r="G76" s="343"/>
      <c r="H76" s="343"/>
      <c r="I76" s="343"/>
      <c r="J76" s="343"/>
      <c r="K76" s="343"/>
      <c r="L76" s="343"/>
      <c r="M76" s="343"/>
      <c r="N76" s="343"/>
      <c r="O76" s="343"/>
      <c r="P76" s="343"/>
      <c r="Q76" s="343"/>
      <c r="R76" s="343"/>
      <c r="S76" s="343"/>
      <c r="T76" s="343"/>
      <c r="U76" s="343"/>
      <c r="V76" s="343"/>
      <c r="W76" s="343"/>
      <c r="X76" s="343"/>
      <c r="Y76" s="343"/>
      <c r="Z76" s="343"/>
      <c r="AA76" s="343"/>
      <c r="AB76" s="343"/>
      <c r="AC76" s="343"/>
      <c r="AD76" s="343"/>
      <c r="AE76" s="343"/>
      <c r="AF76" s="343"/>
      <c r="AG76" s="343"/>
      <c r="AH76" s="343"/>
      <c r="AI76" s="343"/>
      <c r="AJ76" s="343"/>
      <c r="AK76" s="343"/>
      <c r="AL76" s="343"/>
      <c r="AM76" s="343"/>
      <c r="AN76" s="343"/>
      <c r="AO76" s="343"/>
      <c r="AP76" s="343"/>
      <c r="AQ76" s="343"/>
      <c r="AR76" s="343"/>
      <c r="AS76" s="343"/>
      <c r="AT76" s="343"/>
      <c r="AU76" s="343"/>
      <c r="AV76" s="343"/>
      <c r="AW76" s="343"/>
      <c r="AX76" s="343"/>
      <c r="AY76" s="343"/>
      <c r="AZ76" s="343"/>
      <c r="BA76" s="343"/>
      <c r="BB76" s="343"/>
      <c r="BC76" s="343"/>
      <c r="BD76" s="343"/>
      <c r="BE76" s="343"/>
      <c r="BF76" s="343"/>
      <c r="BG76" s="343"/>
      <c r="BH76" s="343"/>
      <c r="BI76" s="343"/>
      <c r="BJ76" s="343"/>
    </row>
    <row r="77" spans="1:63" s="334" customFormat="1" ht="15" hidden="1" customHeight="1" x14ac:dyDescent="0.25">
      <c r="A77" s="343"/>
      <c r="B77" s="343"/>
      <c r="C77" s="343"/>
      <c r="D77" s="343"/>
      <c r="E77" s="343"/>
      <c r="F77" s="343"/>
      <c r="G77" s="343"/>
      <c r="H77" s="343"/>
      <c r="I77" s="343"/>
      <c r="J77" s="343"/>
      <c r="K77" s="343"/>
      <c r="L77" s="343"/>
      <c r="M77" s="343"/>
      <c r="N77" s="343"/>
      <c r="O77" s="343"/>
      <c r="P77" s="343"/>
      <c r="Q77" s="343"/>
      <c r="R77" s="343"/>
      <c r="S77" s="343"/>
      <c r="T77" s="343"/>
      <c r="U77" s="343"/>
      <c r="V77" s="343"/>
      <c r="W77" s="343"/>
      <c r="X77" s="343"/>
      <c r="Y77" s="343"/>
      <c r="Z77" s="343"/>
      <c r="AA77" s="343"/>
      <c r="AB77" s="343"/>
      <c r="AC77" s="343"/>
      <c r="AD77" s="343"/>
      <c r="AE77" s="343"/>
      <c r="AF77" s="343"/>
      <c r="AG77" s="343"/>
      <c r="AH77" s="343"/>
      <c r="AI77" s="343"/>
      <c r="AJ77" s="343"/>
      <c r="AK77" s="343"/>
      <c r="AL77" s="343"/>
      <c r="AM77" s="343"/>
      <c r="AN77" s="343"/>
      <c r="AO77" s="343"/>
      <c r="AP77" s="343"/>
      <c r="AQ77" s="343"/>
      <c r="AR77" s="343"/>
      <c r="AS77" s="343"/>
      <c r="AT77" s="343"/>
      <c r="AU77" s="343"/>
      <c r="AV77" s="343"/>
      <c r="AW77" s="343"/>
      <c r="AX77" s="343"/>
      <c r="AY77" s="343"/>
      <c r="AZ77" s="343"/>
      <c r="BA77" s="343"/>
      <c r="BB77" s="343"/>
      <c r="BC77" s="343"/>
      <c r="BD77" s="343"/>
      <c r="BE77" s="343"/>
      <c r="BF77" s="343"/>
      <c r="BG77" s="343"/>
      <c r="BH77" s="343"/>
      <c r="BI77" s="343"/>
      <c r="BJ77" s="343"/>
    </row>
    <row r="78" spans="1:63" s="334" customFormat="1" ht="15" hidden="1" customHeight="1" x14ac:dyDescent="0.25">
      <c r="A78" s="343"/>
      <c r="B78" s="343"/>
      <c r="C78" s="343"/>
      <c r="D78" s="343"/>
      <c r="E78" s="343"/>
      <c r="F78" s="343"/>
      <c r="G78" s="343"/>
      <c r="H78" s="343"/>
      <c r="I78" s="343"/>
      <c r="J78" s="343"/>
      <c r="K78" s="343"/>
      <c r="L78" s="343"/>
      <c r="M78" s="343"/>
      <c r="N78" s="343"/>
      <c r="O78" s="343"/>
      <c r="P78" s="343"/>
      <c r="Q78" s="343"/>
      <c r="R78" s="343"/>
      <c r="S78" s="343"/>
      <c r="T78" s="343"/>
      <c r="U78" s="343"/>
      <c r="V78" s="343"/>
      <c r="W78" s="343"/>
      <c r="X78" s="343"/>
      <c r="Y78" s="343"/>
      <c r="Z78" s="343"/>
      <c r="AA78" s="343"/>
      <c r="AB78" s="343"/>
      <c r="AC78" s="343"/>
      <c r="AD78" s="343"/>
      <c r="AE78" s="343"/>
      <c r="AF78" s="343"/>
      <c r="AG78" s="343"/>
      <c r="AH78" s="343"/>
      <c r="AI78" s="343"/>
      <c r="AJ78" s="343"/>
      <c r="AK78" s="343"/>
      <c r="AL78" s="343"/>
      <c r="AM78" s="343"/>
      <c r="AN78" s="343"/>
      <c r="AO78" s="343"/>
      <c r="AP78" s="343"/>
      <c r="AQ78" s="343"/>
      <c r="AR78" s="343"/>
      <c r="AS78" s="343"/>
      <c r="AT78" s="343"/>
      <c r="AU78" s="343"/>
      <c r="AV78" s="343"/>
      <c r="AW78" s="343"/>
      <c r="AX78" s="343"/>
      <c r="AY78" s="343"/>
      <c r="AZ78" s="343"/>
      <c r="BA78" s="343"/>
      <c r="BB78" s="343"/>
      <c r="BC78" s="343"/>
      <c r="BD78" s="343"/>
      <c r="BE78" s="343"/>
      <c r="BF78" s="343"/>
      <c r="BG78" s="343"/>
      <c r="BH78" s="343"/>
      <c r="BI78" s="343"/>
      <c r="BJ78" s="343"/>
    </row>
    <row r="79" spans="1:63" s="334" customFormat="1" ht="15" hidden="1" customHeight="1" x14ac:dyDescent="0.25">
      <c r="A79" s="343"/>
      <c r="B79" s="343"/>
      <c r="C79" s="343"/>
      <c r="D79" s="343"/>
      <c r="E79" s="343"/>
      <c r="F79" s="343"/>
      <c r="G79" s="343"/>
      <c r="H79" s="343"/>
      <c r="I79" s="343"/>
      <c r="J79" s="343"/>
      <c r="K79" s="343"/>
      <c r="L79" s="343"/>
      <c r="M79" s="343"/>
      <c r="N79" s="343"/>
      <c r="O79" s="343"/>
      <c r="P79" s="343"/>
      <c r="Q79" s="343"/>
      <c r="R79" s="343"/>
      <c r="S79" s="343"/>
      <c r="T79" s="343"/>
      <c r="U79" s="343"/>
      <c r="V79" s="343"/>
      <c r="W79" s="343"/>
      <c r="X79" s="343"/>
      <c r="Y79" s="343"/>
      <c r="Z79" s="343"/>
      <c r="AA79" s="343"/>
      <c r="AB79" s="343"/>
      <c r="AC79" s="343"/>
      <c r="AD79" s="343"/>
      <c r="AE79" s="343"/>
      <c r="AF79" s="343"/>
      <c r="AG79" s="343"/>
      <c r="AH79" s="343"/>
      <c r="AI79" s="343"/>
      <c r="AJ79" s="343"/>
      <c r="AK79" s="343"/>
      <c r="AL79" s="343"/>
      <c r="AM79" s="343"/>
      <c r="AN79" s="343"/>
      <c r="AO79" s="343"/>
      <c r="AP79" s="343"/>
      <c r="AQ79" s="343"/>
      <c r="AR79" s="343"/>
      <c r="AS79" s="343"/>
      <c r="AT79" s="343"/>
      <c r="AU79" s="343"/>
      <c r="AV79" s="343"/>
      <c r="AW79" s="343"/>
      <c r="AX79" s="343"/>
      <c r="AY79" s="343"/>
      <c r="AZ79" s="343"/>
      <c r="BA79" s="343"/>
      <c r="BB79" s="343"/>
      <c r="BC79" s="343"/>
      <c r="BD79" s="343"/>
      <c r="BE79" s="343"/>
      <c r="BF79" s="343"/>
      <c r="BG79" s="343"/>
      <c r="BH79" s="343"/>
      <c r="BI79" s="343"/>
      <c r="BJ79" s="343"/>
    </row>
    <row r="80" spans="1:63" s="334" customFormat="1" ht="15" hidden="1" customHeight="1" x14ac:dyDescent="0.25">
      <c r="A80" s="343"/>
      <c r="B80" s="343"/>
      <c r="C80" s="343"/>
      <c r="D80" s="343"/>
      <c r="E80" s="343"/>
      <c r="F80" s="343"/>
      <c r="G80" s="343"/>
      <c r="H80" s="343"/>
      <c r="I80" s="343"/>
      <c r="J80" s="343"/>
      <c r="K80" s="343"/>
      <c r="L80" s="343"/>
      <c r="M80" s="343"/>
      <c r="N80" s="343"/>
      <c r="O80" s="343"/>
      <c r="P80" s="343"/>
      <c r="Q80" s="343"/>
      <c r="R80" s="343"/>
      <c r="S80" s="343"/>
      <c r="T80" s="343"/>
      <c r="U80" s="343"/>
      <c r="V80" s="343"/>
      <c r="W80" s="343"/>
      <c r="X80" s="343"/>
      <c r="Y80" s="343"/>
      <c r="Z80" s="343"/>
      <c r="AA80" s="343"/>
      <c r="AB80" s="343"/>
      <c r="AC80" s="343"/>
      <c r="AD80" s="343"/>
      <c r="AE80" s="343"/>
      <c r="AF80" s="343"/>
      <c r="AG80" s="343"/>
      <c r="AH80" s="343"/>
      <c r="AI80" s="343"/>
      <c r="AJ80" s="343"/>
      <c r="AK80" s="343"/>
      <c r="AL80" s="343"/>
      <c r="AM80" s="343"/>
      <c r="AN80" s="343"/>
      <c r="AO80" s="343"/>
      <c r="AP80" s="343"/>
      <c r="AQ80" s="343"/>
      <c r="AR80" s="343"/>
      <c r="AS80" s="343"/>
      <c r="AT80" s="343"/>
      <c r="AU80" s="343"/>
      <c r="AV80" s="343"/>
      <c r="AW80" s="343"/>
      <c r="AX80" s="343"/>
      <c r="AY80" s="343"/>
      <c r="AZ80" s="343"/>
      <c r="BA80" s="343"/>
      <c r="BB80" s="343"/>
      <c r="BC80" s="343"/>
      <c r="BD80" s="343"/>
      <c r="BE80" s="343"/>
      <c r="BF80" s="343"/>
      <c r="BG80" s="343"/>
      <c r="BH80" s="343"/>
      <c r="BI80" s="343"/>
      <c r="BJ80" s="343"/>
    </row>
    <row r="81" spans="1:62" s="334" customFormat="1" ht="15" hidden="1" customHeight="1" x14ac:dyDescent="0.25">
      <c r="A81" s="343"/>
      <c r="B81" s="343"/>
      <c r="C81" s="343"/>
      <c r="D81" s="343"/>
      <c r="E81" s="343"/>
      <c r="F81" s="343"/>
      <c r="G81" s="343"/>
      <c r="H81" s="343"/>
      <c r="I81" s="343"/>
      <c r="J81" s="343"/>
      <c r="K81" s="343"/>
      <c r="L81" s="343"/>
      <c r="M81" s="343"/>
      <c r="N81" s="343"/>
      <c r="O81" s="343"/>
      <c r="P81" s="343"/>
      <c r="Q81" s="343"/>
      <c r="R81" s="343"/>
      <c r="S81" s="343"/>
      <c r="T81" s="343"/>
      <c r="U81" s="343"/>
      <c r="V81" s="343"/>
      <c r="W81" s="343"/>
      <c r="X81" s="343"/>
      <c r="Y81" s="343"/>
      <c r="Z81" s="343"/>
      <c r="AA81" s="343"/>
      <c r="AB81" s="343"/>
      <c r="AC81" s="343"/>
      <c r="AD81" s="343"/>
      <c r="AE81" s="343"/>
      <c r="AF81" s="343"/>
      <c r="AG81" s="343"/>
      <c r="AH81" s="343"/>
      <c r="AI81" s="343"/>
      <c r="AJ81" s="343"/>
      <c r="AK81" s="343"/>
      <c r="AL81" s="343"/>
      <c r="AM81" s="343"/>
      <c r="AN81" s="343"/>
      <c r="AO81" s="343"/>
      <c r="AP81" s="343"/>
      <c r="AQ81" s="343"/>
      <c r="AR81" s="343"/>
      <c r="AS81" s="343"/>
      <c r="AT81" s="343"/>
      <c r="AU81" s="343"/>
      <c r="AV81" s="343"/>
      <c r="AW81" s="343"/>
      <c r="AX81" s="343"/>
      <c r="AY81" s="343"/>
      <c r="AZ81" s="343"/>
      <c r="BA81" s="343"/>
      <c r="BB81" s="343"/>
      <c r="BC81" s="343"/>
      <c r="BD81" s="343"/>
      <c r="BE81" s="343"/>
      <c r="BF81" s="343"/>
      <c r="BG81" s="343"/>
      <c r="BH81" s="343"/>
      <c r="BI81" s="343"/>
      <c r="BJ81" s="343"/>
    </row>
    <row r="82" spans="1:62" s="334" customFormat="1" ht="15" hidden="1" customHeight="1" x14ac:dyDescent="0.25">
      <c r="A82" s="343"/>
      <c r="B82" s="343"/>
      <c r="C82" s="343"/>
      <c r="D82" s="343"/>
      <c r="E82" s="343"/>
      <c r="F82" s="343"/>
      <c r="G82" s="343"/>
      <c r="H82" s="343"/>
      <c r="I82" s="343"/>
      <c r="J82" s="343"/>
      <c r="K82" s="343"/>
      <c r="L82" s="343"/>
      <c r="M82" s="343"/>
      <c r="N82" s="343"/>
      <c r="O82" s="343"/>
      <c r="P82" s="343"/>
      <c r="Q82" s="343"/>
      <c r="R82" s="343"/>
      <c r="S82" s="343"/>
      <c r="T82" s="343"/>
      <c r="U82" s="343"/>
      <c r="V82" s="343"/>
      <c r="W82" s="343"/>
      <c r="X82" s="343"/>
      <c r="Y82" s="343"/>
      <c r="Z82" s="343"/>
      <c r="AA82" s="343"/>
      <c r="AB82" s="343"/>
      <c r="AC82" s="343"/>
      <c r="AD82" s="343"/>
      <c r="AE82" s="343"/>
      <c r="AF82" s="343"/>
      <c r="AG82" s="343"/>
      <c r="AH82" s="343"/>
      <c r="AI82" s="343"/>
      <c r="AJ82" s="343"/>
      <c r="AK82" s="343"/>
      <c r="AL82" s="343"/>
      <c r="AM82" s="343"/>
      <c r="AN82" s="343"/>
      <c r="AO82" s="343"/>
      <c r="AP82" s="343"/>
      <c r="AQ82" s="343"/>
      <c r="AR82" s="343"/>
      <c r="AS82" s="343"/>
      <c r="AT82" s="343"/>
      <c r="AU82" s="343"/>
      <c r="AV82" s="343"/>
      <c r="AW82" s="343"/>
      <c r="AX82" s="343"/>
      <c r="AY82" s="343"/>
      <c r="AZ82" s="343"/>
      <c r="BA82" s="343"/>
      <c r="BB82" s="343"/>
      <c r="BC82" s="343"/>
      <c r="BD82" s="343"/>
      <c r="BE82" s="343"/>
      <c r="BF82" s="343"/>
      <c r="BG82" s="343"/>
      <c r="BH82" s="343"/>
      <c r="BI82" s="343"/>
      <c r="BJ82" s="343"/>
    </row>
    <row r="83" spans="1:62" s="334" customFormat="1" ht="15" hidden="1" customHeight="1" x14ac:dyDescent="0.25">
      <c r="A83" s="343"/>
      <c r="B83" s="343"/>
      <c r="C83" s="343"/>
      <c r="D83" s="343"/>
      <c r="E83" s="343"/>
      <c r="F83" s="343"/>
      <c r="G83" s="343"/>
      <c r="H83" s="343"/>
      <c r="I83" s="343"/>
      <c r="J83" s="343"/>
      <c r="K83" s="343"/>
      <c r="L83" s="343"/>
      <c r="M83" s="343"/>
      <c r="N83" s="343"/>
      <c r="O83" s="343"/>
      <c r="P83" s="343"/>
      <c r="Q83" s="343"/>
      <c r="R83" s="343"/>
      <c r="S83" s="343"/>
      <c r="T83" s="343"/>
      <c r="U83" s="343"/>
      <c r="V83" s="343"/>
      <c r="W83" s="343"/>
      <c r="X83" s="343"/>
      <c r="Y83" s="343"/>
      <c r="Z83" s="343"/>
      <c r="AA83" s="343"/>
      <c r="AB83" s="343"/>
      <c r="AC83" s="343"/>
      <c r="AD83" s="343"/>
      <c r="AE83" s="343"/>
      <c r="AF83" s="343"/>
      <c r="AG83" s="343"/>
      <c r="AH83" s="343"/>
      <c r="AI83" s="343"/>
      <c r="AJ83" s="343"/>
      <c r="AK83" s="343"/>
      <c r="AL83" s="343"/>
      <c r="AM83" s="343"/>
      <c r="AN83" s="343"/>
      <c r="AO83" s="343"/>
      <c r="AP83" s="343"/>
      <c r="AQ83" s="343"/>
      <c r="AR83" s="343"/>
      <c r="AS83" s="343"/>
      <c r="AT83" s="343"/>
      <c r="AU83" s="343"/>
      <c r="AV83" s="343"/>
      <c r="AW83" s="343"/>
      <c r="AX83" s="343"/>
      <c r="AY83" s="343"/>
      <c r="AZ83" s="343"/>
      <c r="BA83" s="343"/>
      <c r="BB83" s="343"/>
      <c r="BC83" s="343"/>
      <c r="BD83" s="343"/>
      <c r="BE83" s="343"/>
      <c r="BF83" s="343"/>
      <c r="BG83" s="343"/>
      <c r="BH83" s="343"/>
      <c r="BI83" s="343"/>
      <c r="BJ83" s="343"/>
    </row>
    <row r="84" spans="1:62" s="334" customFormat="1" ht="15" hidden="1" customHeight="1" x14ac:dyDescent="0.25">
      <c r="A84" s="343"/>
      <c r="B84" s="343"/>
      <c r="C84" s="343"/>
      <c r="D84" s="343"/>
      <c r="E84" s="343"/>
      <c r="F84" s="343"/>
      <c r="G84" s="343"/>
      <c r="H84" s="343"/>
      <c r="I84" s="343"/>
      <c r="J84" s="343"/>
      <c r="K84" s="343"/>
      <c r="L84" s="343"/>
      <c r="M84" s="343"/>
      <c r="N84" s="343"/>
      <c r="O84" s="343"/>
      <c r="P84" s="343"/>
      <c r="Q84" s="343"/>
      <c r="R84" s="343"/>
      <c r="S84" s="343"/>
      <c r="T84" s="343"/>
      <c r="U84" s="343"/>
      <c r="V84" s="343"/>
      <c r="W84" s="343"/>
      <c r="X84" s="343"/>
      <c r="Y84" s="343"/>
      <c r="Z84" s="343"/>
      <c r="AA84" s="343"/>
      <c r="AB84" s="343"/>
      <c r="AC84" s="343"/>
      <c r="AD84" s="343"/>
      <c r="AE84" s="343"/>
      <c r="AF84" s="343"/>
      <c r="AG84" s="343"/>
      <c r="AH84" s="343"/>
      <c r="AI84" s="343"/>
      <c r="AJ84" s="343"/>
      <c r="AK84" s="343"/>
      <c r="AL84" s="343"/>
      <c r="AM84" s="343"/>
      <c r="AN84" s="343"/>
      <c r="AO84" s="343"/>
      <c r="AP84" s="343"/>
      <c r="AQ84" s="343"/>
      <c r="AR84" s="343"/>
      <c r="AS84" s="343"/>
      <c r="AT84" s="343"/>
      <c r="AU84" s="343"/>
      <c r="AV84" s="343"/>
      <c r="AW84" s="343"/>
      <c r="AX84" s="343"/>
      <c r="AY84" s="343"/>
      <c r="AZ84" s="343"/>
      <c r="BA84" s="343"/>
      <c r="BB84" s="343"/>
      <c r="BC84" s="343"/>
      <c r="BD84" s="343"/>
      <c r="BE84" s="343"/>
      <c r="BF84" s="343"/>
      <c r="BG84" s="343"/>
      <c r="BH84" s="343"/>
      <c r="BI84" s="343"/>
      <c r="BJ84" s="343"/>
    </row>
    <row r="85" spans="1:62" s="334" customFormat="1" ht="15" hidden="1" customHeight="1" x14ac:dyDescent="0.25">
      <c r="A85" s="343"/>
      <c r="B85" s="343"/>
      <c r="C85" s="343"/>
      <c r="D85" s="343"/>
      <c r="E85" s="343"/>
      <c r="F85" s="343"/>
      <c r="G85" s="343"/>
      <c r="H85" s="343"/>
      <c r="I85" s="343"/>
      <c r="J85" s="343"/>
      <c r="K85" s="343"/>
      <c r="L85" s="343"/>
      <c r="M85" s="343"/>
      <c r="N85" s="343"/>
      <c r="O85" s="343"/>
      <c r="P85" s="343"/>
      <c r="Q85" s="343"/>
      <c r="R85" s="343"/>
      <c r="S85" s="343"/>
      <c r="T85" s="343"/>
      <c r="U85" s="343"/>
      <c r="V85" s="343"/>
      <c r="W85" s="343"/>
      <c r="X85" s="343"/>
      <c r="Y85" s="343"/>
      <c r="Z85" s="343"/>
      <c r="AA85" s="343"/>
      <c r="AB85" s="343"/>
      <c r="AC85" s="343"/>
      <c r="AD85" s="343"/>
      <c r="AE85" s="343"/>
      <c r="AF85" s="343"/>
      <c r="AG85" s="343"/>
      <c r="AH85" s="343"/>
      <c r="AI85" s="343"/>
      <c r="AJ85" s="343"/>
      <c r="AK85" s="343"/>
      <c r="AL85" s="343"/>
      <c r="AM85" s="343"/>
      <c r="AN85" s="343"/>
      <c r="AO85" s="343"/>
      <c r="AP85" s="343"/>
      <c r="AQ85" s="343"/>
      <c r="AR85" s="343"/>
      <c r="AS85" s="343"/>
      <c r="AT85" s="343"/>
      <c r="AU85" s="343"/>
      <c r="AV85" s="343"/>
      <c r="AW85" s="343"/>
      <c r="AX85" s="343"/>
      <c r="AY85" s="343"/>
      <c r="AZ85" s="343"/>
      <c r="BA85" s="343"/>
      <c r="BB85" s="343"/>
      <c r="BC85" s="343"/>
      <c r="BD85" s="343"/>
      <c r="BE85" s="343"/>
      <c r="BF85" s="343"/>
      <c r="BG85" s="343"/>
      <c r="BH85" s="343"/>
      <c r="BI85" s="343"/>
      <c r="BJ85" s="343"/>
    </row>
    <row r="86" spans="1:62" s="334" customFormat="1" ht="15" hidden="1" customHeight="1" x14ac:dyDescent="0.25">
      <c r="A86" s="343"/>
      <c r="B86" s="343"/>
      <c r="C86" s="343"/>
      <c r="D86" s="343"/>
      <c r="E86" s="343"/>
      <c r="F86" s="343"/>
      <c r="G86" s="343"/>
      <c r="H86" s="343"/>
      <c r="I86" s="343"/>
      <c r="J86" s="343"/>
      <c r="K86" s="343"/>
      <c r="L86" s="343"/>
      <c r="M86" s="343"/>
      <c r="N86" s="343"/>
      <c r="O86" s="343"/>
      <c r="P86" s="343"/>
      <c r="Q86" s="343"/>
      <c r="R86" s="343"/>
      <c r="S86" s="343"/>
      <c r="T86" s="343"/>
      <c r="U86" s="343"/>
      <c r="V86" s="343"/>
      <c r="W86" s="343"/>
      <c r="X86" s="343"/>
      <c r="Y86" s="343"/>
      <c r="Z86" s="343"/>
      <c r="AA86" s="343"/>
      <c r="AB86" s="343"/>
      <c r="AC86" s="343"/>
      <c r="AD86" s="343"/>
      <c r="AE86" s="343"/>
      <c r="AF86" s="343"/>
      <c r="AG86" s="343"/>
      <c r="AH86" s="343"/>
      <c r="AI86" s="343"/>
      <c r="AJ86" s="343"/>
      <c r="AK86" s="343"/>
      <c r="AL86" s="343"/>
      <c r="AM86" s="343"/>
      <c r="AN86" s="343"/>
      <c r="AO86" s="343"/>
      <c r="AP86" s="343"/>
      <c r="AQ86" s="343"/>
      <c r="AR86" s="343"/>
      <c r="AS86" s="343"/>
      <c r="AT86" s="343"/>
      <c r="AU86" s="343"/>
      <c r="AV86" s="343"/>
      <c r="AW86" s="343"/>
      <c r="AX86" s="343"/>
      <c r="AY86" s="343"/>
      <c r="AZ86" s="343"/>
      <c r="BA86" s="343"/>
      <c r="BB86" s="343"/>
      <c r="BC86" s="343"/>
      <c r="BD86" s="343"/>
      <c r="BE86" s="343"/>
      <c r="BF86" s="343"/>
      <c r="BG86" s="343"/>
      <c r="BH86" s="343"/>
      <c r="BI86" s="343"/>
      <c r="BJ86" s="343"/>
    </row>
    <row r="87" spans="1:62" s="334" customFormat="1" ht="15" hidden="1" customHeight="1" x14ac:dyDescent="0.25">
      <c r="A87" s="343"/>
      <c r="B87" s="343"/>
      <c r="C87" s="343"/>
      <c r="D87" s="343"/>
      <c r="E87" s="343"/>
      <c r="F87" s="343"/>
      <c r="G87" s="343"/>
      <c r="H87" s="343"/>
      <c r="I87" s="343"/>
      <c r="J87" s="343"/>
      <c r="K87" s="343"/>
      <c r="L87" s="343"/>
      <c r="M87" s="343"/>
      <c r="N87" s="343"/>
      <c r="O87" s="343"/>
      <c r="P87" s="343"/>
      <c r="Q87" s="343"/>
      <c r="R87" s="343"/>
      <c r="S87" s="343"/>
      <c r="T87" s="343"/>
      <c r="U87" s="343"/>
      <c r="V87" s="343"/>
      <c r="W87" s="343"/>
      <c r="X87" s="343"/>
      <c r="Y87" s="343"/>
      <c r="Z87" s="343"/>
      <c r="AA87" s="343"/>
      <c r="AB87" s="343"/>
      <c r="AC87" s="343"/>
      <c r="AD87" s="343"/>
      <c r="AE87" s="343"/>
      <c r="AF87" s="343"/>
      <c r="AG87" s="343"/>
      <c r="AH87" s="343"/>
      <c r="AI87" s="343"/>
      <c r="AJ87" s="343"/>
      <c r="AK87" s="343"/>
      <c r="AL87" s="343"/>
      <c r="AM87" s="343"/>
      <c r="AN87" s="343"/>
      <c r="AO87" s="343"/>
      <c r="AP87" s="343"/>
      <c r="AQ87" s="343"/>
      <c r="AR87" s="343"/>
      <c r="AS87" s="343"/>
      <c r="AT87" s="343"/>
      <c r="AU87" s="343"/>
      <c r="AV87" s="343"/>
      <c r="AW87" s="343"/>
      <c r="AX87" s="343"/>
      <c r="AY87" s="343"/>
      <c r="AZ87" s="343"/>
      <c r="BA87" s="343"/>
      <c r="BB87" s="343"/>
      <c r="BC87" s="343"/>
      <c r="BD87" s="343"/>
      <c r="BE87" s="343"/>
      <c r="BF87" s="343"/>
      <c r="BG87" s="343"/>
      <c r="BH87" s="343"/>
      <c r="BI87" s="343"/>
      <c r="BJ87" s="343"/>
    </row>
    <row r="88" spans="1:62" s="334" customFormat="1" ht="15" hidden="1" customHeight="1" x14ac:dyDescent="0.25">
      <c r="A88" s="343"/>
      <c r="B88" s="343"/>
      <c r="C88" s="343"/>
      <c r="D88" s="343"/>
      <c r="E88" s="343"/>
      <c r="F88" s="343"/>
      <c r="G88" s="343"/>
      <c r="H88" s="343"/>
      <c r="I88" s="343"/>
      <c r="J88" s="343"/>
      <c r="K88" s="343"/>
      <c r="L88" s="343"/>
      <c r="M88" s="343"/>
      <c r="N88" s="343"/>
      <c r="O88" s="343"/>
      <c r="P88" s="343"/>
      <c r="Q88" s="343"/>
      <c r="R88" s="343"/>
      <c r="S88" s="343"/>
      <c r="T88" s="343"/>
      <c r="U88" s="343"/>
      <c r="V88" s="343"/>
      <c r="W88" s="343"/>
      <c r="X88" s="343"/>
      <c r="Y88" s="343"/>
      <c r="Z88" s="343"/>
      <c r="AA88" s="343"/>
      <c r="AB88" s="343"/>
      <c r="AC88" s="343"/>
      <c r="AD88" s="343"/>
      <c r="AE88" s="343"/>
      <c r="AF88" s="343"/>
      <c r="AG88" s="343"/>
      <c r="AH88" s="343"/>
      <c r="AI88" s="343"/>
      <c r="AJ88" s="343"/>
      <c r="AK88" s="343"/>
      <c r="AL88" s="343"/>
      <c r="AM88" s="343"/>
      <c r="AN88" s="343"/>
      <c r="AO88" s="343"/>
      <c r="AP88" s="343"/>
      <c r="AQ88" s="343"/>
      <c r="AR88" s="343"/>
      <c r="AS88" s="343"/>
      <c r="AT88" s="343"/>
      <c r="AU88" s="343"/>
      <c r="AV88" s="343"/>
      <c r="AW88" s="343"/>
      <c r="AX88" s="343"/>
      <c r="AY88" s="343"/>
      <c r="AZ88" s="343"/>
      <c r="BA88" s="343"/>
      <c r="BB88" s="343"/>
      <c r="BC88" s="343"/>
      <c r="BD88" s="343"/>
      <c r="BE88" s="343"/>
      <c r="BF88" s="343"/>
      <c r="BG88" s="343"/>
      <c r="BH88" s="343"/>
      <c r="BI88" s="343"/>
      <c r="BJ88" s="343"/>
    </row>
    <row r="89" spans="1:62" s="334" customFormat="1" ht="15" hidden="1" customHeight="1" x14ac:dyDescent="0.25">
      <c r="A89" s="343"/>
      <c r="B89" s="343"/>
      <c r="C89" s="343"/>
      <c r="D89" s="343"/>
      <c r="E89" s="343"/>
      <c r="F89" s="343"/>
      <c r="G89" s="343"/>
      <c r="H89" s="343"/>
      <c r="I89" s="343"/>
      <c r="J89" s="343"/>
      <c r="K89" s="343"/>
      <c r="L89" s="343"/>
      <c r="M89" s="343"/>
      <c r="N89" s="343"/>
      <c r="O89" s="343"/>
      <c r="P89" s="343"/>
      <c r="Q89" s="343"/>
      <c r="R89" s="343"/>
      <c r="S89" s="343"/>
      <c r="T89" s="343"/>
      <c r="U89" s="343"/>
      <c r="V89" s="343"/>
      <c r="W89" s="343"/>
      <c r="X89" s="343"/>
      <c r="Y89" s="343"/>
      <c r="Z89" s="343"/>
      <c r="AA89" s="343"/>
      <c r="AB89" s="343"/>
      <c r="AC89" s="343"/>
      <c r="AD89" s="343"/>
      <c r="AE89" s="343"/>
      <c r="AF89" s="343"/>
      <c r="AG89" s="343"/>
      <c r="AH89" s="343"/>
      <c r="AI89" s="343"/>
      <c r="AJ89" s="343"/>
      <c r="AK89" s="343"/>
      <c r="AL89" s="343"/>
      <c r="AM89" s="343"/>
      <c r="AN89" s="343"/>
      <c r="AO89" s="343"/>
      <c r="AP89" s="343"/>
      <c r="AQ89" s="343"/>
      <c r="AR89" s="343"/>
      <c r="AS89" s="343"/>
      <c r="AT89" s="343"/>
      <c r="AU89" s="343"/>
      <c r="AV89" s="343"/>
      <c r="AW89" s="343"/>
      <c r="AX89" s="343"/>
      <c r="AY89" s="343"/>
      <c r="AZ89" s="343"/>
      <c r="BA89" s="343"/>
      <c r="BB89" s="343"/>
      <c r="BC89" s="343"/>
      <c r="BD89" s="343"/>
      <c r="BE89" s="343"/>
      <c r="BF89" s="343"/>
      <c r="BG89" s="343"/>
      <c r="BH89" s="343"/>
      <c r="BI89" s="343"/>
      <c r="BJ89" s="343"/>
    </row>
    <row r="90" spans="1:62" s="334" customFormat="1" ht="15" hidden="1" customHeight="1" x14ac:dyDescent="0.25">
      <c r="A90" s="343"/>
      <c r="B90" s="343"/>
      <c r="C90" s="343"/>
      <c r="D90" s="343"/>
      <c r="E90" s="343"/>
      <c r="F90" s="343"/>
      <c r="G90" s="343"/>
      <c r="H90" s="343"/>
      <c r="I90" s="343"/>
      <c r="J90" s="343"/>
      <c r="K90" s="343"/>
      <c r="L90" s="343"/>
      <c r="M90" s="343"/>
      <c r="N90" s="343"/>
      <c r="O90" s="343"/>
      <c r="P90" s="343"/>
      <c r="Q90" s="343"/>
      <c r="R90" s="343"/>
      <c r="S90" s="343"/>
      <c r="T90" s="343"/>
      <c r="U90" s="343"/>
      <c r="V90" s="343"/>
      <c r="W90" s="343"/>
      <c r="X90" s="343"/>
      <c r="Y90" s="343"/>
      <c r="Z90" s="343"/>
      <c r="AA90" s="343"/>
      <c r="AB90" s="343"/>
      <c r="AC90" s="343"/>
      <c r="AD90" s="343"/>
      <c r="AE90" s="343"/>
      <c r="AF90" s="343"/>
      <c r="AG90" s="343"/>
      <c r="AH90" s="343"/>
      <c r="AI90" s="343"/>
      <c r="AJ90" s="343"/>
      <c r="AK90" s="343"/>
      <c r="AL90" s="343"/>
      <c r="AM90" s="343"/>
      <c r="AN90" s="343"/>
      <c r="AO90" s="343"/>
      <c r="AP90" s="343"/>
      <c r="AQ90" s="343"/>
      <c r="AR90" s="343"/>
      <c r="AS90" s="343"/>
      <c r="AT90" s="343"/>
      <c r="AU90" s="343"/>
      <c r="AV90" s="343"/>
      <c r="AW90" s="343"/>
      <c r="AX90" s="343"/>
      <c r="AY90" s="343"/>
      <c r="AZ90" s="343"/>
      <c r="BA90" s="343"/>
      <c r="BB90" s="343"/>
      <c r="BC90" s="343"/>
      <c r="BD90" s="343"/>
      <c r="BE90" s="343"/>
      <c r="BF90" s="343"/>
      <c r="BG90" s="343"/>
      <c r="BH90" s="343"/>
      <c r="BI90" s="343"/>
      <c r="BJ90" s="343"/>
    </row>
    <row r="91" spans="1:62" s="334" customFormat="1" ht="15" hidden="1" customHeight="1" x14ac:dyDescent="0.25">
      <c r="A91" s="343"/>
      <c r="B91" s="343"/>
      <c r="C91" s="343"/>
      <c r="D91" s="343"/>
      <c r="E91" s="343"/>
      <c r="F91" s="343"/>
      <c r="G91" s="343"/>
      <c r="H91" s="343"/>
      <c r="I91" s="343"/>
      <c r="J91" s="343"/>
      <c r="K91" s="343"/>
      <c r="L91" s="343"/>
      <c r="M91" s="343"/>
      <c r="N91" s="343"/>
      <c r="O91" s="343"/>
      <c r="P91" s="343"/>
      <c r="Q91" s="343"/>
      <c r="R91" s="343"/>
      <c r="S91" s="343"/>
      <c r="T91" s="343"/>
      <c r="U91" s="343"/>
      <c r="V91" s="343"/>
      <c r="W91" s="343"/>
      <c r="X91" s="343"/>
      <c r="Y91" s="343"/>
      <c r="Z91" s="343"/>
      <c r="AA91" s="343"/>
      <c r="AB91" s="343"/>
      <c r="AC91" s="343"/>
      <c r="AD91" s="343"/>
      <c r="AE91" s="343"/>
      <c r="AF91" s="343"/>
      <c r="AG91" s="343"/>
      <c r="AH91" s="343"/>
      <c r="AI91" s="343"/>
      <c r="AJ91" s="343"/>
      <c r="AK91" s="343"/>
      <c r="AL91" s="343"/>
      <c r="AM91" s="343"/>
      <c r="AN91" s="343"/>
      <c r="AO91" s="343"/>
      <c r="AP91" s="343"/>
      <c r="AQ91" s="343"/>
      <c r="AR91" s="343"/>
      <c r="AS91" s="343"/>
      <c r="AT91" s="343"/>
      <c r="AU91" s="343"/>
      <c r="AV91" s="343"/>
      <c r="AW91" s="343"/>
      <c r="AX91" s="343"/>
      <c r="AY91" s="343"/>
      <c r="AZ91" s="343"/>
      <c r="BA91" s="343"/>
      <c r="BB91" s="343"/>
      <c r="BC91" s="343"/>
      <c r="BD91" s="343"/>
      <c r="BE91" s="343"/>
      <c r="BF91" s="343"/>
      <c r="BG91" s="343"/>
      <c r="BH91" s="343"/>
      <c r="BI91" s="343"/>
      <c r="BJ91" s="343"/>
    </row>
    <row r="92" spans="1:62" s="334" customFormat="1" ht="15" customHeight="1" x14ac:dyDescent="0.25">
      <c r="A92" s="343"/>
      <c r="B92" s="343"/>
      <c r="C92" s="343"/>
      <c r="D92" s="343"/>
      <c r="E92" s="343"/>
      <c r="F92" s="343"/>
      <c r="G92" s="343"/>
      <c r="H92" s="343"/>
      <c r="I92" s="343"/>
      <c r="J92" s="343"/>
      <c r="K92" s="343"/>
      <c r="L92" s="343"/>
      <c r="M92" s="343"/>
      <c r="N92" s="343"/>
      <c r="O92" s="343"/>
      <c r="P92" s="343"/>
      <c r="Q92" s="343"/>
      <c r="R92" s="343"/>
      <c r="S92" s="343"/>
      <c r="T92" s="343"/>
      <c r="U92" s="343"/>
      <c r="V92" s="343"/>
      <c r="W92" s="343"/>
      <c r="X92" s="343"/>
      <c r="Y92" s="343"/>
      <c r="Z92" s="343"/>
      <c r="AA92" s="343"/>
      <c r="AB92" s="343"/>
      <c r="AC92" s="343"/>
      <c r="AD92" s="343"/>
      <c r="AE92" s="343"/>
      <c r="AF92" s="343"/>
      <c r="AG92" s="343"/>
      <c r="AH92" s="343"/>
      <c r="AI92" s="343"/>
      <c r="AJ92" s="343"/>
      <c r="AK92" s="343"/>
      <c r="AL92" s="343"/>
      <c r="AM92" s="343"/>
      <c r="AN92" s="343"/>
      <c r="AO92" s="343"/>
      <c r="AP92" s="343"/>
      <c r="AQ92" s="343"/>
      <c r="AR92" s="343"/>
      <c r="AS92" s="343"/>
      <c r="AT92" s="343"/>
      <c r="AU92" s="343"/>
      <c r="AV92" s="343"/>
      <c r="AW92" s="343"/>
      <c r="AX92" s="343"/>
      <c r="AY92" s="343"/>
      <c r="AZ92" s="343"/>
      <c r="BA92" s="343"/>
      <c r="BB92" s="343"/>
      <c r="BC92" s="343"/>
      <c r="BD92" s="343"/>
      <c r="BE92" s="343"/>
      <c r="BF92" s="343"/>
      <c r="BG92" s="343"/>
      <c r="BH92" s="343"/>
      <c r="BI92" s="343"/>
      <c r="BJ92" s="343"/>
    </row>
    <row r="93" spans="1:62" s="334" customFormat="1" ht="15" customHeight="1" x14ac:dyDescent="0.25">
      <c r="A93" s="343"/>
      <c r="B93" s="343"/>
      <c r="C93" s="343"/>
      <c r="D93" s="343"/>
      <c r="E93" s="343"/>
      <c r="F93" s="343"/>
      <c r="G93" s="343"/>
      <c r="H93" s="343"/>
      <c r="I93" s="343"/>
      <c r="J93" s="343"/>
      <c r="K93" s="343"/>
      <c r="L93" s="343"/>
      <c r="M93" s="343"/>
      <c r="N93" s="343"/>
      <c r="O93" s="343"/>
      <c r="P93" s="343"/>
      <c r="Q93" s="343"/>
      <c r="R93" s="343"/>
      <c r="S93" s="343"/>
      <c r="T93" s="343"/>
      <c r="U93" s="343"/>
      <c r="V93" s="343"/>
      <c r="W93" s="343"/>
      <c r="X93" s="343"/>
      <c r="Y93" s="343"/>
      <c r="Z93" s="343"/>
      <c r="AA93" s="343"/>
      <c r="AB93" s="343"/>
      <c r="AC93" s="343"/>
      <c r="AD93" s="343"/>
      <c r="AE93" s="343"/>
      <c r="AF93" s="343"/>
      <c r="AG93" s="343"/>
      <c r="AH93" s="343"/>
      <c r="AI93" s="343"/>
      <c r="AJ93" s="343"/>
      <c r="AK93" s="343"/>
      <c r="AL93" s="343"/>
      <c r="AM93" s="343"/>
      <c r="AN93" s="343"/>
      <c r="AO93" s="343"/>
      <c r="AP93" s="343"/>
      <c r="AQ93" s="343"/>
      <c r="AR93" s="343"/>
      <c r="AS93" s="343"/>
      <c r="AT93" s="343"/>
      <c r="AU93" s="343"/>
      <c r="AV93" s="343"/>
      <c r="AW93" s="343"/>
      <c r="AX93" s="343"/>
      <c r="AY93" s="343"/>
      <c r="AZ93" s="343"/>
      <c r="BA93" s="343"/>
      <c r="BB93" s="343"/>
      <c r="BC93" s="343"/>
      <c r="BD93" s="343"/>
      <c r="BE93" s="343"/>
      <c r="BF93" s="343"/>
      <c r="BG93" s="343"/>
      <c r="BH93" s="343"/>
      <c r="BI93" s="343"/>
      <c r="BJ93" s="343"/>
    </row>
    <row r="94" spans="1:62" s="334" customFormat="1" ht="15" customHeight="1" x14ac:dyDescent="0.25">
      <c r="A94" s="343"/>
      <c r="B94" s="343"/>
      <c r="C94" s="343"/>
      <c r="D94" s="343"/>
      <c r="E94" s="343"/>
      <c r="F94" s="343"/>
      <c r="G94" s="343"/>
      <c r="H94" s="343"/>
      <c r="I94" s="343"/>
      <c r="J94" s="343"/>
      <c r="K94" s="343"/>
      <c r="L94" s="343"/>
      <c r="M94" s="343"/>
      <c r="N94" s="343"/>
      <c r="O94" s="343"/>
      <c r="P94" s="343"/>
      <c r="Q94" s="343"/>
      <c r="R94" s="343"/>
      <c r="S94" s="343"/>
      <c r="T94" s="343"/>
      <c r="U94" s="343"/>
      <c r="V94" s="343"/>
      <c r="W94" s="343"/>
      <c r="X94" s="343"/>
      <c r="Y94" s="343"/>
      <c r="Z94" s="343"/>
      <c r="AA94" s="343"/>
      <c r="AB94" s="343"/>
      <c r="AC94" s="343"/>
      <c r="AD94" s="343"/>
      <c r="AE94" s="343"/>
      <c r="AF94" s="343"/>
      <c r="AG94" s="343"/>
      <c r="AH94" s="343"/>
      <c r="AI94" s="343"/>
      <c r="AJ94" s="343"/>
      <c r="AK94" s="343"/>
      <c r="AL94" s="343"/>
      <c r="AM94" s="343"/>
      <c r="AN94" s="343"/>
      <c r="AO94" s="343"/>
      <c r="AP94" s="343"/>
      <c r="AQ94" s="343"/>
      <c r="AR94" s="343"/>
      <c r="AS94" s="343"/>
      <c r="AT94" s="343"/>
      <c r="AU94" s="343"/>
      <c r="AV94" s="343"/>
      <c r="AW94" s="343"/>
      <c r="AX94" s="343"/>
      <c r="AY94" s="343"/>
      <c r="AZ94" s="343"/>
      <c r="BA94" s="343"/>
      <c r="BB94" s="343"/>
      <c r="BC94" s="343"/>
      <c r="BD94" s="343"/>
      <c r="BE94" s="343"/>
      <c r="BF94" s="343"/>
      <c r="BG94" s="343"/>
      <c r="BH94" s="343"/>
      <c r="BI94" s="343"/>
      <c r="BJ94" s="343"/>
    </row>
    <row r="95" spans="1:62" s="334" customFormat="1" ht="15" customHeight="1" x14ac:dyDescent="0.25">
      <c r="A95" s="343"/>
      <c r="B95" s="343"/>
      <c r="C95" s="343"/>
      <c r="D95" s="343"/>
      <c r="E95" s="343"/>
      <c r="F95" s="343"/>
      <c r="G95" s="343"/>
      <c r="H95" s="343"/>
      <c r="I95" s="343"/>
      <c r="J95" s="343"/>
      <c r="K95" s="343"/>
      <c r="L95" s="343"/>
      <c r="M95" s="343"/>
      <c r="N95" s="343"/>
      <c r="O95" s="343"/>
      <c r="P95" s="343"/>
      <c r="Q95" s="343"/>
      <c r="R95" s="343"/>
      <c r="S95" s="343"/>
      <c r="T95" s="343"/>
      <c r="U95" s="343"/>
      <c r="V95" s="343"/>
      <c r="W95" s="343"/>
      <c r="X95" s="343"/>
      <c r="Y95" s="343"/>
      <c r="Z95" s="343"/>
      <c r="AA95" s="343"/>
      <c r="AB95" s="343"/>
      <c r="AC95" s="343"/>
      <c r="AD95" s="343"/>
      <c r="AE95" s="343"/>
      <c r="AF95" s="343"/>
      <c r="AG95" s="343"/>
      <c r="AH95" s="343"/>
      <c r="AI95" s="343"/>
      <c r="AJ95" s="343"/>
      <c r="AK95" s="343"/>
      <c r="AL95" s="343"/>
      <c r="AM95" s="343"/>
      <c r="AN95" s="343"/>
      <c r="AO95" s="343"/>
      <c r="AP95" s="343"/>
      <c r="AQ95" s="343"/>
      <c r="AR95" s="343"/>
      <c r="AS95" s="343"/>
      <c r="AT95" s="343"/>
      <c r="AU95" s="343"/>
      <c r="AV95" s="343"/>
      <c r="AW95" s="343"/>
      <c r="AX95" s="343"/>
      <c r="AY95" s="343"/>
      <c r="AZ95" s="343"/>
      <c r="BA95" s="343"/>
      <c r="BB95" s="343"/>
      <c r="BC95" s="343"/>
      <c r="BD95" s="343"/>
      <c r="BE95" s="343"/>
      <c r="BF95" s="343"/>
      <c r="BG95" s="343"/>
      <c r="BH95" s="343"/>
      <c r="BI95" s="343"/>
      <c r="BJ95" s="343"/>
    </row>
    <row r="96" spans="1:62" s="334" customFormat="1" ht="15" customHeight="1" x14ac:dyDescent="0.25">
      <c r="A96" s="343"/>
      <c r="B96" s="343"/>
      <c r="C96" s="343"/>
      <c r="D96" s="343"/>
      <c r="E96" s="343"/>
      <c r="F96" s="343"/>
      <c r="G96" s="343"/>
      <c r="H96" s="343"/>
      <c r="I96" s="343"/>
      <c r="J96" s="343"/>
      <c r="K96" s="343"/>
      <c r="L96" s="343"/>
      <c r="M96" s="343"/>
      <c r="N96" s="343"/>
      <c r="O96" s="343"/>
      <c r="P96" s="343"/>
      <c r="Q96" s="343"/>
      <c r="R96" s="343"/>
      <c r="S96" s="343"/>
      <c r="T96" s="343"/>
      <c r="U96" s="343"/>
      <c r="V96" s="343"/>
      <c r="W96" s="343"/>
      <c r="X96" s="343"/>
      <c r="Y96" s="343"/>
      <c r="Z96" s="343"/>
      <c r="AA96" s="343"/>
      <c r="AB96" s="343"/>
      <c r="AC96" s="343"/>
      <c r="AD96" s="343"/>
      <c r="AE96" s="343"/>
      <c r="AF96" s="343"/>
      <c r="AG96" s="343"/>
      <c r="AH96" s="343"/>
      <c r="AI96" s="343"/>
      <c r="AJ96" s="343"/>
      <c r="AK96" s="343"/>
      <c r="AL96" s="343"/>
      <c r="AM96" s="343"/>
      <c r="AN96" s="343"/>
      <c r="AO96" s="343"/>
      <c r="AP96" s="343"/>
      <c r="AQ96" s="343"/>
      <c r="AR96" s="343"/>
      <c r="AS96" s="343"/>
      <c r="AT96" s="343"/>
      <c r="AU96" s="343"/>
      <c r="AV96" s="343"/>
      <c r="AW96" s="343"/>
      <c r="AX96" s="343"/>
      <c r="AY96" s="343"/>
      <c r="AZ96" s="343"/>
      <c r="BA96" s="343"/>
      <c r="BB96" s="343"/>
      <c r="BC96" s="343"/>
      <c r="BD96" s="343"/>
      <c r="BE96" s="343"/>
      <c r="BF96" s="343"/>
      <c r="BG96" s="343"/>
      <c r="BH96" s="343"/>
      <c r="BI96" s="343"/>
      <c r="BJ96" s="343"/>
    </row>
    <row r="97" spans="1:62" s="334" customFormat="1" ht="15" customHeight="1" x14ac:dyDescent="0.25">
      <c r="A97" s="343"/>
      <c r="B97" s="343"/>
      <c r="C97" s="343"/>
      <c r="D97" s="343"/>
      <c r="E97" s="343"/>
      <c r="F97" s="343"/>
      <c r="G97" s="343"/>
      <c r="H97" s="343"/>
      <c r="I97" s="343"/>
      <c r="J97" s="343"/>
      <c r="K97" s="343"/>
      <c r="L97" s="343"/>
      <c r="M97" s="343"/>
      <c r="N97" s="343"/>
      <c r="O97" s="343"/>
      <c r="P97" s="343"/>
      <c r="Q97" s="343"/>
      <c r="R97" s="343"/>
      <c r="S97" s="343"/>
      <c r="T97" s="343"/>
      <c r="U97" s="343"/>
      <c r="V97" s="343"/>
      <c r="W97" s="343"/>
      <c r="X97" s="343"/>
      <c r="Y97" s="343"/>
      <c r="Z97" s="343"/>
      <c r="AA97" s="343"/>
      <c r="AB97" s="343"/>
      <c r="AC97" s="343"/>
      <c r="AD97" s="343"/>
      <c r="AE97" s="343"/>
      <c r="AF97" s="343"/>
      <c r="AG97" s="343"/>
      <c r="AH97" s="343"/>
      <c r="AI97" s="343"/>
      <c r="AJ97" s="343"/>
      <c r="AK97" s="343"/>
      <c r="AL97" s="343"/>
      <c r="AM97" s="343"/>
      <c r="AN97" s="343"/>
      <c r="AO97" s="343"/>
      <c r="AP97" s="343"/>
      <c r="AQ97" s="343"/>
      <c r="AR97" s="343"/>
      <c r="AS97" s="343"/>
      <c r="AT97" s="343"/>
      <c r="AU97" s="343"/>
      <c r="AV97" s="343"/>
      <c r="AW97" s="343"/>
      <c r="AX97" s="343"/>
      <c r="AY97" s="343"/>
      <c r="AZ97" s="343"/>
      <c r="BA97" s="343"/>
      <c r="BB97" s="343"/>
      <c r="BC97" s="343"/>
      <c r="BD97" s="343"/>
      <c r="BE97" s="343"/>
      <c r="BF97" s="343"/>
      <c r="BG97" s="343"/>
      <c r="BH97" s="343"/>
      <c r="BI97" s="343"/>
      <c r="BJ97" s="343"/>
    </row>
    <row r="98" spans="1:62" s="334" customFormat="1" ht="15" customHeight="1" x14ac:dyDescent="0.25">
      <c r="A98" s="343"/>
      <c r="B98" s="343"/>
      <c r="C98" s="343"/>
      <c r="D98" s="343"/>
      <c r="E98" s="343"/>
      <c r="F98" s="343"/>
      <c r="G98" s="343"/>
      <c r="H98" s="343"/>
      <c r="I98" s="343"/>
      <c r="J98" s="343"/>
      <c r="K98" s="343"/>
      <c r="L98" s="343"/>
      <c r="M98" s="343"/>
      <c r="N98" s="343"/>
      <c r="O98" s="343"/>
      <c r="P98" s="343"/>
      <c r="Q98" s="343"/>
      <c r="R98" s="343"/>
      <c r="S98" s="343"/>
      <c r="T98" s="343"/>
      <c r="U98" s="343"/>
      <c r="V98" s="343"/>
      <c r="W98" s="343"/>
      <c r="X98" s="343"/>
      <c r="Y98" s="343"/>
      <c r="Z98" s="343"/>
      <c r="AA98" s="343"/>
      <c r="AB98" s="343"/>
      <c r="AC98" s="343"/>
      <c r="AD98" s="343"/>
      <c r="AE98" s="343"/>
      <c r="AF98" s="343"/>
      <c r="AG98" s="343"/>
      <c r="AH98" s="343"/>
      <c r="AI98" s="343"/>
      <c r="AJ98" s="343"/>
      <c r="AK98" s="343"/>
      <c r="AL98" s="343"/>
      <c r="AM98" s="343"/>
      <c r="AN98" s="343"/>
      <c r="AO98" s="343"/>
      <c r="AP98" s="343"/>
      <c r="AQ98" s="343"/>
      <c r="AR98" s="343"/>
      <c r="AS98" s="343"/>
      <c r="AT98" s="343"/>
      <c r="AU98" s="343"/>
      <c r="AV98" s="343"/>
      <c r="AW98" s="343"/>
      <c r="AX98" s="343"/>
      <c r="AY98" s="343"/>
      <c r="AZ98" s="343"/>
      <c r="BA98" s="343"/>
      <c r="BB98" s="343"/>
      <c r="BC98" s="343"/>
      <c r="BD98" s="343"/>
      <c r="BE98" s="343"/>
      <c r="BF98" s="343"/>
      <c r="BG98" s="343"/>
      <c r="BH98" s="343"/>
      <c r="BI98" s="343"/>
      <c r="BJ98" s="343"/>
    </row>
    <row r="99" spans="1:62" s="334" customFormat="1" ht="15" customHeight="1" x14ac:dyDescent="0.25">
      <c r="A99" s="343"/>
      <c r="B99" s="343"/>
      <c r="C99" s="343"/>
      <c r="D99" s="343"/>
      <c r="E99" s="343"/>
      <c r="F99" s="343"/>
      <c r="G99" s="343"/>
      <c r="H99" s="343"/>
      <c r="I99" s="343"/>
      <c r="J99" s="343"/>
      <c r="K99" s="343"/>
      <c r="L99" s="343"/>
      <c r="M99" s="343"/>
      <c r="N99" s="343"/>
      <c r="O99" s="343"/>
      <c r="P99" s="343"/>
      <c r="Q99" s="343"/>
      <c r="R99" s="343"/>
      <c r="S99" s="343"/>
      <c r="T99" s="343"/>
      <c r="U99" s="343"/>
      <c r="V99" s="343"/>
      <c r="W99" s="343"/>
      <c r="X99" s="343"/>
      <c r="Y99" s="343"/>
      <c r="Z99" s="343"/>
      <c r="AA99" s="343"/>
      <c r="AB99" s="343"/>
      <c r="AC99" s="343"/>
      <c r="AD99" s="343"/>
      <c r="AE99" s="343"/>
      <c r="AF99" s="343"/>
      <c r="AG99" s="343"/>
      <c r="AH99" s="343"/>
      <c r="AI99" s="343"/>
      <c r="AJ99" s="343"/>
      <c r="AK99" s="343"/>
      <c r="AL99" s="343"/>
      <c r="AM99" s="343"/>
      <c r="AN99" s="343"/>
      <c r="AO99" s="343"/>
      <c r="AP99" s="343"/>
      <c r="AQ99" s="343"/>
      <c r="AR99" s="343"/>
      <c r="AS99" s="343"/>
      <c r="AT99" s="343"/>
      <c r="AU99" s="343"/>
      <c r="AV99" s="343"/>
      <c r="AW99" s="343"/>
      <c r="AX99" s="343"/>
      <c r="AY99" s="343"/>
      <c r="AZ99" s="343"/>
      <c r="BA99" s="343"/>
      <c r="BB99" s="343"/>
      <c r="BC99" s="343"/>
      <c r="BD99" s="343"/>
      <c r="BE99" s="343"/>
      <c r="BF99" s="343"/>
      <c r="BG99" s="343"/>
      <c r="BH99" s="343"/>
      <c r="BI99" s="343"/>
      <c r="BJ99" s="343"/>
    </row>
    <row r="100" spans="1:62" s="334" customFormat="1" ht="15" customHeight="1" x14ac:dyDescent="0.25">
      <c r="A100" s="343"/>
      <c r="B100" s="343"/>
      <c r="C100" s="343"/>
      <c r="D100" s="343"/>
      <c r="E100" s="343"/>
      <c r="F100" s="343"/>
      <c r="G100" s="343"/>
      <c r="H100" s="343"/>
      <c r="I100" s="343"/>
      <c r="J100" s="343"/>
      <c r="K100" s="343"/>
      <c r="L100" s="343"/>
      <c r="M100" s="343"/>
      <c r="N100" s="343"/>
      <c r="O100" s="343"/>
      <c r="P100" s="343"/>
      <c r="Q100" s="343"/>
      <c r="R100" s="343"/>
      <c r="S100" s="343"/>
      <c r="T100" s="343"/>
      <c r="U100" s="343"/>
      <c r="V100" s="343"/>
      <c r="W100" s="343"/>
      <c r="X100" s="343"/>
      <c r="Y100" s="343"/>
      <c r="Z100" s="343"/>
      <c r="AA100" s="343"/>
      <c r="AB100" s="343"/>
      <c r="AC100" s="343"/>
      <c r="AD100" s="343"/>
      <c r="AE100" s="343"/>
      <c r="AF100" s="343"/>
      <c r="AG100" s="343"/>
      <c r="AH100" s="343"/>
      <c r="AI100" s="343"/>
      <c r="AJ100" s="343"/>
      <c r="AK100" s="343"/>
      <c r="AL100" s="343"/>
      <c r="AM100" s="343"/>
      <c r="AN100" s="343"/>
      <c r="AO100" s="343"/>
      <c r="AP100" s="343"/>
      <c r="AQ100" s="343"/>
      <c r="AR100" s="343"/>
      <c r="AS100" s="343"/>
      <c r="AT100" s="343"/>
      <c r="AU100" s="343"/>
      <c r="AV100" s="343"/>
      <c r="AW100" s="343"/>
      <c r="AX100" s="343"/>
      <c r="AY100" s="343"/>
      <c r="AZ100" s="343"/>
      <c r="BA100" s="343"/>
      <c r="BB100" s="343"/>
      <c r="BC100" s="343"/>
      <c r="BD100" s="343"/>
      <c r="BE100" s="343"/>
      <c r="BF100" s="343"/>
      <c r="BG100" s="343"/>
      <c r="BH100" s="343"/>
      <c r="BI100" s="343"/>
      <c r="BJ100" s="343"/>
    </row>
    <row r="101" spans="1:62" s="334" customFormat="1" ht="15" customHeight="1" x14ac:dyDescent="0.25">
      <c r="A101" s="343"/>
      <c r="B101" s="343"/>
      <c r="C101" s="343"/>
      <c r="D101" s="343"/>
      <c r="E101" s="343"/>
      <c r="F101" s="343"/>
      <c r="G101" s="343"/>
      <c r="H101" s="343"/>
      <c r="I101" s="343"/>
      <c r="J101" s="343"/>
      <c r="K101" s="343"/>
      <c r="L101" s="343"/>
      <c r="M101" s="343"/>
      <c r="N101" s="343"/>
      <c r="O101" s="343"/>
      <c r="P101" s="343"/>
      <c r="Q101" s="343"/>
      <c r="R101" s="343"/>
      <c r="S101" s="343"/>
      <c r="T101" s="343"/>
      <c r="U101" s="343"/>
      <c r="V101" s="343"/>
      <c r="W101" s="343"/>
      <c r="X101" s="343"/>
      <c r="Y101" s="343"/>
      <c r="Z101" s="343"/>
      <c r="AA101" s="343"/>
      <c r="AB101" s="343"/>
      <c r="AC101" s="343"/>
      <c r="AD101" s="343"/>
      <c r="AE101" s="343"/>
      <c r="AF101" s="343"/>
      <c r="AG101" s="343"/>
      <c r="AH101" s="343"/>
      <c r="AI101" s="343"/>
      <c r="AJ101" s="343"/>
      <c r="AK101" s="343"/>
      <c r="AL101" s="343"/>
      <c r="AM101" s="343"/>
      <c r="AN101" s="343"/>
      <c r="AO101" s="343"/>
      <c r="AP101" s="343"/>
      <c r="AQ101" s="343"/>
      <c r="AR101" s="343"/>
      <c r="AS101" s="343"/>
      <c r="AT101" s="343"/>
      <c r="AU101" s="343"/>
      <c r="AV101" s="343"/>
      <c r="AW101" s="343"/>
      <c r="AX101" s="343"/>
      <c r="AY101" s="343"/>
      <c r="AZ101" s="343"/>
      <c r="BA101" s="343"/>
      <c r="BB101" s="343"/>
      <c r="BC101" s="343"/>
      <c r="BD101" s="343"/>
      <c r="BE101" s="343"/>
      <c r="BF101" s="343"/>
      <c r="BG101" s="343"/>
      <c r="BH101" s="343"/>
      <c r="BI101" s="343"/>
      <c r="BJ101" s="343"/>
    </row>
    <row r="102" spans="1:62" s="334" customFormat="1" x14ac:dyDescent="0.25">
      <c r="A102" s="343"/>
      <c r="B102" s="343"/>
      <c r="C102" s="343"/>
      <c r="D102" s="343"/>
      <c r="E102" s="343"/>
      <c r="F102" s="343"/>
      <c r="G102" s="343"/>
      <c r="H102" s="343"/>
      <c r="I102" s="343"/>
      <c r="J102" s="343"/>
      <c r="K102" s="343"/>
      <c r="L102" s="343"/>
      <c r="M102" s="343"/>
      <c r="N102" s="343"/>
      <c r="O102" s="343"/>
      <c r="P102" s="343"/>
      <c r="Q102" s="343"/>
      <c r="R102" s="343"/>
      <c r="S102" s="343"/>
      <c r="T102" s="343"/>
      <c r="U102" s="343"/>
      <c r="V102" s="343"/>
      <c r="W102" s="343"/>
      <c r="X102" s="343"/>
      <c r="Y102" s="343"/>
      <c r="Z102" s="343"/>
      <c r="AA102" s="343"/>
      <c r="AB102" s="343"/>
      <c r="AC102" s="343"/>
      <c r="AD102" s="343"/>
      <c r="AE102" s="343"/>
      <c r="AF102" s="343"/>
      <c r="AG102" s="343"/>
      <c r="AH102" s="343"/>
      <c r="AI102" s="343"/>
      <c r="AJ102" s="343"/>
      <c r="AK102" s="343"/>
      <c r="AL102" s="343"/>
      <c r="AM102" s="343"/>
      <c r="AN102" s="343"/>
      <c r="AO102" s="343"/>
      <c r="AP102" s="343"/>
      <c r="AQ102" s="343"/>
      <c r="AR102" s="343"/>
      <c r="AS102" s="343"/>
      <c r="AT102" s="343"/>
      <c r="AU102" s="343"/>
      <c r="AV102" s="343"/>
      <c r="AW102" s="343"/>
      <c r="AX102" s="343"/>
      <c r="AY102" s="343"/>
      <c r="AZ102" s="343"/>
      <c r="BA102" s="343"/>
      <c r="BB102" s="343"/>
      <c r="BC102" s="343"/>
      <c r="BD102" s="343"/>
      <c r="BE102" s="343"/>
      <c r="BF102" s="343"/>
      <c r="BG102" s="343"/>
      <c r="BH102" s="343"/>
      <c r="BI102" s="343"/>
      <c r="BJ102" s="343"/>
    </row>
    <row r="103" spans="1:62" s="334" customFormat="1" x14ac:dyDescent="0.25">
      <c r="A103" s="343"/>
      <c r="B103" s="343"/>
      <c r="C103" s="343"/>
      <c r="D103" s="343"/>
      <c r="E103" s="343"/>
      <c r="F103" s="343"/>
      <c r="G103" s="343"/>
      <c r="H103" s="343"/>
      <c r="I103" s="343"/>
      <c r="J103" s="343"/>
      <c r="K103" s="343"/>
      <c r="L103" s="343"/>
      <c r="M103" s="343"/>
      <c r="N103" s="343"/>
      <c r="O103" s="343"/>
      <c r="P103" s="343"/>
      <c r="Q103" s="343"/>
      <c r="R103" s="343"/>
      <c r="S103" s="343"/>
      <c r="T103" s="343"/>
      <c r="U103" s="343"/>
      <c r="V103" s="343"/>
      <c r="W103" s="343"/>
      <c r="X103" s="343"/>
      <c r="Y103" s="343"/>
      <c r="Z103" s="343"/>
      <c r="AA103" s="343"/>
      <c r="AB103" s="343"/>
      <c r="AC103" s="343"/>
      <c r="AD103" s="343"/>
      <c r="AE103" s="343"/>
      <c r="AF103" s="343"/>
      <c r="AG103" s="343"/>
      <c r="AH103" s="343"/>
      <c r="AI103" s="343"/>
      <c r="AJ103" s="343"/>
      <c r="AK103" s="343"/>
      <c r="AL103" s="343"/>
      <c r="AM103" s="343"/>
      <c r="AN103" s="343"/>
      <c r="AO103" s="343"/>
      <c r="AP103" s="343"/>
      <c r="AQ103" s="343"/>
      <c r="AR103" s="343"/>
      <c r="AS103" s="343"/>
      <c r="AT103" s="343"/>
      <c r="AU103" s="343"/>
      <c r="AV103" s="343"/>
      <c r="AW103" s="343"/>
      <c r="AX103" s="343"/>
      <c r="AY103" s="343"/>
      <c r="AZ103" s="343"/>
      <c r="BA103" s="343"/>
      <c r="BB103" s="343"/>
      <c r="BC103" s="343"/>
      <c r="BD103" s="343"/>
      <c r="BE103" s="343"/>
      <c r="BF103" s="343"/>
      <c r="BG103" s="343"/>
      <c r="BH103" s="343"/>
      <c r="BI103" s="343"/>
      <c r="BJ103" s="343"/>
    </row>
    <row r="104" spans="1:62" s="334" customFormat="1" x14ac:dyDescent="0.25">
      <c r="A104" s="343"/>
      <c r="B104" s="343"/>
      <c r="C104" s="343"/>
      <c r="D104" s="343"/>
      <c r="E104" s="343"/>
      <c r="F104" s="343"/>
      <c r="G104" s="343"/>
      <c r="H104" s="343"/>
      <c r="I104" s="343"/>
      <c r="J104" s="343"/>
      <c r="K104" s="343"/>
      <c r="L104" s="343"/>
      <c r="M104" s="343"/>
      <c r="N104" s="343"/>
      <c r="O104" s="343"/>
      <c r="P104" s="343"/>
      <c r="Q104" s="343"/>
      <c r="R104" s="343"/>
      <c r="S104" s="343"/>
      <c r="T104" s="343"/>
      <c r="U104" s="343"/>
      <c r="V104" s="343"/>
      <c r="W104" s="343"/>
      <c r="X104" s="343"/>
      <c r="Y104" s="343"/>
      <c r="Z104" s="343"/>
      <c r="AA104" s="343"/>
      <c r="AB104" s="343"/>
      <c r="AC104" s="343"/>
      <c r="AD104" s="343"/>
      <c r="AE104" s="343"/>
      <c r="AF104" s="343"/>
      <c r="AG104" s="343"/>
      <c r="AH104" s="343"/>
      <c r="AI104" s="343"/>
      <c r="AJ104" s="343"/>
      <c r="AK104" s="343"/>
      <c r="AL104" s="343"/>
      <c r="AM104" s="343"/>
      <c r="AN104" s="343"/>
      <c r="AO104" s="343"/>
      <c r="AP104" s="343"/>
      <c r="AQ104" s="343"/>
      <c r="AR104" s="343"/>
      <c r="AS104" s="343"/>
      <c r="AT104" s="343"/>
      <c r="AU104" s="343"/>
      <c r="AV104" s="343"/>
      <c r="AW104" s="343"/>
      <c r="AX104" s="343"/>
      <c r="AY104" s="343"/>
      <c r="AZ104" s="343"/>
      <c r="BA104" s="343"/>
      <c r="BB104" s="343"/>
      <c r="BC104" s="343"/>
      <c r="BD104" s="343"/>
      <c r="BE104" s="343"/>
      <c r="BF104" s="343"/>
      <c r="BG104" s="343"/>
      <c r="BH104" s="343"/>
      <c r="BI104" s="343"/>
      <c r="BJ104" s="343"/>
    </row>
    <row r="105" spans="1:62" s="334" customFormat="1" x14ac:dyDescent="0.25">
      <c r="A105" s="343"/>
      <c r="B105" s="343"/>
      <c r="C105" s="343"/>
      <c r="D105" s="343"/>
      <c r="E105" s="343"/>
      <c r="F105" s="343"/>
      <c r="G105" s="343"/>
      <c r="H105" s="343"/>
      <c r="I105" s="343"/>
      <c r="J105" s="343"/>
      <c r="K105" s="343"/>
      <c r="L105" s="343"/>
      <c r="M105" s="343"/>
      <c r="N105" s="343"/>
      <c r="O105" s="343"/>
      <c r="P105" s="343"/>
      <c r="Q105" s="343"/>
      <c r="R105" s="343"/>
      <c r="S105" s="343"/>
      <c r="T105" s="343"/>
      <c r="U105" s="343"/>
      <c r="V105" s="343"/>
      <c r="W105" s="343"/>
      <c r="X105" s="343"/>
      <c r="Y105" s="343"/>
      <c r="Z105" s="343"/>
      <c r="AA105" s="343"/>
      <c r="AB105" s="343"/>
      <c r="AC105" s="343"/>
      <c r="AD105" s="343"/>
      <c r="AE105" s="343"/>
      <c r="AF105" s="343"/>
      <c r="AG105" s="343"/>
      <c r="AH105" s="343"/>
      <c r="AI105" s="343"/>
      <c r="AJ105" s="343"/>
      <c r="AK105" s="343"/>
      <c r="AL105" s="343"/>
      <c r="AM105" s="343"/>
      <c r="AN105" s="343"/>
      <c r="AO105" s="343"/>
      <c r="AP105" s="343"/>
      <c r="AQ105" s="343"/>
      <c r="AR105" s="343"/>
      <c r="AS105" s="343"/>
      <c r="AT105" s="343"/>
      <c r="AU105" s="343"/>
      <c r="AV105" s="343"/>
      <c r="AW105" s="343"/>
      <c r="AX105" s="343"/>
      <c r="AY105" s="343"/>
      <c r="AZ105" s="343"/>
      <c r="BA105" s="343"/>
      <c r="BB105" s="343"/>
      <c r="BC105" s="343"/>
      <c r="BD105" s="343"/>
      <c r="BE105" s="343"/>
      <c r="BF105" s="343"/>
      <c r="BG105" s="343"/>
      <c r="BH105" s="343"/>
      <c r="BI105" s="343"/>
      <c r="BJ105" s="343"/>
    </row>
    <row r="106" spans="1:62" s="334" customFormat="1" x14ac:dyDescent="0.25">
      <c r="A106" s="343"/>
      <c r="B106" s="343"/>
      <c r="C106" s="343"/>
      <c r="D106" s="343"/>
      <c r="E106" s="343"/>
      <c r="F106" s="343"/>
      <c r="G106" s="343"/>
      <c r="H106" s="343"/>
      <c r="I106" s="343"/>
      <c r="J106" s="343"/>
      <c r="K106" s="343"/>
      <c r="L106" s="343"/>
      <c r="M106" s="343"/>
      <c r="N106" s="343"/>
      <c r="O106" s="343"/>
      <c r="P106" s="343"/>
      <c r="Q106" s="343"/>
      <c r="R106" s="343"/>
      <c r="S106" s="343"/>
      <c r="T106" s="343"/>
      <c r="U106" s="343"/>
      <c r="V106" s="343"/>
      <c r="W106" s="343"/>
      <c r="X106" s="343"/>
      <c r="Y106" s="343"/>
      <c r="Z106" s="343"/>
      <c r="AA106" s="343"/>
      <c r="AB106" s="343"/>
      <c r="AC106" s="343"/>
      <c r="AD106" s="343"/>
      <c r="AE106" s="343"/>
      <c r="AF106" s="343"/>
      <c r="AG106" s="343"/>
      <c r="AH106" s="343"/>
      <c r="AI106" s="343"/>
      <c r="AJ106" s="343"/>
      <c r="AK106" s="343"/>
      <c r="AL106" s="343"/>
      <c r="AM106" s="343"/>
      <c r="AN106" s="343"/>
      <c r="AO106" s="343"/>
      <c r="AP106" s="343"/>
      <c r="AQ106" s="343"/>
      <c r="AR106" s="343"/>
      <c r="AS106" s="343"/>
      <c r="AT106" s="343"/>
      <c r="AU106" s="343"/>
      <c r="AV106" s="343"/>
      <c r="AW106" s="343"/>
      <c r="AX106" s="343"/>
      <c r="AY106" s="343"/>
      <c r="AZ106" s="343"/>
      <c r="BA106" s="343"/>
      <c r="BB106" s="343"/>
      <c r="BC106" s="343"/>
      <c r="BD106" s="343"/>
      <c r="BE106" s="343"/>
      <c r="BF106" s="343"/>
      <c r="BG106" s="343"/>
      <c r="BH106" s="343"/>
      <c r="BI106" s="343"/>
      <c r="BJ106" s="343"/>
    </row>
    <row r="107" spans="1:62" s="334" customFormat="1" x14ac:dyDescent="0.25">
      <c r="A107" s="343"/>
      <c r="B107" s="343"/>
      <c r="C107" s="343"/>
      <c r="D107" s="343"/>
      <c r="E107" s="343"/>
      <c r="F107" s="343"/>
      <c r="G107" s="343"/>
      <c r="H107" s="343"/>
      <c r="I107" s="343"/>
      <c r="J107" s="343"/>
      <c r="K107" s="343"/>
      <c r="L107" s="343"/>
      <c r="M107" s="343"/>
      <c r="N107" s="343"/>
      <c r="O107" s="343"/>
      <c r="P107" s="343"/>
      <c r="Q107" s="343"/>
      <c r="R107" s="343"/>
      <c r="S107" s="343"/>
      <c r="T107" s="343"/>
      <c r="U107" s="343"/>
      <c r="V107" s="343"/>
      <c r="W107" s="343"/>
      <c r="X107" s="343"/>
      <c r="Y107" s="343"/>
      <c r="Z107" s="343"/>
      <c r="AA107" s="343"/>
      <c r="AB107" s="343"/>
      <c r="AC107" s="343"/>
      <c r="AD107" s="343"/>
      <c r="AE107" s="343"/>
      <c r="AF107" s="343"/>
      <c r="AG107" s="343"/>
      <c r="AH107" s="343"/>
      <c r="AI107" s="343"/>
      <c r="AJ107" s="343"/>
      <c r="AK107" s="343"/>
      <c r="AL107" s="343"/>
      <c r="AM107" s="343"/>
      <c r="AN107" s="343"/>
      <c r="AO107" s="343"/>
      <c r="AP107" s="343"/>
      <c r="AQ107" s="343"/>
      <c r="AR107" s="343"/>
      <c r="AS107" s="343"/>
      <c r="AT107" s="343"/>
      <c r="AU107" s="343"/>
      <c r="AV107" s="343"/>
      <c r="AW107" s="343"/>
      <c r="AX107" s="343"/>
      <c r="AY107" s="343"/>
      <c r="AZ107" s="343"/>
      <c r="BA107" s="343"/>
      <c r="BB107" s="343"/>
      <c r="BC107" s="343"/>
      <c r="BD107" s="343"/>
      <c r="BE107" s="343"/>
      <c r="BF107" s="343"/>
      <c r="BG107" s="343"/>
      <c r="BH107" s="343"/>
      <c r="BI107" s="343"/>
      <c r="BJ107" s="343"/>
    </row>
    <row r="108" spans="1:62" s="334" customFormat="1" x14ac:dyDescent="0.25">
      <c r="A108" s="343"/>
      <c r="B108" s="343"/>
      <c r="C108" s="343"/>
      <c r="D108" s="343"/>
      <c r="E108" s="343"/>
      <c r="F108" s="343"/>
      <c r="G108" s="343"/>
      <c r="H108" s="343"/>
      <c r="I108" s="343"/>
      <c r="J108" s="343"/>
      <c r="K108" s="343"/>
      <c r="L108" s="343"/>
      <c r="M108" s="343"/>
      <c r="N108" s="343"/>
      <c r="O108" s="343"/>
      <c r="P108" s="343"/>
      <c r="Q108" s="343"/>
      <c r="R108" s="343"/>
      <c r="S108" s="343"/>
      <c r="T108" s="343"/>
      <c r="U108" s="343"/>
      <c r="V108" s="343"/>
      <c r="W108" s="343"/>
      <c r="X108" s="343"/>
      <c r="Y108" s="343"/>
      <c r="Z108" s="343"/>
      <c r="AA108" s="343"/>
      <c r="AB108" s="343"/>
      <c r="AC108" s="343"/>
      <c r="AD108" s="343"/>
      <c r="AE108" s="343"/>
      <c r="AF108" s="343"/>
      <c r="AG108" s="343"/>
      <c r="AH108" s="343"/>
      <c r="AI108" s="343"/>
      <c r="AJ108" s="343"/>
      <c r="AK108" s="343"/>
      <c r="AL108" s="343"/>
      <c r="AM108" s="343"/>
      <c r="AN108" s="343"/>
      <c r="AO108" s="343"/>
      <c r="AP108" s="343"/>
      <c r="AQ108" s="343"/>
      <c r="AR108" s="343"/>
      <c r="AS108" s="343"/>
      <c r="AT108" s="343"/>
      <c r="AU108" s="343"/>
      <c r="AV108" s="343"/>
      <c r="AW108" s="343"/>
      <c r="AX108" s="343"/>
      <c r="AY108" s="343"/>
      <c r="AZ108" s="343"/>
      <c r="BA108" s="343"/>
      <c r="BB108" s="343"/>
      <c r="BC108" s="343"/>
      <c r="BD108" s="343"/>
      <c r="BE108" s="343"/>
      <c r="BF108" s="343"/>
      <c r="BG108" s="343"/>
      <c r="BH108" s="343"/>
      <c r="BI108" s="343"/>
      <c r="BJ108" s="343"/>
    </row>
    <row r="109" spans="1:62" s="334" customFormat="1" x14ac:dyDescent="0.25">
      <c r="A109" s="343"/>
      <c r="B109" s="343"/>
      <c r="C109" s="343"/>
      <c r="D109" s="343"/>
      <c r="E109" s="343"/>
      <c r="F109" s="343"/>
      <c r="G109" s="343"/>
      <c r="H109" s="343"/>
      <c r="I109" s="343"/>
      <c r="J109" s="343"/>
      <c r="K109" s="343"/>
      <c r="L109" s="343"/>
      <c r="M109" s="343"/>
      <c r="N109" s="343"/>
      <c r="O109" s="343"/>
      <c r="P109" s="343"/>
      <c r="Q109" s="343"/>
      <c r="R109" s="343"/>
      <c r="S109" s="343"/>
      <c r="T109" s="343"/>
      <c r="U109" s="343"/>
      <c r="V109" s="343"/>
      <c r="W109" s="343"/>
      <c r="X109" s="343"/>
      <c r="Y109" s="343"/>
      <c r="Z109" s="343"/>
      <c r="AA109" s="343"/>
      <c r="AB109" s="343"/>
      <c r="AC109" s="343"/>
      <c r="AD109" s="343"/>
      <c r="AE109" s="343"/>
      <c r="AF109" s="343"/>
      <c r="AG109" s="343"/>
      <c r="AH109" s="343"/>
      <c r="AI109" s="343"/>
      <c r="AJ109" s="343"/>
      <c r="AK109" s="343"/>
      <c r="AL109" s="343"/>
      <c r="AM109" s="343"/>
      <c r="AN109" s="343"/>
      <c r="AO109" s="343"/>
      <c r="AP109" s="343"/>
      <c r="AQ109" s="343"/>
      <c r="AR109" s="343"/>
      <c r="AS109" s="343"/>
      <c r="AT109" s="343"/>
      <c r="AU109" s="343"/>
      <c r="AV109" s="343"/>
      <c r="AW109" s="343"/>
      <c r="AX109" s="343"/>
      <c r="AY109" s="343"/>
      <c r="AZ109" s="343"/>
      <c r="BA109" s="343"/>
      <c r="BB109" s="343"/>
      <c r="BC109" s="343"/>
      <c r="BD109" s="343"/>
      <c r="BE109" s="343"/>
      <c r="BF109" s="343"/>
      <c r="BG109" s="343"/>
      <c r="BH109" s="343"/>
      <c r="BI109" s="343"/>
      <c r="BJ109" s="343"/>
    </row>
  </sheetData>
  <mergeCells count="33">
    <mergeCell ref="AC3:AD3"/>
    <mergeCell ref="AE3:AF3"/>
    <mergeCell ref="S3:T3"/>
    <mergeCell ref="U3:V3"/>
    <mergeCell ref="W3:X3"/>
    <mergeCell ref="AA3:AB3"/>
    <mergeCell ref="Y3:Z3"/>
    <mergeCell ref="K3:L3"/>
    <mergeCell ref="B25:B26"/>
    <mergeCell ref="M3:N3"/>
    <mergeCell ref="O3:P3"/>
    <mergeCell ref="Q3:R3"/>
    <mergeCell ref="B3:B4"/>
    <mergeCell ref="C3:C4"/>
    <mergeCell ref="E3:F3"/>
    <mergeCell ref="G3:H3"/>
    <mergeCell ref="I3:J3"/>
    <mergeCell ref="D3:D4"/>
    <mergeCell ref="BI3:BJ3"/>
    <mergeCell ref="AG3:AH3"/>
    <mergeCell ref="AI3:AJ3"/>
    <mergeCell ref="AK3:AL3"/>
    <mergeCell ref="AM3:AN3"/>
    <mergeCell ref="AO3:AP3"/>
    <mergeCell ref="AQ3:AR3"/>
    <mergeCell ref="AS3:AT3"/>
    <mergeCell ref="AU3:AV3"/>
    <mergeCell ref="AW3:AX3"/>
    <mergeCell ref="AY3:AZ3"/>
    <mergeCell ref="BE3:BF3"/>
    <mergeCell ref="BC3:BD3"/>
    <mergeCell ref="BG3:BH3"/>
    <mergeCell ref="BA3:BB3"/>
  </mergeCells>
  <printOptions horizontalCentered="1" verticalCentered="1"/>
  <pageMargins left="0" right="0" top="0" bottom="0" header="0" footer="0"/>
  <pageSetup scale="82" orientation="landscape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C3:BI59"/>
  <sheetViews>
    <sheetView zoomScale="115" zoomScaleNormal="115" workbookViewId="0">
      <pane xSplit="7" topLeftCell="BD1" activePane="topRight" state="frozen"/>
      <selection pane="topRight" activeCell="G25" sqref="G25"/>
    </sheetView>
  </sheetViews>
  <sheetFormatPr defaultRowHeight="15" x14ac:dyDescent="0.25"/>
  <cols>
    <col min="1" max="2" width="0" style="1726" hidden="1" customWidth="1"/>
    <col min="3" max="3" width="22.5703125" style="1726" bestFit="1" customWidth="1"/>
    <col min="4" max="4" width="30.7109375" style="1726" customWidth="1"/>
    <col min="5" max="5" width="14" style="1726" bestFit="1" customWidth="1"/>
    <col min="6" max="7" width="14" style="1726" customWidth="1"/>
    <col min="8" max="8" width="9.140625" style="1726" customWidth="1"/>
    <col min="9" max="9" width="10.5703125" style="1726" bestFit="1" customWidth="1"/>
    <col min="10" max="10" width="9.140625" style="1726" customWidth="1"/>
    <col min="11" max="11" width="10.5703125" style="1726" bestFit="1" customWidth="1"/>
    <col min="12" max="13" width="10.5703125" style="1726" hidden="1" customWidth="1"/>
    <col min="14" max="14" width="9.140625" style="1726" customWidth="1"/>
    <col min="15" max="15" width="10.5703125" style="1726" bestFit="1" customWidth="1"/>
    <col min="16" max="18" width="9.140625" style="1726" customWidth="1"/>
    <col min="19" max="19" width="10.5703125" style="1726" bestFit="1" customWidth="1"/>
    <col min="20" max="21" width="10.5703125" style="1726" hidden="1" customWidth="1"/>
    <col min="22" max="22" width="9.140625" style="1726" customWidth="1"/>
    <col min="23" max="23" width="10.5703125" style="1726" bestFit="1" customWidth="1"/>
    <col min="24" max="24" width="9.140625" style="1726" hidden="1" customWidth="1"/>
    <col min="25" max="25" width="8.42578125" style="1726" hidden="1" customWidth="1"/>
    <col min="26" max="26" width="12.5703125" style="1726" bestFit="1" customWidth="1"/>
    <col min="27" max="31" width="9.140625" style="1726"/>
    <col min="32" max="32" width="11" style="1726" customWidth="1"/>
    <col min="33" max="33" width="7.7109375" style="1726" bestFit="1" customWidth="1"/>
    <col min="34" max="35" width="7.7109375" style="1726" hidden="1" customWidth="1"/>
    <col min="36" max="36" width="8.85546875" style="1726" customWidth="1"/>
    <col min="37" max="37" width="8.7109375" style="1726" customWidth="1"/>
    <col min="38" max="38" width="8" style="1726" hidden="1" customWidth="1"/>
    <col min="39" max="39" width="8.28515625" style="1726" hidden="1" customWidth="1"/>
    <col min="40" max="43" width="9.140625" style="1726"/>
    <col min="44" max="45" width="0" style="1726" hidden="1" customWidth="1"/>
    <col min="46" max="47" width="9.140625" style="1726"/>
    <col min="48" max="49" width="0" style="1726" hidden="1" customWidth="1"/>
    <col min="50" max="51" width="9.140625" style="1726"/>
    <col min="52" max="53" width="0" style="1726" hidden="1" customWidth="1"/>
    <col min="54" max="16384" width="9.140625" style="1726"/>
  </cols>
  <sheetData>
    <row r="3" spans="3:61" ht="19.5" thickBot="1" x14ac:dyDescent="0.35">
      <c r="D3" s="4920" t="s">
        <v>1419</v>
      </c>
      <c r="E3" s="4920"/>
      <c r="F3" s="4920"/>
      <c r="G3" s="4920"/>
      <c r="H3" s="4920"/>
      <c r="I3" s="4920"/>
      <c r="J3" s="4920"/>
      <c r="K3" s="4920"/>
      <c r="L3" s="4920"/>
      <c r="M3" s="4920"/>
      <c r="N3" s="4920"/>
      <c r="O3" s="4920"/>
      <c r="P3" s="4920"/>
      <c r="Q3" s="4920"/>
      <c r="R3" s="4920"/>
      <c r="S3" s="4920"/>
      <c r="T3" s="4920"/>
      <c r="U3" s="4920"/>
      <c r="V3" s="4920"/>
      <c r="W3" s="4920"/>
      <c r="X3" s="4920"/>
      <c r="Y3" s="4920"/>
      <c r="Z3" s="4920"/>
      <c r="AA3" s="4920"/>
      <c r="AB3" s="4920"/>
      <c r="AC3" s="4920"/>
      <c r="AD3" s="4920"/>
      <c r="AE3" s="4920"/>
      <c r="AF3" s="4920"/>
      <c r="AG3" s="4920"/>
      <c r="AH3" s="4920"/>
      <c r="AI3" s="4920"/>
      <c r="AJ3" s="4920"/>
      <c r="AK3" s="4920"/>
      <c r="AL3" s="4920"/>
      <c r="AM3" s="4920"/>
    </row>
    <row r="4" spans="3:61" ht="15.75" thickBot="1" x14ac:dyDescent="0.3">
      <c r="C4" s="4918" t="s">
        <v>1568</v>
      </c>
      <c r="D4" s="758" t="s">
        <v>197</v>
      </c>
      <c r="E4" s="1778" t="s">
        <v>198</v>
      </c>
      <c r="F4" s="3116" t="s">
        <v>1683</v>
      </c>
      <c r="G4" s="3116" t="s">
        <v>1547</v>
      </c>
      <c r="H4" s="4879" t="s">
        <v>1323</v>
      </c>
      <c r="I4" s="4880"/>
      <c r="J4" s="4879" t="s">
        <v>1384</v>
      </c>
      <c r="K4" s="4880"/>
      <c r="L4" s="4905" t="s">
        <v>15</v>
      </c>
      <c r="M4" s="4919"/>
      <c r="N4" s="4879" t="s">
        <v>1397</v>
      </c>
      <c r="O4" s="4880"/>
      <c r="P4" s="4858" t="s">
        <v>741</v>
      </c>
      <c r="Q4" s="4859"/>
      <c r="R4" s="4879" t="s">
        <v>1424</v>
      </c>
      <c r="S4" s="4880"/>
      <c r="T4" s="4877" t="s">
        <v>18</v>
      </c>
      <c r="U4" s="4878"/>
      <c r="V4" s="4879" t="s">
        <v>1496</v>
      </c>
      <c r="W4" s="4880"/>
      <c r="X4" s="4877" t="s">
        <v>19</v>
      </c>
      <c r="Y4" s="4878"/>
      <c r="Z4" s="4879" t="s">
        <v>1573</v>
      </c>
      <c r="AA4" s="4880"/>
      <c r="AB4" s="4858" t="s">
        <v>788</v>
      </c>
      <c r="AC4" s="4859"/>
      <c r="AD4" s="4914" t="s">
        <v>784</v>
      </c>
      <c r="AE4" s="4851"/>
      <c r="AF4" s="4879" t="s">
        <v>1634</v>
      </c>
      <c r="AG4" s="4880"/>
      <c r="AH4" s="4905" t="s">
        <v>26</v>
      </c>
      <c r="AI4" s="4878"/>
      <c r="AJ4" s="4879" t="s">
        <v>1671</v>
      </c>
      <c r="AK4" s="4880"/>
      <c r="AL4" s="4921" t="s">
        <v>29</v>
      </c>
      <c r="AM4" s="4922"/>
      <c r="AN4" s="4879" t="s">
        <v>1696</v>
      </c>
      <c r="AO4" s="4880"/>
      <c r="AP4" s="4912" t="s">
        <v>799</v>
      </c>
      <c r="AQ4" s="4913"/>
      <c r="AR4" s="4916" t="s">
        <v>1221</v>
      </c>
      <c r="AS4" s="4917"/>
      <c r="AT4" s="4875" t="s">
        <v>1760</v>
      </c>
      <c r="AU4" s="4875"/>
      <c r="AV4" s="4916" t="s">
        <v>31</v>
      </c>
      <c r="AW4" s="4917"/>
      <c r="AX4" s="4875" t="s">
        <v>1812</v>
      </c>
      <c r="AY4" s="4875"/>
      <c r="AZ4" s="4905" t="s">
        <v>33</v>
      </c>
      <c r="BA4" s="4878"/>
      <c r="BB4" s="4875" t="s">
        <v>1844</v>
      </c>
      <c r="BC4" s="4875"/>
      <c r="BD4" s="4912" t="s">
        <v>800</v>
      </c>
      <c r="BE4" s="4913"/>
      <c r="BF4" s="4914" t="s">
        <v>817</v>
      </c>
      <c r="BG4" s="4851"/>
      <c r="BH4" s="4905" t="s">
        <v>1314</v>
      </c>
      <c r="BI4" s="4878"/>
    </row>
    <row r="5" spans="3:61" ht="15.75" thickBot="1" x14ac:dyDescent="0.3">
      <c r="C5" s="4918"/>
      <c r="D5" s="758"/>
      <c r="E5" s="1778"/>
      <c r="F5" s="3117"/>
      <c r="G5" s="3117"/>
      <c r="H5" s="411" t="s">
        <v>199</v>
      </c>
      <c r="I5" s="3114" t="s">
        <v>200</v>
      </c>
      <c r="J5" s="411" t="s">
        <v>199</v>
      </c>
      <c r="K5" s="3114" t="s">
        <v>200</v>
      </c>
      <c r="L5" s="2407" t="s">
        <v>199</v>
      </c>
      <c r="M5" s="1870" t="s">
        <v>200</v>
      </c>
      <c r="N5" s="411" t="s">
        <v>199</v>
      </c>
      <c r="O5" s="3114" t="s">
        <v>200</v>
      </c>
      <c r="P5" s="3592" t="s">
        <v>199</v>
      </c>
      <c r="Q5" s="395" t="s">
        <v>200</v>
      </c>
      <c r="R5" s="411" t="s">
        <v>199</v>
      </c>
      <c r="S5" s="3114" t="s">
        <v>200</v>
      </c>
      <c r="T5" s="3106" t="s">
        <v>199</v>
      </c>
      <c r="U5" s="381" t="s">
        <v>200</v>
      </c>
      <c r="V5" s="411" t="s">
        <v>199</v>
      </c>
      <c r="W5" s="3114" t="s">
        <v>200</v>
      </c>
      <c r="X5" s="3106" t="s">
        <v>199</v>
      </c>
      <c r="Y5" s="381" t="s">
        <v>200</v>
      </c>
      <c r="Z5" s="411" t="s">
        <v>199</v>
      </c>
      <c r="AA5" s="3114" t="s">
        <v>200</v>
      </c>
      <c r="AB5" s="3592" t="s">
        <v>199</v>
      </c>
      <c r="AC5" s="395" t="s">
        <v>200</v>
      </c>
      <c r="AD5" s="3596" t="s">
        <v>199</v>
      </c>
      <c r="AE5" s="1137" t="s">
        <v>200</v>
      </c>
      <c r="AF5" s="411" t="s">
        <v>199</v>
      </c>
      <c r="AG5" s="3114" t="s">
        <v>200</v>
      </c>
      <c r="AH5" s="3111" t="s">
        <v>199</v>
      </c>
      <c r="AI5" s="381" t="s">
        <v>200</v>
      </c>
      <c r="AJ5" s="411" t="s">
        <v>199</v>
      </c>
      <c r="AK5" s="3241" t="s">
        <v>200</v>
      </c>
      <c r="AL5" s="553" t="s">
        <v>199</v>
      </c>
      <c r="AM5" s="985" t="s">
        <v>200</v>
      </c>
      <c r="AN5" s="411" t="s">
        <v>199</v>
      </c>
      <c r="AO5" s="3430" t="s">
        <v>200</v>
      </c>
      <c r="AP5" s="3592" t="s">
        <v>199</v>
      </c>
      <c r="AQ5" s="395" t="s">
        <v>200</v>
      </c>
      <c r="AR5" s="3591" t="s">
        <v>199</v>
      </c>
      <c r="AS5" s="381" t="s">
        <v>200</v>
      </c>
      <c r="AT5" s="411" t="s">
        <v>199</v>
      </c>
      <c r="AU5" s="3841" t="s">
        <v>200</v>
      </c>
      <c r="AV5" s="3839" t="s">
        <v>199</v>
      </c>
      <c r="AW5" s="381" t="s">
        <v>200</v>
      </c>
      <c r="AX5" s="411" t="s">
        <v>199</v>
      </c>
      <c r="AY5" s="4013" t="s">
        <v>200</v>
      </c>
      <c r="AZ5" s="3995" t="s">
        <v>199</v>
      </c>
      <c r="BA5" s="381" t="s">
        <v>200</v>
      </c>
      <c r="BB5" s="411" t="s">
        <v>199</v>
      </c>
      <c r="BC5" s="4121" t="s">
        <v>200</v>
      </c>
      <c r="BD5" s="4465" t="s">
        <v>199</v>
      </c>
      <c r="BE5" s="395" t="s">
        <v>200</v>
      </c>
      <c r="BF5" s="4467" t="s">
        <v>199</v>
      </c>
      <c r="BG5" s="1137" t="s">
        <v>200</v>
      </c>
      <c r="BH5" s="4466" t="s">
        <v>199</v>
      </c>
      <c r="BI5" s="381" t="s">
        <v>200</v>
      </c>
    </row>
    <row r="6" spans="3:61" x14ac:dyDescent="0.25">
      <c r="C6" s="4915" t="s">
        <v>4</v>
      </c>
      <c r="D6" s="758" t="s">
        <v>400</v>
      </c>
      <c r="E6" s="1778" t="s">
        <v>52</v>
      </c>
      <c r="F6" s="3119">
        <v>72.81</v>
      </c>
      <c r="G6" s="3117">
        <v>70.5</v>
      </c>
      <c r="H6" s="3123">
        <f>+'Maj Techno Summ'!E5</f>
        <v>70.5</v>
      </c>
      <c r="I6" s="3123">
        <f>+'Maj Techno Summ'!F5</f>
        <v>71.951927199715755</v>
      </c>
      <c r="J6" s="3123">
        <f>+'Maj Techno Summ'!G5</f>
        <v>70.499999999999986</v>
      </c>
      <c r="K6" s="3123">
        <f>+'Maj Techno Summ'!H5</f>
        <v>71.406401658267484</v>
      </c>
      <c r="L6" s="3123">
        <f>+'Maj Techno Summ'!I5</f>
        <v>70.499999999999986</v>
      </c>
      <c r="M6" s="3123">
        <f>+'Maj Techno Summ'!J5</f>
        <v>71.672937850081084</v>
      </c>
      <c r="N6" s="3123">
        <f>+'Maj Techno Summ'!K5</f>
        <v>70.50003468386987</v>
      </c>
      <c r="O6" s="3123">
        <f>+'Maj Techno Summ'!L5</f>
        <v>70.500212674512483</v>
      </c>
      <c r="P6" s="3131">
        <f>+'Maj Techno Summ'!M5</f>
        <v>70.500011434242808</v>
      </c>
      <c r="Q6" s="3131">
        <f>+'Maj Techno Summ'!N5</f>
        <v>71.279409613623386</v>
      </c>
      <c r="R6" s="3123">
        <f>+'Maj Techno Summ'!O5</f>
        <v>70.500000000000014</v>
      </c>
      <c r="S6" s="3123">
        <f>+'Maj Techno Summ'!P5</f>
        <v>70.5029014071646</v>
      </c>
      <c r="T6" s="3123">
        <f>+'Maj Techno Summ'!Q5</f>
        <v>70.500008528820459</v>
      </c>
      <c r="U6" s="3123">
        <f>+'Maj Techno Summ'!R5</f>
        <v>71.082929713499752</v>
      </c>
      <c r="V6" s="3123">
        <f>+'Maj Techno Summ'!S5</f>
        <v>70.500000000000014</v>
      </c>
      <c r="W6" s="3123">
        <f>+'Maj Techno Summ'!T5</f>
        <v>69.78694359633198</v>
      </c>
      <c r="X6" s="3123">
        <f>+'Maj Techno Summ'!U5</f>
        <v>70.500006800758797</v>
      </c>
      <c r="Y6" s="3123">
        <f>+'Maj Techno Summ'!V5</f>
        <v>70.810038509323178</v>
      </c>
      <c r="Z6" s="3123">
        <f>+'Maj Techno Summ'!W5</f>
        <v>70.5</v>
      </c>
      <c r="AA6" s="3123">
        <f>+'Maj Techno Summ'!X5</f>
        <v>69.496959622407502</v>
      </c>
      <c r="AB6" s="3131">
        <f>+'Maj Techno Summ'!Y5</f>
        <v>70.499999999999986</v>
      </c>
      <c r="AC6" s="3131">
        <f>+'Maj Techno Summ'!Z5</f>
        <v>69.923364453223769</v>
      </c>
      <c r="AD6" s="3707">
        <f>+'Maj Techno Summ'!AA5</f>
        <v>70.500005685880311</v>
      </c>
      <c r="AE6" s="3707">
        <f>+'Maj Techno Summ'!AB5</f>
        <v>70.587449447131689</v>
      </c>
      <c r="AF6" s="3123">
        <f>+'Maj Techno Summ'!AC5</f>
        <v>70.500000000000014</v>
      </c>
      <c r="AG6" s="3123">
        <f>+'Maj Techno Summ'!AD5</f>
        <v>68.944400077791073</v>
      </c>
      <c r="AH6" s="3123">
        <f>+'Maj Techno Summ'!AE5</f>
        <v>70.500004862224756</v>
      </c>
      <c r="AI6" s="3123">
        <f>+'Maj Techno Summ'!AF5</f>
        <v>70.341044314359934</v>
      </c>
      <c r="AJ6" s="3123">
        <f>+'Maj Techno Summ'!AG5</f>
        <v>70.5</v>
      </c>
      <c r="AK6" s="3123">
        <f>+'Maj Techno Summ'!AH5</f>
        <v>69.03978219350644</v>
      </c>
      <c r="AL6" s="4040">
        <f>+'Maj Techno Summ'!AI5</f>
        <v>70.500004264410236</v>
      </c>
      <c r="AM6" s="4040">
        <f>+'Maj Techno Summ'!AJ5</f>
        <v>70.176182552179569</v>
      </c>
      <c r="AN6" s="3123">
        <f>+'Maj Techno Summ'!AK5</f>
        <v>70.500000000000014</v>
      </c>
      <c r="AO6" s="3123">
        <f>+'Maj Techno Summ'!AL5</f>
        <v>69.093554337377569</v>
      </c>
      <c r="AP6" s="3131">
        <f>+'Maj Techno Summ'!AM5</f>
        <v>70.499999999999986</v>
      </c>
      <c r="AQ6" s="3131">
        <f>+'Maj Techno Summ'!AN5</f>
        <v>69.025655099020312</v>
      </c>
      <c r="AR6" s="3137">
        <f>+'Maj Techno Summ'!AO5</f>
        <v>70.500003783694893</v>
      </c>
      <c r="AS6" s="3137">
        <f>+'Maj Techno Summ'!AP5</f>
        <v>70.051319022017111</v>
      </c>
      <c r="AT6" s="3123">
        <f>+'Maj Techno Summ'!AQ5</f>
        <v>70.500000000000014</v>
      </c>
      <c r="AU6" s="3123">
        <f>+'Maj Techno Summ'!AR5</f>
        <v>69.026237013558728</v>
      </c>
      <c r="AV6" s="3137">
        <f>+'Maj Techno Summ'!AS5</f>
        <v>70.500003400379384</v>
      </c>
      <c r="AW6" s="3137">
        <f>+'Maj Techno Summ'!AT5</f>
        <v>69.94500650055015</v>
      </c>
      <c r="AX6" s="3123">
        <f>+'Maj Techno Summ'!AU5</f>
        <v>70.5</v>
      </c>
      <c r="AY6" s="3123">
        <f>+'Maj Techno Summ'!AV5</f>
        <v>69.071022232807806</v>
      </c>
      <c r="AZ6" s="3137">
        <f>+'Maj Techno Summ'!AW5</f>
        <v>70.500003115317654</v>
      </c>
      <c r="BA6" s="3137">
        <f>+'Maj Techno Summ'!AX5</f>
        <v>69.870046365046448</v>
      </c>
      <c r="BB6" s="3123">
        <f>+'Maj Techno Summ'!AY5</f>
        <v>70.500000000000014</v>
      </c>
      <c r="BC6" s="3123">
        <f>+'Maj Techno Summ'!AZ5</f>
        <v>69.043931924002663</v>
      </c>
      <c r="BD6" s="3131">
        <f>+'Maj Techno Summ'!BA5</f>
        <v>70.500000000000014</v>
      </c>
      <c r="BE6" s="3131">
        <f>+'Maj Techno Summ'!BB5</f>
        <v>69.046275289437745</v>
      </c>
      <c r="BF6" s="3707">
        <f>+'Maj Techno Summ'!BC5</f>
        <v>70.5</v>
      </c>
      <c r="BG6" s="3707">
        <f>+'Maj Techno Summ'!BD5</f>
        <v>69.035859058364935</v>
      </c>
      <c r="BH6" s="3137">
        <f>+'Maj Techno Summ'!BE5</f>
        <v>70.500002850729032</v>
      </c>
      <c r="BI6" s="3137">
        <f>+'Maj Techno Summ'!BF5</f>
        <v>69.798394297532738</v>
      </c>
    </row>
    <row r="7" spans="3:61" x14ac:dyDescent="0.25">
      <c r="C7" s="4915"/>
      <c r="D7" s="758" t="s">
        <v>398</v>
      </c>
      <c r="E7" s="1778"/>
      <c r="F7" s="3117"/>
      <c r="G7" s="3117"/>
      <c r="H7" s="3123"/>
      <c r="I7" s="3123"/>
      <c r="J7" s="3123"/>
      <c r="K7" s="3123"/>
      <c r="L7" s="3123"/>
      <c r="M7" s="3123"/>
      <c r="N7" s="3123"/>
      <c r="O7" s="3123"/>
      <c r="P7" s="3131"/>
      <c r="Q7" s="3131"/>
      <c r="R7" s="3123"/>
      <c r="S7" s="3123"/>
      <c r="T7" s="3123"/>
      <c r="U7" s="3123"/>
      <c r="V7" s="3123"/>
      <c r="W7" s="3123"/>
      <c r="X7" s="3123"/>
      <c r="Y7" s="3123"/>
      <c r="Z7" s="3123"/>
      <c r="AA7" s="3123"/>
      <c r="AB7" s="3131"/>
      <c r="AC7" s="3131"/>
      <c r="AD7" s="3707"/>
      <c r="AE7" s="3707"/>
      <c r="AF7" s="3123"/>
      <c r="AG7" s="3123"/>
      <c r="AH7" s="3123"/>
      <c r="AI7" s="3123"/>
      <c r="AJ7" s="3123"/>
      <c r="AK7" s="3123"/>
      <c r="AL7" s="4040"/>
      <c r="AM7" s="4040"/>
      <c r="AN7" s="3123"/>
      <c r="AO7" s="3123"/>
      <c r="AP7" s="3131"/>
      <c r="AQ7" s="3131"/>
      <c r="AR7" s="3137"/>
      <c r="AS7" s="3137"/>
      <c r="AT7" s="3123"/>
      <c r="AU7" s="3123"/>
      <c r="AV7" s="3137"/>
      <c r="AW7" s="3137"/>
      <c r="AX7" s="3123"/>
      <c r="AY7" s="3123"/>
      <c r="AZ7" s="3137"/>
      <c r="BA7" s="3137"/>
      <c r="BB7" s="3123"/>
      <c r="BC7" s="3123"/>
      <c r="BD7" s="3131"/>
      <c r="BE7" s="3131"/>
      <c r="BF7" s="3707"/>
      <c r="BG7" s="3707"/>
      <c r="BH7" s="3137"/>
      <c r="BI7" s="3137"/>
    </row>
    <row r="8" spans="3:61" x14ac:dyDescent="0.25">
      <c r="C8" s="4915"/>
      <c r="D8" s="758" t="s">
        <v>388</v>
      </c>
      <c r="E8" s="1778" t="s">
        <v>52</v>
      </c>
      <c r="F8" s="3119">
        <v>95.48</v>
      </c>
      <c r="G8" s="3119">
        <v>95</v>
      </c>
      <c r="H8" s="3123">
        <f>+'Maj Techno Summ'!E7</f>
        <v>95</v>
      </c>
      <c r="I8" s="3123">
        <f>+'Maj Techno Summ'!F7</f>
        <v>94.99818445896878</v>
      </c>
      <c r="J8" s="3123">
        <f>+'Maj Techno Summ'!G7</f>
        <v>95</v>
      </c>
      <c r="K8" s="3123">
        <f>+'Maj Techno Summ'!H7</f>
        <v>96.930632289748317</v>
      </c>
      <c r="L8" s="3123">
        <f>+'Maj Techno Summ'!I7</f>
        <v>95</v>
      </c>
      <c r="M8" s="3123">
        <f>+'Maj Techno Summ'!J7</f>
        <v>95.981087470449168</v>
      </c>
      <c r="N8" s="3123">
        <f>+'Maj Techno Summ'!K7</f>
        <v>95</v>
      </c>
      <c r="O8" s="3123">
        <f>+'Maj Techno Summ'!L7</f>
        <v>96.168723521827218</v>
      </c>
      <c r="P8" s="3131">
        <f>+'Maj Techno Summ'!M7</f>
        <v>95</v>
      </c>
      <c r="Q8" s="3131">
        <f>+'Maj Techno Summ'!N7</f>
        <v>96.042311506445884</v>
      </c>
      <c r="R8" s="3123">
        <f>+'Maj Techno Summ'!O7</f>
        <v>95</v>
      </c>
      <c r="S8" s="3123">
        <f>+'Maj Techno Summ'!P7</f>
        <v>95.314145314145321</v>
      </c>
      <c r="T8" s="3123">
        <f>+'Maj Techno Summ'!Q7</f>
        <v>95</v>
      </c>
      <c r="U8" s="3123">
        <f>+'Maj Techno Summ'!R7</f>
        <v>95.856557652273182</v>
      </c>
      <c r="V8" s="3123">
        <f>+'Maj Techno Summ'!S7</f>
        <v>95</v>
      </c>
      <c r="W8" s="3123">
        <f>+'Maj Techno Summ'!T7</f>
        <v>95.003031090326488</v>
      </c>
      <c r="X8" s="3123">
        <f>+'Maj Techno Summ'!U7</f>
        <v>95</v>
      </c>
      <c r="Y8" s="3123">
        <f>+'Maj Techno Summ'!V7</f>
        <v>95.681252223408038</v>
      </c>
      <c r="Z8" s="3123">
        <f>+'Maj Techno Summ'!W7</f>
        <v>95</v>
      </c>
      <c r="AA8" s="3123">
        <f>+'Maj Techno Summ'!X7</f>
        <v>94.799054373522452</v>
      </c>
      <c r="AB8" s="3131">
        <f>+'Maj Techno Summ'!Y7</f>
        <v>95</v>
      </c>
      <c r="AC8" s="3131">
        <f>+'Maj Techno Summ'!Z7</f>
        <v>95.041395362540868</v>
      </c>
      <c r="AD8" s="3707">
        <f>+'Maj Techno Summ'!AA7</f>
        <v>95</v>
      </c>
      <c r="AE8" s="3707">
        <f>+'Maj Techno Summ'!AB7</f>
        <v>95.536909756315268</v>
      </c>
      <c r="AF8" s="3123">
        <f>+'Maj Techno Summ'!AC7</f>
        <v>95</v>
      </c>
      <c r="AG8" s="3123">
        <f>+'Maj Techno Summ'!AD7</f>
        <v>92.005407841369987</v>
      </c>
      <c r="AH8" s="3123">
        <f>+'Maj Techno Summ'!AE7</f>
        <v>95</v>
      </c>
      <c r="AI8" s="3123">
        <f>+'Maj Techno Summ'!AF7</f>
        <v>95.036583964348196</v>
      </c>
      <c r="AJ8" s="3123">
        <f>+'Maj Techno Summ'!AG7</f>
        <v>95</v>
      </c>
      <c r="AK8" s="3123">
        <f>+'Maj Techno Summ'!AH7</f>
        <v>93.33213353729866</v>
      </c>
      <c r="AL8" s="4040">
        <f>+'Maj Techno Summ'!AI7</f>
        <v>95</v>
      </c>
      <c r="AM8" s="4040">
        <f>+'Maj Techno Summ'!AJ7</f>
        <v>94.82477131930311</v>
      </c>
      <c r="AN8" s="3123">
        <f>+'Maj Techno Summ'!AK7</f>
        <v>95</v>
      </c>
      <c r="AO8" s="3123">
        <f>+'Maj Techno Summ'!AL7</f>
        <v>96.701013074725068</v>
      </c>
      <c r="AP8" s="3131">
        <f>+'Maj Techno Summ'!AM7</f>
        <v>95</v>
      </c>
      <c r="AQ8" s="3131">
        <f>+'Maj Techno Summ'!AN7</f>
        <v>94.048641763189863</v>
      </c>
      <c r="AR8" s="3137">
        <f>+'Maj Techno Summ'!AO7</f>
        <v>95.002886846291688</v>
      </c>
      <c r="AS8" s="3137">
        <f>+'Maj Techno Summ'!AP7</f>
        <v>95.039366179747461</v>
      </c>
      <c r="AT8" s="3123">
        <f>+'Maj Techno Summ'!AQ7</f>
        <v>95.003297870736972</v>
      </c>
      <c r="AU8" s="3123">
        <f>+'Maj Techno Summ'!AR7</f>
        <v>90.89096897209221</v>
      </c>
      <c r="AV8" s="3137">
        <f>+'Maj Techno Summ'!AS7</f>
        <v>95.002928485833721</v>
      </c>
      <c r="AW8" s="3137">
        <f>+'Maj Techno Summ'!AT7</f>
        <v>94.61395572067228</v>
      </c>
      <c r="AX8" s="3123">
        <f>+'Maj Techno Summ'!AU7</f>
        <v>95.003014175382219</v>
      </c>
      <c r="AY8" s="3123">
        <f>+'Maj Techno Summ'!AV7</f>
        <v>89.998080245728531</v>
      </c>
      <c r="AZ8" s="3137">
        <f>+'Maj Techno Summ'!AW7</f>
        <v>95</v>
      </c>
      <c r="BA8" s="3137">
        <f>+'Maj Techno Summ'!AX7</f>
        <v>94.222775378057619</v>
      </c>
      <c r="BB8" s="3123">
        <f>+'Maj Techno Summ'!AY7</f>
        <v>95.003297870736972</v>
      </c>
      <c r="BC8" s="3123">
        <f>+'Maj Techno Summ'!AZ7</f>
        <v>90.007916263523626</v>
      </c>
      <c r="BD8" s="3131">
        <f>+'Maj Techno Summ'!BA7</f>
        <v>95</v>
      </c>
      <c r="BE8" s="3131">
        <f>+'Maj Techno Summ'!BB7</f>
        <v>90.310577644411111</v>
      </c>
      <c r="BF8" s="3707">
        <f>+'Maj Techno Summ'!BC7</f>
        <v>95</v>
      </c>
      <c r="BG8" s="3707">
        <f>+'Maj Techno Summ'!BD7</f>
        <v>92.191646045138782</v>
      </c>
      <c r="BH8" s="3137">
        <f>+'Maj Techno Summ'!BE7</f>
        <v>95</v>
      </c>
      <c r="BI8" s="3137">
        <f>+'Maj Techno Summ'!BF7</f>
        <v>93.865971705137753</v>
      </c>
    </row>
    <row r="9" spans="3:61" x14ac:dyDescent="0.25">
      <c r="C9" s="4915"/>
      <c r="D9" s="758" t="s">
        <v>399</v>
      </c>
      <c r="E9" s="1778" t="s">
        <v>52</v>
      </c>
      <c r="F9" s="3119">
        <v>95.08</v>
      </c>
      <c r="G9" s="3119">
        <v>95</v>
      </c>
      <c r="H9" s="3123">
        <f>+'Maj Techno Summ'!E8</f>
        <v>95</v>
      </c>
      <c r="I9" s="3123">
        <f>+'Maj Techno Summ'!F8</f>
        <v>94.306067295065958</v>
      </c>
      <c r="J9" s="3123">
        <f>+'Maj Techno Summ'!G8</f>
        <v>95</v>
      </c>
      <c r="K9" s="3123">
        <f>+'Maj Techno Summ'!H8</f>
        <v>95.330380471992058</v>
      </c>
      <c r="L9" s="3123">
        <f>+'Maj Techno Summ'!I8</f>
        <v>95</v>
      </c>
      <c r="M9" s="3123">
        <f>+'Maj Techno Summ'!J8</f>
        <v>94.829913848060443</v>
      </c>
      <c r="N9" s="3123">
        <f>+'Maj Techno Summ'!K8</f>
        <v>95</v>
      </c>
      <c r="O9" s="3123">
        <f>+'Maj Techno Summ'!L8</f>
        <v>95.502779181404748</v>
      </c>
      <c r="P9" s="3131">
        <f>+'Maj Techno Summ'!M8</f>
        <v>95</v>
      </c>
      <c r="Q9" s="3131">
        <f>+'Maj Techno Summ'!N8</f>
        <v>95.055707354361033</v>
      </c>
      <c r="R9" s="3123">
        <f>+'Maj Techno Summ'!O8</f>
        <v>95</v>
      </c>
      <c r="S9" s="3123">
        <f>+'Maj Techno Summ'!P8</f>
        <v>96.66787138422049</v>
      </c>
      <c r="T9" s="3123">
        <f>+'Maj Techno Summ'!Q8</f>
        <v>95</v>
      </c>
      <c r="U9" s="3123">
        <f>+'Maj Techno Summ'!R8</f>
        <v>95.463632761875417</v>
      </c>
      <c r="V9" s="3123">
        <f>+'Maj Techno Summ'!S8</f>
        <v>95</v>
      </c>
      <c r="W9" s="3123">
        <f>+'Maj Techno Summ'!T8</f>
        <v>95.497926276690805</v>
      </c>
      <c r="X9" s="3123">
        <f>+'Maj Techno Summ'!U8</f>
        <v>95</v>
      </c>
      <c r="Y9" s="3123">
        <f>+'Maj Techno Summ'!V8</f>
        <v>95.470853820447189</v>
      </c>
      <c r="Z9" s="3123">
        <f>+'Maj Techno Summ'!W8</f>
        <v>95</v>
      </c>
      <c r="AA9" s="3123">
        <f>+'Maj Techno Summ'!X8</f>
        <v>94.803344779782407</v>
      </c>
      <c r="AB9" s="3131">
        <f>+'Maj Techno Summ'!Y8</f>
        <v>95</v>
      </c>
      <c r="AC9" s="3131">
        <f>+'Maj Techno Summ'!Z8</f>
        <v>95.647526772320646</v>
      </c>
      <c r="AD9" s="3707">
        <f>+'Maj Techno Summ'!AA8</f>
        <v>95</v>
      </c>
      <c r="AE9" s="3707">
        <f>+'Maj Techno Summ'!AB8</f>
        <v>95.357699699528141</v>
      </c>
      <c r="AF9" s="3123">
        <f>+'Maj Techno Summ'!AC8</f>
        <v>95</v>
      </c>
      <c r="AG9" s="3123">
        <f>+'Maj Techno Summ'!AD8</f>
        <v>92.581568295208498</v>
      </c>
      <c r="AH9" s="3123">
        <f>+'Maj Techno Summ'!AE8</f>
        <v>95</v>
      </c>
      <c r="AI9" s="3123">
        <f>+'Maj Techno Summ'!AF8</f>
        <v>94.941367934703436</v>
      </c>
      <c r="AJ9" s="3123">
        <f>+'Maj Techno Summ'!AG8</f>
        <v>95</v>
      </c>
      <c r="AK9" s="3123">
        <f>+'Maj Techno Summ'!AH8</f>
        <v>97.642018030081275</v>
      </c>
      <c r="AL9" s="4040">
        <f>+'Maj Techno Summ'!AI8</f>
        <v>95</v>
      </c>
      <c r="AM9" s="4040">
        <f>+'Maj Techno Summ'!AJ8</f>
        <v>95.283519694956738</v>
      </c>
      <c r="AN9" s="3123">
        <f>+'Maj Techno Summ'!AK8</f>
        <v>95</v>
      </c>
      <c r="AO9" s="3123">
        <f>+'Maj Techno Summ'!AL8</f>
        <v>95.153435150598128</v>
      </c>
      <c r="AP9" s="3131">
        <f>+'Maj Techno Summ'!AM8</f>
        <v>95</v>
      </c>
      <c r="AQ9" s="3131">
        <f>+'Maj Techno Summ'!AN8</f>
        <v>95.097900911428781</v>
      </c>
      <c r="AR9" s="3137">
        <f>+'Maj Techno Summ'!AO8</f>
        <v>95.002484965816237</v>
      </c>
      <c r="AS9" s="3137">
        <f>+'Maj Techno Summ'!AP8</f>
        <v>95.268516480556059</v>
      </c>
      <c r="AT9" s="3123">
        <f>+'Maj Techno Summ'!AQ8</f>
        <v>95.002341136286802</v>
      </c>
      <c r="AU9" s="3123">
        <f>+'Maj Techno Summ'!AR8</f>
        <v>93.352938958639669</v>
      </c>
      <c r="AV9" s="3137">
        <f>+'Maj Techno Summ'!AS8</f>
        <v>95.002470394837587</v>
      </c>
      <c r="AW9" s="3137">
        <f>+'Maj Techno Summ'!AT8</f>
        <v>95.069848111566145</v>
      </c>
      <c r="AX9" s="3123">
        <f>+'Maj Techno Summ'!AU8</f>
        <v>95.002805114121131</v>
      </c>
      <c r="AY9" s="3123">
        <f>+'Maj Techno Summ'!AV8</f>
        <v>93.071531642809873</v>
      </c>
      <c r="AZ9" s="3137">
        <f>+'Maj Techno Summ'!AW8</f>
        <v>95</v>
      </c>
      <c r="BA9" s="3137">
        <f>+'Maj Techno Summ'!AX8</f>
        <v>94.898455944677778</v>
      </c>
      <c r="BB9" s="3123">
        <f>+'Maj Techno Summ'!AY8</f>
        <v>95.002341136286802</v>
      </c>
      <c r="BC9" s="3123">
        <f>+'Maj Techno Summ'!AZ8</f>
        <v>93.226431784390115</v>
      </c>
      <c r="BD9" s="3131">
        <f>+'Maj Techno Summ'!BA8</f>
        <v>95</v>
      </c>
      <c r="BE9" s="3131">
        <f>+'Maj Techno Summ'!BB8</f>
        <v>93.221748499514973</v>
      </c>
      <c r="BF9" s="3707">
        <f>+'Maj Techno Summ'!BC8</f>
        <v>95</v>
      </c>
      <c r="BG9" s="3707">
        <f>+'Maj Techno Summ'!BD8</f>
        <v>94.169477236018494</v>
      </c>
      <c r="BH9" s="3137">
        <f>+'Maj Techno Summ'!BE8</f>
        <v>95</v>
      </c>
      <c r="BI9" s="3137">
        <f>+'Maj Techno Summ'!BF8</f>
        <v>94.753433109833978</v>
      </c>
    </row>
    <row r="10" spans="3:61" x14ac:dyDescent="0.25">
      <c r="C10" s="4915"/>
      <c r="D10" s="758" t="s">
        <v>397</v>
      </c>
      <c r="E10" s="1778" t="s">
        <v>52</v>
      </c>
      <c r="F10" s="3119">
        <v>94.71</v>
      </c>
      <c r="G10" s="3119">
        <v>95</v>
      </c>
      <c r="H10" s="3123">
        <f>+'Maj Techno Summ'!E9</f>
        <v>95</v>
      </c>
      <c r="I10" s="3123">
        <f>+'Maj Techno Summ'!F9</f>
        <v>94.558856587361007</v>
      </c>
      <c r="J10" s="3123">
        <f>+'Maj Techno Summ'!G9</f>
        <v>95</v>
      </c>
      <c r="K10" s="3123">
        <f>+'Maj Techno Summ'!H9</f>
        <v>95.910734322403712</v>
      </c>
      <c r="L10" s="3123">
        <f>+'Maj Techno Summ'!I9</f>
        <v>95</v>
      </c>
      <c r="M10" s="3123">
        <f>+'Maj Techno Summ'!J9</f>
        <v>95.248855336551998</v>
      </c>
      <c r="N10" s="3123">
        <f>+'Maj Techno Summ'!K9</f>
        <v>95</v>
      </c>
      <c r="O10" s="3123">
        <f>+'Maj Techno Summ'!L9</f>
        <v>95.738710519446627</v>
      </c>
      <c r="P10" s="3131">
        <f>+'Maj Techno Summ'!M9</f>
        <v>95</v>
      </c>
      <c r="Q10" s="3131">
        <f>+'Maj Techno Summ'!N9</f>
        <v>95.411596546215208</v>
      </c>
      <c r="R10" s="3123">
        <f>+'Maj Techno Summ'!O9</f>
        <v>95</v>
      </c>
      <c r="S10" s="3123">
        <f>+'Maj Techno Summ'!P9</f>
        <v>96.176141155680909</v>
      </c>
      <c r="T10" s="3123">
        <f>+'Maj Techno Summ'!Q9</f>
        <v>95</v>
      </c>
      <c r="U10" s="3123">
        <f>+'Maj Techno Summ'!R9</f>
        <v>95.605620514028473</v>
      </c>
      <c r="V10" s="3123">
        <f>+'Maj Techno Summ'!S9</f>
        <v>95</v>
      </c>
      <c r="W10" s="3123">
        <f>+'Maj Techno Summ'!T9</f>
        <v>95.322664046269168</v>
      </c>
      <c r="X10" s="3123">
        <f>+'Maj Techno Summ'!U9</f>
        <v>95</v>
      </c>
      <c r="Y10" s="3123">
        <f>+'Maj Techno Summ'!V9</f>
        <v>95.546566530555381</v>
      </c>
      <c r="Z10" s="3123">
        <f>+'Maj Techno Summ'!W9</f>
        <v>95</v>
      </c>
      <c r="AA10" s="3123">
        <f>+'Maj Techno Summ'!X9</f>
        <v>94.801842613786491</v>
      </c>
      <c r="AB10" s="3131">
        <f>+'Maj Techno Summ'!Y9</f>
        <v>95</v>
      </c>
      <c r="AC10" s="3131">
        <f>+'Maj Techno Summ'!Z9</f>
        <v>95.431858842364662</v>
      </c>
      <c r="AD10" s="3707">
        <f>+'Maj Techno Summ'!AA9</f>
        <v>95</v>
      </c>
      <c r="AE10" s="3707">
        <f>+'Maj Techno Summ'!AB9</f>
        <v>95.421897196532626</v>
      </c>
      <c r="AF10" s="3123">
        <f>+'Maj Techno Summ'!AC9</f>
        <v>95</v>
      </c>
      <c r="AG10" s="3123">
        <f>+'Maj Techno Summ'!AD9</f>
        <v>92.383908970038007</v>
      </c>
      <c r="AH10" s="3123">
        <f>+'Maj Techno Summ'!AE9</f>
        <v>95</v>
      </c>
      <c r="AI10" s="3123">
        <f>+'Maj Techno Summ'!AF9</f>
        <v>94.975264443257672</v>
      </c>
      <c r="AJ10" s="3123">
        <f>+'Maj Techno Summ'!AG9</f>
        <v>95</v>
      </c>
      <c r="AK10" s="3123">
        <f>+'Maj Techno Summ'!AH9</f>
        <v>96.12945645267439</v>
      </c>
      <c r="AL10" s="4040">
        <f>+'Maj Techno Summ'!AI9</f>
        <v>95</v>
      </c>
      <c r="AM10" s="4040">
        <f>+'Maj Techno Summ'!AJ9</f>
        <v>95.120498359138125</v>
      </c>
      <c r="AN10" s="3123">
        <f>+'Maj Techno Summ'!AK9</f>
        <v>95</v>
      </c>
      <c r="AO10" s="3123">
        <f>+'Maj Techno Summ'!AL9</f>
        <v>95.700042816074358</v>
      </c>
      <c r="AP10" s="3131">
        <f>+'Maj Techno Summ'!AM9</f>
        <v>95</v>
      </c>
      <c r="AQ10" s="3131">
        <f>+'Maj Techno Summ'!AN9</f>
        <v>94.731631430736485</v>
      </c>
      <c r="AR10" s="3137">
        <f>+'Maj Techno Summ'!AO9</f>
        <v>95.002626757124801</v>
      </c>
      <c r="AS10" s="3137">
        <f>+'Maj Techno Summ'!AP9</f>
        <v>95.187142267117707</v>
      </c>
      <c r="AT10" s="3123">
        <f>+'Maj Techno Summ'!AQ9</f>
        <v>95.002678689626137</v>
      </c>
      <c r="AU10" s="3123">
        <f>+'Maj Techno Summ'!AR9</f>
        <v>92.485743244068331</v>
      </c>
      <c r="AV10" s="3137">
        <f>+'Maj Techno Summ'!AS9</f>
        <v>95.002632018255241</v>
      </c>
      <c r="AW10" s="3137">
        <f>+'Maj Techno Summ'!AT9</f>
        <v>94.908090326841773</v>
      </c>
      <c r="AX10" s="3123">
        <f>+'Maj Techno Summ'!AU9</f>
        <v>95.002878875117432</v>
      </c>
      <c r="AY10" s="3123">
        <f>+'Maj Techno Summ'!AV9</f>
        <v>91.990221256849367</v>
      </c>
      <c r="AZ10" s="3137">
        <f>+'Maj Techno Summ'!AW9</f>
        <v>95</v>
      </c>
      <c r="BA10" s="3137">
        <f>+'Maj Techno Summ'!AX9</f>
        <v>94.658886571969603</v>
      </c>
      <c r="BB10" s="3123">
        <f>+'Maj Techno Summ'!AY9</f>
        <v>95.002678689626137</v>
      </c>
      <c r="BC10" s="3123">
        <f>+'Maj Techno Summ'!AZ9</f>
        <v>92.104763014143742</v>
      </c>
      <c r="BD10" s="3131">
        <f>+'Maj Techno Summ'!BA9</f>
        <v>95</v>
      </c>
      <c r="BE10" s="3131">
        <f>+'Maj Techno Summ'!BB9</f>
        <v>92.200433917664498</v>
      </c>
      <c r="BF10" s="3707">
        <f>+'Maj Techno Summ'!BC9</f>
        <v>95</v>
      </c>
      <c r="BG10" s="3707">
        <f>+'Maj Techno Summ'!BD9</f>
        <v>93.477350278519793</v>
      </c>
      <c r="BH10" s="3137">
        <f>+'Maj Techno Summ'!BE9</f>
        <v>95</v>
      </c>
      <c r="BI10" s="3137">
        <f>+'Maj Techno Summ'!BF9</f>
        <v>94.439236826010074</v>
      </c>
    </row>
    <row r="11" spans="3:61" x14ac:dyDescent="0.25">
      <c r="C11" s="4915"/>
      <c r="D11" s="758" t="s">
        <v>1550</v>
      </c>
      <c r="E11" s="1776"/>
      <c r="F11" s="3118"/>
      <c r="G11" s="3118"/>
      <c r="H11" s="3123"/>
      <c r="I11" s="3123"/>
      <c r="J11" s="3123"/>
      <c r="K11" s="3123"/>
      <c r="L11" s="3123"/>
      <c r="M11" s="3123"/>
      <c r="N11" s="3123"/>
      <c r="O11" s="3123"/>
      <c r="P11" s="3131"/>
      <c r="Q11" s="3131"/>
      <c r="R11" s="3123"/>
      <c r="S11" s="3123"/>
      <c r="T11" s="3123"/>
      <c r="U11" s="3123"/>
      <c r="V11" s="3123"/>
      <c r="W11" s="3123"/>
      <c r="X11" s="3123"/>
      <c r="Y11" s="3123"/>
      <c r="Z11" s="3123"/>
      <c r="AA11" s="3123"/>
      <c r="AB11" s="3131"/>
      <c r="AC11" s="3131"/>
      <c r="AD11" s="3707"/>
      <c r="AE11" s="3707"/>
      <c r="AF11" s="3123"/>
      <c r="AG11" s="3123"/>
      <c r="AH11" s="3123"/>
      <c r="AI11" s="3123"/>
      <c r="AJ11" s="3123"/>
      <c r="AK11" s="3123"/>
      <c r="AL11" s="4040"/>
      <c r="AM11" s="4040"/>
      <c r="AN11" s="3123"/>
      <c r="AO11" s="3123"/>
      <c r="AP11" s="3131"/>
      <c r="AQ11" s="3131"/>
      <c r="AR11" s="3137"/>
      <c r="AS11" s="3137"/>
      <c r="AT11" s="3123"/>
      <c r="AU11" s="3123"/>
      <c r="AV11" s="3137"/>
      <c r="AW11" s="3137"/>
      <c r="AX11" s="3123"/>
      <c r="AY11" s="3123"/>
      <c r="AZ11" s="3137"/>
      <c r="BA11" s="3137"/>
      <c r="BB11" s="3123"/>
      <c r="BC11" s="3123"/>
      <c r="BD11" s="3131"/>
      <c r="BE11" s="3131"/>
      <c r="BF11" s="3707"/>
      <c r="BG11" s="3707"/>
      <c r="BH11" s="3137"/>
      <c r="BI11" s="3137"/>
    </row>
    <row r="12" spans="3:61" x14ac:dyDescent="0.25">
      <c r="C12" s="4915"/>
      <c r="D12" s="1732" t="s">
        <v>1551</v>
      </c>
      <c r="E12" s="1778" t="s">
        <v>52</v>
      </c>
      <c r="F12" s="3119">
        <v>84.260445948829897</v>
      </c>
      <c r="G12" s="3119">
        <v>84</v>
      </c>
      <c r="H12" s="3123">
        <f>+'COKE OVENS'!E121</f>
        <v>84</v>
      </c>
      <c r="I12" s="3123">
        <f>+'COKE OVENS'!F121</f>
        <v>84.665384615384596</v>
      </c>
      <c r="J12" s="3123">
        <f>+'COKE OVENS'!G121</f>
        <v>84</v>
      </c>
      <c r="K12" s="3123">
        <f>+'COKE OVENS'!H121</f>
        <v>84.777027000000004</v>
      </c>
      <c r="L12" s="3123">
        <f>+'COKE OVENS'!I121</f>
        <v>84</v>
      </c>
      <c r="M12" s="3123">
        <f>+'COKE OVENS'!J121</f>
        <v>84.721957562241016</v>
      </c>
      <c r="N12" s="3123">
        <f>+'COKE OVENS'!K121</f>
        <v>84</v>
      </c>
      <c r="O12" s="3123">
        <f>+'COKE OVENS'!L121</f>
        <v>84.904444444444437</v>
      </c>
      <c r="P12" s="3131">
        <f>+'COKE OVENS'!M121</f>
        <v>84</v>
      </c>
      <c r="Q12" s="3131">
        <f>+'COKE OVENS'!N121</f>
        <v>84.780840570153558</v>
      </c>
      <c r="R12" s="3123">
        <f>+'COKE OVENS'!O121</f>
        <v>84</v>
      </c>
      <c r="S12" s="3123">
        <f>+'COKE OVENS'!P121</f>
        <v>84.492391304347834</v>
      </c>
      <c r="T12" s="3123">
        <f>+'COKE OVENS'!Q121</f>
        <v>84</v>
      </c>
      <c r="U12" s="3123">
        <f>+'COKE OVENS'!R121</f>
        <v>84.707921494958754</v>
      </c>
      <c r="V12" s="3123">
        <f>+'COKE OVENS'!S121</f>
        <v>84</v>
      </c>
      <c r="W12" s="3123">
        <f>+'COKE OVENS'!T121</f>
        <v>84.539080459770148</v>
      </c>
      <c r="X12" s="3123">
        <f>+'COKE OVENS'!U121</f>
        <v>84</v>
      </c>
      <c r="Y12" s="3123">
        <f>+'COKE OVENS'!V121</f>
        <v>84.673772536211317</v>
      </c>
      <c r="Z12" s="3123">
        <f>+'COKE OVENS'!W121</f>
        <v>84</v>
      </c>
      <c r="AA12" s="3123">
        <f>+'COKE OVENS'!X121</f>
        <v>84.615909090909113</v>
      </c>
      <c r="AB12" s="3131">
        <f>+'COKE OVENS'!Y121</f>
        <v>84</v>
      </c>
      <c r="AC12" s="3131">
        <f>+'COKE OVENS'!Z121</f>
        <v>84.547984343156585</v>
      </c>
      <c r="AD12" s="3707">
        <f>+'COKE OVENS'!AA121</f>
        <v>84</v>
      </c>
      <c r="AE12" s="3707">
        <f>+'COKE OVENS'!AB121</f>
        <v>84.664469877287473</v>
      </c>
      <c r="AF12" s="3123">
        <f>+'COKE OVENS'!AC121</f>
        <v>84</v>
      </c>
      <c r="AG12" s="3123">
        <f>+'COKE OVENS'!AD121</f>
        <v>84.437634408602136</v>
      </c>
      <c r="AH12" s="3123">
        <f>+'COKE OVENS'!AE121</f>
        <v>84</v>
      </c>
      <c r="AI12" s="3123">
        <f>+'COKE OVENS'!AF121</f>
        <v>84.632964225826768</v>
      </c>
      <c r="AJ12" s="3123">
        <f>+'COKE OVENS'!AG121</f>
        <v>84</v>
      </c>
      <c r="AK12" s="3123">
        <f>+'COKE OVENS'!AH121</f>
        <v>84.389759036144568</v>
      </c>
      <c r="AL12" s="4040">
        <f>+'COKE OVENS'!AI121</f>
        <v>84</v>
      </c>
      <c r="AM12" s="4040">
        <f>+'COKE OVENS'!AJ121</f>
        <v>84.603224113135994</v>
      </c>
      <c r="AN12" s="3123">
        <f>+'COKE OVENS'!AK121</f>
        <v>84</v>
      </c>
      <c r="AO12" s="3123">
        <f>+'COKE OVENS'!AL121</f>
        <v>84.950760869565201</v>
      </c>
      <c r="AP12" s="3131">
        <f>+'COKE OVENS'!AM121</f>
        <v>84</v>
      </c>
      <c r="AQ12" s="3131">
        <f>+'COKE OVENS'!AN121</f>
        <v>84.597597444818717</v>
      </c>
      <c r="AR12" s="3137">
        <f>+'COKE OVENS'!AO121</f>
        <v>83.999999999999986</v>
      </c>
      <c r="AS12" s="3137">
        <f>+'COKE OVENS'!AP121</f>
        <v>84.642437343110302</v>
      </c>
      <c r="AT12" s="3123">
        <f>+'COKE OVENS'!AQ121</f>
        <v>84</v>
      </c>
      <c r="AU12" s="3123">
        <f>+'COKE OVENS'!AR121</f>
        <v>83.936593406593445</v>
      </c>
      <c r="AV12" s="3137">
        <f>+'COKE OVENS'!AS121</f>
        <v>83.999999999999986</v>
      </c>
      <c r="AW12" s="3137">
        <f>+'COKE OVENS'!AT121</f>
        <v>84.570995736448978</v>
      </c>
      <c r="AX12" s="3123">
        <f>+'COKE OVENS'!AU121</f>
        <v>84</v>
      </c>
      <c r="AY12" s="3123">
        <f>+'COKE OVENS'!AV121</f>
        <v>84.272560975609764</v>
      </c>
      <c r="AZ12" s="3137">
        <f>+'COKE OVENS'!AW121</f>
        <v>83.999999999999986</v>
      </c>
      <c r="BA12" s="3137">
        <f>+'COKE OVENS'!AX121</f>
        <v>84.546008564609835</v>
      </c>
      <c r="BB12" s="3123">
        <f>+'COKE OVENS'!AY121</f>
        <v>84</v>
      </c>
      <c r="BC12" s="3123">
        <f>+'COKE OVENS'!AZ121</f>
        <v>84.376000000000005</v>
      </c>
      <c r="BD12" s="3131">
        <f>+'COKE OVENS'!BA121</f>
        <v>83.999999999999986</v>
      </c>
      <c r="BE12" s="3131">
        <f>+'COKE OVENS'!BB121</f>
        <v>84.191540993013476</v>
      </c>
      <c r="BF12" s="3707">
        <f>+'COKE OVENS'!BC121</f>
        <v>84</v>
      </c>
      <c r="BG12" s="3707">
        <f>+'COKE OVENS'!BD121</f>
        <v>84.39587163412223</v>
      </c>
      <c r="BH12" s="3137">
        <f>+'COKE OVENS'!BE121</f>
        <v>83.999999999999972</v>
      </c>
      <c r="BI12" s="3137">
        <f>+'COKE OVENS'!BF121</f>
        <v>84.531770546549765</v>
      </c>
    </row>
    <row r="13" spans="3:61" x14ac:dyDescent="0.25">
      <c r="C13" s="4915"/>
      <c r="D13" s="1732" t="s">
        <v>233</v>
      </c>
      <c r="E13" s="1778" t="s">
        <v>52</v>
      </c>
      <c r="F13" s="3119">
        <v>7.76323544980231</v>
      </c>
      <c r="G13" s="3119">
        <v>7.4</v>
      </c>
      <c r="H13" s="3123">
        <f>+'COKE OVENS'!E122</f>
        <v>7.4</v>
      </c>
      <c r="I13" s="3123">
        <f>+'COKE OVENS'!F122</f>
        <v>7.75192307692308</v>
      </c>
      <c r="J13" s="3123">
        <f>+'COKE OVENS'!G122</f>
        <v>7.4</v>
      </c>
      <c r="K13" s="3123">
        <f>+'COKE OVENS'!H122</f>
        <v>7.7324324000000004</v>
      </c>
      <c r="L13" s="3123">
        <f>+'COKE OVENS'!I122</f>
        <v>7.3999999999999995</v>
      </c>
      <c r="M13" s="3123">
        <f>+'COKE OVENS'!J122</f>
        <v>7.7420464961463136</v>
      </c>
      <c r="N13" s="3123">
        <f>+'COKE OVENS'!K122</f>
        <v>7.4</v>
      </c>
      <c r="O13" s="3123">
        <f>+'COKE OVENS'!L122</f>
        <v>7.7000000000000046</v>
      </c>
      <c r="P13" s="3131">
        <f>+'COKE OVENS'!M122</f>
        <v>7.3999999999999995</v>
      </c>
      <c r="Q13" s="3131">
        <f>+'COKE OVENS'!N122</f>
        <v>7.7284793611534655</v>
      </c>
      <c r="R13" s="3123">
        <f>+'COKE OVENS'!O122</f>
        <v>7.4</v>
      </c>
      <c r="S13" s="3123">
        <f>+'COKE OVENS'!P122</f>
        <v>7.8391304347826027</v>
      </c>
      <c r="T13" s="3123">
        <f>+'COKE OVENS'!Q122</f>
        <v>7.3999999999999995</v>
      </c>
      <c r="U13" s="3123">
        <f>+'COKE OVENS'!R122</f>
        <v>7.7564516076274197</v>
      </c>
      <c r="V13" s="3123">
        <f>+'COKE OVENS'!S122</f>
        <v>7.4</v>
      </c>
      <c r="W13" s="3123">
        <f>+'COKE OVENS'!T122</f>
        <v>7.8632183908045903</v>
      </c>
      <c r="X13" s="3123">
        <f>+'COKE OVENS'!U122</f>
        <v>7.4</v>
      </c>
      <c r="Y13" s="3123">
        <f>+'COKE OVENS'!V122</f>
        <v>7.7780457329550696</v>
      </c>
      <c r="Z13" s="3123">
        <f>+'COKE OVENS'!W122</f>
        <v>7.4</v>
      </c>
      <c r="AA13" s="3123">
        <f>+'COKE OVENS'!X122</f>
        <v>7.8249999999999966</v>
      </c>
      <c r="AB13" s="3131">
        <f>+'COKE OVENS'!Y122</f>
        <v>7.3999999999999995</v>
      </c>
      <c r="AC13" s="3131">
        <f>+'COKE OVENS'!Z122</f>
        <v>7.8427660677385482</v>
      </c>
      <c r="AD13" s="3707">
        <f>+'COKE OVENS'!AA122</f>
        <v>7.3999999999999995</v>
      </c>
      <c r="AE13" s="3707">
        <f>+'COKE OVENS'!AB122</f>
        <v>7.7855945321849944</v>
      </c>
      <c r="AF13" s="3123">
        <f>+'COKE OVENS'!AC122</f>
        <v>7.4</v>
      </c>
      <c r="AG13" s="3123">
        <f>+'COKE OVENS'!AD122</f>
        <v>7.9473118279569874</v>
      </c>
      <c r="AH13" s="3123">
        <f>+'COKE OVENS'!AE122</f>
        <v>7.4</v>
      </c>
      <c r="AI13" s="3123">
        <f>+'COKE OVENS'!AF122</f>
        <v>7.8080557847628578</v>
      </c>
      <c r="AJ13" s="3123">
        <f>+'COKE OVENS'!AG122</f>
        <v>7.4</v>
      </c>
      <c r="AK13" s="3123">
        <f>+'COKE OVENS'!AH122</f>
        <v>7.9932530120481919</v>
      </c>
      <c r="AL13" s="4040">
        <f>+'COKE OVENS'!AI122</f>
        <v>7.3999999999999995</v>
      </c>
      <c r="AM13" s="4040">
        <f>+'COKE OVENS'!AJ122</f>
        <v>7.8307024495675099</v>
      </c>
      <c r="AN13" s="3123">
        <f>+'COKE OVENS'!AK122</f>
        <v>7.4</v>
      </c>
      <c r="AO13" s="3123">
        <f>+'COKE OVENS'!AL122</f>
        <v>7.7207608695652201</v>
      </c>
      <c r="AP13" s="3131">
        <f>+'COKE OVENS'!AM122</f>
        <v>7.4</v>
      </c>
      <c r="AQ13" s="3131">
        <f>+'COKE OVENS'!AN122</f>
        <v>7.8848536186496716</v>
      </c>
      <c r="AR13" s="3137">
        <f>+'COKE OVENS'!AO122</f>
        <v>7.3999999999999986</v>
      </c>
      <c r="AS13" s="3137">
        <f>+'COKE OVENS'!AP122</f>
        <v>7.8182975330209432</v>
      </c>
      <c r="AT13" s="3123">
        <f>+'COKE OVENS'!AQ122</f>
        <v>7.4</v>
      </c>
      <c r="AU13" s="3123">
        <f>+'COKE OVENS'!AR122</f>
        <v>7.9875824175824164</v>
      </c>
      <c r="AV13" s="3137">
        <f>+'COKE OVENS'!AS122</f>
        <v>7.3999999999999977</v>
      </c>
      <c r="AW13" s="3137">
        <f>+'COKE OVENS'!AT122</f>
        <v>7.8354316097068315</v>
      </c>
      <c r="AX13" s="3123">
        <f>+'COKE OVENS'!AU122</f>
        <v>7.4</v>
      </c>
      <c r="AY13" s="3123">
        <f>+'COKE OVENS'!AV122</f>
        <v>7.8964634146341437</v>
      </c>
      <c r="AZ13" s="3137">
        <f>+'COKE OVENS'!AW122</f>
        <v>7.3999999999999977</v>
      </c>
      <c r="BA13" s="3137">
        <f>+'COKE OVENS'!AX122</f>
        <v>7.8405416451232259</v>
      </c>
      <c r="BB13" s="3123">
        <f>+'COKE OVENS'!AY122</f>
        <v>7.4</v>
      </c>
      <c r="BC13" s="3123">
        <f>+'COKE OVENS'!AZ122</f>
        <v>7.8494444444444458</v>
      </c>
      <c r="BD13" s="3131">
        <f>+'COKE OVENS'!BA122</f>
        <v>7.3999999999999986</v>
      </c>
      <c r="BE13" s="3131">
        <f>+'COKE OVENS'!BB122</f>
        <v>7.9119658884141204</v>
      </c>
      <c r="BF13" s="3707">
        <f>+'COKE OVENS'!BC122</f>
        <v>7.3999999999999995</v>
      </c>
      <c r="BG13" s="3707">
        <f>+'COKE OVENS'!BD122</f>
        <v>7.8983227916519487</v>
      </c>
      <c r="BH13" s="3137">
        <f>+'COKE OVENS'!BE122</f>
        <v>7.3999999999999968</v>
      </c>
      <c r="BI13" s="3137">
        <f>+'COKE OVENS'!BF122</f>
        <v>7.8412872441335564</v>
      </c>
    </row>
    <row r="14" spans="3:61" x14ac:dyDescent="0.25">
      <c r="C14" s="4915"/>
      <c r="D14" s="1732" t="s">
        <v>1552</v>
      </c>
      <c r="E14" s="1778" t="s">
        <v>52</v>
      </c>
      <c r="F14" s="3119">
        <v>64.385977018823127</v>
      </c>
      <c r="G14" s="3119">
        <v>64</v>
      </c>
      <c r="H14" s="3123">
        <f>+'COKE OVENS'!E123</f>
        <v>64</v>
      </c>
      <c r="I14" s="3123">
        <f>+'COKE OVENS'!F123</f>
        <v>64.142857142857096</v>
      </c>
      <c r="J14" s="3123">
        <f>+'COKE OVENS'!G123</f>
        <v>64</v>
      </c>
      <c r="K14" s="3123">
        <f>+'COKE OVENS'!H123</f>
        <v>64.544444400000003</v>
      </c>
      <c r="L14" s="3123">
        <f>+'COKE OVENS'!I123</f>
        <v>64</v>
      </c>
      <c r="M14" s="3123">
        <f>+'COKE OVENS'!J123</f>
        <v>64.346354897180618</v>
      </c>
      <c r="N14" s="3123">
        <f>+'COKE OVENS'!K123</f>
        <v>64</v>
      </c>
      <c r="O14" s="3123">
        <f>+'COKE OVENS'!L123</f>
        <v>64.725000000000009</v>
      </c>
      <c r="P14" s="3131">
        <f>+'COKE OVENS'!M123</f>
        <v>64</v>
      </c>
      <c r="Q14" s="3131">
        <f>+'COKE OVENS'!N123</f>
        <v>64.468532241196542</v>
      </c>
      <c r="R14" s="3123">
        <f>+'COKE OVENS'!O123</f>
        <v>64</v>
      </c>
      <c r="S14" s="3123">
        <f>+'COKE OVENS'!P123</f>
        <v>64.260000000000005</v>
      </c>
      <c r="T14" s="3123">
        <f>+'COKE OVENS'!Q123</f>
        <v>64</v>
      </c>
      <c r="U14" s="3123">
        <f>+'COKE OVENS'!R123</f>
        <v>64.415815940692625</v>
      </c>
      <c r="V14" s="3123">
        <f>+'COKE OVENS'!S123</f>
        <v>64</v>
      </c>
      <c r="W14" s="3123">
        <f>+'COKE OVENS'!T123</f>
        <v>64.2</v>
      </c>
      <c r="X14" s="3123">
        <f>+'COKE OVENS'!U123</f>
        <v>64</v>
      </c>
      <c r="Y14" s="3123">
        <f>+'COKE OVENS'!V123</f>
        <v>64.37216606821039</v>
      </c>
      <c r="Z14" s="3123">
        <f>+'COKE OVENS'!W123</f>
        <v>64</v>
      </c>
      <c r="AA14" s="3123">
        <f>+'COKE OVENS'!X123</f>
        <v>64.354545454545459</v>
      </c>
      <c r="AB14" s="3131">
        <f>+'COKE OVENS'!Y123</f>
        <v>64</v>
      </c>
      <c r="AC14" s="3131">
        <f>+'COKE OVENS'!Z123</f>
        <v>64.270036296560249</v>
      </c>
      <c r="AD14" s="3707">
        <f>+'COKE OVENS'!AA123</f>
        <v>64</v>
      </c>
      <c r="AE14" s="3707">
        <f>+'COKE OVENS'!AB123</f>
        <v>64.369333216517958</v>
      </c>
      <c r="AF14" s="3123">
        <f>+'COKE OVENS'!AC123</f>
        <v>64</v>
      </c>
      <c r="AG14" s="3123">
        <f>+'COKE OVENS'!AD123</f>
        <v>63.583333333333336</v>
      </c>
      <c r="AH14" s="3123">
        <f>+'COKE OVENS'!AE123</f>
        <v>64</v>
      </c>
      <c r="AI14" s="3123">
        <f>+'COKE OVENS'!AF123</f>
        <v>64.260164053021242</v>
      </c>
      <c r="AJ14" s="3123">
        <f>+'COKE OVENS'!AG123</f>
        <v>64</v>
      </c>
      <c r="AK14" s="3123">
        <f>+'COKE OVENS'!AH123</f>
        <v>63.762499999999996</v>
      </c>
      <c r="AL14" s="4040">
        <f>+'COKE OVENS'!AI123</f>
        <v>64</v>
      </c>
      <c r="AM14" s="4040">
        <f>+'COKE OVENS'!AJ123</f>
        <v>64.199307682981043</v>
      </c>
      <c r="AN14" s="3123">
        <f>+'COKE OVENS'!AK123</f>
        <v>64</v>
      </c>
      <c r="AO14" s="3123">
        <f>+'COKE OVENS'!AL123</f>
        <v>64.900833333333338</v>
      </c>
      <c r="AP14" s="3131">
        <f>+'COKE OVENS'!AM123</f>
        <v>64</v>
      </c>
      <c r="AQ14" s="3131">
        <f>+'COKE OVENS'!AN123</f>
        <v>64.093524304904122</v>
      </c>
      <c r="AR14" s="3137">
        <f>+'COKE OVENS'!AO123</f>
        <v>64</v>
      </c>
      <c r="AS14" s="3137">
        <f>+'COKE OVENS'!AP123</f>
        <v>64.278462149814388</v>
      </c>
      <c r="AT14" s="3123">
        <f>+'COKE OVENS'!AQ123</f>
        <v>64</v>
      </c>
      <c r="AU14" s="3123">
        <f>+'COKE OVENS'!AR123</f>
        <v>63.879999999999995</v>
      </c>
      <c r="AV14" s="3137">
        <f>+'COKE OVENS'!AS123</f>
        <v>64</v>
      </c>
      <c r="AW14" s="3137">
        <f>+'COKE OVENS'!AT123</f>
        <v>64.238132022000386</v>
      </c>
      <c r="AX14" s="3123">
        <f>+'COKE OVENS'!AU123</f>
        <v>64</v>
      </c>
      <c r="AY14" s="3123">
        <f>+'COKE OVENS'!AV123</f>
        <v>64.239166666666662</v>
      </c>
      <c r="AZ14" s="3137">
        <f>+'COKE OVENS'!AW123</f>
        <v>64</v>
      </c>
      <c r="BA14" s="3137">
        <f>+'COKE OVENS'!AX123</f>
        <v>64.238218650126399</v>
      </c>
      <c r="BB14" s="3123">
        <f>+'COKE OVENS'!AY123</f>
        <v>64</v>
      </c>
      <c r="BC14" s="3123">
        <f>+'COKE OVENS'!AZ123</f>
        <v>64.703846153846158</v>
      </c>
      <c r="BD14" s="3131">
        <f>+'COKE OVENS'!BA123</f>
        <v>64</v>
      </c>
      <c r="BE14" s="3131">
        <f>+'COKE OVENS'!BB123</f>
        <v>64.27337840033816</v>
      </c>
      <c r="BF14" s="3707">
        <f>+'COKE OVENS'!BC123</f>
        <v>64</v>
      </c>
      <c r="BG14" s="3707">
        <f>+'COKE OVENS'!BD123</f>
        <v>64.182874475421585</v>
      </c>
      <c r="BH14" s="3137">
        <f>+'COKE OVENS'!BE123</f>
        <v>64</v>
      </c>
      <c r="BI14" s="3137">
        <f>+'COKE OVENS'!BF123</f>
        <v>64.277214407913334</v>
      </c>
    </row>
    <row r="15" spans="3:61" x14ac:dyDescent="0.25">
      <c r="C15" s="4915"/>
      <c r="D15" s="1732" t="s">
        <v>1553</v>
      </c>
      <c r="E15" s="1778" t="s">
        <v>52</v>
      </c>
      <c r="F15" s="3119">
        <v>22.061577604010633</v>
      </c>
      <c r="G15" s="3119">
        <v>23</v>
      </c>
      <c r="H15" s="3123">
        <f>+'COKE OVENS'!E124</f>
        <v>23</v>
      </c>
      <c r="I15" s="3123">
        <f>+'COKE OVENS'!F124</f>
        <v>22.771428571428601</v>
      </c>
      <c r="J15" s="3123">
        <f>+'COKE OVENS'!G124</f>
        <v>23</v>
      </c>
      <c r="K15" s="3123">
        <f>+'COKE OVENS'!H124</f>
        <v>22.477777799999998</v>
      </c>
      <c r="L15" s="3123">
        <f>+'COKE OVENS'!I124</f>
        <v>23</v>
      </c>
      <c r="M15" s="3123">
        <f>+'COKE OVENS'!J124</f>
        <v>22.62262586049043</v>
      </c>
      <c r="N15" s="3123">
        <f>+'COKE OVENS'!K124</f>
        <v>23</v>
      </c>
      <c r="O15" s="3123">
        <f>+'COKE OVENS'!L124</f>
        <v>22.166666666666668</v>
      </c>
      <c r="P15" s="3131">
        <f>+'COKE OVENS'!M124</f>
        <v>23</v>
      </c>
      <c r="Q15" s="3131">
        <f>+'COKE OVENS'!N124</f>
        <v>22.475501593290819</v>
      </c>
      <c r="R15" s="3123">
        <f>+'COKE OVENS'!O124</f>
        <v>23</v>
      </c>
      <c r="S15" s="3123">
        <f>+'COKE OVENS'!P124</f>
        <v>22.630000000000003</v>
      </c>
      <c r="T15" s="3123">
        <f>+'COKE OVENS'!Q124</f>
        <v>23</v>
      </c>
      <c r="U15" s="3123">
        <f>+'COKE OVENS'!R124</f>
        <v>22.514558308879383</v>
      </c>
      <c r="V15" s="3123">
        <f>+'COKE OVENS'!S124</f>
        <v>23</v>
      </c>
      <c r="W15" s="3123">
        <f>+'COKE OVENS'!T124</f>
        <v>22.983333333333331</v>
      </c>
      <c r="X15" s="3123">
        <f>+'COKE OVENS'!U124</f>
        <v>23.000000000000004</v>
      </c>
      <c r="Y15" s="3123">
        <f>+'COKE OVENS'!V124</f>
        <v>22.609370443583607</v>
      </c>
      <c r="Z15" s="3123">
        <f>+'COKE OVENS'!W124</f>
        <v>23</v>
      </c>
      <c r="AA15" s="3123">
        <f>+'COKE OVENS'!X124</f>
        <v>23.109090909090909</v>
      </c>
      <c r="AB15" s="3131">
        <f>+'COKE OVENS'!Y124</f>
        <v>23.000000000000004</v>
      </c>
      <c r="AC15" s="3131">
        <f>+'COKE OVENS'!Z124</f>
        <v>22.904129990707165</v>
      </c>
      <c r="AD15" s="3707">
        <f>+'COKE OVENS'!AA124</f>
        <v>23</v>
      </c>
      <c r="AE15" s="3707">
        <f>+'COKE OVENS'!AB124</f>
        <v>22.689710095389703</v>
      </c>
      <c r="AF15" s="3123">
        <f>+'COKE OVENS'!AC124</f>
        <v>23</v>
      </c>
      <c r="AG15" s="3123">
        <f>+'COKE OVENS'!AD124</f>
        <v>23.716666666666665</v>
      </c>
      <c r="AH15" s="3123">
        <f>+'COKE OVENS'!AE124</f>
        <v>23.000000000000004</v>
      </c>
      <c r="AI15" s="3123">
        <f>+'COKE OVENS'!AF124</f>
        <v>22.83234623596968</v>
      </c>
      <c r="AJ15" s="3123">
        <f>+'COKE OVENS'!AG124</f>
        <v>23</v>
      </c>
      <c r="AK15" s="3123">
        <f>+'COKE OVENS'!AH124</f>
        <v>23.149999999999995</v>
      </c>
      <c r="AL15" s="4040">
        <f>+'COKE OVENS'!AI124</f>
        <v>23</v>
      </c>
      <c r="AM15" s="4040">
        <f>+'COKE OVENS'!AJ124</f>
        <v>22.871190220965456</v>
      </c>
      <c r="AN15" s="3123">
        <f>+'COKE OVENS'!AK124</f>
        <v>23</v>
      </c>
      <c r="AO15" s="3123">
        <f>+'COKE OVENS'!AL124</f>
        <v>22.555833333333329</v>
      </c>
      <c r="AP15" s="3131">
        <f>+'COKE OVENS'!AM124</f>
        <v>23.000000000000004</v>
      </c>
      <c r="AQ15" s="3131">
        <f>+'COKE OVENS'!AN124</f>
        <v>23.13253439520718</v>
      </c>
      <c r="AR15" s="3137">
        <f>+'COKE OVENS'!AO124</f>
        <v>23</v>
      </c>
      <c r="AS15" s="3137">
        <f>+'COKE OVENS'!AP124</f>
        <v>22.835607906490985</v>
      </c>
      <c r="AT15" s="3123">
        <f>+'COKE OVENS'!AQ124</f>
        <v>23</v>
      </c>
      <c r="AU15" s="3123">
        <f>+'COKE OVENS'!AR124</f>
        <v>23.29</v>
      </c>
      <c r="AV15" s="3137">
        <f>+'COKE OVENS'!AS124</f>
        <v>23</v>
      </c>
      <c r="AW15" s="3137">
        <f>+'COKE OVENS'!AT124</f>
        <v>22.881598952861211</v>
      </c>
      <c r="AX15" s="3123">
        <f>+'COKE OVENS'!AU124</f>
        <v>23</v>
      </c>
      <c r="AY15" s="3123">
        <f>+'COKE OVENS'!AV124</f>
        <v>22.738333333333333</v>
      </c>
      <c r="AZ15" s="3137">
        <f>+'COKE OVENS'!AW124</f>
        <v>23</v>
      </c>
      <c r="BA15" s="3137">
        <f>+'COKE OVENS'!AX124</f>
        <v>22.869603692511117</v>
      </c>
      <c r="BB15" s="3123">
        <f>+'COKE OVENS'!AY124</f>
        <v>23</v>
      </c>
      <c r="BC15" s="3123">
        <f>+'COKE OVENS'!AZ124</f>
        <v>22.705384615384613</v>
      </c>
      <c r="BD15" s="3131">
        <f>+'COKE OVENS'!BA124</f>
        <v>22.999999999999996</v>
      </c>
      <c r="BE15" s="3131">
        <f>+'COKE OVENS'!BB124</f>
        <v>22.918083668022476</v>
      </c>
      <c r="BF15" s="3707">
        <f>+'COKE OVENS'!BC124</f>
        <v>22.999999999999996</v>
      </c>
      <c r="BG15" s="3707">
        <f>+'COKE OVENS'!BD124</f>
        <v>23.025996876585172</v>
      </c>
      <c r="BH15" s="3137">
        <f>+'COKE OVENS'!BE124</f>
        <v>22.999999999999996</v>
      </c>
      <c r="BI15" s="3137">
        <f>+'COKE OVENS'!BF124</f>
        <v>22.85585053724331</v>
      </c>
    </row>
    <row r="16" spans="3:61" x14ac:dyDescent="0.25">
      <c r="C16" s="4915"/>
      <c r="D16" s="758" t="s">
        <v>1554</v>
      </c>
      <c r="E16" s="1778"/>
      <c r="F16" s="3119"/>
      <c r="G16" s="3119"/>
      <c r="H16" s="3123"/>
      <c r="I16" s="3123"/>
      <c r="J16" s="3123"/>
      <c r="K16" s="3123"/>
      <c r="L16" s="3123"/>
      <c r="M16" s="3123"/>
      <c r="N16" s="3123"/>
      <c r="O16" s="3123"/>
      <c r="P16" s="3131"/>
      <c r="Q16" s="3131"/>
      <c r="R16" s="3123"/>
      <c r="S16" s="3123"/>
      <c r="T16" s="3123"/>
      <c r="U16" s="3123"/>
      <c r="V16" s="3123"/>
      <c r="W16" s="3123"/>
      <c r="X16" s="3123"/>
      <c r="Y16" s="3123"/>
      <c r="Z16" s="3123"/>
      <c r="AA16" s="3123"/>
      <c r="AB16" s="3131"/>
      <c r="AC16" s="3131"/>
      <c r="AD16" s="3707"/>
      <c r="AE16" s="3707"/>
      <c r="AF16" s="3123"/>
      <c r="AG16" s="3123"/>
      <c r="AH16" s="3123"/>
      <c r="AI16" s="3123"/>
      <c r="AJ16" s="3123"/>
      <c r="AK16" s="3123"/>
      <c r="AL16" s="4040"/>
      <c r="AM16" s="4040"/>
      <c r="AN16" s="3123"/>
      <c r="AO16" s="3123"/>
      <c r="AP16" s="3131"/>
      <c r="AQ16" s="3131"/>
      <c r="AR16" s="3137"/>
      <c r="AS16" s="3137"/>
      <c r="AT16" s="3123"/>
      <c r="AU16" s="3123"/>
      <c r="AV16" s="3137"/>
      <c r="AW16" s="3137"/>
      <c r="AX16" s="3123"/>
      <c r="AY16" s="3123"/>
      <c r="AZ16" s="3137"/>
      <c r="BA16" s="3137"/>
      <c r="BB16" s="3123"/>
      <c r="BC16" s="3123"/>
      <c r="BD16" s="3131"/>
      <c r="BE16" s="3131"/>
      <c r="BF16" s="3707"/>
      <c r="BG16" s="3707"/>
      <c r="BH16" s="3137"/>
      <c r="BI16" s="3137"/>
    </row>
    <row r="17" spans="3:61" x14ac:dyDescent="0.25">
      <c r="C17" s="4915"/>
      <c r="D17" s="1732" t="s">
        <v>1555</v>
      </c>
      <c r="E17" s="1778" t="s">
        <v>52</v>
      </c>
      <c r="F17" s="3119">
        <v>88.595541964186296</v>
      </c>
      <c r="G17" s="3119">
        <v>86.5</v>
      </c>
      <c r="H17" s="3123">
        <f>+'COKE OVENS'!E146</f>
        <v>86.5</v>
      </c>
      <c r="I17" s="3123">
        <f>+'COKE OVENS'!F146</f>
        <v>88.896000000000001</v>
      </c>
      <c r="J17" s="3123">
        <f>+'COKE OVENS'!G146</f>
        <v>86.5</v>
      </c>
      <c r="K17" s="3123">
        <f>+'COKE OVENS'!H146</f>
        <v>89.144155799999993</v>
      </c>
      <c r="L17" s="3123">
        <f>+'COKE OVENS'!I146</f>
        <v>86.5</v>
      </c>
      <c r="M17" s="3123">
        <f>+'COKE OVENS'!J146</f>
        <v>89.022438375602775</v>
      </c>
      <c r="N17" s="3123">
        <f>+'COKE OVENS'!K146</f>
        <v>86.5</v>
      </c>
      <c r="O17" s="3123">
        <f>+'COKE OVENS'!L146</f>
        <v>89.09999999999998</v>
      </c>
      <c r="P17" s="3131">
        <f>+'COKE OVENS'!M146</f>
        <v>86.500000000000014</v>
      </c>
      <c r="Q17" s="3131">
        <f>+'COKE OVENS'!N146</f>
        <v>89.048181003557346</v>
      </c>
      <c r="R17" s="3123">
        <f>+'COKE OVENS'!O146</f>
        <v>86.5</v>
      </c>
      <c r="S17" s="3123">
        <f>+'COKE OVENS'!P146</f>
        <v>89.485937499999991</v>
      </c>
      <c r="T17" s="3123">
        <f>+'COKE OVENS'!Q146</f>
        <v>86.5</v>
      </c>
      <c r="U17" s="3123">
        <f>+'COKE OVENS'!R146</f>
        <v>89.158042712263168</v>
      </c>
      <c r="V17" s="3123">
        <f>+'COKE OVENS'!S146</f>
        <v>86.5</v>
      </c>
      <c r="W17" s="3123">
        <f>+'COKE OVENS'!T146</f>
        <v>88.975000000000009</v>
      </c>
      <c r="X17" s="3123">
        <f>+'COKE OVENS'!U146</f>
        <v>86.5</v>
      </c>
      <c r="Y17" s="3123">
        <f>+'COKE OVENS'!V146</f>
        <v>89.120056938396985</v>
      </c>
      <c r="Z17" s="3123">
        <f>+'COKE OVENS'!W146</f>
        <v>86.5</v>
      </c>
      <c r="AA17" s="3123">
        <f>+'COKE OVENS'!X146</f>
        <v>89.004687499999989</v>
      </c>
      <c r="AB17" s="3131">
        <f>+'COKE OVENS'!Y146</f>
        <v>86.5</v>
      </c>
      <c r="AC17" s="3131">
        <f>+'COKE OVENS'!Z146</f>
        <v>89.152282581661154</v>
      </c>
      <c r="AD17" s="3707">
        <f>+'COKE OVENS'!AA146</f>
        <v>86.5</v>
      </c>
      <c r="AE17" s="3707">
        <f>+'COKE OVENS'!AB146</f>
        <v>89.100802001682922</v>
      </c>
      <c r="AF17" s="3123">
        <f>+'COKE OVENS'!AC146</f>
        <v>86.5</v>
      </c>
      <c r="AG17" s="3123">
        <f>+'COKE OVENS'!AD146</f>
        <v>88.640322580645133</v>
      </c>
      <c r="AH17" s="3123">
        <f>+'COKE OVENS'!AE146</f>
        <v>86.5</v>
      </c>
      <c r="AI17" s="3123">
        <f>+'COKE OVENS'!AF146</f>
        <v>89.033115892751567</v>
      </c>
      <c r="AJ17" s="3123">
        <f>+'COKE OVENS'!AG146</f>
        <v>86.5</v>
      </c>
      <c r="AK17" s="3123">
        <f>+'COKE OVENS'!AH146</f>
        <v>89.208524590163904</v>
      </c>
      <c r="AL17" s="4040">
        <f>+'COKE OVENS'!AI146</f>
        <v>86.5</v>
      </c>
      <c r="AM17" s="4040">
        <f>+'COKE OVENS'!AJ146</f>
        <v>89.05497920443473</v>
      </c>
      <c r="AN17" s="3123">
        <f>+'COKE OVENS'!AK146</f>
        <v>86.5</v>
      </c>
      <c r="AO17" s="3123">
        <f>+'COKE OVENS'!AL146</f>
        <v>89.043387096774183</v>
      </c>
      <c r="AP17" s="3131">
        <f>+'COKE OVENS'!AM146</f>
        <v>86.5</v>
      </c>
      <c r="AQ17" s="3131">
        <f>+'COKE OVENS'!AN146</f>
        <v>88.96143422433434</v>
      </c>
      <c r="AR17" s="3137">
        <f>+'COKE OVENS'!AO146</f>
        <v>86.500000000000014</v>
      </c>
      <c r="AS17" s="3137">
        <f>+'COKE OVENS'!AP146</f>
        <v>89.053660523002407</v>
      </c>
      <c r="AT17" s="3123">
        <f>+'COKE OVENS'!AQ146</f>
        <v>86.5</v>
      </c>
      <c r="AU17" s="3123">
        <f>+'COKE OVENS'!AR146</f>
        <v>88.900153846153842</v>
      </c>
      <c r="AV17" s="3137">
        <f>+'COKE OVENS'!AS146</f>
        <v>86.500000000000014</v>
      </c>
      <c r="AW17" s="3137">
        <f>+'COKE OVENS'!AT146</f>
        <v>89.037949279448839</v>
      </c>
      <c r="AX17" s="3123">
        <f>+'COKE OVENS'!AU146</f>
        <v>86.5</v>
      </c>
      <c r="AY17" s="3123">
        <f>+'COKE OVENS'!AV146</f>
        <v>88.707796610169467</v>
      </c>
      <c r="AZ17" s="3137">
        <f>+'COKE OVENS'!AW146</f>
        <v>86.500000000000014</v>
      </c>
      <c r="BA17" s="3137">
        <f>+'COKE OVENS'!AX146</f>
        <v>89.009956474841005</v>
      </c>
      <c r="BB17" s="3123">
        <f>+'COKE OVENS'!AY146</f>
        <v>86.5</v>
      </c>
      <c r="BC17" s="3123">
        <f>+'COKE OVENS'!AZ146</f>
        <v>88.771428571428558</v>
      </c>
      <c r="BD17" s="3131">
        <f>+'COKE OVENS'!BA146</f>
        <v>86.499999999999986</v>
      </c>
      <c r="BE17" s="3131">
        <f>+'COKE OVENS'!BB146</f>
        <v>88.795895975930506</v>
      </c>
      <c r="BF17" s="3707">
        <f>+'COKE OVENS'!BC146</f>
        <v>86.5</v>
      </c>
      <c r="BG17" s="3707">
        <f>+'COKE OVENS'!BD146</f>
        <v>88.879504795787014</v>
      </c>
      <c r="BH17" s="3137">
        <f>+'COKE OVENS'!BE146</f>
        <v>86.500000000000014</v>
      </c>
      <c r="BI17" s="3137">
        <f>+'COKE OVENS'!BF146</f>
        <v>88.989491661531133</v>
      </c>
    </row>
    <row r="18" spans="3:61" x14ac:dyDescent="0.25">
      <c r="C18" s="4915"/>
      <c r="D18" s="1732" t="s">
        <v>233</v>
      </c>
      <c r="E18" s="1778" t="s">
        <v>52</v>
      </c>
      <c r="F18" s="3119">
        <v>6.2159872160153959</v>
      </c>
      <c r="G18" s="3119">
        <v>6.2</v>
      </c>
      <c r="H18" s="3123">
        <f>+'COKE OVENS'!E147</f>
        <v>6.2</v>
      </c>
      <c r="I18" s="3123">
        <f>+'COKE OVENS'!F147</f>
        <v>5.952</v>
      </c>
      <c r="J18" s="3123">
        <f>+'COKE OVENS'!G147</f>
        <v>6.2</v>
      </c>
      <c r="K18" s="3123">
        <f>+'COKE OVENS'!H147</f>
        <v>5.8714285999999998</v>
      </c>
      <c r="L18" s="3123">
        <f>+'COKE OVENS'!I147</f>
        <v>6.2</v>
      </c>
      <c r="M18" s="3123">
        <f>+'COKE OVENS'!J147</f>
        <v>5.9109478991180504</v>
      </c>
      <c r="N18" s="3123">
        <f>+'COKE OVENS'!K147</f>
        <v>6.2</v>
      </c>
      <c r="O18" s="3123">
        <f>+'COKE OVENS'!L147</f>
        <v>5.8967213114754111</v>
      </c>
      <c r="P18" s="3131">
        <f>+'COKE OVENS'!M147</f>
        <v>6.2000000000000011</v>
      </c>
      <c r="Q18" s="3131">
        <f>+'COKE OVENS'!N147</f>
        <v>5.9062261084697258</v>
      </c>
      <c r="R18" s="3123">
        <f>+'COKE OVENS'!O147</f>
        <v>6.2</v>
      </c>
      <c r="S18" s="3123">
        <f>+'COKE OVENS'!P147</f>
        <v>5.8734374999999988</v>
      </c>
      <c r="T18" s="3123">
        <f>+'COKE OVENS'!Q147</f>
        <v>6.2</v>
      </c>
      <c r="U18" s="3123">
        <f>+'COKE OVENS'!R147</f>
        <v>5.8979973041416507</v>
      </c>
      <c r="V18" s="3123">
        <f>+'COKE OVENS'!S147</f>
        <v>6.2</v>
      </c>
      <c r="W18" s="3123">
        <f>+'COKE OVENS'!T147</f>
        <v>5.967187499999997</v>
      </c>
      <c r="X18" s="3123">
        <f>+'COKE OVENS'!U147</f>
        <v>6.2</v>
      </c>
      <c r="Y18" s="3123">
        <f>+'COKE OVENS'!V147</f>
        <v>5.9123559371685328</v>
      </c>
      <c r="Z18" s="3123">
        <f>+'COKE OVENS'!W147</f>
        <v>6.2</v>
      </c>
      <c r="AA18" s="3123">
        <f>+'COKE OVENS'!X147</f>
        <v>5.982812499999997</v>
      </c>
      <c r="AB18" s="3131">
        <f>+'COKE OVENS'!Y147</f>
        <v>6.2</v>
      </c>
      <c r="AC18" s="3131">
        <f>+'COKE OVENS'!Z147</f>
        <v>5.941616201221974</v>
      </c>
      <c r="AD18" s="3707">
        <f>+'COKE OVENS'!AA147</f>
        <v>6.2</v>
      </c>
      <c r="AE18" s="3707">
        <f>+'COKE OVENS'!AB147</f>
        <v>5.9241150015902768</v>
      </c>
      <c r="AF18" s="3123">
        <f>+'COKE OVENS'!AC147</f>
        <v>6.2</v>
      </c>
      <c r="AG18" s="3123">
        <f>+'COKE OVENS'!AD147</f>
        <v>6.1161290322580619</v>
      </c>
      <c r="AH18" s="3123">
        <f>+'COKE OVENS'!AE147</f>
        <v>6.1999999999999993</v>
      </c>
      <c r="AI18" s="3123">
        <f>+'COKE OVENS'!AF147</f>
        <v>5.9523392435484448</v>
      </c>
      <c r="AJ18" s="3123">
        <f>+'COKE OVENS'!AG147</f>
        <v>6.2</v>
      </c>
      <c r="AK18" s="3123">
        <f>+'COKE OVENS'!AH147</f>
        <v>5.9526229508196726</v>
      </c>
      <c r="AL18" s="4040">
        <f>+'COKE OVENS'!AI147</f>
        <v>6.2</v>
      </c>
      <c r="AM18" s="4040">
        <f>+'COKE OVENS'!AJ147</f>
        <v>5.9523746054238202</v>
      </c>
      <c r="AN18" s="3123">
        <f>+'COKE OVENS'!AK147</f>
        <v>6.2</v>
      </c>
      <c r="AO18" s="3123">
        <f>+'COKE OVENS'!AL147</f>
        <v>5.9854838709677427</v>
      </c>
      <c r="AP18" s="3131">
        <f>+'COKE OVENS'!AM147</f>
        <v>6.2</v>
      </c>
      <c r="AQ18" s="3131">
        <f>+'COKE OVENS'!AN147</f>
        <v>6.0187958179526619</v>
      </c>
      <c r="AR18" s="3137">
        <f>+'COKE OVENS'!AO147</f>
        <v>6.2000000000000011</v>
      </c>
      <c r="AS18" s="3137">
        <f>+'COKE OVENS'!AP147</f>
        <v>5.9561410105495574</v>
      </c>
      <c r="AT18" s="3123">
        <f>+'COKE OVENS'!AQ147</f>
        <v>6.2</v>
      </c>
      <c r="AU18" s="3123">
        <f>+'COKE OVENS'!AR147</f>
        <v>5.9913846153846153</v>
      </c>
      <c r="AV18" s="3137">
        <f>+'COKE OVENS'!AS147</f>
        <v>6.200000000000002</v>
      </c>
      <c r="AW18" s="3137">
        <f>+'COKE OVENS'!AT147</f>
        <v>5.959748155662961</v>
      </c>
      <c r="AX18" s="3123">
        <f>+'COKE OVENS'!AU147</f>
        <v>6.2</v>
      </c>
      <c r="AY18" s="3123">
        <f>+'COKE OVENS'!AV147</f>
        <v>5.905593220338984</v>
      </c>
      <c r="AZ18" s="3137">
        <f>+'COKE OVENS'!AW147</f>
        <v>6.200000000000002</v>
      </c>
      <c r="BA18" s="3137">
        <f>+'COKE OVENS'!AX147</f>
        <v>5.9551564965181694</v>
      </c>
      <c r="BB18" s="3123">
        <f>+'COKE OVENS'!AY147</f>
        <v>6.2</v>
      </c>
      <c r="BC18" s="3123">
        <f>+'COKE OVENS'!AZ147</f>
        <v>5.8850793650793625</v>
      </c>
      <c r="BD18" s="3131">
        <f>+'COKE OVENS'!BA147</f>
        <v>6.2</v>
      </c>
      <c r="BE18" s="3131">
        <f>+'COKE OVENS'!BB147</f>
        <v>5.9280347640944777</v>
      </c>
      <c r="BF18" s="3707">
        <f>+'COKE OVENS'!BC147</f>
        <v>6.2</v>
      </c>
      <c r="BG18" s="3707">
        <f>+'COKE OVENS'!BD147</f>
        <v>5.973875678053548</v>
      </c>
      <c r="BH18" s="3137">
        <f>+'COKE OVENS'!BE147</f>
        <v>6.2000000000000028</v>
      </c>
      <c r="BI18" s="3137">
        <f>+'COKE OVENS'!BF147</f>
        <v>5.9491441374118779</v>
      </c>
    </row>
    <row r="19" spans="3:61" x14ac:dyDescent="0.25">
      <c r="C19" s="4915"/>
      <c r="D19" s="1732" t="s">
        <v>1552</v>
      </c>
      <c r="E19" s="1778" t="s">
        <v>52</v>
      </c>
      <c r="F19" s="3119">
        <v>66.464553614193505</v>
      </c>
      <c r="G19" s="3119">
        <v>66</v>
      </c>
      <c r="H19" s="3123">
        <f>+'COKE OVENS'!E148</f>
        <v>66</v>
      </c>
      <c r="I19" s="3123">
        <f>+'COKE OVENS'!F148</f>
        <v>66.483333333333306</v>
      </c>
      <c r="J19" s="3123">
        <f>+'COKE OVENS'!G148</f>
        <v>66</v>
      </c>
      <c r="K19" s="3123">
        <f>+'COKE OVENS'!H148</f>
        <v>66.7</v>
      </c>
      <c r="L19" s="3123">
        <f>+'COKE OVENS'!I148</f>
        <v>66</v>
      </c>
      <c r="M19" s="3123">
        <f>+'COKE OVENS'!J148</f>
        <v>66.59372761539565</v>
      </c>
      <c r="N19" s="3123">
        <f>+'COKE OVENS'!K148</f>
        <v>66</v>
      </c>
      <c r="O19" s="3123">
        <f>+'COKE OVENS'!L148</f>
        <v>66.625</v>
      </c>
      <c r="P19" s="3131">
        <f>+'COKE OVENS'!M148</f>
        <v>66</v>
      </c>
      <c r="Q19" s="3131">
        <f>+'COKE OVENS'!N148</f>
        <v>66.604106889532545</v>
      </c>
      <c r="R19" s="3123">
        <f>+'COKE OVENS'!O148</f>
        <v>66</v>
      </c>
      <c r="S19" s="3123">
        <f>+'COKE OVENS'!P148</f>
        <v>66.469230769230776</v>
      </c>
      <c r="T19" s="3123">
        <f>+'COKE OVENS'!Q148</f>
        <v>66</v>
      </c>
      <c r="U19" s="3123">
        <f>+'COKE OVENS'!R148</f>
        <v>66.570257657915477</v>
      </c>
      <c r="V19" s="3123">
        <f>+'COKE OVENS'!S148</f>
        <v>66</v>
      </c>
      <c r="W19" s="3123">
        <f>+'COKE OVENS'!T148</f>
        <v>66.564285714285717</v>
      </c>
      <c r="X19" s="3123">
        <f>+'COKE OVENS'!U148</f>
        <v>66</v>
      </c>
      <c r="Y19" s="3123">
        <f>+'COKE OVENS'!V148</f>
        <v>66.569018335696853</v>
      </c>
      <c r="Z19" s="3123">
        <f>+'COKE OVENS'!W148</f>
        <v>66</v>
      </c>
      <c r="AA19" s="3123">
        <f>+'COKE OVENS'!X148</f>
        <v>66.408333333333346</v>
      </c>
      <c r="AB19" s="3131">
        <f>+'COKE OVENS'!Y148</f>
        <v>66</v>
      </c>
      <c r="AC19" s="3131">
        <f>+'COKE OVENS'!Z148</f>
        <v>66.481635405892717</v>
      </c>
      <c r="AD19" s="3707">
        <f>+'COKE OVENS'!AA148</f>
        <v>66</v>
      </c>
      <c r="AE19" s="3707">
        <f>+'COKE OVENS'!AB148</f>
        <v>66.542200318773141</v>
      </c>
      <c r="AF19" s="3123">
        <f>+'COKE OVENS'!AC148</f>
        <v>66</v>
      </c>
      <c r="AG19" s="3123">
        <f>+'COKE OVENS'!AD148</f>
        <v>66.300000000000011</v>
      </c>
      <c r="AH19" s="3123">
        <f>+'COKE OVENS'!AE148</f>
        <v>66</v>
      </c>
      <c r="AI19" s="3123">
        <f>+'COKE OVENS'!AF148</f>
        <v>66.506599168296674</v>
      </c>
      <c r="AJ19" s="3123">
        <f>+'COKE OVENS'!AG148</f>
        <v>66</v>
      </c>
      <c r="AK19" s="3123">
        <f>+'COKE OVENS'!AH148</f>
        <v>66.743333333333339</v>
      </c>
      <c r="AL19" s="4040">
        <f>+'COKE OVENS'!AI148</f>
        <v>66</v>
      </c>
      <c r="AM19" s="4040">
        <f>+'COKE OVENS'!AJ148</f>
        <v>66.536106216194554</v>
      </c>
      <c r="AN19" s="3123">
        <f>+'COKE OVENS'!AK148</f>
        <v>66</v>
      </c>
      <c r="AO19" s="3123">
        <f>+'COKE OVENS'!AL148</f>
        <v>66.954285714285703</v>
      </c>
      <c r="AP19" s="3131">
        <f>+'COKE OVENS'!AM148</f>
        <v>66</v>
      </c>
      <c r="AQ19" s="3131">
        <f>+'COKE OVENS'!AN148</f>
        <v>66.664820816463489</v>
      </c>
      <c r="AR19" s="3137">
        <f>+'COKE OVENS'!AO148</f>
        <v>66.000000000000014</v>
      </c>
      <c r="AS19" s="3137">
        <f>+'COKE OVENS'!AP148</f>
        <v>66.583676990695693</v>
      </c>
      <c r="AT19" s="3123">
        <f>+'COKE OVENS'!AQ148</f>
        <v>66</v>
      </c>
      <c r="AU19" s="3123">
        <f>+'COKE OVENS'!AR148</f>
        <v>66.718181818181833</v>
      </c>
      <c r="AV19" s="3137">
        <f>+'COKE OVENS'!AS148</f>
        <v>66.000000000000014</v>
      </c>
      <c r="AW19" s="3137">
        <f>+'COKE OVENS'!AT148</f>
        <v>66.597443415369526</v>
      </c>
      <c r="AX19" s="3123">
        <f>+'COKE OVENS'!AU148</f>
        <v>66</v>
      </c>
      <c r="AY19" s="3123">
        <f>+'COKE OVENS'!AV148</f>
        <v>66.858333333333334</v>
      </c>
      <c r="AZ19" s="3137">
        <f>+'COKE OVENS'!AW148</f>
        <v>66</v>
      </c>
      <c r="BA19" s="3137">
        <f>+'COKE OVENS'!AX148</f>
        <v>66.619563607563194</v>
      </c>
      <c r="BB19" s="3123">
        <f>+'COKE OVENS'!AY148</f>
        <v>66</v>
      </c>
      <c r="BC19" s="3123">
        <f>+'COKE OVENS'!AZ148</f>
        <v>66.686666666666682</v>
      </c>
      <c r="BD19" s="3131">
        <f>+'COKE OVENS'!BA148</f>
        <v>66</v>
      </c>
      <c r="BE19" s="3131">
        <f>+'COKE OVENS'!BB148</f>
        <v>66.750959033361411</v>
      </c>
      <c r="BF19" s="3707">
        <f>+'COKE OVENS'!BC148</f>
        <v>66</v>
      </c>
      <c r="BG19" s="3707">
        <f>+'COKE OVENS'!BD148</f>
        <v>66.70745298730364</v>
      </c>
      <c r="BH19" s="3137">
        <f>+'COKE OVENS'!BE148</f>
        <v>66</v>
      </c>
      <c r="BI19" s="3137">
        <f>+'COKE OVENS'!BF148</f>
        <v>66.625320802245355</v>
      </c>
    </row>
    <row r="20" spans="3:61" x14ac:dyDescent="0.25">
      <c r="C20" s="4915"/>
      <c r="D20" s="1732" t="s">
        <v>1553</v>
      </c>
      <c r="E20" s="1778" t="s">
        <v>52</v>
      </c>
      <c r="F20" s="3119">
        <v>20.042478145582923</v>
      </c>
      <c r="G20" s="3119">
        <v>21</v>
      </c>
      <c r="H20" s="3123">
        <f>+'COKE OVENS'!E149</f>
        <v>21</v>
      </c>
      <c r="I20" s="3123">
        <f>+'COKE OVENS'!F149</f>
        <v>20.558333333333302</v>
      </c>
      <c r="J20" s="3123">
        <f>+'COKE OVENS'!G149</f>
        <v>21</v>
      </c>
      <c r="K20" s="3123">
        <f>+'COKE OVENS'!H149</f>
        <v>20.175000000000001</v>
      </c>
      <c r="L20" s="3123">
        <f>+'COKE OVENS'!I149</f>
        <v>21</v>
      </c>
      <c r="M20" s="3123">
        <f>+'COKE OVENS'!J149</f>
        <v>20.363020372761525</v>
      </c>
      <c r="N20" s="3123">
        <f>+'COKE OVENS'!K149</f>
        <v>21</v>
      </c>
      <c r="O20" s="3123">
        <f>+'COKE OVENS'!L149</f>
        <v>19.975000000000001</v>
      </c>
      <c r="P20" s="3131">
        <f>+'COKE OVENS'!M149</f>
        <v>21</v>
      </c>
      <c r="Q20" s="3131">
        <f>+'COKE OVENS'!N149</f>
        <v>20.234236787162025</v>
      </c>
      <c r="R20" s="3123">
        <f>+'COKE OVENS'!O149</f>
        <v>21</v>
      </c>
      <c r="S20" s="3123">
        <f>+'COKE OVENS'!P149</f>
        <v>20.115384615384617</v>
      </c>
      <c r="T20" s="3123">
        <f>+'COKE OVENS'!Q149</f>
        <v>21</v>
      </c>
      <c r="U20" s="3123">
        <f>+'COKE OVENS'!R149</f>
        <v>20.204409011261561</v>
      </c>
      <c r="V20" s="3123">
        <f>+'COKE OVENS'!S149</f>
        <v>21</v>
      </c>
      <c r="W20" s="3123">
        <f>+'COKE OVENS'!T149</f>
        <v>20.207142857142859</v>
      </c>
      <c r="X20" s="3123">
        <f>+'COKE OVENS'!U149</f>
        <v>21</v>
      </c>
      <c r="Y20" s="3123">
        <f>+'COKE OVENS'!V149</f>
        <v>20.204976350163765</v>
      </c>
      <c r="Z20" s="3123">
        <f>+'COKE OVENS'!W149</f>
        <v>21</v>
      </c>
      <c r="AA20" s="3123">
        <f>+'COKE OVENS'!X149</f>
        <v>20.55</v>
      </c>
      <c r="AB20" s="3131">
        <f>+'COKE OVENS'!Y149</f>
        <v>21</v>
      </c>
      <c r="AC20" s="3131">
        <f>+'COKE OVENS'!Z149</f>
        <v>20.290269644270097</v>
      </c>
      <c r="AD20" s="3707">
        <f>+'COKE OVENS'!AA149</f>
        <v>21</v>
      </c>
      <c r="AE20" s="3707">
        <f>+'COKE OVENS'!AB149</f>
        <v>20.262560131750654</v>
      </c>
      <c r="AF20" s="3123">
        <f>+'COKE OVENS'!AC149</f>
        <v>21</v>
      </c>
      <c r="AG20" s="3123">
        <f>+'COKE OVENS'!AD149</f>
        <v>20.66363636363636</v>
      </c>
      <c r="AH20" s="3123">
        <f>+'COKE OVENS'!AE149</f>
        <v>21</v>
      </c>
      <c r="AI20" s="3123">
        <f>+'COKE OVENS'!AF149</f>
        <v>20.321514535098387</v>
      </c>
      <c r="AJ20" s="3123">
        <f>+'COKE OVENS'!AG149</f>
        <v>21</v>
      </c>
      <c r="AK20" s="3123">
        <f>+'COKE OVENS'!AH149</f>
        <v>19.995000000000001</v>
      </c>
      <c r="AL20" s="4040">
        <f>+'COKE OVENS'!AI149</f>
        <v>21.000000000000004</v>
      </c>
      <c r="AM20" s="4040">
        <f>+'COKE OVENS'!AJ149</f>
        <v>20.280817071658706</v>
      </c>
      <c r="AN20" s="3123">
        <f>+'COKE OVENS'!AK149</f>
        <v>21</v>
      </c>
      <c r="AO20" s="3123">
        <f>+'COKE OVENS'!AL149</f>
        <v>20.414999999999999</v>
      </c>
      <c r="AP20" s="3131">
        <f>+'COKE OVENS'!AM149</f>
        <v>21</v>
      </c>
      <c r="AQ20" s="3131">
        <f>+'COKE OVENS'!AN149</f>
        <v>20.361661185367691</v>
      </c>
      <c r="AR20" s="3137">
        <f>+'COKE OVENS'!AO149</f>
        <v>21.000000000000007</v>
      </c>
      <c r="AS20" s="3137">
        <f>+'COKE OVENS'!AP149</f>
        <v>20.29608129636404</v>
      </c>
      <c r="AT20" s="3123">
        <f>+'COKE OVENS'!AQ149</f>
        <v>21</v>
      </c>
      <c r="AU20" s="3123">
        <f>+'COKE OVENS'!AR149</f>
        <v>21.487272727272728</v>
      </c>
      <c r="AV20" s="3137">
        <f>+'COKE OVENS'!AS149</f>
        <v>21.000000000000007</v>
      </c>
      <c r="AW20" s="3137">
        <f>+'COKE OVENS'!AT149</f>
        <v>20.417998460321606</v>
      </c>
      <c r="AX20" s="3123">
        <f>+'COKE OVENS'!AU149</f>
        <v>21</v>
      </c>
      <c r="AY20" s="3123">
        <f>+'COKE OVENS'!AV149</f>
        <v>20.32</v>
      </c>
      <c r="AZ20" s="3137">
        <f>+'COKE OVENS'!AW149</f>
        <v>21.000000000000004</v>
      </c>
      <c r="BA20" s="3137">
        <f>+'COKE OVENS'!AX149</f>
        <v>20.409689420271622</v>
      </c>
      <c r="BB20" s="3123">
        <f>+'COKE OVENS'!AY149</f>
        <v>21</v>
      </c>
      <c r="BC20" s="3123">
        <f>+'COKE OVENS'!AZ149</f>
        <v>20.151666666666667</v>
      </c>
      <c r="BD20" s="3131">
        <f>+'COKE OVENS'!BA149</f>
        <v>20.999999999999996</v>
      </c>
      <c r="BE20" s="3131">
        <f>+'COKE OVENS'!BB149</f>
        <v>20.663516674128001</v>
      </c>
      <c r="BF20" s="3707">
        <f>+'COKE OVENS'!BC149</f>
        <v>21</v>
      </c>
      <c r="BG20" s="3707">
        <f>+'COKE OVENS'!BD149</f>
        <v>20.51105776251206</v>
      </c>
      <c r="BH20" s="3137">
        <f>+'COKE OVENS'!BE149</f>
        <v>21.000000000000004</v>
      </c>
      <c r="BI20" s="3137">
        <f>+'COKE OVENS'!BF149</f>
        <v>20.387552020803128</v>
      </c>
    </row>
    <row r="21" spans="3:61" x14ac:dyDescent="0.25">
      <c r="C21" s="4915" t="s">
        <v>118</v>
      </c>
      <c r="D21" s="758" t="s">
        <v>1548</v>
      </c>
      <c r="E21" s="1778" t="s">
        <v>257</v>
      </c>
      <c r="F21" s="3121">
        <v>1.2001160260586863</v>
      </c>
      <c r="G21" s="3117">
        <v>1.23</v>
      </c>
      <c r="H21" s="3126">
        <f>+SINTER!E68</f>
        <v>0.92658423493044817</v>
      </c>
      <c r="I21" s="3126">
        <f>+SINTER!F68</f>
        <v>1.2824062090878057</v>
      </c>
      <c r="J21" s="3126">
        <f>+SINTER!G68</f>
        <v>0.91246573010724408</v>
      </c>
      <c r="K21" s="3126">
        <f>+SINTER!H68</f>
        <v>1.127256494889662</v>
      </c>
      <c r="L21" s="3126">
        <f>+SINTER!I68</f>
        <v>0.91939643771013724</v>
      </c>
      <c r="M21" s="3126">
        <f>+SINTER!J68</f>
        <v>1.2043446656229031</v>
      </c>
      <c r="N21" s="3126">
        <f>+SINTER!K68</f>
        <v>1.2900655246718171</v>
      </c>
      <c r="O21" s="3126">
        <f>+SINTER!L68</f>
        <v>1.3579594206918069</v>
      </c>
      <c r="P21" s="3134">
        <f>+SINTER!M68</f>
        <v>1.0467677873135033</v>
      </c>
      <c r="Q21" s="3134">
        <f>+SINTER!N68</f>
        <v>1.2645852239318329</v>
      </c>
      <c r="R21" s="3126">
        <f>+SINTER!O68</f>
        <v>1.2889630616112799</v>
      </c>
      <c r="S21" s="3126">
        <f>+SINTER!P68</f>
        <v>1.3397908610797431</v>
      </c>
      <c r="T21" s="3126">
        <f>+SINTER!Q68</f>
        <v>1.1102973339147568</v>
      </c>
      <c r="U21" s="3126">
        <f>+SINTER!R68</f>
        <v>1.2859685908023217</v>
      </c>
      <c r="V21" s="3126">
        <f>+SINTER!S68</f>
        <v>1.2889630616112799</v>
      </c>
      <c r="W21" s="3126">
        <f>+SINTER!T68</f>
        <v>1.3155444612226201</v>
      </c>
      <c r="X21" s="3126">
        <f>+SINTER!U68</f>
        <v>1.1474240305315546</v>
      </c>
      <c r="Y21" s="3126">
        <f>+SINTER!V68</f>
        <v>1.2925591710476649</v>
      </c>
      <c r="Z21" s="3126">
        <f>+SINTER!W68</f>
        <v>1.2972725946420507</v>
      </c>
      <c r="AA21" s="3126">
        <f>+SINTER!X68</f>
        <v>1.2992763377356282</v>
      </c>
      <c r="AB21" s="3134">
        <f>+SINTER!Y68</f>
        <v>1.2916701332785283</v>
      </c>
      <c r="AC21" s="3134">
        <f>+SINTER!Z68</f>
        <v>1.3184596606095869</v>
      </c>
      <c r="AD21" s="3709">
        <f>+SINTER!AA68</f>
        <v>1.1724835334971975</v>
      </c>
      <c r="AE21" s="3709">
        <f>+SINTER!AB68</f>
        <v>1.2937334369852971</v>
      </c>
      <c r="AF21" s="3126">
        <f>+SINTER!AC68</f>
        <v>1.2961639725700023</v>
      </c>
      <c r="AG21" s="3126">
        <f>+SINTER!AD68</f>
        <v>1.2890961161350394</v>
      </c>
      <c r="AH21" s="3126">
        <f>+SINTER!AE68</f>
        <v>1.1907289536414087</v>
      </c>
      <c r="AI21" s="3126">
        <f>+SINTER!AF68</f>
        <v>1.2929996737603169</v>
      </c>
      <c r="AJ21" s="3126">
        <f>+SINTER!AG68</f>
        <v>1.2972725946420507</v>
      </c>
      <c r="AK21" s="3126">
        <f>+SINTER!AH68</f>
        <v>1.3079213770198634</v>
      </c>
      <c r="AL21" s="4041">
        <f>+SINTER!AI68</f>
        <v>1.204022825664997</v>
      </c>
      <c r="AM21" s="4041">
        <f>+SINTER!AJ68</f>
        <v>1.294954636885796</v>
      </c>
      <c r="AN21" s="3126">
        <f>+SINTER!AK68</f>
        <v>1.2961639725700023</v>
      </c>
      <c r="AO21" s="3126">
        <f>+SINTER!AL68</f>
        <v>1.3651963579205559</v>
      </c>
      <c r="AP21" s="3134">
        <f>+SINTER!AM68</f>
        <v>1.2965251384008394</v>
      </c>
      <c r="AQ21" s="3134">
        <f>+SINTER!AN68</f>
        <v>1.3207884086614476</v>
      </c>
      <c r="AR21" s="3140">
        <f>+SINTER!AO68</f>
        <v>1.2145591451541342</v>
      </c>
      <c r="AS21" s="3140">
        <f>+SINTER!AP68</f>
        <v>1.3033687164423293</v>
      </c>
      <c r="AT21" s="3126">
        <f>+SINTER!AQ68</f>
        <v>1.2961639725700023</v>
      </c>
      <c r="AU21" s="3126">
        <f>+SINTER!AR68</f>
        <v>1.343566747858113</v>
      </c>
      <c r="AV21" s="3140">
        <f>+SINTER!AS68</f>
        <v>1.2229330811666277</v>
      </c>
      <c r="AW21" s="3140">
        <f>+SINTER!AT68</f>
        <v>1.3077729721654927</v>
      </c>
      <c r="AX21" s="3126">
        <f>+SINTER!AU68</f>
        <v>1.2774079147533717</v>
      </c>
      <c r="AY21" s="3126">
        <f>+SINTER!AV68</f>
        <v>1.3586309402847261</v>
      </c>
      <c r="AZ21" s="3140">
        <f>+SINTER!AW68</f>
        <v>1.2275347710564553</v>
      </c>
      <c r="BA21" s="3140">
        <f>+SINTER!AX68</f>
        <v>1.3123552046418006</v>
      </c>
      <c r="BB21" s="3126">
        <f>+SINTER!AY68</f>
        <v>1.2961639725700023</v>
      </c>
      <c r="BC21" s="3126">
        <f>+SINTER!AZ68</f>
        <v>1.3858947432601783</v>
      </c>
      <c r="BD21" s="3134">
        <f>+SINTER!BA68</f>
        <v>1.2903468763775978</v>
      </c>
      <c r="BE21" s="3134">
        <f>+SINTER!BB68</f>
        <v>1.3628291601687204</v>
      </c>
      <c r="BF21" s="3709">
        <f>+SINTER!BC68</f>
        <v>1.293471412902246</v>
      </c>
      <c r="BG21" s="3709">
        <f>+SINTER!BD68</f>
        <v>1.3418414866233705</v>
      </c>
      <c r="BH21" s="3140">
        <f>+SINTER!BE68</f>
        <v>1.2334285947130192</v>
      </c>
      <c r="BI21" s="3140">
        <f>+SINTER!BF68</f>
        <v>1.3190195618390481</v>
      </c>
    </row>
    <row r="22" spans="3:61" x14ac:dyDescent="0.25">
      <c r="C22" s="4915"/>
      <c r="D22" s="758" t="s">
        <v>954</v>
      </c>
      <c r="E22" s="1778" t="s">
        <v>248</v>
      </c>
      <c r="F22" s="3118">
        <v>848.0682459691584</v>
      </c>
      <c r="G22" s="3117">
        <v>860</v>
      </c>
      <c r="H22" s="3125">
        <f>+SINTER!E74</f>
        <v>859.99771051039261</v>
      </c>
      <c r="I22" s="3125">
        <f>+SINTER!F74</f>
        <v>841.52073585312701</v>
      </c>
      <c r="J22" s="3125">
        <f>+SINTER!G74</f>
        <v>860.0000020816326</v>
      </c>
      <c r="K22" s="3125">
        <f>+SINTER!H74</f>
        <v>833.69229109499008</v>
      </c>
      <c r="L22" s="3125">
        <f>+SINTER!I74</f>
        <v>859.99886836550809</v>
      </c>
      <c r="M22" s="3125">
        <f>+SINTER!J74</f>
        <v>837.83407151147946</v>
      </c>
      <c r="N22" s="3125">
        <f>+SINTER!K74</f>
        <v>859.99958148813289</v>
      </c>
      <c r="O22" s="3125">
        <f>+SINTER!L74</f>
        <v>824.3051771790698</v>
      </c>
      <c r="P22" s="3133">
        <f>+SINTER!M74</f>
        <v>859.99917036834142</v>
      </c>
      <c r="Q22" s="3133">
        <f>+SINTER!N74</f>
        <v>832.13692944221214</v>
      </c>
      <c r="R22" s="3125">
        <f>+SINTER!O74</f>
        <v>860</v>
      </c>
      <c r="S22" s="3125">
        <f>+SINTER!P74</f>
        <v>839.49178165888907</v>
      </c>
      <c r="T22" s="3125">
        <f>+SINTER!Q74</f>
        <v>859.9994230051243</v>
      </c>
      <c r="U22" s="3125">
        <f>+SINTER!R74</f>
        <v>834.31567388648671</v>
      </c>
      <c r="V22" s="3125">
        <f>+SINTER!S74</f>
        <v>860</v>
      </c>
      <c r="W22" s="3125">
        <f>+SINTER!T74</f>
        <v>820.72450852954387</v>
      </c>
      <c r="X22" s="3125">
        <f>+SINTER!U74</f>
        <v>859.99955769456312</v>
      </c>
      <c r="Y22" s="3125">
        <f>+SINTER!V74</f>
        <v>831.23321061316915</v>
      </c>
      <c r="Z22" s="3125">
        <f>+SINTER!W74</f>
        <v>859.99999999999989</v>
      </c>
      <c r="AA22" s="3125">
        <f>+SINTER!X74</f>
        <v>816.01459117821275</v>
      </c>
      <c r="AB22" s="3133">
        <f>+SINTER!Y74</f>
        <v>860</v>
      </c>
      <c r="AC22" s="3133">
        <f>+SINTER!Z74</f>
        <v>825.65216670220207</v>
      </c>
      <c r="AD22" s="3708">
        <f>+SINTER!AA74</f>
        <v>859.99963953475446</v>
      </c>
      <c r="AE22" s="3708">
        <f>+SINTER!AB74</f>
        <v>828.56135908527301</v>
      </c>
      <c r="AF22" s="3125">
        <f>+SINTER!AC74</f>
        <v>860</v>
      </c>
      <c r="AG22" s="3125">
        <f>+SINTER!AD74</f>
        <v>822.19050288082394</v>
      </c>
      <c r="AH22" s="3125">
        <f>+SINTER!AE74</f>
        <v>859.99969741938685</v>
      </c>
      <c r="AI22" s="3125">
        <f>+SINTER!AF74</f>
        <v>827.55634190919159</v>
      </c>
      <c r="AJ22" s="3125">
        <f>+SINTER!AG74</f>
        <v>859.99999999999989</v>
      </c>
      <c r="AK22" s="3125">
        <f>+SINTER!AH74</f>
        <v>806.89398988665846</v>
      </c>
      <c r="AL22" s="4042">
        <f>+SINTER!AI74</f>
        <v>859.99973809757319</v>
      </c>
      <c r="AM22" s="4042">
        <f>+SINTER!AJ74</f>
        <v>824.82216248769578</v>
      </c>
      <c r="AN22" s="3125">
        <f>+SINTER!AK74</f>
        <v>860</v>
      </c>
      <c r="AO22" s="3125">
        <f>+SINTER!AL74</f>
        <v>814.71530453285709</v>
      </c>
      <c r="AP22" s="3133">
        <f>+SINTER!AM74</f>
        <v>860</v>
      </c>
      <c r="AQ22" s="3133">
        <f>+SINTER!AN74</f>
        <v>814.68675418285147</v>
      </c>
      <c r="AR22" s="3139">
        <f>+SINTER!AO74</f>
        <v>859.99977005826099</v>
      </c>
      <c r="AS22" s="3139">
        <f>+SINTER!AP74</f>
        <v>823.55405677125248</v>
      </c>
      <c r="AT22" s="3125">
        <f>+SINTER!AQ74</f>
        <v>860</v>
      </c>
      <c r="AU22" s="3125">
        <f>+SINTER!AR74</f>
        <v>804.77790694289399</v>
      </c>
      <c r="AV22" s="3139">
        <f>+SINTER!AS74</f>
        <v>859.99979506683064</v>
      </c>
      <c r="AW22" s="3139">
        <f>+SINTER!AT74</f>
        <v>821.44056202010393</v>
      </c>
      <c r="AX22" s="3125">
        <f>+SINTER!AU74</f>
        <v>859.99999999999989</v>
      </c>
      <c r="AY22" s="3125">
        <f>+SINTER!AV74</f>
        <v>794.91177731397363</v>
      </c>
      <c r="AZ22" s="3139">
        <f>+SINTER!AW74</f>
        <v>859.99981308163251</v>
      </c>
      <c r="BA22" s="3139">
        <f>+SINTER!AX74</f>
        <v>818.96607276850307</v>
      </c>
      <c r="BB22" s="3125">
        <f>+SINTER!AY74</f>
        <v>860</v>
      </c>
      <c r="BC22" s="3125">
        <f>+SINTER!AZ74</f>
        <v>771.30406461932023</v>
      </c>
      <c r="BD22" s="3133">
        <f>+SINTER!BA74</f>
        <v>860</v>
      </c>
      <c r="BE22" s="3133">
        <f>+SINTER!BB74</f>
        <v>789.99637809925366</v>
      </c>
      <c r="BF22" s="3708">
        <f>+SINTER!BC74</f>
        <v>859.99999999999989</v>
      </c>
      <c r="BG22" s="3708">
        <f>+SINTER!BD74</f>
        <v>802.12896940821804</v>
      </c>
      <c r="BH22" s="3139">
        <f>+SINTER!BE74</f>
        <v>859.99982995050686</v>
      </c>
      <c r="BI22" s="3139">
        <f>+SINTER!BF74</f>
        <v>814.42781966608788</v>
      </c>
    </row>
    <row r="23" spans="3:61" x14ac:dyDescent="0.25">
      <c r="C23" s="4915"/>
      <c r="D23" s="758" t="s">
        <v>956</v>
      </c>
      <c r="E23" s="1778" t="s">
        <v>248</v>
      </c>
      <c r="F23" s="3118">
        <v>74.206443340367215</v>
      </c>
      <c r="G23" s="3118">
        <v>60</v>
      </c>
      <c r="H23" s="3125">
        <f>+SINTER!E75</f>
        <v>60.000654139887814</v>
      </c>
      <c r="I23" s="3125">
        <f>+SINTER!F75</f>
        <v>63.910282144006317</v>
      </c>
      <c r="J23" s="3125">
        <f>+SINTER!G75</f>
        <v>60.000013130298463</v>
      </c>
      <c r="K23" s="3125">
        <f>+SINTER!H75</f>
        <v>80.138950574278255</v>
      </c>
      <c r="L23" s="3125">
        <f>+SINTER!I75</f>
        <v>60.000330258954449</v>
      </c>
      <c r="M23" s="3125">
        <f>+SINTER!J75</f>
        <v>71.552879756018299</v>
      </c>
      <c r="N23" s="3125">
        <f>+SINTER!K75</f>
        <v>59.999532296445807</v>
      </c>
      <c r="O23" s="3125">
        <f>+SINTER!L75</f>
        <v>70.97999242351716</v>
      </c>
      <c r="P23" s="3133">
        <f>+SINTER!M75</f>
        <v>59.999992326977299</v>
      </c>
      <c r="Q23" s="3133">
        <f>+SINTER!N75</f>
        <v>71.311631621266883</v>
      </c>
      <c r="R23" s="3125">
        <f>+SINTER!O75</f>
        <v>60</v>
      </c>
      <c r="S23" s="3125">
        <f>+SINTER!P75</f>
        <v>83.475485199512605</v>
      </c>
      <c r="T23" s="3125">
        <f>+SINTER!Q75</f>
        <v>59.999994663541685</v>
      </c>
      <c r="U23" s="3125">
        <f>+SINTER!R75</f>
        <v>74.914957374635691</v>
      </c>
      <c r="V23" s="3125">
        <f>+SINTER!S75</f>
        <v>60</v>
      </c>
      <c r="W23" s="3125">
        <f>+SINTER!T75</f>
        <v>76.081713074692942</v>
      </c>
      <c r="X23" s="3125">
        <f>+SINTER!U75</f>
        <v>59.999995909245243</v>
      </c>
      <c r="Y23" s="3125">
        <f>+SINTER!V75</f>
        <v>75.179576448858285</v>
      </c>
      <c r="Z23" s="3125">
        <f>+SINTER!W75</f>
        <v>60</v>
      </c>
      <c r="AA23" s="3125">
        <f>+SINTER!X75</f>
        <v>72.608043216112037</v>
      </c>
      <c r="AB23" s="3133">
        <f>+SINTER!Y75</f>
        <v>59.999999999999986</v>
      </c>
      <c r="AC23" s="3133">
        <f>+SINTER!Z75</f>
        <v>77.50785330698244</v>
      </c>
      <c r="AD23" s="3708">
        <f>+SINTER!AA75</f>
        <v>59.999996666161465</v>
      </c>
      <c r="AE23" s="3708">
        <f>+SINTER!AB75</f>
        <v>74.728106128155815</v>
      </c>
      <c r="AF23" s="3125">
        <f>+SINTER!AC75</f>
        <v>60</v>
      </c>
      <c r="AG23" s="3125">
        <f>+SINTER!AD75</f>
        <v>97.053863989699835</v>
      </c>
      <c r="AH23" s="3125">
        <f>+SINTER!AE75</f>
        <v>59.999997201519633</v>
      </c>
      <c r="AI23" s="3125">
        <f>+SINTER!AF75</f>
        <v>78.250045628880756</v>
      </c>
      <c r="AJ23" s="3125">
        <f>+SINTER!AG75</f>
        <v>60</v>
      </c>
      <c r="AK23" s="3125">
        <f>+SINTER!AH75</f>
        <v>83.317011603290638</v>
      </c>
      <c r="AL23" s="4042">
        <f>+SINTER!AI75</f>
        <v>59.999997577740388</v>
      </c>
      <c r="AM23" s="4042">
        <f>+SINTER!AJ75</f>
        <v>78.920540163169136</v>
      </c>
      <c r="AN23" s="3125">
        <f>+SINTER!AK75</f>
        <v>60</v>
      </c>
      <c r="AO23" s="3125">
        <f>+SINTER!AL75</f>
        <v>99.810875148745168</v>
      </c>
      <c r="AP23" s="3133">
        <f>+SINTER!AM75</f>
        <v>60</v>
      </c>
      <c r="AQ23" s="3133">
        <f>+SINTER!AN75</f>
        <v>93.607570540412127</v>
      </c>
      <c r="AR23" s="3139">
        <f>+SINTER!AO75</f>
        <v>59.999997873335531</v>
      </c>
      <c r="AS23" s="3139">
        <f>+SINTER!AP75</f>
        <v>81.541646874275557</v>
      </c>
      <c r="AT23" s="3125">
        <f>+SINTER!AQ75</f>
        <v>60</v>
      </c>
      <c r="AU23" s="3125">
        <f>+SINTER!AR75</f>
        <v>74.423818373975109</v>
      </c>
      <c r="AV23" s="3139">
        <f>+SINTER!AS75</f>
        <v>59.999998104632546</v>
      </c>
      <c r="AW23" s="3139">
        <f>+SINTER!AT75</f>
        <v>80.740444640991285</v>
      </c>
      <c r="AX23" s="3125">
        <f>+SINTER!AU75</f>
        <v>60</v>
      </c>
      <c r="AY23" s="3125">
        <f>+SINTER!AV75</f>
        <v>85.29217583318561</v>
      </c>
      <c r="AZ23" s="3139">
        <f>+SINTER!AW75</f>
        <v>59.999998271246227</v>
      </c>
      <c r="BA23" s="3139">
        <f>+SINTER!AX75</f>
        <v>81.165010260412913</v>
      </c>
      <c r="BB23" s="3125">
        <f>+SINTER!AY75</f>
        <v>60</v>
      </c>
      <c r="BC23" s="3125">
        <f>+SINTER!AZ75</f>
        <v>99.826544257151568</v>
      </c>
      <c r="BD23" s="3133">
        <f>+SINTER!BA75</f>
        <v>60</v>
      </c>
      <c r="BE23" s="3133">
        <f>+SINTER!BB75</f>
        <v>86.690503779918089</v>
      </c>
      <c r="BF23" s="3708">
        <f>+SINTER!BC75</f>
        <v>60</v>
      </c>
      <c r="BG23" s="3708">
        <f>+SINTER!BD75</f>
        <v>90.089477686907159</v>
      </c>
      <c r="BH23" s="3139">
        <f>+SINTER!BE75</f>
        <v>59.999998427261545</v>
      </c>
      <c r="BI23" s="3139">
        <f>+SINTER!BF75</f>
        <v>82.941913245520922</v>
      </c>
    </row>
    <row r="24" spans="3:61" x14ac:dyDescent="0.25">
      <c r="C24" s="4915"/>
      <c r="D24" s="758" t="s">
        <v>955</v>
      </c>
      <c r="E24" s="1778" t="s">
        <v>248</v>
      </c>
      <c r="F24" s="3118">
        <v>108.45699099371635</v>
      </c>
      <c r="G24" s="3118">
        <v>111</v>
      </c>
      <c r="H24" s="3125">
        <f>+SINTER!E76</f>
        <v>105.99919867863743</v>
      </c>
      <c r="I24" s="3125">
        <f>+SINTER!F76</f>
        <v>151.07654731834671</v>
      </c>
      <c r="J24" s="3125">
        <f>+SINTER!G76</f>
        <v>106.00001714144452</v>
      </c>
      <c r="K24" s="3125">
        <f>+SINTER!H76</f>
        <v>134.19669561609624</v>
      </c>
      <c r="L24" s="3125">
        <f>+SINTER!I76</f>
        <v>105.99961222080945</v>
      </c>
      <c r="M24" s="3125">
        <f>+SINTER!J76</f>
        <v>143.1272867326725</v>
      </c>
      <c r="N24" s="3125">
        <f>+SINTER!K76</f>
        <v>105.99971392344798</v>
      </c>
      <c r="O24" s="3125">
        <f>+SINTER!L76</f>
        <v>142.62395078610331</v>
      </c>
      <c r="P24" s="3133">
        <f>+SINTER!M76</f>
        <v>105.9996552912211</v>
      </c>
      <c r="Q24" s="3133">
        <f>+SINTER!N76</f>
        <v>142.91532732743832</v>
      </c>
      <c r="R24" s="3125">
        <f>+SINTER!O76</f>
        <v>106</v>
      </c>
      <c r="S24" s="3125">
        <f>+SINTER!P76</f>
        <v>138.38682476201626</v>
      </c>
      <c r="T24" s="3125">
        <f>+SINTER!Q76</f>
        <v>105.46899180044998</v>
      </c>
      <c r="U24" s="3125">
        <f>+SINTER!R76</f>
        <v>141.57383880875332</v>
      </c>
      <c r="V24" s="3125">
        <f>+SINTER!S76</f>
        <v>106</v>
      </c>
      <c r="W24" s="3125">
        <f>+SINTER!T76</f>
        <v>125.68702752185116</v>
      </c>
      <c r="X24" s="3125">
        <f>+SINTER!U76</f>
        <v>105.1860766720733</v>
      </c>
      <c r="Y24" s="3125">
        <f>+SINTER!V76</f>
        <v>137.97072523932067</v>
      </c>
      <c r="Z24" s="3125">
        <f>+SINTER!W76</f>
        <v>106</v>
      </c>
      <c r="AA24" s="3125">
        <f>+SINTER!X76</f>
        <v>121.95165738167937</v>
      </c>
      <c r="AB24" s="3133">
        <f>+SINTER!Y76</f>
        <v>104.28701753077185</v>
      </c>
      <c r="AC24" s="3133">
        <f>+SINTER!Z76</f>
        <v>128.84702599827241</v>
      </c>
      <c r="AD24" s="3708">
        <f>+SINTER!AA76</f>
        <v>105.03113859288771</v>
      </c>
      <c r="AE24" s="3708">
        <f>+SINTER!AB76</f>
        <v>135.15834326776027</v>
      </c>
      <c r="AF24" s="3125">
        <f>+SINTER!AC76</f>
        <v>106</v>
      </c>
      <c r="AG24" s="3125">
        <f>+SINTER!AD76</f>
        <v>120.36835995815562</v>
      </c>
      <c r="AH24" s="3125">
        <f>+SINTER!AE76</f>
        <v>104.90392161463858</v>
      </c>
      <c r="AI24" s="3125">
        <f>+SINTER!AF76</f>
        <v>132.82518948385746</v>
      </c>
      <c r="AJ24" s="3125">
        <f>+SINTER!AG76</f>
        <v>106</v>
      </c>
      <c r="AK24" s="3125">
        <f>+SINTER!AH76</f>
        <v>122.26704868554306</v>
      </c>
      <c r="AL24" s="4042">
        <f>+SINTER!AI76</f>
        <v>104.82928082653166</v>
      </c>
      <c r="AM24" s="4042">
        <f>+SINTER!AJ76</f>
        <v>131.42806628759578</v>
      </c>
      <c r="AN24" s="3125">
        <f>+SINTER!AK76</f>
        <v>106</v>
      </c>
      <c r="AO24" s="3125">
        <f>+SINTER!AL76</f>
        <v>115.53332516653062</v>
      </c>
      <c r="AP24" s="3133">
        <f>+SINTER!AM76</f>
        <v>101</v>
      </c>
      <c r="AQ24" s="3133">
        <f>+SINTER!AN76</f>
        <v>119.29623162579159</v>
      </c>
      <c r="AR24" s="3139">
        <f>+SINTER!AO76</f>
        <v>100.99990446008754</v>
      </c>
      <c r="AS24" s="3139">
        <f>+SINTER!AP76</f>
        <v>129.43375587311513</v>
      </c>
      <c r="AT24" s="3125">
        <f>+SINTER!AQ76</f>
        <v>106</v>
      </c>
      <c r="AU24" s="3125">
        <f>+SINTER!AR76</f>
        <v>110.78940514432824</v>
      </c>
      <c r="AV24" s="3139">
        <f>+SINTER!AS76</f>
        <v>104.7008649304951</v>
      </c>
      <c r="AW24" s="3139">
        <f>+SINTER!AT76</f>
        <v>127.33509678890023</v>
      </c>
      <c r="AX24" s="3125">
        <f>+SINTER!AU76</f>
        <v>105.99999999999999</v>
      </c>
      <c r="AY24" s="3125">
        <f>+SINTER!AV76</f>
        <v>119.58394898123117</v>
      </c>
      <c r="AZ24" s="3139">
        <f>+SINTER!AW76</f>
        <v>104.69683782064811</v>
      </c>
      <c r="BA24" s="3139">
        <f>+SINTER!AX76</f>
        <v>126.61210355155022</v>
      </c>
      <c r="BB24" s="3125">
        <f>+SINTER!AY76</f>
        <v>106</v>
      </c>
      <c r="BC24" s="3125">
        <f>+SINTER!AZ76</f>
        <v>118.60196467676838</v>
      </c>
      <c r="BD24" s="3133">
        <f>+SINTER!BA76</f>
        <v>101</v>
      </c>
      <c r="BE24" s="3133">
        <f>+SINTER!BB76</f>
        <v>116.25387683097169</v>
      </c>
      <c r="BF24" s="3708">
        <f>+SINTER!BC76</f>
        <v>100.99999999999999</v>
      </c>
      <c r="BG24" s="3708">
        <f>+SINTER!BD76</f>
        <v>117.74885800166916</v>
      </c>
      <c r="BH24" s="3139">
        <f>+SINTER!BE76</f>
        <v>100.9999293450865</v>
      </c>
      <c r="BI24" s="3139">
        <f>+SINTER!BF76</f>
        <v>125.84939885212856</v>
      </c>
    </row>
    <row r="25" spans="3:61" x14ac:dyDescent="0.25">
      <c r="C25" s="4915"/>
      <c r="D25" s="758" t="s">
        <v>28</v>
      </c>
      <c r="E25" s="1778" t="s">
        <v>248</v>
      </c>
      <c r="F25" s="3119">
        <v>68.617086784493068</v>
      </c>
      <c r="G25" s="3117">
        <v>65</v>
      </c>
      <c r="H25" s="3125">
        <f>+SINTER!E84</f>
        <v>65.000654139887814</v>
      </c>
      <c r="I25" s="3125">
        <f>+SINTER!F84</f>
        <v>65.312659626747788</v>
      </c>
      <c r="J25" s="3125">
        <f>+SINTER!G84</f>
        <v>65.000000018057392</v>
      </c>
      <c r="K25" s="3125">
        <f>+SINTER!H84</f>
        <v>70.384115245896254</v>
      </c>
      <c r="L25" s="3125">
        <f>+SINTER!I84</f>
        <v>65.00032363377295</v>
      </c>
      <c r="M25" s="3125">
        <f>+SINTER!J84</f>
        <v>67.700969842762191</v>
      </c>
      <c r="N25" s="3125">
        <f>+SINTER!K84</f>
        <v>64.999532296445807</v>
      </c>
      <c r="O25" s="3125">
        <f>+SINTER!L84</f>
        <v>70.740734857671683</v>
      </c>
      <c r="P25" s="3133">
        <f>+SINTER!M84</f>
        <v>64.999988507517429</v>
      </c>
      <c r="Q25" s="3133">
        <f>+SINTER!N84</f>
        <v>68.981042901329957</v>
      </c>
      <c r="R25" s="3125">
        <f>+SINTER!O84</f>
        <v>65</v>
      </c>
      <c r="S25" s="3125">
        <f>+SINTER!P84</f>
        <v>69.694853226947913</v>
      </c>
      <c r="T25" s="3125">
        <f>+SINTER!Q84</f>
        <v>64.999992007171528</v>
      </c>
      <c r="U25" s="3125">
        <f>+SINTER!R84</f>
        <v>69.192496542462223</v>
      </c>
      <c r="V25" s="3125">
        <f>+SINTER!S84</f>
        <v>65</v>
      </c>
      <c r="W25" s="3125">
        <f>+SINTER!T84</f>
        <v>71.298046322045693</v>
      </c>
      <c r="X25" s="3125">
        <f>+SINTER!U84</f>
        <v>64.999993872958612</v>
      </c>
      <c r="Y25" s="3125">
        <f>+SINTER!V84</f>
        <v>69.670033213914209</v>
      </c>
      <c r="Z25" s="3125">
        <f>+SINTER!W84</f>
        <v>65</v>
      </c>
      <c r="AA25" s="3125">
        <f>+SINTER!X84</f>
        <v>70.731293369923861</v>
      </c>
      <c r="AB25" s="3133">
        <f>+SINTER!Y84</f>
        <v>65</v>
      </c>
      <c r="AC25" s="3133">
        <f>+SINTER!Z84</f>
        <v>70.568531776881187</v>
      </c>
      <c r="AD25" s="3708">
        <f>+SINTER!AA84</f>
        <v>64.999995006650835</v>
      </c>
      <c r="AE25" s="3708">
        <f>+SINTER!AB84</f>
        <v>69.856352977112735</v>
      </c>
      <c r="AF25" s="3125">
        <f>+SINTER!AC84</f>
        <v>65</v>
      </c>
      <c r="AG25" s="3125">
        <f>+SINTER!AD84</f>
        <v>71.991886408626371</v>
      </c>
      <c r="AH25" s="3125">
        <f>+SINTER!AE84</f>
        <v>64.999995808498426</v>
      </c>
      <c r="AI25" s="3125">
        <f>+SINTER!AF84</f>
        <v>70.193238273200336</v>
      </c>
      <c r="AJ25" s="3125">
        <f>+SINTER!AG84</f>
        <v>65</v>
      </c>
      <c r="AK25" s="3125">
        <f>+SINTER!AH84</f>
        <v>71.472613517750375</v>
      </c>
      <c r="AL25" s="4042">
        <f>+SINTER!AI84</f>
        <v>64.99999637199349</v>
      </c>
      <c r="AM25" s="4042">
        <f>+SINTER!AJ84</f>
        <v>70.362533688466002</v>
      </c>
      <c r="AN25" s="3125">
        <f>+SINTER!AK84</f>
        <v>65</v>
      </c>
      <c r="AO25" s="3125">
        <f>+SINTER!AL84</f>
        <v>70.278077831148323</v>
      </c>
      <c r="AP25" s="3133">
        <f>+SINTER!AM84</f>
        <v>65</v>
      </c>
      <c r="AQ25" s="3133">
        <f>+SINTER!AN84</f>
        <v>71.22955404477247</v>
      </c>
      <c r="AR25" s="3139">
        <f>+SINTER!AO84</f>
        <v>64.9999968147293</v>
      </c>
      <c r="AS25" s="3139">
        <f>+SINTER!AP84</f>
        <v>70.351937026681469</v>
      </c>
      <c r="AT25" s="3125">
        <f>+SINTER!AQ84</f>
        <v>65</v>
      </c>
      <c r="AU25" s="3125">
        <f>+SINTER!AR84</f>
        <v>69.715798801124961</v>
      </c>
      <c r="AV25" s="3139">
        <f>+SINTER!AS84</f>
        <v>64.999997161160806</v>
      </c>
      <c r="AW25" s="3139">
        <f>+SINTER!AT84</f>
        <v>70.280331569065851</v>
      </c>
      <c r="AX25" s="3125">
        <f>+SINTER!AU84</f>
        <v>65</v>
      </c>
      <c r="AY25" s="3125">
        <f>+SINTER!AV84</f>
        <v>69.697430699898078</v>
      </c>
      <c r="AZ25" s="3139">
        <f>+SINTER!AW84</f>
        <v>64.999997410711075</v>
      </c>
      <c r="BA25" s="3139">
        <f>+SINTER!AX84</f>
        <v>70.225961120080655</v>
      </c>
      <c r="BB25" s="3125">
        <f>+SINTER!AY84</f>
        <v>65</v>
      </c>
      <c r="BC25" s="3125">
        <f>+SINTER!AZ84</f>
        <v>66.468057241900794</v>
      </c>
      <c r="BD25" s="3133">
        <f>+SINTER!BA84</f>
        <v>65</v>
      </c>
      <c r="BE25" s="3133">
        <f>+SINTER!BB84</f>
        <v>68.573000494247395</v>
      </c>
      <c r="BF25" s="3708">
        <f>+SINTER!BC84</f>
        <v>65</v>
      </c>
      <c r="BG25" s="3708">
        <f>+SINTER!BD84</f>
        <v>69.87840298831108</v>
      </c>
      <c r="BH25" s="3139">
        <f>+SINTER!BE84</f>
        <v>64.999997644387349</v>
      </c>
      <c r="BI25" s="3139">
        <f>+SINTER!BF84</f>
        <v>69.868143235438708</v>
      </c>
    </row>
    <row r="26" spans="3:61" x14ac:dyDescent="0.25">
      <c r="C26" s="4915"/>
      <c r="D26" s="758" t="s">
        <v>1549</v>
      </c>
      <c r="E26" s="1778" t="s">
        <v>258</v>
      </c>
      <c r="F26" s="3119">
        <v>31.761794831739348</v>
      </c>
      <c r="G26" s="3118">
        <v>31</v>
      </c>
      <c r="H26" s="3123">
        <f>+SINTER!E70</f>
        <v>31.029939075351322</v>
      </c>
      <c r="I26" s="3123">
        <f>+SINTER!F70</f>
        <v>32.070365061721205</v>
      </c>
      <c r="J26" s="3123">
        <f>+SINTER!G70</f>
        <v>31.03000001400811</v>
      </c>
      <c r="K26" s="3123">
        <f>+SINTER!H70</f>
        <v>36.724929755664732</v>
      </c>
      <c r="L26" s="3123">
        <f>+SINTER!I70</f>
        <v>31.029969865638027</v>
      </c>
      <c r="M26" s="3123">
        <f>+SINTER!J70</f>
        <v>34.26234804342613</v>
      </c>
      <c r="N26" s="3123">
        <f>+SINTER!K70</f>
        <v>31.029999999999998</v>
      </c>
      <c r="O26" s="3123">
        <f>+SINTER!L70</f>
        <v>30.644572802314691</v>
      </c>
      <c r="P26" s="3131">
        <f>+SINTER!M70</f>
        <v>31.029982627346012</v>
      </c>
      <c r="Q26" s="3131">
        <f>+SINTER!N70</f>
        <v>32.73886955236317</v>
      </c>
      <c r="R26" s="3123">
        <f>+SINTER!O70</f>
        <v>31.030000000000005</v>
      </c>
      <c r="S26" s="3123">
        <f>+SINTER!P70</f>
        <v>29.658043025972013</v>
      </c>
      <c r="T26" s="3123">
        <f>+SINTER!Q70</f>
        <v>31.029987917611123</v>
      </c>
      <c r="U26" s="3123">
        <f>+SINTER!R70</f>
        <v>31.826229368658488</v>
      </c>
      <c r="V26" s="3123">
        <f>+SINTER!S70</f>
        <v>31.030000000000005</v>
      </c>
      <c r="W26" s="3123">
        <f>+SINTER!T70</f>
        <v>31.067905861995786</v>
      </c>
      <c r="X26" s="3123">
        <f>+SINTER!U70</f>
        <v>31.029990738035092</v>
      </c>
      <c r="Y26" s="3123">
        <f>+SINTER!V70</f>
        <v>31.654242324340238</v>
      </c>
      <c r="Z26" s="3123">
        <f>+SINTER!W70</f>
        <v>31.03</v>
      </c>
      <c r="AA26" s="3123">
        <f>+SINTER!X70</f>
        <v>32.113331406512501</v>
      </c>
      <c r="AB26" s="3131">
        <f>+SINTER!Y70</f>
        <v>31.03</v>
      </c>
      <c r="AC26" s="3131">
        <f>+SINTER!Z70</f>
        <v>30.917935008419178</v>
      </c>
      <c r="AD26" s="3707">
        <f>+SINTER!AA70</f>
        <v>31.02999245178518</v>
      </c>
      <c r="AE26" s="3707">
        <f>+SINTER!AB70</f>
        <v>31.734842136358989</v>
      </c>
      <c r="AF26" s="3123">
        <f>+SINTER!AC70</f>
        <v>31.029999999999998</v>
      </c>
      <c r="AG26" s="3123">
        <f>+SINTER!AD70</f>
        <v>31.849306617311747</v>
      </c>
      <c r="AH26" s="3123">
        <f>+SINTER!AE70</f>
        <v>31.029993663901042</v>
      </c>
      <c r="AI26" s="3123">
        <f>+SINTER!AF70</f>
        <v>31.752899170722507</v>
      </c>
      <c r="AJ26" s="3123">
        <f>+SINTER!AG70</f>
        <v>31.03</v>
      </c>
      <c r="AK26" s="3123">
        <f>+SINTER!AH70</f>
        <v>30.60011375775143</v>
      </c>
      <c r="AL26" s="4040">
        <f>+SINTER!AI70</f>
        <v>31.029994515710452</v>
      </c>
      <c r="AM26" s="4040">
        <f>+SINTER!AJ70</f>
        <v>31.600354961326179</v>
      </c>
      <c r="AN26" s="3123">
        <f>+SINTER!AK70</f>
        <v>31.029999999999998</v>
      </c>
      <c r="AO26" s="3123">
        <f>+SINTER!AL70</f>
        <v>30.159224503479063</v>
      </c>
      <c r="AP26" s="3131">
        <f>+SINTER!AM70</f>
        <v>31.029999999999998</v>
      </c>
      <c r="AQ26" s="3131">
        <f>+SINTER!AN70</f>
        <v>30.861170077420329</v>
      </c>
      <c r="AR26" s="3137">
        <f>+SINTER!AO70</f>
        <v>31.029995184973693</v>
      </c>
      <c r="AS26" s="3137">
        <f>+SINTER!AP70</f>
        <v>31.419536572475494</v>
      </c>
      <c r="AT26" s="3123">
        <f>+SINTER!AQ70</f>
        <v>31.029999999999998</v>
      </c>
      <c r="AU26" s="3123">
        <f>+SINTER!AR70</f>
        <v>33.2804015826366</v>
      </c>
      <c r="AV26" s="3137">
        <f>+SINTER!AS70</f>
        <v>31.029995708658177</v>
      </c>
      <c r="AW26" s="3137">
        <f>+SINTER!AT70</f>
        <v>31.629000624878373</v>
      </c>
      <c r="AX26" s="3123">
        <f>+SINTER!AU70</f>
        <v>31.03</v>
      </c>
      <c r="AY26" s="3123">
        <f>+SINTER!AV70</f>
        <v>30.31269389292671</v>
      </c>
      <c r="AZ26" s="3137">
        <f>+SINTER!AW70</f>
        <v>31.029996085891757</v>
      </c>
      <c r="BA26" s="3137">
        <f>+SINTER!AX70</f>
        <v>31.506221277987613</v>
      </c>
      <c r="BB26" s="3123">
        <f>+SINTER!AY70</f>
        <v>31.029999999999998</v>
      </c>
      <c r="BC26" s="3123">
        <f>+SINTER!AZ70</f>
        <v>29.673945065844421</v>
      </c>
      <c r="BD26" s="3131">
        <f>+SINTER!BA70</f>
        <v>31.03</v>
      </c>
      <c r="BE26" s="3131">
        <f>+SINTER!BB70</f>
        <v>31.096765043386327</v>
      </c>
      <c r="BF26" s="3707">
        <f>+SINTER!BC70</f>
        <v>31.029999999999994</v>
      </c>
      <c r="BG26" s="3707">
        <f>+SINTER!BD70</f>
        <v>30.980996153239136</v>
      </c>
      <c r="BH26" s="3137">
        <f>+SINTER!BE70</f>
        <v>31.029996439129381</v>
      </c>
      <c r="BI26" s="3137">
        <f>+SINTER!BF70</f>
        <v>31.331756677624714</v>
      </c>
    </row>
    <row r="27" spans="3:61" x14ac:dyDescent="0.25">
      <c r="C27" s="4915" t="s">
        <v>1562</v>
      </c>
      <c r="D27" s="758" t="s">
        <v>394</v>
      </c>
      <c r="E27" s="1778" t="s">
        <v>405</v>
      </c>
      <c r="F27" s="3118">
        <v>423.66</v>
      </c>
      <c r="G27" s="3118">
        <v>377.88521380903757</v>
      </c>
      <c r="H27" s="3125">
        <f>+'Maj Techno Summ'!E10</f>
        <v>410</v>
      </c>
      <c r="I27" s="3125">
        <f>+'Maj Techno Summ'!F10</f>
        <v>395.28297591403725</v>
      </c>
      <c r="J27" s="3125">
        <f>+'Maj Techno Summ'!G10</f>
        <v>440</v>
      </c>
      <c r="K27" s="3125">
        <f>+'Maj Techno Summ'!H10</f>
        <v>422.4828205430544</v>
      </c>
      <c r="L27" s="3125">
        <f>+'Maj Techno Summ'!I10</f>
        <v>427.03389830508473</v>
      </c>
      <c r="M27" s="3125">
        <f>+'Maj Techno Summ'!J10</f>
        <v>408.47809187477964</v>
      </c>
      <c r="N27" s="3125">
        <f>+'Maj Techno Summ'!K10</f>
        <v>380</v>
      </c>
      <c r="O27" s="3125">
        <f>+'Maj Techno Summ'!L10</f>
        <v>404.78986358166981</v>
      </c>
      <c r="P27" s="3133">
        <f>+'Maj Techno Summ'!M10</f>
        <v>403.43636183209009</v>
      </c>
      <c r="Q27" s="3133">
        <f>+'Maj Techno Summ'!N10</f>
        <v>406.66182077613894</v>
      </c>
      <c r="R27" s="3125">
        <f>+'Maj Techno Summ'!O10</f>
        <v>385</v>
      </c>
      <c r="S27" s="3125">
        <f>+'Maj Techno Summ'!P10</f>
        <v>424.5462083295871</v>
      </c>
      <c r="T27" s="3125">
        <f>+'Maj Techno Summ'!Q10</f>
        <v>397.13941183135563</v>
      </c>
      <c r="U27" s="3125">
        <f>+'Maj Techno Summ'!R10</f>
        <v>412.43288988147719</v>
      </c>
      <c r="V27" s="3125">
        <f>+'Maj Techno Summ'!S10</f>
        <v>385</v>
      </c>
      <c r="W27" s="3125">
        <f>+'Maj Techno Summ'!T10</f>
        <v>387.96940573733264</v>
      </c>
      <c r="X27" s="3125">
        <f>+'Maj Techno Summ'!U10</f>
        <v>394.04879178592677</v>
      </c>
      <c r="Y27" s="3125">
        <f>+'Maj Techno Summ'!V10</f>
        <v>406.02529810517012</v>
      </c>
      <c r="Z27" s="3125">
        <f>+'Maj Techno Summ'!W10</f>
        <v>380</v>
      </c>
      <c r="AA27" s="3125">
        <f>+'Maj Techno Summ'!X10</f>
        <v>383.96826514564702</v>
      </c>
      <c r="AB27" s="3133">
        <f>+'Maj Techno Summ'!Y10</f>
        <v>383.36403968205065</v>
      </c>
      <c r="AC27" s="3133">
        <f>+'Maj Techno Summ'!Z10</f>
        <v>398.18500163406691</v>
      </c>
      <c r="AD27" s="3708">
        <f>+'Maj Techno Summ'!AA10</f>
        <v>391.26045328292059</v>
      </c>
      <c r="AE27" s="3708">
        <f>+'Maj Techno Summ'!AB10</f>
        <v>401.56587803656691</v>
      </c>
      <c r="AF27" s="3125">
        <f>+'Maj Techno Summ'!AC10</f>
        <v>375</v>
      </c>
      <c r="AG27" s="3125">
        <f>+'Maj Techno Summ'!AD10</f>
        <v>389.85265546825303</v>
      </c>
      <c r="AH27" s="3125">
        <f>+'Maj Techno Summ'!AE10</f>
        <v>388.49187582444392</v>
      </c>
      <c r="AI27" s="3125">
        <f>+'Maj Techno Summ'!AF10</f>
        <v>399.44725077270562</v>
      </c>
      <c r="AJ27" s="3125">
        <f>+'Maj Techno Summ'!AG10</f>
        <v>375</v>
      </c>
      <c r="AK27" s="3125">
        <f>+'Maj Techno Summ'!AH10</f>
        <v>401.55734497799716</v>
      </c>
      <c r="AL27" s="4042">
        <f>+'Maj Techno Summ'!AI10</f>
        <v>386.58417104160651</v>
      </c>
      <c r="AM27" s="4042">
        <f>+'Maj Techno Summ'!AJ10</f>
        <v>399.7397813107346</v>
      </c>
      <c r="AN27" s="3125">
        <f>+'Maj Techno Summ'!AK10</f>
        <v>370</v>
      </c>
      <c r="AO27" s="3125">
        <f>+'Maj Techno Summ'!AL10</f>
        <v>394.73569946071746</v>
      </c>
      <c r="AP27" s="3133">
        <f>+'Maj Techno Summ'!AM10</f>
        <v>373.31491712707179</v>
      </c>
      <c r="AQ27" s="3133">
        <f>+'Maj Techno Summ'!AN10</f>
        <v>395.14789313663005</v>
      </c>
      <c r="AR27" s="3139">
        <f>+'Maj Techno Summ'!AO10</f>
        <v>384.4689588627233</v>
      </c>
      <c r="AS27" s="3139">
        <f>+'Maj Techno Summ'!AP10</f>
        <v>399.07113407720169</v>
      </c>
      <c r="AT27" s="3125">
        <f>+'Maj Techno Summ'!AQ10</f>
        <v>360</v>
      </c>
      <c r="AU27" s="3125">
        <f>+'Maj Techno Summ'!AR10</f>
        <v>390.96789470774132</v>
      </c>
      <c r="AV27" s="3139">
        <f>+'Maj Techno Summ'!AS10</f>
        <v>381.70111143263733</v>
      </c>
      <c r="AW27" s="3139">
        <f>+'Maj Techno Summ'!AT10</f>
        <v>398.09844414279337</v>
      </c>
      <c r="AX27" s="3125">
        <f>+'Maj Techno Summ'!AU10</f>
        <v>360</v>
      </c>
      <c r="AY27" s="3125">
        <f>+'Maj Techno Summ'!AV10</f>
        <v>391.80281930656571</v>
      </c>
      <c r="AZ27" s="3139">
        <f>+'Maj Techno Summ'!AW10</f>
        <v>379.72401251283122</v>
      </c>
      <c r="BA27" s="3139">
        <f>+'Maj Techno Summ'!AX10</f>
        <v>397.48822502665604</v>
      </c>
      <c r="BB27" s="3125">
        <f>+'Maj Techno Summ'!AY10</f>
        <v>360</v>
      </c>
      <c r="BC27" s="3125">
        <f>+'Maj Techno Summ'!AZ10</f>
        <v>389.66003671983492</v>
      </c>
      <c r="BD27" s="3133">
        <f>+'Maj Techno Summ'!BA10</f>
        <v>360.00000000000006</v>
      </c>
      <c r="BE27" s="3133">
        <f>+'Maj Techno Summ'!BB10</f>
        <v>390.76948266037635</v>
      </c>
      <c r="BF27" s="3708">
        <f>+'Maj Techno Summ'!BC10</f>
        <v>366.74965938959497</v>
      </c>
      <c r="BG27" s="3708">
        <f>+'Maj Techno Summ'!BD10</f>
        <v>392.93729362010811</v>
      </c>
      <c r="BH27" s="3139">
        <f>+'Maj Techno Summ'!BE10</f>
        <v>377.88521420805364</v>
      </c>
      <c r="BI27" s="3139">
        <f>+'Maj Techno Summ'!BF10</f>
        <v>396.71458967036409</v>
      </c>
    </row>
    <row r="28" spans="3:61" x14ac:dyDescent="0.25">
      <c r="C28" s="4915"/>
      <c r="D28" s="758" t="s">
        <v>395</v>
      </c>
      <c r="E28" s="1778" t="s">
        <v>405</v>
      </c>
      <c r="F28" s="3118">
        <v>41.21</v>
      </c>
      <c r="G28" s="3118">
        <v>23.751423862955011</v>
      </c>
      <c r="H28" s="3125">
        <f>+'Maj Techno Summ'!E11</f>
        <v>16</v>
      </c>
      <c r="I28" s="3125">
        <f>+'Maj Techno Summ'!F11</f>
        <v>46.651186085689574</v>
      </c>
      <c r="J28" s="3125">
        <f>+'Maj Techno Summ'!G11</f>
        <v>25</v>
      </c>
      <c r="K28" s="3125">
        <f>+'Maj Techno Summ'!H11</f>
        <v>33.665405067915636</v>
      </c>
      <c r="L28" s="3125">
        <f>+'Maj Techno Summ'!I11</f>
        <v>21.110169491525422</v>
      </c>
      <c r="M28" s="3125">
        <f>+'Maj Techno Summ'!J11</f>
        <v>40.351558690482435</v>
      </c>
      <c r="N28" s="3125">
        <f>+'Maj Techno Summ'!K11</f>
        <v>30</v>
      </c>
      <c r="O28" s="3125">
        <f>+'Maj Techno Summ'!L11</f>
        <v>44.970208324272605</v>
      </c>
      <c r="P28" s="3133">
        <f>+'Maj Techno Summ'!M11</f>
        <v>25.570316475340089</v>
      </c>
      <c r="Q28" s="3133">
        <f>+'Maj Techno Summ'!N11</f>
        <v>42.626016554241055</v>
      </c>
      <c r="R28" s="3125">
        <f>+'Maj Techno Summ'!O11</f>
        <v>30</v>
      </c>
      <c r="S28" s="3125">
        <f>+'Maj Techno Summ'!P11</f>
        <v>37.482143035534115</v>
      </c>
      <c r="T28" s="3125">
        <f>+'Maj Techno Summ'!Q11</f>
        <v>27.083277434118287</v>
      </c>
      <c r="U28" s="3125">
        <f>+'Maj Techno Summ'!R11</f>
        <v>40.966152639032295</v>
      </c>
      <c r="V28" s="3125">
        <f>+'Maj Techno Summ'!S11</f>
        <v>30</v>
      </c>
      <c r="W28" s="3125">
        <f>+'Maj Techno Summ'!T11</f>
        <v>41.140562832694442</v>
      </c>
      <c r="X28" s="3125">
        <f>+'Maj Techno Summ'!U11</f>
        <v>27.825857169800763</v>
      </c>
      <c r="Y28" s="3125">
        <f>+'Maj Techno Summ'!V11</f>
        <v>41.011834984033882</v>
      </c>
      <c r="Z28" s="3125">
        <f>+'Maj Techno Summ'!W11</f>
        <v>30</v>
      </c>
      <c r="AA28" s="3125">
        <f>+'Maj Techno Summ'!X11</f>
        <v>40.10515691383236</v>
      </c>
      <c r="AB28" s="3133">
        <f>+'Maj Techno Summ'!Y11</f>
        <v>30.000000000000004</v>
      </c>
      <c r="AC28" s="3133">
        <f>+'Maj Techno Summ'!Z11</f>
        <v>39.635989889309727</v>
      </c>
      <c r="AD28" s="3708">
        <f>+'Maj Techno Summ'!AA11</f>
        <v>28.257370872676766</v>
      </c>
      <c r="AE28" s="3708">
        <f>+'Maj Techno Summ'!AB11</f>
        <v>40.828525724377833</v>
      </c>
      <c r="AF28" s="3125">
        <f>+'Maj Techno Summ'!AC11</f>
        <v>20</v>
      </c>
      <c r="AG28" s="3125">
        <f>+'Maj Techno Summ'!AD11</f>
        <v>36.165603562402211</v>
      </c>
      <c r="AH28" s="3125">
        <f>+'Maj Techno Summ'!AE11</f>
        <v>26.851433998310103</v>
      </c>
      <c r="AI28" s="3125">
        <f>+'Maj Techno Summ'!AF11</f>
        <v>39.985120422036104</v>
      </c>
      <c r="AJ28" s="3125">
        <f>+'Maj Techno Summ'!AG11</f>
        <v>20</v>
      </c>
      <c r="AK28" s="3125">
        <f>+'Maj Techno Summ'!AH11</f>
        <v>38.740405470029323</v>
      </c>
      <c r="AL28" s="4042">
        <f>+'Maj Techno Summ'!AI11</f>
        <v>25.882664823590115</v>
      </c>
      <c r="AM28" s="4042">
        <f>+'Maj Techno Summ'!AJ11</f>
        <v>39.812560763945854</v>
      </c>
      <c r="AN28" s="3125">
        <f>+'Maj Techno Summ'!AK11</f>
        <v>20</v>
      </c>
      <c r="AO28" s="3125">
        <f>+'Maj Techno Summ'!AL11</f>
        <v>31.536303873976365</v>
      </c>
      <c r="AP28" s="3133">
        <f>+'Maj Techno Summ'!AM11</f>
        <v>20</v>
      </c>
      <c r="AQ28" s="3133">
        <f>+'Maj Techno Summ'!AN11</f>
        <v>35.369870906016175</v>
      </c>
      <c r="AR28" s="3139">
        <f>+'Maj Techno Summ'!AO11</f>
        <v>25.132365984538801</v>
      </c>
      <c r="AS28" s="3139">
        <f>+'Maj Techno Summ'!AP11</f>
        <v>38.706684313610126</v>
      </c>
      <c r="AT28" s="3125">
        <f>+'Maj Techno Summ'!AQ11</f>
        <v>20</v>
      </c>
      <c r="AU28" s="3125">
        <f>+'Maj Techno Summ'!AR11</f>
        <v>34.31724630715771</v>
      </c>
      <c r="AV28" s="3139">
        <f>+'Maj Techno Summ'!AS11</f>
        <v>24.551809775332551</v>
      </c>
      <c r="AW28" s="3139">
        <f>+'Maj Techno Summ'!AT11</f>
        <v>38.179788590564279</v>
      </c>
      <c r="AX28" s="3125">
        <f>+'Maj Techno Summ'!AU11</f>
        <v>20</v>
      </c>
      <c r="AY28" s="3125">
        <f>+'Maj Techno Summ'!AV11</f>
        <v>31.914392876339612</v>
      </c>
      <c r="AZ28" s="3139">
        <f>+'Maj Techno Summ'!AW11</f>
        <v>24.137113126365616</v>
      </c>
      <c r="BA28" s="3139">
        <f>+'Maj Techno Summ'!AX11</f>
        <v>37.572499507360902</v>
      </c>
      <c r="BB28" s="3125">
        <f>+'Maj Techno Summ'!AY11</f>
        <v>20</v>
      </c>
      <c r="BC28" s="3125">
        <f>+'Maj Techno Summ'!AZ11</f>
        <v>32.222435844343877</v>
      </c>
      <c r="BD28" s="3133">
        <f>+'Maj Techno Summ'!BA11</f>
        <v>20</v>
      </c>
      <c r="BE28" s="3133">
        <f>+'Maj Techno Summ'!BB11</f>
        <v>32.848556010814384</v>
      </c>
      <c r="BF28" s="3708">
        <f>+'Maj Techno Summ'!BC11</f>
        <v>20</v>
      </c>
      <c r="BG28" s="3708">
        <f>+'Maj Techno Summ'!BD11</f>
        <v>34.096893527910325</v>
      </c>
      <c r="BH28" s="3139">
        <f>+'Maj Techno Summ'!BE11</f>
        <v>23.75142504193121</v>
      </c>
      <c r="BI28" s="3139">
        <f>+'Maj Techno Summ'!BF11</f>
        <v>37.043769455668603</v>
      </c>
    </row>
    <row r="29" spans="3:61" x14ac:dyDescent="0.25">
      <c r="C29" s="4915"/>
      <c r="D29" s="758" t="s">
        <v>396</v>
      </c>
      <c r="E29" s="1778" t="s">
        <v>405</v>
      </c>
      <c r="F29" s="3118">
        <v>89.18</v>
      </c>
      <c r="G29" s="3118">
        <v>133.64291710861468</v>
      </c>
      <c r="H29" s="3125">
        <f>+'Maj Techno Summ'!E12</f>
        <v>108</v>
      </c>
      <c r="I29" s="3125">
        <f>+'Maj Techno Summ'!F12</f>
        <v>110.29458634977007</v>
      </c>
      <c r="J29" s="3125">
        <f>+'Maj Techno Summ'!G12</f>
        <v>75</v>
      </c>
      <c r="K29" s="3125">
        <f>+'Maj Techno Summ'!H12</f>
        <v>99.06421009291887</v>
      </c>
      <c r="L29" s="3125">
        <f>+'Maj Techno Summ'!I12</f>
        <v>89.262711864406782</v>
      </c>
      <c r="M29" s="3125">
        <f>+'Maj Techno Summ'!J12</f>
        <v>104.84653622253396</v>
      </c>
      <c r="N29" s="3125">
        <f>+'Maj Techno Summ'!K12</f>
        <v>125</v>
      </c>
      <c r="O29" s="3125">
        <f>+'Maj Techno Summ'!L12</f>
        <v>110.20745444265647</v>
      </c>
      <c r="P29" s="3133">
        <f>+'Maj Techno Summ'!M12</f>
        <v>107.19258777550922</v>
      </c>
      <c r="Q29" s="3133">
        <f>+'Maj Techno Summ'!N12</f>
        <v>107.48652487062687</v>
      </c>
      <c r="R29" s="3125">
        <f>+'Maj Techno Summ'!O12</f>
        <v>130</v>
      </c>
      <c r="S29" s="3125">
        <f>+'Maj Techno Summ'!P12</f>
        <v>100.34365291056034</v>
      </c>
      <c r="T29" s="3125">
        <f>+'Maj Techno Summ'!Q12</f>
        <v>114.98247255493358</v>
      </c>
      <c r="U29" s="3125">
        <f>+'Maj Techno Summ'!R12</f>
        <v>105.1816090568237</v>
      </c>
      <c r="V29" s="3125">
        <f>+'Maj Techno Summ'!S12</f>
        <v>130</v>
      </c>
      <c r="W29" s="3125">
        <f>+'Maj Techno Summ'!T12</f>
        <v>117.28103482731682</v>
      </c>
      <c r="X29" s="3125">
        <f>+'Maj Techno Summ'!U12</f>
        <v>118.80584324202209</v>
      </c>
      <c r="Y29" s="3125">
        <f>+'Maj Techno Summ'!V12</f>
        <v>108.35074803180518</v>
      </c>
      <c r="Z29" s="3125">
        <f>+'Maj Techno Summ'!W12</f>
        <v>135</v>
      </c>
      <c r="AA29" s="3125">
        <f>+'Maj Techno Summ'!X12</f>
        <v>124.09924183742929</v>
      </c>
      <c r="AB29" s="3133">
        <f>+'Maj Techno Summ'!Y12</f>
        <v>131.63596031794933</v>
      </c>
      <c r="AC29" s="3133">
        <f>+'Maj Techno Summ'!Z12</f>
        <v>114.22048693614823</v>
      </c>
      <c r="AD29" s="3708">
        <f>+'Maj Techno Summ'!AA12</f>
        <v>122.01998375318125</v>
      </c>
      <c r="AE29" s="3708">
        <f>+'Maj Techno Summ'!AB12</f>
        <v>111.5347279195784</v>
      </c>
      <c r="AF29" s="3125">
        <f>+'Maj Techno Summ'!AC12</f>
        <v>140</v>
      </c>
      <c r="AG29" s="3125">
        <f>+'Maj Techno Summ'!AD12</f>
        <v>125.49644963292813</v>
      </c>
      <c r="AH29" s="3125">
        <f>+'Maj Techno Summ'!AE12</f>
        <v>125.08134168815791</v>
      </c>
      <c r="AI29" s="3125">
        <f>+'Maj Techno Summ'!AF12</f>
        <v>114.06005210767717</v>
      </c>
      <c r="AJ29" s="3125">
        <f>+'Maj Techno Summ'!AG12</f>
        <v>140</v>
      </c>
      <c r="AK29" s="3125">
        <f>+'Maj Techno Summ'!AH12</f>
        <v>110.53574792651882</v>
      </c>
      <c r="AL29" s="4042">
        <f>+'Maj Techno Summ'!AI12</f>
        <v>127.19078860164457</v>
      </c>
      <c r="AM29" s="4042">
        <f>+'Maj Techno Summ'!AJ12</f>
        <v>113.57146415946761</v>
      </c>
      <c r="AN29" s="3125">
        <f>+'Maj Techno Summ'!AK12</f>
        <v>145</v>
      </c>
      <c r="AO29" s="3125">
        <f>+'Maj Techno Summ'!AL12</f>
        <v>121.41238178770853</v>
      </c>
      <c r="AP29" s="3133">
        <f>+'Maj Techno Summ'!AM12</f>
        <v>141.68508287292818</v>
      </c>
      <c r="AQ29" s="3133">
        <f>+'Maj Techno Summ'!AN12</f>
        <v>119.46977284294834</v>
      </c>
      <c r="AR29" s="3139">
        <f>+'Maj Techno Summ'!AO12</f>
        <v>129.4622473770998</v>
      </c>
      <c r="AS29" s="3139">
        <f>+'Maj Techno Summ'!AP12</f>
        <v>114.61917041960109</v>
      </c>
      <c r="AT29" s="3125">
        <f>+'Maj Techno Summ'!AQ12</f>
        <v>145</v>
      </c>
      <c r="AU29" s="3125">
        <f>+'Maj Techno Summ'!AR12</f>
        <v>125.93205765640086</v>
      </c>
      <c r="AV29" s="3139">
        <f>+'Maj Techno Summ'!AS12</f>
        <v>131.21982639416711</v>
      </c>
      <c r="AW29" s="3139">
        <f>+'Maj Techno Summ'!AT12</f>
        <v>115.97713740571815</v>
      </c>
      <c r="AX29" s="3125">
        <f>+'Maj Techno Summ'!AU12</f>
        <v>145</v>
      </c>
      <c r="AY29" s="3125">
        <f>+'Maj Techno Summ'!AV12</f>
        <v>123.86496867701409</v>
      </c>
      <c r="AZ29" s="3139">
        <f>+'Maj Techno Summ'!AW12</f>
        <v>132.47528127883527</v>
      </c>
      <c r="BA29" s="3139">
        <f>+'Maj Techno Summ'!AX12</f>
        <v>116.74168509587166</v>
      </c>
      <c r="BB29" s="3125">
        <f>+'Maj Techno Summ'!AY12</f>
        <v>145</v>
      </c>
      <c r="BC29" s="3125">
        <f>+'Maj Techno Summ'!AZ12</f>
        <v>130.24316064696532</v>
      </c>
      <c r="BD29" s="3133">
        <f>+'Maj Techno Summ'!BA12</f>
        <v>145.00000000000003</v>
      </c>
      <c r="BE29" s="3133">
        <f>+'Maj Techno Summ'!BB12</f>
        <v>126.79689201320079</v>
      </c>
      <c r="BF29" s="3708">
        <f>+'Maj Techno Summ'!BC12</f>
        <v>143.31958687395976</v>
      </c>
      <c r="BG29" s="3708">
        <f>+'Maj Techno Summ'!BD12</f>
        <v>123.16913501629975</v>
      </c>
      <c r="BH29" s="3139">
        <f>+'Maj Techno Summ'!BE12</f>
        <v>133.64291547787624</v>
      </c>
      <c r="BI29" s="3139">
        <f>+'Maj Techno Summ'!BF12</f>
        <v>118.07599367903838</v>
      </c>
    </row>
    <row r="30" spans="3:61" x14ac:dyDescent="0.25">
      <c r="C30" s="4915"/>
      <c r="D30" s="758" t="s">
        <v>270</v>
      </c>
      <c r="E30" s="1778" t="s">
        <v>405</v>
      </c>
      <c r="F30" s="3118">
        <f>SUM(F27:F29)</f>
        <v>554.04999999999995</v>
      </c>
      <c r="G30" s="3118">
        <v>535.27955478060721</v>
      </c>
      <c r="H30" s="3125">
        <f>+'Maj Techno Summ'!E13</f>
        <v>534</v>
      </c>
      <c r="I30" s="3125">
        <f>+'Maj Techno Summ'!F13</f>
        <v>552.22874834949687</v>
      </c>
      <c r="J30" s="3125">
        <f>+'Maj Techno Summ'!G13</f>
        <v>540</v>
      </c>
      <c r="K30" s="3125">
        <f>+'Maj Techno Summ'!H13</f>
        <v>555.2124357038889</v>
      </c>
      <c r="L30" s="3125">
        <f>+'Maj Techno Summ'!I13</f>
        <v>537.40677966101691</v>
      </c>
      <c r="M30" s="3125">
        <f>+'Maj Techno Summ'!J13</f>
        <v>553.67618678779604</v>
      </c>
      <c r="N30" s="3125">
        <f>+'Maj Techno Summ'!K13</f>
        <v>535</v>
      </c>
      <c r="O30" s="3125">
        <f>+'Maj Techno Summ'!L13</f>
        <v>559.96752634859888</v>
      </c>
      <c r="P30" s="3133">
        <f>+'Maj Techno Summ'!M13</f>
        <v>536.1992660829394</v>
      </c>
      <c r="Q30" s="3133">
        <f>+'Maj Techno Summ'!N13</f>
        <v>556.77436220100685</v>
      </c>
      <c r="R30" s="3125">
        <f>+'Maj Techno Summ'!O13</f>
        <v>545</v>
      </c>
      <c r="S30" s="3125">
        <f>+'Maj Techno Summ'!P13</f>
        <v>562.37200427568155</v>
      </c>
      <c r="T30" s="3125">
        <f>+'Maj Techno Summ'!Q13</f>
        <v>539.20516182040751</v>
      </c>
      <c r="U30" s="3125">
        <f>+'Maj Techno Summ'!R13</f>
        <v>558.58065157733324</v>
      </c>
      <c r="V30" s="3125">
        <f>+'Maj Techno Summ'!S13</f>
        <v>545</v>
      </c>
      <c r="W30" s="3125">
        <f>+'Maj Techno Summ'!T13</f>
        <v>546.39100339734387</v>
      </c>
      <c r="X30" s="3125">
        <f>+'Maj Techno Summ'!U13</f>
        <v>540.68049219774957</v>
      </c>
      <c r="Y30" s="3125">
        <f>+'Maj Techno Summ'!V13</f>
        <v>555.38788112100917</v>
      </c>
      <c r="Z30" s="3125">
        <f>+'Maj Techno Summ'!W13</f>
        <v>545</v>
      </c>
      <c r="AA30" s="3125">
        <f>+'Maj Techno Summ'!X13</f>
        <v>548.17266389690872</v>
      </c>
      <c r="AB30" s="3133">
        <f>+'Maj Techno Summ'!Y13</f>
        <v>545</v>
      </c>
      <c r="AC30" s="3133">
        <f>+'Maj Techno Summ'!Z13</f>
        <v>552.0414784595248</v>
      </c>
      <c r="AD30" s="3708">
        <f>+'Maj Techno Summ'!AA13</f>
        <v>541.53780790877863</v>
      </c>
      <c r="AE30" s="3708">
        <f>+'Maj Techno Summ'!AB13</f>
        <v>553.92913168052314</v>
      </c>
      <c r="AF30" s="3125">
        <f>+'Maj Techno Summ'!AC13</f>
        <v>535</v>
      </c>
      <c r="AG30" s="3125">
        <f>+'Maj Techno Summ'!AD13</f>
        <v>551.51470866358341</v>
      </c>
      <c r="AH30" s="3125">
        <f>+'Maj Techno Summ'!AE13</f>
        <v>540.42465151091187</v>
      </c>
      <c r="AI30" s="3125">
        <f>+'Maj Techno Summ'!AF13</f>
        <v>553.49242330241896</v>
      </c>
      <c r="AJ30" s="3125">
        <f>+'Maj Techno Summ'!AG13</f>
        <v>535</v>
      </c>
      <c r="AK30" s="3125">
        <f>+'Maj Techno Summ'!AH13</f>
        <v>550.83349837454534</v>
      </c>
      <c r="AL30" s="4042">
        <f>+'Maj Techno Summ'!AI13</f>
        <v>539.65762446684118</v>
      </c>
      <c r="AM30" s="4042">
        <f>+'Maj Techno Summ'!AJ13</f>
        <v>553.12380623414811</v>
      </c>
      <c r="AN30" s="3125">
        <f>+'Maj Techno Summ'!AK13</f>
        <v>535</v>
      </c>
      <c r="AO30" s="3125">
        <f>+'Maj Techno Summ'!AL13</f>
        <v>547.68438512240232</v>
      </c>
      <c r="AP30" s="3133">
        <f>+'Maj Techno Summ'!AM13</f>
        <v>535</v>
      </c>
      <c r="AQ30" s="3133">
        <f>+'Maj Techno Summ'!AN13</f>
        <v>549.98753688559452</v>
      </c>
      <c r="AR30" s="3139">
        <f>+'Maj Techno Summ'!AO13</f>
        <v>539.06357222436191</v>
      </c>
      <c r="AS30" s="3139">
        <f>+'Maj Techno Summ'!AP13</f>
        <v>552.39698881041295</v>
      </c>
      <c r="AT30" s="3125">
        <f>+'Maj Techno Summ'!AQ13</f>
        <v>525</v>
      </c>
      <c r="AU30" s="3125">
        <f>+'Maj Techno Summ'!AR13</f>
        <v>551.21719867129991</v>
      </c>
      <c r="AV30" s="3139">
        <f>+'Maj Techno Summ'!AS13</f>
        <v>537.47274760213702</v>
      </c>
      <c r="AW30" s="3139">
        <f>+'Maj Techno Summ'!AT13</f>
        <v>552.25537013907581</v>
      </c>
      <c r="AX30" s="3125">
        <f>+'Maj Techno Summ'!AU13</f>
        <v>525</v>
      </c>
      <c r="AY30" s="3125">
        <f>+'Maj Techno Summ'!AV13</f>
        <v>547.58218085991939</v>
      </c>
      <c r="AZ30" s="3139">
        <f>+'Maj Techno Summ'!AW13</f>
        <v>536.33640691803203</v>
      </c>
      <c r="BA30" s="3139">
        <f>+'Maj Techno Summ'!AX13</f>
        <v>551.80240962988853</v>
      </c>
      <c r="BB30" s="3125">
        <f>+'Maj Techno Summ'!AY13</f>
        <v>525</v>
      </c>
      <c r="BC30" s="3125">
        <f>+'Maj Techno Summ'!AZ13</f>
        <v>552.12563321114408</v>
      </c>
      <c r="BD30" s="3133">
        <f>+'Maj Techno Summ'!BA13</f>
        <v>525.00000000000011</v>
      </c>
      <c r="BE30" s="3133">
        <f>+'Maj Techno Summ'!BB13</f>
        <v>550.41493068439149</v>
      </c>
      <c r="BF30" s="3708">
        <f>+'Maj Techno Summ'!BC13</f>
        <v>530.06924626355476</v>
      </c>
      <c r="BG30" s="3708">
        <f>+'Maj Techno Summ'!BD13</f>
        <v>550.20332216431814</v>
      </c>
      <c r="BH30" s="3139">
        <f>+'Maj Techno Summ'!BE13</f>
        <v>535.27955472786107</v>
      </c>
      <c r="BI30" s="3139">
        <f>+'Maj Techno Summ'!BF13</f>
        <v>551.83435280507103</v>
      </c>
    </row>
    <row r="31" spans="3:61" x14ac:dyDescent="0.25">
      <c r="C31" s="4915"/>
      <c r="D31" s="758" t="s">
        <v>401</v>
      </c>
      <c r="E31" s="1778" t="s">
        <v>413</v>
      </c>
      <c r="F31" s="3120">
        <v>1.7450412546954082</v>
      </c>
      <c r="G31" s="3120">
        <v>2.2268038942305983</v>
      </c>
      <c r="H31" s="3127">
        <f>+'Maj Techno Summ'!E14</f>
        <v>2.1120000000000001</v>
      </c>
      <c r="I31" s="3127">
        <f>+'Maj Techno Summ'!F14</f>
        <v>1.9339999999999999</v>
      </c>
      <c r="J31" s="3127">
        <f>+'Maj Techno Summ'!G14</f>
        <v>1.448</v>
      </c>
      <c r="K31" s="3127">
        <f>+'Maj Techno Summ'!H14</f>
        <v>1.4319999999999999</v>
      </c>
      <c r="L31" s="3127">
        <f>+'Maj Techno Summ'!I14</f>
        <v>1.6756973141647162</v>
      </c>
      <c r="M31" s="3127">
        <f>+'Maj Techno Summ'!J14</f>
        <v>1.6529037498823971</v>
      </c>
      <c r="N31" s="3127">
        <f>+'Maj Techno Summ'!K14</f>
        <v>2.2679999999999998</v>
      </c>
      <c r="O31" s="3127">
        <f>+'Maj Techno Summ'!L14</f>
        <v>1.9430000000000001</v>
      </c>
      <c r="P31" s="3135">
        <f>+'Maj Techno Summ'!M14</f>
        <v>1.9283622413970996</v>
      </c>
      <c r="Q31" s="3135">
        <f>+'Maj Techno Summ'!N14</f>
        <v>1.7840771651940746</v>
      </c>
      <c r="R31" s="3127">
        <f>+'Maj Techno Summ'!O14</f>
        <v>2.2683751056040551</v>
      </c>
      <c r="S31" s="3127">
        <f>+'Maj Techno Summ'!P14</f>
        <v>1.8779999999999999</v>
      </c>
      <c r="T31" s="3127">
        <f>+'Maj Techno Summ'!Q14</f>
        <v>2.0324135584063052</v>
      </c>
      <c r="U31" s="3127">
        <f>+'Maj Techno Summ'!R14</f>
        <v>1.8133414144298954</v>
      </c>
      <c r="V31" s="3127">
        <f>+'Maj Techno Summ'!S14</f>
        <v>2.2683751056040551</v>
      </c>
      <c r="W31" s="3127">
        <f>+'Maj Techno Summ'!T14</f>
        <v>2.0579999999999998</v>
      </c>
      <c r="X31" s="3127">
        <f>+'Maj Techno Summ'!U14</f>
        <v>2.0877031106557449</v>
      </c>
      <c r="Y31" s="3127">
        <f>+'Maj Techno Summ'!V14</f>
        <v>1.8716200401382324</v>
      </c>
      <c r="Z31" s="3127">
        <f>+'Maj Techno Summ'!W14</f>
        <v>2.2810475922275417</v>
      </c>
      <c r="AA31" s="3127">
        <f>+'Maj Techno Summ'!X14</f>
        <v>2.0619999999999998</v>
      </c>
      <c r="AB31" s="3135">
        <f>+'Maj Techno Summ'!Y14</f>
        <v>2.2725059161608825</v>
      </c>
      <c r="AC31" s="3135">
        <f>+'Maj Techno Summ'!Z14</f>
        <v>1.9987512692271994</v>
      </c>
      <c r="AD31" s="3710">
        <f>+'Maj Techno Summ'!AA14</f>
        <v>2.1234255404125526</v>
      </c>
      <c r="AE31" s="3710">
        <f>+'Maj Techno Summ'!AB14</f>
        <v>1.9072212651661153</v>
      </c>
      <c r="AF31" s="3127">
        <f>+'Maj Techno Summ'!AC14</f>
        <v>2.2810475922275417</v>
      </c>
      <c r="AG31" s="3127">
        <f>+'Maj Techno Summ'!AD14</f>
        <v>2.113</v>
      </c>
      <c r="AH31" s="3127">
        <f>+'Maj Techno Summ'!AE14</f>
        <v>2.1487059229633863</v>
      </c>
      <c r="AI31" s="3127">
        <f>+'Maj Techno Summ'!AF14</f>
        <v>1.9414190875279593</v>
      </c>
      <c r="AJ31" s="3127">
        <f>+'Maj Techno Summ'!AG14</f>
        <v>2.2810475922275417</v>
      </c>
      <c r="AK31" s="3127">
        <f>+'Maj Techno Summ'!AH14</f>
        <v>1.9430000000000001</v>
      </c>
      <c r="AL31" s="4043">
        <f>+'Maj Techno Summ'!AI14</f>
        <v>2.1664787093145264</v>
      </c>
      <c r="AM31" s="4043">
        <f>+'Maj Techno Summ'!AJ14</f>
        <v>1.9416381019308571</v>
      </c>
      <c r="AN31" s="3127">
        <f>+'Maj Techno Summ'!AK14</f>
        <v>2.2810475922275417</v>
      </c>
      <c r="AO31" s="3127">
        <f>+'Maj Techno Summ'!AL14</f>
        <v>2.1091596779104935</v>
      </c>
      <c r="AP31" s="3135">
        <f>+'Maj Techno Summ'!AM14</f>
        <v>2.2810475922275422</v>
      </c>
      <c r="AQ31" s="3135">
        <f>+'Maj Techno Summ'!AN14</f>
        <v>2.0561257089256699</v>
      </c>
      <c r="AR31" s="3141">
        <f>+'Maj Techno Summ'!AO14</f>
        <v>2.1804468307885272</v>
      </c>
      <c r="AS31" s="3141">
        <f>+'Maj Techno Summ'!AP14</f>
        <v>1.9624655460631397</v>
      </c>
      <c r="AT31" s="3127">
        <f>+'Maj Techno Summ'!AQ14</f>
        <v>2.2810475922275417</v>
      </c>
      <c r="AU31" s="3127">
        <f>+'Maj Techno Summ'!AR14</f>
        <v>2.1693866939371018</v>
      </c>
      <c r="AV31" s="3141">
        <f>+'Maj Techno Summ'!AS14</f>
        <v>2.1913791196096217</v>
      </c>
      <c r="AW31" s="3141">
        <f>+'Maj Techno Summ'!AT14</f>
        <v>1.9851948851685839</v>
      </c>
      <c r="AX31" s="3127">
        <f>+'Maj Techno Summ'!AU14</f>
        <v>2.2808389105922653</v>
      </c>
      <c r="AY31" s="3127">
        <f>+'Maj Techno Summ'!AV14</f>
        <v>2.1848276292107922</v>
      </c>
      <c r="AZ31" s="3141">
        <f>+'Maj Techno Summ'!AW14</f>
        <v>2.1992378409065818</v>
      </c>
      <c r="BA31" s="3141">
        <f>+'Maj Techno Summ'!AX14</f>
        <v>2.0029338458482204</v>
      </c>
      <c r="BB31" s="3127">
        <f>+'Maj Techno Summ'!AY14</f>
        <v>2.2810475922275417</v>
      </c>
      <c r="BC31" s="3127">
        <f>+'Maj Techno Summ'!AZ14</f>
        <v>2.181</v>
      </c>
      <c r="BD31" s="3135">
        <f>+'Maj Techno Summ'!BA14</f>
        <v>2.2809835156104623</v>
      </c>
      <c r="BE31" s="3135">
        <f>+'Maj Techno Summ'!BB14</f>
        <v>2.1781614412197001</v>
      </c>
      <c r="BF31" s="3710">
        <f>+'Maj Techno Summ'!BC14</f>
        <v>2.2810159971757211</v>
      </c>
      <c r="BG31" s="3710">
        <f>+'Maj Techno Summ'!BD14</f>
        <v>2.1159809658027364</v>
      </c>
      <c r="BH31" s="3141">
        <f>+'Maj Techno Summ'!BE14</f>
        <v>2.2066158005423167</v>
      </c>
      <c r="BI31" s="3141">
        <f>+'Maj Techno Summ'!BF14</f>
        <v>2.0192262714625757</v>
      </c>
    </row>
    <row r="32" spans="3:61" x14ac:dyDescent="0.25">
      <c r="C32" s="4915"/>
      <c r="D32" s="758" t="s">
        <v>1556</v>
      </c>
      <c r="E32" s="1778" t="s">
        <v>280</v>
      </c>
      <c r="F32" s="3118">
        <v>1107.827397260274</v>
      </c>
      <c r="G32" s="3117">
        <v>1175</v>
      </c>
      <c r="H32" s="3125">
        <f>+'B-FCE'!E67</f>
        <v>1110</v>
      </c>
      <c r="I32" s="3125">
        <f>+'B-FCE'!F67</f>
        <v>1092</v>
      </c>
      <c r="J32" s="3125">
        <f>+'B-FCE'!G67</f>
        <v>1110</v>
      </c>
      <c r="K32" s="3125">
        <f>+'B-FCE'!H67</f>
        <v>1127</v>
      </c>
      <c r="L32" s="3125">
        <f>+'B-FCE'!I67</f>
        <v>1110</v>
      </c>
      <c r="M32" s="3125">
        <f>+'B-FCE'!J67</f>
        <v>1109.7868852459017</v>
      </c>
      <c r="N32" s="3125">
        <f>+'B-FCE'!K67</f>
        <v>1130</v>
      </c>
      <c r="O32" s="3125">
        <f>+'B-FCE'!L67</f>
        <v>1129</v>
      </c>
      <c r="P32" s="3133">
        <f>+'B-FCE'!M67</f>
        <v>1116.6666666666667</v>
      </c>
      <c r="Q32" s="3133">
        <f>+'B-FCE'!N67</f>
        <v>1116.1208791208792</v>
      </c>
      <c r="R32" s="3125">
        <f>+'B-FCE'!O67</f>
        <v>1150</v>
      </c>
      <c r="S32" s="3125">
        <f>+'B-FCE'!P67</f>
        <v>1129</v>
      </c>
      <c r="T32" s="3125">
        <f>+'B-FCE'!Q67</f>
        <v>1125</v>
      </c>
      <c r="U32" s="3125">
        <f>+'B-FCE'!R67</f>
        <v>1119.3934426229507</v>
      </c>
      <c r="V32" s="3125">
        <f>+'B-FCE'!S67</f>
        <v>1170</v>
      </c>
      <c r="W32" s="3125">
        <f>+'B-FCE'!T67</f>
        <v>1136</v>
      </c>
      <c r="X32" s="3125">
        <f>+'B-FCE'!U67</f>
        <v>1140</v>
      </c>
      <c r="Y32" s="3125">
        <f>+'B-FCE'!V67</f>
        <v>1122.7581699346406</v>
      </c>
      <c r="Z32" s="3125">
        <f>+'B-FCE'!W67</f>
        <v>1180</v>
      </c>
      <c r="AA32" s="3125">
        <f>+'B-FCE'!X67</f>
        <v>1163</v>
      </c>
      <c r="AB32" s="3133">
        <f>+'B-FCE'!Y67</f>
        <v>1166.6666666666667</v>
      </c>
      <c r="AC32" s="3133">
        <f>+'B-FCE'!Z67</f>
        <v>1142.445652173913</v>
      </c>
      <c r="AD32" s="3708">
        <f>+'B-FCE'!AA67</f>
        <v>1141.6666666666667</v>
      </c>
      <c r="AE32" s="3708">
        <f>+'B-FCE'!AB67</f>
        <v>1129.3551912568305</v>
      </c>
      <c r="AF32" s="3125">
        <f>+'B-FCE'!AC67</f>
        <v>1180</v>
      </c>
      <c r="AG32" s="3125">
        <f>+'B-FCE'!AD67</f>
        <v>1175</v>
      </c>
      <c r="AH32" s="3125">
        <f>+'B-FCE'!AE67</f>
        <v>1147.1428571428571</v>
      </c>
      <c r="AI32" s="3125">
        <f>+'B-FCE'!AF67</f>
        <v>1135.8571428571429</v>
      </c>
      <c r="AJ32" s="3125">
        <f>+'B-FCE'!AG67</f>
        <v>1200</v>
      </c>
      <c r="AK32" s="3125">
        <f>+'B-FCE'!AH67</f>
        <v>1178</v>
      </c>
      <c r="AL32" s="4042">
        <f>+'B-FCE'!AI67</f>
        <v>1150</v>
      </c>
      <c r="AM32" s="4042">
        <f>+'B-FCE'!AJ67</f>
        <v>1136.2857142857142</v>
      </c>
      <c r="AN32" s="3125">
        <f>+'B-FCE'!AK67</f>
        <v>1200</v>
      </c>
      <c r="AO32" s="3125">
        <f>+'B-FCE'!AL67</f>
        <v>1152.8387096774193</v>
      </c>
      <c r="AP32" s="3133">
        <f>+'B-FCE'!AM67</f>
        <v>1193.3333333333333</v>
      </c>
      <c r="AQ32" s="3133">
        <f>+'B-FCE'!AN67</f>
        <v>1168.5108695652175</v>
      </c>
      <c r="AR32" s="3139">
        <f>+'B-FCE'!AO67</f>
        <v>1176.1111111111111</v>
      </c>
      <c r="AS32" s="3139">
        <f>+'B-FCE'!AP67</f>
        <v>1138.1516883116883</v>
      </c>
      <c r="AT32" s="3125">
        <f>+'B-FCE'!AQ67</f>
        <v>1200</v>
      </c>
      <c r="AU32" s="3125">
        <f>+'B-FCE'!AR67</f>
        <v>1154.5193548387097</v>
      </c>
      <c r="AV32" s="3139">
        <f>+'B-FCE'!AS67</f>
        <v>1163</v>
      </c>
      <c r="AW32" s="3139">
        <f>+'B-FCE'!AT67</f>
        <v>1143.6358064516128</v>
      </c>
      <c r="AX32" s="3125">
        <f>+'B-FCE'!AU67</f>
        <v>1200</v>
      </c>
      <c r="AY32" s="3125">
        <f>+'B-FCE'!AV67</f>
        <v>1157.0535714285713</v>
      </c>
      <c r="AZ32" s="3139">
        <f>+'B-FCE'!AW67</f>
        <v>1166.3636363636363</v>
      </c>
      <c r="BA32" s="3139">
        <f>+'B-FCE'!AX67</f>
        <v>1144.8556032676997</v>
      </c>
      <c r="BB32" s="3125">
        <f>+'B-FCE'!AY67</f>
        <v>1200</v>
      </c>
      <c r="BC32" s="3125">
        <f>+'B-FCE'!AZ67</f>
        <v>1161.1935483870968</v>
      </c>
      <c r="BD32" s="3133">
        <f>+'B-FCE'!BA67</f>
        <v>1200</v>
      </c>
      <c r="BE32" s="3133">
        <f>+'B-FCE'!BB67</f>
        <v>1157.6066666666666</v>
      </c>
      <c r="BF32" s="3708">
        <f>+'B-FCE'!BC67</f>
        <v>1196.6666666666665</v>
      </c>
      <c r="BG32" s="3708">
        <f>+'B-FCE'!BD67</f>
        <v>1163.058768115942</v>
      </c>
      <c r="BH32" s="3139">
        <f>+'B-FCE'!BE67</f>
        <v>1169.1666666666665</v>
      </c>
      <c r="BI32" s="3139">
        <f>+'B-FCE'!BF67</f>
        <v>1146.2432095655115</v>
      </c>
    </row>
    <row r="33" spans="3:61" x14ac:dyDescent="0.25">
      <c r="C33" s="4915"/>
      <c r="D33" s="758" t="s">
        <v>1557</v>
      </c>
      <c r="E33" s="1778" t="s">
        <v>273</v>
      </c>
      <c r="F33" s="3118">
        <v>382.58207433302209</v>
      </c>
      <c r="G33" s="3117">
        <v>366</v>
      </c>
      <c r="H33" s="3125">
        <f>+'B-FCE'!E68</f>
        <v>380</v>
      </c>
      <c r="I33" s="3125">
        <f>+'B-FCE'!F68</f>
        <v>416.84651459272413</v>
      </c>
      <c r="J33" s="3125">
        <f>+'B-FCE'!G68</f>
        <v>380</v>
      </c>
      <c r="K33" s="3125">
        <f>+'B-FCE'!H68</f>
        <v>398.12029195895099</v>
      </c>
      <c r="L33" s="3125">
        <f>+'B-FCE'!I68</f>
        <v>380</v>
      </c>
      <c r="M33" s="3125">
        <f>+'B-FCE'!J68</f>
        <v>407.76209949662791</v>
      </c>
      <c r="N33" s="3125">
        <f>+'B-FCE'!K68</f>
        <v>380</v>
      </c>
      <c r="O33" s="3125">
        <f>+'B-FCE'!L68</f>
        <v>384</v>
      </c>
      <c r="P33" s="3133">
        <f>+'B-FCE'!M68</f>
        <v>379.99959883704969</v>
      </c>
      <c r="Q33" s="3133">
        <f>+'B-FCE'!N68</f>
        <v>396.1774966648311</v>
      </c>
      <c r="R33" s="3125">
        <f>+'B-FCE'!O68</f>
        <v>380</v>
      </c>
      <c r="S33" s="3125">
        <f>+'B-FCE'!P68</f>
        <v>393.17289537567058</v>
      </c>
      <c r="T33" s="3125">
        <f>+'B-FCE'!Q68</f>
        <v>379.9997358544864</v>
      </c>
      <c r="U33" s="3125">
        <f>+'B-FCE'!R68</f>
        <v>395.20794925249095</v>
      </c>
      <c r="V33" s="3125">
        <f>+'B-FCE'!S68</f>
        <v>380</v>
      </c>
      <c r="W33" s="3125">
        <f>+'B-FCE'!T68</f>
        <v>352.82415566012025</v>
      </c>
      <c r="X33" s="3125">
        <f>+'B-FCE'!U68</f>
        <v>379.99980310431948</v>
      </c>
      <c r="Y33" s="3125">
        <f>+'B-FCE'!V68</f>
        <v>384.10658504488384</v>
      </c>
      <c r="Z33" s="3125">
        <f>+'B-FCE'!W68</f>
        <v>380</v>
      </c>
      <c r="AA33" s="3125">
        <f>+'B-FCE'!X68</f>
        <v>373.28826608454801</v>
      </c>
      <c r="AB33" s="3133">
        <f>+'B-FCE'!Y68</f>
        <v>380</v>
      </c>
      <c r="AC33" s="3133">
        <f>+'B-FCE'!Z68</f>
        <v>372.45989431455234</v>
      </c>
      <c r="AD33" s="3708">
        <f>+'B-FCE'!AA68</f>
        <v>379.99984218325352</v>
      </c>
      <c r="AE33" s="3708">
        <f>+'B-FCE'!AB68</f>
        <v>381.91937206982936</v>
      </c>
      <c r="AF33" s="3125">
        <f>+'B-FCE'!AC68</f>
        <v>370</v>
      </c>
      <c r="AG33" s="3125">
        <f>+'B-FCE'!AD68</f>
        <v>390.57046576001926</v>
      </c>
      <c r="AH33" s="3125">
        <f>+'B-FCE'!AE68</f>
        <v>378.29722435488338</v>
      </c>
      <c r="AI33" s="3125">
        <f>+'B-FCE'!AF68</f>
        <v>383.4841372612496</v>
      </c>
      <c r="AJ33" s="3125">
        <f>+'B-FCE'!AG68</f>
        <v>360</v>
      </c>
      <c r="AK33" s="3125">
        <f>+'B-FCE'!AH68</f>
        <v>369.37672387558626</v>
      </c>
      <c r="AL33" s="4042">
        <f>+'B-FCE'!AI68</f>
        <v>375.71005983686877</v>
      </c>
      <c r="AM33" s="4042">
        <f>+'B-FCE'!AJ68</f>
        <v>381.52837186577233</v>
      </c>
      <c r="AN33" s="3125">
        <f>+'B-FCE'!AK68</f>
        <v>350</v>
      </c>
      <c r="AO33" s="3125">
        <f>+'B-FCE'!AL68</f>
        <v>390.01154985106774</v>
      </c>
      <c r="AP33" s="3133">
        <f>+'B-FCE'!AM68</f>
        <v>360</v>
      </c>
      <c r="AQ33" s="3133">
        <f>+'B-FCE'!AN68</f>
        <v>383.82959415024692</v>
      </c>
      <c r="AR33" s="3139">
        <f>+'B-FCE'!AO68</f>
        <v>372.43089493014378</v>
      </c>
      <c r="AS33" s="3139">
        <f>+'B-FCE'!AP68</f>
        <v>382.66189718798825</v>
      </c>
      <c r="AT33" s="3125">
        <f>+'B-FCE'!AQ68</f>
        <v>350</v>
      </c>
      <c r="AU33" s="3125">
        <f>+'B-FCE'!AR68</f>
        <v>336.10446192572897</v>
      </c>
      <c r="AV33" s="3139">
        <f>+'B-FCE'!AS68</f>
        <v>369.89358652911039</v>
      </c>
      <c r="AW33" s="3139">
        <f>+'B-FCE'!AT68</f>
        <v>377.07327434387736</v>
      </c>
      <c r="AX33" s="3125">
        <f>+'B-FCE'!AU68</f>
        <v>350</v>
      </c>
      <c r="AY33" s="3125">
        <f>+'B-FCE'!AV68</f>
        <v>350.19085741083745</v>
      </c>
      <c r="AZ33" s="3139">
        <f>+'B-FCE'!AW68</f>
        <v>368.08116376173911</v>
      </c>
      <c r="BA33" s="3139">
        <f>+'B-FCE'!AX68</f>
        <v>374.46762913355298</v>
      </c>
      <c r="BB33" s="3125">
        <f>+'B-FCE'!AY68</f>
        <v>350</v>
      </c>
      <c r="BC33" s="3125">
        <f>+'B-FCE'!AZ68</f>
        <v>382.42681783993703</v>
      </c>
      <c r="BD33" s="3133">
        <f>+'B-FCE'!BA68</f>
        <v>350.00000000000006</v>
      </c>
      <c r="BE33" s="3133">
        <f>+'B-FCE'!BB68</f>
        <v>356.56604700609319</v>
      </c>
      <c r="BF33" s="3708">
        <f>+'B-FCE'!BC68</f>
        <v>355.06924626355476</v>
      </c>
      <c r="BG33" s="3708">
        <f>+'B-FCE'!BD68</f>
        <v>370.06460238841771</v>
      </c>
      <c r="BH33" s="3139">
        <f>+'B-FCE'!BE68</f>
        <v>366.39552230050685</v>
      </c>
      <c r="BI33" s="3139">
        <f>+'B-FCE'!BF68</f>
        <v>375.25421084943895</v>
      </c>
    </row>
    <row r="34" spans="3:61" x14ac:dyDescent="0.25">
      <c r="C34" s="1774"/>
      <c r="D34" s="758" t="s">
        <v>402</v>
      </c>
      <c r="E34" s="1778" t="s">
        <v>405</v>
      </c>
      <c r="F34" s="3118">
        <v>991.45</v>
      </c>
      <c r="G34" s="3117">
        <v>908</v>
      </c>
      <c r="H34" s="3125">
        <f>+'Maj Techno Summ'!E15</f>
        <v>982</v>
      </c>
      <c r="I34" s="3125">
        <f>+'Maj Techno Summ'!F15</f>
        <v>948.46405595735609</v>
      </c>
      <c r="J34" s="3125">
        <f>+'Maj Techno Summ'!G15</f>
        <v>1051.5031216562909</v>
      </c>
      <c r="K34" s="3125">
        <f>+'Maj Techno Summ'!H15</f>
        <v>1024.9108226631874</v>
      </c>
      <c r="L34" s="3125">
        <f>+'Maj Techno Summ'!I15</f>
        <v>1021.6231030316935</v>
      </c>
      <c r="M34" s="3125">
        <f>+'Maj Techno Summ'!J15</f>
        <v>985.55052941563929</v>
      </c>
      <c r="N34" s="3125">
        <f>+'Maj Techno Summ'!K15</f>
        <v>906.6340969439907</v>
      </c>
      <c r="O34" s="3125">
        <f>+'Maj Techno Summ'!L15</f>
        <v>983.61627997837002</v>
      </c>
      <c r="P34" s="3133">
        <f>+'Maj Techno Summ'!M15</f>
        <v>963.93157919611508</v>
      </c>
      <c r="Q34" s="3133">
        <f>+'Maj Techno Summ'!N15</f>
        <v>982.08184326348726</v>
      </c>
      <c r="R34" s="3125">
        <f>+'Maj Techno Summ'!O15</f>
        <v>921.47599466356405</v>
      </c>
      <c r="S34" s="3125">
        <f>+'Maj Techno Summ'!P15</f>
        <v>976.41610518004916</v>
      </c>
      <c r="T34" s="3125">
        <f>+'Maj Techno Summ'!Q15</f>
        <v>949.430849850041</v>
      </c>
      <c r="U34" s="3125">
        <f>+'Maj Techno Summ'!R15</f>
        <v>979.1856004970964</v>
      </c>
      <c r="V34" s="3125">
        <f>+'Maj Techno Summ'!S15</f>
        <v>921.47599466356405</v>
      </c>
      <c r="W34" s="3125">
        <f>+'Maj Techno Summ'!T15</f>
        <v>935.25446114607621</v>
      </c>
      <c r="X34" s="3125">
        <f>+'Maj Techno Summ'!U15</f>
        <v>942.31371460439209</v>
      </c>
      <c r="Y34" s="3125">
        <f>+'Maj Techno Summ'!V15</f>
        <v>966.78308113444677</v>
      </c>
      <c r="Z34" s="3125">
        <f>+'Maj Techno Summ'!W15</f>
        <v>917.94419003692371</v>
      </c>
      <c r="AA34" s="3125">
        <f>+'Maj Techno Summ'!X15</f>
        <v>894.5616789893719</v>
      </c>
      <c r="AB34" s="3133">
        <f>+'Maj Techno Summ'!Y15</f>
        <v>920.3204162195774</v>
      </c>
      <c r="AC34" s="3133">
        <f>+'Maj Techno Summ'!Z15</f>
        <v>934.78552205709184</v>
      </c>
      <c r="AD34" s="3708">
        <f>+'Maj Techno Summ'!AA15</f>
        <v>937.4769653175606</v>
      </c>
      <c r="AE34" s="3708">
        <f>+'Maj Techno Summ'!AB15</f>
        <v>951.8665051824313</v>
      </c>
      <c r="AF34" s="3125">
        <f>+'Maj Techno Summ'!AC15</f>
        <v>895.63343671376776</v>
      </c>
      <c r="AG34" s="3125">
        <f>+'Maj Techno Summ'!AD15</f>
        <v>929.88523552909919</v>
      </c>
      <c r="AH34" s="3125">
        <f>+'Maj Techno Summ'!AE15</f>
        <v>930.35249910127959</v>
      </c>
      <c r="AI34" s="3125">
        <f>+'Maj Techno Summ'!AF15</f>
        <v>947.29291978625088</v>
      </c>
      <c r="AJ34" s="3125">
        <f>+'Maj Techno Summ'!AG15</f>
        <v>895.74367850207182</v>
      </c>
      <c r="AK34" s="3125">
        <f>+'Maj Techno Summ'!AH15</f>
        <v>957.83017609203</v>
      </c>
      <c r="AL34" s="4042">
        <f>+'Maj Techno Summ'!AI15</f>
        <v>925.45893104265178</v>
      </c>
      <c r="AM34" s="4042">
        <f>+'Maj Techno Summ'!AJ15</f>
        <v>948.50499102939625</v>
      </c>
      <c r="AN34" s="3125">
        <f>+'Maj Techno Summ'!AK15</f>
        <v>892.00955863823674</v>
      </c>
      <c r="AO34" s="3125">
        <f>+'Maj Techno Summ'!AL15</f>
        <v>928.91573633522341</v>
      </c>
      <c r="AP34" s="3133">
        <f>+'Maj Techno Summ'!AM15</f>
        <v>894.44806490659937</v>
      </c>
      <c r="AQ34" s="3133">
        <f>+'Maj Techno Summ'!AN15</f>
        <v>938.17486577746331</v>
      </c>
      <c r="AR34" s="3139">
        <f>+'Maj Techno Summ'!AO15</f>
        <v>921.19266294228578</v>
      </c>
      <c r="AS34" s="3139">
        <f>+'Maj Techno Summ'!AP15</f>
        <v>945.71878382737304</v>
      </c>
      <c r="AT34" s="3125">
        <f>+'Maj Techno Summ'!AQ15</f>
        <v>873.43292517891575</v>
      </c>
      <c r="AU34" s="3125">
        <f>+'Maj Techno Summ'!AR15</f>
        <v>904.16594384810003</v>
      </c>
      <c r="AV34" s="3139">
        <f>+'Maj Techno Summ'!AS15</f>
        <v>915.79023988981544</v>
      </c>
      <c r="AW34" s="3139">
        <f>+'Maj Techno Summ'!AT15</f>
        <v>940.644595050725</v>
      </c>
      <c r="AX34" s="3125">
        <f>+'Maj Techno Summ'!AU15</f>
        <v>873.85075632547421</v>
      </c>
      <c r="AY34" s="3125">
        <f>+'Maj Techno Summ'!AV15</f>
        <v>906.1439220404236</v>
      </c>
      <c r="AZ34" s="3139">
        <f>+'Maj Techno Summ'!AW15</f>
        <v>911.96930620585772</v>
      </c>
      <c r="BA34" s="3139">
        <f>+'Maj Techno Summ'!AX15</f>
        <v>937.25379626302151</v>
      </c>
      <c r="BB34" s="3125">
        <f>+'Maj Techno Summ'!AY15</f>
        <v>873.43292517891575</v>
      </c>
      <c r="BC34" s="3125">
        <f>+'Maj Techno Summ'!AZ15</f>
        <v>916.99896980659673</v>
      </c>
      <c r="BD34" s="3133">
        <f>+'Maj Techno Summ'!BA15</f>
        <v>873.56121394296929</v>
      </c>
      <c r="BE34" s="3133">
        <f>+'Maj Techno Summ'!BB15</f>
        <v>909.25395464447149</v>
      </c>
      <c r="BF34" s="3708">
        <f>+'Maj Techno Summ'!BC15</f>
        <v>884.1492730634501</v>
      </c>
      <c r="BG34" s="3708">
        <f>+'Maj Techno Summ'!BD15</f>
        <v>923.55845361141837</v>
      </c>
      <c r="BH34" s="3139">
        <f>+'Maj Techno Summ'!BE15</f>
        <v>908.37669886703623</v>
      </c>
      <c r="BI34" s="3139">
        <f>+'Maj Techno Summ'!BF15</f>
        <v>935.21205199417307</v>
      </c>
    </row>
    <row r="35" spans="3:61" x14ac:dyDescent="0.25">
      <c r="C35" s="4915" t="s">
        <v>1563</v>
      </c>
      <c r="D35" s="758" t="s">
        <v>406</v>
      </c>
      <c r="E35" s="1778" t="s">
        <v>302</v>
      </c>
      <c r="F35" s="3118">
        <v>1071.18</v>
      </c>
      <c r="G35" s="3118">
        <v>1065</v>
      </c>
      <c r="H35" s="3125">
        <f>+'Maj Techno Summ'!E16</f>
        <v>1065</v>
      </c>
      <c r="I35" s="3125">
        <f>+'Maj Techno Summ'!F16</f>
        <v>1061.7091310869539</v>
      </c>
      <c r="J35" s="3125">
        <f>+'Maj Techno Summ'!G16</f>
        <v>1065</v>
      </c>
      <c r="K35" s="3125">
        <f>+'Maj Techno Summ'!H16</f>
        <v>1049.636168137831</v>
      </c>
      <c r="L35" s="3125">
        <f>+'Maj Techno Summ'!I16</f>
        <v>1065</v>
      </c>
      <c r="M35" s="3125">
        <f>+'Maj Techno Summ'!J16</f>
        <v>1056.3398341936049</v>
      </c>
      <c r="N35" s="3125">
        <f>+'Maj Techno Summ'!K16</f>
        <v>1065</v>
      </c>
      <c r="O35" s="3125">
        <f>+'Maj Techno Summ'!L16</f>
        <v>1055.0811206794976</v>
      </c>
      <c r="P35" s="3133">
        <f>+'Maj Techno Summ'!M16</f>
        <v>1064.9983432055708</v>
      </c>
      <c r="Q35" s="3133">
        <f>+'Maj Techno Summ'!N16</f>
        <v>1055.684698651924</v>
      </c>
      <c r="R35" s="3125">
        <f>+'Maj Techno Summ'!O16</f>
        <v>1065</v>
      </c>
      <c r="S35" s="3125">
        <f>+'Maj Techno Summ'!P16</f>
        <v>1059.4345189051844</v>
      </c>
      <c r="T35" s="3125">
        <f>+'Maj Techno Summ'!Q16</f>
        <v>1064.9989353119224</v>
      </c>
      <c r="U35" s="3125">
        <f>+'Maj Techno Summ'!R16</f>
        <v>1056.937306555981</v>
      </c>
      <c r="V35" s="3125">
        <f>+'Maj Techno Summ'!S16</f>
        <v>1065</v>
      </c>
      <c r="W35" s="3125">
        <f>+'Maj Techno Summ'!T16</f>
        <v>1068.4898638722946</v>
      </c>
      <c r="X35" s="3125">
        <f>+'Maj Techno Summ'!U16</f>
        <v>1064.9992157990891</v>
      </c>
      <c r="Y35" s="3125">
        <f>+'Maj Techno Summ'!V16</f>
        <v>1060.0117178440762</v>
      </c>
      <c r="Z35" s="3125">
        <f>+'Maj Techno Summ'!W16</f>
        <v>1065</v>
      </c>
      <c r="AA35" s="3125">
        <f>+'Maj Techno Summ'!X16</f>
        <v>1065.903993952375</v>
      </c>
      <c r="AB35" s="3133">
        <f>+'Maj Techno Summ'!Y16</f>
        <v>1065</v>
      </c>
      <c r="AC35" s="3133">
        <f>+'Maj Techno Summ'!Z16</f>
        <v>1064.7377650786773</v>
      </c>
      <c r="AD35" s="3708">
        <f>+'Maj Techno Summ'!AA16</f>
        <v>1064.999375742422</v>
      </c>
      <c r="AE35" s="3708">
        <f>+'Maj Techno Summ'!AB16</f>
        <v>1061.2222794096699</v>
      </c>
      <c r="AF35" s="3125">
        <f>+'Maj Techno Summ'!AC16</f>
        <v>1065</v>
      </c>
      <c r="AG35" s="3125">
        <f>+'Maj Techno Summ'!AD16</f>
        <v>1072.5156161272005</v>
      </c>
      <c r="AH35" s="3125">
        <f>+'Maj Techno Summ'!AE16</f>
        <v>1064.9994844631146</v>
      </c>
      <c r="AI35" s="3125">
        <f>+'Maj Techno Summ'!AF16</f>
        <v>1063.2496713378041</v>
      </c>
      <c r="AJ35" s="3125">
        <f>+'Maj Techno Summ'!AG16</f>
        <v>1065</v>
      </c>
      <c r="AK35" s="3125">
        <f>+'Maj Techno Summ'!AH16</f>
        <v>1057.6207319640025</v>
      </c>
      <c r="AL35" s="4042">
        <f>+'Maj Techno Summ'!AI16</f>
        <v>1064.999558780353</v>
      </c>
      <c r="AM35" s="4042">
        <f>+'Maj Techno Summ'!AJ16</f>
        <v>1062.4504524825463</v>
      </c>
      <c r="AN35" s="3125">
        <f>+'Maj Techno Summ'!AK16</f>
        <v>1065</v>
      </c>
      <c r="AO35" s="3125">
        <f>+'Maj Techno Summ'!AL16</f>
        <v>1056.6639437698736</v>
      </c>
      <c r="AP35" s="3133">
        <f>+'Maj Techno Summ'!AM16</f>
        <v>1065.000699077382</v>
      </c>
      <c r="AQ35" s="3133">
        <f>+'Maj Techno Summ'!AN16</f>
        <v>1062.3418412567919</v>
      </c>
      <c r="AR35" s="3139">
        <f>+'Maj Techno Summ'!AO16</f>
        <v>1064.9998850847087</v>
      </c>
      <c r="AS35" s="3139">
        <f>+'Maj Techno Summ'!AP16</f>
        <v>1061.6611893972395</v>
      </c>
      <c r="AT35" s="3125">
        <f>+'Maj Techno Summ'!AQ16</f>
        <v>1065</v>
      </c>
      <c r="AU35" s="3125">
        <f>+'Maj Techno Summ'!AR16</f>
        <v>1060.8699182957143</v>
      </c>
      <c r="AV35" s="3139">
        <f>+'Maj Techno Summ'!AS16</f>
        <v>1064.9998982797458</v>
      </c>
      <c r="AW35" s="3139">
        <f>+'Maj Techno Summ'!AT16</f>
        <v>1061.5643039199474</v>
      </c>
      <c r="AX35" s="3125">
        <f>+'Maj Techno Summ'!AU16</f>
        <v>1065</v>
      </c>
      <c r="AY35" s="3125">
        <f>+'Maj Techno Summ'!AV16</f>
        <v>1064.3522267206479</v>
      </c>
      <c r="AZ35" s="3139">
        <f>+'Maj Techno Summ'!AW16</f>
        <v>1064.9999076713518</v>
      </c>
      <c r="BA35" s="3139">
        <f>+'Maj Techno Summ'!AX16</f>
        <v>1061.838672834376</v>
      </c>
      <c r="BB35" s="3125">
        <f>+'Maj Techno Summ'!AY16</f>
        <v>1065</v>
      </c>
      <c r="BC35" s="3125">
        <f>+'Maj Techno Summ'!AZ16</f>
        <v>1064.0561792645788</v>
      </c>
      <c r="BD35" s="3133">
        <f>+'Maj Techno Summ'!BA16</f>
        <v>1065.0000000000002</v>
      </c>
      <c r="BE35" s="3133">
        <f>+'Maj Techno Summ'!BB16</f>
        <v>1063.0429103514516</v>
      </c>
      <c r="BF35" s="3708">
        <f>+'Maj Techno Summ'!BC16</f>
        <v>1065.0003543915072</v>
      </c>
      <c r="BG35" s="3708">
        <f>+'Maj Techno Summ'!BD16</f>
        <v>1062.6969506083333</v>
      </c>
      <c r="BH35" s="3139">
        <f>+'Maj Techno Summ'!BE16</f>
        <v>1064.9999163858361</v>
      </c>
      <c r="BI35" s="3139">
        <f>+'Maj Techno Summ'!BF16</f>
        <v>1062.0576596902831</v>
      </c>
    </row>
    <row r="36" spans="3:61" x14ac:dyDescent="0.25">
      <c r="C36" s="4915"/>
      <c r="D36" s="758" t="s">
        <v>407</v>
      </c>
      <c r="E36" s="1778" t="s">
        <v>302</v>
      </c>
      <c r="F36" s="3118">
        <v>41.12</v>
      </c>
      <c r="G36" s="3118">
        <v>50</v>
      </c>
      <c r="H36" s="3125">
        <f>+'Maj Techno Summ'!E17</f>
        <v>50</v>
      </c>
      <c r="I36" s="3125">
        <f>+'Maj Techno Summ'!F17</f>
        <v>47.439890245245799</v>
      </c>
      <c r="J36" s="3125">
        <f>+'Maj Techno Summ'!G17</f>
        <v>50</v>
      </c>
      <c r="K36" s="3125">
        <f>+'Maj Techno Summ'!H17</f>
        <v>57.115350953964651</v>
      </c>
      <c r="L36" s="3125">
        <f>+'Maj Techno Summ'!I17</f>
        <v>50</v>
      </c>
      <c r="M36" s="3125">
        <f>+'Maj Techno Summ'!J17</f>
        <v>51.7429284757091</v>
      </c>
      <c r="N36" s="3125">
        <f>+'Maj Techno Summ'!K17</f>
        <v>50</v>
      </c>
      <c r="O36" s="3125">
        <f>+'Maj Techno Summ'!L17</f>
        <v>52.43259581051521</v>
      </c>
      <c r="P36" s="3133">
        <f>+'Maj Techno Summ'!M17</f>
        <v>50</v>
      </c>
      <c r="Q36" s="3133">
        <f>+'Maj Techno Summ'!N17</f>
        <v>52.101886711959132</v>
      </c>
      <c r="R36" s="3125">
        <f>+'Maj Techno Summ'!O17</f>
        <v>50</v>
      </c>
      <c r="S36" s="3125">
        <f>+'Maj Techno Summ'!P17</f>
        <v>45.991186617266365</v>
      </c>
      <c r="T36" s="3125">
        <f>+'Maj Techno Summ'!Q17</f>
        <v>50</v>
      </c>
      <c r="U36" s="3125">
        <f>+'Maj Techno Summ'!R17</f>
        <v>50.060639206487593</v>
      </c>
      <c r="V36" s="3125">
        <f>+'Maj Techno Summ'!S17</f>
        <v>50</v>
      </c>
      <c r="W36" s="3125">
        <f>+'Maj Techno Summ'!T17</f>
        <v>43.502105572421904</v>
      </c>
      <c r="X36" s="3125">
        <f>+'Maj Techno Summ'!U17</f>
        <v>50</v>
      </c>
      <c r="Y36" s="3125">
        <f>+'Maj Techno Summ'!V17</f>
        <v>48.31525683911768</v>
      </c>
      <c r="Z36" s="3125">
        <f>+'Maj Techno Summ'!W17</f>
        <v>50</v>
      </c>
      <c r="AA36" s="3125">
        <f>+'Maj Techno Summ'!X17</f>
        <v>41.678215950611062</v>
      </c>
      <c r="AB36" s="3133">
        <f>+'Maj Techno Summ'!Y17</f>
        <v>50</v>
      </c>
      <c r="AC36" s="3133">
        <f>+'Maj Techno Summ'!Z17</f>
        <v>43.682122254421365</v>
      </c>
      <c r="AD36" s="3708">
        <f>+'Maj Techno Summ'!AA17</f>
        <v>49.999999999999993</v>
      </c>
      <c r="AE36" s="3708">
        <f>+'Maj Techno Summ'!AB17</f>
        <v>46.951684178701441</v>
      </c>
      <c r="AF36" s="3125">
        <f>+'Maj Techno Summ'!AC17</f>
        <v>50</v>
      </c>
      <c r="AG36" s="3125">
        <f>+'Maj Techno Summ'!AD17</f>
        <v>34.653605905735382</v>
      </c>
      <c r="AH36" s="3125">
        <f>+'Maj Techno Summ'!AE17</f>
        <v>49.999999999999993</v>
      </c>
      <c r="AI36" s="3125">
        <f>+'Maj Techno Summ'!AF17</f>
        <v>44.743919968193879</v>
      </c>
      <c r="AJ36" s="3125">
        <f>+'Maj Techno Summ'!AG17</f>
        <v>50</v>
      </c>
      <c r="AK36" s="3125">
        <f>+'Maj Techno Summ'!AH17</f>
        <v>50.094716901704899</v>
      </c>
      <c r="AL36" s="4042">
        <f>+'Maj Techno Summ'!AI17</f>
        <v>49.999999999999993</v>
      </c>
      <c r="AM36" s="4042">
        <f>+'Maj Techno Summ'!AJ17</f>
        <v>45.503647070571745</v>
      </c>
      <c r="AN36" s="3125">
        <f>+'Maj Techno Summ'!AK17</f>
        <v>50</v>
      </c>
      <c r="AO36" s="3125">
        <f>+'Maj Techno Summ'!AL17</f>
        <v>51.218150183910915</v>
      </c>
      <c r="AP36" s="3133">
        <f>+'Maj Techno Summ'!AM17</f>
        <v>49.999999999999993</v>
      </c>
      <c r="AQ36" s="3133">
        <f>+'Maj Techno Summ'!AN17</f>
        <v>45.246245937648524</v>
      </c>
      <c r="AR36" s="3139">
        <f>+'Maj Techno Summ'!AO17</f>
        <v>49.999999999999993</v>
      </c>
      <c r="AS36" s="3139">
        <f>+'Maj Techno Summ'!AP17</f>
        <v>46.28308879997784</v>
      </c>
      <c r="AT36" s="3125">
        <f>+'Maj Techno Summ'!AQ17</f>
        <v>50</v>
      </c>
      <c r="AU36" s="3125">
        <f>+'Maj Techno Summ'!AR17</f>
        <v>46.733949010390113</v>
      </c>
      <c r="AV36" s="3139">
        <f>+'Maj Techno Summ'!AS17</f>
        <v>49.999999999999993</v>
      </c>
      <c r="AW36" s="3139">
        <f>+'Maj Techno Summ'!AT17</f>
        <v>46.33829340253898</v>
      </c>
      <c r="AX36" s="3125">
        <f>+'Maj Techno Summ'!AU17</f>
        <v>50</v>
      </c>
      <c r="AY36" s="3125">
        <f>+'Maj Techno Summ'!AV17</f>
        <v>42.540485829959515</v>
      </c>
      <c r="AZ36" s="3139">
        <f>+'Maj Techno Summ'!AW17</f>
        <v>49.999999999999993</v>
      </c>
      <c r="BA36" s="3139">
        <f>+'Maj Techno Summ'!AX17</f>
        <v>45.964538311244283</v>
      </c>
      <c r="BB36" s="3125">
        <f>+'Maj Techno Summ'!AY17</f>
        <v>50</v>
      </c>
      <c r="BC36" s="3125">
        <f>+'Maj Techno Summ'!AZ17</f>
        <v>42.386891504931597</v>
      </c>
      <c r="BD36" s="3133">
        <f>+'Maj Techno Summ'!BA17</f>
        <v>49.999999999999993</v>
      </c>
      <c r="BE36" s="3133">
        <f>+'Maj Techno Summ'!BB17</f>
        <v>43.941632786505714</v>
      </c>
      <c r="BF36" s="3708">
        <f>+'Maj Techno Summ'!BC17</f>
        <v>49.999999999999986</v>
      </c>
      <c r="BG36" s="3708">
        <f>+'Maj Techno Summ'!BD17</f>
        <v>44.585426150207397</v>
      </c>
      <c r="BH36" s="3139">
        <f>+'Maj Techno Summ'!BE17</f>
        <v>49.999999999999993</v>
      </c>
      <c r="BI36" s="3139">
        <f>+'Maj Techno Summ'!BF17</f>
        <v>45.611232627441403</v>
      </c>
    </row>
    <row r="37" spans="3:61" x14ac:dyDescent="0.25">
      <c r="C37" s="4915"/>
      <c r="D37" s="758" t="s">
        <v>319</v>
      </c>
      <c r="E37" s="1778" t="s">
        <v>302</v>
      </c>
      <c r="F37" s="3118">
        <f>SUM(F35:F36)</f>
        <v>1112.3</v>
      </c>
      <c r="G37" s="3118">
        <v>1115</v>
      </c>
      <c r="H37" s="3125">
        <f>+'Maj Techno Summ'!E18</f>
        <v>1115</v>
      </c>
      <c r="I37" s="3125">
        <f>+'Maj Techno Summ'!F18</f>
        <v>1109.1490213321997</v>
      </c>
      <c r="J37" s="3125">
        <f>+'Maj Techno Summ'!G18</f>
        <v>1115</v>
      </c>
      <c r="K37" s="3125">
        <f>+'Maj Techno Summ'!H18</f>
        <v>1106.7515190917957</v>
      </c>
      <c r="L37" s="3125">
        <f>+'Maj Techno Summ'!I18</f>
        <v>1115</v>
      </c>
      <c r="M37" s="3125">
        <f>+'Maj Techno Summ'!J18</f>
        <v>1108.082762669314</v>
      </c>
      <c r="N37" s="3125">
        <f>+'Maj Techno Summ'!K18</f>
        <v>1115</v>
      </c>
      <c r="O37" s="3125">
        <f>+'Maj Techno Summ'!L18</f>
        <v>1107.5137164900129</v>
      </c>
      <c r="P37" s="3133">
        <f>+'Maj Techno Summ'!M18</f>
        <v>1114.9983432055708</v>
      </c>
      <c r="Q37" s="3133">
        <f>+'Maj Techno Summ'!N18</f>
        <v>1107.7865853638832</v>
      </c>
      <c r="R37" s="3125">
        <f>+'Maj Techno Summ'!O18</f>
        <v>1115</v>
      </c>
      <c r="S37" s="3125">
        <f>+'Maj Techno Summ'!P18</f>
        <v>1105.4257055224507</v>
      </c>
      <c r="T37" s="3125">
        <f>+'Maj Techno Summ'!Q18</f>
        <v>1114.9989353119224</v>
      </c>
      <c r="U37" s="3125">
        <f>+'Maj Techno Summ'!R18</f>
        <v>1106.9979457624686</v>
      </c>
      <c r="V37" s="3125">
        <f>+'Maj Techno Summ'!S18</f>
        <v>1115</v>
      </c>
      <c r="W37" s="3125">
        <f>+'Maj Techno Summ'!T18</f>
        <v>1111.9919694447165</v>
      </c>
      <c r="X37" s="3125">
        <f>+'Maj Techno Summ'!U18</f>
        <v>1114.9992157990891</v>
      </c>
      <c r="Y37" s="3125">
        <f>+'Maj Techno Summ'!V18</f>
        <v>1108.3269746831938</v>
      </c>
      <c r="Z37" s="3125">
        <f>+'Maj Techno Summ'!W18</f>
        <v>1115</v>
      </c>
      <c r="AA37" s="3125">
        <f>+'Maj Techno Summ'!X18</f>
        <v>1107.5822099029861</v>
      </c>
      <c r="AB37" s="3133">
        <f>+'Maj Techno Summ'!Y18</f>
        <v>1115</v>
      </c>
      <c r="AC37" s="3133">
        <f>+'Maj Techno Summ'!Z18</f>
        <v>1108.4198873330986</v>
      </c>
      <c r="AD37" s="3708">
        <f>+'Maj Techno Summ'!AA18</f>
        <v>1114.999375742422</v>
      </c>
      <c r="AE37" s="3708">
        <f>+'Maj Techno Summ'!AB18</f>
        <v>1108.1739635883714</v>
      </c>
      <c r="AF37" s="3125">
        <f>+'Maj Techno Summ'!AC18</f>
        <v>1115</v>
      </c>
      <c r="AG37" s="3125">
        <f>+'Maj Techno Summ'!AD18</f>
        <v>1107.1692220329357</v>
      </c>
      <c r="AH37" s="3125">
        <f>+'Maj Techno Summ'!AE18</f>
        <v>1114.9994844631146</v>
      </c>
      <c r="AI37" s="3125">
        <f>+'Maj Techno Summ'!AF18</f>
        <v>1107.9935913059981</v>
      </c>
      <c r="AJ37" s="3125">
        <f>+'Maj Techno Summ'!AG18</f>
        <v>1115</v>
      </c>
      <c r="AK37" s="3125">
        <f>+'Maj Techno Summ'!AH18</f>
        <v>1107.7154488657075</v>
      </c>
      <c r="AL37" s="4042">
        <f>+'Maj Techno Summ'!AI18</f>
        <v>1114.999558780353</v>
      </c>
      <c r="AM37" s="4042">
        <f>+'Maj Techno Summ'!AJ18</f>
        <v>1107.9540995531181</v>
      </c>
      <c r="AN37" s="3125">
        <f>+'Maj Techno Summ'!AK18</f>
        <v>1115</v>
      </c>
      <c r="AO37" s="3125">
        <f>+'Maj Techno Summ'!AL18</f>
        <v>1107.8820939537845</v>
      </c>
      <c r="AP37" s="3133">
        <f>+'Maj Techno Summ'!AM18</f>
        <v>1115.000699077382</v>
      </c>
      <c r="AQ37" s="3133">
        <f>+'Maj Techno Summ'!AN18</f>
        <v>1107.5880871944405</v>
      </c>
      <c r="AR37" s="3139">
        <f>+'Maj Techno Summ'!AO18</f>
        <v>1114.9998850847087</v>
      </c>
      <c r="AS37" s="3139">
        <f>+'Maj Techno Summ'!AP18</f>
        <v>1107.9442781972173</v>
      </c>
      <c r="AT37" s="3125">
        <f>+'Maj Techno Summ'!AQ18</f>
        <v>1115</v>
      </c>
      <c r="AU37" s="3125">
        <f>+'Maj Techno Summ'!AR18</f>
        <v>1107.6038673061043</v>
      </c>
      <c r="AV37" s="3139">
        <f>+'Maj Techno Summ'!AS18</f>
        <v>1114.9998982797458</v>
      </c>
      <c r="AW37" s="3139">
        <f>+'Maj Techno Summ'!AT18</f>
        <v>1107.9025973224864</v>
      </c>
      <c r="AX37" s="3125">
        <f>+'Maj Techno Summ'!AU18</f>
        <v>1115</v>
      </c>
      <c r="AY37" s="3125">
        <f>+'Maj Techno Summ'!AV18</f>
        <v>1106.8927125506075</v>
      </c>
      <c r="AZ37" s="3139">
        <f>+'Maj Techno Summ'!AW18</f>
        <v>1114.9999076713518</v>
      </c>
      <c r="BA37" s="3139">
        <f>+'Maj Techno Summ'!AX18</f>
        <v>1107.8032111456203</v>
      </c>
      <c r="BB37" s="3125">
        <f>+'Maj Techno Summ'!AY18</f>
        <v>1115</v>
      </c>
      <c r="BC37" s="3125">
        <f>+'Maj Techno Summ'!AZ18</f>
        <v>1106.4430707695103</v>
      </c>
      <c r="BD37" s="3133">
        <f>+'Maj Techno Summ'!BA18</f>
        <v>1115.0000000000002</v>
      </c>
      <c r="BE37" s="3133">
        <f>+'Maj Techno Summ'!BB18</f>
        <v>1106.9845431379574</v>
      </c>
      <c r="BF37" s="3708">
        <f>+'Maj Techno Summ'!BC18</f>
        <v>1115.0003543915072</v>
      </c>
      <c r="BG37" s="3708">
        <f>+'Maj Techno Summ'!BD18</f>
        <v>1107.2823767585407</v>
      </c>
      <c r="BH37" s="3139">
        <f>+'Maj Techno Summ'!BE18</f>
        <v>1114.9999163858361</v>
      </c>
      <c r="BI37" s="3139">
        <f>+'Maj Techno Summ'!BF18</f>
        <v>1107.6688923177246</v>
      </c>
    </row>
    <row r="38" spans="3:61" x14ac:dyDescent="0.25">
      <c r="C38" s="4915"/>
      <c r="D38" s="758" t="s">
        <v>689</v>
      </c>
      <c r="E38" s="1778" t="s">
        <v>302</v>
      </c>
      <c r="F38" s="3119">
        <v>20.21</v>
      </c>
      <c r="G38" s="3119">
        <v>22</v>
      </c>
      <c r="H38" s="3125">
        <f>+'Maj Techno Summ'!E19</f>
        <v>21.957789999999999</v>
      </c>
      <c r="I38" s="3125">
        <f>+'Maj Techno Summ'!F19</f>
        <v>19.287194944872272</v>
      </c>
      <c r="J38" s="3125">
        <f>+'Maj Techno Summ'!G19</f>
        <v>21.957789999999999</v>
      </c>
      <c r="K38" s="3125">
        <f>+'Maj Techno Summ'!H19</f>
        <v>19.663424270460855</v>
      </c>
      <c r="L38" s="3125">
        <f>+'Maj Techno Summ'!I19</f>
        <v>21.957790000000003</v>
      </c>
      <c r="M38" s="3125">
        <f>+'Maj Techno Summ'!J19</f>
        <v>19.454518157705973</v>
      </c>
      <c r="N38" s="3125">
        <f>+'Maj Techno Summ'!K19</f>
        <v>21.957789999999999</v>
      </c>
      <c r="O38" s="3125">
        <f>+'Maj Techno Summ'!L19</f>
        <v>19.482282546887085</v>
      </c>
      <c r="P38" s="3133">
        <f>+'Maj Techno Summ'!M19</f>
        <v>21.957789999999999</v>
      </c>
      <c r="Q38" s="3133">
        <f>+'Maj Techno Summ'!N19</f>
        <v>19.468968974307014</v>
      </c>
      <c r="R38" s="3125">
        <f>+'Maj Techno Summ'!O19</f>
        <v>21.957789999999999</v>
      </c>
      <c r="S38" s="3125">
        <f>+'Maj Techno Summ'!P19</f>
        <v>21.459364352046268</v>
      </c>
      <c r="T38" s="3125">
        <f>+'Maj Techno Summ'!Q19</f>
        <v>21.957789999999996</v>
      </c>
      <c r="U38" s="3125">
        <f>+'Maj Techno Summ'!R19</f>
        <v>20.133850172328991</v>
      </c>
      <c r="V38" s="3125">
        <f>+'Maj Techno Summ'!S19</f>
        <v>21.957789999999999</v>
      </c>
      <c r="W38" s="3125">
        <f>+'Maj Techno Summ'!T19</f>
        <v>19.924591127215749</v>
      </c>
      <c r="X38" s="3125">
        <f>+'Maj Techno Summ'!U19</f>
        <v>21.957789999999996</v>
      </c>
      <c r="Y38" s="3125">
        <f>+'Maj Techno Summ'!V19</f>
        <v>20.078161344927658</v>
      </c>
      <c r="Z38" s="3125">
        <f>+'Maj Techno Summ'!W19</f>
        <v>21.957789999999999</v>
      </c>
      <c r="AA38" s="3125">
        <f>+'Maj Techno Summ'!X19</f>
        <v>18.702280458611568</v>
      </c>
      <c r="AB38" s="3133">
        <f>+'Maj Techno Summ'!Y19</f>
        <v>21.957789999999999</v>
      </c>
      <c r="AC38" s="3133">
        <f>+'Maj Techno Summ'!Z19</f>
        <v>20.002776047450102</v>
      </c>
      <c r="AD38" s="3708">
        <f>+'Maj Techno Summ'!AA19</f>
        <v>21.957789999999996</v>
      </c>
      <c r="AE38" s="3708">
        <f>+'Maj Techno Summ'!AB19</f>
        <v>19.795488148832273</v>
      </c>
      <c r="AF38" s="3125">
        <f>+'Maj Techno Summ'!AC19</f>
        <v>21.957789999999999</v>
      </c>
      <c r="AG38" s="3125">
        <f>+'Maj Techno Summ'!AD19</f>
        <v>21.098618209350743</v>
      </c>
      <c r="AH38" s="3125">
        <f>+'Maj Techno Summ'!AE19</f>
        <v>21.957789999999999</v>
      </c>
      <c r="AI38" s="3125">
        <f>+'Maj Techno Summ'!AF19</f>
        <v>20.029427455884303</v>
      </c>
      <c r="AJ38" s="3125">
        <f>+'Maj Techno Summ'!AG19</f>
        <v>21.957789999999999</v>
      </c>
      <c r="AK38" s="3125">
        <f>+'Maj Techno Summ'!AH19</f>
        <v>20.206477712009281</v>
      </c>
      <c r="AL38" s="4042">
        <f>+'Maj Techno Summ'!AI19</f>
        <v>21.957789999999999</v>
      </c>
      <c r="AM38" s="4042">
        <f>+'Maj Techno Summ'!AJ19</f>
        <v>20.054565744578962</v>
      </c>
      <c r="AN38" s="3125">
        <f>+'Maj Techno Summ'!AK19</f>
        <v>21.957789999999999</v>
      </c>
      <c r="AO38" s="3125">
        <f>+'Maj Techno Summ'!AL19</f>
        <v>21.572726727308812</v>
      </c>
      <c r="AP38" s="3133">
        <f>+'Maj Techno Summ'!AM19</f>
        <v>21.957789999999999</v>
      </c>
      <c r="AQ38" s="3133">
        <f>+'Maj Techno Summ'!AN19</f>
        <v>20.984534162288536</v>
      </c>
      <c r="AR38" s="3139">
        <f>+'Maj Techno Summ'!AO19</f>
        <v>21.957789999999999</v>
      </c>
      <c r="AS38" s="3139">
        <f>+'Maj Techno Summ'!AP19</f>
        <v>20.261638520361274</v>
      </c>
      <c r="AT38" s="3125">
        <f>+'Maj Techno Summ'!AQ19</f>
        <v>21.957789999999999</v>
      </c>
      <c r="AU38" s="3125">
        <f>+'Maj Techno Summ'!AR19</f>
        <v>23.023825529092772</v>
      </c>
      <c r="AV38" s="3139">
        <f>+'Maj Techno Summ'!AS19</f>
        <v>21.957789999999999</v>
      </c>
      <c r="AW38" s="3139">
        <f>+'Maj Techno Summ'!AT19</f>
        <v>20.599848529794389</v>
      </c>
      <c r="AX38" s="3125">
        <f>+'Maj Techno Summ'!AU19</f>
        <v>21.957789999999999</v>
      </c>
      <c r="AY38" s="3125">
        <f>+'Maj Techno Summ'!AV19</f>
        <v>22.232388663967612</v>
      </c>
      <c r="AZ38" s="3139">
        <f>+'Maj Techno Summ'!AW19</f>
        <v>21.957789999999996</v>
      </c>
      <c r="BA38" s="3139">
        <f>+'Maj Techno Summ'!AX19</f>
        <v>20.760512327322115</v>
      </c>
      <c r="BB38" s="3125">
        <f>+'Maj Techno Summ'!AY19</f>
        <v>21.957789999999999</v>
      </c>
      <c r="BC38" s="3125">
        <f>+'Maj Techno Summ'!AZ19</f>
        <v>22.540793600290897</v>
      </c>
      <c r="BD38" s="3133">
        <f>+'Maj Techno Summ'!BA19</f>
        <v>21.957789999999999</v>
      </c>
      <c r="BE38" s="3133">
        <f>+'Maj Techno Summ'!BB19</f>
        <v>22.612946471170709</v>
      </c>
      <c r="BF38" s="3708">
        <f>+'Maj Techno Summ'!BC19</f>
        <v>21.957789999999996</v>
      </c>
      <c r="BG38" s="3708">
        <f>+'Maj Techno Summ'!BD19</f>
        <v>21.809366469765582</v>
      </c>
      <c r="BH38" s="3139">
        <f>+'Maj Techno Summ'!BE19</f>
        <v>21.957789999999999</v>
      </c>
      <c r="BI38" s="3139">
        <f>+'Maj Techno Summ'!BF19</f>
        <v>20.936321602680948</v>
      </c>
    </row>
    <row r="39" spans="3:61" x14ac:dyDescent="0.25">
      <c r="C39" s="4915"/>
      <c r="D39" s="758" t="s">
        <v>1558</v>
      </c>
      <c r="E39" s="1778" t="s">
        <v>1559</v>
      </c>
      <c r="F39" s="3118">
        <v>151.95214196413883</v>
      </c>
      <c r="G39" s="3117">
        <v>150</v>
      </c>
      <c r="H39" s="3125">
        <f>+SMS!E51</f>
        <v>150</v>
      </c>
      <c r="I39" s="3125">
        <f>+SMS!F51</f>
        <v>152.92370597243493</v>
      </c>
      <c r="J39" s="3125">
        <f>+SMS!G51</f>
        <v>150</v>
      </c>
      <c r="K39" s="3125">
        <f>+SMS!H51</f>
        <v>153.51631477927063</v>
      </c>
      <c r="L39" s="3125">
        <f>+SMS!I51</f>
        <v>150</v>
      </c>
      <c r="M39" s="3125">
        <f>+SMS!J51</f>
        <v>153.18669505962524</v>
      </c>
      <c r="N39" s="3125">
        <f>+SMS!K51</f>
        <v>150</v>
      </c>
      <c r="O39" s="3125">
        <f>+SMS!L51</f>
        <v>154.18878357030016</v>
      </c>
      <c r="P39" s="3133">
        <f>+SMS!M51</f>
        <v>150.00000000000003</v>
      </c>
      <c r="Q39" s="3133">
        <f>+SMS!N51</f>
        <v>153.70663114754097</v>
      </c>
      <c r="R39" s="3125">
        <f>+SMS!O51</f>
        <v>150</v>
      </c>
      <c r="S39" s="3125">
        <f>+SMS!P51</f>
        <v>152.44990275526743</v>
      </c>
      <c r="T39" s="3125">
        <f>+SMS!Q51</f>
        <v>150.00000000000003</v>
      </c>
      <c r="U39" s="3125">
        <f>+SMS!R51</f>
        <v>153.28452912357108</v>
      </c>
      <c r="V39" s="3125">
        <f>+SMS!S51</f>
        <v>150</v>
      </c>
      <c r="W39" s="3125">
        <f>+SMS!T51</f>
        <v>151.72380386329868</v>
      </c>
      <c r="X39" s="3125">
        <f>+SMS!U51</f>
        <v>150</v>
      </c>
      <c r="Y39" s="3125">
        <f>+SMS!V51</f>
        <v>152.86605577689247</v>
      </c>
      <c r="Z39" s="3125">
        <f>+SMS!W51</f>
        <v>150</v>
      </c>
      <c r="AA39" s="3125">
        <f>+SMS!X51</f>
        <v>152.51731744811684</v>
      </c>
      <c r="AB39" s="3133">
        <f>+SMS!Y51</f>
        <v>150.00000000000003</v>
      </c>
      <c r="AC39" s="3133">
        <f>+SMS!Z51</f>
        <v>152.22067766039683</v>
      </c>
      <c r="AD39" s="3708">
        <f>+SMS!AA51</f>
        <v>150</v>
      </c>
      <c r="AE39" s="3708">
        <f>+SMS!AB51</f>
        <v>152.79427780414494</v>
      </c>
      <c r="AF39" s="3125">
        <f>+SMS!AC51</f>
        <v>150</v>
      </c>
      <c r="AG39" s="3125">
        <f>+SMS!AD51</f>
        <v>152.57727821901324</v>
      </c>
      <c r="AH39" s="3125">
        <f>+SMS!AE51</f>
        <v>150</v>
      </c>
      <c r="AI39" s="3125">
        <f>+SMS!AF51</f>
        <v>152.7552764512501</v>
      </c>
      <c r="AJ39" s="3125">
        <f>+SMS!AG51</f>
        <v>150</v>
      </c>
      <c r="AK39" s="3125">
        <f>+SMS!AH51</f>
        <v>151.35256410256412</v>
      </c>
      <c r="AL39" s="4042">
        <f>+SMS!AI51</f>
        <v>150</v>
      </c>
      <c r="AM39" s="4042">
        <f>+SMS!AJ51</f>
        <v>152.55453245116573</v>
      </c>
      <c r="AN39" s="3125">
        <f>+SMS!AK51</f>
        <v>150</v>
      </c>
      <c r="AO39" s="3125">
        <f>+SMS!AL51</f>
        <v>150.9973449477352</v>
      </c>
      <c r="AP39" s="3133">
        <f>+SMS!AM51</f>
        <v>150</v>
      </c>
      <c r="AQ39" s="3133">
        <f>+SMS!AN51</f>
        <v>151.6414585666748</v>
      </c>
      <c r="AR39" s="3139">
        <f>+SMS!AO51</f>
        <v>150</v>
      </c>
      <c r="AS39" s="3139">
        <f>+SMS!AP51</f>
        <v>152.34024744278224</v>
      </c>
      <c r="AT39" s="3125">
        <f>+SMS!AQ51</f>
        <v>150</v>
      </c>
      <c r="AU39" s="3125">
        <f>+SMS!AR51</f>
        <v>152.54871988988302</v>
      </c>
      <c r="AV39" s="3139">
        <f>+SMS!AS51</f>
        <v>150</v>
      </c>
      <c r="AW39" s="3139">
        <f>+SMS!AT51</f>
        <v>152.36574281065006</v>
      </c>
      <c r="AX39" s="3125">
        <f>+SMS!AU51</f>
        <v>150</v>
      </c>
      <c r="AY39" s="3125">
        <f>+SMS!AV51</f>
        <v>153.17848062015506</v>
      </c>
      <c r="AZ39" s="3139">
        <f>+SMS!AW51</f>
        <v>150</v>
      </c>
      <c r="BA39" s="3139">
        <f>+SMS!AX51</f>
        <v>152.44534434236832</v>
      </c>
      <c r="BB39" s="3125">
        <f>+SMS!AY51</f>
        <v>150</v>
      </c>
      <c r="BC39" s="3125">
        <f>+SMS!AZ51</f>
        <v>151.41775636613903</v>
      </c>
      <c r="BD39" s="3133">
        <f>+SMS!BA51</f>
        <v>150</v>
      </c>
      <c r="BE39" s="3133">
        <f>+SMS!BB51</f>
        <v>152.3506982840801</v>
      </c>
      <c r="BF39" s="3708">
        <f>+SMS!BC51</f>
        <v>150</v>
      </c>
      <c r="BG39" s="3708">
        <f>+SMS!BD51</f>
        <v>151.99987960175037</v>
      </c>
      <c r="BH39" s="3139">
        <f>+SMS!BE51</f>
        <v>150</v>
      </c>
      <c r="BI39" s="3139">
        <f>+SMS!BF51</f>
        <v>152.34324605671043</v>
      </c>
    </row>
    <row r="40" spans="3:61" x14ac:dyDescent="0.25">
      <c r="C40" s="4915"/>
      <c r="D40" s="758" t="s">
        <v>128</v>
      </c>
      <c r="E40" s="1778" t="s">
        <v>302</v>
      </c>
      <c r="F40" s="3118">
        <v>69.162265162900738</v>
      </c>
      <c r="G40" s="3117">
        <v>70</v>
      </c>
      <c r="H40" s="3125">
        <f>+SMS!E82</f>
        <v>70</v>
      </c>
      <c r="I40" s="3125">
        <f>+SMS!F82</f>
        <v>76.007033104017069</v>
      </c>
      <c r="J40" s="3125">
        <f>+SMS!G82</f>
        <v>70</v>
      </c>
      <c r="K40" s="3125">
        <f>+SMS!H82</f>
        <v>62.764121927433678</v>
      </c>
      <c r="L40" s="3125">
        <f>+SMS!I82</f>
        <v>70</v>
      </c>
      <c r="M40" s="3125">
        <f>+SMS!J82</f>
        <v>70.117422494670024</v>
      </c>
      <c r="N40" s="3125">
        <f>+SMS!K82</f>
        <v>70</v>
      </c>
      <c r="O40" s="3125">
        <f>+SMS!L82</f>
        <v>73.159736274544954</v>
      </c>
      <c r="P40" s="3133">
        <f>+SMS!M82</f>
        <v>70</v>
      </c>
      <c r="Q40" s="3133">
        <f>+SMS!N82</f>
        <v>71.700886012949198</v>
      </c>
      <c r="R40" s="3125">
        <f>+SMS!O82</f>
        <v>70</v>
      </c>
      <c r="S40" s="3125">
        <f>+SMS!P82</f>
        <v>67.902318045017111</v>
      </c>
      <c r="T40" s="3125">
        <f>+SMS!Q82</f>
        <v>69.999991827212867</v>
      </c>
      <c r="U40" s="3125">
        <f>+SMS!R82</f>
        <v>70.431993786003503</v>
      </c>
      <c r="V40" s="3125">
        <f>+SMS!S82</f>
        <v>70</v>
      </c>
      <c r="W40" s="3125">
        <f>+SMS!T82</f>
        <v>61.394502327487224</v>
      </c>
      <c r="X40" s="3125">
        <f>+SMS!U82</f>
        <v>69.999971406414176</v>
      </c>
      <c r="Y40" s="3125">
        <f>+SMS!V82</f>
        <v>68.026900617106648</v>
      </c>
      <c r="Z40" s="3125">
        <f>+SMS!W82</f>
        <v>70</v>
      </c>
      <c r="AA40" s="3125">
        <f>+SMS!X82</f>
        <v>61.917591747371787</v>
      </c>
      <c r="AB40" s="3133">
        <f>+SMS!Y82</f>
        <v>69.99994473473582</v>
      </c>
      <c r="AC40" s="3133">
        <f>+SMS!Z82</f>
        <v>63.642532027565103</v>
      </c>
      <c r="AD40" s="3708">
        <f>+SMS!AA82</f>
        <v>69.999965557924497</v>
      </c>
      <c r="AE40" s="3708">
        <f>+SMS!AB82</f>
        <v>66.771750541303234</v>
      </c>
      <c r="AF40" s="3125">
        <f>+SMS!AC82</f>
        <v>70</v>
      </c>
      <c r="AG40" s="3125">
        <f>+SMS!AD82</f>
        <v>65.68725558922192</v>
      </c>
      <c r="AH40" s="3125">
        <f>+SMS!AE82</f>
        <v>69.999995300613335</v>
      </c>
      <c r="AI40" s="3125">
        <f>+SMS!AF82</f>
        <v>66.577061302791734</v>
      </c>
      <c r="AJ40" s="3125">
        <f>+SMS!AG82</f>
        <v>70</v>
      </c>
      <c r="AK40" s="3125">
        <f>+SMS!AH82</f>
        <v>64.736133517633661</v>
      </c>
      <c r="AL40" s="4042">
        <f>+SMS!AI82</f>
        <v>69.999987722480697</v>
      </c>
      <c r="AM40" s="4042">
        <f>+SMS!AJ82</f>
        <v>66.315679485150355</v>
      </c>
      <c r="AN40" s="3125">
        <f>+SMS!AK82</f>
        <v>70</v>
      </c>
      <c r="AO40" s="3125">
        <f>+SMS!AL82</f>
        <v>66.251759093625054</v>
      </c>
      <c r="AP40" s="3133">
        <f>+SMS!AM82</f>
        <v>70.000027282079827</v>
      </c>
      <c r="AQ40" s="3133">
        <f>+SMS!AN82</f>
        <v>65.586174419084358</v>
      </c>
      <c r="AR40" s="3139">
        <f>+SMS!AO82</f>
        <v>69.999989315103363</v>
      </c>
      <c r="AS40" s="3139">
        <f>+SMS!AP82</f>
        <v>66.306960921161959</v>
      </c>
      <c r="AT40" s="3125">
        <f>+SMS!AQ82</f>
        <v>70</v>
      </c>
      <c r="AU40" s="3125">
        <f>+SMS!AR82</f>
        <v>62.480462166837221</v>
      </c>
      <c r="AV40" s="3139">
        <f>+SMS!AS82</f>
        <v>70.00000619663119</v>
      </c>
      <c r="AW40" s="3139">
        <f>+SMS!AT82</f>
        <v>65.838433051806987</v>
      </c>
      <c r="AX40" s="3125">
        <f>+SMS!AU82</f>
        <v>70</v>
      </c>
      <c r="AY40" s="3125">
        <f>+SMS!AV82</f>
        <v>58.097095428629032</v>
      </c>
      <c r="AZ40" s="3139">
        <f>+SMS!AW82</f>
        <v>70.000008584778584</v>
      </c>
      <c r="BA40" s="3139">
        <f>+SMS!AX82</f>
        <v>65.076581141018352</v>
      </c>
      <c r="BB40" s="3125">
        <f>+SMS!AY82</f>
        <v>70</v>
      </c>
      <c r="BC40" s="3125">
        <f>+SMS!AZ82</f>
        <v>64.883414390254984</v>
      </c>
      <c r="BD40" s="3133">
        <f>+SMS!BA82</f>
        <v>70.00010432749464</v>
      </c>
      <c r="BE40" s="3133">
        <f>+SMS!BB82</f>
        <v>61.952540918453451</v>
      </c>
      <c r="BF40" s="3708">
        <f>+SMS!BC82</f>
        <v>70.000065269936457</v>
      </c>
      <c r="BG40" s="3708">
        <f>+SMS!BD82</f>
        <v>63.745644982787162</v>
      </c>
      <c r="BH40" s="3139">
        <f>+SMS!BE82</f>
        <v>70.000020642641786</v>
      </c>
      <c r="BI40" s="3139">
        <f>+SMS!BF82</f>
        <v>65.057505224542524</v>
      </c>
    </row>
    <row r="41" spans="3:61" x14ac:dyDescent="0.25">
      <c r="C41" s="4915"/>
      <c r="D41" s="1777" t="s">
        <v>606</v>
      </c>
      <c r="E41" s="1779" t="s">
        <v>302</v>
      </c>
      <c r="F41" s="3118">
        <v>23.452256843697544</v>
      </c>
      <c r="G41" s="3117">
        <v>20</v>
      </c>
      <c r="H41" s="3125">
        <f>+SMS!E77</f>
        <v>20</v>
      </c>
      <c r="I41" s="3125">
        <f>+SMS!F77</f>
        <v>25.586030247794945</v>
      </c>
      <c r="J41" s="3125">
        <f>+SMS!G77</f>
        <v>20</v>
      </c>
      <c r="K41" s="3125">
        <f>+SMS!H77</f>
        <v>29.994248705958842</v>
      </c>
      <c r="L41" s="3125">
        <f>+SMS!I77</f>
        <v>20</v>
      </c>
      <c r="M41" s="3125">
        <f>+SMS!J77</f>
        <v>27.54652744160153</v>
      </c>
      <c r="N41" s="3125">
        <f>+SMS!K77</f>
        <v>20</v>
      </c>
      <c r="O41" s="3125">
        <f>+SMS!L77</f>
        <v>25.614360435034296</v>
      </c>
      <c r="P41" s="3133">
        <f>+SMS!M77</f>
        <v>20</v>
      </c>
      <c r="Q41" s="3133">
        <f>+SMS!N77</f>
        <v>26.540873131266832</v>
      </c>
      <c r="R41" s="3125">
        <f>+SMS!O77</f>
        <v>20</v>
      </c>
      <c r="S41" s="3125">
        <f>+SMS!P77</f>
        <v>22.708525339620561</v>
      </c>
      <c r="T41" s="3125">
        <f>+SMS!Q77</f>
        <v>19.999997664917959</v>
      </c>
      <c r="U41" s="3125">
        <f>+SMS!R77</f>
        <v>25.260696926753702</v>
      </c>
      <c r="V41" s="3125">
        <f>+SMS!S77</f>
        <v>20</v>
      </c>
      <c r="W41" s="3125">
        <f>+SMS!T77</f>
        <v>20.556238696027386</v>
      </c>
      <c r="X41" s="3125">
        <f>+SMS!U77</f>
        <v>19.999991830404049</v>
      </c>
      <c r="Y41" s="3125">
        <f>+SMS!V77</f>
        <v>24.008727792838972</v>
      </c>
      <c r="Z41" s="3125">
        <f>+SMS!W77</f>
        <v>20</v>
      </c>
      <c r="AA41" s="3125">
        <f>+SMS!X77</f>
        <v>20.448529099378238</v>
      </c>
      <c r="AB41" s="3133">
        <f>+SMS!Y77</f>
        <v>19.999984209924524</v>
      </c>
      <c r="AC41" s="3133">
        <f>+SMS!Z77</f>
        <v>21.205431671241072</v>
      </c>
      <c r="AD41" s="3708">
        <f>+SMS!AA77</f>
        <v>19.999990159407002</v>
      </c>
      <c r="AE41" s="3708">
        <f>+SMS!AB77</f>
        <v>23.277289301963258</v>
      </c>
      <c r="AF41" s="3125">
        <f>+SMS!AC77</f>
        <v>20</v>
      </c>
      <c r="AG41" s="3125">
        <f>+SMS!AD77</f>
        <v>21.753786754819764</v>
      </c>
      <c r="AH41" s="3125">
        <f>+SMS!AE77</f>
        <v>19.999998657318098</v>
      </c>
      <c r="AI41" s="3125">
        <f>+SMS!AF77</f>
        <v>23.003789134715401</v>
      </c>
      <c r="AJ41" s="3125">
        <f>+SMS!AG77</f>
        <v>20</v>
      </c>
      <c r="AK41" s="3125">
        <f>+SMS!AH77</f>
        <v>21.212506240671079</v>
      </c>
      <c r="AL41" s="4042">
        <f>+SMS!AI77</f>
        <v>19.999996492137349</v>
      </c>
      <c r="AM41" s="4042">
        <f>+SMS!AJ77</f>
        <v>22.749456084538195</v>
      </c>
      <c r="AN41" s="3125">
        <f>+SMS!AK77</f>
        <v>20</v>
      </c>
      <c r="AO41" s="3125">
        <f>+SMS!AL77</f>
        <v>23.68456625145911</v>
      </c>
      <c r="AP41" s="3133">
        <f>+SMS!AM77</f>
        <v>20.000007794879949</v>
      </c>
      <c r="AQ41" s="3133">
        <f>+SMS!AN77</f>
        <v>22.256245726328348</v>
      </c>
      <c r="AR41" s="3139">
        <f>+SMS!AO77</f>
        <v>19.999996947172388</v>
      </c>
      <c r="AS41" s="3139">
        <f>+SMS!AP77</f>
        <v>22.877002515840374</v>
      </c>
      <c r="AT41" s="3125">
        <f>+SMS!AQ77</f>
        <v>20</v>
      </c>
      <c r="AU41" s="3125">
        <f>+SMS!AR77</f>
        <v>17.595046750715948</v>
      </c>
      <c r="AV41" s="3139">
        <f>+SMS!AS77</f>
        <v>20.000001770466053</v>
      </c>
      <c r="AW41" s="3139">
        <f>+SMS!AT77</f>
        <v>22.230264168450603</v>
      </c>
      <c r="AX41" s="3125">
        <f>+SMS!AU77</f>
        <v>20</v>
      </c>
      <c r="AY41" s="3125">
        <f>+SMS!AV77</f>
        <v>19.989854263334902</v>
      </c>
      <c r="AZ41" s="3139">
        <f>+SMS!AW77</f>
        <v>20.000002452793886</v>
      </c>
      <c r="BA41" s="3139">
        <f>+SMS!AX77</f>
        <v>22.009777651746859</v>
      </c>
      <c r="BB41" s="3125">
        <f>+SMS!AY77</f>
        <v>20</v>
      </c>
      <c r="BC41" s="3125">
        <f>+SMS!AZ77</f>
        <v>22.878505522476249</v>
      </c>
      <c r="BD41" s="3133">
        <f>+SMS!BA77</f>
        <v>20.000029807855611</v>
      </c>
      <c r="BE41" s="3133">
        <f>+SMS!BB77</f>
        <v>20.153660259642841</v>
      </c>
      <c r="BF41" s="3708">
        <f>+SMS!BC77</f>
        <v>20.000018648553279</v>
      </c>
      <c r="BG41" s="3708">
        <f>+SMS!BD77</f>
        <v>21.191231755300883</v>
      </c>
      <c r="BH41" s="3139">
        <f>+SMS!BE77</f>
        <v>20.000005897897655</v>
      </c>
      <c r="BI41" s="3139">
        <f>+SMS!BF77</f>
        <v>22.095567676359124</v>
      </c>
    </row>
    <row r="42" spans="3:61" x14ac:dyDescent="0.25">
      <c r="C42" s="4915" t="s">
        <v>1564</v>
      </c>
      <c r="D42" s="758" t="s">
        <v>37</v>
      </c>
      <c r="E42" s="1778"/>
      <c r="F42" s="3117"/>
      <c r="G42" s="3117"/>
      <c r="H42" s="3123"/>
      <c r="I42" s="3124"/>
      <c r="J42" s="3123"/>
      <c r="K42" s="3124"/>
      <c r="L42" s="3129"/>
      <c r="M42" s="3130"/>
      <c r="N42" s="3123"/>
      <c r="O42" s="3124"/>
      <c r="P42" s="3131"/>
      <c r="Q42" s="3132"/>
      <c r="R42" s="3123"/>
      <c r="S42" s="3124"/>
      <c r="T42" s="3137"/>
      <c r="U42" s="3138"/>
      <c r="V42" s="3123"/>
      <c r="W42" s="3124"/>
      <c r="X42" s="3137"/>
      <c r="Y42" s="3138"/>
      <c r="Z42" s="3123"/>
      <c r="AA42" s="3124"/>
      <c r="AB42" s="3131"/>
      <c r="AC42" s="3132"/>
      <c r="AD42" s="3143"/>
      <c r="AE42" s="3102"/>
      <c r="AF42" s="1675"/>
      <c r="AG42" s="1675"/>
      <c r="AH42" s="3101"/>
      <c r="AI42" s="3101"/>
      <c r="AJ42" s="1675"/>
      <c r="AK42" s="1675"/>
      <c r="AL42" s="4044"/>
      <c r="AM42" s="4044"/>
      <c r="AN42" s="1675"/>
      <c r="AO42" s="1675"/>
      <c r="AP42" s="3444"/>
      <c r="AQ42" s="3444"/>
      <c r="AR42" s="3101"/>
      <c r="AS42" s="3101"/>
      <c r="AT42" s="1675"/>
      <c r="AU42" s="1675"/>
      <c r="AV42" s="3101"/>
      <c r="AW42" s="3101"/>
      <c r="AX42" s="1675"/>
      <c r="AY42" s="1675"/>
      <c r="AZ42" s="3101"/>
      <c r="BA42" s="3101"/>
      <c r="BB42" s="1675"/>
      <c r="BC42" s="1675"/>
      <c r="BD42" s="3444"/>
      <c r="BE42" s="3444"/>
      <c r="BF42" s="3143"/>
      <c r="BG42" s="3102"/>
      <c r="BH42" s="3101"/>
      <c r="BI42" s="3101"/>
    </row>
    <row r="43" spans="3:61" x14ac:dyDescent="0.25">
      <c r="C43" s="4915"/>
      <c r="D43" s="1732" t="s">
        <v>1561</v>
      </c>
      <c r="E43" s="1778" t="s">
        <v>52</v>
      </c>
      <c r="F43" s="3121">
        <v>94.96</v>
      </c>
      <c r="G43" s="3119">
        <v>96</v>
      </c>
      <c r="H43" s="3123">
        <f>+WRM!E118</f>
        <v>96</v>
      </c>
      <c r="I43" s="3123">
        <f>+WRM!F118</f>
        <v>94.596207163205023</v>
      </c>
      <c r="J43" s="3123">
        <f>+WRM!G118</f>
        <v>95.999999259759036</v>
      </c>
      <c r="K43" s="3123">
        <f>+WRM!H118</f>
        <v>94.668702695016222</v>
      </c>
      <c r="L43" s="3123">
        <f>+WRM!I118</f>
        <v>95.999999587651004</v>
      </c>
      <c r="M43" s="3123">
        <f>+WRM!J118</f>
        <v>94.627623941947874</v>
      </c>
      <c r="N43" s="3123">
        <f>+WRM!K118</f>
        <v>95.999999999999986</v>
      </c>
      <c r="O43" s="3123">
        <f>+WRM!L118</f>
        <v>95.456321129512546</v>
      </c>
      <c r="P43" s="3131">
        <f>+WRM!M118</f>
        <v>95.999999735172409</v>
      </c>
      <c r="Q43" s="3131">
        <f>+WRM!N118</f>
        <v>94.961413207522256</v>
      </c>
      <c r="R43" s="3123">
        <f>+WRM!O118</f>
        <v>96</v>
      </c>
      <c r="S43" s="3123">
        <f>+WRM!P118</f>
        <v>95.334459496788199</v>
      </c>
      <c r="T43" s="3123">
        <f>+WRM!Q118</f>
        <v>95.999999807398112</v>
      </c>
      <c r="U43" s="3123">
        <f>+WRM!R118</f>
        <v>95.067390902173173</v>
      </c>
      <c r="V43" s="3123">
        <f>+WRM!S118</f>
        <v>96</v>
      </c>
      <c r="W43" s="3123">
        <f>+WRM!T118</f>
        <v>95.570778980523386</v>
      </c>
      <c r="X43" s="3123">
        <f>+WRM!U118</f>
        <v>95.999999848669944</v>
      </c>
      <c r="Y43" s="3123">
        <f>+WRM!V118</f>
        <v>95.185504453018098</v>
      </c>
      <c r="Z43" s="3123">
        <f>+WRM!W118</f>
        <v>96</v>
      </c>
      <c r="AA43" s="3123">
        <f>+WRM!X118</f>
        <v>95.574741764835508</v>
      </c>
      <c r="AB43" s="3131">
        <f>+WRM!Y118</f>
        <v>96</v>
      </c>
      <c r="AC43" s="3131">
        <f>+WRM!Z118</f>
        <v>95.496529725021134</v>
      </c>
      <c r="AD43" s="3707">
        <f>+WRM!AA118</f>
        <v>95.999999874612243</v>
      </c>
      <c r="AE43" s="3707">
        <f>+WRM!AB118</f>
        <v>95.257723499231957</v>
      </c>
      <c r="AF43" s="3123">
        <f>+WRM!AC118</f>
        <v>96</v>
      </c>
      <c r="AG43" s="3123">
        <f>+WRM!AD118</f>
        <v>95.682472998185943</v>
      </c>
      <c r="AH43" s="3123">
        <f>+WRM!AE118</f>
        <v>95.999999893518208</v>
      </c>
      <c r="AI43" s="3123">
        <f>+WRM!AF118</f>
        <v>95.328544179725881</v>
      </c>
      <c r="AJ43" s="3123">
        <f>+WRM!AG118</f>
        <v>96</v>
      </c>
      <c r="AK43" s="3123">
        <f>+WRM!AH118</f>
        <v>95.131263440415879</v>
      </c>
      <c r="AL43" s="3123">
        <f>+WRM!AI118</f>
        <v>95.999999907049926</v>
      </c>
      <c r="AM43" s="3123">
        <f>+WRM!AJ118</f>
        <v>95.303786388461504</v>
      </c>
      <c r="AN43" s="3123">
        <f>+WRM!AK118</f>
        <v>96</v>
      </c>
      <c r="AO43" s="3123">
        <f>+WRM!AL118</f>
        <v>95.645899612883454</v>
      </c>
      <c r="AP43" s="3131">
        <f>+WRM!AM118</f>
        <v>96</v>
      </c>
      <c r="AQ43" s="3131">
        <f>+WRM!AN118</f>
        <v>95.50004390929692</v>
      </c>
      <c r="AR43" s="3123">
        <f>+WRM!AO118</f>
        <v>95.999999917860961</v>
      </c>
      <c r="AS43" s="3123">
        <f>+WRM!AP118</f>
        <v>95.344459250918646</v>
      </c>
      <c r="AT43" s="3123">
        <f>+WRM!AQ118</f>
        <v>96</v>
      </c>
      <c r="AU43" s="3123">
        <f>+WRM!AR118</f>
        <v>95.761750628055836</v>
      </c>
      <c r="AV43" s="3123">
        <f>+WRM!AS118</f>
        <v>95.999999926419164</v>
      </c>
      <c r="AW43" s="3123">
        <f>+WRM!AT118</f>
        <v>95.388924902137404</v>
      </c>
      <c r="AX43" s="3123">
        <f>+WRM!AU118</f>
        <v>96</v>
      </c>
      <c r="AY43" s="3123">
        <f>+WRM!AV118</f>
        <v>96.094762629771068</v>
      </c>
      <c r="AZ43" s="3123">
        <f>+WRM!AW118</f>
        <v>95.999999932705379</v>
      </c>
      <c r="BA43" s="3123">
        <f>+WRM!AX118</f>
        <v>95.462014894242245</v>
      </c>
      <c r="BB43" s="3123">
        <f>+WRM!AY118</f>
        <v>96</v>
      </c>
      <c r="BC43" s="3123">
        <f>+WRM!AZ118</f>
        <v>95.901976891538411</v>
      </c>
      <c r="BD43" s="3131">
        <f>+WRM!BA118</f>
        <v>96</v>
      </c>
      <c r="BE43" s="3131">
        <f>+WRM!BB118</f>
        <v>95.923281843695676</v>
      </c>
      <c r="BF43" s="3707">
        <f>+WRM!BC118</f>
        <v>96</v>
      </c>
      <c r="BG43" s="3707">
        <f>+WRM!BD118</f>
        <v>95.719349501648722</v>
      </c>
      <c r="BH43" s="3137">
        <f>+WRM!BE118</f>
        <v>95.999999938560009</v>
      </c>
      <c r="BI43" s="3137">
        <f>+WRM!BF118</f>
        <v>95.505335593423183</v>
      </c>
    </row>
    <row r="44" spans="3:61" x14ac:dyDescent="0.25">
      <c r="C44" s="4915"/>
      <c r="D44" s="1732" t="s">
        <v>1560</v>
      </c>
      <c r="E44" s="1778" t="s">
        <v>52</v>
      </c>
      <c r="F44" s="3121">
        <v>76.984770298805557</v>
      </c>
      <c r="G44" s="3119">
        <v>83.3</v>
      </c>
      <c r="H44" s="3123">
        <f>+WRM!E125</f>
        <v>83.333333333333343</v>
      </c>
      <c r="I44" s="3123">
        <f>+WRM!F125</f>
        <v>72.804810213757847</v>
      </c>
      <c r="J44" s="3123">
        <f>+WRM!G125</f>
        <v>83.333333333333343</v>
      </c>
      <c r="K44" s="3123">
        <f>+WRM!H125</f>
        <v>66.422466422466414</v>
      </c>
      <c r="L44" s="3123">
        <f>+WRM!I125</f>
        <v>83.333333333333343</v>
      </c>
      <c r="M44" s="3123">
        <f>+WRM!J125</f>
        <v>70.050287572645971</v>
      </c>
      <c r="N44" s="3123">
        <f>+WRM!K125</f>
        <v>83.333333333333343</v>
      </c>
      <c r="O44" s="3123">
        <f>+WRM!L125</f>
        <v>80.430544055981414</v>
      </c>
      <c r="P44" s="3131">
        <f>+WRM!M125</f>
        <v>83.333333333333343</v>
      </c>
      <c r="Q44" s="3131">
        <f>+WRM!N125</f>
        <v>73.792353094098743</v>
      </c>
      <c r="R44" s="3123">
        <f>+WRM!O125</f>
        <v>83.333333333333343</v>
      </c>
      <c r="S44" s="3123">
        <f>+WRM!P125</f>
        <v>79.599196331976714</v>
      </c>
      <c r="T44" s="3123">
        <f>+WRM!Q125</f>
        <v>83.333333333333343</v>
      </c>
      <c r="U44" s="3123">
        <f>+WRM!R125</f>
        <v>75.372334087930426</v>
      </c>
      <c r="V44" s="3123">
        <f>+WRM!S125</f>
        <v>83.333333333333343</v>
      </c>
      <c r="W44" s="3123">
        <f>+WRM!T125</f>
        <v>79.824675832920235</v>
      </c>
      <c r="X44" s="3123">
        <f>+WRM!U125</f>
        <v>83.333333333333343</v>
      </c>
      <c r="Y44" s="3123">
        <f>+WRM!V125</f>
        <v>76.315120711562912</v>
      </c>
      <c r="Z44" s="3123">
        <f>+WRM!W125</f>
        <v>83.333333333333343</v>
      </c>
      <c r="AA44" s="3123">
        <f>+WRM!X125</f>
        <v>80.317802316186373</v>
      </c>
      <c r="AB44" s="3131">
        <f>+WRM!Y125</f>
        <v>83.333333333333343</v>
      </c>
      <c r="AC44" s="3131">
        <f>+WRM!Z125</f>
        <v>79.908296217218961</v>
      </c>
      <c r="AD44" s="3707">
        <f>+WRM!AA125</f>
        <v>83.333333333333343</v>
      </c>
      <c r="AE44" s="3707">
        <f>+WRM!AB125</f>
        <v>76.996424314660302</v>
      </c>
      <c r="AF44" s="3123">
        <f>+WRM!AC125</f>
        <v>83.333333333333343</v>
      </c>
      <c r="AG44" s="3123">
        <f>+WRM!AD125</f>
        <v>77.252355487649609</v>
      </c>
      <c r="AH44" s="3123">
        <f>+WRM!AE125</f>
        <v>83.333333333333343</v>
      </c>
      <c r="AI44" s="3123">
        <f>+WRM!AF125</f>
        <v>77.035468707509423</v>
      </c>
      <c r="AJ44" s="3123">
        <f>+WRM!AG125</f>
        <v>83.333333333333343</v>
      </c>
      <c r="AK44" s="3123">
        <f>+WRM!AH125</f>
        <v>76.968581569606926</v>
      </c>
      <c r="AL44" s="4040">
        <f>+WRM!AI125</f>
        <v>83.333333333333343</v>
      </c>
      <c r="AM44" s="4040">
        <f>+WRM!AJ125</f>
        <v>77.02685779079016</v>
      </c>
      <c r="AN44" s="3123">
        <f>+WRM!AK125</f>
        <v>83.333333333333343</v>
      </c>
      <c r="AO44" s="3123">
        <f>+WRM!AL125</f>
        <v>83.440585675950288</v>
      </c>
      <c r="AP44" s="3131">
        <f>+WRM!AM125</f>
        <v>83.333333333333343</v>
      </c>
      <c r="AQ44" s="3131">
        <f>+WRM!AN125</f>
        <v>79.212191411382321</v>
      </c>
      <c r="AR44" s="3137">
        <f>+WRM!AO125</f>
        <v>83.333333333333343</v>
      </c>
      <c r="AS44" s="3137">
        <f>+WRM!AP125</f>
        <v>77.764297782091347</v>
      </c>
      <c r="AT44" s="3123">
        <f>+WRM!AQ125</f>
        <v>83.333333333333343</v>
      </c>
      <c r="AU44" s="3123">
        <f>+WRM!AR125</f>
        <v>82.032582176867166</v>
      </c>
      <c r="AV44" s="3137">
        <f>+WRM!AS125</f>
        <v>83.333333333333343</v>
      </c>
      <c r="AW44" s="3137">
        <f>+WRM!AT125</f>
        <v>78.201733042610883</v>
      </c>
      <c r="AX44" s="3123">
        <f>+WRM!AU125</f>
        <v>83.333333333333343</v>
      </c>
      <c r="AY44" s="3123">
        <f>+WRM!AV125</f>
        <v>89.920439751193399</v>
      </c>
      <c r="AZ44" s="3137">
        <f>+WRM!AW125</f>
        <v>83.333333333333343</v>
      </c>
      <c r="BA44" s="3137">
        <f>+WRM!AX125</f>
        <v>79.198154052032876</v>
      </c>
      <c r="BB44" s="3123">
        <f>+WRM!AY125</f>
        <v>83.333333333333343</v>
      </c>
      <c r="BC44" s="3123">
        <f>+WRM!AZ125</f>
        <v>83.376743946153653</v>
      </c>
      <c r="BD44" s="3131">
        <f>+WRM!BA125</f>
        <v>83.333333333333343</v>
      </c>
      <c r="BE44" s="3131">
        <f>+WRM!BB125</f>
        <v>84.946304088425535</v>
      </c>
      <c r="BF44" s="3707">
        <f>+WRM!BC125</f>
        <v>83.333333333333343</v>
      </c>
      <c r="BG44" s="3707">
        <f>+WRM!BD125</f>
        <v>82.025894897182027</v>
      </c>
      <c r="BH44" s="3137">
        <f>+WRM!BE125</f>
        <v>83.333333333333343</v>
      </c>
      <c r="BI44" s="3137">
        <f>+WRM!BF125</f>
        <v>79.562037238737076</v>
      </c>
    </row>
    <row r="45" spans="3:61" x14ac:dyDescent="0.25">
      <c r="C45" s="4915"/>
      <c r="D45" s="1732" t="s">
        <v>344</v>
      </c>
      <c r="E45" s="1778" t="s">
        <v>609</v>
      </c>
      <c r="F45" s="3121">
        <v>74.876910319246917</v>
      </c>
      <c r="G45" s="3119">
        <v>78</v>
      </c>
      <c r="H45" s="3123">
        <f>+WRM!E134</f>
        <v>78.571428571428569</v>
      </c>
      <c r="I45" s="3123">
        <f>+WRM!F134</f>
        <v>70.815084042785415</v>
      </c>
      <c r="J45" s="3123">
        <f>+WRM!G134</f>
        <v>76.851851851851848</v>
      </c>
      <c r="K45" s="3123">
        <f>+WRM!H134</f>
        <v>78.064222689075621</v>
      </c>
      <c r="L45" s="3123">
        <f>+WRM!I134</f>
        <v>77.604166666666671</v>
      </c>
      <c r="M45" s="3123">
        <f>+WRM!J134</f>
        <v>73.781674762498398</v>
      </c>
      <c r="N45" s="3123">
        <f>+WRM!K134</f>
        <v>76.851851851851848</v>
      </c>
      <c r="O45" s="3123">
        <f>+WRM!L134</f>
        <v>77.429468021518261</v>
      </c>
      <c r="P45" s="3131">
        <f>+WRM!M134</f>
        <v>77.333333333333329</v>
      </c>
      <c r="Q45" s="3131">
        <f>+WRM!N134</f>
        <v>75.214994780793333</v>
      </c>
      <c r="R45" s="3123">
        <f>+WRM!O134</f>
        <v>77.678571428571431</v>
      </c>
      <c r="S45" s="3123">
        <f>+WRM!P134</f>
        <v>74.440036243608816</v>
      </c>
      <c r="T45" s="3123">
        <f>+WRM!Q134</f>
        <v>77.427184466019412</v>
      </c>
      <c r="U45" s="3123">
        <f>+WRM!R134</f>
        <v>74.992311840955153</v>
      </c>
      <c r="V45" s="3123">
        <f>+WRM!S134</f>
        <v>77.678571428571431</v>
      </c>
      <c r="W45" s="3123">
        <f>+WRM!T134</f>
        <v>81.033827951366206</v>
      </c>
      <c r="X45" s="3123">
        <f>+WRM!U134</f>
        <v>77.480916030534345</v>
      </c>
      <c r="Y45" s="3123">
        <f>+WRM!V134</f>
        <v>76.330439126091321</v>
      </c>
      <c r="Z45" s="3123">
        <f>+WRM!W134</f>
        <v>77.777777777777771</v>
      </c>
      <c r="AA45" s="3123">
        <f>+WRM!X134</f>
        <v>80.810777278519197</v>
      </c>
      <c r="AB45" s="3131">
        <f>+WRM!Y134</f>
        <v>77.710843373493972</v>
      </c>
      <c r="AC45" s="3131">
        <f>+WRM!Z134</f>
        <v>78.729697766097246</v>
      </c>
      <c r="AD45" s="3707">
        <f>+WRM!AA134</f>
        <v>77.531645569620252</v>
      </c>
      <c r="AE45" s="3707">
        <f>+WRM!AB134</f>
        <v>77.125941890926413</v>
      </c>
      <c r="AF45" s="3123">
        <f>+WRM!AC134</f>
        <v>77.678571428571431</v>
      </c>
      <c r="AG45" s="3123">
        <f>+WRM!AD134</f>
        <v>85.694959949896173</v>
      </c>
      <c r="AH45" s="3123">
        <f>+WRM!AE134</f>
        <v>77.553763440860209</v>
      </c>
      <c r="AI45" s="3123">
        <f>+WRM!AF134</f>
        <v>78.436896170895182</v>
      </c>
      <c r="AJ45" s="3123">
        <f>+WRM!AG134</f>
        <v>77.777777777777771</v>
      </c>
      <c r="AK45" s="3123">
        <f>+WRM!AH134</f>
        <v>76.186473099914608</v>
      </c>
      <c r="AL45" s="4040">
        <f>+WRM!AI134</f>
        <v>77.582159624413151</v>
      </c>
      <c r="AM45" s="4040">
        <f>+WRM!AJ134</f>
        <v>78.147400383175395</v>
      </c>
      <c r="AN45" s="3123">
        <f>+WRM!AK134</f>
        <v>77.678571428571431</v>
      </c>
      <c r="AO45" s="3123">
        <f>+WRM!AL134</f>
        <v>75.081969588159978</v>
      </c>
      <c r="AP45" s="3131">
        <f>+WRM!AM134</f>
        <v>77.710843373493972</v>
      </c>
      <c r="AQ45" s="3131">
        <f>+WRM!AN134</f>
        <v>78.948234267069708</v>
      </c>
      <c r="AR45" s="3137">
        <f>+WRM!AO134</f>
        <v>77.593360995850617</v>
      </c>
      <c r="AS45" s="3137">
        <f>+WRM!AP134</f>
        <v>77.769214981567671</v>
      </c>
      <c r="AT45" s="3123">
        <f>+WRM!AQ134</f>
        <v>77.678571428571431</v>
      </c>
      <c r="AU45" s="3123">
        <f>+WRM!AR134</f>
        <v>77.229996802046699</v>
      </c>
      <c r="AV45" s="3137">
        <f>+WRM!AS134</f>
        <v>77.60223048327137</v>
      </c>
      <c r="AW45" s="3137">
        <f>+WRM!AT134</f>
        <v>77.711246093602227</v>
      </c>
      <c r="AX45" s="3123">
        <f>+WRM!AU134</f>
        <v>78</v>
      </c>
      <c r="AY45" s="3123">
        <f>+WRM!AV134</f>
        <v>84.43512113509864</v>
      </c>
      <c r="AZ45" s="3137">
        <f>+WRM!AW134</f>
        <v>77.636054421768705</v>
      </c>
      <c r="BA45" s="3137">
        <f>+WRM!AX134</f>
        <v>78.36036788321168</v>
      </c>
      <c r="BB45" s="3123">
        <f>+WRM!AY134</f>
        <v>77.678571428571431</v>
      </c>
      <c r="BC45" s="3123">
        <f>+WRM!AZ134</f>
        <v>85.484828802078496</v>
      </c>
      <c r="BD45" s="3131">
        <f>+WRM!BA134</f>
        <v>77.777777777777771</v>
      </c>
      <c r="BE45" s="3131">
        <f>+WRM!BB134</f>
        <v>82.41397520119979</v>
      </c>
      <c r="BF45" s="3707">
        <f>+WRM!BC134</f>
        <v>77.743902439024396</v>
      </c>
      <c r="BG45" s="3707">
        <f>+WRM!BD134</f>
        <v>80.709406025085727</v>
      </c>
      <c r="BH45" s="3137">
        <f>+WRM!BE134</f>
        <v>77.639751552795033</v>
      </c>
      <c r="BI45" s="3137">
        <f>+WRM!BF134</f>
        <v>79.010532430471812</v>
      </c>
    </row>
    <row r="46" spans="3:61" x14ac:dyDescent="0.25">
      <c r="C46" s="4915"/>
      <c r="D46" s="758" t="s">
        <v>95</v>
      </c>
      <c r="E46" s="1778"/>
      <c r="F46" s="3119"/>
      <c r="G46" s="3119"/>
      <c r="H46" s="3123"/>
      <c r="I46" s="3124"/>
      <c r="J46" s="3123"/>
      <c r="K46" s="3124"/>
      <c r="L46" s="3129"/>
      <c r="M46" s="3130"/>
      <c r="N46" s="3123"/>
      <c r="O46" s="3124"/>
      <c r="P46" s="3131"/>
      <c r="Q46" s="3132"/>
      <c r="R46" s="3123"/>
      <c r="S46" s="3124"/>
      <c r="T46" s="3137"/>
      <c r="U46" s="3138"/>
      <c r="V46" s="3123"/>
      <c r="W46" s="3124"/>
      <c r="X46" s="3137"/>
      <c r="Y46" s="3138"/>
      <c r="Z46" s="3123"/>
      <c r="AA46" s="3124"/>
      <c r="AB46" s="3131"/>
      <c r="AC46" s="3131"/>
      <c r="AD46" s="3707"/>
      <c r="AE46" s="3707"/>
      <c r="AF46" s="1675"/>
      <c r="AG46" s="1675"/>
      <c r="AH46" s="3101"/>
      <c r="AI46" s="3101"/>
      <c r="AJ46" s="1675"/>
      <c r="AK46" s="1675"/>
      <c r="AL46" s="4044"/>
      <c r="AM46" s="4044"/>
      <c r="AN46" s="1675"/>
      <c r="AO46" s="1675"/>
      <c r="AP46" s="3131"/>
      <c r="AQ46" s="3131"/>
      <c r="AR46" s="3101"/>
      <c r="AS46" s="3101"/>
      <c r="AT46" s="1675"/>
      <c r="AU46" s="1675"/>
      <c r="AV46" s="3101"/>
      <c r="AW46" s="3101"/>
      <c r="AX46" s="1675"/>
      <c r="AY46" s="1675"/>
      <c r="AZ46" s="3101"/>
      <c r="BA46" s="3101"/>
      <c r="BB46" s="1675"/>
      <c r="BC46" s="1675"/>
      <c r="BD46" s="3131"/>
      <c r="BE46" s="3131"/>
      <c r="BF46" s="3707"/>
      <c r="BG46" s="3707"/>
      <c r="BH46" s="3137"/>
      <c r="BI46" s="3137"/>
    </row>
    <row r="47" spans="3:61" x14ac:dyDescent="0.25">
      <c r="C47" s="4915"/>
      <c r="D47" s="1732" t="s">
        <v>1561</v>
      </c>
      <c r="E47" s="1778" t="s">
        <v>52</v>
      </c>
      <c r="F47" s="3121">
        <v>95.18</v>
      </c>
      <c r="G47" s="3117">
        <v>96.5</v>
      </c>
      <c r="H47" s="3123">
        <f>+BM!E55</f>
        <v>96.499692955522406</v>
      </c>
      <c r="I47" s="3123">
        <f>+BM!F55</f>
        <v>96.011264594413277</v>
      </c>
      <c r="J47" s="3123">
        <f>+BM!G55</f>
        <v>96.499999073600009</v>
      </c>
      <c r="K47" s="3123">
        <f>+BM!H55</f>
        <v>92.888093432934895</v>
      </c>
      <c r="L47" s="3123">
        <f>+BM!I55</f>
        <v>0</v>
      </c>
      <c r="M47" s="3123">
        <f>+BM!J55</f>
        <v>94.236964454225102</v>
      </c>
      <c r="N47" s="3123">
        <f>+BM!K55</f>
        <v>96.499999999999986</v>
      </c>
      <c r="O47" s="3123">
        <f>+BM!L55</f>
        <v>95.58845021424294</v>
      </c>
      <c r="P47" s="3131">
        <f>+BM!M55</f>
        <v>96.499914740201092</v>
      </c>
      <c r="Q47" s="3131">
        <f>+BM!N55</f>
        <v>94.800590673353142</v>
      </c>
      <c r="R47" s="3123">
        <f>+BM!O55</f>
        <v>96.499999999999986</v>
      </c>
      <c r="S47" s="3123">
        <f>+BM!P55</f>
        <v>95.686747411751654</v>
      </c>
      <c r="T47" s="3123">
        <f>+BM!Q55</f>
        <v>0</v>
      </c>
      <c r="U47" s="3123">
        <f>+BM!R55</f>
        <v>95.056745030422121</v>
      </c>
      <c r="V47" s="3123">
        <f>+BM!S55</f>
        <v>96.499999999999986</v>
      </c>
      <c r="W47" s="3123">
        <f>+BM!T55</f>
        <v>95.432255558505744</v>
      </c>
      <c r="X47" s="3123">
        <f>+BM!U55</f>
        <v>96.49995373271841</v>
      </c>
      <c r="Y47" s="3123">
        <f>+BM!V55</f>
        <v>95.140232088295534</v>
      </c>
      <c r="Z47" s="3123">
        <f>+BM!W55</f>
        <v>96.499999999999986</v>
      </c>
      <c r="AA47" s="3123">
        <f>+BM!X55</f>
        <v>95.664507991741857</v>
      </c>
      <c r="AB47" s="3131">
        <f>+BM!Y55</f>
        <v>96.499999999999986</v>
      </c>
      <c r="AC47" s="3131">
        <f>+BM!Z55</f>
        <v>95.597081134998788</v>
      </c>
      <c r="AD47" s="3707">
        <f>+BM!AA55</f>
        <v>96.499962133199205</v>
      </c>
      <c r="AE47" s="3707">
        <f>+BM!AB55</f>
        <v>95.243249612809748</v>
      </c>
      <c r="AF47" s="3123">
        <f>+BM!AC55</f>
        <v>96.499999999999986</v>
      </c>
      <c r="AG47" s="3123">
        <f>+BM!AD55</f>
        <v>95.863567940492786</v>
      </c>
      <c r="AH47" s="3123">
        <f>+BM!AE55</f>
        <v>96.499968102787008</v>
      </c>
      <c r="AI47" s="3123">
        <f>+BM!AF55</f>
        <v>95.355911053414687</v>
      </c>
      <c r="AJ47" s="3123">
        <f>+BM!AG55</f>
        <v>96.499999999999986</v>
      </c>
      <c r="AK47" s="3123">
        <f>+BM!AH55</f>
        <v>95.567757430122185</v>
      </c>
      <c r="AL47" s="3123">
        <f>+BM!AI55</f>
        <v>96.499972334048735</v>
      </c>
      <c r="AM47" s="3123">
        <f>+BM!AJ55</f>
        <v>95.385024514797578</v>
      </c>
      <c r="AN47" s="3123">
        <f>+BM!AK55</f>
        <v>96.499999999999986</v>
      </c>
      <c r="AO47" s="3123">
        <f>+BM!AL55</f>
        <v>96.081063677336104</v>
      </c>
      <c r="AP47" s="3131">
        <f>+BM!AM55</f>
        <v>96.5</v>
      </c>
      <c r="AQ47" s="3131">
        <f>+BM!AN55</f>
        <v>95.856019293384435</v>
      </c>
      <c r="AR47" s="3123">
        <f>+BM!AO55</f>
        <v>96.49997566190919</v>
      </c>
      <c r="AS47" s="3123">
        <f>+BM!AP55</f>
        <v>95.486553359378931</v>
      </c>
      <c r="AT47" s="3123">
        <f>+BM!AQ55</f>
        <v>96.499999999999986</v>
      </c>
      <c r="AU47" s="3123">
        <f>+BM!AR55</f>
        <v>95.735001138312896</v>
      </c>
      <c r="AV47" s="3123">
        <f>+BM!AS55</f>
        <v>96.499978275133088</v>
      </c>
      <c r="AW47" s="3123">
        <f>+BM!AT55</f>
        <v>95.519053628663002</v>
      </c>
      <c r="AX47" s="3123">
        <f>+BM!AU55</f>
        <v>96.5</v>
      </c>
      <c r="AY47" s="3123">
        <f>+BM!AV55</f>
        <v>94.502870869031838</v>
      </c>
      <c r="AZ47" s="3123">
        <f>+BM!AW55</f>
        <v>96.499980151804948</v>
      </c>
      <c r="BA47" s="3123">
        <f>+BM!AX55</f>
        <v>95.434242876117409</v>
      </c>
      <c r="BB47" s="3123">
        <f>+BM!AY55</f>
        <v>96.499999999999986</v>
      </c>
      <c r="BC47" s="3123">
        <f>+BM!AZ55</f>
        <v>95.335491381273812</v>
      </c>
      <c r="BD47" s="3131">
        <f>+BM!BA55</f>
        <v>96.5</v>
      </c>
      <c r="BE47" s="3131">
        <f>+BM!BB55</f>
        <v>95.267916432663696</v>
      </c>
      <c r="BF47" s="3707">
        <f>+BM!BC55</f>
        <v>96.500000000000014</v>
      </c>
      <c r="BG47" s="3707">
        <f>+BM!BD55</f>
        <v>95.56048697301776</v>
      </c>
      <c r="BH47" s="3137">
        <f>+BM!BE55</f>
        <v>96.499981924910045</v>
      </c>
      <c r="BI47" s="3137">
        <f>+BM!BF55</f>
        <v>95.423965808878961</v>
      </c>
    </row>
    <row r="48" spans="3:61" x14ac:dyDescent="0.25">
      <c r="C48" s="4915"/>
      <c r="D48" s="1732" t="s">
        <v>1560</v>
      </c>
      <c r="E48" s="1778" t="s">
        <v>52</v>
      </c>
      <c r="F48" s="3119">
        <v>58.716540407819409</v>
      </c>
      <c r="G48" s="3119">
        <v>83.3</v>
      </c>
      <c r="H48" s="3123">
        <f>+BM!E62</f>
        <v>83.333333333333343</v>
      </c>
      <c r="I48" s="3123">
        <f>+BM!F62</f>
        <v>66.861372677375499</v>
      </c>
      <c r="J48" s="3123">
        <f>+BM!G62</f>
        <v>83.333333333333343</v>
      </c>
      <c r="K48" s="3123">
        <f>+BM!H62</f>
        <v>62.486760647422997</v>
      </c>
      <c r="L48" s="3123">
        <f>+BM!I62</f>
        <v>83.333333333333343</v>
      </c>
      <c r="M48" s="3123">
        <f>+BM!J62</f>
        <v>63.93275632490014</v>
      </c>
      <c r="N48" s="3123">
        <f>+BM!K62</f>
        <v>83.333333333333343</v>
      </c>
      <c r="O48" s="3123">
        <f>+BM!L62</f>
        <v>67.46588072858583</v>
      </c>
      <c r="P48" s="3131">
        <f>+BM!M62</f>
        <v>83.333333333333343</v>
      </c>
      <c r="Q48" s="3131">
        <f>+BM!N62</f>
        <v>65.294141720038482</v>
      </c>
      <c r="R48" s="3123">
        <f>+BM!O62</f>
        <v>83.333333333333343</v>
      </c>
      <c r="S48" s="3123">
        <f>+BM!P62</f>
        <v>64.178140580196839</v>
      </c>
      <c r="T48" s="3123">
        <f>+BM!Q62</f>
        <v>83.333333333333343</v>
      </c>
      <c r="U48" s="3123">
        <f>+BM!R62</f>
        <v>64.977538053395676</v>
      </c>
      <c r="V48" s="3123">
        <f>+BM!S62</f>
        <v>83.333333333333343</v>
      </c>
      <c r="W48" s="3123">
        <f>+BM!T62</f>
        <v>66.765450861195546</v>
      </c>
      <c r="X48" s="3123">
        <f>+BM!U62</f>
        <v>83.333333333333343</v>
      </c>
      <c r="Y48" s="3123">
        <f>+BM!V62</f>
        <v>65.378752138598216</v>
      </c>
      <c r="Z48" s="3123">
        <f>+BM!W62</f>
        <v>83.333333333333343</v>
      </c>
      <c r="AA48" s="3123">
        <f>+BM!X62</f>
        <v>68.743758421177787</v>
      </c>
      <c r="AB48" s="3131">
        <f>+BM!Y62</f>
        <v>83.333333333333343</v>
      </c>
      <c r="AC48" s="3131">
        <f>+BM!Z62</f>
        <v>66.547629306630355</v>
      </c>
      <c r="AD48" s="3707">
        <f>+BM!AA62</f>
        <v>83.333333333333343</v>
      </c>
      <c r="AE48" s="3707">
        <f>+BM!AB62</f>
        <v>65.974535044718024</v>
      </c>
      <c r="AF48" s="3123">
        <f>+BM!AC62</f>
        <v>83.333333333333343</v>
      </c>
      <c r="AG48" s="3123">
        <f>+BM!AD62</f>
        <v>74.230028271910726</v>
      </c>
      <c r="AH48" s="3123">
        <f>+BM!AE62</f>
        <v>83.333333333333343</v>
      </c>
      <c r="AI48" s="3123">
        <f>+BM!AF62</f>
        <v>67.274869656713406</v>
      </c>
      <c r="AJ48" s="3123">
        <f>+BM!AG62</f>
        <v>83.333333333333343</v>
      </c>
      <c r="AK48" s="3123">
        <f>+BM!AH62</f>
        <v>73.033855191041894</v>
      </c>
      <c r="AL48" s="4040">
        <f>+BM!AI62</f>
        <v>83.333333333333343</v>
      </c>
      <c r="AM48" s="4040">
        <f>+BM!AJ62</f>
        <v>68.027243512878314</v>
      </c>
      <c r="AN48" s="3123">
        <f>+BM!AK62</f>
        <v>83.333333333333343</v>
      </c>
      <c r="AO48" s="3123">
        <f>+BM!AL62</f>
        <v>77.54527870582028</v>
      </c>
      <c r="AP48" s="3131">
        <f>+BM!AM62</f>
        <v>83.333333333333343</v>
      </c>
      <c r="AQ48" s="3131">
        <f>+BM!AN62</f>
        <v>74.962471694752821</v>
      </c>
      <c r="AR48" s="3137">
        <f>+BM!AO62</f>
        <v>83.333333333333343</v>
      </c>
      <c r="AS48" s="3137">
        <f>+BM!AP62</f>
        <v>69.169568428827674</v>
      </c>
      <c r="AT48" s="3123">
        <f>+BM!AQ62</f>
        <v>83.333333333333343</v>
      </c>
      <c r="AU48" s="3123">
        <f>+BM!AR62</f>
        <v>77.224037073615449</v>
      </c>
      <c r="AV48" s="3137">
        <f>+BM!AS62</f>
        <v>83.333333333333343</v>
      </c>
      <c r="AW48" s="3137">
        <f>+BM!AT62</f>
        <v>70.026455881719045</v>
      </c>
      <c r="AX48" s="3123">
        <f>+BM!AU62</f>
        <v>83.333333333333343</v>
      </c>
      <c r="AY48" s="3123">
        <f>+BM!AV62</f>
        <v>68.120445172589129</v>
      </c>
      <c r="AZ48" s="3137">
        <f>+BM!AW62</f>
        <v>83.333333333333343</v>
      </c>
      <c r="BA48" s="3137">
        <f>+BM!AX62</f>
        <v>69.860496918241154</v>
      </c>
      <c r="BB48" s="3123">
        <f>+BM!AY62</f>
        <v>83.333333333333343</v>
      </c>
      <c r="BC48" s="3123">
        <f>+BM!AZ62</f>
        <v>77.975885069266312</v>
      </c>
      <c r="BD48" s="3131">
        <f>+BM!BA62</f>
        <v>83.333333333333343</v>
      </c>
      <c r="BE48" s="3131">
        <f>+BM!BB62</f>
        <v>74.651140325456026</v>
      </c>
      <c r="BF48" s="3707">
        <f>+BM!BC62</f>
        <v>83.333333333333343</v>
      </c>
      <c r="BG48" s="3707">
        <f>+BM!BD62</f>
        <v>74.809519289677382</v>
      </c>
      <c r="BH48" s="3137">
        <f>+BM!BE62</f>
        <v>83.333333333333343</v>
      </c>
      <c r="BI48" s="3137">
        <f>+BM!BF62</f>
        <v>70.570465430486166</v>
      </c>
    </row>
    <row r="49" spans="3:61" x14ac:dyDescent="0.25">
      <c r="C49" s="4915"/>
      <c r="D49" s="1732" t="s">
        <v>344</v>
      </c>
      <c r="E49" s="1778" t="s">
        <v>609</v>
      </c>
      <c r="F49" s="3119">
        <v>122.48869035978987</v>
      </c>
      <c r="G49" s="3119">
        <v>78</v>
      </c>
      <c r="H49" s="3123">
        <f>+BM!E71</f>
        <v>115.78947368421052</v>
      </c>
      <c r="I49" s="3123">
        <f>+BM!F71</f>
        <v>142.21676457297784</v>
      </c>
      <c r="J49" s="3123">
        <f>+BM!G71</f>
        <v>113.63636363636364</v>
      </c>
      <c r="K49" s="3123">
        <f>+BM!H71</f>
        <v>95.675563407181059</v>
      </c>
      <c r="L49" s="3123">
        <f>+BM!I71</f>
        <v>114.63414634146342</v>
      </c>
      <c r="M49" s="3123">
        <f>+BM!J71</f>
        <v>111.76411321815739</v>
      </c>
      <c r="N49" s="3123">
        <f>+BM!K71</f>
        <v>120.37037037037037</v>
      </c>
      <c r="O49" s="3123">
        <f>+BM!L71</f>
        <v>122.57927506001809</v>
      </c>
      <c r="P49" s="3131">
        <f>+BM!M71</f>
        <v>116.91176470588235</v>
      </c>
      <c r="Q49" s="3131">
        <f>+BM!N71</f>
        <v>116.07002528995703</v>
      </c>
      <c r="R49" s="3123">
        <f>+BM!O71</f>
        <v>119.64285714285714</v>
      </c>
      <c r="S49" s="3123">
        <f>+BM!P71</f>
        <v>122.4530590887136</v>
      </c>
      <c r="T49" s="3123">
        <f>+BM!Q71</f>
        <v>117.70833333333333</v>
      </c>
      <c r="U49" s="3123">
        <f>+BM!R71</f>
        <v>117.85858039019305</v>
      </c>
      <c r="V49" s="3123">
        <f>+BM!S71</f>
        <v>119.64285714285714</v>
      </c>
      <c r="W49" s="3123">
        <f>+BM!T71</f>
        <v>113.86023749004133</v>
      </c>
      <c r="X49" s="3123">
        <f>+BM!U71</f>
        <v>118.14516129032258</v>
      </c>
      <c r="Y49" s="3123">
        <f>+BM!V71</f>
        <v>116.94230709042033</v>
      </c>
      <c r="Z49" s="3123">
        <f>+BM!W71</f>
        <v>120.37037037037037</v>
      </c>
      <c r="AA49" s="3123">
        <f>+BM!X71</f>
        <v>127.08098323610118</v>
      </c>
      <c r="AB49" s="3131">
        <f>+BM!Y71</f>
        <v>119.87951807228916</v>
      </c>
      <c r="AC49" s="3131">
        <f>+BM!Z71</f>
        <v>121.07939582923268</v>
      </c>
      <c r="AD49" s="3707">
        <f>+BM!AA71</f>
        <v>118.54304635761589</v>
      </c>
      <c r="AE49" s="3707">
        <f>+BM!AB71</f>
        <v>118.81273228731663</v>
      </c>
      <c r="AF49" s="3123">
        <f>+BM!AC71</f>
        <v>119.64285714285714</v>
      </c>
      <c r="AG49" s="3123">
        <f>+BM!AD71</f>
        <v>126.17392901681886</v>
      </c>
      <c r="AH49" s="3123">
        <f>+BM!AE71</f>
        <v>118.71508379888269</v>
      </c>
      <c r="AI49" s="3123">
        <f>+BM!AF71</f>
        <v>120.09207612821594</v>
      </c>
      <c r="AJ49" s="3123">
        <f>+BM!AG71</f>
        <v>120.37037037037037</v>
      </c>
      <c r="AK49" s="3123">
        <f>+BM!AH71</f>
        <v>117.72150807899456</v>
      </c>
      <c r="AL49" s="4040">
        <f>+BM!AI71</f>
        <v>118.93203883495146</v>
      </c>
      <c r="AM49" s="4040">
        <f>+BM!AJ71</f>
        <v>119.7595839083007</v>
      </c>
      <c r="AN49" s="3123">
        <f>+BM!AK71</f>
        <v>119.64285714285714</v>
      </c>
      <c r="AO49" s="3123">
        <f>+BM!AL71</f>
        <v>132.43014577259473</v>
      </c>
      <c r="AP49" s="3131">
        <f>+BM!AM71</f>
        <v>119.87951807228916</v>
      </c>
      <c r="AQ49" s="3131">
        <f>+BM!AN71</f>
        <v>125.69569629705052</v>
      </c>
      <c r="AR49" s="3137">
        <f>+BM!AO71</f>
        <v>119.01709401709402</v>
      </c>
      <c r="AS49" s="3137">
        <f>+BM!AP71</f>
        <v>121.46440383207225</v>
      </c>
      <c r="AT49" s="3123">
        <f>+BM!AQ71</f>
        <v>119.64285714285714</v>
      </c>
      <c r="AU49" s="3123">
        <f>+BM!AR71</f>
        <v>137.93393015248401</v>
      </c>
      <c r="AV49" s="3137">
        <f>+BM!AS71</f>
        <v>119.08396946564885</v>
      </c>
      <c r="AW49" s="3137">
        <f>+BM!AT71</f>
        <v>123.39663174660575</v>
      </c>
      <c r="AX49" s="3123">
        <f>+BM!AU71</f>
        <v>118</v>
      </c>
      <c r="AY49" s="3123">
        <f>+BM!AV71</f>
        <v>119.92205174987558</v>
      </c>
      <c r="AZ49" s="3137">
        <f>+BM!AW71</f>
        <v>118.98954703832753</v>
      </c>
      <c r="BA49" s="3137">
        <f>+BM!AX71</f>
        <v>123.10163073900783</v>
      </c>
      <c r="BB49" s="3123">
        <f>+BM!AY71</f>
        <v>119.64285714285714</v>
      </c>
      <c r="BC49" s="3123">
        <f>+BM!AZ71</f>
        <v>133.39293962822831</v>
      </c>
      <c r="BD49" s="3131">
        <f>+BM!BA71</f>
        <v>119.1358024691358</v>
      </c>
      <c r="BE49" s="3131">
        <f>+BM!BB71</f>
        <v>131.20031291908805</v>
      </c>
      <c r="BF49" s="3707">
        <f>+BM!BC71</f>
        <v>119.51219512195122</v>
      </c>
      <c r="BG49" s="3707">
        <f>+BM!BD71</f>
        <v>128.39430606418867</v>
      </c>
      <c r="BH49" s="3137">
        <f>+BM!BE71</f>
        <v>119.04761904761905</v>
      </c>
      <c r="BI49" s="3137">
        <f>+BM!BF71</f>
        <v>124.09643522729438</v>
      </c>
    </row>
    <row r="50" spans="3:61" x14ac:dyDescent="0.25">
      <c r="C50" s="4915"/>
      <c r="D50" s="758" t="s">
        <v>115</v>
      </c>
      <c r="E50" s="1778"/>
      <c r="F50" s="3119"/>
      <c r="G50" s="3119"/>
      <c r="H50" s="3123"/>
      <c r="I50" s="3124"/>
      <c r="J50" s="3123"/>
      <c r="K50" s="3124"/>
      <c r="L50" s="3129"/>
      <c r="M50" s="3130"/>
      <c r="N50" s="3123"/>
      <c r="O50" s="3124"/>
      <c r="P50" s="3131"/>
      <c r="Q50" s="3132"/>
      <c r="R50" s="3123"/>
      <c r="S50" s="3124"/>
      <c r="T50" s="3137"/>
      <c r="U50" s="3138"/>
      <c r="V50" s="3123"/>
      <c r="W50" s="3124"/>
      <c r="X50" s="3137"/>
      <c r="Y50" s="3138"/>
      <c r="Z50" s="3123"/>
      <c r="AA50" s="3124"/>
      <c r="AB50" s="3131"/>
      <c r="AC50" s="3131"/>
      <c r="AD50" s="3707"/>
      <c r="AE50" s="3707"/>
      <c r="AF50" s="1675"/>
      <c r="AG50" s="1675"/>
      <c r="AH50" s="3101"/>
      <c r="AI50" s="3101"/>
      <c r="AJ50" s="1675"/>
      <c r="AK50" s="1675"/>
      <c r="AL50" s="4044"/>
      <c r="AM50" s="4044"/>
      <c r="AN50" s="1675"/>
      <c r="AO50" s="1675"/>
      <c r="AP50" s="3131"/>
      <c r="AQ50" s="3131"/>
      <c r="AR50" s="3101"/>
      <c r="AS50" s="3101"/>
      <c r="AT50" s="1675"/>
      <c r="AU50" s="1675"/>
      <c r="AV50" s="3101"/>
      <c r="AW50" s="3101"/>
      <c r="AX50" s="1675"/>
      <c r="AY50" s="1675"/>
      <c r="AZ50" s="3101"/>
      <c r="BA50" s="3101"/>
      <c r="BB50" s="1675"/>
      <c r="BC50" s="1675"/>
      <c r="BD50" s="3131"/>
      <c r="BE50" s="3131"/>
      <c r="BF50" s="3707"/>
      <c r="BG50" s="3707"/>
      <c r="BH50" s="3137"/>
      <c r="BI50" s="3137"/>
    </row>
    <row r="51" spans="3:61" x14ac:dyDescent="0.25">
      <c r="C51" s="4915"/>
      <c r="D51" s="1732" t="s">
        <v>1561</v>
      </c>
      <c r="E51" s="1778" t="s">
        <v>52</v>
      </c>
      <c r="F51" s="3119">
        <v>95.27</v>
      </c>
      <c r="G51" s="3117">
        <v>95.7</v>
      </c>
      <c r="H51" s="3123">
        <f>+USM!F45</f>
        <v>95.702938080199061</v>
      </c>
      <c r="I51" s="3123">
        <f>+USM!G45</f>
        <v>93.890167951223006</v>
      </c>
      <c r="J51" s="3123" t="e">
        <f>+USM!H45</f>
        <v>#DIV/0!</v>
      </c>
      <c r="K51" s="3123">
        <f>+USM!I45</f>
        <v>91.729935514515063</v>
      </c>
      <c r="L51" s="3123">
        <f>+USM!J45</f>
        <v>95.702938080199061</v>
      </c>
      <c r="M51" s="3123">
        <f>+USM!K45</f>
        <v>93.324329424589052</v>
      </c>
      <c r="N51" s="3123">
        <f>+USM!L45</f>
        <v>95.7</v>
      </c>
      <c r="O51" s="3123">
        <f>+USM!M45</f>
        <v>93.15056003309347</v>
      </c>
      <c r="P51" s="3131">
        <f>+USM!N45</f>
        <v>95.700587601607879</v>
      </c>
      <c r="Q51" s="3131">
        <f>+USM!O45</f>
        <v>93.24235561351253</v>
      </c>
      <c r="R51" s="3123">
        <f>+USM!P45</f>
        <v>95.7</v>
      </c>
      <c r="S51" s="3123">
        <f>+USM!Q45</f>
        <v>93.442549163692604</v>
      </c>
      <c r="T51" s="3123">
        <f>+USM!R45</f>
        <v>95.700326444446873</v>
      </c>
      <c r="U51" s="3123">
        <f>+USM!S45</f>
        <v>93.349828496567596</v>
      </c>
      <c r="V51" s="3123">
        <f>+USM!T45</f>
        <v>95.7</v>
      </c>
      <c r="W51" s="3123">
        <f>+USM!U45</f>
        <v>93.615564413689953</v>
      </c>
      <c r="X51" s="3123">
        <f>+USM!V45</f>
        <v>95.7002176293838</v>
      </c>
      <c r="Y51" s="3123">
        <f>+USM!W45</f>
        <v>93.429510397564727</v>
      </c>
      <c r="Z51" s="3123">
        <f>+USM!X45</f>
        <v>95.7</v>
      </c>
      <c r="AA51" s="3123">
        <f>+USM!Y45</f>
        <v>92.464122045798661</v>
      </c>
      <c r="AB51" s="3131">
        <f>+USM!Z45</f>
        <v>95.7</v>
      </c>
      <c r="AC51" s="3131">
        <f>+USM!AA45</f>
        <v>93.348518052887798</v>
      </c>
      <c r="AD51" s="3707">
        <f>+USM!AB45</f>
        <v>95.700163221945061</v>
      </c>
      <c r="AE51" s="3707">
        <f>+USM!AC45</f>
        <v>93.318066210905442</v>
      </c>
      <c r="AF51" s="3123">
        <f>+USM!AD45</f>
        <v>95.7</v>
      </c>
      <c r="AG51" s="3123">
        <f>+USM!AE45</f>
        <v>93.477831550160275</v>
      </c>
      <c r="AH51" s="3123">
        <f>+USM!AF45</f>
        <v>95.700130577511516</v>
      </c>
      <c r="AI51" s="3123">
        <f>+USM!AG45</f>
        <v>93.356886209956215</v>
      </c>
      <c r="AJ51" s="3123">
        <f>+USM!AH45</f>
        <v>95.7</v>
      </c>
      <c r="AK51" s="3123">
        <f>+USM!AI45</f>
        <v>92.872683509236751</v>
      </c>
      <c r="AL51" s="3123">
        <f>+USM!AJ45</f>
        <v>95.700108814568182</v>
      </c>
      <c r="AM51" s="3123">
        <f>+USM!AK45</f>
        <v>93.267171085709023</v>
      </c>
      <c r="AN51" s="3123">
        <f>+USM!AL45</f>
        <v>95.7</v>
      </c>
      <c r="AO51" s="3123">
        <f>+USM!AM45</f>
        <v>93.508790019330874</v>
      </c>
      <c r="AP51" s="3131">
        <f>+USM!AN45</f>
        <v>95.700000000000017</v>
      </c>
      <c r="AQ51" s="3131">
        <f>+USM!AO45</f>
        <v>93.316043771528669</v>
      </c>
      <c r="AR51" s="3123">
        <f>+USM!AP45</f>
        <v>95.700093269614712</v>
      </c>
      <c r="AS51" s="3123">
        <f>+USM!AQ45</f>
        <v>93.317033707067608</v>
      </c>
      <c r="AT51" s="3123">
        <f>+USM!AR45</f>
        <v>95.7</v>
      </c>
      <c r="AU51" s="3123">
        <f>+USM!AS45</f>
        <v>93.241083755201743</v>
      </c>
      <c r="AV51" s="3123">
        <f>+USM!AT45</f>
        <v>95.700081610902927</v>
      </c>
      <c r="AW51" s="3123">
        <f>+USM!AU45</f>
        <v>93.307544765977525</v>
      </c>
      <c r="AX51" s="3123">
        <f>+USM!AV45</f>
        <v>95.7</v>
      </c>
      <c r="AY51" s="3123">
        <f>+USM!AW45</f>
        <v>94.088207441195308</v>
      </c>
      <c r="AZ51" s="3123">
        <f>+USM!AX45</f>
        <v>95.700072543017953</v>
      </c>
      <c r="BA51" s="3123">
        <f>+USM!AY45</f>
        <v>93.407328212578292</v>
      </c>
      <c r="BB51" s="3123">
        <f>+USM!AZ45</f>
        <v>95.7</v>
      </c>
      <c r="BC51" s="3123">
        <f>+USM!BA45</f>
        <v>93.72307378724372</v>
      </c>
      <c r="BD51" s="3131">
        <f>+USM!BB45</f>
        <v>95.700000000000017</v>
      </c>
      <c r="BE51" s="3131">
        <f>+USM!BC45</f>
        <v>93.707440898176401</v>
      </c>
      <c r="BF51" s="3707">
        <f>+USM!BD45</f>
        <v>95.700000000000017</v>
      </c>
      <c r="BG51" s="3707">
        <f>+USM!BE45</f>
        <v>93.507794029626083</v>
      </c>
      <c r="BH51" s="3137">
        <f>+USM!BF45</f>
        <v>95.700065288711201</v>
      </c>
      <c r="BI51" s="3137">
        <f>+USM!BG45</f>
        <v>93.445480895587224</v>
      </c>
    </row>
    <row r="52" spans="3:61" x14ac:dyDescent="0.25">
      <c r="C52" s="4915"/>
      <c r="D52" s="1732" t="s">
        <v>1560</v>
      </c>
      <c r="E52" s="1778" t="s">
        <v>52</v>
      </c>
      <c r="F52" s="3119">
        <v>45.227884011824649</v>
      </c>
      <c r="G52" s="3119">
        <v>83.3</v>
      </c>
      <c r="H52" s="3123">
        <f>+USM!F52</f>
        <v>58.333333333333336</v>
      </c>
      <c r="I52" s="3123">
        <f>+USM!G52</f>
        <v>15.346766635426423</v>
      </c>
      <c r="J52" s="3123">
        <f>+USM!H52</f>
        <v>0</v>
      </c>
      <c r="K52" s="3123">
        <f>+USM!I52</f>
        <v>6.2993903815759618</v>
      </c>
      <c r="L52" s="3123">
        <f>+USM!J52</f>
        <v>21.875</v>
      </c>
      <c r="M52" s="3123">
        <f>+USM!K52</f>
        <v>10.739335403012523</v>
      </c>
      <c r="N52" s="3123">
        <f>+USM!L52</f>
        <v>58.333333333333336</v>
      </c>
      <c r="O52" s="3123">
        <f>+USM!M52</f>
        <v>18.73393160320154</v>
      </c>
      <c r="P52" s="3131">
        <f>+USM!N52</f>
        <v>36.887254901960787</v>
      </c>
      <c r="Q52" s="3131">
        <f>+USM!O52</f>
        <v>13.310452418096713</v>
      </c>
      <c r="R52" s="3123">
        <f>+USM!P52</f>
        <v>58.333333333333336</v>
      </c>
      <c r="S52" s="3123">
        <f>+USM!Q52</f>
        <v>46.869586735956474</v>
      </c>
      <c r="T52" s="3123">
        <f>+USM!R52</f>
        <v>43.298969072164951</v>
      </c>
      <c r="U52" s="3123">
        <f>+USM!S52</f>
        <v>21.353419132910265</v>
      </c>
      <c r="V52" s="3123">
        <f>+USM!T52</f>
        <v>58.333333333333336</v>
      </c>
      <c r="W52" s="3123">
        <f>+USM!U52</f>
        <v>37.192147531231413</v>
      </c>
      <c r="X52" s="3123">
        <f>+USM!V52</f>
        <v>46.75925925925926</v>
      </c>
      <c r="Y52" s="3123">
        <f>+USM!W52</f>
        <v>30.6150739958168</v>
      </c>
      <c r="Z52" s="3123">
        <f>+USM!X52</f>
        <v>58.333333333333336</v>
      </c>
      <c r="AA52" s="3123">
        <f>+USM!Y52</f>
        <v>15.018172640080769</v>
      </c>
      <c r="AB52" s="3131">
        <f>+USM!Z52</f>
        <v>58.333333333333336</v>
      </c>
      <c r="AC52" s="3131">
        <f>+USM!AA52</f>
        <v>33.198312236286924</v>
      </c>
      <c r="AD52" s="3707">
        <f>+USM!AB52</f>
        <v>48.863636363636367</v>
      </c>
      <c r="AE52" s="3707">
        <f>+USM!AC52</f>
        <v>23.010209586222054</v>
      </c>
      <c r="AF52" s="3123">
        <f>+USM!AD52</f>
        <v>58.333333333333336</v>
      </c>
      <c r="AG52" s="3123">
        <f>+USM!AE52</f>
        <v>45.278792305819344</v>
      </c>
      <c r="AH52" s="3123">
        <f>+USM!AF52</f>
        <v>50.364298724954459</v>
      </c>
      <c r="AI52" s="3123">
        <f>+USM!AG52</f>
        <v>26.149558053720078</v>
      </c>
      <c r="AJ52" s="3123">
        <f>+USM!AH52</f>
        <v>58.333333333333336</v>
      </c>
      <c r="AK52" s="3123">
        <f>+USM!AI52</f>
        <v>49.595088819226746</v>
      </c>
      <c r="AL52" s="4040">
        <f>+USM!AJ52</f>
        <v>51.421800947867304</v>
      </c>
      <c r="AM52" s="4040">
        <f>+USM!AK52</f>
        <v>28.872498900198725</v>
      </c>
      <c r="AN52" s="3123">
        <f>+USM!AL52</f>
        <v>58.333333333333336</v>
      </c>
      <c r="AO52" s="3123">
        <f>+USM!AM52</f>
        <v>57.20062614140361</v>
      </c>
      <c r="AP52" s="3131">
        <f>+USM!AN52</f>
        <v>58.333333333333336</v>
      </c>
      <c r="AQ52" s="3131">
        <f>+USM!AO52</f>
        <v>50.56594153636982</v>
      </c>
      <c r="AR52" s="3137">
        <f>+USM!AP52</f>
        <v>52.256944444444443</v>
      </c>
      <c r="AS52" s="3137">
        <f>+USM!AQ52</f>
        <v>31.823610148531671</v>
      </c>
      <c r="AT52" s="3123">
        <f>+USM!AR52</f>
        <v>58.333333333333336</v>
      </c>
      <c r="AU52" s="3123">
        <f>+USM!AS52</f>
        <v>41.255156894611815</v>
      </c>
      <c r="AV52" s="3137">
        <f>+USM!AT52</f>
        <v>52.912019826517962</v>
      </c>
      <c r="AW52" s="3137">
        <f>+USM!AU52</f>
        <v>32.748314661829234</v>
      </c>
      <c r="AX52" s="3123">
        <f>+USM!AV52</f>
        <v>58.333333333333336</v>
      </c>
      <c r="AY52" s="3123">
        <f>+USM!AW52</f>
        <v>48.014643762320475</v>
      </c>
      <c r="AZ52" s="3137">
        <f>+USM!AX52</f>
        <v>53.389830508474581</v>
      </c>
      <c r="BA52" s="3137">
        <f>+USM!AY52</f>
        <v>33.970819051055386</v>
      </c>
      <c r="BB52" s="3123">
        <f>+USM!AZ52</f>
        <v>58.333333333333336</v>
      </c>
      <c r="BC52" s="3123">
        <f>+USM!BA52</f>
        <v>51.575006454944493</v>
      </c>
      <c r="BD52" s="3131">
        <f>+USM!BB52</f>
        <v>58.333333333333336</v>
      </c>
      <c r="BE52" s="3131">
        <f>+USM!BC52</f>
        <v>46.855166980347526</v>
      </c>
      <c r="BF52" s="3707">
        <f>+USM!BD52</f>
        <v>58.333333333333336</v>
      </c>
      <c r="BG52" s="3707">
        <f>+USM!BE52</f>
        <v>48.738115257745292</v>
      </c>
      <c r="BH52" s="3137">
        <f>+USM!BF52</f>
        <v>53.832304526748977</v>
      </c>
      <c r="BI52" s="3137">
        <f>+USM!BG52</f>
        <v>35.38486425949354</v>
      </c>
    </row>
    <row r="53" spans="3:61" x14ac:dyDescent="0.25">
      <c r="C53" s="4915"/>
      <c r="D53" s="1732" t="s">
        <v>344</v>
      </c>
      <c r="E53" s="1778" t="s">
        <v>609</v>
      </c>
      <c r="F53" s="3119">
        <v>68.959275219494941</v>
      </c>
      <c r="G53" s="3119">
        <v>78</v>
      </c>
      <c r="H53" s="3123">
        <f>+USM!F61</f>
        <v>47.61904761904762</v>
      </c>
      <c r="I53" s="3123">
        <f>+USM!G61</f>
        <v>72.085373365013155</v>
      </c>
      <c r="J53" s="3123" t="e">
        <f>+USM!H61</f>
        <v>#DIV/0!</v>
      </c>
      <c r="K53" s="3123">
        <f>+USM!I61</f>
        <v>58.677568427510899</v>
      </c>
      <c r="L53" s="3123">
        <f>+USM!J61</f>
        <v>47.61904761904762</v>
      </c>
      <c r="M53" s="3123">
        <f>+USM!K61</f>
        <v>68.080258185609381</v>
      </c>
      <c r="N53" s="3123">
        <f>+USM!L61</f>
        <v>102.04081632653062</v>
      </c>
      <c r="O53" s="3123">
        <f>+USM!M61</f>
        <v>73.433808566986016</v>
      </c>
      <c r="P53" s="3131">
        <f>+USM!N61</f>
        <v>83.056478405315616</v>
      </c>
      <c r="Q53" s="3131">
        <f>+USM!O61</f>
        <v>70.503536616560694</v>
      </c>
      <c r="R53" s="3123">
        <f>+USM!P61</f>
        <v>98.522167487684726</v>
      </c>
      <c r="S53" s="3123">
        <f>+USM!Q61</f>
        <v>73.951687309875496</v>
      </c>
      <c r="T53" s="3123">
        <f>+USM!R61</f>
        <v>89.285714285714292</v>
      </c>
      <c r="U53" s="3123">
        <f>+USM!S61</f>
        <v>72.317445463671632</v>
      </c>
      <c r="V53" s="3123">
        <f>+USM!T61</f>
        <v>110.83743842364532</v>
      </c>
      <c r="W53" s="3123">
        <f>+USM!U61</f>
        <v>71.434490842744722</v>
      </c>
      <c r="X53" s="3123">
        <f>+USM!V61</f>
        <v>95.473833097595474</v>
      </c>
      <c r="Y53" s="3123">
        <f>+USM!W61</f>
        <v>72.050168461597664</v>
      </c>
      <c r="Z53" s="3123">
        <f>+USM!X61</f>
        <v>114.79591836734694</v>
      </c>
      <c r="AA53" s="3123">
        <f>+USM!Y61</f>
        <v>80.855463739033979</v>
      </c>
      <c r="AB53" s="3131">
        <f>+USM!Z61</f>
        <v>107.97342192691031</v>
      </c>
      <c r="AC53" s="3131">
        <f>+USM!AA61</f>
        <v>73.994507180644277</v>
      </c>
      <c r="AD53" s="3707">
        <f>+USM!AB61</f>
        <v>99.667774086378742</v>
      </c>
      <c r="AE53" s="3707">
        <f>+USM!AC61</f>
        <v>72.960023386382616</v>
      </c>
      <c r="AF53" s="3123">
        <f>+USM!AD61</f>
        <v>110.83743842364532</v>
      </c>
      <c r="AG53" s="3123">
        <f>+USM!AE61</f>
        <v>72.55001285238221</v>
      </c>
      <c r="AH53" s="3123">
        <f>+USM!AF61</f>
        <v>101.71790235081374</v>
      </c>
      <c r="AI53" s="3123">
        <f>+USM!AG61</f>
        <v>72.859937591251182</v>
      </c>
      <c r="AJ53" s="3123">
        <f>+USM!AH61</f>
        <v>114.79591836734694</v>
      </c>
      <c r="AK53" s="3123">
        <f>+USM!AI61</f>
        <v>66.45586149591783</v>
      </c>
      <c r="AL53" s="4040">
        <f>+USM!AJ61</f>
        <v>103.68663594470046</v>
      </c>
      <c r="AM53" s="4040">
        <f>+USM!AK61</f>
        <v>71.582355190647775</v>
      </c>
      <c r="AN53" s="3123">
        <f>+USM!AL61</f>
        <v>110.83743842364532</v>
      </c>
      <c r="AO53" s="3123">
        <f>+USM!AM61</f>
        <v>80.875384059749138</v>
      </c>
      <c r="AP53" s="3131">
        <f>+USM!AN61</f>
        <v>112.12624584717608</v>
      </c>
      <c r="AQ53" s="3131">
        <f>+USM!AO61</f>
        <v>73.6731987532837</v>
      </c>
      <c r="AR53" s="3137">
        <f>+USM!AP61</f>
        <v>104.65116279069767</v>
      </c>
      <c r="AS53" s="3137">
        <f>+USM!AQ61</f>
        <v>73.322463739057866</v>
      </c>
      <c r="AT53" s="3123">
        <f>+USM!AR61</f>
        <v>110.83743842364532</v>
      </c>
      <c r="AU53" s="3123">
        <f>+USM!AS61</f>
        <v>74.67141017738183</v>
      </c>
      <c r="AV53" s="3137">
        <f>+USM!AT61</f>
        <v>105.3864168618267</v>
      </c>
      <c r="AW53" s="3137">
        <f>+USM!AU61</f>
        <v>73.489074884428902</v>
      </c>
      <c r="AX53" s="3123">
        <f>+USM!AV61</f>
        <v>123.62637362637362</v>
      </c>
      <c r="AY53" s="3123">
        <f>+USM!AW61</f>
        <v>84.900530883694998</v>
      </c>
      <c r="AZ53" s="3137">
        <f>+USM!AX61</f>
        <v>107.14285714285714</v>
      </c>
      <c r="BA53" s="3137">
        <f>+USM!AY61</f>
        <v>74.780664545007468</v>
      </c>
      <c r="BB53" s="3123">
        <f>+USM!AZ61</f>
        <v>110.83743842364532</v>
      </c>
      <c r="BC53" s="3123">
        <f>+USM!BA61</f>
        <v>77.866549186483113</v>
      </c>
      <c r="BD53" s="3131">
        <f>+USM!BB61</f>
        <v>114.79591836734694</v>
      </c>
      <c r="BE53" s="3131">
        <f>+USM!BC61</f>
        <v>79.122216524872499</v>
      </c>
      <c r="BF53" s="3707">
        <f>+USM!BD61</f>
        <v>113.4453781512605</v>
      </c>
      <c r="BG53" s="3707">
        <f>+USM!BE61</f>
        <v>76.253541103827274</v>
      </c>
      <c r="BH53" s="3137">
        <f>+USM!BF61</f>
        <v>107.5011944577162</v>
      </c>
      <c r="BI53" s="3137">
        <f>+USM!BG61</f>
        <v>75.141948567260343</v>
      </c>
    </row>
    <row r="54" spans="3:61" x14ac:dyDescent="0.25">
      <c r="C54" s="4915" t="s">
        <v>1565</v>
      </c>
      <c r="D54" s="758" t="s">
        <v>408</v>
      </c>
      <c r="E54" s="1778" t="s">
        <v>363</v>
      </c>
      <c r="F54" s="3121">
        <v>6.48</v>
      </c>
      <c r="G54" s="3121">
        <v>5.9874146154665704</v>
      </c>
      <c r="H54" s="3126">
        <f>+'Maj Techno Summ'!E24</f>
        <v>7.3209999999999997</v>
      </c>
      <c r="I54" s="3126">
        <f>+'Maj Techno Summ'!F24</f>
        <v>7.1032828575590443</v>
      </c>
      <c r="J54" s="3126">
        <f>+'Maj Techno Summ'!G24</f>
        <v>8.2520000000000007</v>
      </c>
      <c r="K54" s="3126">
        <f>+'Maj Techno Summ'!H24</f>
        <v>8.3854789583946889</v>
      </c>
      <c r="L54" s="3126">
        <f>+'Maj Techno Summ'!I24</f>
        <v>7.7945051967762184</v>
      </c>
      <c r="M54" s="3126">
        <f>+'Maj Techno Summ'!J24</f>
        <v>7.6735232840304075</v>
      </c>
      <c r="N54" s="3126">
        <f>+'Maj Techno Summ'!K24</f>
        <v>5.8292322198025799</v>
      </c>
      <c r="O54" s="3126">
        <f>+'Maj Techno Summ'!L24</f>
        <v>6.2324448409226454</v>
      </c>
      <c r="P54" s="3134">
        <f>+'Maj Techno Summ'!M24</f>
        <v>6.7375047284798848</v>
      </c>
      <c r="Q54" s="3134">
        <f>+'Maj Techno Summ'!N24</f>
        <v>6.9234703960226947</v>
      </c>
      <c r="R54" s="3126">
        <f>+'Maj Techno Summ'!O24</f>
        <v>5.8872140984238799</v>
      </c>
      <c r="S54" s="3126">
        <f>+'Maj Techno Summ'!P24</f>
        <v>6.2565281827853498</v>
      </c>
      <c r="T54" s="3126">
        <f>+'Maj Techno Summ'!Q24</f>
        <v>6.4336272684602118</v>
      </c>
      <c r="U54" s="3126">
        <f>+'Maj Techno Summ'!R24</f>
        <v>6.7006818271242166</v>
      </c>
      <c r="V54" s="3126">
        <f>+'Maj Techno Summ'!S24</f>
        <v>5.8930627350847002</v>
      </c>
      <c r="W54" s="3126">
        <f>+'Maj Techno Summ'!T24</f>
        <v>6.0410060729797577</v>
      </c>
      <c r="X54" s="3126">
        <f>+'Maj Techno Summ'!U24</f>
        <v>6.2912180337125037</v>
      </c>
      <c r="Y54" s="3126">
        <f>+'Maj Techno Summ'!V24</f>
        <v>6.5251263609625783</v>
      </c>
      <c r="Z54" s="3126">
        <f>+'Maj Techno Summ'!W24</f>
        <v>5.8835537304144596</v>
      </c>
      <c r="AA54" s="3126">
        <f>+'Maj Techno Summ'!X24</f>
        <v>6.0824688404174054</v>
      </c>
      <c r="AB54" s="3134">
        <f>+'Maj Techno Summ'!Y24</f>
        <v>5.887984270997455</v>
      </c>
      <c r="AC54" s="3134">
        <f>+'Maj Techno Summ'!Z24</f>
        <v>6.1235628727586429</v>
      </c>
      <c r="AD54" s="3709">
        <f>+'Maj Techno Summ'!AA24</f>
        <v>6.2080720100770321</v>
      </c>
      <c r="AE54" s="3709">
        <f>+'Maj Techno Summ'!AB24</f>
        <v>6.4341828662512102</v>
      </c>
      <c r="AF54" s="3126">
        <f>+'Maj Techno Summ'!AC24</f>
        <v>5.8274836302956796</v>
      </c>
      <c r="AG54" s="3126">
        <f>+'Maj Techno Summ'!AD24</f>
        <v>6.1103524416204937</v>
      </c>
      <c r="AH54" s="3126">
        <f>+'Maj Techno Summ'!AE24</f>
        <v>6.1417887423457058</v>
      </c>
      <c r="AI54" s="3126">
        <f>+'Maj Techno Summ'!AF24</f>
        <v>6.3760484808696534</v>
      </c>
      <c r="AJ54" s="3126">
        <f>+'Maj Techno Summ'!AG24</f>
        <v>5.8408092650650003</v>
      </c>
      <c r="AK54" s="3126">
        <f>+'Maj Techno Summ'!AH24</f>
        <v>6.171426031960082</v>
      </c>
      <c r="AL54" s="4041">
        <f>+'Maj Techno Summ'!AI24</f>
        <v>6.0984010348778694</v>
      </c>
      <c r="AM54" s="4041">
        <f>+'Maj Techno Summ'!AJ24</f>
        <v>6.3469953842705413</v>
      </c>
      <c r="AN54" s="3126">
        <f>+'Maj Techno Summ'!AK24</f>
        <v>5.8435620698832897</v>
      </c>
      <c r="AO54" s="3126">
        <f>+'Maj Techno Summ'!AL24</f>
        <v>6.1066156311709205</v>
      </c>
      <c r="AP54" s="3134">
        <f>+'Maj Techno Summ'!AM24</f>
        <v>5.8372459461273305</v>
      </c>
      <c r="AQ54" s="3134">
        <f>+'Maj Techno Summ'!AN24</f>
        <v>6.1281543560812048</v>
      </c>
      <c r="AR54" s="3140">
        <f>+'Maj Techno Summ'!AO24</f>
        <v>6.0653436752199692</v>
      </c>
      <c r="AS54" s="3140">
        <f>+'Maj Techno Summ'!AP24</f>
        <v>6.3142082798182173</v>
      </c>
      <c r="AT54" s="3126">
        <f>+'Maj Techno Summ'!AQ24</f>
        <v>5.7623995856445802</v>
      </c>
      <c r="AU54" s="3126">
        <f>+'Maj Techno Summ'!AR24</f>
        <v>6.1598176813392094</v>
      </c>
      <c r="AV54" s="3140">
        <f>+'Maj Techno Summ'!AS24</f>
        <v>6.0305584135369887</v>
      </c>
      <c r="AW54" s="3140">
        <f>+'Maj Techno Summ'!AT24</f>
        <v>6.29530425717134</v>
      </c>
      <c r="AX54" s="3126">
        <f>+'Maj Techno Summ'!AU24</f>
        <v>5.7941094703269602</v>
      </c>
      <c r="AY54" s="3126">
        <f>+'Maj Techno Summ'!AV24</f>
        <v>6.2728732321019187</v>
      </c>
      <c r="AZ54" s="3140">
        <f>+'Maj Techno Summ'!AW24</f>
        <v>6.0087276052570395</v>
      </c>
      <c r="BA54" s="3140">
        <f>+'Maj Techno Summ'!AX24</f>
        <v>6.2930967441095449</v>
      </c>
      <c r="BB54" s="3126">
        <f>+'Maj Techno Summ'!AY24</f>
        <v>5.7623995856445802</v>
      </c>
      <c r="BC54" s="3126">
        <f>+'Maj Techno Summ'!AZ24</f>
        <v>6.3184260217605566</v>
      </c>
      <c r="BD54" s="3134">
        <f>+'Maj Techno Summ'!BA24</f>
        <v>5.7721335178911932</v>
      </c>
      <c r="BE54" s="3134">
        <f>+'Maj Techno Summ'!BB24</f>
        <v>6.2493507808722839</v>
      </c>
      <c r="BF54" s="3709">
        <f>+'Maj Techno Summ'!BC24</f>
        <v>5.8051417258284612</v>
      </c>
      <c r="BG54" s="3709">
        <f>+'Maj Techno Summ'!BD24</f>
        <v>6.1895434319148412</v>
      </c>
      <c r="BH54" s="3140">
        <f>+'Maj Techno Summ'!BE24</f>
        <v>5.9854778159958535</v>
      </c>
      <c r="BI54" s="3140">
        <f>+'Maj Techno Summ'!BF24</f>
        <v>6.3006370372485003</v>
      </c>
    </row>
    <row r="55" spans="3:61" x14ac:dyDescent="0.25">
      <c r="C55" s="4915"/>
      <c r="D55" s="758" t="s">
        <v>403</v>
      </c>
      <c r="E55" s="1778" t="s">
        <v>410</v>
      </c>
      <c r="F55" s="3118">
        <v>579.80999999999995</v>
      </c>
      <c r="G55" s="3118">
        <v>501.09213189459246</v>
      </c>
      <c r="H55" s="3125">
        <f>+'Maj Techno Summ'!E25</f>
        <v>909.25908154909405</v>
      </c>
      <c r="I55" s="3125">
        <f>+'Maj Techno Summ'!F25</f>
        <v>810.06262281065165</v>
      </c>
      <c r="J55" s="3125">
        <f>+'Maj Techno Summ'!G25</f>
        <v>835.62339512049357</v>
      </c>
      <c r="K55" s="3125">
        <f>+'Maj Techno Summ'!H25</f>
        <v>740.71692582555374</v>
      </c>
      <c r="L55" s="3125">
        <f>+'Maj Techno Summ'!I25</f>
        <v>870.33466635107163</v>
      </c>
      <c r="M55" s="3125">
        <f>+'Maj Techno Summ'!J25</f>
        <v>772.47471636292016</v>
      </c>
      <c r="N55" s="3125">
        <f>+'Maj Techno Summ'!K25</f>
        <v>468.63114706870033</v>
      </c>
      <c r="O55" s="3125">
        <f>+'Maj Techno Summ'!L25</f>
        <v>526.78216215950806</v>
      </c>
      <c r="P55" s="3133">
        <f>+'Maj Techno Summ'!M25</f>
        <v>654.04795444848367</v>
      </c>
      <c r="Q55" s="3133">
        <f>+'Maj Techno Summ'!N25</f>
        <v>653.94854803392889</v>
      </c>
      <c r="R55" s="3125">
        <f>+'Maj Techno Summ'!O25</f>
        <v>469.14543516697404</v>
      </c>
      <c r="S55" s="3125">
        <f>+'Maj Techno Summ'!P25</f>
        <v>542.65258721488465</v>
      </c>
      <c r="T55" s="3125">
        <f>+'Maj Techno Summ'!Q25</f>
        <v>588.16119044229833</v>
      </c>
      <c r="U55" s="3125">
        <f>+'Maj Techno Summ'!R25</f>
        <v>617.97676281986753</v>
      </c>
      <c r="V55" s="3125">
        <f>+'Maj Techno Summ'!S25</f>
        <v>470.81127754835256</v>
      </c>
      <c r="W55" s="3125">
        <f>+'Maj Techno Summ'!T25</f>
        <v>506.04961074011459</v>
      </c>
      <c r="X55" s="3125">
        <f>+'Maj Techno Summ'!U25</f>
        <v>557.28896582860921</v>
      </c>
      <c r="Y55" s="3125">
        <f>+'Maj Techno Summ'!V25</f>
        <v>588.92640704296923</v>
      </c>
      <c r="Z55" s="3125">
        <f>+'Maj Techno Summ'!W25</f>
        <v>468.18290290017228</v>
      </c>
      <c r="AA55" s="3125">
        <f>+'Maj Techno Summ'!X25</f>
        <v>509.11695266757113</v>
      </c>
      <c r="AB55" s="3133">
        <f>+'Maj Techno Summ'!Y25</f>
        <v>469.3893679867171</v>
      </c>
      <c r="AC55" s="3133">
        <f>+'Maj Techno Summ'!Z25</f>
        <v>518.77945631782848</v>
      </c>
      <c r="AD55" s="3708">
        <f>+'Maj Techno Summ'!AA25</f>
        <v>539.07274256746257</v>
      </c>
      <c r="AE55" s="3708">
        <f>+'Maj Techno Summ'!AB25</f>
        <v>572.99776768199865</v>
      </c>
      <c r="AF55" s="3125">
        <f>+'Maj Techno Summ'!AC25</f>
        <v>469.22232616084045</v>
      </c>
      <c r="AG55" s="3125">
        <f>+'Maj Techno Summ'!AD25</f>
        <v>525.18284717278254</v>
      </c>
      <c r="AH55" s="3125">
        <f>+'Maj Techno Summ'!AE25</f>
        <v>526.92581239839092</v>
      </c>
      <c r="AI55" s="3125">
        <f>+'Maj Techno Summ'!AF25</f>
        <v>564.86802015341505</v>
      </c>
      <c r="AJ55" s="3125">
        <f>+'Maj Techno Summ'!AG25</f>
        <v>472.52157602406214</v>
      </c>
      <c r="AK55" s="3125">
        <f>+'Maj Techno Summ'!AH25</f>
        <v>500.48337525205568</v>
      </c>
      <c r="AL55" s="4042">
        <f>+'Maj Techno Summ'!AI25</f>
        <v>519.12721483629946</v>
      </c>
      <c r="AM55" s="4042">
        <f>+'Maj Techno Summ'!AJ25</f>
        <v>555.61714334131614</v>
      </c>
      <c r="AN55" s="3125">
        <f>+'Maj Techno Summ'!AK25</f>
        <v>468.54131005562346</v>
      </c>
      <c r="AO55" s="3125">
        <f>+'Maj Techno Summ'!AL25</f>
        <v>488.01896962480276</v>
      </c>
      <c r="AP55" s="3133">
        <f>+'Maj Techno Summ'!AM25</f>
        <v>470.06338765213223</v>
      </c>
      <c r="AQ55" s="3133">
        <f>+'Maj Techno Summ'!AN25</f>
        <v>504.17770800254328</v>
      </c>
      <c r="AR55" s="3139">
        <f>+'Maj Techno Summ'!AO25</f>
        <v>512.53312880043734</v>
      </c>
      <c r="AS55" s="3139">
        <f>+'Maj Techno Summ'!AP25</f>
        <v>546.43751928043253</v>
      </c>
      <c r="AT55" s="3125">
        <f>+'Maj Techno Summ'!AQ25</f>
        <v>468.17863143910171</v>
      </c>
      <c r="AU55" s="3125">
        <f>+'Maj Techno Summ'!AR25</f>
        <v>481.9518600316872</v>
      </c>
      <c r="AV55" s="3139">
        <f>+'Maj Techno Summ'!AS25</f>
        <v>507.41459133920324</v>
      </c>
      <c r="AW55" s="3139">
        <f>+'Maj Techno Summ'!AT25</f>
        <v>538.72305369725416</v>
      </c>
      <c r="AX55" s="3125">
        <f>+'Maj Techno Summ'!AU25</f>
        <v>475.67970763190652</v>
      </c>
      <c r="AY55" s="3125">
        <f>+'Maj Techno Summ'!AV25</f>
        <v>475.63824350267868</v>
      </c>
      <c r="AZ55" s="3139">
        <f>+'Maj Techno Summ'!AW25</f>
        <v>504.52316017420759</v>
      </c>
      <c r="BA55" s="3139">
        <f>+'Maj Techno Summ'!AX25</f>
        <v>532.64743022720074</v>
      </c>
      <c r="BB55" s="3125">
        <f>+'Maj Techno Summ'!AY25</f>
        <v>468.17863143910171</v>
      </c>
      <c r="BC55" s="3125">
        <f>+'Maj Techno Summ'!AZ25</f>
        <v>488.44645667200786</v>
      </c>
      <c r="BD55" s="3133">
        <f>+'Maj Techno Summ'!BA25</f>
        <v>470.4789975533061</v>
      </c>
      <c r="BE55" s="3133">
        <f>+'Maj Techno Summ'!BB25</f>
        <v>482.22978112768118</v>
      </c>
      <c r="BF55" s="3708">
        <f>+'Maj Techno Summ'!BC25</f>
        <v>312.46546916619519</v>
      </c>
      <c r="BG55" s="3708">
        <f>+'Maj Techno Summ'!BD25</f>
        <v>328.66457839054175</v>
      </c>
      <c r="BH55" s="3139">
        <f>+'Maj Techno Summ'!BE25</f>
        <v>501.08847615207304</v>
      </c>
      <c r="BI55" s="3139">
        <f>+'Maj Techno Summ'!BF25</f>
        <v>528.34198170405227</v>
      </c>
    </row>
    <row r="56" spans="3:61" x14ac:dyDescent="0.25">
      <c r="C56" s="4915" t="s">
        <v>1566</v>
      </c>
      <c r="D56" s="758" t="s">
        <v>404</v>
      </c>
      <c r="E56" s="1778" t="s">
        <v>32</v>
      </c>
      <c r="F56" s="3117">
        <v>5.04</v>
      </c>
      <c r="G56" s="3117">
        <v>4.3</v>
      </c>
      <c r="H56" s="3123">
        <f>+'Maj Techno Summ'!E27</f>
        <v>4.3</v>
      </c>
      <c r="I56" s="3123">
        <f>+'Maj Techno Summ'!F27</f>
        <v>3.7175599079047323</v>
      </c>
      <c r="J56" s="3123">
        <f>+'Maj Techno Summ'!G27</f>
        <v>4.3</v>
      </c>
      <c r="K56" s="3123">
        <f>+'Maj Techno Summ'!H27</f>
        <v>4.1764989484978718</v>
      </c>
      <c r="L56" s="3123">
        <f>+'Maj Techno Summ'!I27</f>
        <v>4.3</v>
      </c>
      <c r="M56" s="3123">
        <f>+'Maj Techno Summ'!J27</f>
        <v>3.9216672157195274</v>
      </c>
      <c r="N56" s="3123">
        <f>+'Maj Techno Summ'!K27</f>
        <v>4.3</v>
      </c>
      <c r="O56" s="3123">
        <f>+'Maj Techno Summ'!L27</f>
        <v>3.3800539148175197</v>
      </c>
      <c r="P56" s="3131">
        <f>+'Maj Techno Summ'!M27</f>
        <v>4.3</v>
      </c>
      <c r="Q56" s="3131">
        <f>+'Maj Techno Summ'!N27</f>
        <v>3.6397681820702101</v>
      </c>
      <c r="R56" s="3123">
        <f>+'Maj Techno Summ'!O27</f>
        <v>4.3</v>
      </c>
      <c r="S56" s="3123">
        <f>+'Maj Techno Summ'!P27</f>
        <v>3.7609869664355036</v>
      </c>
      <c r="T56" s="3123">
        <f>+'Maj Techno Summ'!Q27</f>
        <v>4.3</v>
      </c>
      <c r="U56" s="3123">
        <f>+'Maj Techno Summ'!R27</f>
        <v>3.680260684953284</v>
      </c>
      <c r="V56" s="3123">
        <f>+'Maj Techno Summ'!S27</f>
        <v>4.3</v>
      </c>
      <c r="W56" s="3123">
        <f>+'Maj Techno Summ'!T27</f>
        <v>3.5007920309262577</v>
      </c>
      <c r="X56" s="3123">
        <f>+'Maj Techno Summ'!U27</f>
        <v>4.3</v>
      </c>
      <c r="Y56" s="3123">
        <f>+'Maj Techno Summ'!V27</f>
        <v>3.6324997917854311</v>
      </c>
      <c r="Z56" s="3123">
        <f>+'Maj Techno Summ'!W27</f>
        <v>4.3</v>
      </c>
      <c r="AA56" s="3123">
        <f>+'Maj Techno Summ'!X27</f>
        <v>3.65</v>
      </c>
      <c r="AB56" s="3131">
        <f>+'Maj Techno Summ'!Y27</f>
        <v>4.3</v>
      </c>
      <c r="AC56" s="3131">
        <f>+'Maj Techno Summ'!Z27</f>
        <v>3.6337634225999151</v>
      </c>
      <c r="AD56" s="3707">
        <f>+'Maj Techno Summ'!AA27</f>
        <v>4.3</v>
      </c>
      <c r="AE56" s="3707">
        <f>+'Maj Techno Summ'!AB27</f>
        <v>3.6360951900772061</v>
      </c>
      <c r="AF56" s="3123">
        <f>+'Maj Techno Summ'!AC27</f>
        <v>4.3</v>
      </c>
      <c r="AG56" s="3123">
        <f>+'Maj Techno Summ'!AD27</f>
        <v>3.4</v>
      </c>
      <c r="AH56" s="3123">
        <f>+'Maj Techno Summ'!AE27</f>
        <v>4.3</v>
      </c>
      <c r="AI56" s="3123">
        <f>+'Maj Techno Summ'!AF27</f>
        <v>3.5937111281647653</v>
      </c>
      <c r="AJ56" s="3123">
        <f>+'Maj Techno Summ'!AG27</f>
        <v>4.3</v>
      </c>
      <c r="AK56" s="3123">
        <f>+'Maj Techno Summ'!AH27</f>
        <v>3.28</v>
      </c>
      <c r="AL56" s="4040">
        <f>+'Maj Techno Summ'!AI27</f>
        <v>4.3</v>
      </c>
      <c r="AM56" s="4040">
        <f>+'Maj Techno Summ'!AJ27</f>
        <v>3.5491691936929741</v>
      </c>
      <c r="AN56" s="3123">
        <f>+'Maj Techno Summ'!AK27</f>
        <v>4.3</v>
      </c>
      <c r="AO56" s="3123">
        <f>+'Maj Techno Summ'!AL27</f>
        <v>3.04</v>
      </c>
      <c r="AP56" s="3131">
        <f>+'Maj Techno Summ'!AM27</f>
        <v>4.3</v>
      </c>
      <c r="AQ56" s="3131">
        <f>+'Maj Techno Summ'!AN27</f>
        <v>3.237216791480944</v>
      </c>
      <c r="AR56" s="3137">
        <f>+'Maj Techno Summ'!AO27</f>
        <v>4.3</v>
      </c>
      <c r="AS56" s="3137">
        <f>+'Maj Techno Summ'!AP27</f>
        <v>3.4797199854204361</v>
      </c>
      <c r="AT56" s="3123">
        <f>+'Maj Techno Summ'!AQ27</f>
        <v>4.3</v>
      </c>
      <c r="AU56" s="3123">
        <f>+'Maj Techno Summ'!AR27</f>
        <v>2.91</v>
      </c>
      <c r="AV56" s="3137">
        <f>+'Maj Techno Summ'!AS27</f>
        <v>4.3</v>
      </c>
      <c r="AW56" s="3137">
        <f>+'Maj Techno Summ'!AT27</f>
        <v>3.4099618549845943</v>
      </c>
      <c r="AX56" s="3123">
        <f>+'Maj Techno Summ'!AU27</f>
        <v>4.3</v>
      </c>
      <c r="AY56" s="3123">
        <f>+'Maj Techno Summ'!AV27</f>
        <v>2.86</v>
      </c>
      <c r="AZ56" s="3137">
        <f>+'Maj Techno Summ'!AW27</f>
        <v>4.2999999999999989</v>
      </c>
      <c r="BA56" s="3140">
        <f>+'Maj Techno Summ'!AX27</f>
        <v>3.355838248300973</v>
      </c>
      <c r="BB56" s="3123">
        <f>+'Maj Techno Summ'!AY27</f>
        <v>4.3</v>
      </c>
      <c r="BC56" s="3123">
        <f>+'Maj Techno Summ'!AZ27</f>
        <v>2.99</v>
      </c>
      <c r="BD56" s="3131">
        <f>+'Maj Techno Summ'!BA27</f>
        <v>4.3</v>
      </c>
      <c r="BE56" s="3131">
        <f>+'Maj Techno Summ'!BB27</f>
        <v>2.9220776581782455</v>
      </c>
      <c r="BF56" s="3707">
        <f>+'Maj Techno Summ'!BC27</f>
        <v>4.3</v>
      </c>
      <c r="BG56" s="3707">
        <f>+'Maj Techno Summ'!BD27</f>
        <v>3.0775907943790086</v>
      </c>
      <c r="BH56" s="3137">
        <f>+'Maj Techno Summ'!BE27</f>
        <v>4.2999999999999989</v>
      </c>
      <c r="BI56" s="3137">
        <f>+'Maj Techno Summ'!BF27</f>
        <v>3.3197103856374044</v>
      </c>
    </row>
    <row r="57" spans="3:61" x14ac:dyDescent="0.25">
      <c r="C57" s="4915"/>
      <c r="D57" s="758" t="s">
        <v>411</v>
      </c>
      <c r="E57" s="1778" t="s">
        <v>467</v>
      </c>
      <c r="F57" s="3117">
        <v>2.62</v>
      </c>
      <c r="G57" s="3117">
        <v>2.4500000000000002</v>
      </c>
      <c r="H57" s="3126">
        <f>+'Maj Techno Summ'!E28</f>
        <v>2.4500000000000002</v>
      </c>
      <c r="I57" s="3126">
        <f>+'Maj Techno Summ'!F28</f>
        <v>4.2</v>
      </c>
      <c r="J57" s="3126">
        <f>+'Maj Techno Summ'!G28</f>
        <v>2.4500000000000002</v>
      </c>
      <c r="K57" s="3126">
        <f>+'Maj Techno Summ'!H28</f>
        <v>4.09</v>
      </c>
      <c r="L57" s="3126">
        <f>+'Maj Techno Summ'!I28</f>
        <v>2.4500000000000002</v>
      </c>
      <c r="M57" s="3126">
        <f>+'Maj Techno Summ'!J28</f>
        <v>4.1510788974705441</v>
      </c>
      <c r="N57" s="3126">
        <f>+'Maj Techno Summ'!K28</f>
        <v>2.4500000000000002</v>
      </c>
      <c r="O57" s="3126">
        <f>+'Maj Techno Summ'!L28</f>
        <v>2.44</v>
      </c>
      <c r="P57" s="3134">
        <f>+'Maj Techno Summ'!M28</f>
        <v>2.4500000000000002</v>
      </c>
      <c r="Q57" s="3134">
        <f>+'Maj Techno Summ'!N28</f>
        <v>3.2604961017907237</v>
      </c>
      <c r="R57" s="3126">
        <f>+'Maj Techno Summ'!O28</f>
        <v>2.4500000000000002</v>
      </c>
      <c r="S57" s="3126">
        <f>+'Maj Techno Summ'!P28</f>
        <v>2.4300000000000002</v>
      </c>
      <c r="T57" s="3126">
        <f>+'Maj Techno Summ'!Q28</f>
        <v>2.4499999999999997</v>
      </c>
      <c r="U57" s="3126">
        <f>+'Maj Techno Summ'!R28</f>
        <v>2.94</v>
      </c>
      <c r="V57" s="3126">
        <f>+'Maj Techno Summ'!S28</f>
        <v>2.4500000000000002</v>
      </c>
      <c r="W57" s="3126">
        <f>+'Maj Techno Summ'!T28</f>
        <v>2.1800000000000002</v>
      </c>
      <c r="X57" s="3126">
        <f>+'Maj Techno Summ'!U28</f>
        <v>2.4499999999999997</v>
      </c>
      <c r="Y57" s="3126">
        <f>+'Maj Techno Summ'!V28</f>
        <v>2.74</v>
      </c>
      <c r="Z57" s="3126">
        <f>+'Maj Techno Summ'!W28</f>
        <v>2.4500000000000002</v>
      </c>
      <c r="AA57" s="3126">
        <f>+'Maj Techno Summ'!X28</f>
        <v>2.41</v>
      </c>
      <c r="AB57" s="3134">
        <f>+'Maj Techno Summ'!Y28</f>
        <v>2.4500000000000002</v>
      </c>
      <c r="AC57" s="3134">
        <f>+'Maj Techno Summ'!Z28</f>
        <v>2.3368610689813938</v>
      </c>
      <c r="AD57" s="3709">
        <f>+'Maj Techno Summ'!AA28</f>
        <v>2.4499999999999997</v>
      </c>
      <c r="AE57" s="3709">
        <f>+'Maj Techno Summ'!AB28</f>
        <v>2.67</v>
      </c>
      <c r="AF57" s="3126">
        <f>+'Maj Techno Summ'!AC28</f>
        <v>2.4500000000000002</v>
      </c>
      <c r="AG57" s="3126">
        <f>+'Maj Techno Summ'!AD28</f>
        <v>2.36</v>
      </c>
      <c r="AH57" s="3126">
        <f>+'Maj Techno Summ'!AE28</f>
        <v>2.4499999999999997</v>
      </c>
      <c r="AI57" s="3126">
        <f>+'Maj Techno Summ'!AF28</f>
        <v>2.6243484672916888</v>
      </c>
      <c r="AJ57" s="3126">
        <f>+'Maj Techno Summ'!AG28</f>
        <v>2.4500000000000002</v>
      </c>
      <c r="AK57" s="3126">
        <f>+'Maj Techno Summ'!AH28</f>
        <v>2.2999999999999998</v>
      </c>
      <c r="AL57" s="4041">
        <f>+'Maj Techno Summ'!AI28</f>
        <v>2.4499999999999997</v>
      </c>
      <c r="AM57" s="4041">
        <f>+'Maj Techno Summ'!AJ28</f>
        <v>2.5682962017547633</v>
      </c>
      <c r="AN57" s="3126">
        <f>+'Maj Techno Summ'!AK28</f>
        <v>2.4500000000000002</v>
      </c>
      <c r="AO57" s="3126">
        <f>+'Maj Techno Summ'!AL28</f>
        <v>2.3199999999999998</v>
      </c>
      <c r="AP57" s="3134">
        <f>+'Maj Techno Summ'!AM28</f>
        <v>2.4500000000000002</v>
      </c>
      <c r="AQ57" s="3134">
        <f>+'Maj Techno Summ'!AN28</f>
        <v>2.3273170175596345</v>
      </c>
      <c r="AR57" s="3140">
        <f>+'Maj Techno Summ'!AO28</f>
        <v>2.4500000000000002</v>
      </c>
      <c r="AS57" s="3140">
        <f>+'Maj Techno Summ'!AP28</f>
        <v>2.5344293165571785</v>
      </c>
      <c r="AT57" s="3126">
        <f>+'Maj Techno Summ'!AQ28</f>
        <v>2.4500000000000002</v>
      </c>
      <c r="AU57" s="3126">
        <f>+'Maj Techno Summ'!AR28</f>
        <v>2.2799999999999998</v>
      </c>
      <c r="AV57" s="3140">
        <f>+'Maj Techno Summ'!AS28</f>
        <v>2.4500000000000002</v>
      </c>
      <c r="AW57" s="3140">
        <f>+'Maj Techno Summ'!AT28</f>
        <v>2.5032762696125466</v>
      </c>
      <c r="AX57" s="3126">
        <f>+'Maj Techno Summ'!AU28</f>
        <v>2.4500000000000002</v>
      </c>
      <c r="AY57" s="3126">
        <f>+'Maj Techno Summ'!AV28</f>
        <v>2.27</v>
      </c>
      <c r="AZ57" s="3140">
        <f>+'Maj Techno Summ'!AW28</f>
        <v>2.4499999999999997</v>
      </c>
      <c r="BA57" s="3140">
        <f>+'Maj Techno Summ'!AX28</f>
        <v>2.4803187627405734</v>
      </c>
      <c r="BB57" s="3126">
        <f>+'Maj Techno Summ'!AY28</f>
        <v>2.4500000000000002</v>
      </c>
      <c r="BC57" s="3126">
        <f>+'Maj Techno Summ'!AZ28</f>
        <v>2.31</v>
      </c>
      <c r="BD57" s="3134">
        <f>+'Maj Techno Summ'!BA28</f>
        <v>2.4500000000000002</v>
      </c>
      <c r="BE57" s="3134">
        <f>+'Maj Techno Summ'!BB28</f>
        <v>2.2872337989215707</v>
      </c>
      <c r="BF57" s="3709">
        <f>+'Maj Techno Summ'!BC28</f>
        <v>2.4499999999999997</v>
      </c>
      <c r="BG57" s="3709">
        <f>+'Maj Techno Summ'!BD28</f>
        <v>2.3070138464646948</v>
      </c>
      <c r="BH57" s="3140">
        <f>+'Maj Techno Summ'!BE28</f>
        <v>2.4499999999999997</v>
      </c>
      <c r="BI57" s="3140">
        <f>+'Maj Techno Summ'!BF28</f>
        <v>2.4734991631008487</v>
      </c>
    </row>
    <row r="58" spans="3:61" x14ac:dyDescent="0.25">
      <c r="C58" s="4915"/>
      <c r="D58" s="758" t="s">
        <v>412</v>
      </c>
      <c r="E58" s="1778" t="s">
        <v>468</v>
      </c>
      <c r="F58" s="3117">
        <v>0.62</v>
      </c>
      <c r="G58" s="3117">
        <v>0.55000000000000004</v>
      </c>
      <c r="H58" s="3126">
        <f>+'Maj Techno Summ'!E29</f>
        <v>0.55000000000000016</v>
      </c>
      <c r="I58" s="3126">
        <f>+'Maj Techno Summ'!F29</f>
        <v>0.57999999999999996</v>
      </c>
      <c r="J58" s="3126">
        <f>+'Maj Techno Summ'!G29</f>
        <v>0.55000000000000016</v>
      </c>
      <c r="K58" s="3126">
        <f>+'Maj Techno Summ'!H29</f>
        <v>0.69</v>
      </c>
      <c r="L58" s="3126">
        <f>+'Maj Techno Summ'!I29</f>
        <v>0.55000000000000016</v>
      </c>
      <c r="M58" s="3126">
        <f>+'Maj Techno Summ'!J29</f>
        <v>0.62892110252945654</v>
      </c>
      <c r="N58" s="3126">
        <f>+'Maj Techno Summ'!K29</f>
        <v>0.55000000000000016</v>
      </c>
      <c r="O58" s="3126">
        <f>+'Maj Techno Summ'!L29</f>
        <v>0.48</v>
      </c>
      <c r="P58" s="3134">
        <f>+'Maj Techno Summ'!M29</f>
        <v>0.55000000000000016</v>
      </c>
      <c r="Q58" s="3134">
        <f>+'Maj Techno Summ'!N29</f>
        <v>0.55141060782201556</v>
      </c>
      <c r="R58" s="3126">
        <f>+'Maj Techno Summ'!O29</f>
        <v>0.55000000000000016</v>
      </c>
      <c r="S58" s="3126">
        <f>+'Maj Techno Summ'!P29</f>
        <v>0.54</v>
      </c>
      <c r="T58" s="3126">
        <f>+'Maj Techno Summ'!Q29</f>
        <v>0.55000000000000004</v>
      </c>
      <c r="U58" s="3126">
        <f>+'Maj Techno Summ'!R29</f>
        <v>0.55000000000000004</v>
      </c>
      <c r="V58" s="3126">
        <f>+'Maj Techno Summ'!S29</f>
        <v>0.55000000000000016</v>
      </c>
      <c r="W58" s="3126">
        <f>+'Maj Techno Summ'!T29</f>
        <v>0.53</v>
      </c>
      <c r="X58" s="3126">
        <f>+'Maj Techno Summ'!U29</f>
        <v>0.55000000000000004</v>
      </c>
      <c r="Y58" s="3126">
        <f>+'Maj Techno Summ'!V29</f>
        <v>0.54</v>
      </c>
      <c r="Z58" s="3126">
        <f>+'Maj Techno Summ'!W29</f>
        <v>0.55000000000000016</v>
      </c>
      <c r="AA58" s="3126">
        <f>+'Maj Techno Summ'!X29</f>
        <v>0.53</v>
      </c>
      <c r="AB58" s="3134">
        <f>+'Maj Techno Summ'!Y29</f>
        <v>0.55000000000000016</v>
      </c>
      <c r="AC58" s="3134">
        <f>+'Maj Techno Summ'!Z29</f>
        <v>0.53318438033204241</v>
      </c>
      <c r="AD58" s="3709">
        <f>+'Maj Techno Summ'!AA29</f>
        <v>0.55000000000000016</v>
      </c>
      <c r="AE58" s="3709">
        <f>+'Maj Techno Summ'!AB29</f>
        <v>0.54026198680488546</v>
      </c>
      <c r="AF58" s="3126">
        <f>+'Maj Techno Summ'!AC29</f>
        <v>0.55000000000000016</v>
      </c>
      <c r="AG58" s="3126">
        <f>+'Maj Techno Summ'!AD29</f>
        <v>0.55000000000000004</v>
      </c>
      <c r="AH58" s="3126">
        <f>+'Maj Techno Summ'!AE29</f>
        <v>0.55000000000000016</v>
      </c>
      <c r="AI58" s="3126">
        <f>+'Maj Techno Summ'!AF29</f>
        <v>0.54201016538502067</v>
      </c>
      <c r="AJ58" s="3126">
        <f>+'Maj Techno Summ'!AG29</f>
        <v>0.55000000000000016</v>
      </c>
      <c r="AK58" s="3126">
        <f>+'Maj Techno Summ'!AH29</f>
        <v>0.52</v>
      </c>
      <c r="AL58" s="4041">
        <f>+'Maj Techno Summ'!AI29</f>
        <v>0.55000000000000016</v>
      </c>
      <c r="AM58" s="4041">
        <f>+'Maj Techno Summ'!AJ29</f>
        <v>0.53888507591169477</v>
      </c>
      <c r="AN58" s="3126">
        <f>+'Maj Techno Summ'!AK29</f>
        <v>0.55000000000000016</v>
      </c>
      <c r="AO58" s="3126">
        <f>+'Maj Techno Summ'!AL29</f>
        <v>0.56000000000000005</v>
      </c>
      <c r="AP58" s="3134">
        <f>+'Maj Techno Summ'!AM29</f>
        <v>0.55000000000000004</v>
      </c>
      <c r="AQ58" s="3134">
        <f>+'Maj Techno Summ'!AN29</f>
        <v>0.54409607059820941</v>
      </c>
      <c r="AR58" s="3140">
        <f>+'Maj Techno Summ'!AO29</f>
        <v>0.55000000000000016</v>
      </c>
      <c r="AS58" s="3140">
        <f>+'Maj Techno Summ'!AP29</f>
        <v>0.54176509060785449</v>
      </c>
      <c r="AT58" s="3126">
        <f>+'Maj Techno Summ'!AQ29</f>
        <v>0.55000000000000016</v>
      </c>
      <c r="AU58" s="3126">
        <f>+'Maj Techno Summ'!AR29</f>
        <v>0.51</v>
      </c>
      <c r="AV58" s="3140">
        <f>+'Maj Techno Summ'!AS29</f>
        <v>0.55000000000000004</v>
      </c>
      <c r="AW58" s="3140">
        <f>+'Maj Techno Summ'!AT29</f>
        <v>0.53787568284503251</v>
      </c>
      <c r="AX58" s="3126">
        <f>+'Maj Techno Summ'!AU29</f>
        <v>0.55000000000000016</v>
      </c>
      <c r="AY58" s="3126">
        <f>+'Maj Techno Summ'!AV29</f>
        <v>0.55000000000000004</v>
      </c>
      <c r="AZ58" s="3140">
        <f>+'Maj Techno Summ'!AW29</f>
        <v>0.55000000000000004</v>
      </c>
      <c r="BA58" s="3140">
        <f>+'Maj Techno Summ'!AX29</f>
        <v>0.53906887791311831</v>
      </c>
      <c r="BB58" s="3126">
        <f>+'Maj Techno Summ'!AY29</f>
        <v>0.55000000000000016</v>
      </c>
      <c r="BC58" s="3126">
        <f>+'Maj Techno Summ'!AZ29</f>
        <v>0.54</v>
      </c>
      <c r="BD58" s="3134">
        <f>+'Maj Techno Summ'!BA29</f>
        <v>0.55000000000000016</v>
      </c>
      <c r="BE58" s="3134">
        <f>+'Maj Techno Summ'!BB29</f>
        <v>0.53268909666287589</v>
      </c>
      <c r="BF58" s="3709">
        <f>+'Maj Techno Summ'!BC29</f>
        <v>0.55000000000000004</v>
      </c>
      <c r="BG58" s="3709">
        <f>+'Maj Techno Summ'!BD29</f>
        <v>0.53831814778278297</v>
      </c>
      <c r="BH58" s="3140">
        <f>+'Maj Techno Summ'!BE29</f>
        <v>0.55000000000000004</v>
      </c>
      <c r="BI58" s="3140">
        <f>+'Maj Techno Summ'!BF29</f>
        <v>0.5391608296186442</v>
      </c>
    </row>
    <row r="59" spans="3:61" ht="16.5" thickBot="1" x14ac:dyDescent="0.3">
      <c r="C59" s="1780" t="s">
        <v>1567</v>
      </c>
      <c r="D59" s="758" t="s">
        <v>602</v>
      </c>
      <c r="E59" s="1778" t="s">
        <v>603</v>
      </c>
      <c r="F59" s="3122">
        <v>459.25</v>
      </c>
      <c r="G59" s="3122">
        <v>614.25678507883447</v>
      </c>
      <c r="H59" s="3128">
        <f>+'Maj Techno Summ'!E30</f>
        <v>282.40390261805726</v>
      </c>
      <c r="I59" s="3128">
        <f>+'Maj Techno Summ'!F30</f>
        <v>303.65179654211732</v>
      </c>
      <c r="J59" s="3128">
        <f>+'Maj Techno Summ'!G30</f>
        <v>318.55975253004431</v>
      </c>
      <c r="K59" s="3128">
        <f>+'Maj Techno Summ'!H30</f>
        <v>254.43639954240777</v>
      </c>
      <c r="L59" s="3128">
        <f>+'Maj Techno Summ'!I30</f>
        <v>300.75847021299234</v>
      </c>
      <c r="M59" s="3128">
        <f>+'Maj Techno Summ'!J30</f>
        <v>278.66781502648178</v>
      </c>
      <c r="N59" s="3128">
        <f>+'Maj Techno Summ'!K30</f>
        <v>666.05996559351195</v>
      </c>
      <c r="O59" s="3128">
        <f>+'Maj Techno Summ'!L30</f>
        <v>588.6958271421496</v>
      </c>
      <c r="P59" s="3136">
        <f>+'Maj Techno Summ'!M30</f>
        <v>420.90602761083306</v>
      </c>
      <c r="Q59" s="3136">
        <f>+'Maj Techno Summ'!N30</f>
        <v>380.46926793269625</v>
      </c>
      <c r="R59" s="3128">
        <f>+'Maj Techno Summ'!O30</f>
        <v>668.59447528699104</v>
      </c>
      <c r="S59" s="3128">
        <f>+'Maj Techno Summ'!P30</f>
        <v>552.35740332598687</v>
      </c>
      <c r="T59" s="3128">
        <f>+'Maj Techno Summ'!Q30</f>
        <v>483.57096703337265</v>
      </c>
      <c r="U59" s="3128">
        <f>+'Maj Techno Summ'!R30</f>
        <v>423.89702838218557</v>
      </c>
      <c r="V59" s="3128">
        <f>+'Maj Techno Summ'!S30</f>
        <v>670.84353526524899</v>
      </c>
      <c r="W59" s="3128">
        <f>+'Maj Techno Summ'!T30</f>
        <v>604.10375914408166</v>
      </c>
      <c r="X59" s="3128">
        <f>+'Maj Techno Summ'!U30</f>
        <v>521.28962819996252</v>
      </c>
      <c r="Y59" s="3128">
        <f>+'Maj Techno Summ'!V30</f>
        <v>460.08668160050757</v>
      </c>
      <c r="Z59" s="3128">
        <f>+'Maj Techno Summ'!W30</f>
        <v>677.21443898748282</v>
      </c>
      <c r="AA59" s="3128">
        <f>+'Maj Techno Summ'!X30</f>
        <v>605.29774392274396</v>
      </c>
      <c r="AB59" s="3136">
        <f>+'Maj Techno Summ'!Y30</f>
        <v>672.18118409038243</v>
      </c>
      <c r="AC59" s="3136">
        <f>+'Maj Techno Summ'!Z30</f>
        <v>587.00675045797971</v>
      </c>
      <c r="AD59" s="3711">
        <f>+'Maj Techno Summ'!AA30</f>
        <v>546.64938252476782</v>
      </c>
      <c r="AE59" s="3711">
        <f>+'Maj Techno Summ'!AB30</f>
        <v>483.7332758039534</v>
      </c>
      <c r="AF59" s="3128">
        <f>+'Maj Techno Summ'!AC30</f>
        <v>682.35743903351954</v>
      </c>
      <c r="AG59" s="3128">
        <f>+'Maj Techno Summ'!AD30</f>
        <v>627.44606880002584</v>
      </c>
      <c r="AH59" s="3128">
        <f>+'Maj Techno Summ'!AE30</f>
        <v>566.03193270050213</v>
      </c>
      <c r="AI59" s="3128">
        <f>+'Maj Techno Summ'!AF30</f>
        <v>504.42696288835316</v>
      </c>
      <c r="AJ59" s="3128">
        <f>+'Maj Techno Summ'!AG30</f>
        <v>683.32464445203152</v>
      </c>
      <c r="AK59" s="3128">
        <f>+'Maj Techno Summ'!AH30</f>
        <v>594.87690863579473</v>
      </c>
      <c r="AL59" s="4045">
        <f>+'Maj Techno Summ'!AI30</f>
        <v>580.27909905534284</v>
      </c>
      <c r="AM59" s="4045">
        <f>+'Maj Techno Summ'!AJ30</f>
        <v>515.4746933567784</v>
      </c>
      <c r="AN59" s="3128">
        <f>+'Maj Techno Summ'!AK30</f>
        <v>686.47703436769723</v>
      </c>
      <c r="AO59" s="3128">
        <f>+'Maj Techno Summ'!AL30</f>
        <v>643.01729561249749</v>
      </c>
      <c r="AP59" s="3136">
        <f>+'Maj Techno Summ'!AM30</f>
        <v>684.0515654420301</v>
      </c>
      <c r="AQ59" s="3136">
        <f>+'Maj Techno Summ'!AN30</f>
        <v>622.03706666553217</v>
      </c>
      <c r="AR59" s="3142">
        <f>+'Maj Techno Summ'!AO30</f>
        <v>592.05039357809233</v>
      </c>
      <c r="AS59" s="3142">
        <f>+'Maj Techno Summ'!AP30</f>
        <v>529.68413840619053</v>
      </c>
      <c r="AT59" s="3128">
        <f>+'Maj Techno Summ'!AQ30</f>
        <v>690.82426975335807</v>
      </c>
      <c r="AU59" s="3128">
        <f>+'Maj Techno Summ'!AR30</f>
        <v>661.54254057811033</v>
      </c>
      <c r="AV59" s="3142">
        <f>+'Maj Techno Summ'!AS30</f>
        <v>601.84562916206437</v>
      </c>
      <c r="AW59" s="3142">
        <f>+'Maj Techno Summ'!AT30</f>
        <v>542.80745295753388</v>
      </c>
      <c r="AX59" s="3128">
        <f>+'Maj Techno Summ'!AU30</f>
        <v>681.80378566146101</v>
      </c>
      <c r="AY59" s="3128">
        <f>+'Maj Techno Summ'!AV30</f>
        <v>657.41114682742034</v>
      </c>
      <c r="AZ59" s="3142">
        <f>+'Maj Techno Summ'!AW30</f>
        <v>608.5019986076544</v>
      </c>
      <c r="BA59" s="3142">
        <f>+'Maj Techno Summ'!AX30</f>
        <v>552.30532502927804</v>
      </c>
      <c r="BB59" s="3128">
        <f>+'Maj Techno Summ'!AY30</f>
        <v>696.46797070615537</v>
      </c>
      <c r="BC59" s="3128">
        <f>+'Maj Techno Summ'!AZ30</f>
        <v>667.83132328453621</v>
      </c>
      <c r="BD59" s="3136">
        <f>+'Maj Techno Summ'!BA30</f>
        <v>689.99029938672777</v>
      </c>
      <c r="BE59" s="3136">
        <f>+'Maj Techno Summ'!BB30</f>
        <v>662.43180935109706</v>
      </c>
      <c r="BF59" s="3711">
        <f>+'Maj Techno Summ'!BC30</f>
        <v>687.02127610088689</v>
      </c>
      <c r="BG59" s="3711">
        <f>+'Maj Techno Summ'!BD30</f>
        <v>641.90128892913015</v>
      </c>
      <c r="BH59" s="3142">
        <f>+'Maj Techno Summ'!BE30</f>
        <v>615.77607331821741</v>
      </c>
      <c r="BI59" s="3142">
        <f>+'Maj Techno Summ'!BF30</f>
        <v>561.88093987319337</v>
      </c>
    </row>
  </sheetData>
  <mergeCells count="36">
    <mergeCell ref="D3:AM3"/>
    <mergeCell ref="AJ4:AK4"/>
    <mergeCell ref="AL4:AM4"/>
    <mergeCell ref="AF4:AG4"/>
    <mergeCell ref="AH4:AI4"/>
    <mergeCell ref="C56:C58"/>
    <mergeCell ref="C4:C5"/>
    <mergeCell ref="X4:Y4"/>
    <mergeCell ref="C27:C33"/>
    <mergeCell ref="C35:C41"/>
    <mergeCell ref="H4:I4"/>
    <mergeCell ref="J4:K4"/>
    <mergeCell ref="N4:O4"/>
    <mergeCell ref="L4:M4"/>
    <mergeCell ref="C6:C20"/>
    <mergeCell ref="C21:C26"/>
    <mergeCell ref="P4:Q4"/>
    <mergeCell ref="R4:S4"/>
    <mergeCell ref="V4:W4"/>
    <mergeCell ref="T4:U4"/>
    <mergeCell ref="C42:C53"/>
    <mergeCell ref="BB4:BC4"/>
    <mergeCell ref="BD4:BE4"/>
    <mergeCell ref="BF4:BG4"/>
    <mergeCell ref="BH4:BI4"/>
    <mergeCell ref="C54:C55"/>
    <mergeCell ref="AB4:AC4"/>
    <mergeCell ref="AD4:AE4"/>
    <mergeCell ref="Z4:AA4"/>
    <mergeCell ref="AX4:AY4"/>
    <mergeCell ref="AZ4:BA4"/>
    <mergeCell ref="AT4:AU4"/>
    <mergeCell ref="AV4:AW4"/>
    <mergeCell ref="AN4:AO4"/>
    <mergeCell ref="AP4:AQ4"/>
    <mergeCell ref="AR4:AS4"/>
  </mergeCells>
  <printOptions horizontalCentered="1" verticalCentered="1"/>
  <pageMargins left="0" right="0" top="0" bottom="0" header="0" footer="0"/>
  <pageSetup paperSize="9" scale="4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699"/>
    <pageSetUpPr fitToPage="1"/>
  </sheetPr>
  <dimension ref="B1:BF22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U21" sqref="AU21"/>
    </sheetView>
  </sheetViews>
  <sheetFormatPr defaultRowHeight="18.75" x14ac:dyDescent="0.3"/>
  <cols>
    <col min="2" max="2" width="36.7109375" style="1420" bestFit="1" customWidth="1"/>
    <col min="3" max="3" width="16.140625" style="1420" bestFit="1" customWidth="1"/>
    <col min="4" max="4" width="16.140625" style="1805" customWidth="1"/>
    <col min="5" max="6" width="14.5703125" style="1420" customWidth="1"/>
    <col min="7" max="7" width="10" style="1420" customWidth="1"/>
    <col min="8" max="8" width="14.5703125" style="1420" customWidth="1"/>
    <col min="9" max="9" width="10.5703125" style="1420" hidden="1" customWidth="1"/>
    <col min="10" max="10" width="11.28515625" style="1420" hidden="1" customWidth="1"/>
    <col min="11" max="11" width="11.5703125" style="1420" customWidth="1"/>
    <col min="12" max="12" width="14.5703125" style="1420" customWidth="1"/>
    <col min="13" max="13" width="12" style="1420" customWidth="1"/>
    <col min="14" max="14" width="14.140625" style="1420" customWidth="1"/>
    <col min="15" max="16" width="9.85546875" customWidth="1"/>
    <col min="17" max="18" width="9.85546875" hidden="1" customWidth="1"/>
    <col min="19" max="19" width="9.85546875" customWidth="1"/>
    <col min="20" max="20" width="10" customWidth="1"/>
    <col min="21" max="22" width="9.85546875" hidden="1" customWidth="1"/>
    <col min="23" max="23" width="9.85546875" customWidth="1"/>
    <col min="24" max="24" width="10" customWidth="1"/>
    <col min="25" max="26" width="9.85546875" customWidth="1"/>
    <col min="27" max="28" width="11.28515625" customWidth="1"/>
    <col min="29" max="29" width="10" customWidth="1"/>
    <col min="30" max="30" width="10" bestFit="1" customWidth="1"/>
    <col min="31" max="32" width="11.28515625" hidden="1" customWidth="1"/>
    <col min="33" max="34" width="10" bestFit="1" customWidth="1"/>
    <col min="35" max="36" width="11.28515625" hidden="1" customWidth="1"/>
    <col min="37" max="38" width="10" bestFit="1" customWidth="1"/>
    <col min="39" max="40" width="9.85546875" bestFit="1" customWidth="1"/>
    <col min="41" max="42" width="11.28515625" hidden="1" customWidth="1"/>
    <col min="43" max="44" width="9.85546875" bestFit="1" customWidth="1"/>
    <col min="45" max="46" width="11.28515625" hidden="1" customWidth="1"/>
    <col min="47" max="47" width="9.85546875" bestFit="1" customWidth="1"/>
    <col min="48" max="48" width="10" bestFit="1" customWidth="1"/>
    <col min="49" max="50" width="11.28515625" hidden="1" customWidth="1"/>
    <col min="51" max="51" width="11.42578125" customWidth="1"/>
    <col min="52" max="52" width="11.5703125" customWidth="1"/>
    <col min="53" max="54" width="9.85546875" bestFit="1" customWidth="1"/>
    <col min="55" max="58" width="11.28515625" bestFit="1" customWidth="1"/>
  </cols>
  <sheetData>
    <row r="1" spans="2:58" x14ac:dyDescent="0.3">
      <c r="B1" s="4936" t="s">
        <v>1420</v>
      </c>
      <c r="C1" s="4936"/>
      <c r="D1" s="4936"/>
      <c r="E1" s="4936"/>
      <c r="F1" s="4936"/>
      <c r="G1" s="4936"/>
      <c r="H1" s="4936"/>
      <c r="I1" s="4936"/>
      <c r="J1" s="4936"/>
      <c r="K1" s="4936"/>
      <c r="L1" s="4936"/>
      <c r="M1" s="4936"/>
      <c r="N1" s="4936"/>
      <c r="O1" s="4936"/>
      <c r="P1" s="4936"/>
      <c r="Q1" s="4936"/>
      <c r="R1" s="4936"/>
      <c r="S1" s="4936"/>
      <c r="T1" s="4936"/>
      <c r="U1" s="4936"/>
      <c r="V1" s="4936"/>
    </row>
    <row r="2" spans="2:58" ht="19.5" thickBot="1" x14ac:dyDescent="0.35"/>
    <row r="3" spans="2:58" ht="19.5" thickBot="1" x14ac:dyDescent="0.3">
      <c r="B3" s="4937" t="s">
        <v>197</v>
      </c>
      <c r="C3" s="4939" t="s">
        <v>198</v>
      </c>
      <c r="D3" s="4941" t="s">
        <v>1547</v>
      </c>
      <c r="E3" s="4929" t="s">
        <v>1323</v>
      </c>
      <c r="F3" s="4930"/>
      <c r="G3" s="4929" t="s">
        <v>1384</v>
      </c>
      <c r="H3" s="4930"/>
      <c r="I3" s="4931" t="s">
        <v>15</v>
      </c>
      <c r="J3" s="4932"/>
      <c r="K3" s="4929" t="s">
        <v>1398</v>
      </c>
      <c r="L3" s="4930"/>
      <c r="M3" s="4923" t="s">
        <v>747</v>
      </c>
      <c r="N3" s="4924"/>
      <c r="O3" s="4929" t="s">
        <v>1436</v>
      </c>
      <c r="P3" s="4930"/>
      <c r="Q3" s="4931" t="s">
        <v>770</v>
      </c>
      <c r="R3" s="4932"/>
      <c r="S3" s="4929" t="s">
        <v>1496</v>
      </c>
      <c r="T3" s="4930"/>
      <c r="U3" s="4931" t="s">
        <v>1068</v>
      </c>
      <c r="V3" s="4932"/>
      <c r="W3" s="4929" t="s">
        <v>1573</v>
      </c>
      <c r="X3" s="4930"/>
      <c r="Y3" s="4923" t="s">
        <v>788</v>
      </c>
      <c r="Z3" s="4924"/>
      <c r="AA3" s="4925" t="s">
        <v>784</v>
      </c>
      <c r="AB3" s="4926"/>
      <c r="AC3" s="4929" t="s">
        <v>1634</v>
      </c>
      <c r="AD3" s="4930"/>
      <c r="AE3" s="4931" t="s">
        <v>1635</v>
      </c>
      <c r="AF3" s="4932"/>
      <c r="AG3" s="4929" t="s">
        <v>1671</v>
      </c>
      <c r="AH3" s="4930"/>
      <c r="AI3" s="4931" t="s">
        <v>1672</v>
      </c>
      <c r="AJ3" s="4932"/>
      <c r="AK3" s="4929" t="s">
        <v>1696</v>
      </c>
      <c r="AL3" s="4930"/>
      <c r="AM3" s="4923" t="s">
        <v>799</v>
      </c>
      <c r="AN3" s="4924"/>
      <c r="AO3" s="4931" t="s">
        <v>1221</v>
      </c>
      <c r="AP3" s="4932"/>
      <c r="AQ3" s="4929" t="s">
        <v>1760</v>
      </c>
      <c r="AR3" s="4930"/>
      <c r="AS3" s="4931" t="s">
        <v>31</v>
      </c>
      <c r="AT3" s="4932"/>
      <c r="AU3" s="4929" t="s">
        <v>1812</v>
      </c>
      <c r="AV3" s="4930"/>
      <c r="AW3" s="4931" t="s">
        <v>809</v>
      </c>
      <c r="AX3" s="4932"/>
      <c r="AY3" s="4929" t="s">
        <v>1844</v>
      </c>
      <c r="AZ3" s="4930"/>
      <c r="BA3" s="4923" t="s">
        <v>800</v>
      </c>
      <c r="BB3" s="4924"/>
      <c r="BC3" s="4925" t="s">
        <v>817</v>
      </c>
      <c r="BD3" s="4926"/>
      <c r="BE3" s="4927" t="s">
        <v>1314</v>
      </c>
      <c r="BF3" s="4928"/>
    </row>
    <row r="4" spans="2:58" x14ac:dyDescent="0.25">
      <c r="B4" s="4938"/>
      <c r="C4" s="4940"/>
      <c r="D4" s="4942"/>
      <c r="E4" s="1580" t="s">
        <v>199</v>
      </c>
      <c r="F4" s="1581" t="s">
        <v>200</v>
      </c>
      <c r="G4" s="1580" t="s">
        <v>199</v>
      </c>
      <c r="H4" s="1581" t="s">
        <v>200</v>
      </c>
      <c r="I4" s="4176" t="s">
        <v>199</v>
      </c>
      <c r="J4" s="4177" t="s">
        <v>200</v>
      </c>
      <c r="K4" s="1580" t="s">
        <v>199</v>
      </c>
      <c r="L4" s="1581" t="s">
        <v>200</v>
      </c>
      <c r="M4" s="4164" t="s">
        <v>199</v>
      </c>
      <c r="N4" s="4165" t="s">
        <v>200</v>
      </c>
      <c r="O4" s="1580" t="s">
        <v>199</v>
      </c>
      <c r="P4" s="1581" t="s">
        <v>200</v>
      </c>
      <c r="Q4" s="4176" t="s">
        <v>199</v>
      </c>
      <c r="R4" s="4177" t="s">
        <v>200</v>
      </c>
      <c r="S4" s="1580" t="s">
        <v>199</v>
      </c>
      <c r="T4" s="1581" t="s">
        <v>200</v>
      </c>
      <c r="U4" s="4176" t="s">
        <v>199</v>
      </c>
      <c r="V4" s="4177" t="s">
        <v>200</v>
      </c>
      <c r="W4" s="1580" t="s">
        <v>199</v>
      </c>
      <c r="X4" s="1581" t="s">
        <v>200</v>
      </c>
      <c r="Y4" s="4164" t="s">
        <v>199</v>
      </c>
      <c r="Z4" s="4165" t="s">
        <v>200</v>
      </c>
      <c r="AA4" s="4170" t="s">
        <v>199</v>
      </c>
      <c r="AB4" s="4171" t="s">
        <v>200</v>
      </c>
      <c r="AC4" s="1580" t="s">
        <v>199</v>
      </c>
      <c r="AD4" s="1581" t="s">
        <v>200</v>
      </c>
      <c r="AE4" s="4176" t="s">
        <v>199</v>
      </c>
      <c r="AF4" s="4177" t="s">
        <v>200</v>
      </c>
      <c r="AG4" s="1580" t="s">
        <v>199</v>
      </c>
      <c r="AH4" s="1581" t="s">
        <v>200</v>
      </c>
      <c r="AI4" s="4176" t="s">
        <v>199</v>
      </c>
      <c r="AJ4" s="4177" t="s">
        <v>200</v>
      </c>
      <c r="AK4" s="1580" t="s">
        <v>199</v>
      </c>
      <c r="AL4" s="1581" t="s">
        <v>200</v>
      </c>
      <c r="AM4" s="4164" t="s">
        <v>199</v>
      </c>
      <c r="AN4" s="4165" t="s">
        <v>200</v>
      </c>
      <c r="AO4" s="4176" t="s">
        <v>199</v>
      </c>
      <c r="AP4" s="4177" t="s">
        <v>200</v>
      </c>
      <c r="AQ4" s="1580" t="s">
        <v>199</v>
      </c>
      <c r="AR4" s="1581" t="s">
        <v>200</v>
      </c>
      <c r="AS4" s="4176" t="s">
        <v>199</v>
      </c>
      <c r="AT4" s="4177" t="s">
        <v>200</v>
      </c>
      <c r="AU4" s="1580" t="s">
        <v>199</v>
      </c>
      <c r="AV4" s="1581" t="s">
        <v>200</v>
      </c>
      <c r="AW4" s="4176" t="s">
        <v>199</v>
      </c>
      <c r="AX4" s="4177" t="s">
        <v>200</v>
      </c>
      <c r="AY4" s="1580" t="s">
        <v>199</v>
      </c>
      <c r="AZ4" s="1581" t="s">
        <v>200</v>
      </c>
      <c r="BA4" s="4164" t="s">
        <v>199</v>
      </c>
      <c r="BB4" s="4165" t="s">
        <v>200</v>
      </c>
      <c r="BC4" s="4170" t="s">
        <v>199</v>
      </c>
      <c r="BD4" s="4171" t="s">
        <v>200</v>
      </c>
      <c r="BE4" s="4458" t="s">
        <v>199</v>
      </c>
      <c r="BF4" s="4459" t="s">
        <v>200</v>
      </c>
    </row>
    <row r="5" spans="2:58" x14ac:dyDescent="0.25">
      <c r="B5" s="1582" t="s">
        <v>1337</v>
      </c>
      <c r="C5" s="486" t="s">
        <v>69</v>
      </c>
      <c r="D5" s="4933" t="s">
        <v>1575</v>
      </c>
      <c r="E5" s="617">
        <f>+'B-FCE'!E5</f>
        <v>102000</v>
      </c>
      <c r="F5" s="617">
        <f>+'B-FCE'!F5</f>
        <v>109815</v>
      </c>
      <c r="G5" s="617">
        <f>+'B-FCE'!G5</f>
        <v>134000</v>
      </c>
      <c r="H5" s="617">
        <f>+'B-FCE'!H5</f>
        <v>103466.6</v>
      </c>
      <c r="I5" s="4178">
        <f>+'B-FCE'!I5</f>
        <v>236000</v>
      </c>
      <c r="J5" s="4178">
        <f>+'B-FCE'!J5</f>
        <v>213281.6</v>
      </c>
      <c r="K5" s="617">
        <f>+'B-FCE'!K5</f>
        <v>237623</v>
      </c>
      <c r="L5" s="617">
        <f>+'B-FCE'!L5</f>
        <v>206937</v>
      </c>
      <c r="M5" s="621">
        <f>+'B-FCE'!M5</f>
        <v>473623</v>
      </c>
      <c r="N5" s="621">
        <f>+'B-FCE'!N5</f>
        <v>420218.6</v>
      </c>
      <c r="O5" s="617">
        <f>+'B-FCE'!O5</f>
        <v>245677.5</v>
      </c>
      <c r="P5" s="617">
        <f>+'B-FCE'!P5</f>
        <v>200202</v>
      </c>
      <c r="Q5" s="4178">
        <f>+'B-FCE'!Q5</f>
        <v>719300.5</v>
      </c>
      <c r="R5" s="4178">
        <f>+'B-FCE'!R5</f>
        <v>620420.6</v>
      </c>
      <c r="S5" s="617">
        <f>+'B-FCE'!S5</f>
        <v>245677.5</v>
      </c>
      <c r="T5" s="617">
        <f>+'B-FCE'!T5</f>
        <v>220172</v>
      </c>
      <c r="U5" s="4178">
        <f>+'B-FCE'!U5</f>
        <v>964978</v>
      </c>
      <c r="V5" s="4178">
        <f>+'B-FCE'!V5</f>
        <v>840592.6</v>
      </c>
      <c r="W5" s="617">
        <f>+'B-FCE'!W5</f>
        <v>238950</v>
      </c>
      <c r="X5" s="617">
        <f>+'B-FCE'!X5</f>
        <v>213015</v>
      </c>
      <c r="Y5" s="621">
        <f>+'B-FCE'!Y5</f>
        <v>730305</v>
      </c>
      <c r="Z5" s="621">
        <f>+'B-FCE'!Z5</f>
        <v>633389</v>
      </c>
      <c r="AA5" s="1208">
        <f>+'B-FCE'!AA5</f>
        <v>1203928</v>
      </c>
      <c r="AB5" s="1208">
        <f>+'B-FCE'!AB5</f>
        <v>1053607.6000000001</v>
      </c>
      <c r="AC5" s="617">
        <f>+'B-FCE'!AC5</f>
        <v>247050</v>
      </c>
      <c r="AD5" s="617">
        <f>+'B-FCE'!AD5</f>
        <v>232652</v>
      </c>
      <c r="AE5" s="4178">
        <f>+'B-FCE'!AE5</f>
        <v>1450978</v>
      </c>
      <c r="AF5" s="4178">
        <f>+'B-FCE'!AF5</f>
        <v>1286259.6000000001</v>
      </c>
      <c r="AG5" s="617">
        <f>+'B-FCE'!AG5</f>
        <v>238950</v>
      </c>
      <c r="AH5" s="617">
        <f>+'B-FCE'!AH5</f>
        <v>207019</v>
      </c>
      <c r="AI5" s="4178">
        <f>+'B-FCE'!AI5</f>
        <v>1689928</v>
      </c>
      <c r="AJ5" s="4178">
        <f>+'B-FCE'!AJ5</f>
        <v>1493278.6</v>
      </c>
      <c r="AK5" s="617">
        <f>+'B-FCE'!AK5</f>
        <v>247050</v>
      </c>
      <c r="AL5" s="617">
        <f>+'B-FCE'!AL5</f>
        <v>230306</v>
      </c>
      <c r="AM5" s="621">
        <f>+'B-FCE'!AM5</f>
        <v>733050</v>
      </c>
      <c r="AN5" s="621">
        <f>+'B-FCE'!AN5</f>
        <v>669977</v>
      </c>
      <c r="AO5" s="4178">
        <f>+'B-FCE'!AO5</f>
        <v>1936978</v>
      </c>
      <c r="AP5" s="4178">
        <f>+'B-FCE'!AP5</f>
        <v>1723584.6</v>
      </c>
      <c r="AQ5" s="617">
        <f>+'B-FCE'!AQ5</f>
        <v>247050</v>
      </c>
      <c r="AR5" s="617">
        <f>+'B-FCE'!AR5</f>
        <v>235117</v>
      </c>
      <c r="AS5" s="4178">
        <f>+'B-FCE'!AS5</f>
        <v>2184028</v>
      </c>
      <c r="AT5" s="4178">
        <f>+'B-FCE'!AT5</f>
        <v>1958701.6</v>
      </c>
      <c r="AU5" s="617">
        <f>+'B-FCE'!AU5</f>
        <v>218922.97</v>
      </c>
      <c r="AV5" s="617">
        <f>+'B-FCE'!AV5</f>
        <v>210229</v>
      </c>
      <c r="AW5" s="4178">
        <f>+'B-FCE'!AW5</f>
        <v>2402950.9700000002</v>
      </c>
      <c r="AX5" s="4178">
        <f>+'B-FCE'!AX5</f>
        <v>2168930.6</v>
      </c>
      <c r="AY5" s="617">
        <f>+'B-FCE'!AY5</f>
        <v>247050</v>
      </c>
      <c r="AZ5" s="617">
        <f>+'B-FCE'!AZ5</f>
        <v>237855.1</v>
      </c>
      <c r="BA5" s="621">
        <f>+'B-FCE'!BA5</f>
        <v>713022.97</v>
      </c>
      <c r="BB5" s="621">
        <f>+'B-FCE'!BB5</f>
        <v>683201.1</v>
      </c>
      <c r="BC5" s="1208">
        <f>+'B-FCE'!BC5</f>
        <v>1446072.97</v>
      </c>
      <c r="BD5" s="1208">
        <f>+'B-FCE'!BD5</f>
        <v>1353178.1</v>
      </c>
      <c r="BE5" s="606">
        <f>+'B-FCE'!BE5</f>
        <v>2650000.9700000002</v>
      </c>
      <c r="BF5" s="606">
        <f>+'B-FCE'!BF5</f>
        <v>2406785.7000000002</v>
      </c>
    </row>
    <row r="6" spans="2:58" x14ac:dyDescent="0.3">
      <c r="B6" s="2218"/>
      <c r="C6" s="2218"/>
      <c r="D6" s="4934"/>
      <c r="E6" s="2218"/>
      <c r="F6" s="2218"/>
      <c r="G6" s="2218"/>
      <c r="H6" s="2218"/>
      <c r="I6" s="4179"/>
      <c r="J6" s="4179"/>
      <c r="K6" s="2218"/>
      <c r="L6" s="2218"/>
      <c r="M6" s="4166"/>
      <c r="N6" s="4166"/>
      <c r="O6" s="2218"/>
      <c r="P6" s="2218"/>
      <c r="Q6" s="4179"/>
      <c r="R6" s="4179"/>
      <c r="S6" s="2218"/>
      <c r="T6" s="2218"/>
      <c r="U6" s="4179"/>
      <c r="V6" s="4179"/>
      <c r="W6" s="2218"/>
      <c r="X6" s="2218"/>
      <c r="Y6" s="4166"/>
      <c r="Z6" s="4166"/>
      <c r="AA6" s="4172"/>
      <c r="AB6" s="4172"/>
      <c r="AC6" s="2218"/>
      <c r="AD6" s="2218"/>
      <c r="AE6" s="4179"/>
      <c r="AF6" s="4179"/>
      <c r="AG6" s="2218"/>
      <c r="AH6" s="2218"/>
      <c r="AI6" s="4179"/>
      <c r="AJ6" s="4179"/>
      <c r="AK6" s="2218"/>
      <c r="AL6" s="2218"/>
      <c r="AM6" s="4166"/>
      <c r="AN6" s="4166"/>
      <c r="AO6" s="4179"/>
      <c r="AP6" s="4179"/>
      <c r="AQ6" s="2218"/>
      <c r="AR6" s="2218"/>
      <c r="AS6" s="4179"/>
      <c r="AT6" s="4179"/>
      <c r="AU6" s="2218"/>
      <c r="AV6" s="2218"/>
      <c r="AW6" s="4179"/>
      <c r="AX6" s="4179"/>
      <c r="AY6" s="2218"/>
      <c r="AZ6" s="2218"/>
      <c r="BA6" s="4166"/>
      <c r="BB6" s="4166"/>
      <c r="BC6" s="4172"/>
      <c r="BD6" s="4172"/>
      <c r="BE6" s="4454"/>
      <c r="BF6" s="4454"/>
    </row>
    <row r="7" spans="2:58" x14ac:dyDescent="0.3">
      <c r="B7" s="2218" t="s">
        <v>1338</v>
      </c>
      <c r="C7" s="2219" t="s">
        <v>69</v>
      </c>
      <c r="D7" s="4934"/>
      <c r="E7" s="2220">
        <f>+'B-FCE'!E22</f>
        <v>41820</v>
      </c>
      <c r="F7" s="2220">
        <f>+'B-FCE'!F22</f>
        <v>43408</v>
      </c>
      <c r="G7" s="2220">
        <f>+'B-FCE'!G22</f>
        <v>58960</v>
      </c>
      <c r="H7" s="2220">
        <f>+'B-FCE'!H22</f>
        <v>43712.860999999997</v>
      </c>
      <c r="I7" s="4180">
        <f>+'B-FCE'!I22</f>
        <v>100780</v>
      </c>
      <c r="J7" s="4180">
        <f>+'B-FCE'!J22</f>
        <v>87120.861000000004</v>
      </c>
      <c r="K7" s="2220">
        <f>+'B-FCE'!K22</f>
        <v>90296.74</v>
      </c>
      <c r="L7" s="2220">
        <f>+'B-FCE'!L22</f>
        <v>83766</v>
      </c>
      <c r="M7" s="4167">
        <f>+'B-FCE'!M22</f>
        <v>191076.74</v>
      </c>
      <c r="N7" s="4167">
        <f>+'B-FCE'!N22</f>
        <v>170886.861</v>
      </c>
      <c r="O7" s="2220">
        <f>+'B-FCE'!O22</f>
        <v>94585.837499999994</v>
      </c>
      <c r="P7" s="2220">
        <f>+'B-FCE'!P22</f>
        <v>84995</v>
      </c>
      <c r="Q7" s="4180">
        <f>+'B-FCE'!Q22</f>
        <v>285662.57750000001</v>
      </c>
      <c r="R7" s="4180">
        <f>+'B-FCE'!R22</f>
        <v>255881.861</v>
      </c>
      <c r="S7" s="2220">
        <f>+'B-FCE'!S22</f>
        <v>94585.837499999994</v>
      </c>
      <c r="T7" s="2220">
        <f>+'B-FCE'!T22</f>
        <v>85420</v>
      </c>
      <c r="U7" s="4180">
        <f>+'B-FCE'!U22</f>
        <v>380248.41500000004</v>
      </c>
      <c r="V7" s="4180">
        <f>+'B-FCE'!V22</f>
        <v>341301.86100000003</v>
      </c>
      <c r="W7" s="2220">
        <f>+'B-FCE'!W22</f>
        <v>90801</v>
      </c>
      <c r="X7" s="2220">
        <f>+'B-FCE'!X22</f>
        <v>81791</v>
      </c>
      <c r="Y7" s="4167">
        <f>+'B-FCE'!Y22</f>
        <v>279972.67499999999</v>
      </c>
      <c r="Z7" s="4167">
        <f>+'B-FCE'!Z22</f>
        <v>252206</v>
      </c>
      <c r="AA7" s="4173">
        <f>+'B-FCE'!AA22</f>
        <v>471049.41500000004</v>
      </c>
      <c r="AB7" s="4173">
        <f>+'B-FCE'!AB22</f>
        <v>423092.86100000003</v>
      </c>
      <c r="AC7" s="2220">
        <f>+'B-FCE'!AC22</f>
        <v>92643.75</v>
      </c>
      <c r="AD7" s="2220">
        <f>+'B-FCE'!AD22</f>
        <v>90700</v>
      </c>
      <c r="AE7" s="4180">
        <f>+'B-FCE'!AE22</f>
        <v>563693.16500000004</v>
      </c>
      <c r="AF7" s="4180">
        <f>+'B-FCE'!AF22</f>
        <v>513792.86100000003</v>
      </c>
      <c r="AG7" s="2220">
        <f>+'B-FCE'!AG22</f>
        <v>89606.25</v>
      </c>
      <c r="AH7" s="2220">
        <f>+'B-FCE'!AH22</f>
        <v>83130</v>
      </c>
      <c r="AI7" s="4180">
        <f>+'B-FCE'!AI22</f>
        <v>653299.41500000004</v>
      </c>
      <c r="AJ7" s="4180">
        <f>+'B-FCE'!AJ22</f>
        <v>596922.86100000003</v>
      </c>
      <c r="AK7" s="2220">
        <f>+'B-FCE'!AK22</f>
        <v>91408.5</v>
      </c>
      <c r="AL7" s="2220">
        <f>+'B-FCE'!AL22</f>
        <v>90910</v>
      </c>
      <c r="AM7" s="4167">
        <f>+'B-FCE'!AM22</f>
        <v>273658.5</v>
      </c>
      <c r="AN7" s="4167">
        <f>+'B-FCE'!AN22</f>
        <v>264740</v>
      </c>
      <c r="AO7" s="4180">
        <f>+'B-FCE'!AO22</f>
        <v>744707.91500000004</v>
      </c>
      <c r="AP7" s="4180">
        <f>+'B-FCE'!AP22</f>
        <v>687832.86100000003</v>
      </c>
      <c r="AQ7" s="2220">
        <f>+'B-FCE'!AQ22</f>
        <v>88938</v>
      </c>
      <c r="AR7" s="2220">
        <f>+'B-FCE'!AR22</f>
        <v>91923.198500000028</v>
      </c>
      <c r="AS7" s="4180">
        <f>+'B-FCE'!AS22</f>
        <v>833645.91500000004</v>
      </c>
      <c r="AT7" s="4180">
        <f>+'B-FCE'!AT22</f>
        <v>779756.05950000009</v>
      </c>
      <c r="AU7" s="2220">
        <f>+'B-FCE'!AU22</f>
        <v>78812.26920000001</v>
      </c>
      <c r="AV7" s="2220">
        <f>+'B-FCE'!AV22</f>
        <v>82368.314899999998</v>
      </c>
      <c r="AW7" s="4180">
        <f>+'B-FCE'!AW22</f>
        <v>912458.18420000002</v>
      </c>
      <c r="AX7" s="4180">
        <f>+'B-FCE'!AX22</f>
        <v>862124.37440000009</v>
      </c>
      <c r="AY7" s="2220">
        <f>+'B-FCE'!AY22</f>
        <v>88938</v>
      </c>
      <c r="AZ7" s="2220">
        <f>+'B-FCE'!AZ22</f>
        <v>92682.627000000008</v>
      </c>
      <c r="BA7" s="4167">
        <f>+'B-FCE'!BA22</f>
        <v>256688.26920000001</v>
      </c>
      <c r="BB7" s="4167">
        <f>+'B-FCE'!BB22</f>
        <v>266974.14040000003</v>
      </c>
      <c r="BC7" s="4173">
        <f>+'B-FCE'!BC22</f>
        <v>530346.76919999998</v>
      </c>
      <c r="BD7" s="4173">
        <f>+'B-FCE'!BD22</f>
        <v>531714.14040000003</v>
      </c>
      <c r="BE7" s="4455">
        <f>+'B-FCE'!BE22</f>
        <v>1001396.1842</v>
      </c>
      <c r="BF7" s="4455">
        <f>+'B-FCE'!BF22</f>
        <v>954807.00140000007</v>
      </c>
    </row>
    <row r="8" spans="2:58" x14ac:dyDescent="0.3">
      <c r="B8" s="2218" t="s">
        <v>1339</v>
      </c>
      <c r="C8" s="2219" t="s">
        <v>69</v>
      </c>
      <c r="D8" s="4934"/>
      <c r="E8" s="2220">
        <f>+'B-FCE'!E23</f>
        <v>1632</v>
      </c>
      <c r="F8" s="2220">
        <f>+'B-FCE'!F23</f>
        <v>5123</v>
      </c>
      <c r="G8" s="2220">
        <f>+'B-FCE'!G23</f>
        <v>3350</v>
      </c>
      <c r="H8" s="2220">
        <f>+'B-FCE'!H23</f>
        <v>3483.2449999999999</v>
      </c>
      <c r="I8" s="4180">
        <f>+'B-FCE'!I23</f>
        <v>4982</v>
      </c>
      <c r="J8" s="4180">
        <f>+'B-FCE'!J23</f>
        <v>8606.244999999999</v>
      </c>
      <c r="K8" s="2220">
        <f>+'B-FCE'!K23</f>
        <v>7128.69</v>
      </c>
      <c r="L8" s="2220">
        <f>+'B-FCE'!L23</f>
        <v>9306</v>
      </c>
      <c r="M8" s="4167">
        <f>+'B-FCE'!M23</f>
        <v>12110.689999999999</v>
      </c>
      <c r="N8" s="4167">
        <f>+'B-FCE'!N23</f>
        <v>17912.244999999999</v>
      </c>
      <c r="O8" s="2220">
        <f>+'B-FCE'!O23</f>
        <v>7370.3249999999998</v>
      </c>
      <c r="P8" s="2220">
        <f>+'B-FCE'!P23</f>
        <v>7504</v>
      </c>
      <c r="Q8" s="4180">
        <f>+'B-FCE'!Q23</f>
        <v>19481.014999999999</v>
      </c>
      <c r="R8" s="4180">
        <f>+'B-FCE'!R23</f>
        <v>25416.244999999999</v>
      </c>
      <c r="S8" s="2220">
        <f>+'B-FCE'!S23</f>
        <v>7370.3249999999998</v>
      </c>
      <c r="T8" s="2220">
        <f>+'B-FCE'!T23</f>
        <v>9058</v>
      </c>
      <c r="U8" s="4180">
        <f>+'B-FCE'!U23</f>
        <v>26851.34</v>
      </c>
      <c r="V8" s="4180">
        <f>+'B-FCE'!V23</f>
        <v>34474.244999999995</v>
      </c>
      <c r="W8" s="2220">
        <f>+'B-FCE'!W23</f>
        <v>7168.5</v>
      </c>
      <c r="X8" s="2220">
        <f>+'B-FCE'!X23</f>
        <v>8543</v>
      </c>
      <c r="Y8" s="4167">
        <f>+'B-FCE'!Y23</f>
        <v>21909.15</v>
      </c>
      <c r="Z8" s="4167">
        <f>+'B-FCE'!Z23</f>
        <v>25105</v>
      </c>
      <c r="AA8" s="4173">
        <f>+'B-FCE'!AA23</f>
        <v>34019.839999999997</v>
      </c>
      <c r="AB8" s="4173">
        <f>+'B-FCE'!AB23</f>
        <v>43017.244999999995</v>
      </c>
      <c r="AC8" s="2220">
        <f>+'B-FCE'!AC23</f>
        <v>4941</v>
      </c>
      <c r="AD8" s="2220">
        <f>+'B-FCE'!AD23</f>
        <v>8414</v>
      </c>
      <c r="AE8" s="4180">
        <f>+'B-FCE'!AE23</f>
        <v>38960.839999999997</v>
      </c>
      <c r="AF8" s="4180">
        <f>+'B-FCE'!AF23</f>
        <v>51431.244999999995</v>
      </c>
      <c r="AG8" s="2220">
        <f>+'B-FCE'!AG23</f>
        <v>4779</v>
      </c>
      <c r="AH8" s="2220">
        <f>+'B-FCE'!AH23</f>
        <v>8020</v>
      </c>
      <c r="AI8" s="4180">
        <f>+'B-FCE'!AI23</f>
        <v>43739.839999999997</v>
      </c>
      <c r="AJ8" s="4180">
        <f>+'B-FCE'!AJ23</f>
        <v>59451.244999999995</v>
      </c>
      <c r="AK8" s="2220">
        <f>+'B-FCE'!AK23</f>
        <v>4941</v>
      </c>
      <c r="AL8" s="2220">
        <f>+'B-FCE'!AL23</f>
        <v>7263</v>
      </c>
      <c r="AM8" s="4167">
        <f>+'B-FCE'!AM23</f>
        <v>14661</v>
      </c>
      <c r="AN8" s="4167">
        <f>+'B-FCE'!AN23</f>
        <v>23697</v>
      </c>
      <c r="AO8" s="4180">
        <f>+'B-FCE'!AO23</f>
        <v>48680.84</v>
      </c>
      <c r="AP8" s="4180">
        <f>+'B-FCE'!AP23</f>
        <v>66714.244999999995</v>
      </c>
      <c r="AQ8" s="2220">
        <f>+'B-FCE'!AQ23</f>
        <v>4941</v>
      </c>
      <c r="AR8" s="2220">
        <f>+'B-FCE'!AR23</f>
        <v>8068.5679999999993</v>
      </c>
      <c r="AS8" s="4180">
        <f>+'B-FCE'!AS23</f>
        <v>53621.84</v>
      </c>
      <c r="AT8" s="4180">
        <f>+'B-FCE'!AT23</f>
        <v>74782.812999999995</v>
      </c>
      <c r="AU8" s="2220">
        <f>+'B-FCE'!AU23</f>
        <v>4378.4594000000006</v>
      </c>
      <c r="AV8" s="2220">
        <f>+'B-FCE'!AV23</f>
        <v>6709.3308999999999</v>
      </c>
      <c r="AW8" s="4180">
        <f>+'B-FCE'!AW23</f>
        <v>58000.299399999996</v>
      </c>
      <c r="AX8" s="4180">
        <f>+'B-FCE'!AX23</f>
        <v>81492.143899999995</v>
      </c>
      <c r="AY8" s="2220">
        <f>+'B-FCE'!AY23</f>
        <v>4941</v>
      </c>
      <c r="AZ8" s="2220">
        <f>+'B-FCE'!AZ23</f>
        <v>7664.2706999999982</v>
      </c>
      <c r="BA8" s="4167">
        <f>+'B-FCE'!BA23</f>
        <v>14260.4594</v>
      </c>
      <c r="BB8" s="4167">
        <f>+'B-FCE'!BB23</f>
        <v>22442.169599999997</v>
      </c>
      <c r="BC8" s="4173">
        <f>+'B-FCE'!BC23</f>
        <v>28921.4594</v>
      </c>
      <c r="BD8" s="4173">
        <f>+'B-FCE'!BD23</f>
        <v>46139.169599999994</v>
      </c>
      <c r="BE8" s="4455">
        <f>+'B-FCE'!BE23</f>
        <v>62941.299399999996</v>
      </c>
      <c r="BF8" s="4455">
        <f>+'B-FCE'!BF23</f>
        <v>89156.414599999989</v>
      </c>
    </row>
    <row r="9" spans="2:58" x14ac:dyDescent="0.3">
      <c r="B9" s="2218" t="s">
        <v>1340</v>
      </c>
      <c r="C9" s="2219" t="s">
        <v>69</v>
      </c>
      <c r="D9" s="4934"/>
      <c r="E9" s="2220">
        <f>+'B-FCE'!E58</f>
        <v>7668</v>
      </c>
      <c r="F9" s="2220">
        <f>+'B-FCE'!F58</f>
        <v>8014.7719999999999</v>
      </c>
      <c r="G9" s="2220">
        <f>+'B-FCE'!G58</f>
        <v>12762.289156626503</v>
      </c>
      <c r="H9" s="2220">
        <f>+'B-FCE'!H58</f>
        <v>12425.313599999999</v>
      </c>
      <c r="I9" s="4180">
        <f>+'B-FCE'!I58</f>
        <v>20430.289156626503</v>
      </c>
      <c r="J9" s="4180">
        <f>+'B-FCE'!J58</f>
        <v>20440.085599999999</v>
      </c>
      <c r="K9" s="2220">
        <f>+'B-FCE'!K58</f>
        <v>15205.1249132948</v>
      </c>
      <c r="L9" s="2220">
        <f>+'B-FCE'!L58</f>
        <v>13614.534</v>
      </c>
      <c r="M9" s="4167">
        <f>+'B-FCE'!M58</f>
        <v>35635.414069921302</v>
      </c>
      <c r="N9" s="4167">
        <f>+'B-FCE'!N58</f>
        <v>34054.619599999998</v>
      </c>
      <c r="O9" s="2220">
        <f>+'B-FCE'!O58</f>
        <v>15912.233453757231</v>
      </c>
      <c r="P9" s="2220">
        <f>+'B-FCE'!P58</f>
        <v>14758.0488</v>
      </c>
      <c r="Q9" s="4180">
        <f>+'B-FCE'!Q58</f>
        <v>51547.647523678534</v>
      </c>
      <c r="R9" s="4180">
        <f>+'B-FCE'!R58</f>
        <v>48812.668399999995</v>
      </c>
      <c r="S9" s="2220">
        <f>+'B-FCE'!S58</f>
        <v>15912.233453757231</v>
      </c>
      <c r="T9" s="2220">
        <f>+'B-FCE'!T58</f>
        <v>12904.65</v>
      </c>
      <c r="U9" s="4180">
        <f>+'B-FCE'!U58</f>
        <v>67459.880977435765</v>
      </c>
      <c r="V9" s="4180">
        <f>+'B-FCE'!V58</f>
        <v>61717.318399999996</v>
      </c>
      <c r="W9" s="2220">
        <f>+'B-FCE'!W58</f>
        <v>15290.037572254339</v>
      </c>
      <c r="X9" s="2220">
        <f>+'B-FCE'!X58</f>
        <v>7143.5529999999999</v>
      </c>
      <c r="Y9" s="4167">
        <f>+'B-FCE'!Y58</f>
        <v>47114.504479768802</v>
      </c>
      <c r="Z9" s="4167">
        <f>+'B-FCE'!Z58</f>
        <v>34806.251799999998</v>
      </c>
      <c r="AA9" s="4173">
        <f>+'B-FCE'!AA58</f>
        <v>82749.918549690105</v>
      </c>
      <c r="AB9" s="4173">
        <f>+'B-FCE'!AB58</f>
        <v>68860.871400000004</v>
      </c>
      <c r="AC9" s="2220">
        <f>+'B-FCE'!AC58</f>
        <v>15229.989884393071</v>
      </c>
      <c r="AD9" s="2220">
        <f>+'B-FCE'!AD58</f>
        <v>10768.582399999999</v>
      </c>
      <c r="AE9" s="4180">
        <f>+'B-FCE'!AE58</f>
        <v>97979.908434083176</v>
      </c>
      <c r="AF9" s="4180">
        <f>+'B-FCE'!AF58</f>
        <v>79629.453800000003</v>
      </c>
      <c r="AG9" s="2220">
        <f>+'B-FCE'!AG58</f>
        <v>14730.645953757223</v>
      </c>
      <c r="AH9" s="2220">
        <f>+'B-FCE'!AH58</f>
        <v>11968.504800000001</v>
      </c>
      <c r="AI9" s="4180">
        <f>+'B-FCE'!AI58</f>
        <v>112710.5543878404</v>
      </c>
      <c r="AJ9" s="4180">
        <f>+'B-FCE'!AJ58</f>
        <v>91597.958599999998</v>
      </c>
      <c r="AK9" s="2220">
        <f>+'B-FCE'!AK58</f>
        <v>15037.205202312136</v>
      </c>
      <c r="AL9" s="2220">
        <f>+'B-FCE'!AL58</f>
        <v>11244.013800000001</v>
      </c>
      <c r="AM9" s="4167">
        <f>+'B-FCE'!AM58</f>
        <v>44997.84104046243</v>
      </c>
      <c r="AN9" s="4167">
        <f>+'B-FCE'!AN58</f>
        <v>33981.101000000002</v>
      </c>
      <c r="AO9" s="4180">
        <f>+'B-FCE'!AO58</f>
        <v>127747.75959015253</v>
      </c>
      <c r="AP9" s="4180">
        <f>+'B-FCE'!AP58</f>
        <v>102841.9724</v>
      </c>
      <c r="AQ9" s="2220">
        <f>+'B-FCE'!AQ58</f>
        <v>14651.635838150294</v>
      </c>
      <c r="AR9" s="2220">
        <f>+'B-FCE'!AR58</f>
        <v>9838.9699999999993</v>
      </c>
      <c r="AS9" s="4180">
        <f>+'B-FCE'!AS58</f>
        <v>142399.39542830281</v>
      </c>
      <c r="AT9" s="4180">
        <f>+'B-FCE'!AT58</f>
        <v>112680.9424</v>
      </c>
      <c r="AU9" s="2220">
        <f>+'B-FCE'!AU58</f>
        <v>12983.524116763016</v>
      </c>
      <c r="AV9" s="2220">
        <f>+'B-FCE'!AV58</f>
        <v>9849</v>
      </c>
      <c r="AW9" s="4180">
        <f>+'B-FCE'!AW58</f>
        <v>155382.91954506584</v>
      </c>
      <c r="AX9" s="4180">
        <f>+'B-FCE'!AX58</f>
        <v>122529.9424</v>
      </c>
      <c r="AY9" s="2220">
        <f>+'B-FCE'!AY58</f>
        <v>14651.635838150294</v>
      </c>
      <c r="AZ9" s="2220">
        <f>+'B-FCE'!AZ58</f>
        <v>12303.6752</v>
      </c>
      <c r="BA9" s="4167">
        <f>+'B-FCE'!BA58</f>
        <v>42286.795793063604</v>
      </c>
      <c r="BB9" s="4167">
        <f>+'B-FCE'!BB58</f>
        <v>31991.645199999999</v>
      </c>
      <c r="BC9" s="4173">
        <f>+'B-FCE'!BC58</f>
        <v>87284.636833526034</v>
      </c>
      <c r="BD9" s="4173">
        <f>+'B-FCE'!BD58</f>
        <v>65972.746199999994</v>
      </c>
      <c r="BE9" s="4455">
        <f>+'B-FCE'!BE58</f>
        <v>170034.55538321612</v>
      </c>
      <c r="BF9" s="4455">
        <f>+'B-FCE'!BF58</f>
        <v>134833.6176</v>
      </c>
    </row>
    <row r="10" spans="2:58" x14ac:dyDescent="0.3">
      <c r="B10" s="2218" t="s">
        <v>1342</v>
      </c>
      <c r="C10" s="2219" t="s">
        <v>69</v>
      </c>
      <c r="D10" s="4934"/>
      <c r="E10" s="2220">
        <f>+'B-FCE'!E31</f>
        <v>3452</v>
      </c>
      <c r="F10" s="2220">
        <f>+'B-FCE'!F31</f>
        <v>887</v>
      </c>
      <c r="G10" s="2220">
        <f>+'B-FCE'!G31</f>
        <v>5500</v>
      </c>
      <c r="H10" s="2220">
        <f>+'B-FCE'!H31</f>
        <v>0</v>
      </c>
      <c r="I10" s="4180">
        <f>+'B-FCE'!I31</f>
        <v>8952</v>
      </c>
      <c r="J10" s="4180">
        <f>+'B-FCE'!J31</f>
        <v>887</v>
      </c>
      <c r="K10" s="2220">
        <f>+'B-FCE'!K31</f>
        <v>500</v>
      </c>
      <c r="L10" s="2220">
        <f>+'B-FCE'!L31</f>
        <v>3637</v>
      </c>
      <c r="M10" s="4167">
        <f>+'B-FCE'!M31</f>
        <v>9452</v>
      </c>
      <c r="N10" s="4167">
        <f>+'B-FCE'!N31</f>
        <v>4524</v>
      </c>
      <c r="O10" s="2220">
        <f>+'B-FCE'!O31</f>
        <v>500</v>
      </c>
      <c r="P10" s="2220">
        <f>+'B-FCE'!P31</f>
        <v>96</v>
      </c>
      <c r="Q10" s="4180">
        <f>+'B-FCE'!Q31</f>
        <v>9952</v>
      </c>
      <c r="R10" s="4180">
        <f>+'B-FCE'!R31</f>
        <v>4620</v>
      </c>
      <c r="S10" s="2220">
        <f>+'B-FCE'!S31</f>
        <v>500</v>
      </c>
      <c r="T10" s="2220">
        <f>+'B-FCE'!T31</f>
        <v>630</v>
      </c>
      <c r="U10" s="4180">
        <f>+'B-FCE'!U31</f>
        <v>10452</v>
      </c>
      <c r="V10" s="4180">
        <f>+'B-FCE'!V31</f>
        <v>5250</v>
      </c>
      <c r="W10" s="2220">
        <f>+'B-FCE'!W31</f>
        <v>500</v>
      </c>
      <c r="X10" s="2220">
        <f>+'B-FCE'!X31</f>
        <v>437</v>
      </c>
      <c r="Y10" s="4167">
        <f>+'B-FCE'!Y31</f>
        <v>1500</v>
      </c>
      <c r="Z10" s="4167">
        <f>+'B-FCE'!Z31</f>
        <v>1163</v>
      </c>
      <c r="AA10" s="4173">
        <f>+'B-FCE'!AA31</f>
        <v>10952</v>
      </c>
      <c r="AB10" s="4173">
        <f>+'B-FCE'!AB31</f>
        <v>5687</v>
      </c>
      <c r="AC10" s="2220">
        <f>+'B-FCE'!AC31</f>
        <v>500</v>
      </c>
      <c r="AD10" s="2220">
        <f>+'B-FCE'!AD31</f>
        <v>1434</v>
      </c>
      <c r="AE10" s="4180">
        <f>+'B-FCE'!AE31</f>
        <v>11452</v>
      </c>
      <c r="AF10" s="4180">
        <f>+'B-FCE'!AF31</f>
        <v>7121</v>
      </c>
      <c r="AG10" s="2220">
        <f>+'B-FCE'!AG31</f>
        <v>500</v>
      </c>
      <c r="AH10" s="2220">
        <f>+'B-FCE'!AH31</f>
        <v>2000</v>
      </c>
      <c r="AI10" s="4180">
        <f>+'B-FCE'!AI31</f>
        <v>11952</v>
      </c>
      <c r="AJ10" s="4180">
        <f>+'B-FCE'!AJ31</f>
        <v>9121</v>
      </c>
      <c r="AK10" s="2220">
        <f>+'B-FCE'!AK31</f>
        <v>500</v>
      </c>
      <c r="AL10" s="2220">
        <f>+'B-FCE'!AL31</f>
        <v>2212</v>
      </c>
      <c r="AM10" s="4167">
        <f>+'B-FCE'!AM31</f>
        <v>1500</v>
      </c>
      <c r="AN10" s="4167">
        <f>+'B-FCE'!AN31</f>
        <v>5646</v>
      </c>
      <c r="AO10" s="4180">
        <f>+'B-FCE'!AO31</f>
        <v>12452</v>
      </c>
      <c r="AP10" s="4180">
        <f>+'B-FCE'!AP31</f>
        <v>11333</v>
      </c>
      <c r="AQ10" s="2220">
        <f>+'B-FCE'!AQ31</f>
        <v>500</v>
      </c>
      <c r="AR10" s="2220">
        <f>+'B-FCE'!AR31</f>
        <v>0</v>
      </c>
      <c r="AS10" s="4180">
        <f>+'B-FCE'!AS31</f>
        <v>12952</v>
      </c>
      <c r="AT10" s="4180">
        <f>+'B-FCE'!AT31</f>
        <v>11333</v>
      </c>
      <c r="AU10" s="2220">
        <f>+'B-FCE'!AU31</f>
        <v>500</v>
      </c>
      <c r="AV10" s="2220">
        <f>+'B-FCE'!AV31</f>
        <v>0</v>
      </c>
      <c r="AW10" s="4180">
        <f>+'B-FCE'!AW31</f>
        <v>13452</v>
      </c>
      <c r="AX10" s="4180">
        <f>+'B-FCE'!AX31</f>
        <v>11333</v>
      </c>
      <c r="AY10" s="2220">
        <f>+'B-FCE'!AY31</f>
        <v>500</v>
      </c>
      <c r="AZ10" s="2220">
        <f>+'B-FCE'!AZ31</f>
        <v>0</v>
      </c>
      <c r="BA10" s="4167">
        <f>+'B-FCE'!BA31</f>
        <v>1500</v>
      </c>
      <c r="BB10" s="4167">
        <f>+'B-FCE'!BB31</f>
        <v>0</v>
      </c>
      <c r="BC10" s="4173">
        <f>+'B-FCE'!BC31</f>
        <v>3000</v>
      </c>
      <c r="BD10" s="4173">
        <f>+'B-FCE'!BD31</f>
        <v>5646</v>
      </c>
      <c r="BE10" s="4455">
        <f>+'B-FCE'!BE31</f>
        <v>13952</v>
      </c>
      <c r="BF10" s="4455">
        <f>+'B-FCE'!BF31</f>
        <v>11333</v>
      </c>
    </row>
    <row r="11" spans="2:58" x14ac:dyDescent="0.3">
      <c r="B11" s="2218" t="s">
        <v>1341</v>
      </c>
      <c r="C11" s="2219" t="s">
        <v>69</v>
      </c>
      <c r="D11" s="4934"/>
      <c r="E11" s="2220">
        <f>SUM(E7:E10)</f>
        <v>54572</v>
      </c>
      <c r="F11" s="2220">
        <f>SUM(F7:F10)</f>
        <v>57432.771999999997</v>
      </c>
      <c r="G11" s="2220">
        <f t="shared" ref="G11:J11" si="0">SUM(G7:G10)</f>
        <v>80572.289156626503</v>
      </c>
      <c r="H11" s="2220">
        <f t="shared" si="0"/>
        <v>59621.419600000001</v>
      </c>
      <c r="I11" s="4180">
        <f t="shared" si="0"/>
        <v>135144.2891566265</v>
      </c>
      <c r="J11" s="4180">
        <f t="shared" si="0"/>
        <v>117054.19159999999</v>
      </c>
      <c r="K11" s="2220">
        <f t="shared" ref="K11:L11" si="1">SUM(K7:K10)</f>
        <v>113130.55491329481</v>
      </c>
      <c r="L11" s="2220">
        <f t="shared" si="1"/>
        <v>110323.534</v>
      </c>
      <c r="M11" s="4167">
        <f t="shared" ref="M11:P11" si="2">SUM(M7:M10)</f>
        <v>248274.8440699213</v>
      </c>
      <c r="N11" s="4167">
        <f t="shared" si="2"/>
        <v>227377.72560000001</v>
      </c>
      <c r="O11" s="2220">
        <f t="shared" si="2"/>
        <v>118368.39595375722</v>
      </c>
      <c r="P11" s="2220">
        <f t="shared" si="2"/>
        <v>107353.0488</v>
      </c>
      <c r="Q11" s="4180">
        <f t="shared" ref="Q11:T11" si="3">SUM(Q7:Q10)</f>
        <v>366643.24002367858</v>
      </c>
      <c r="R11" s="4180">
        <f t="shared" si="3"/>
        <v>334730.77439999999</v>
      </c>
      <c r="S11" s="2220">
        <f t="shared" si="3"/>
        <v>118368.39595375722</v>
      </c>
      <c r="T11" s="2220">
        <f t="shared" si="3"/>
        <v>108012.65</v>
      </c>
      <c r="U11" s="4180">
        <f t="shared" ref="U11:X11" si="4">SUM(U7:U10)</f>
        <v>485011.63597743586</v>
      </c>
      <c r="V11" s="4180">
        <f t="shared" si="4"/>
        <v>442743.42440000002</v>
      </c>
      <c r="W11" s="2220">
        <f t="shared" si="4"/>
        <v>113759.53757225434</v>
      </c>
      <c r="X11" s="2220">
        <f t="shared" si="4"/>
        <v>97914.553</v>
      </c>
      <c r="Y11" s="4167">
        <f t="shared" ref="Y11:Z11" si="5">SUM(Y7:Y10)</f>
        <v>350496.32947976881</v>
      </c>
      <c r="Z11" s="4167">
        <f t="shared" si="5"/>
        <v>313280.25179999997</v>
      </c>
      <c r="AA11" s="4173">
        <f t="shared" ref="AA11:AD11" si="6">SUM(AA7:AA10)</f>
        <v>598771.17354969005</v>
      </c>
      <c r="AB11" s="4173">
        <f t="shared" si="6"/>
        <v>540657.97739999997</v>
      </c>
      <c r="AC11" s="2220">
        <f t="shared" si="6"/>
        <v>113314.73988439307</v>
      </c>
      <c r="AD11" s="2220">
        <f t="shared" si="6"/>
        <v>111316.5824</v>
      </c>
      <c r="AE11" s="4180">
        <f t="shared" ref="AE11:AH11" si="7">SUM(AE7:AE10)</f>
        <v>712085.91343408322</v>
      </c>
      <c r="AF11" s="4180">
        <f t="shared" si="7"/>
        <v>651974.55980000005</v>
      </c>
      <c r="AG11" s="2220">
        <f t="shared" si="7"/>
        <v>109615.89595375722</v>
      </c>
      <c r="AH11" s="2220">
        <f t="shared" si="7"/>
        <v>105118.5048</v>
      </c>
      <c r="AI11" s="4180">
        <f t="shared" ref="AI11:AP11" si="8">SUM(AI7:AI10)</f>
        <v>821701.80938784045</v>
      </c>
      <c r="AJ11" s="4180">
        <f t="shared" si="8"/>
        <v>757093.06460000004</v>
      </c>
      <c r="AK11" s="2220">
        <f t="shared" si="8"/>
        <v>111886.70520231214</v>
      </c>
      <c r="AL11" s="2220">
        <f t="shared" si="8"/>
        <v>111629.0138</v>
      </c>
      <c r="AM11" s="4167">
        <f t="shared" si="8"/>
        <v>334817.34104046243</v>
      </c>
      <c r="AN11" s="4167">
        <f t="shared" si="8"/>
        <v>328064.10100000002</v>
      </c>
      <c r="AO11" s="4180">
        <f t="shared" si="8"/>
        <v>933588.51459015254</v>
      </c>
      <c r="AP11" s="4180">
        <f t="shared" si="8"/>
        <v>868722.0784</v>
      </c>
      <c r="AQ11" s="2220">
        <f t="shared" ref="AQ11:AR11" si="9">SUM(AQ7:AQ10)</f>
        <v>109030.63583815029</v>
      </c>
      <c r="AR11" s="2220">
        <f t="shared" si="9"/>
        <v>109830.73650000003</v>
      </c>
      <c r="AS11" s="4180">
        <f t="shared" ref="AS11:AV11" si="10">SUM(AS7:AS10)</f>
        <v>1042619.1504283028</v>
      </c>
      <c r="AT11" s="4180">
        <f t="shared" si="10"/>
        <v>978552.81490000011</v>
      </c>
      <c r="AU11" s="2220">
        <f t="shared" si="10"/>
        <v>96674.252716763032</v>
      </c>
      <c r="AV11" s="2220">
        <f t="shared" si="10"/>
        <v>98926.645799999998</v>
      </c>
      <c r="AW11" s="4180">
        <f t="shared" ref="AW11:AZ11" si="11">SUM(AW7:AW10)</f>
        <v>1139293.403145066</v>
      </c>
      <c r="AX11" s="4180">
        <f t="shared" si="11"/>
        <v>1077479.4607000002</v>
      </c>
      <c r="AY11" s="2220">
        <f t="shared" si="11"/>
        <v>109030.63583815029</v>
      </c>
      <c r="AZ11" s="2220">
        <f t="shared" si="11"/>
        <v>112650.5729</v>
      </c>
      <c r="BA11" s="4167">
        <f t="shared" ref="BA11:BF11" si="12">SUM(BA7:BA10)</f>
        <v>314735.52439306362</v>
      </c>
      <c r="BB11" s="4167">
        <f t="shared" si="12"/>
        <v>321407.95520000008</v>
      </c>
      <c r="BC11" s="4173">
        <f t="shared" si="12"/>
        <v>649552.86543352611</v>
      </c>
      <c r="BD11" s="4173">
        <f t="shared" si="12"/>
        <v>649472.05619999999</v>
      </c>
      <c r="BE11" s="4455">
        <f t="shared" si="12"/>
        <v>1248324.038983216</v>
      </c>
      <c r="BF11" s="4455">
        <f t="shared" si="12"/>
        <v>1190130.0336000002</v>
      </c>
    </row>
    <row r="12" spans="2:58" x14ac:dyDescent="0.3">
      <c r="B12" s="2218" t="s">
        <v>1105</v>
      </c>
      <c r="C12" s="2219" t="s">
        <v>69</v>
      </c>
      <c r="D12" s="4934"/>
      <c r="E12" s="2219">
        <f>+'Maj Techno Summ'!E5</f>
        <v>70.5</v>
      </c>
      <c r="F12" s="2221">
        <f>+'Maj Techno Summ'!F5</f>
        <v>71.951927199715755</v>
      </c>
      <c r="G12" s="2219">
        <f>+'Maj Techno Summ'!G5</f>
        <v>70.499999999999986</v>
      </c>
      <c r="H12" s="2221">
        <f>+'Maj Techno Summ'!H5</f>
        <v>71.406401658267484</v>
      </c>
      <c r="I12" s="4181">
        <f>+'Maj Techno Summ'!I5</f>
        <v>70.499999999999986</v>
      </c>
      <c r="J12" s="4182">
        <f>+'Maj Techno Summ'!J5</f>
        <v>71.672937850081084</v>
      </c>
      <c r="K12" s="2221">
        <f>+'Maj Techno Summ'!K5</f>
        <v>70.50003468386987</v>
      </c>
      <c r="L12" s="2221">
        <f>+'Maj Techno Summ'!L5</f>
        <v>70.500212674512483</v>
      </c>
      <c r="M12" s="4168">
        <f>+'Maj Techno Summ'!M5</f>
        <v>70.500011434242808</v>
      </c>
      <c r="N12" s="4168">
        <f>+'Maj Techno Summ'!N5</f>
        <v>71.279409613623386</v>
      </c>
      <c r="O12" s="2221">
        <f>+'Maj Techno Summ'!O5</f>
        <v>70.500000000000014</v>
      </c>
      <c r="P12" s="2221">
        <f>+'Maj Techno Summ'!P5</f>
        <v>70.5029014071646</v>
      </c>
      <c r="Q12" s="4181">
        <f>+'Maj Techno Summ'!Q5</f>
        <v>70.500008528820459</v>
      </c>
      <c r="R12" s="4182">
        <f>+'Maj Techno Summ'!R5</f>
        <v>71.082929713499752</v>
      </c>
      <c r="S12" s="2221">
        <f>+'Maj Techno Summ'!S5</f>
        <v>70.500000000000014</v>
      </c>
      <c r="T12" s="2221">
        <f>+'Maj Techno Summ'!T5</f>
        <v>69.78694359633198</v>
      </c>
      <c r="U12" s="4181">
        <f>+'Maj Techno Summ'!U5</f>
        <v>70.500006800758797</v>
      </c>
      <c r="V12" s="4182">
        <f>+'Maj Techno Summ'!V5</f>
        <v>70.810038509323178</v>
      </c>
      <c r="W12" s="2221">
        <f>+'Maj Techno Summ'!W5</f>
        <v>70.5</v>
      </c>
      <c r="X12" s="2221">
        <f>+'Maj Techno Summ'!X5</f>
        <v>69.496959622407502</v>
      </c>
      <c r="Y12" s="4168">
        <f>+'Maj Techno Summ'!Y5</f>
        <v>70.499999999999986</v>
      </c>
      <c r="Z12" s="4168">
        <f>+'Maj Techno Summ'!Z5</f>
        <v>69.923364453223769</v>
      </c>
      <c r="AA12" s="4174">
        <f>+'Maj Techno Summ'!AA5</f>
        <v>70.500005685880311</v>
      </c>
      <c r="AB12" s="4174">
        <f>+'Maj Techno Summ'!AB5</f>
        <v>70.587449447131689</v>
      </c>
      <c r="AC12" s="2221">
        <f>+'Maj Techno Summ'!AC5</f>
        <v>70.500000000000014</v>
      </c>
      <c r="AD12" s="2221">
        <f>+'Maj Techno Summ'!AD5</f>
        <v>68.944400077791073</v>
      </c>
      <c r="AE12" s="4181">
        <f>+'Maj Techno Summ'!AE5</f>
        <v>70.500004862224756</v>
      </c>
      <c r="AF12" s="4182">
        <f>+'Maj Techno Summ'!AF5</f>
        <v>70.341044314359934</v>
      </c>
      <c r="AG12" s="2221">
        <f>+'Maj Techno Summ'!AG5</f>
        <v>70.5</v>
      </c>
      <c r="AH12" s="2221">
        <f>+'Maj Techno Summ'!AH5</f>
        <v>69.03978219350644</v>
      </c>
      <c r="AI12" s="4181">
        <f>+'Maj Techno Summ'!AI5</f>
        <v>70.500004264410236</v>
      </c>
      <c r="AJ12" s="4182">
        <f>+'Maj Techno Summ'!AJ5</f>
        <v>70.176182552179569</v>
      </c>
      <c r="AK12" s="2221">
        <f>+'Maj Techno Summ'!AK5</f>
        <v>70.500000000000014</v>
      </c>
      <c r="AL12" s="2221">
        <f>+'Maj Techno Summ'!AL5</f>
        <v>69.093554337377569</v>
      </c>
      <c r="AM12" s="4168">
        <f>+'Maj Techno Summ'!AM5</f>
        <v>70.499999999999986</v>
      </c>
      <c r="AN12" s="4168">
        <f>+'Maj Techno Summ'!AN5</f>
        <v>69.025655099020312</v>
      </c>
      <c r="AO12" s="4181">
        <f>+'Maj Techno Summ'!AO5</f>
        <v>70.500003783694893</v>
      </c>
      <c r="AP12" s="4182">
        <f>+'Maj Techno Summ'!AP5</f>
        <v>70.051319022017111</v>
      </c>
      <c r="AQ12" s="2221">
        <f>+'Maj Techno Summ'!AQ5</f>
        <v>70.500000000000014</v>
      </c>
      <c r="AR12" s="2221">
        <f>+'Maj Techno Summ'!AR5</f>
        <v>69.026237013558728</v>
      </c>
      <c r="AS12" s="4181">
        <f>+'Maj Techno Summ'!AS5</f>
        <v>70.500003400379384</v>
      </c>
      <c r="AT12" s="4182">
        <f>+'Maj Techno Summ'!AT5</f>
        <v>69.94500650055015</v>
      </c>
      <c r="AU12" s="2221">
        <f>+'Maj Techno Summ'!AU5</f>
        <v>70.5</v>
      </c>
      <c r="AV12" s="2221">
        <f>+'Maj Techno Summ'!AV5</f>
        <v>69.071022232807806</v>
      </c>
      <c r="AW12" s="4181">
        <f>+'Maj Techno Summ'!AW5</f>
        <v>70.500003115317654</v>
      </c>
      <c r="AX12" s="4182">
        <f>+'Maj Techno Summ'!AX5</f>
        <v>69.870046365046448</v>
      </c>
      <c r="AY12" s="2221">
        <f>+'Maj Techno Summ'!AY5</f>
        <v>70.500000000000014</v>
      </c>
      <c r="AZ12" s="2221">
        <f>+'Maj Techno Summ'!AZ5</f>
        <v>69.043931924002663</v>
      </c>
      <c r="BA12" s="4168">
        <f>+'Maj Techno Summ'!BA5</f>
        <v>70.500000000000014</v>
      </c>
      <c r="BB12" s="4168">
        <f>+'Maj Techno Summ'!BB5</f>
        <v>69.046275289437745</v>
      </c>
      <c r="BC12" s="4174">
        <f>+'Maj Techno Summ'!BC5</f>
        <v>70.5</v>
      </c>
      <c r="BD12" s="4174">
        <f>+'Maj Techno Summ'!BD5</f>
        <v>69.035859058364935</v>
      </c>
      <c r="BE12" s="4456">
        <f>+'Maj Techno Summ'!BE5</f>
        <v>70.500002850729032</v>
      </c>
      <c r="BF12" s="4456">
        <f>+'Maj Techno Summ'!BF5</f>
        <v>69.798394297532738</v>
      </c>
    </row>
    <row r="13" spans="2:58" x14ac:dyDescent="0.3">
      <c r="B13" s="2218" t="s">
        <v>1106</v>
      </c>
      <c r="C13" s="2219" t="s">
        <v>69</v>
      </c>
      <c r="D13" s="4934"/>
      <c r="E13" s="2220">
        <f>+E11*100/E12</f>
        <v>77407.092198581566</v>
      </c>
      <c r="F13" s="2220">
        <f>+F11*100/F12</f>
        <v>79821.033619551032</v>
      </c>
      <c r="G13" s="2220">
        <f t="shared" ref="G13:J13" si="13">+G11*100/G12</f>
        <v>114286.93497393832</v>
      </c>
      <c r="H13" s="2220">
        <f t="shared" si="13"/>
        <v>83495.902629756718</v>
      </c>
      <c r="I13" s="4180">
        <f t="shared" si="13"/>
        <v>191694.02717251988</v>
      </c>
      <c r="J13" s="4180">
        <f t="shared" si="13"/>
        <v>163317.13909208419</v>
      </c>
      <c r="K13" s="2220">
        <f t="shared" ref="K13:L13" si="14">+K11*100/K12</f>
        <v>160468.79327164165</v>
      </c>
      <c r="L13" s="2220">
        <f t="shared" si="14"/>
        <v>156486.81020204158</v>
      </c>
      <c r="M13" s="4167">
        <f t="shared" ref="M13:P13" si="15">+M11*100/M12</f>
        <v>352162.84227342816</v>
      </c>
      <c r="N13" s="4167">
        <f t="shared" si="15"/>
        <v>318994.96198484523</v>
      </c>
      <c r="O13" s="2220">
        <f t="shared" si="15"/>
        <v>167898.43397696057</v>
      </c>
      <c r="P13" s="2220">
        <f t="shared" si="15"/>
        <v>152267.56155753136</v>
      </c>
      <c r="Q13" s="4180">
        <f t="shared" ref="Q13:T13" si="16">+Q11*100/Q12</f>
        <v>520061.27045189578</v>
      </c>
      <c r="R13" s="4180">
        <f t="shared" si="16"/>
        <v>470901.77029722143</v>
      </c>
      <c r="S13" s="2220">
        <f t="shared" si="16"/>
        <v>167898.43397696057</v>
      </c>
      <c r="T13" s="2220">
        <f t="shared" si="16"/>
        <v>154774.86824007746</v>
      </c>
      <c r="U13" s="4180">
        <f t="shared" ref="U13:X13" si="17">+U11*100/U12</f>
        <v>687959.70098007936</v>
      </c>
      <c r="V13" s="4180">
        <f t="shared" si="17"/>
        <v>625255.16681043245</v>
      </c>
      <c r="W13" s="2220">
        <f t="shared" si="17"/>
        <v>161361.04620177919</v>
      </c>
      <c r="X13" s="2220">
        <f t="shared" si="17"/>
        <v>140890.4123748602</v>
      </c>
      <c r="Y13" s="4167">
        <f t="shared" ref="Y13:Z13" si="18">+Y11*100/Y12</f>
        <v>497157.91415570054</v>
      </c>
      <c r="Z13" s="4167">
        <f t="shared" si="18"/>
        <v>448033.72127434349</v>
      </c>
      <c r="AA13" s="4173">
        <f t="shared" ref="AA13:AD13" si="19">+AA11*100/AA12</f>
        <v>849320.74504727521</v>
      </c>
      <c r="AB13" s="4173">
        <f t="shared" si="19"/>
        <v>765940.66173893958</v>
      </c>
      <c r="AC13" s="2220">
        <f t="shared" si="19"/>
        <v>160730.12749559295</v>
      </c>
      <c r="AD13" s="2220">
        <f t="shared" si="19"/>
        <v>161458.48288533906</v>
      </c>
      <c r="AE13" s="4180">
        <f t="shared" ref="AE13:AH13" si="20">+AE11*100/AE12</f>
        <v>1010050.87138034</v>
      </c>
      <c r="AF13" s="4180">
        <f t="shared" si="20"/>
        <v>926876.42919583607</v>
      </c>
      <c r="AG13" s="2220">
        <f t="shared" si="20"/>
        <v>155483.54035993933</v>
      </c>
      <c r="AH13" s="2220">
        <f t="shared" si="20"/>
        <v>152257.87431566804</v>
      </c>
      <c r="AI13" s="4180">
        <f t="shared" ref="AI13:AP13" si="21">+AI11*100/AI12</f>
        <v>1165534.4109002436</v>
      </c>
      <c r="AJ13" s="4180">
        <f t="shared" si="21"/>
        <v>1078846.1798090297</v>
      </c>
      <c r="AK13" s="2220">
        <f t="shared" si="21"/>
        <v>158704.54638625833</v>
      </c>
      <c r="AL13" s="2220">
        <f t="shared" si="21"/>
        <v>161562.12380524765</v>
      </c>
      <c r="AM13" s="4167">
        <f t="shared" si="21"/>
        <v>474918.21424179082</v>
      </c>
      <c r="AN13" s="4167">
        <f t="shared" si="21"/>
        <v>475278.50410021859</v>
      </c>
      <c r="AO13" s="4180">
        <f t="shared" si="21"/>
        <v>1324238.9567162988</v>
      </c>
      <c r="AP13" s="4180">
        <f t="shared" si="21"/>
        <v>1240122.3710390963</v>
      </c>
      <c r="AQ13" s="2220">
        <f t="shared" ref="AQ13:AR13" si="22">+AQ11*100/AQ12</f>
        <v>154653.38416758904</v>
      </c>
      <c r="AR13" s="2220">
        <f t="shared" si="22"/>
        <v>159114.47769987248</v>
      </c>
      <c r="AS13" s="4180">
        <f t="shared" ref="AS13:AV13" si="23">+AS11*100/AS12</f>
        <v>1478892.3406246137</v>
      </c>
      <c r="AT13" s="4180">
        <f t="shared" si="23"/>
        <v>1399031.7019876228</v>
      </c>
      <c r="AU13" s="2220">
        <f t="shared" si="23"/>
        <v>137126.59959824543</v>
      </c>
      <c r="AV13" s="2220">
        <f t="shared" si="23"/>
        <v>143224.52832182232</v>
      </c>
      <c r="AW13" s="4180">
        <f t="shared" ref="AW13:AZ13" si="24">+AW11*100/AW12</f>
        <v>1616018.9401431812</v>
      </c>
      <c r="AX13" s="4180">
        <f t="shared" si="24"/>
        <v>1542119.2868121893</v>
      </c>
      <c r="AY13" s="2220">
        <f t="shared" si="24"/>
        <v>154653.38416758904</v>
      </c>
      <c r="AZ13" s="2220">
        <f t="shared" si="24"/>
        <v>163157.8181613347</v>
      </c>
      <c r="BA13" s="4167">
        <f t="shared" ref="BA13:BF13" si="25">+BA11*100/BA12</f>
        <v>446433.36793342349</v>
      </c>
      <c r="BB13" s="4167">
        <f t="shared" si="25"/>
        <v>465496.44257083768</v>
      </c>
      <c r="BC13" s="4173">
        <f t="shared" si="25"/>
        <v>921351.58217521431</v>
      </c>
      <c r="BD13" s="4173">
        <f t="shared" si="25"/>
        <v>940774.93212754442</v>
      </c>
      <c r="BE13" s="4455">
        <f t="shared" si="25"/>
        <v>1770672.3241221928</v>
      </c>
      <c r="BF13" s="4455">
        <f t="shared" si="25"/>
        <v>1705096.5793378851</v>
      </c>
    </row>
    <row r="14" spans="2:58" x14ac:dyDescent="0.3">
      <c r="B14" s="2218" t="s">
        <v>1107</v>
      </c>
      <c r="C14" s="2219" t="s">
        <v>69</v>
      </c>
      <c r="D14" s="4934"/>
      <c r="E14" s="2220">
        <f>+E13*100/(100-'COKE OVENS'!E160)</f>
        <v>85046.251832405585</v>
      </c>
      <c r="F14" s="2220">
        <f>+F13*100/(100-'COKE OVENS'!F160)</f>
        <v>86733.233222232142</v>
      </c>
      <c r="G14" s="2220">
        <f>+G13*100/(100-'COKE OVENS'!G160)</f>
        <v>125565.6965903368</v>
      </c>
      <c r="H14" s="2220">
        <f>+H13*100/(100-'COKE OVENS'!H160)</f>
        <v>90765.436514124012</v>
      </c>
      <c r="I14" s="4180">
        <f>+E14+G14</f>
        <v>210611.94842274237</v>
      </c>
      <c r="J14" s="4180">
        <f>+J13*100/(100-'COKE OVENS'!J160)</f>
        <v>177498.81690594289</v>
      </c>
      <c r="K14" s="2220">
        <f>+K13*100/(100-'COKE OVENS'!K160)</f>
        <v>176305.15520220439</v>
      </c>
      <c r="L14" s="2220">
        <f>+L13*100/(100-'COKE OVENS'!L160)</f>
        <v>170534.25404469136</v>
      </c>
      <c r="M14" s="4167">
        <f>+I14+K14</f>
        <v>386917.10362494679</v>
      </c>
      <c r="N14" s="4167">
        <f>+N13*100/(100-'COKE OVENS'!N160)</f>
        <v>347005.16356358101</v>
      </c>
      <c r="O14" s="2220">
        <f>+O13*100/(100-'COKE OVENS'!O160)</f>
        <v>184468.01310710862</v>
      </c>
      <c r="P14" s="2220">
        <f>+P13*100/(100-'COKE OVENS'!P160)</f>
        <v>166791.26628574837</v>
      </c>
      <c r="Q14" s="4180">
        <f>+M14+O14</f>
        <v>571385.11673205544</v>
      </c>
      <c r="R14" s="4180">
        <f>+R13*100/(100-'COKE OVENS'!R160)</f>
        <v>513151.13262575958</v>
      </c>
      <c r="S14" s="2220">
        <f>+S13*100/(100-'COKE OVENS'!S160)</f>
        <v>184468.01310710862</v>
      </c>
      <c r="T14" s="2220">
        <f>+T13*100/(100-'COKE OVENS'!T160)</f>
        <v>170314.17481886773</v>
      </c>
      <c r="U14" s="4180">
        <f>+Q14+S14</f>
        <v>755853.12983916409</v>
      </c>
      <c r="V14" s="4180">
        <f>+V13*100/(100-'COKE OVENS'!V160)</f>
        <v>682735.9831180902</v>
      </c>
      <c r="W14" s="2220">
        <f>+W13*100/(100-'COKE OVENS'!W160)</f>
        <v>177285.46288770699</v>
      </c>
      <c r="X14" s="2220">
        <f>+X13*100/(100-'COKE OVENS'!X160)</f>
        <v>154864.36921435205</v>
      </c>
      <c r="Y14" s="4167">
        <f>+Y13*100/(100-'COKE OVENS'!Y160)</f>
        <v>546221.48910192447</v>
      </c>
      <c r="Z14" s="4167">
        <f>+Z13*100/(100-'COKE OVENS'!Z160)</f>
        <v>492095.52318712045</v>
      </c>
      <c r="AA14" s="4173">
        <f>+AA13*100/(100-'COKE OVENS'!AA160)</f>
        <v>933138.60420531989</v>
      </c>
      <c r="AB14" s="4173">
        <f>+AB13*100/(100-'COKE OVENS'!AB160)</f>
        <v>837279.61360356293</v>
      </c>
      <c r="AC14" s="2220">
        <f>+AC13*100/(100-'COKE OVENS'!AC160)</f>
        <v>176592.28000680977</v>
      </c>
      <c r="AD14" s="2220">
        <f>+AD13*100/(100-'COKE OVENS'!AD160)</f>
        <v>177526.97270134627</v>
      </c>
      <c r="AE14" s="4180">
        <f>+AE13*100/(100-'COKE OVENS'!AE160)</f>
        <v>1109730.8829348737</v>
      </c>
      <c r="AF14" s="4180">
        <f>+AF13*100/(100-'COKE OVENS'!AF160)</f>
        <v>1014070.0989865978</v>
      </c>
      <c r="AG14" s="2220">
        <f>+AG13*100/(100-'COKE OVENS'!AG160)</f>
        <v>170827.91710250688</v>
      </c>
      <c r="AH14" s="2220">
        <f>+AH13*100/(100-'COKE OVENS'!AH160)</f>
        <v>167007.70699759223</v>
      </c>
      <c r="AI14" s="4180">
        <f>+AI13*100/(100-'COKE OVENS'!AI160)</f>
        <v>1280558.7991144431</v>
      </c>
      <c r="AJ14" s="4180">
        <f>+AJ13*100/(100-'COKE OVENS'!AJ160)</f>
        <v>1180715.4912321435</v>
      </c>
      <c r="AK14" s="2220">
        <f>+AK13*100/(100-'COKE OVENS'!AK160)</f>
        <v>174366.79812603458</v>
      </c>
      <c r="AL14" s="2220">
        <f>+AL13*100/(100-'COKE OVENS'!AL160)</f>
        <v>176560.79925562232</v>
      </c>
      <c r="AM14" s="4167">
        <f>+AM13*100/(100-'COKE OVENS'!AM160)</f>
        <v>521786.9957192908</v>
      </c>
      <c r="AN14" s="4167">
        <f>+AN13*100/(100-'COKE OVENS'!AN160)</f>
        <v>521089.02216283744</v>
      </c>
      <c r="AO14" s="4180">
        <f>+AO13*100/(100-'COKE OVENS'!AO160)</f>
        <v>1454925.5973436106</v>
      </c>
      <c r="AP14" s="4180">
        <f>+AP13*100/(100-'COKE OVENS'!AP160)</f>
        <v>1356993.1878765058</v>
      </c>
      <c r="AQ14" s="2220">
        <f>+AQ13*100/(100-'COKE OVENS'!AQ160)</f>
        <v>169915.83436448421</v>
      </c>
      <c r="AR14" s="2220">
        <f>+AR13*100/(100-'COKE OVENS'!AR160)</f>
        <v>173374.86788605433</v>
      </c>
      <c r="AS14" s="4180">
        <f>+AS13*100/(100-'COKE OVENS'!AS160)</f>
        <v>1624841.4306936255</v>
      </c>
      <c r="AT14" s="4180">
        <f>+AT13*100/(100-'COKE OVENS'!AT160)</f>
        <v>1530208.4426963292</v>
      </c>
      <c r="AU14" s="2220">
        <f>+AU13*100/(100-'COKE OVENS'!AU160)</f>
        <v>150659.36455067521</v>
      </c>
      <c r="AV14" s="2220">
        <f>+AV13*100/(100-'COKE OVENS'!AV160)</f>
        <v>155933.50729050388</v>
      </c>
      <c r="AW14" s="4180">
        <f>+AW13*100/(100-'COKE OVENS'!AW160)</f>
        <v>1775500.796139101</v>
      </c>
      <c r="AX14" s="4180">
        <f>+AX13*100/(100-'COKE OVENS'!AX160)</f>
        <v>1686047.2823250964</v>
      </c>
      <c r="AY14" s="2220">
        <f>+AY13*100/(100-'COKE OVENS'!AY160)</f>
        <v>169915.83436448421</v>
      </c>
      <c r="AZ14" s="2220">
        <f>+AZ13*100/(100-'COKE OVENS'!AZ160)</f>
        <v>177255.93165946368</v>
      </c>
      <c r="BA14" s="4167">
        <f>+BA13*100/(100-'COKE OVENS'!BA160)</f>
        <v>490491.03374859819</v>
      </c>
      <c r="BB14" s="4167">
        <f>+BB13*100/(100-'COKE OVENS'!BB160)</f>
        <v>506571.99732834444</v>
      </c>
      <c r="BC14" s="4173">
        <f>+BC13*100/(100-'COKE OVENS'!BC160)</f>
        <v>1012278.0294681776</v>
      </c>
      <c r="BD14" s="4173">
        <f>+BD13*100/(100-'COKE OVENS'!BD160)</f>
        <v>1027641.1381733416</v>
      </c>
      <c r="BE14" s="4455">
        <f>+BE13*100/(100-'COKE OVENS'!BE160)</f>
        <v>1945416.630507709</v>
      </c>
      <c r="BF14" s="4455">
        <f>+BF13*100/(100-'COKE OVENS'!BF160)</f>
        <v>1863214.324301458</v>
      </c>
    </row>
    <row r="15" spans="2:58" x14ac:dyDescent="0.3">
      <c r="B15" s="2218" t="s">
        <v>1343</v>
      </c>
      <c r="C15" s="2219" t="s">
        <v>69</v>
      </c>
      <c r="D15" s="4934"/>
      <c r="E15" s="2220">
        <f>+E14*100/(100-'COKE OVENS'!E162)</f>
        <v>87721.742517141218</v>
      </c>
      <c r="F15" s="2220">
        <f>+F14*100/(100-'COKE OVENS'!F162)</f>
        <v>89465.88958330758</v>
      </c>
      <c r="G15" s="2220">
        <f>+G14*100/(100-'COKE OVENS'!G162)</f>
        <v>129515.89660714292</v>
      </c>
      <c r="H15" s="2220">
        <f>+H14*100/(100-'COKE OVENS'!H162)</f>
        <v>93612.079361276352</v>
      </c>
      <c r="I15" s="4180">
        <f>+I14*100/(100-'COKE OVENS'!I162)</f>
        <v>217237.63937790177</v>
      </c>
      <c r="J15" s="4180">
        <f>+J14*100/(100-'COKE OVENS'!J162)</f>
        <v>183078.14431007853</v>
      </c>
      <c r="K15" s="2220">
        <f>+K14*100/(100-'COKE OVENS'!K162)</f>
        <v>181851.57947331824</v>
      </c>
      <c r="L15" s="2220">
        <f>+L14*100/(100-'COKE OVENS'!L162)</f>
        <v>175885.7773876159</v>
      </c>
      <c r="M15" s="4167">
        <f>+M14*100/(100-'COKE OVENS'!M162)</f>
        <v>399089.22092363995</v>
      </c>
      <c r="N15" s="4167">
        <f>+N14*100/(100-'COKE OVENS'!N162)</f>
        <v>357906.58303479792</v>
      </c>
      <c r="O15" s="2220">
        <f>+O14*100/(100-'COKE OVENS'!O162)</f>
        <v>190271.23459526067</v>
      </c>
      <c r="P15" s="2220">
        <f>+P14*100/(100-'COKE OVENS'!P162)</f>
        <v>172017.57049131807</v>
      </c>
      <c r="Q15" s="4180">
        <f>+Q14*100/(100-'COKE OVENS'!Q162)</f>
        <v>589360.45203045441</v>
      </c>
      <c r="R15" s="4180">
        <f>+R14*100/(100-'COKE OVENS'!R162)</f>
        <v>529261.55694702652</v>
      </c>
      <c r="S15" s="2220">
        <f>+S14*100/(100-'COKE OVENS'!S162)</f>
        <v>190271.23459526067</v>
      </c>
      <c r="T15" s="2220">
        <f>+T14*100/(100-'COKE OVENS'!T162)</f>
        <v>175666.3297555364</v>
      </c>
      <c r="U15" s="4180">
        <f>+U14*100/(100-'COKE OVENS'!U162)</f>
        <v>779631.686625715</v>
      </c>
      <c r="V15" s="4180">
        <f>+V14*100/(100-'COKE OVENS'!V162)</f>
        <v>704174.8275181558</v>
      </c>
      <c r="W15" s="2220">
        <f>+W14*100/(100-'COKE OVENS'!W162)</f>
        <v>182862.72688289921</v>
      </c>
      <c r="X15" s="2220">
        <f>+X14*100/(100-'COKE OVENS'!X162)</f>
        <v>159739.59213239528</v>
      </c>
      <c r="Y15" s="4167">
        <f>+Y14*100/(100-'COKE OVENS'!Y162)</f>
        <v>563405.19607342081</v>
      </c>
      <c r="Z15" s="4167">
        <f>+Z14*100/(100-'COKE OVENS'!Z162)</f>
        <v>507554.0010508378</v>
      </c>
      <c r="AA15" s="4173">
        <f>+AA14*100/(100-'COKE OVENS'!AA162)</f>
        <v>962494.42534816626</v>
      </c>
      <c r="AB15" s="4173">
        <f>+AB14*100/(100-'COKE OVENS'!AB162)</f>
        <v>863582.44383946341</v>
      </c>
      <c r="AC15" s="2220">
        <f>+AC14*100/(100-'COKE OVENS'!AC162)</f>
        <v>182147.73700293541</v>
      </c>
      <c r="AD15" s="2220">
        <f>+AD14*100/(100-'COKE OVENS'!AD162)</f>
        <v>183161.30930085207</v>
      </c>
      <c r="AE15" s="4180">
        <f>+AE14*100/(100-'COKE OVENS'!AE162)</f>
        <v>1144642.1610336644</v>
      </c>
      <c r="AF15" s="4180">
        <f>+AF14*100/(100-'COKE OVENS'!AF162)</f>
        <v>1045974.9213654457</v>
      </c>
      <c r="AG15" s="2220">
        <f>+AG14*100/(100-'COKE OVENS'!AG162)</f>
        <v>176202.03168534196</v>
      </c>
      <c r="AH15" s="2220">
        <f>+AH14*100/(100-'COKE OVENS'!AH162)</f>
        <v>172241.6225439836</v>
      </c>
      <c r="AI15" s="4180">
        <f>+AI14*100/(100-'COKE OVENS'!AI162)</f>
        <v>1320844.1917670339</v>
      </c>
      <c r="AJ15" s="4180">
        <f>+AJ14*100/(100-'COKE OVENS'!AJ162)</f>
        <v>1217845.0916953275</v>
      </c>
      <c r="AK15" s="2220">
        <f>+AK14*100/(100-'COKE OVENS'!AK162)</f>
        <v>179852.24317778856</v>
      </c>
      <c r="AL15" s="2220">
        <f>+AL14*100/(100-'COKE OVENS'!AL162)</f>
        <v>182102.16743085321</v>
      </c>
      <c r="AM15" s="4167">
        <f>+AM14*100/(100-'COKE OVENS'!AM162)</f>
        <v>538202.01531408448</v>
      </c>
      <c r="AN15" s="4167">
        <f>+AN14*100/(100-'COKE OVENS'!AN162)</f>
        <v>537497.10871154442</v>
      </c>
      <c r="AO15" s="4180">
        <f>+AO14*100/(100-'COKE OVENS'!AO162)</f>
        <v>1500696.4447107816</v>
      </c>
      <c r="AP15" s="4180">
        <f>+AP14*100/(100-'COKE OVENS'!AP162)</f>
        <v>1399656.5181919606</v>
      </c>
      <c r="AQ15" s="2220">
        <f>+AQ14*100/(100-'COKE OVENS'!AQ162)</f>
        <v>175261.25552749485</v>
      </c>
      <c r="AR15" s="2220">
        <f>+AR14*100/(100-'COKE OVENS'!AR162)</f>
        <v>178875.54594227948</v>
      </c>
      <c r="AS15" s="4180">
        <f>+AS14*100/(100-'COKE OVENS'!AS162)</f>
        <v>1675957.6895323109</v>
      </c>
      <c r="AT15" s="4180">
        <f>+AT14*100/(100-'COKE OVENS'!AT162)</f>
        <v>1578363.0215361244</v>
      </c>
      <c r="AU15" s="2220">
        <f>+AU14*100/(100-'COKE OVENS'!AU162)</f>
        <v>155398.992017927</v>
      </c>
      <c r="AV15" s="2220">
        <f>+AV14*100/(100-'COKE OVENS'!AV162)</f>
        <v>160889.04727586752</v>
      </c>
      <c r="AW15" s="4180">
        <f>+AW14*100/(100-'COKE OVENS'!AW162)</f>
        <v>1831356.689358196</v>
      </c>
      <c r="AX15" s="4180">
        <f>+AX14*100/(100-'COKE OVENS'!AX162)</f>
        <v>1739150.7035491816</v>
      </c>
      <c r="AY15" s="2220">
        <f>+AY14*100/(100-'COKE OVENS'!AY162)</f>
        <v>175261.25552749485</v>
      </c>
      <c r="AZ15" s="2220">
        <f>+AZ14*100/(100-'COKE OVENS'!AZ162)</f>
        <v>182886.93322412969</v>
      </c>
      <c r="BA15" s="4167">
        <f>+BA14*100/(100-'COKE OVENS'!BA162)</f>
        <v>505921.50085307844</v>
      </c>
      <c r="BB15" s="4167">
        <f>+BB14*100/(100-'COKE OVENS'!BB162)</f>
        <v>522659.43196511461</v>
      </c>
      <c r="BC15" s="4173">
        <f>+BC14*100/(100-'COKE OVENS'!BC162)</f>
        <v>1044123.5160548697</v>
      </c>
      <c r="BD15" s="4173">
        <f>+BD14*100/(100-'COKE OVENS'!BD162)</f>
        <v>1060136.7301320559</v>
      </c>
      <c r="BE15" s="4455">
        <f>+BE14*100/(100-'COKE OVENS'!BE162)</f>
        <v>2006617.9450922036</v>
      </c>
      <c r="BF15" s="4455">
        <f>+BF14*100/(100-'COKE OVENS'!BF162)</f>
        <v>1921941.3096362655</v>
      </c>
    </row>
    <row r="16" spans="2:58" x14ac:dyDescent="0.3">
      <c r="B16" s="2218" t="s">
        <v>1344</v>
      </c>
      <c r="C16" s="2219" t="s">
        <v>69</v>
      </c>
      <c r="D16" s="4934"/>
      <c r="E16" s="2220">
        <f>+'B-FCE'!E24/0.91</f>
        <v>12105.494505494506</v>
      </c>
      <c r="F16" s="2220">
        <f>+'B-FCE'!F103</f>
        <v>14249</v>
      </c>
      <c r="G16" s="2220">
        <f>+'B-FCE'!G24/0.91</f>
        <v>11043.956043956043</v>
      </c>
      <c r="H16" s="2220">
        <f>+'B-FCE'!H103</f>
        <v>12059</v>
      </c>
      <c r="I16" s="4180">
        <f>+'B-FCE'!I24/0.91</f>
        <v>23149.45054945055</v>
      </c>
      <c r="J16" s="4180">
        <f>+'B-FCE'!J103</f>
        <v>26308</v>
      </c>
      <c r="K16" s="2220">
        <f>+'B-FCE'!K24/0.91</f>
        <v>32640.521978021978</v>
      </c>
      <c r="L16" s="2220">
        <f>+'B-FCE'!L103</f>
        <v>26831</v>
      </c>
      <c r="M16" s="4167">
        <f>+'B-FCE'!M24/0.91</f>
        <v>55789.972527472528</v>
      </c>
      <c r="N16" s="4167">
        <f>+'B-FCE'!N103</f>
        <v>53139</v>
      </c>
      <c r="O16" s="2220">
        <f>+'B-FCE'!O24/0.91</f>
        <v>35096.785714285717</v>
      </c>
      <c r="P16" s="2220">
        <f>+'B-FCE'!P103</f>
        <v>22759</v>
      </c>
      <c r="Q16" s="4180">
        <f>+'B-FCE'!Q24/0.91</f>
        <v>90886.758241758231</v>
      </c>
      <c r="R16" s="4180">
        <f>+'B-FCE'!R103</f>
        <v>75898</v>
      </c>
      <c r="S16" s="2222">
        <f>+'B-FCE'!S24/0.91</f>
        <v>35096.785714285717</v>
      </c>
      <c r="T16" s="2220">
        <f>+'B-FCE'!T103</f>
        <v>29343</v>
      </c>
      <c r="U16" s="4180">
        <f>+'B-FCE'!U24/0.91</f>
        <v>125983.54395604394</v>
      </c>
      <c r="V16" s="4180">
        <f>+'B-FCE'!V103</f>
        <v>105241</v>
      </c>
      <c r="W16" s="2222">
        <f>+'B-FCE'!W24/0.91</f>
        <v>35448.626373626372</v>
      </c>
      <c r="X16" s="2220">
        <f>+'B-FCE'!X103</f>
        <v>29891</v>
      </c>
      <c r="Y16" s="4167">
        <f>+'B-FCE'!Y24/0.91</f>
        <v>105642.1978021978</v>
      </c>
      <c r="Z16" s="4167">
        <f>+'B-FCE'!Z103</f>
        <v>81993</v>
      </c>
      <c r="AA16" s="4173">
        <f>+'B-FCE'!AA24/0.91</f>
        <v>161432.17032967031</v>
      </c>
      <c r="AB16" s="4173">
        <f>+'B-FCE'!AB103</f>
        <v>135132</v>
      </c>
      <c r="AC16" s="2222">
        <f>+'B-FCE'!AC24/0.91</f>
        <v>38007.692307692305</v>
      </c>
      <c r="AD16" s="2220">
        <f>+'B-FCE'!AD103</f>
        <v>32183</v>
      </c>
      <c r="AE16" s="4180">
        <f>+'B-FCE'!AE24/0.91</f>
        <v>199439.86263736262</v>
      </c>
      <c r="AF16" s="4180">
        <f>+'B-FCE'!AF103</f>
        <v>167315</v>
      </c>
      <c r="AG16" s="2222">
        <f>+'B-FCE'!AG24/0.91</f>
        <v>36761.538461538461</v>
      </c>
      <c r="AH16" s="2220">
        <f>+'B-FCE'!AH103</f>
        <v>25266</v>
      </c>
      <c r="AI16" s="4180">
        <f>+'B-FCE'!AI24/0.91</f>
        <v>236201.40109890109</v>
      </c>
      <c r="AJ16" s="4180">
        <f>+'B-FCE'!AJ103</f>
        <v>192581</v>
      </c>
      <c r="AK16" s="2222">
        <f>+'B-FCE'!AK24/0.91</f>
        <v>39365.109890109889</v>
      </c>
      <c r="AL16" s="2220">
        <f>+'B-FCE'!AL103</f>
        <v>30877.719137319786</v>
      </c>
      <c r="AM16" s="4167">
        <f>+'B-FCE'!AM24/0.91</f>
        <v>114134.34065934065</v>
      </c>
      <c r="AN16" s="4167">
        <f>+'B-FCE'!AN103</f>
        <v>88326.719137319786</v>
      </c>
      <c r="AO16" s="4180">
        <f>+'B-FCE'!AO24/0.91</f>
        <v>275566.51098901097</v>
      </c>
      <c r="AP16" s="4180">
        <f>+'B-FCE'!AP103</f>
        <v>223458.71913731977</v>
      </c>
      <c r="AQ16" s="2222">
        <f>+'B-FCE'!AQ24/0.91</f>
        <v>39365.109890109889</v>
      </c>
      <c r="AR16" s="2220">
        <f>+'B-FCE'!AR103</f>
        <v>32697.961129130606</v>
      </c>
      <c r="AS16" s="4180">
        <f>+'B-FCE'!AS24/0.91</f>
        <v>314931.62087912089</v>
      </c>
      <c r="AT16" s="4180">
        <f>+'B-FCE'!AT103</f>
        <v>256156.68026645039</v>
      </c>
      <c r="AU16" s="2222">
        <f>+'B-FCE'!AU24/0.91</f>
        <v>34883.330384615387</v>
      </c>
      <c r="AV16" s="2220">
        <f>+'B-FCE'!AV103</f>
        <v>28720.422811445642</v>
      </c>
      <c r="AW16" s="4180">
        <f>+'B-FCE'!AW24/0.91</f>
        <v>349814.95126373629</v>
      </c>
      <c r="AX16" s="4180">
        <f>+'B-FCE'!AX103</f>
        <v>284877.10307789606</v>
      </c>
      <c r="AY16" s="2222">
        <f>+'B-FCE'!AY24/0.91</f>
        <v>39365.109890109889</v>
      </c>
      <c r="AZ16" s="2220">
        <f>+'B-FCE'!AZ103</f>
        <v>34169.169985941895</v>
      </c>
      <c r="BA16" s="4167">
        <f>+'B-FCE'!BA24/0.91</f>
        <v>113613.55016483516</v>
      </c>
      <c r="BB16" s="4167">
        <f>+'B-FCE'!BB103</f>
        <v>95587.553926518143</v>
      </c>
      <c r="BC16" s="4173">
        <f>+'B-FCE'!BC24/0.91</f>
        <v>227747.89082417585</v>
      </c>
      <c r="BD16" s="4173">
        <f>+'B-FCE'!BD103</f>
        <v>183914.27306383793</v>
      </c>
      <c r="BE16" s="4455">
        <f>+'B-FCE'!BE24/0.91</f>
        <v>389180.06115384621</v>
      </c>
      <c r="BF16" s="4455">
        <f>+'B-FCE'!BF103</f>
        <v>319046.27306383796</v>
      </c>
    </row>
    <row r="17" spans="2:58" x14ac:dyDescent="0.3">
      <c r="B17" s="2218" t="s">
        <v>1345</v>
      </c>
      <c r="C17" s="2219" t="s">
        <v>69</v>
      </c>
      <c r="D17" s="4934"/>
      <c r="E17" s="2220">
        <f>+E16/0.97</f>
        <v>12479.891242777841</v>
      </c>
      <c r="F17" s="2220">
        <f>+F16/0.97</f>
        <v>14689.690721649486</v>
      </c>
      <c r="G17" s="2220">
        <f t="shared" ref="G17:J17" si="26">+G16/0.97</f>
        <v>11385.521694800045</v>
      </c>
      <c r="H17" s="2220">
        <f t="shared" si="26"/>
        <v>12431.958762886597</v>
      </c>
      <c r="I17" s="4180">
        <f t="shared" si="26"/>
        <v>23865.412937577887</v>
      </c>
      <c r="J17" s="4180">
        <f t="shared" si="26"/>
        <v>27121.649484536083</v>
      </c>
      <c r="K17" s="2220">
        <f t="shared" ref="K17:L17" si="27">+K16/0.97</f>
        <v>33650.02265775462</v>
      </c>
      <c r="L17" s="2220">
        <f t="shared" si="27"/>
        <v>27660.824742268043</v>
      </c>
      <c r="M17" s="4167">
        <f t="shared" ref="M17:P17" si="28">+M16/0.97</f>
        <v>57515.435595332507</v>
      </c>
      <c r="N17" s="4167">
        <f t="shared" si="28"/>
        <v>54782.474226804123</v>
      </c>
      <c r="O17" s="2220">
        <f t="shared" si="28"/>
        <v>36182.253313696616</v>
      </c>
      <c r="P17" s="2220">
        <f t="shared" si="28"/>
        <v>23462.886597938144</v>
      </c>
      <c r="Q17" s="4180">
        <f t="shared" ref="Q17:T17" si="29">+Q16/0.97</f>
        <v>93697.688909029108</v>
      </c>
      <c r="R17" s="4180">
        <f t="shared" si="29"/>
        <v>78245.360824742267</v>
      </c>
      <c r="S17" s="2220">
        <f t="shared" si="29"/>
        <v>36182.253313696616</v>
      </c>
      <c r="T17" s="2220">
        <f t="shared" si="29"/>
        <v>30250.515463917527</v>
      </c>
      <c r="U17" s="4180">
        <f t="shared" ref="U17:X17" si="30">+U16/0.97</f>
        <v>129879.94222272572</v>
      </c>
      <c r="V17" s="4180">
        <f t="shared" si="30"/>
        <v>108495.8762886598</v>
      </c>
      <c r="W17" s="2220">
        <f t="shared" si="30"/>
        <v>36544.975642913785</v>
      </c>
      <c r="X17" s="2220">
        <f t="shared" si="30"/>
        <v>30815.463917525773</v>
      </c>
      <c r="Y17" s="4167">
        <f t="shared" ref="Y17:Z17" si="31">+Y16/0.97</f>
        <v>108909.48227030701</v>
      </c>
      <c r="Z17" s="4167">
        <f t="shared" si="31"/>
        <v>84528.865979381444</v>
      </c>
      <c r="AA17" s="4173">
        <f t="shared" ref="AA17:AD17" si="32">+AA16/0.97</f>
        <v>166424.91786563949</v>
      </c>
      <c r="AB17" s="4173">
        <f t="shared" si="32"/>
        <v>139311.34020618556</v>
      </c>
      <c r="AC17" s="2220">
        <f t="shared" si="32"/>
        <v>39183.18794607454</v>
      </c>
      <c r="AD17" s="2220">
        <f t="shared" si="32"/>
        <v>33178.350515463921</v>
      </c>
      <c r="AE17" s="4180">
        <f t="shared" ref="AE17:AH17" si="33">+AE16/0.97</f>
        <v>205608.10581171405</v>
      </c>
      <c r="AF17" s="4180">
        <f t="shared" si="33"/>
        <v>172489.6907216495</v>
      </c>
      <c r="AG17" s="2220">
        <f t="shared" si="33"/>
        <v>37898.493259318006</v>
      </c>
      <c r="AH17" s="2220">
        <f t="shared" si="33"/>
        <v>26047.422680412372</v>
      </c>
      <c r="AI17" s="4180">
        <f t="shared" ref="AI17:AP17" si="34">+AI16/0.97</f>
        <v>243506.59907103205</v>
      </c>
      <c r="AJ17" s="4180">
        <f t="shared" si="34"/>
        <v>198537.11340206186</v>
      </c>
      <c r="AK17" s="2220">
        <f t="shared" si="34"/>
        <v>40582.587515577208</v>
      </c>
      <c r="AL17" s="2220">
        <f t="shared" si="34"/>
        <v>31832.700141566791</v>
      </c>
      <c r="AM17" s="4167">
        <f t="shared" si="34"/>
        <v>117664.26872096975</v>
      </c>
      <c r="AN17" s="4167">
        <f t="shared" si="34"/>
        <v>91058.47333744308</v>
      </c>
      <c r="AO17" s="4180">
        <f t="shared" si="34"/>
        <v>284089.18658660928</v>
      </c>
      <c r="AP17" s="4180">
        <f t="shared" si="34"/>
        <v>230369.81354362864</v>
      </c>
      <c r="AQ17" s="2220">
        <f t="shared" ref="AQ17:AR17" si="35">+AQ16/0.97</f>
        <v>40582.587515577208</v>
      </c>
      <c r="AR17" s="2220">
        <f t="shared" si="35"/>
        <v>33709.238277454235</v>
      </c>
      <c r="AS17" s="4180">
        <f t="shared" ref="AS17:AV17" si="36">+AS16/0.97</f>
        <v>324671.77410218649</v>
      </c>
      <c r="AT17" s="4180">
        <f t="shared" si="36"/>
        <v>264079.05182108289</v>
      </c>
      <c r="AU17" s="2220">
        <f t="shared" si="36"/>
        <v>35962.196272799367</v>
      </c>
      <c r="AV17" s="2220">
        <f t="shared" si="36"/>
        <v>29608.683310768705</v>
      </c>
      <c r="AW17" s="4180">
        <f t="shared" ref="AW17:AZ17" si="37">+AW16/0.97</f>
        <v>360633.97037498589</v>
      </c>
      <c r="AX17" s="4180">
        <f t="shared" si="37"/>
        <v>293687.73513185163</v>
      </c>
      <c r="AY17" s="2220">
        <f t="shared" si="37"/>
        <v>40582.587515577208</v>
      </c>
      <c r="AZ17" s="2220">
        <f t="shared" si="37"/>
        <v>35225.94843911536</v>
      </c>
      <c r="BA17" s="4167">
        <f t="shared" ref="BA17:BF17" si="38">+BA16/0.97</f>
        <v>117127.37130395378</v>
      </c>
      <c r="BB17" s="4167">
        <f t="shared" si="38"/>
        <v>98543.8700273383</v>
      </c>
      <c r="BC17" s="4173">
        <f t="shared" si="38"/>
        <v>234791.64002492357</v>
      </c>
      <c r="BD17" s="4173">
        <f t="shared" si="38"/>
        <v>189602.34336478138</v>
      </c>
      <c r="BE17" s="4455">
        <f t="shared" si="38"/>
        <v>401216.5578905631</v>
      </c>
      <c r="BF17" s="4455">
        <f t="shared" si="38"/>
        <v>328913.683570967</v>
      </c>
    </row>
    <row r="18" spans="2:58" x14ac:dyDescent="0.3">
      <c r="B18" s="2218" t="s">
        <v>1346</v>
      </c>
      <c r="C18" s="2219" t="s">
        <v>69</v>
      </c>
      <c r="D18" s="4934"/>
      <c r="E18" s="2220">
        <f>+E15+E17</f>
        <v>100201.63375991906</v>
      </c>
      <c r="F18" s="2220">
        <f>+F15+F17</f>
        <v>104155.58030495707</v>
      </c>
      <c r="G18" s="2220">
        <f t="shared" ref="G18:J18" si="39">+G15+G17</f>
        <v>140901.41830194296</v>
      </c>
      <c r="H18" s="2220">
        <f t="shared" si="39"/>
        <v>106044.03812416295</v>
      </c>
      <c r="I18" s="4180">
        <f t="shared" si="39"/>
        <v>241103.05231547967</v>
      </c>
      <c r="J18" s="4180">
        <f t="shared" si="39"/>
        <v>210199.79379461461</v>
      </c>
      <c r="K18" s="2220">
        <f t="shared" ref="K18:L18" si="40">+K15+K17</f>
        <v>215501.60213107287</v>
      </c>
      <c r="L18" s="2220">
        <f t="shared" si="40"/>
        <v>203546.60212988395</v>
      </c>
      <c r="M18" s="4167">
        <f t="shared" ref="M18:P18" si="41">+M15+M17</f>
        <v>456604.65651897248</v>
      </c>
      <c r="N18" s="4167">
        <f t="shared" si="41"/>
        <v>412689.05726160202</v>
      </c>
      <c r="O18" s="2220">
        <f t="shared" si="41"/>
        <v>226453.48790895729</v>
      </c>
      <c r="P18" s="2220">
        <f t="shared" si="41"/>
        <v>195480.4570892562</v>
      </c>
      <c r="Q18" s="4180">
        <f t="shared" ref="Q18:T18" si="42">+Q15+Q17</f>
        <v>683058.14093948354</v>
      </c>
      <c r="R18" s="4180">
        <f t="shared" si="42"/>
        <v>607506.91777176876</v>
      </c>
      <c r="S18" s="2220">
        <f t="shared" si="42"/>
        <v>226453.48790895729</v>
      </c>
      <c r="T18" s="2220">
        <f t="shared" si="42"/>
        <v>205916.84521945391</v>
      </c>
      <c r="U18" s="4180">
        <f t="shared" ref="U18:X18" si="43">+U15+U17</f>
        <v>909511.62884844071</v>
      </c>
      <c r="V18" s="4180">
        <f t="shared" si="43"/>
        <v>812670.70380681555</v>
      </c>
      <c r="W18" s="2220">
        <f t="shared" si="43"/>
        <v>219407.70252581299</v>
      </c>
      <c r="X18" s="2220">
        <f t="shared" si="43"/>
        <v>190555.05604992106</v>
      </c>
      <c r="Y18" s="4167">
        <f t="shared" ref="Y18:Z18" si="44">+Y15+Y17</f>
        <v>672314.67834372784</v>
      </c>
      <c r="Z18" s="4167">
        <f t="shared" si="44"/>
        <v>592082.86703021929</v>
      </c>
      <c r="AA18" s="4173">
        <f t="shared" ref="AA18:AD18" si="45">+AA15+AA17</f>
        <v>1128919.3432138057</v>
      </c>
      <c r="AB18" s="4173">
        <f t="shared" si="45"/>
        <v>1002893.784045649</v>
      </c>
      <c r="AC18" s="2220">
        <f t="shared" si="45"/>
        <v>221330.92494900996</v>
      </c>
      <c r="AD18" s="2220">
        <f t="shared" si="45"/>
        <v>216339.65981631598</v>
      </c>
      <c r="AE18" s="4180">
        <f t="shared" ref="AE18:AH18" si="46">+AE15+AE17</f>
        <v>1350250.2668453783</v>
      </c>
      <c r="AF18" s="4180">
        <f t="shared" si="46"/>
        <v>1218464.6120870952</v>
      </c>
      <c r="AG18" s="2220">
        <f t="shared" si="46"/>
        <v>214100.52494465996</v>
      </c>
      <c r="AH18" s="2220">
        <f t="shared" si="46"/>
        <v>198289.04522439596</v>
      </c>
      <c r="AI18" s="4180">
        <f t="shared" ref="AI18:AP18" si="47">+AI15+AI17</f>
        <v>1564350.790838066</v>
      </c>
      <c r="AJ18" s="4180">
        <f t="shared" si="47"/>
        <v>1416382.2050973894</v>
      </c>
      <c r="AK18" s="2220">
        <f t="shared" si="47"/>
        <v>220434.83069336577</v>
      </c>
      <c r="AL18" s="2220">
        <f t="shared" si="47"/>
        <v>213934.86757241999</v>
      </c>
      <c r="AM18" s="4167">
        <f t="shared" si="47"/>
        <v>655866.28403505427</v>
      </c>
      <c r="AN18" s="4167">
        <f t="shared" si="47"/>
        <v>628555.5820489875</v>
      </c>
      <c r="AO18" s="4180">
        <f t="shared" si="47"/>
        <v>1784785.6312973909</v>
      </c>
      <c r="AP18" s="4180">
        <f t="shared" si="47"/>
        <v>1630026.3317355893</v>
      </c>
      <c r="AQ18" s="2220">
        <f t="shared" ref="AQ18:AR18" si="48">+AQ15+AQ17</f>
        <v>215843.84304307206</v>
      </c>
      <c r="AR18" s="2220">
        <f t="shared" si="48"/>
        <v>212584.78421973373</v>
      </c>
      <c r="AS18" s="4180">
        <f t="shared" ref="AS18:AV18" si="49">+AS15+AS17</f>
        <v>2000629.4636344975</v>
      </c>
      <c r="AT18" s="4180">
        <f t="shared" si="49"/>
        <v>1842442.0733572072</v>
      </c>
      <c r="AU18" s="2220">
        <f t="shared" si="49"/>
        <v>191361.18829072636</v>
      </c>
      <c r="AV18" s="2220">
        <f t="shared" si="49"/>
        <v>190497.73058663623</v>
      </c>
      <c r="AW18" s="4180">
        <f t="shared" ref="AW18:AZ18" si="50">+AW15+AW17</f>
        <v>2191990.6597331818</v>
      </c>
      <c r="AX18" s="4180">
        <f t="shared" si="50"/>
        <v>2032838.4386810332</v>
      </c>
      <c r="AY18" s="2220">
        <f t="shared" si="50"/>
        <v>215843.84304307206</v>
      </c>
      <c r="AZ18" s="2220">
        <f t="shared" si="50"/>
        <v>218112.88166324506</v>
      </c>
      <c r="BA18" s="4167">
        <f t="shared" ref="BA18:BF18" si="51">+BA15+BA17</f>
        <v>623048.87215703225</v>
      </c>
      <c r="BB18" s="4167">
        <f t="shared" si="51"/>
        <v>621203.30199245294</v>
      </c>
      <c r="BC18" s="4173">
        <f t="shared" si="51"/>
        <v>1278915.1560797933</v>
      </c>
      <c r="BD18" s="4173">
        <f t="shared" si="51"/>
        <v>1249739.0734968374</v>
      </c>
      <c r="BE18" s="4455">
        <f t="shared" si="51"/>
        <v>2407834.5029827668</v>
      </c>
      <c r="BF18" s="4455">
        <f t="shared" si="51"/>
        <v>2250854.9932072326</v>
      </c>
    </row>
    <row r="19" spans="2:58" x14ac:dyDescent="0.3">
      <c r="B19" s="2223" t="s">
        <v>1347</v>
      </c>
      <c r="C19" s="2224" t="s">
        <v>273</v>
      </c>
      <c r="D19" s="4935"/>
      <c r="E19" s="2225">
        <f>+E18*1000/E5</f>
        <v>982.36895843057903</v>
      </c>
      <c r="F19" s="2225">
        <f>+F18*1000/F5</f>
        <v>948.46405595735609</v>
      </c>
      <c r="G19" s="2225">
        <f t="shared" ref="G19:J19" si="52">+G18*1000/G5</f>
        <v>1051.5031216562909</v>
      </c>
      <c r="H19" s="2225">
        <f t="shared" si="52"/>
        <v>1024.9108226631874</v>
      </c>
      <c r="I19" s="4183">
        <f t="shared" si="52"/>
        <v>1021.6231030316935</v>
      </c>
      <c r="J19" s="4183">
        <f t="shared" si="52"/>
        <v>985.55052941563929</v>
      </c>
      <c r="K19" s="2225">
        <f t="shared" ref="K19:L19" si="53">+K18*1000/K5</f>
        <v>906.90548529003036</v>
      </c>
      <c r="L19" s="2225">
        <f t="shared" si="53"/>
        <v>983.61627997837002</v>
      </c>
      <c r="M19" s="4169">
        <f t="shared" ref="M19:P19" si="54">+M18*1000/M5</f>
        <v>964.06774273836459</v>
      </c>
      <c r="N19" s="4169">
        <f t="shared" si="54"/>
        <v>982.08184326348726</v>
      </c>
      <c r="O19" s="2225">
        <f t="shared" si="54"/>
        <v>921.75102689077062</v>
      </c>
      <c r="P19" s="2225">
        <f t="shared" si="54"/>
        <v>976.41610518004916</v>
      </c>
      <c r="Q19" s="4183">
        <f t="shared" ref="Q19:T19" si="55">+Q18*1000/Q5</f>
        <v>949.61443922183219</v>
      </c>
      <c r="R19" s="4183">
        <f t="shared" si="55"/>
        <v>979.1856004970964</v>
      </c>
      <c r="S19" s="2225">
        <f t="shared" si="55"/>
        <v>921.75102689077062</v>
      </c>
      <c r="T19" s="2225">
        <f t="shared" si="55"/>
        <v>935.25446114607621</v>
      </c>
      <c r="U19" s="4183">
        <f t="shared" ref="U19:X19" si="56">+U18*1000/U5</f>
        <v>942.52058476819241</v>
      </c>
      <c r="V19" s="4183">
        <f t="shared" si="56"/>
        <v>966.78308113444677</v>
      </c>
      <c r="W19" s="2225">
        <f t="shared" si="56"/>
        <v>918.21595532878416</v>
      </c>
      <c r="X19" s="2225">
        <f t="shared" si="56"/>
        <v>894.5616789893719</v>
      </c>
      <c r="Y19" s="4169">
        <f t="shared" ref="Y19:Z19" si="57">+Y18*1000/Y5</f>
        <v>920.59437953146676</v>
      </c>
      <c r="Z19" s="4169">
        <f t="shared" si="57"/>
        <v>934.78552205709184</v>
      </c>
      <c r="AA19" s="4175">
        <f t="shared" ref="AA19:AD19" si="58">+AA18*1000/AA5</f>
        <v>937.69672539703845</v>
      </c>
      <c r="AB19" s="4175">
        <f t="shared" si="58"/>
        <v>951.8665051824313</v>
      </c>
      <c r="AC19" s="2225">
        <f t="shared" si="58"/>
        <v>895.89526391017989</v>
      </c>
      <c r="AD19" s="2225">
        <f t="shared" si="58"/>
        <v>929.88523552909919</v>
      </c>
      <c r="AE19" s="4183">
        <f t="shared" ref="AE19:AH19" si="59">+AE18*1000/AE5</f>
        <v>930.57942080815724</v>
      </c>
      <c r="AF19" s="4183">
        <f t="shared" si="59"/>
        <v>947.29291978625088</v>
      </c>
      <c r="AG19" s="2225">
        <f t="shared" si="59"/>
        <v>896.00554486151896</v>
      </c>
      <c r="AH19" s="2225">
        <f t="shared" si="59"/>
        <v>957.83017609203</v>
      </c>
      <c r="AI19" s="4183">
        <f t="shared" ref="AI19:AP19" si="60">+AI18*1000/AI5</f>
        <v>925.69079323975109</v>
      </c>
      <c r="AJ19" s="4183">
        <f t="shared" si="60"/>
        <v>948.50499102939625</v>
      </c>
      <c r="AK19" s="2225">
        <f t="shared" si="60"/>
        <v>892.26808619051121</v>
      </c>
      <c r="AL19" s="2225">
        <f t="shared" si="60"/>
        <v>928.91573633522341</v>
      </c>
      <c r="AM19" s="4169">
        <f t="shared" si="60"/>
        <v>894.7087975377591</v>
      </c>
      <c r="AN19" s="4169">
        <f t="shared" si="60"/>
        <v>938.17486577746331</v>
      </c>
      <c r="AO19" s="4183">
        <f t="shared" si="60"/>
        <v>921.42793118837221</v>
      </c>
      <c r="AP19" s="4183">
        <f t="shared" si="60"/>
        <v>945.71878382737304</v>
      </c>
      <c r="AQ19" s="2225">
        <f t="shared" ref="AQ19:AR19" si="61">+AQ18*1000/AQ5</f>
        <v>873.68485344291469</v>
      </c>
      <c r="AR19" s="2225">
        <f t="shared" si="61"/>
        <v>904.16594384810003</v>
      </c>
      <c r="AS19" s="4183">
        <f t="shared" ref="AS19:AV19" si="62">+AS18*1000/AS5</f>
        <v>916.02738775990849</v>
      </c>
      <c r="AT19" s="4183">
        <f t="shared" si="62"/>
        <v>940.644595050725</v>
      </c>
      <c r="AU19" s="2225">
        <f t="shared" si="62"/>
        <v>874.10283302262144</v>
      </c>
      <c r="AV19" s="2225">
        <f t="shared" si="62"/>
        <v>906.1439220404236</v>
      </c>
      <c r="AW19" s="4183">
        <f t="shared" ref="AW19:AZ19" si="63">+AW18*1000/AW5</f>
        <v>912.20781742924271</v>
      </c>
      <c r="AX19" s="4183">
        <f t="shared" si="63"/>
        <v>937.25379626302151</v>
      </c>
      <c r="AY19" s="2225">
        <f t="shared" si="63"/>
        <v>873.68485344291469</v>
      </c>
      <c r="AZ19" s="2225">
        <f t="shared" si="63"/>
        <v>916.99896980659673</v>
      </c>
      <c r="BA19" s="4169">
        <f t="shared" ref="BA19:BF19" si="64">+BA18*1000/BA5</f>
        <v>873.81318466785478</v>
      </c>
      <c r="BB19" s="4169">
        <f t="shared" si="64"/>
        <v>909.25395464447149</v>
      </c>
      <c r="BC19" s="4175">
        <f t="shared" si="64"/>
        <v>884.40568533674582</v>
      </c>
      <c r="BD19" s="4175">
        <f t="shared" si="64"/>
        <v>923.55845361141837</v>
      </c>
      <c r="BE19" s="4457">
        <f t="shared" si="64"/>
        <v>908.61646099049028</v>
      </c>
      <c r="BF19" s="4457">
        <f t="shared" si="64"/>
        <v>935.21205199417307</v>
      </c>
    </row>
    <row r="20" spans="2:58" x14ac:dyDescent="0.3">
      <c r="M20" s="1583"/>
    </row>
    <row r="21" spans="2:58" x14ac:dyDescent="0.3">
      <c r="H21" s="1583"/>
      <c r="I21" s="1583"/>
    </row>
    <row r="22" spans="2:58" x14ac:dyDescent="0.3">
      <c r="I22" s="1583"/>
      <c r="J22" s="1583"/>
    </row>
  </sheetData>
  <mergeCells count="32">
    <mergeCell ref="B1:V1"/>
    <mergeCell ref="B3:B4"/>
    <mergeCell ref="C3:C4"/>
    <mergeCell ref="E3:F3"/>
    <mergeCell ref="G3:H3"/>
    <mergeCell ref="I3:J3"/>
    <mergeCell ref="S3:T3"/>
    <mergeCell ref="U3:V3"/>
    <mergeCell ref="O3:P3"/>
    <mergeCell ref="Q3:R3"/>
    <mergeCell ref="K3:L3"/>
    <mergeCell ref="M3:N3"/>
    <mergeCell ref="D3:D4"/>
    <mergeCell ref="D5:D19"/>
    <mergeCell ref="AC3:AD3"/>
    <mergeCell ref="W3:X3"/>
    <mergeCell ref="AG3:AH3"/>
    <mergeCell ref="AY3:AZ3"/>
    <mergeCell ref="AI3:AJ3"/>
    <mergeCell ref="Y3:Z3"/>
    <mergeCell ref="AA3:AB3"/>
    <mergeCell ref="AE3:AF3"/>
    <mergeCell ref="AU3:AV3"/>
    <mergeCell ref="AQ3:AR3"/>
    <mergeCell ref="AS3:AT3"/>
    <mergeCell ref="BA3:BB3"/>
    <mergeCell ref="BC3:BD3"/>
    <mergeCell ref="BE3:BF3"/>
    <mergeCell ref="AK3:AL3"/>
    <mergeCell ref="AM3:AN3"/>
    <mergeCell ref="AO3:AP3"/>
    <mergeCell ref="AW3:AX3"/>
  </mergeCells>
  <printOptions horizontalCentered="1" verticalCentered="1"/>
  <pageMargins left="0" right="0" top="0" bottom="0" header="0" footer="0"/>
  <pageSetup paperSize="9" scale="4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-0.249977111117893"/>
    <pageSetUpPr fitToPage="1"/>
  </sheetPr>
  <dimension ref="A1:CC715"/>
  <sheetViews>
    <sheetView zoomScale="70" zoomScaleNormal="70" workbookViewId="0">
      <pane xSplit="3" topLeftCell="AZ1" activePane="topRight" state="frozen"/>
      <selection pane="topRight" activeCell="BI11" sqref="BI11"/>
    </sheetView>
  </sheetViews>
  <sheetFormatPr defaultRowHeight="15" x14ac:dyDescent="0.25"/>
  <cols>
    <col min="1" max="1" width="37.7109375" customWidth="1"/>
    <col min="2" max="2" width="69.140625" customWidth="1"/>
    <col min="3" max="3" width="41.140625" bestFit="1" customWidth="1"/>
    <col min="4" max="4" width="17" style="1803" hidden="1" customWidth="1"/>
    <col min="5" max="5" width="16.5703125" style="189" hidden="1" customWidth="1"/>
    <col min="6" max="6" width="17.5703125" style="200" customWidth="1"/>
    <col min="7" max="7" width="12.7109375" style="189" hidden="1" customWidth="1"/>
    <col min="8" max="8" width="15" style="200" customWidth="1"/>
    <col min="9" max="9" width="16.5703125" style="189" hidden="1" customWidth="1"/>
    <col min="10" max="10" width="9.85546875" style="200" hidden="1" customWidth="1"/>
    <col min="11" max="11" width="14.140625" style="189" hidden="1" customWidth="1"/>
    <col min="12" max="12" width="10.42578125" customWidth="1"/>
    <col min="13" max="13" width="9.85546875" style="189" hidden="1" customWidth="1"/>
    <col min="14" max="14" width="9.85546875" customWidth="1"/>
    <col min="15" max="15" width="9.85546875" style="189" hidden="1" customWidth="1"/>
    <col min="16" max="16" width="10.42578125" customWidth="1"/>
    <col min="17" max="17" width="9.85546875" style="189" hidden="1" customWidth="1"/>
    <col min="18" max="18" width="9.85546875" hidden="1" customWidth="1"/>
    <col min="19" max="19" width="9.85546875" style="189" hidden="1" customWidth="1"/>
    <col min="20" max="20" width="13" style="944" customWidth="1"/>
    <col min="21" max="21" width="9.85546875" style="189" hidden="1" customWidth="1"/>
    <col min="22" max="22" width="9.85546875" style="944" hidden="1" customWidth="1"/>
    <col min="23" max="23" width="9.85546875" style="189" hidden="1" customWidth="1"/>
    <col min="24" max="24" width="10.42578125" style="944" customWidth="1"/>
    <col min="25" max="25" width="9.85546875" style="189" hidden="1" customWidth="1"/>
    <col min="26" max="26" width="9.85546875" style="1270" customWidth="1"/>
    <col min="27" max="27" width="11.28515625" style="1116" hidden="1" customWidth="1"/>
    <col min="28" max="28" width="11.42578125" style="1117" customWidth="1"/>
    <col min="29" max="29" width="9.85546875" style="944" hidden="1" customWidth="1"/>
    <col min="30" max="30" width="11.28515625" style="1310" customWidth="1"/>
    <col min="31" max="31" width="11.28515625" style="1310" hidden="1" customWidth="1"/>
    <col min="32" max="32" width="11.42578125" style="1310" hidden="1" customWidth="1"/>
    <col min="33" max="33" width="9.85546875" style="944" hidden="1" customWidth="1"/>
    <col min="34" max="34" width="10.42578125" style="944" customWidth="1"/>
    <col min="35" max="36" width="11.28515625" style="944" hidden="1" customWidth="1"/>
    <col min="37" max="37" width="13.85546875" style="944" hidden="1" customWidth="1"/>
    <col min="38" max="38" width="10.28515625" style="944" bestFit="1" customWidth="1"/>
    <col min="39" max="39" width="11.42578125" style="944" hidden="1" customWidth="1"/>
    <col min="40" max="40" width="15.28515625" style="944" customWidth="1"/>
    <col min="41" max="41" width="12.42578125" style="944" hidden="1" customWidth="1"/>
    <col min="42" max="42" width="13.42578125" style="944" hidden="1" customWidth="1"/>
    <col min="43" max="43" width="10" style="944" hidden="1" customWidth="1"/>
    <col min="44" max="44" width="10.42578125" style="944" customWidth="1"/>
    <col min="45" max="46" width="11.28515625" style="944" hidden="1" customWidth="1"/>
    <col min="47" max="47" width="11.42578125" style="944" hidden="1" customWidth="1"/>
    <col min="48" max="48" width="12.28515625" customWidth="1"/>
    <col min="49" max="49" width="13.28515625" hidden="1" customWidth="1"/>
    <col min="50" max="50" width="13" hidden="1" customWidth="1"/>
    <col min="51" max="51" width="10" hidden="1" customWidth="1"/>
    <col min="52" max="52" width="13.42578125" customWidth="1"/>
    <col min="53" max="53" width="15" hidden="1" customWidth="1"/>
    <col min="54" max="54" width="15.42578125" customWidth="1"/>
    <col min="55" max="55" width="15.42578125" style="1497" hidden="1" customWidth="1"/>
    <col min="56" max="56" width="15.42578125" style="1497" customWidth="1"/>
    <col min="57" max="57" width="18.7109375" hidden="1" customWidth="1"/>
    <col min="58" max="58" width="16.42578125" customWidth="1"/>
    <col min="59" max="62" width="9.140625" style="1726" customWidth="1"/>
    <col min="63" max="81" width="9.140625" style="1726"/>
  </cols>
  <sheetData>
    <row r="1" spans="2:81" s="334" customFormat="1" ht="18.75" x14ac:dyDescent="0.3">
      <c r="B1" s="1299" t="s">
        <v>415</v>
      </c>
      <c r="C1" s="1300"/>
      <c r="D1" s="1806"/>
      <c r="E1" s="1301"/>
      <c r="F1" s="1302"/>
      <c r="G1" s="1301"/>
      <c r="H1" s="1302"/>
      <c r="I1" s="1301"/>
      <c r="J1" s="1302"/>
      <c r="K1" s="1301"/>
      <c r="L1" s="1300"/>
      <c r="M1" s="1301"/>
      <c r="N1" s="1300"/>
      <c r="O1" s="1301"/>
      <c r="P1" s="1300"/>
      <c r="Q1" s="1301"/>
      <c r="R1" s="609"/>
      <c r="S1" s="477"/>
      <c r="U1" s="477"/>
      <c r="W1" s="477"/>
      <c r="Y1" s="477"/>
      <c r="AA1" s="477"/>
      <c r="BG1" s="1726"/>
      <c r="BH1" s="1726"/>
      <c r="BI1" s="1726"/>
      <c r="BJ1" s="1726"/>
      <c r="BK1" s="1726"/>
      <c r="BL1" s="1726"/>
      <c r="BM1" s="1726"/>
      <c r="BN1" s="1726"/>
      <c r="BO1" s="1726"/>
      <c r="BP1" s="1726"/>
      <c r="BQ1" s="1726"/>
      <c r="BR1" s="1726"/>
      <c r="BS1" s="1726"/>
      <c r="BT1" s="1726"/>
      <c r="BU1" s="1726"/>
      <c r="BV1" s="1726"/>
      <c r="BW1" s="1726"/>
      <c r="BX1" s="1726"/>
      <c r="BY1" s="1726"/>
      <c r="BZ1" s="1726"/>
      <c r="CA1" s="1726"/>
      <c r="CB1" s="1726"/>
      <c r="CC1" s="1726"/>
    </row>
    <row r="2" spans="2:81" s="334" customFormat="1" ht="19.5" thickBot="1" x14ac:dyDescent="0.35">
      <c r="B2" s="1300"/>
      <c r="C2" s="1300"/>
      <c r="D2" s="1806"/>
      <c r="E2" s="1301"/>
      <c r="F2" s="3977"/>
      <c r="G2" s="3977"/>
      <c r="H2" s="3977"/>
      <c r="I2" s="3977"/>
      <c r="J2" s="3977"/>
      <c r="K2" s="3977"/>
      <c r="L2" s="3977"/>
      <c r="M2" s="3977"/>
      <c r="N2" s="3977"/>
      <c r="O2" s="3977"/>
      <c r="P2" s="3977"/>
      <c r="Q2" s="3977"/>
      <c r="R2" s="3977"/>
      <c r="S2" s="3977"/>
      <c r="T2" s="3977"/>
      <c r="U2" s="3977"/>
      <c r="V2" s="3977"/>
      <c r="W2" s="3977"/>
      <c r="X2" s="3977"/>
      <c r="Y2" s="3977"/>
      <c r="Z2" s="3977"/>
      <c r="AA2" s="3977"/>
      <c r="AB2" s="3977"/>
      <c r="AC2" s="3977"/>
      <c r="AD2" s="3977"/>
      <c r="AE2" s="3977"/>
      <c r="AF2" s="3977"/>
      <c r="AG2" s="3977"/>
      <c r="AH2" s="3977"/>
      <c r="AI2" s="3977"/>
      <c r="AJ2" s="3977"/>
      <c r="AK2" s="3977"/>
      <c r="AL2" s="3977"/>
      <c r="AM2" s="3977"/>
      <c r="AN2" s="3977"/>
      <c r="AO2" s="3977"/>
      <c r="AP2" s="3977"/>
      <c r="AQ2" s="3977"/>
      <c r="AR2" s="3977"/>
      <c r="AS2" s="3977"/>
      <c r="AT2" s="3977"/>
      <c r="BG2" s="1726"/>
      <c r="BH2" s="1726"/>
      <c r="BI2" s="1726"/>
      <c r="BJ2" s="1726"/>
      <c r="BK2" s="1726"/>
      <c r="BL2" s="1726"/>
      <c r="BM2" s="1726"/>
      <c r="BN2" s="1726"/>
      <c r="BO2" s="1726"/>
      <c r="BP2" s="1726"/>
      <c r="BQ2" s="1726"/>
      <c r="BR2" s="1726"/>
      <c r="BS2" s="1726"/>
      <c r="BT2" s="1726"/>
      <c r="BU2" s="1726"/>
      <c r="BV2" s="1726"/>
      <c r="BW2" s="1726"/>
      <c r="BX2" s="1726"/>
      <c r="BY2" s="1726"/>
      <c r="BZ2" s="1726"/>
      <c r="CA2" s="1726"/>
      <c r="CB2" s="1726"/>
      <c r="CC2" s="1726"/>
    </row>
    <row r="3" spans="2:81" ht="19.5" thickBot="1" x14ac:dyDescent="0.3">
      <c r="B3" s="4937" t="s">
        <v>197</v>
      </c>
      <c r="C3" s="5058" t="s">
        <v>198</v>
      </c>
      <c r="D3" s="4949" t="s">
        <v>1572</v>
      </c>
      <c r="E3" s="4929" t="s">
        <v>1323</v>
      </c>
      <c r="F3" s="4930"/>
      <c r="G3" s="4929" t="s">
        <v>1384</v>
      </c>
      <c r="H3" s="4929"/>
      <c r="I3" s="5015" t="s">
        <v>15</v>
      </c>
      <c r="J3" s="5016"/>
      <c r="K3" s="5060" t="s">
        <v>1397</v>
      </c>
      <c r="L3" s="5061"/>
      <c r="M3" s="4924" t="s">
        <v>741</v>
      </c>
      <c r="N3" s="5014"/>
      <c r="O3" s="4929" t="s">
        <v>1424</v>
      </c>
      <c r="P3" s="4929"/>
      <c r="Q3" s="5015" t="s">
        <v>18</v>
      </c>
      <c r="R3" s="5016"/>
      <c r="S3" s="4929" t="s">
        <v>1496</v>
      </c>
      <c r="T3" s="4929"/>
      <c r="U3" s="5015" t="s">
        <v>19</v>
      </c>
      <c r="V3" s="5016"/>
      <c r="W3" s="4929" t="s">
        <v>1573</v>
      </c>
      <c r="X3" s="4929"/>
      <c r="Y3" s="5013" t="s">
        <v>788</v>
      </c>
      <c r="Z3" s="5014"/>
      <c r="AA3" s="4980" t="s">
        <v>784</v>
      </c>
      <c r="AB3" s="4981"/>
      <c r="AC3" s="4929" t="s">
        <v>1634</v>
      </c>
      <c r="AD3" s="4929"/>
      <c r="AE3" s="5015" t="s">
        <v>26</v>
      </c>
      <c r="AF3" s="5016"/>
      <c r="AG3" s="4929" t="s">
        <v>1671</v>
      </c>
      <c r="AH3" s="4929"/>
      <c r="AI3" s="5015" t="s">
        <v>29</v>
      </c>
      <c r="AJ3" s="5016"/>
      <c r="AK3" s="4929" t="s">
        <v>1696</v>
      </c>
      <c r="AL3" s="4929"/>
      <c r="AM3" s="5013" t="s">
        <v>799</v>
      </c>
      <c r="AN3" s="5014"/>
      <c r="AO3" s="5015" t="s">
        <v>1221</v>
      </c>
      <c r="AP3" s="5016"/>
      <c r="AQ3" s="4929" t="s">
        <v>1760</v>
      </c>
      <c r="AR3" s="4929"/>
      <c r="AS3" s="5015" t="s">
        <v>31</v>
      </c>
      <c r="AT3" s="5016"/>
      <c r="AU3" s="4929" t="s">
        <v>1812</v>
      </c>
      <c r="AV3" s="4929"/>
      <c r="AW3" s="5015" t="s">
        <v>33</v>
      </c>
      <c r="AX3" s="5016"/>
      <c r="AY3" s="4929" t="s">
        <v>1844</v>
      </c>
      <c r="AZ3" s="4929"/>
      <c r="BA3" s="5013" t="s">
        <v>800</v>
      </c>
      <c r="BB3" s="5014"/>
      <c r="BC3" s="4980" t="s">
        <v>817</v>
      </c>
      <c r="BD3" s="4981"/>
      <c r="BE3" s="5015" t="s">
        <v>1314</v>
      </c>
      <c r="BF3" s="5016"/>
    </row>
    <row r="4" spans="2:81" ht="19.5" thickBot="1" x14ac:dyDescent="0.3">
      <c r="B4" s="5057"/>
      <c r="C4" s="5059"/>
      <c r="D4" s="4950"/>
      <c r="E4" s="3918" t="s">
        <v>199</v>
      </c>
      <c r="F4" s="506" t="s">
        <v>200</v>
      </c>
      <c r="G4" s="3918" t="s">
        <v>199</v>
      </c>
      <c r="H4" s="596" t="s">
        <v>200</v>
      </c>
      <c r="I4" s="3919" t="s">
        <v>199</v>
      </c>
      <c r="J4" s="513" t="s">
        <v>200</v>
      </c>
      <c r="K4" s="3918" t="s">
        <v>199</v>
      </c>
      <c r="L4" s="596" t="s">
        <v>200</v>
      </c>
      <c r="M4" s="3943" t="s">
        <v>199</v>
      </c>
      <c r="N4" s="1303" t="s">
        <v>200</v>
      </c>
      <c r="O4" s="3918" t="s">
        <v>199</v>
      </c>
      <c r="P4" s="506" t="s">
        <v>200</v>
      </c>
      <c r="Q4" s="3554" t="s">
        <v>199</v>
      </c>
      <c r="R4" s="513" t="s">
        <v>200</v>
      </c>
      <c r="S4" s="3918" t="s">
        <v>199</v>
      </c>
      <c r="T4" s="506" t="s">
        <v>200</v>
      </c>
      <c r="U4" s="3554" t="s">
        <v>199</v>
      </c>
      <c r="V4" s="513" t="s">
        <v>200</v>
      </c>
      <c r="W4" s="3918" t="s">
        <v>199</v>
      </c>
      <c r="X4" s="506" t="s">
        <v>200</v>
      </c>
      <c r="Y4" s="3943" t="s">
        <v>199</v>
      </c>
      <c r="Z4" s="1303" t="s">
        <v>200</v>
      </c>
      <c r="AA4" s="3955" t="s">
        <v>199</v>
      </c>
      <c r="AB4" s="1197" t="s">
        <v>200</v>
      </c>
      <c r="AC4" s="3918" t="s">
        <v>199</v>
      </c>
      <c r="AD4" s="506" t="s">
        <v>200</v>
      </c>
      <c r="AE4" s="3554" t="s">
        <v>199</v>
      </c>
      <c r="AF4" s="513" t="s">
        <v>200</v>
      </c>
      <c r="AG4" s="3918" t="s">
        <v>199</v>
      </c>
      <c r="AH4" s="506" t="s">
        <v>200</v>
      </c>
      <c r="AI4" s="3554" t="s">
        <v>199</v>
      </c>
      <c r="AJ4" s="513" t="s">
        <v>200</v>
      </c>
      <c r="AK4" s="3918" t="s">
        <v>199</v>
      </c>
      <c r="AL4" s="596" t="s">
        <v>200</v>
      </c>
      <c r="AM4" s="3943" t="s">
        <v>199</v>
      </c>
      <c r="AN4" s="1303" t="s">
        <v>200</v>
      </c>
      <c r="AO4" s="3554" t="s">
        <v>199</v>
      </c>
      <c r="AP4" s="513" t="s">
        <v>200</v>
      </c>
      <c r="AQ4" s="3918" t="s">
        <v>199</v>
      </c>
      <c r="AR4" s="596" t="s">
        <v>200</v>
      </c>
      <c r="AS4" s="3554" t="s">
        <v>199</v>
      </c>
      <c r="AT4" s="513" t="s">
        <v>200</v>
      </c>
      <c r="AU4" s="1494" t="s">
        <v>199</v>
      </c>
      <c r="AV4" s="596" t="s">
        <v>200</v>
      </c>
      <c r="AW4" s="1495" t="s">
        <v>199</v>
      </c>
      <c r="AX4" s="513" t="s">
        <v>200</v>
      </c>
      <c r="AY4" s="1498" t="s">
        <v>199</v>
      </c>
      <c r="AZ4" s="596" t="s">
        <v>200</v>
      </c>
      <c r="BA4" s="4139" t="s">
        <v>199</v>
      </c>
      <c r="BB4" s="1303" t="s">
        <v>200</v>
      </c>
      <c r="BC4" s="4146" t="s">
        <v>199</v>
      </c>
      <c r="BD4" s="1197" t="s">
        <v>200</v>
      </c>
      <c r="BE4" s="3554" t="s">
        <v>199</v>
      </c>
      <c r="BF4" s="513" t="s">
        <v>200</v>
      </c>
    </row>
    <row r="5" spans="2:81" s="334" customFormat="1" ht="18.75" x14ac:dyDescent="0.25">
      <c r="B5" s="690" t="s">
        <v>349</v>
      </c>
      <c r="C5" s="622"/>
      <c r="D5" s="2056"/>
      <c r="E5" s="622"/>
      <c r="F5" s="622"/>
      <c r="G5" s="622"/>
      <c r="H5" s="622"/>
      <c r="I5" s="622"/>
      <c r="J5" s="622"/>
      <c r="K5" s="622"/>
      <c r="L5" s="622"/>
      <c r="M5" s="622"/>
      <c r="N5" s="622"/>
      <c r="O5" s="622"/>
      <c r="P5" s="622"/>
      <c r="Q5" s="622"/>
      <c r="R5" s="622"/>
      <c r="S5" s="622"/>
      <c r="T5" s="622"/>
      <c r="U5" s="622"/>
      <c r="V5" s="622"/>
      <c r="W5" s="622"/>
      <c r="X5" s="622"/>
      <c r="Y5" s="622"/>
      <c r="Z5" s="622"/>
      <c r="AA5" s="622"/>
      <c r="AB5" s="622"/>
      <c r="AC5" s="622"/>
      <c r="AD5" s="622"/>
      <c r="AE5" s="622"/>
      <c r="AF5" s="622"/>
      <c r="AG5" s="622"/>
      <c r="AH5" s="622"/>
      <c r="AI5" s="622"/>
      <c r="AJ5" s="622"/>
      <c r="AK5" s="622"/>
      <c r="AL5" s="622"/>
      <c r="AM5" s="622"/>
      <c r="AN5" s="622"/>
      <c r="AO5" s="622"/>
      <c r="AP5" s="622"/>
      <c r="AQ5" s="622"/>
      <c r="AR5" s="622"/>
      <c r="AS5" s="622"/>
      <c r="AT5" s="622"/>
      <c r="AU5" s="683"/>
      <c r="AV5" s="622"/>
      <c r="AW5" s="683"/>
      <c r="AX5" s="622"/>
      <c r="AY5" s="683"/>
      <c r="AZ5" s="622"/>
      <c r="BA5" s="622"/>
      <c r="BB5" s="622"/>
      <c r="BC5" s="622"/>
      <c r="BD5" s="622"/>
      <c r="BE5" s="683"/>
      <c r="BF5" s="622"/>
      <c r="BG5" s="1726"/>
      <c r="BH5" s="1726"/>
      <c r="BI5" s="1726"/>
      <c r="BJ5" s="1726"/>
      <c r="BK5" s="1726"/>
      <c r="BL5" s="1726"/>
      <c r="BM5" s="1726"/>
      <c r="BN5" s="1726"/>
      <c r="BO5" s="1726"/>
      <c r="BP5" s="1726"/>
      <c r="BQ5" s="1726"/>
      <c r="BR5" s="1726"/>
      <c r="BS5" s="1726"/>
      <c r="BT5" s="1726"/>
      <c r="BU5" s="1726"/>
      <c r="BV5" s="1726"/>
      <c r="BW5" s="1726"/>
      <c r="BX5" s="1726"/>
      <c r="BY5" s="1726"/>
      <c r="BZ5" s="1726"/>
      <c r="CA5" s="1726"/>
      <c r="CB5" s="1726"/>
      <c r="CC5" s="1726"/>
    </row>
    <row r="6" spans="2:81" s="334" customFormat="1" ht="18.75" x14ac:dyDescent="0.25">
      <c r="B6" s="897" t="s">
        <v>123</v>
      </c>
      <c r="C6" s="849"/>
      <c r="D6" s="2057"/>
      <c r="E6" s="849"/>
      <c r="F6" s="849"/>
      <c r="G6" s="849"/>
      <c r="H6" s="849"/>
      <c r="I6" s="849"/>
      <c r="J6" s="849"/>
      <c r="K6" s="849"/>
      <c r="L6" s="849"/>
      <c r="M6" s="849"/>
      <c r="N6" s="849"/>
      <c r="O6" s="849"/>
      <c r="P6" s="849"/>
      <c r="Q6" s="849"/>
      <c r="R6" s="849"/>
      <c r="S6" s="849"/>
      <c r="T6" s="849"/>
      <c r="U6" s="849"/>
      <c r="V6" s="849"/>
      <c r="W6" s="849"/>
      <c r="X6" s="849"/>
      <c r="Y6" s="849"/>
      <c r="Z6" s="849"/>
      <c r="AA6" s="849"/>
      <c r="AB6" s="849"/>
      <c r="AC6" s="849"/>
      <c r="AD6" s="849"/>
      <c r="AE6" s="849"/>
      <c r="AF6" s="849"/>
      <c r="AG6" s="849"/>
      <c r="AH6" s="849"/>
      <c r="AI6" s="849"/>
      <c r="AJ6" s="849"/>
      <c r="AK6" s="849"/>
      <c r="AL6" s="849"/>
      <c r="AM6" s="849"/>
      <c r="AN6" s="849"/>
      <c r="AO6" s="849"/>
      <c r="AP6" s="849"/>
      <c r="AQ6" s="849"/>
      <c r="AR6" s="849"/>
      <c r="AS6" s="849"/>
      <c r="AT6" s="849"/>
      <c r="AU6" s="847"/>
      <c r="AV6" s="849"/>
      <c r="AW6" s="847"/>
      <c r="AX6" s="849"/>
      <c r="AY6" s="847"/>
      <c r="AZ6" s="849"/>
      <c r="BA6" s="849"/>
      <c r="BB6" s="849"/>
      <c r="BC6" s="849"/>
      <c r="BD6" s="849"/>
      <c r="BE6" s="847"/>
      <c r="BF6" s="849"/>
      <c r="BG6" s="1726"/>
      <c r="BH6" s="1726"/>
      <c r="BI6" s="1726"/>
      <c r="BJ6" s="1726"/>
      <c r="BK6" s="1726"/>
      <c r="BL6" s="1726"/>
      <c r="BM6" s="1726"/>
      <c r="BN6" s="1726"/>
      <c r="BO6" s="1726"/>
      <c r="BP6" s="1726"/>
      <c r="BQ6" s="1726"/>
      <c r="BR6" s="1726"/>
      <c r="BS6" s="1726"/>
      <c r="BT6" s="1726"/>
      <c r="BU6" s="1726"/>
      <c r="BV6" s="1726"/>
      <c r="BW6" s="1726"/>
      <c r="BX6" s="1726"/>
      <c r="BY6" s="1726"/>
      <c r="BZ6" s="1726"/>
      <c r="CA6" s="1726"/>
      <c r="CB6" s="1726"/>
      <c r="CC6" s="1726"/>
    </row>
    <row r="7" spans="2:81" ht="20.25" x14ac:dyDescent="0.25">
      <c r="B7" s="597" t="s">
        <v>633</v>
      </c>
      <c r="C7" s="2058" t="s">
        <v>53</v>
      </c>
      <c r="D7" s="2059"/>
      <c r="E7" s="3933">
        <v>0</v>
      </c>
      <c r="F7" s="508"/>
      <c r="G7" s="4358">
        <v>500</v>
      </c>
      <c r="H7" s="508"/>
      <c r="I7" s="2060">
        <f>+E7+G7</f>
        <v>500</v>
      </c>
      <c r="J7" s="517">
        <f>+F7+H7</f>
        <v>0</v>
      </c>
      <c r="K7" s="3952">
        <v>0</v>
      </c>
      <c r="L7" s="508">
        <v>0</v>
      </c>
      <c r="M7" s="2061">
        <f>+I7+K7</f>
        <v>500</v>
      </c>
      <c r="N7" s="611">
        <f>+J7+L7</f>
        <v>0</v>
      </c>
      <c r="O7" s="3952">
        <v>0</v>
      </c>
      <c r="P7" s="508">
        <v>0</v>
      </c>
      <c r="Q7" s="2060">
        <f>+M7+O7</f>
        <v>500</v>
      </c>
      <c r="R7" s="517">
        <f>+N7+P7</f>
        <v>0</v>
      </c>
      <c r="S7" s="4357">
        <v>500</v>
      </c>
      <c r="T7" s="508">
        <v>0</v>
      </c>
      <c r="U7" s="2060">
        <f>+Q7+S7</f>
        <v>1000</v>
      </c>
      <c r="V7" s="517">
        <f>+R7+T7</f>
        <v>0</v>
      </c>
      <c r="W7" s="3952">
        <v>0</v>
      </c>
      <c r="X7" s="508"/>
      <c r="Y7" s="2061">
        <f>+O7+S7+W7</f>
        <v>500</v>
      </c>
      <c r="Z7" s="611">
        <f>+P7+T7+X7</f>
        <v>0</v>
      </c>
      <c r="AA7" s="2062">
        <f>+U7+W7</f>
        <v>1000</v>
      </c>
      <c r="AB7" s="1287">
        <f>+V7+X7</f>
        <v>0</v>
      </c>
      <c r="AC7" s="3952">
        <v>0</v>
      </c>
      <c r="AD7" s="508">
        <v>0</v>
      </c>
      <c r="AE7" s="2060">
        <f>+AA7+AC7</f>
        <v>1000</v>
      </c>
      <c r="AF7" s="517">
        <f>+AB7+AD7</f>
        <v>0</v>
      </c>
      <c r="AG7" s="3952">
        <v>0</v>
      </c>
      <c r="AH7" s="508">
        <v>0</v>
      </c>
      <c r="AI7" s="2060">
        <f>+AE7+AG7</f>
        <v>1000</v>
      </c>
      <c r="AJ7" s="517">
        <f>+AF7+AH7</f>
        <v>0</v>
      </c>
      <c r="AK7" s="3952">
        <v>0</v>
      </c>
      <c r="AL7" s="508">
        <v>0</v>
      </c>
      <c r="AM7" s="2061">
        <f>+AC7+AG7+AK7</f>
        <v>0</v>
      </c>
      <c r="AN7" s="611">
        <f>+AD7+AH7+AL7</f>
        <v>0</v>
      </c>
      <c r="AO7" s="2060">
        <f>+AI7+AK7</f>
        <v>1000</v>
      </c>
      <c r="AP7" s="517">
        <f>+AJ7+AL7</f>
        <v>0</v>
      </c>
      <c r="AQ7" s="3952">
        <v>0</v>
      </c>
      <c r="AR7" s="508">
        <v>0</v>
      </c>
      <c r="AS7" s="2060">
        <f>+AO7+AQ7</f>
        <v>1000</v>
      </c>
      <c r="AT7" s="517">
        <f>+AP7+AR7</f>
        <v>0</v>
      </c>
      <c r="AU7" s="4015">
        <v>0</v>
      </c>
      <c r="AV7" s="508">
        <v>0</v>
      </c>
      <c r="AW7" s="2060">
        <f>+AS7+AU7</f>
        <v>1000</v>
      </c>
      <c r="AX7" s="517">
        <f>+AT7+AV7</f>
        <v>0</v>
      </c>
      <c r="AY7" s="4145">
        <v>0</v>
      </c>
      <c r="AZ7" s="508">
        <v>64.400000000000006</v>
      </c>
      <c r="BA7" s="2061">
        <f>+AQ7+AU7+AY7</f>
        <v>0</v>
      </c>
      <c r="BB7" s="611">
        <f>+AR7+AV7+AZ7</f>
        <v>64.400000000000006</v>
      </c>
      <c r="BC7" s="2062">
        <f>+BA7+AM7</f>
        <v>0</v>
      </c>
      <c r="BD7" s="2062">
        <f>+BB7+AN7</f>
        <v>64.400000000000006</v>
      </c>
      <c r="BE7" s="2060">
        <f>+AW7+AY7</f>
        <v>1000</v>
      </c>
      <c r="BF7" s="2060">
        <f>+AX7+AZ7</f>
        <v>64.400000000000006</v>
      </c>
    </row>
    <row r="8" spans="2:81" ht="18.75" x14ac:dyDescent="0.25">
      <c r="B8" s="597" t="s">
        <v>78</v>
      </c>
      <c r="C8" s="2058" t="s">
        <v>53</v>
      </c>
      <c r="D8" s="2059"/>
      <c r="E8" s="5051">
        <f>+'Maj Despatch Summ'!E8</f>
        <v>33000</v>
      </c>
      <c r="F8" s="508">
        <v>28424.52</v>
      </c>
      <c r="G8" s="5032">
        <f>+'Maj Despatch Summ'!G8</f>
        <v>41000</v>
      </c>
      <c r="H8" s="508">
        <v>28146.99</v>
      </c>
      <c r="I8" s="5020">
        <f>+E8+G8</f>
        <v>74000</v>
      </c>
      <c r="J8" s="517">
        <f>+F8+H8</f>
        <v>56571.51</v>
      </c>
      <c r="K8" s="5032">
        <f>+'Maj Despatch Summ'!K8</f>
        <v>41500</v>
      </c>
      <c r="L8" s="508">
        <f>28771-127.26</f>
        <v>28643.74</v>
      </c>
      <c r="M8" s="5017">
        <f>+I8+K8</f>
        <v>115500</v>
      </c>
      <c r="N8" s="611">
        <f>+J8+L8</f>
        <v>85215.25</v>
      </c>
      <c r="O8" s="5032">
        <f>+'Maj Despatch Summ'!O8</f>
        <v>43500</v>
      </c>
      <c r="P8" s="508">
        <f>23711.76+127.26</f>
        <v>23839.019999999997</v>
      </c>
      <c r="Q8" s="5020">
        <f>+M8+O8</f>
        <v>159000</v>
      </c>
      <c r="R8" s="517">
        <f>+N8+P8</f>
        <v>109054.26999999999</v>
      </c>
      <c r="S8" s="5032">
        <f>+'Maj Despatch Summ'!S8</f>
        <v>43000</v>
      </c>
      <c r="T8" s="508">
        <v>37556.339999999997</v>
      </c>
      <c r="U8" s="5020">
        <f>+Q8+S8</f>
        <v>202000</v>
      </c>
      <c r="V8" s="517">
        <f>+R8+T8</f>
        <v>146610.60999999999</v>
      </c>
      <c r="W8" s="5032">
        <f>+'Maj Despatch Summ'!W8</f>
        <v>42000</v>
      </c>
      <c r="X8" s="508">
        <v>34889.25</v>
      </c>
      <c r="Y8" s="5017">
        <f>+O8+S8+W8</f>
        <v>128500</v>
      </c>
      <c r="Z8" s="611">
        <f t="shared" ref="Z8:Z10" si="0">+P8+T8+X8</f>
        <v>96284.609999999986</v>
      </c>
      <c r="AA8" s="4982">
        <f>+U8+W8</f>
        <v>244000</v>
      </c>
      <c r="AB8" s="1287">
        <f>+V8+X8</f>
        <v>181499.86</v>
      </c>
      <c r="AC8" s="5032">
        <f>+'Maj Despatch Summ'!AC8</f>
        <v>43500</v>
      </c>
      <c r="AD8" s="508">
        <v>36529.62999999999</v>
      </c>
      <c r="AE8" s="5020">
        <f>+AA8+AC8</f>
        <v>287500</v>
      </c>
      <c r="AF8" s="517">
        <f>+AB8+AD8</f>
        <v>218029.49</v>
      </c>
      <c r="AG8" s="5032">
        <f>+'Maj Despatch Summ'!AG8</f>
        <v>42000</v>
      </c>
      <c r="AH8" s="508">
        <v>29625.74</v>
      </c>
      <c r="AI8" s="5020">
        <f>+AE8+AG8</f>
        <v>329500</v>
      </c>
      <c r="AJ8" s="517">
        <f>+AF8+AH8</f>
        <v>247655.22999999998</v>
      </c>
      <c r="AK8" s="5032">
        <f>+'Maj Despatch Summ'!AK8</f>
        <v>43000</v>
      </c>
      <c r="AL8" s="508">
        <v>20724.86</v>
      </c>
      <c r="AM8" s="5017">
        <f>+AC8+AG8+AK8</f>
        <v>128500</v>
      </c>
      <c r="AN8" s="611">
        <f t="shared" ref="AN8:AN10" si="1">+AD8+AH8+AL8</f>
        <v>86880.23</v>
      </c>
      <c r="AO8" s="5020">
        <f>+AI8+AK8</f>
        <v>372500</v>
      </c>
      <c r="AP8" s="517">
        <f>+AJ8+AL8</f>
        <v>268380.08999999997</v>
      </c>
      <c r="AQ8" s="5032">
        <f>+'Maj Despatch Summ'!AQ8</f>
        <v>43500</v>
      </c>
      <c r="AR8" s="508">
        <v>34030.639999999999</v>
      </c>
      <c r="AS8" s="5020">
        <f>+AO8+AQ8</f>
        <v>416000</v>
      </c>
      <c r="AT8" s="517">
        <f>+AP8+AR8</f>
        <v>302410.73</v>
      </c>
      <c r="AU8" s="5032">
        <f>+'Maj Despatch Summ'!AU8</f>
        <v>39000</v>
      </c>
      <c r="AV8" s="508">
        <v>36294.61</v>
      </c>
      <c r="AW8" s="5020">
        <f>+AS8+AU8</f>
        <v>455000</v>
      </c>
      <c r="AX8" s="517">
        <f>+AT8+AV8</f>
        <v>338705.33999999997</v>
      </c>
      <c r="AY8" s="5032">
        <f>+'Maj Despatch Summ'!AY8</f>
        <v>43500</v>
      </c>
      <c r="AZ8" s="508">
        <v>39213.75</v>
      </c>
      <c r="BA8" s="5017">
        <f>+AQ8+AU8+AY8</f>
        <v>126000</v>
      </c>
      <c r="BB8" s="611">
        <f>+AR8+AV8+AZ8</f>
        <v>109539</v>
      </c>
      <c r="BC8" s="4982">
        <f>+BA8+AM8</f>
        <v>254500</v>
      </c>
      <c r="BD8" s="2062">
        <f t="shared" ref="BD8:BD10" si="2">+BB8+AN8</f>
        <v>196419.22999999998</v>
      </c>
      <c r="BE8" s="5020">
        <f>+AW8+AY8</f>
        <v>498500</v>
      </c>
      <c r="BF8" s="2060">
        <f t="shared" ref="BF8:BF10" si="3">+AX8+AZ8</f>
        <v>377919.08999999997</v>
      </c>
    </row>
    <row r="9" spans="2:81" ht="18.75" x14ac:dyDescent="0.25">
      <c r="B9" s="597" t="s">
        <v>157</v>
      </c>
      <c r="C9" s="2058" t="s">
        <v>53</v>
      </c>
      <c r="D9" s="3953"/>
      <c r="E9" s="5052"/>
      <c r="F9" s="508">
        <v>3672.82</v>
      </c>
      <c r="G9" s="5033"/>
      <c r="H9" s="508"/>
      <c r="I9" s="5021"/>
      <c r="J9" s="517">
        <f>+F9+H9</f>
        <v>3672.82</v>
      </c>
      <c r="K9" s="5033"/>
      <c r="L9" s="508">
        <v>4284.6999999999989</v>
      </c>
      <c r="M9" s="5018"/>
      <c r="N9" s="611">
        <f>+J9+L9</f>
        <v>7957.5199999999986</v>
      </c>
      <c r="O9" s="5033"/>
      <c r="P9" s="508">
        <v>7573.4</v>
      </c>
      <c r="Q9" s="5021"/>
      <c r="R9" s="517">
        <f>+N9+P9</f>
        <v>15530.919999999998</v>
      </c>
      <c r="S9" s="5033"/>
      <c r="T9" s="508">
        <v>3012.24</v>
      </c>
      <c r="U9" s="5021"/>
      <c r="V9" s="517">
        <f>+R9+T9</f>
        <v>18543.159999999996</v>
      </c>
      <c r="W9" s="5033"/>
      <c r="X9" s="508">
        <v>4386.72</v>
      </c>
      <c r="Y9" s="5018"/>
      <c r="Z9" s="611">
        <f t="shared" si="0"/>
        <v>14972.36</v>
      </c>
      <c r="AA9" s="4983"/>
      <c r="AB9" s="1287">
        <f>+V9+X9</f>
        <v>22929.879999999997</v>
      </c>
      <c r="AC9" s="5033"/>
      <c r="AD9" s="508">
        <v>4505.3800000000019</v>
      </c>
      <c r="AE9" s="5021"/>
      <c r="AF9" s="517">
        <f>+AB9+AD9</f>
        <v>27435.26</v>
      </c>
      <c r="AG9" s="5033"/>
      <c r="AH9" s="508">
        <v>5381.6499999999987</v>
      </c>
      <c r="AI9" s="5021"/>
      <c r="AJ9" s="517">
        <f>+AF9+AH9</f>
        <v>32816.909999999996</v>
      </c>
      <c r="AK9" s="5033"/>
      <c r="AL9" s="508">
        <v>5607.6</v>
      </c>
      <c r="AM9" s="5018"/>
      <c r="AN9" s="611">
        <f t="shared" si="1"/>
        <v>15494.630000000001</v>
      </c>
      <c r="AO9" s="5021"/>
      <c r="AP9" s="517">
        <f>+AJ9+AL9</f>
        <v>38424.509999999995</v>
      </c>
      <c r="AQ9" s="5033"/>
      <c r="AR9" s="508">
        <v>3388.7599999999998</v>
      </c>
      <c r="AS9" s="5021"/>
      <c r="AT9" s="517">
        <f>+AP9+AR9</f>
        <v>41813.269999999997</v>
      </c>
      <c r="AU9" s="5033"/>
      <c r="AV9" s="508">
        <v>7669.2199999999966</v>
      </c>
      <c r="AW9" s="5021"/>
      <c r="AX9" s="517">
        <f>+AT9+AV9</f>
        <v>49482.489999999991</v>
      </c>
      <c r="AY9" s="5033"/>
      <c r="AZ9" s="508">
        <v>8026.77</v>
      </c>
      <c r="BA9" s="5018"/>
      <c r="BB9" s="611">
        <f t="shared" ref="BB9" si="4">+AR9+AV9+AZ9</f>
        <v>19084.749999999996</v>
      </c>
      <c r="BC9" s="4983"/>
      <c r="BD9" s="2062">
        <f t="shared" si="2"/>
        <v>34579.379999999997</v>
      </c>
      <c r="BE9" s="5021"/>
      <c r="BF9" s="2060">
        <f t="shared" si="3"/>
        <v>57509.259999999995</v>
      </c>
      <c r="BH9" s="4090">
        <f>+BF9+BF16+BF22+BF29</f>
        <v>408982.46999999991</v>
      </c>
      <c r="BI9" s="4090">
        <f>+BF9+BF16+BF22</f>
        <v>63589.409999999996</v>
      </c>
    </row>
    <row r="10" spans="2:81" ht="19.5" thickBot="1" x14ac:dyDescent="0.3">
      <c r="B10" s="598" t="s">
        <v>79</v>
      </c>
      <c r="C10" s="2063" t="s">
        <v>53</v>
      </c>
      <c r="D10" s="3953"/>
      <c r="E10" s="5053"/>
      <c r="F10" s="509">
        <v>382.12</v>
      </c>
      <c r="G10" s="5034"/>
      <c r="H10" s="509">
        <v>1160.44</v>
      </c>
      <c r="I10" s="5022"/>
      <c r="J10" s="516">
        <f>+F10+H10</f>
        <v>1542.56</v>
      </c>
      <c r="K10" s="5034"/>
      <c r="L10" s="509">
        <v>3237.5499999999997</v>
      </c>
      <c r="M10" s="5019"/>
      <c r="N10" s="882">
        <f>+J10+L10</f>
        <v>4780.1099999999997</v>
      </c>
      <c r="O10" s="5034"/>
      <c r="P10" s="509">
        <v>7989.4</v>
      </c>
      <c r="Q10" s="5022"/>
      <c r="R10" s="516">
        <f>+N10+P10</f>
        <v>12769.509999999998</v>
      </c>
      <c r="S10" s="5034"/>
      <c r="T10" s="509">
        <v>1083.72</v>
      </c>
      <c r="U10" s="5022"/>
      <c r="V10" s="516">
        <f>+R10+T10</f>
        <v>13853.229999999998</v>
      </c>
      <c r="W10" s="5034"/>
      <c r="X10" s="509">
        <v>1010.9200000000001</v>
      </c>
      <c r="Y10" s="5019"/>
      <c r="Z10" s="611">
        <f t="shared" si="0"/>
        <v>10084.039999999999</v>
      </c>
      <c r="AA10" s="4984"/>
      <c r="AB10" s="1288">
        <f>+V10+X10</f>
        <v>14864.149999999998</v>
      </c>
      <c r="AC10" s="5034"/>
      <c r="AD10" s="509">
        <v>0</v>
      </c>
      <c r="AE10" s="5022"/>
      <c r="AF10" s="516">
        <f>+AB10+AD10</f>
        <v>14864.149999999998</v>
      </c>
      <c r="AG10" s="5034"/>
      <c r="AH10" s="509">
        <v>1692.2800000000002</v>
      </c>
      <c r="AI10" s="5022"/>
      <c r="AJ10" s="516">
        <f>+AF10+AH10</f>
        <v>16556.429999999997</v>
      </c>
      <c r="AK10" s="5034"/>
      <c r="AL10" s="509">
        <v>11115.86</v>
      </c>
      <c r="AM10" s="5019"/>
      <c r="AN10" s="611">
        <f t="shared" si="1"/>
        <v>12808.140000000001</v>
      </c>
      <c r="AO10" s="5022"/>
      <c r="AP10" s="516">
        <f>+AJ10+AL10</f>
        <v>27672.289999999997</v>
      </c>
      <c r="AQ10" s="5034"/>
      <c r="AR10" s="509">
        <v>4542.6800000000012</v>
      </c>
      <c r="AS10" s="5022"/>
      <c r="AT10" s="516">
        <f>+AP10+AR10</f>
        <v>32214.969999999998</v>
      </c>
      <c r="AU10" s="5034"/>
      <c r="AV10" s="509">
        <v>252.84</v>
      </c>
      <c r="AW10" s="5022"/>
      <c r="AX10" s="516">
        <f>+AT10+AV10</f>
        <v>32467.809999999998</v>
      </c>
      <c r="AY10" s="5034"/>
      <c r="AZ10" s="509">
        <v>57.11</v>
      </c>
      <c r="BA10" s="5019"/>
      <c r="BB10" s="611">
        <f>+AR10+AV10+AZ10</f>
        <v>4852.630000000001</v>
      </c>
      <c r="BC10" s="4984"/>
      <c r="BD10" s="2062">
        <f t="shared" si="2"/>
        <v>17660.770000000004</v>
      </c>
      <c r="BE10" s="5022"/>
      <c r="BF10" s="2060">
        <f t="shared" si="3"/>
        <v>32524.92</v>
      </c>
      <c r="BH10" s="1726">
        <f>+BH9/BF38</f>
        <v>0.18775695342002977</v>
      </c>
      <c r="BI10" s="1726">
        <f>+BI9/BH9</f>
        <v>0.15548199413045749</v>
      </c>
    </row>
    <row r="11" spans="2:81" ht="19.5" thickBot="1" x14ac:dyDescent="0.35">
      <c r="B11" s="599" t="s">
        <v>2</v>
      </c>
      <c r="C11" s="113" t="s">
        <v>53</v>
      </c>
      <c r="D11" s="2064">
        <v>500000</v>
      </c>
      <c r="E11" s="2065">
        <f>+E7+E8</f>
        <v>33000</v>
      </c>
      <c r="F11" s="323">
        <f t="shared" ref="F11:K11" si="5">SUM(F7:F10)</f>
        <v>32479.46</v>
      </c>
      <c r="G11" s="2066">
        <f>+G7+G8</f>
        <v>41500</v>
      </c>
      <c r="H11" s="323">
        <f t="shared" ref="H11" si="6">SUM(H7:H10)</f>
        <v>29307.43</v>
      </c>
      <c r="I11" s="3930">
        <f t="shared" si="5"/>
        <v>74500</v>
      </c>
      <c r="J11" s="472">
        <f t="shared" si="5"/>
        <v>61786.89</v>
      </c>
      <c r="K11" s="3929">
        <f t="shared" si="5"/>
        <v>41500</v>
      </c>
      <c r="L11" s="323">
        <f t="shared" ref="L11" si="7">SUM(L7:L10)</f>
        <v>36165.990000000005</v>
      </c>
      <c r="M11" s="3934">
        <f t="shared" ref="M11:N11" si="8">SUM(M7:M10)</f>
        <v>116000</v>
      </c>
      <c r="N11" s="883">
        <f t="shared" si="8"/>
        <v>97952.88</v>
      </c>
      <c r="O11" s="3929">
        <f t="shared" ref="O11" si="9">SUM(O7:O10)</f>
        <v>43500</v>
      </c>
      <c r="P11" s="323">
        <f t="shared" ref="P11" si="10">SUM(P7:P10)</f>
        <v>39401.82</v>
      </c>
      <c r="Q11" s="4198">
        <f t="shared" ref="Q11" si="11">SUM(Q7:Q10)</f>
        <v>159500</v>
      </c>
      <c r="R11" s="472">
        <f t="shared" ref="R11:T11" si="12">SUM(R7:R10)</f>
        <v>137354.69999999998</v>
      </c>
      <c r="S11" s="3929">
        <f t="shared" si="12"/>
        <v>43500</v>
      </c>
      <c r="T11" s="635">
        <f t="shared" si="12"/>
        <v>41652.299999999996</v>
      </c>
      <c r="U11" s="4198">
        <f t="shared" ref="U11" si="13">SUM(U7:U10)</f>
        <v>203000</v>
      </c>
      <c r="V11" s="472">
        <f t="shared" ref="V11:X11" si="14">SUM(V7:V10)</f>
        <v>179007</v>
      </c>
      <c r="W11" s="3929">
        <f t="shared" si="14"/>
        <v>42000</v>
      </c>
      <c r="X11" s="323">
        <f t="shared" si="14"/>
        <v>40286.89</v>
      </c>
      <c r="Y11" s="3934">
        <f t="shared" ref="Y11:AA11" si="15">SUM(Y7:Y10)</f>
        <v>129000</v>
      </c>
      <c r="Z11" s="883">
        <f t="shared" si="15"/>
        <v>121341.00999999998</v>
      </c>
      <c r="AA11" s="4197">
        <f t="shared" si="15"/>
        <v>245000</v>
      </c>
      <c r="AB11" s="1289">
        <f t="shared" ref="AB11:AN11" si="16">SUM(AB7:AB10)</f>
        <v>219293.88999999998</v>
      </c>
      <c r="AC11" s="3929">
        <f t="shared" si="16"/>
        <v>43500</v>
      </c>
      <c r="AD11" s="323">
        <f t="shared" si="16"/>
        <v>41035.009999999995</v>
      </c>
      <c r="AE11" s="4198">
        <f t="shared" ref="AE11" si="17">SUM(AE7:AE10)</f>
        <v>288500</v>
      </c>
      <c r="AF11" s="472">
        <f t="shared" ref="AF11" si="18">SUM(AF7:AF10)</f>
        <v>260328.9</v>
      </c>
      <c r="AG11" s="3929">
        <f t="shared" ref="AG11:AH11" si="19">SUM(AG7:AG10)</f>
        <v>42000</v>
      </c>
      <c r="AH11" s="323">
        <f t="shared" si="19"/>
        <v>36699.67</v>
      </c>
      <c r="AI11" s="4198">
        <f t="shared" ref="AI11" si="20">SUM(AI7:AI10)</f>
        <v>330500</v>
      </c>
      <c r="AJ11" s="472">
        <f t="shared" ref="AJ11" si="21">SUM(AJ7:AJ10)</f>
        <v>297028.56999999995</v>
      </c>
      <c r="AK11" s="3929">
        <f t="shared" ref="AK11:AL11" si="22">SUM(AK7:AK10)</f>
        <v>43000</v>
      </c>
      <c r="AL11" s="323">
        <f t="shared" si="22"/>
        <v>37448.32</v>
      </c>
      <c r="AM11" s="4200">
        <f t="shared" ref="AM11" si="23">SUM(AM7:AM10)</f>
        <v>128500</v>
      </c>
      <c r="AN11" s="883">
        <f t="shared" si="16"/>
        <v>115183</v>
      </c>
      <c r="AO11" s="4198">
        <f t="shared" ref="AO11" si="24">SUM(AO7:AO10)</f>
        <v>373500</v>
      </c>
      <c r="AP11" s="472">
        <f t="shared" ref="AP11" si="25">SUM(AP7:AP10)</f>
        <v>334476.88999999996</v>
      </c>
      <c r="AQ11" s="3929">
        <f t="shared" ref="AQ11:AR11" si="26">SUM(AQ7:AQ10)</f>
        <v>43500</v>
      </c>
      <c r="AR11" s="323">
        <f t="shared" si="26"/>
        <v>41962.080000000002</v>
      </c>
      <c r="AS11" s="4198">
        <f t="shared" ref="AS11" si="27">SUM(AS7:AS10)</f>
        <v>417000</v>
      </c>
      <c r="AT11" s="472">
        <f t="shared" ref="AT11" si="28">SUM(AT7:AT10)</f>
        <v>376438.97</v>
      </c>
      <c r="AU11" s="4005">
        <f t="shared" ref="AU11:AV11" si="29">SUM(AU7:AU10)</f>
        <v>39000</v>
      </c>
      <c r="AV11" s="323">
        <f t="shared" si="29"/>
        <v>44216.669999999991</v>
      </c>
      <c r="AW11" s="4198">
        <f t="shared" ref="AW11" si="30">SUM(AW7:AW10)</f>
        <v>456000</v>
      </c>
      <c r="AX11" s="472">
        <f t="shared" ref="AX11" si="31">SUM(AX7:AX10)</f>
        <v>420655.63999999996</v>
      </c>
      <c r="AY11" s="4132">
        <f t="shared" ref="AY11:AZ11" si="32">SUM(AY7:AY10)</f>
        <v>43500</v>
      </c>
      <c r="AZ11" s="323">
        <f t="shared" si="32"/>
        <v>47362.03</v>
      </c>
      <c r="BA11" s="4200">
        <f t="shared" ref="BA11:BC11" si="33">SUM(BA7:BA10)</f>
        <v>126000</v>
      </c>
      <c r="BB11" s="883">
        <f t="shared" ref="BB11:BD11" si="34">SUM(BB7:BB10)</f>
        <v>133540.78</v>
      </c>
      <c r="BC11" s="4202">
        <f t="shared" si="33"/>
        <v>254500</v>
      </c>
      <c r="BD11" s="1289">
        <f t="shared" si="34"/>
        <v>248723.77999999997</v>
      </c>
      <c r="BE11" s="4198">
        <f t="shared" ref="BE11" si="35">SUM(BE7:BE10)</f>
        <v>499500</v>
      </c>
      <c r="BF11" s="472">
        <f t="shared" ref="BF11" si="36">SUM(BF7:BF10)</f>
        <v>468017.67</v>
      </c>
    </row>
    <row r="12" spans="2:81" s="334" customFormat="1" ht="18.75" x14ac:dyDescent="0.3">
      <c r="B12" s="895" t="s">
        <v>101</v>
      </c>
      <c r="C12" s="892"/>
      <c r="D12" s="2067"/>
      <c r="E12" s="896"/>
      <c r="F12" s="896"/>
      <c r="G12" s="2068"/>
      <c r="H12" s="896"/>
      <c r="I12" s="896"/>
      <c r="J12" s="896"/>
      <c r="K12" s="896"/>
      <c r="L12" s="896"/>
      <c r="M12" s="896"/>
      <c r="N12" s="896"/>
      <c r="O12" s="896"/>
      <c r="P12" s="896"/>
      <c r="Q12" s="896"/>
      <c r="R12" s="896"/>
      <c r="S12" s="896"/>
      <c r="T12" s="896"/>
      <c r="U12" s="896"/>
      <c r="V12" s="896"/>
      <c r="W12" s="896"/>
      <c r="X12" s="896"/>
      <c r="Y12" s="896"/>
      <c r="Z12" s="896"/>
      <c r="AA12" s="896"/>
      <c r="AB12" s="896"/>
      <c r="AC12" s="896"/>
      <c r="AD12" s="896"/>
      <c r="AE12" s="896"/>
      <c r="AF12" s="896"/>
      <c r="AG12" s="896"/>
      <c r="AH12" s="896"/>
      <c r="AI12" s="896"/>
      <c r="AJ12" s="896"/>
      <c r="AK12" s="896"/>
      <c r="AL12" s="896"/>
      <c r="AM12" s="896"/>
      <c r="AN12" s="896"/>
      <c r="AO12" s="896"/>
      <c r="AP12" s="896"/>
      <c r="AQ12" s="896"/>
      <c r="AR12" s="896"/>
      <c r="AS12" s="896"/>
      <c r="AT12" s="896"/>
      <c r="AU12" s="896"/>
      <c r="AV12" s="896"/>
      <c r="AW12" s="896"/>
      <c r="AX12" s="896"/>
      <c r="AY12" s="896"/>
      <c r="AZ12" s="896"/>
      <c r="BA12" s="896"/>
      <c r="BB12" s="896"/>
      <c r="BC12" s="896"/>
      <c r="BD12" s="896"/>
      <c r="BE12" s="896"/>
      <c r="BF12" s="896"/>
    </row>
    <row r="13" spans="2:81" ht="18.75" x14ac:dyDescent="0.25">
      <c r="B13" s="597" t="s">
        <v>633</v>
      </c>
      <c r="C13" s="2058" t="s">
        <v>53</v>
      </c>
      <c r="D13" s="2059"/>
      <c r="E13" s="3933">
        <v>0</v>
      </c>
      <c r="F13" s="508">
        <v>0</v>
      </c>
      <c r="G13" s="3952">
        <v>0</v>
      </c>
      <c r="H13" s="508"/>
      <c r="I13" s="2060">
        <f>+E13+G13</f>
        <v>0</v>
      </c>
      <c r="J13" s="517">
        <f t="shared" ref="J13:J17" si="37">+F13+H13</f>
        <v>0</v>
      </c>
      <c r="K13" s="3952">
        <v>0</v>
      </c>
      <c r="L13" s="508">
        <v>0</v>
      </c>
      <c r="M13" s="2061">
        <f>+I13+K13</f>
        <v>0</v>
      </c>
      <c r="N13" s="611">
        <f t="shared" ref="N13:N17" si="38">+J13+L13</f>
        <v>0</v>
      </c>
      <c r="O13" s="3952">
        <v>0</v>
      </c>
      <c r="P13" s="508">
        <v>0</v>
      </c>
      <c r="Q13" s="2060">
        <f>+M13+O13</f>
        <v>0</v>
      </c>
      <c r="R13" s="517">
        <f t="shared" ref="R13:R17" si="39">+N13+P13</f>
        <v>0</v>
      </c>
      <c r="S13" s="3952">
        <v>0</v>
      </c>
      <c r="T13" s="508">
        <v>0</v>
      </c>
      <c r="U13" s="2060">
        <f>+Q13+S13</f>
        <v>0</v>
      </c>
      <c r="V13" s="517">
        <f t="shared" ref="V13:V17" si="40">+R13+T13</f>
        <v>0</v>
      </c>
      <c r="W13" s="3952">
        <v>0</v>
      </c>
      <c r="X13" s="508"/>
      <c r="Y13" s="2061">
        <f>O13+S13+W13</f>
        <v>0</v>
      </c>
      <c r="Z13" s="611">
        <f>P13+T13+X13</f>
        <v>0</v>
      </c>
      <c r="AA13" s="2062">
        <f>+W13+U13</f>
        <v>0</v>
      </c>
      <c r="AB13" s="1287">
        <f t="shared" ref="AB13:AB17" si="41">+V13+X13</f>
        <v>0</v>
      </c>
      <c r="AC13" s="3952">
        <v>0</v>
      </c>
      <c r="AD13" s="508"/>
      <c r="AE13" s="2060">
        <f>+AA13+AC13</f>
        <v>0</v>
      </c>
      <c r="AF13" s="517">
        <f t="shared" ref="AF13:AF17" si="42">+AB13+AD13</f>
        <v>0</v>
      </c>
      <c r="AG13" s="3952">
        <v>0</v>
      </c>
      <c r="AH13" s="508">
        <v>0</v>
      </c>
      <c r="AI13" s="2060">
        <f>+AE13+AG13</f>
        <v>0</v>
      </c>
      <c r="AJ13" s="517">
        <f t="shared" ref="AJ13:AJ17" si="43">+AF13+AH13</f>
        <v>0</v>
      </c>
      <c r="AK13" s="3952">
        <v>0</v>
      </c>
      <c r="AL13" s="508">
        <v>0</v>
      </c>
      <c r="AM13" s="2061">
        <f>+AC13+AG13+AK13</f>
        <v>0</v>
      </c>
      <c r="AN13" s="611">
        <f>AD13+AH13+AL13</f>
        <v>0</v>
      </c>
      <c r="AO13" s="2060">
        <f>+AI13+AK13</f>
        <v>0</v>
      </c>
      <c r="AP13" s="517">
        <f t="shared" ref="AP13:AP17" si="44">+AJ13+AL13</f>
        <v>0</v>
      </c>
      <c r="AQ13" s="3952">
        <v>0</v>
      </c>
      <c r="AR13" s="508">
        <v>0</v>
      </c>
      <c r="AS13" s="2060">
        <f>+AO13+AQ13</f>
        <v>0</v>
      </c>
      <c r="AT13" s="517">
        <f t="shared" ref="AT13:AT17" si="45">+AP13+AR13</f>
        <v>0</v>
      </c>
      <c r="AU13" s="4015">
        <v>0</v>
      </c>
      <c r="AV13" s="508">
        <v>0</v>
      </c>
      <c r="AW13" s="2060">
        <f>+AS13+AU13</f>
        <v>0</v>
      </c>
      <c r="AX13" s="517">
        <f t="shared" ref="AX13:AX17" si="46">+AT13+AV13</f>
        <v>0</v>
      </c>
      <c r="AY13" s="4145">
        <v>0</v>
      </c>
      <c r="AZ13" s="508">
        <v>0</v>
      </c>
      <c r="BA13" s="2061">
        <f>+AQ13+AU13+AY13</f>
        <v>0</v>
      </c>
      <c r="BB13" s="611">
        <f>AR13+AV13+AZ13</f>
        <v>0</v>
      </c>
      <c r="BC13" s="2062">
        <f>+BA13+AM13</f>
        <v>0</v>
      </c>
      <c r="BD13" s="2062">
        <f t="shared" ref="BD13:BD17" si="47">+BB13+AN13</f>
        <v>0</v>
      </c>
      <c r="BE13" s="2060">
        <f>+AW13+AY13</f>
        <v>0</v>
      </c>
      <c r="BF13" s="2060">
        <f>+AX13+AZ13</f>
        <v>0</v>
      </c>
    </row>
    <row r="14" spans="2:81" s="4658" customFormat="1" ht="18.75" x14ac:dyDescent="0.25">
      <c r="B14" s="597" t="s">
        <v>80</v>
      </c>
      <c r="C14" s="2058" t="s">
        <v>53</v>
      </c>
      <c r="D14" s="2059"/>
      <c r="E14" s="4657"/>
      <c r="F14" s="508">
        <v>0</v>
      </c>
      <c r="G14" s="4659">
        <v>0</v>
      </c>
      <c r="H14" s="508"/>
      <c r="I14" s="2060">
        <f>+E14+G14</f>
        <v>0</v>
      </c>
      <c r="J14" s="517">
        <f t="shared" ref="J14" si="48">+F14+H14</f>
        <v>0</v>
      </c>
      <c r="K14" s="4659">
        <v>0</v>
      </c>
      <c r="L14" s="508">
        <v>0</v>
      </c>
      <c r="M14" s="2061">
        <f>+I14+K14</f>
        <v>0</v>
      </c>
      <c r="N14" s="611">
        <f t="shared" ref="N14" si="49">+J14+L14</f>
        <v>0</v>
      </c>
      <c r="O14" s="4659">
        <v>0</v>
      </c>
      <c r="P14" s="508">
        <v>0</v>
      </c>
      <c r="Q14" s="2060">
        <f>+M14+O14</f>
        <v>0</v>
      </c>
      <c r="R14" s="517">
        <f t="shared" ref="R14" si="50">+N14+P14</f>
        <v>0</v>
      </c>
      <c r="S14" s="4659">
        <v>0</v>
      </c>
      <c r="T14" s="508">
        <v>0</v>
      </c>
      <c r="U14" s="2060">
        <f>+Q14+S14</f>
        <v>0</v>
      </c>
      <c r="V14" s="517">
        <f t="shared" ref="V14" si="51">+R14+T14</f>
        <v>0</v>
      </c>
      <c r="W14" s="4659">
        <v>0</v>
      </c>
      <c r="X14" s="508"/>
      <c r="Y14" s="2061">
        <f>O14+S14+W14</f>
        <v>0</v>
      </c>
      <c r="Z14" s="611">
        <f>P14+T14+X14</f>
        <v>0</v>
      </c>
      <c r="AA14" s="2062">
        <f>+W14+U14</f>
        <v>0</v>
      </c>
      <c r="AB14" s="1287">
        <f t="shared" ref="AB14" si="52">+V14+X14</f>
        <v>0</v>
      </c>
      <c r="AC14" s="4659">
        <v>0</v>
      </c>
      <c r="AD14" s="508"/>
      <c r="AE14" s="2060">
        <f>+AA14+AC14</f>
        <v>0</v>
      </c>
      <c r="AF14" s="517">
        <f t="shared" ref="AF14" si="53">+AB14+AD14</f>
        <v>0</v>
      </c>
      <c r="AG14" s="4659">
        <v>0</v>
      </c>
      <c r="AH14" s="508">
        <v>0</v>
      </c>
      <c r="AI14" s="2060">
        <f>+AE14+AG14</f>
        <v>0</v>
      </c>
      <c r="AJ14" s="517">
        <f t="shared" ref="AJ14" si="54">+AF14+AH14</f>
        <v>0</v>
      </c>
      <c r="AK14" s="4659">
        <v>0</v>
      </c>
      <c r="AL14" s="508">
        <v>0</v>
      </c>
      <c r="AM14" s="2061">
        <f>+AC14+AG14+AK14</f>
        <v>0</v>
      </c>
      <c r="AN14" s="611">
        <f>AD14+AH14+AL14</f>
        <v>0</v>
      </c>
      <c r="AO14" s="2060">
        <f>+AI14+AK14</f>
        <v>0</v>
      </c>
      <c r="AP14" s="517">
        <f t="shared" ref="AP14" si="55">+AJ14+AL14</f>
        <v>0</v>
      </c>
      <c r="AQ14" s="4659">
        <v>0</v>
      </c>
      <c r="AR14" s="508">
        <v>0</v>
      </c>
      <c r="AS14" s="2060">
        <f>+AO14+AQ14</f>
        <v>0</v>
      </c>
      <c r="AT14" s="517">
        <f t="shared" ref="AT14" si="56">+AP14+AR14</f>
        <v>0</v>
      </c>
      <c r="AU14" s="4659">
        <v>0</v>
      </c>
      <c r="AV14" s="508">
        <v>0</v>
      </c>
      <c r="AW14" s="2060">
        <f>+AS14+AU14</f>
        <v>0</v>
      </c>
      <c r="AX14" s="517">
        <f t="shared" ref="AX14" si="57">+AT14+AV14</f>
        <v>0</v>
      </c>
      <c r="AY14" s="4659">
        <v>0</v>
      </c>
      <c r="AZ14" s="508">
        <v>2768.5</v>
      </c>
      <c r="BA14" s="2061">
        <f>+AQ14+AU14+AY14</f>
        <v>0</v>
      </c>
      <c r="BB14" s="611">
        <f>AR14+AV14+AZ14</f>
        <v>2768.5</v>
      </c>
      <c r="BC14" s="2062">
        <f>+BA14+AM14</f>
        <v>0</v>
      </c>
      <c r="BD14" s="2062">
        <f t="shared" ref="BD14" si="58">+BB14+AN14</f>
        <v>2768.5</v>
      </c>
      <c r="BE14" s="2060">
        <f>+AW14+AY14</f>
        <v>0</v>
      </c>
      <c r="BF14" s="2060">
        <f>+AX14+AZ14</f>
        <v>2768.5</v>
      </c>
    </row>
    <row r="15" spans="2:81" ht="18.75" x14ac:dyDescent="0.25">
      <c r="B15" s="598" t="s">
        <v>78</v>
      </c>
      <c r="C15" s="2058" t="s">
        <v>53</v>
      </c>
      <c r="D15" s="2059"/>
      <c r="E15" s="5051">
        <f>+'Maj Despatch Summ'!E9</f>
        <v>44000</v>
      </c>
      <c r="F15" s="508">
        <v>12361.59</v>
      </c>
      <c r="G15" s="5032">
        <f>+'Maj Despatch Summ'!G9</f>
        <v>50000</v>
      </c>
      <c r="H15" s="508">
        <v>14640.02</v>
      </c>
      <c r="I15" s="5020">
        <f>+E15+G15</f>
        <v>94000</v>
      </c>
      <c r="J15" s="517">
        <f t="shared" si="37"/>
        <v>27001.61</v>
      </c>
      <c r="K15" s="5032">
        <f>+'Maj Despatch Summ'!K9</f>
        <v>65000</v>
      </c>
      <c r="L15" s="508">
        <v>9307.2500000000018</v>
      </c>
      <c r="M15" s="5017">
        <f>+I15+K15</f>
        <v>159000</v>
      </c>
      <c r="N15" s="611">
        <f t="shared" si="38"/>
        <v>36308.86</v>
      </c>
      <c r="O15" s="5032">
        <f>+'Maj Despatch Summ'!O9</f>
        <v>67000</v>
      </c>
      <c r="P15" s="508">
        <v>13238.339999999998</v>
      </c>
      <c r="Q15" s="5020">
        <f>+M15+O15</f>
        <v>226000</v>
      </c>
      <c r="R15" s="517">
        <f t="shared" si="39"/>
        <v>49547.199999999997</v>
      </c>
      <c r="S15" s="5032">
        <f>+'Maj Despatch Summ'!S9</f>
        <v>67000</v>
      </c>
      <c r="T15" s="508">
        <v>18296.66</v>
      </c>
      <c r="U15" s="5020">
        <f>+Q15+S15</f>
        <v>293000</v>
      </c>
      <c r="V15" s="517">
        <f t="shared" si="40"/>
        <v>67843.86</v>
      </c>
      <c r="W15" s="5032">
        <f>+'Maj Despatch Summ'!W9</f>
        <v>65000</v>
      </c>
      <c r="X15" s="508">
        <v>27021.35</v>
      </c>
      <c r="Y15" s="5017">
        <f>O15+S15+W15</f>
        <v>199000</v>
      </c>
      <c r="Z15" s="611">
        <f t="shared" ref="Z15:Z17" si="59">P15+T15+X15</f>
        <v>58556.35</v>
      </c>
      <c r="AA15" s="4982">
        <f>+W15+U15</f>
        <v>358000</v>
      </c>
      <c r="AB15" s="1287">
        <f t="shared" si="41"/>
        <v>94865.209999999992</v>
      </c>
      <c r="AC15" s="5032">
        <f>+'Maj Despatch Summ'!AC9</f>
        <v>67000</v>
      </c>
      <c r="AD15" s="508">
        <v>21841.990000000005</v>
      </c>
      <c r="AE15" s="5020">
        <f>+AA15+AC15</f>
        <v>425000</v>
      </c>
      <c r="AF15" s="517">
        <f t="shared" si="42"/>
        <v>116707.2</v>
      </c>
      <c r="AG15" s="5032">
        <f>+'Maj Despatch Summ'!AG9</f>
        <v>65000</v>
      </c>
      <c r="AH15" s="508">
        <v>9040.9699999999993</v>
      </c>
      <c r="AI15" s="5020">
        <f>+AE15+AG15</f>
        <v>490000</v>
      </c>
      <c r="AJ15" s="517">
        <f t="shared" si="43"/>
        <v>125748.17</v>
      </c>
      <c r="AK15" s="5032">
        <f>+'Maj Despatch Summ'!AK9</f>
        <v>67000</v>
      </c>
      <c r="AL15" s="508">
        <v>9982.489999999998</v>
      </c>
      <c r="AM15" s="5017">
        <f>+AC15+AG15+AK15</f>
        <v>199000</v>
      </c>
      <c r="AN15" s="611">
        <f t="shared" ref="AN15:AN17" si="60">AD15+AH15+AL15</f>
        <v>40865.450000000004</v>
      </c>
      <c r="AO15" s="5020">
        <f>+AI15+AK15</f>
        <v>557000</v>
      </c>
      <c r="AP15" s="517">
        <f t="shared" si="44"/>
        <v>135730.66</v>
      </c>
      <c r="AQ15" s="5032">
        <f>+'Maj Despatch Summ'!AQ9</f>
        <v>67000</v>
      </c>
      <c r="AR15" s="508">
        <v>22670.350000000002</v>
      </c>
      <c r="AS15" s="5020">
        <f>+AO15+AQ15</f>
        <v>624000</v>
      </c>
      <c r="AT15" s="517">
        <f t="shared" si="45"/>
        <v>158401.01</v>
      </c>
      <c r="AU15" s="5032">
        <f>+'Maj Despatch Summ'!AU9</f>
        <v>59000</v>
      </c>
      <c r="AV15" s="508">
        <v>21556.160000000003</v>
      </c>
      <c r="AW15" s="5020">
        <f>+AS15+AU15</f>
        <v>683000</v>
      </c>
      <c r="AX15" s="517">
        <f t="shared" si="46"/>
        <v>179957.17</v>
      </c>
      <c r="AY15" s="5032">
        <f>+'Maj Despatch Summ'!AY9</f>
        <v>67000</v>
      </c>
      <c r="AZ15" s="508">
        <v>39241.53</v>
      </c>
      <c r="BA15" s="5017">
        <f>+AQ15+AU15+AY15</f>
        <v>193000</v>
      </c>
      <c r="BB15" s="611">
        <f t="shared" ref="BB15:BB17" si="61">AR15+AV15+AZ15</f>
        <v>83468.040000000008</v>
      </c>
      <c r="BC15" s="4982">
        <f>+BA15+AM15</f>
        <v>392000</v>
      </c>
      <c r="BD15" s="2062">
        <f t="shared" si="47"/>
        <v>124333.49000000002</v>
      </c>
      <c r="BE15" s="5020">
        <f>+AY15+AW15</f>
        <v>750000</v>
      </c>
      <c r="BF15" s="2060">
        <f t="shared" ref="BF15:BF17" si="62">+AX15+AZ15</f>
        <v>219198.7</v>
      </c>
    </row>
    <row r="16" spans="2:81" ht="18.75" x14ac:dyDescent="0.25">
      <c r="B16" s="597" t="s">
        <v>157</v>
      </c>
      <c r="C16" s="2058" t="s">
        <v>53</v>
      </c>
      <c r="D16" s="3953"/>
      <c r="E16" s="5052"/>
      <c r="F16" s="509">
        <v>0</v>
      </c>
      <c r="G16" s="5033"/>
      <c r="H16" s="509"/>
      <c r="I16" s="5021"/>
      <c r="J16" s="517">
        <f t="shared" si="37"/>
        <v>0</v>
      </c>
      <c r="K16" s="5033"/>
      <c r="L16" s="509">
        <v>0</v>
      </c>
      <c r="M16" s="5018"/>
      <c r="N16" s="611">
        <f t="shared" si="38"/>
        <v>0</v>
      </c>
      <c r="O16" s="5033"/>
      <c r="P16" s="509">
        <v>0</v>
      </c>
      <c r="Q16" s="5021"/>
      <c r="R16" s="517">
        <f t="shared" si="39"/>
        <v>0</v>
      </c>
      <c r="S16" s="5033"/>
      <c r="T16" s="509">
        <v>0</v>
      </c>
      <c r="U16" s="5021"/>
      <c r="V16" s="517">
        <f t="shared" si="40"/>
        <v>0</v>
      </c>
      <c r="W16" s="5033"/>
      <c r="X16" s="509">
        <v>0</v>
      </c>
      <c r="Y16" s="5018"/>
      <c r="Z16" s="611">
        <f t="shared" si="59"/>
        <v>0</v>
      </c>
      <c r="AA16" s="4983"/>
      <c r="AB16" s="1287">
        <f t="shared" si="41"/>
        <v>0</v>
      </c>
      <c r="AC16" s="5033"/>
      <c r="AD16" s="509">
        <v>0</v>
      </c>
      <c r="AE16" s="5021"/>
      <c r="AF16" s="517">
        <f t="shared" si="42"/>
        <v>0</v>
      </c>
      <c r="AG16" s="5033"/>
      <c r="AH16" s="509">
        <v>0</v>
      </c>
      <c r="AI16" s="5021"/>
      <c r="AJ16" s="517">
        <f t="shared" si="43"/>
        <v>0</v>
      </c>
      <c r="AK16" s="5033"/>
      <c r="AL16" s="509">
        <v>1812.3500000000004</v>
      </c>
      <c r="AM16" s="5018"/>
      <c r="AN16" s="611">
        <f t="shared" si="60"/>
        <v>1812.3500000000004</v>
      </c>
      <c r="AO16" s="5021"/>
      <c r="AP16" s="517">
        <f t="shared" si="44"/>
        <v>1812.3500000000004</v>
      </c>
      <c r="AQ16" s="5033"/>
      <c r="AR16" s="509">
        <v>976.86999999999989</v>
      </c>
      <c r="AS16" s="5021"/>
      <c r="AT16" s="517">
        <f t="shared" si="45"/>
        <v>2789.2200000000003</v>
      </c>
      <c r="AU16" s="5033"/>
      <c r="AV16" s="509">
        <v>0</v>
      </c>
      <c r="AW16" s="5021"/>
      <c r="AX16" s="517">
        <f t="shared" si="46"/>
        <v>2789.2200000000003</v>
      </c>
      <c r="AY16" s="5033"/>
      <c r="AZ16" s="509">
        <v>0</v>
      </c>
      <c r="BA16" s="5018"/>
      <c r="BB16" s="611">
        <f t="shared" si="61"/>
        <v>976.86999999999989</v>
      </c>
      <c r="BC16" s="4983"/>
      <c r="BD16" s="2062">
        <f t="shared" si="47"/>
        <v>2789.2200000000003</v>
      </c>
      <c r="BE16" s="5021"/>
      <c r="BF16" s="2060">
        <f t="shared" si="62"/>
        <v>2789.2200000000003</v>
      </c>
    </row>
    <row r="17" spans="1:61" ht="19.5" thickBot="1" x14ac:dyDescent="0.3">
      <c r="B17" s="598" t="s">
        <v>79</v>
      </c>
      <c r="C17" s="2063" t="s">
        <v>53</v>
      </c>
      <c r="D17" s="3953"/>
      <c r="E17" s="5053"/>
      <c r="F17" s="509">
        <v>22715.05</v>
      </c>
      <c r="G17" s="5034"/>
      <c r="H17" s="509">
        <v>19946.740000000002</v>
      </c>
      <c r="I17" s="5022"/>
      <c r="J17" s="600">
        <f t="shared" si="37"/>
        <v>42661.79</v>
      </c>
      <c r="K17" s="5034"/>
      <c r="L17" s="509">
        <v>42361.17</v>
      </c>
      <c r="M17" s="5019"/>
      <c r="N17" s="627">
        <f t="shared" si="38"/>
        <v>85022.959999999992</v>
      </c>
      <c r="O17" s="5034"/>
      <c r="P17" s="509">
        <v>40663.590000000004</v>
      </c>
      <c r="Q17" s="5022"/>
      <c r="R17" s="600">
        <f t="shared" si="39"/>
        <v>125686.54999999999</v>
      </c>
      <c r="S17" s="5034"/>
      <c r="T17" s="509">
        <v>32513.19</v>
      </c>
      <c r="U17" s="5022"/>
      <c r="V17" s="600">
        <f t="shared" si="40"/>
        <v>158199.74</v>
      </c>
      <c r="W17" s="5034"/>
      <c r="X17" s="509">
        <v>27206.519999999997</v>
      </c>
      <c r="Y17" s="5019"/>
      <c r="Z17" s="611">
        <f t="shared" si="59"/>
        <v>100383.29999999999</v>
      </c>
      <c r="AA17" s="4984"/>
      <c r="AB17" s="1290">
        <f t="shared" si="41"/>
        <v>185406.25999999998</v>
      </c>
      <c r="AC17" s="5034"/>
      <c r="AD17" s="509">
        <v>37082.319999999992</v>
      </c>
      <c r="AE17" s="5022"/>
      <c r="AF17" s="600">
        <f t="shared" si="42"/>
        <v>222488.57999999996</v>
      </c>
      <c r="AG17" s="5034"/>
      <c r="AH17" s="509">
        <v>40324.1</v>
      </c>
      <c r="AI17" s="5022"/>
      <c r="AJ17" s="600">
        <f t="shared" si="43"/>
        <v>262812.67999999993</v>
      </c>
      <c r="AK17" s="5034"/>
      <c r="AL17" s="509">
        <v>63709.35</v>
      </c>
      <c r="AM17" s="5019"/>
      <c r="AN17" s="611">
        <f t="shared" si="60"/>
        <v>141115.76999999999</v>
      </c>
      <c r="AO17" s="5022"/>
      <c r="AP17" s="600">
        <f t="shared" si="44"/>
        <v>326522.02999999991</v>
      </c>
      <c r="AQ17" s="5034"/>
      <c r="AR17" s="509">
        <v>43011.099999999977</v>
      </c>
      <c r="AS17" s="5022"/>
      <c r="AT17" s="600">
        <f t="shared" si="45"/>
        <v>369533.12999999989</v>
      </c>
      <c r="AU17" s="5034"/>
      <c r="AV17" s="509">
        <v>25345.369999999995</v>
      </c>
      <c r="AW17" s="5022"/>
      <c r="AX17" s="600">
        <f t="shared" si="46"/>
        <v>394878.49999999988</v>
      </c>
      <c r="AY17" s="5034"/>
      <c r="AZ17" s="509">
        <v>31895.420000000002</v>
      </c>
      <c r="BA17" s="5019"/>
      <c r="BB17" s="611">
        <f t="shared" si="61"/>
        <v>100251.88999999997</v>
      </c>
      <c r="BC17" s="4984"/>
      <c r="BD17" s="2062">
        <f t="shared" si="47"/>
        <v>241367.65999999997</v>
      </c>
      <c r="BE17" s="5022"/>
      <c r="BF17" s="2060">
        <f t="shared" si="62"/>
        <v>426773.91999999987</v>
      </c>
    </row>
    <row r="18" spans="1:61" ht="19.5" thickBot="1" x14ac:dyDescent="0.35">
      <c r="B18" s="599" t="s">
        <v>2</v>
      </c>
      <c r="C18" s="113" t="s">
        <v>53</v>
      </c>
      <c r="D18" s="2064">
        <v>750000</v>
      </c>
      <c r="E18" s="2004">
        <f>+E13+E15</f>
        <v>44000</v>
      </c>
      <c r="F18" s="323">
        <f t="shared" ref="F18:K18" si="63">SUM(F13:F17)</f>
        <v>35076.639999999999</v>
      </c>
      <c r="G18" s="2069">
        <f>+G13+G15</f>
        <v>50000</v>
      </c>
      <c r="H18" s="323">
        <f t="shared" ref="H18" si="64">SUM(H13:H17)</f>
        <v>34586.76</v>
      </c>
      <c r="I18" s="3920">
        <f t="shared" si="63"/>
        <v>94000</v>
      </c>
      <c r="J18" s="515">
        <f t="shared" si="63"/>
        <v>69663.399999999994</v>
      </c>
      <c r="K18" s="3929">
        <f t="shared" si="63"/>
        <v>65000</v>
      </c>
      <c r="L18" s="323">
        <f t="shared" ref="L18" si="65">SUM(L13:L17)</f>
        <v>51668.42</v>
      </c>
      <c r="M18" s="3937">
        <f t="shared" ref="M18:N18" si="66">SUM(M13:M17)</f>
        <v>159000</v>
      </c>
      <c r="N18" s="884">
        <f t="shared" si="66"/>
        <v>121331.81999999999</v>
      </c>
      <c r="O18" s="3929">
        <f t="shared" ref="O18" si="67">SUM(O13:O17)</f>
        <v>67000</v>
      </c>
      <c r="P18" s="323">
        <f t="shared" ref="P18:Q18" si="68">SUM(P13:P17)</f>
        <v>53901.93</v>
      </c>
      <c r="Q18" s="4195">
        <f t="shared" si="68"/>
        <v>226000</v>
      </c>
      <c r="R18" s="515">
        <f t="shared" ref="R18:U18" si="69">SUM(R13:R17)</f>
        <v>175233.75</v>
      </c>
      <c r="S18" s="3929">
        <f t="shared" si="69"/>
        <v>67000</v>
      </c>
      <c r="T18" s="323">
        <f t="shared" si="69"/>
        <v>50809.85</v>
      </c>
      <c r="U18" s="4195">
        <f t="shared" si="69"/>
        <v>293000</v>
      </c>
      <c r="V18" s="515">
        <f t="shared" ref="V18:X18" si="70">SUM(V13:V17)</f>
        <v>226043.59999999998</v>
      </c>
      <c r="W18" s="3929">
        <f t="shared" si="70"/>
        <v>65000</v>
      </c>
      <c r="X18" s="323">
        <f t="shared" si="70"/>
        <v>54227.869999999995</v>
      </c>
      <c r="Y18" s="3937">
        <f t="shared" ref="Y18:AA18" si="71">SUM(Y13:Y17)</f>
        <v>199000</v>
      </c>
      <c r="Z18" s="884">
        <f t="shared" si="71"/>
        <v>158939.65</v>
      </c>
      <c r="AA18" s="4197">
        <f t="shared" si="71"/>
        <v>358000</v>
      </c>
      <c r="AB18" s="1291">
        <f t="shared" ref="AB18:AO18" si="72">SUM(AB13:AB17)</f>
        <v>280271.46999999997</v>
      </c>
      <c r="AC18" s="3929">
        <f t="shared" si="72"/>
        <v>67000</v>
      </c>
      <c r="AD18" s="323">
        <f t="shared" si="72"/>
        <v>58924.31</v>
      </c>
      <c r="AE18" s="4195">
        <f t="shared" si="72"/>
        <v>425000</v>
      </c>
      <c r="AF18" s="515">
        <f t="shared" si="72"/>
        <v>339195.77999999997</v>
      </c>
      <c r="AG18" s="3929">
        <f t="shared" ref="AG18:AJ18" si="73">SUM(AG13:AG17)</f>
        <v>65000</v>
      </c>
      <c r="AH18" s="323">
        <f t="shared" si="73"/>
        <v>49365.07</v>
      </c>
      <c r="AI18" s="4195">
        <f t="shared" si="73"/>
        <v>490000</v>
      </c>
      <c r="AJ18" s="515">
        <f t="shared" si="73"/>
        <v>388560.84999999992</v>
      </c>
      <c r="AK18" s="3929">
        <f t="shared" ref="AK18:AM18" si="74">SUM(AK13:AK17)</f>
        <v>67000</v>
      </c>
      <c r="AL18" s="323">
        <f t="shared" si="74"/>
        <v>75504.19</v>
      </c>
      <c r="AM18" s="4199">
        <f t="shared" si="74"/>
        <v>199000</v>
      </c>
      <c r="AN18" s="884">
        <f t="shared" si="72"/>
        <v>183793.57</v>
      </c>
      <c r="AO18" s="4195">
        <f t="shared" si="72"/>
        <v>557000</v>
      </c>
      <c r="AP18" s="515">
        <f t="shared" ref="AP18" si="75">SUM(AP13:AP17)</f>
        <v>464065.03999999992</v>
      </c>
      <c r="AQ18" s="3929">
        <f t="shared" ref="AQ18:AT18" si="76">SUM(AQ13:AQ17)</f>
        <v>67000</v>
      </c>
      <c r="AR18" s="323">
        <f t="shared" si="76"/>
        <v>66658.319999999978</v>
      </c>
      <c r="AS18" s="4195">
        <f t="shared" si="76"/>
        <v>624000</v>
      </c>
      <c r="AT18" s="515">
        <f t="shared" si="76"/>
        <v>530723.35999999987</v>
      </c>
      <c r="AU18" s="4005">
        <f t="shared" ref="AU18:AX18" si="77">SUM(AU13:AU17)</f>
        <v>59000</v>
      </c>
      <c r="AV18" s="323">
        <f t="shared" si="77"/>
        <v>46901.53</v>
      </c>
      <c r="AW18" s="4195">
        <f t="shared" si="77"/>
        <v>683000</v>
      </c>
      <c r="AX18" s="515">
        <f t="shared" si="77"/>
        <v>577624.8899999999</v>
      </c>
      <c r="AY18" s="4132">
        <f t="shared" ref="AY18:BB18" si="78">SUM(AY13:AY17)</f>
        <v>67000</v>
      </c>
      <c r="AZ18" s="323">
        <f t="shared" si="78"/>
        <v>73905.45</v>
      </c>
      <c r="BA18" s="4199">
        <f t="shared" si="78"/>
        <v>193000</v>
      </c>
      <c r="BB18" s="884">
        <f t="shared" si="78"/>
        <v>187465.3</v>
      </c>
      <c r="BC18" s="4201">
        <f t="shared" ref="BC18:BD18" si="79">SUM(BC13:BC17)</f>
        <v>392000</v>
      </c>
      <c r="BD18" s="1291">
        <f t="shared" si="79"/>
        <v>371258.87</v>
      </c>
      <c r="BE18" s="4195">
        <f t="shared" ref="BE18:BF18" si="80">SUM(BE13:BE17)</f>
        <v>750000</v>
      </c>
      <c r="BF18" s="515">
        <f t="shared" si="80"/>
        <v>651530.33999999985</v>
      </c>
    </row>
    <row r="19" spans="1:61" s="334" customFormat="1" ht="18.75" x14ac:dyDescent="0.3">
      <c r="B19" s="895" t="s">
        <v>124</v>
      </c>
      <c r="C19" s="892"/>
      <c r="D19" s="2067"/>
      <c r="E19" s="896"/>
      <c r="F19" s="896"/>
      <c r="G19" s="2068"/>
      <c r="H19" s="896"/>
      <c r="I19" s="896"/>
      <c r="J19" s="896"/>
      <c r="K19" s="896"/>
      <c r="L19" s="896"/>
      <c r="M19" s="896"/>
      <c r="N19" s="896"/>
      <c r="O19" s="896"/>
      <c r="P19" s="896"/>
      <c r="Q19" s="896"/>
      <c r="R19" s="896"/>
      <c r="S19" s="896"/>
      <c r="T19" s="896"/>
      <c r="U19" s="896"/>
      <c r="V19" s="896"/>
      <c r="W19" s="896"/>
      <c r="X19" s="896"/>
      <c r="Y19" s="896"/>
      <c r="Z19" s="896"/>
      <c r="AA19" s="896"/>
      <c r="AB19" s="896"/>
      <c r="AC19" s="896"/>
      <c r="AD19" s="896"/>
      <c r="AE19" s="896"/>
      <c r="AF19" s="896"/>
      <c r="AG19" s="896"/>
      <c r="AH19" s="896"/>
      <c r="AI19" s="896"/>
      <c r="AJ19" s="896"/>
      <c r="AK19" s="896"/>
      <c r="AL19" s="896"/>
      <c r="AM19" s="896"/>
      <c r="AN19" s="896"/>
      <c r="AO19" s="896"/>
      <c r="AP19" s="896"/>
      <c r="AQ19" s="896"/>
      <c r="AR19" s="896"/>
      <c r="AS19" s="896"/>
      <c r="AT19" s="896"/>
      <c r="AU19" s="896"/>
      <c r="AV19" s="896"/>
      <c r="AW19" s="896"/>
      <c r="AX19" s="896"/>
      <c r="AY19" s="896"/>
      <c r="AZ19" s="896"/>
      <c r="BA19" s="896"/>
      <c r="BB19" s="896"/>
      <c r="BC19" s="896"/>
      <c r="BD19" s="896"/>
      <c r="BE19" s="896"/>
      <c r="BF19" s="896"/>
      <c r="BI19" s="1486">
        <f>+AL11+AL18+AL24</f>
        <v>141384.83000000002</v>
      </c>
    </row>
    <row r="20" spans="1:61" ht="18.75" x14ac:dyDescent="0.25">
      <c r="B20" s="597" t="s">
        <v>633</v>
      </c>
      <c r="C20" s="2058" t="s">
        <v>53</v>
      </c>
      <c r="D20" s="2070"/>
      <c r="E20" s="2071">
        <v>0</v>
      </c>
      <c r="F20" s="508"/>
      <c r="G20" s="2072">
        <v>0</v>
      </c>
      <c r="H20" s="508"/>
      <c r="I20" s="2060">
        <f>+E20+G20</f>
        <v>0</v>
      </c>
      <c r="J20" s="517">
        <f t="shared" ref="J20:J23" si="81">+F20+H20</f>
        <v>0</v>
      </c>
      <c r="K20" s="3952">
        <v>500</v>
      </c>
      <c r="L20" s="508">
        <v>0</v>
      </c>
      <c r="M20" s="2061">
        <f>+I20+K20</f>
        <v>500</v>
      </c>
      <c r="N20" s="611">
        <f t="shared" ref="N20:N23" si="82">+J20+L20</f>
        <v>0</v>
      </c>
      <c r="O20" s="3952">
        <v>500</v>
      </c>
      <c r="P20" s="508">
        <v>0</v>
      </c>
      <c r="Q20" s="2060">
        <f>+M20+O20</f>
        <v>1000</v>
      </c>
      <c r="R20" s="517">
        <f t="shared" ref="R20:R23" si="83">+N20+P20</f>
        <v>0</v>
      </c>
      <c r="S20" s="3952">
        <v>500</v>
      </c>
      <c r="T20" s="508">
        <v>0</v>
      </c>
      <c r="U20" s="2060">
        <f>+Q20+S20</f>
        <v>1500</v>
      </c>
      <c r="V20" s="517">
        <f t="shared" ref="V20:V23" si="84">+R20+T20</f>
        <v>0</v>
      </c>
      <c r="W20" s="3952">
        <v>500</v>
      </c>
      <c r="X20" s="508"/>
      <c r="Y20" s="2061">
        <f>O20+S20+W20</f>
        <v>1500</v>
      </c>
      <c r="Z20" s="611">
        <f>P20+T20+X20</f>
        <v>0</v>
      </c>
      <c r="AA20" s="2062">
        <f>+U20+W20</f>
        <v>2000</v>
      </c>
      <c r="AB20" s="1287">
        <f t="shared" ref="AB20:AB23" si="85">+V20+X20</f>
        <v>0</v>
      </c>
      <c r="AC20" s="3952">
        <v>500</v>
      </c>
      <c r="AD20" s="508">
        <v>0</v>
      </c>
      <c r="AE20" s="2060">
        <f>+AA20+AC20</f>
        <v>2500</v>
      </c>
      <c r="AF20" s="517">
        <f t="shared" ref="AF20:AF23" si="86">+AB20+AD20</f>
        <v>0</v>
      </c>
      <c r="AG20" s="3952">
        <v>500</v>
      </c>
      <c r="AH20" s="508">
        <v>0</v>
      </c>
      <c r="AI20" s="2060">
        <f>+AE20+AG20</f>
        <v>3000</v>
      </c>
      <c r="AJ20" s="517">
        <f t="shared" ref="AJ20:AJ23" si="87">+AF20+AH20</f>
        <v>0</v>
      </c>
      <c r="AK20" s="3952">
        <v>500</v>
      </c>
      <c r="AL20" s="508">
        <v>0</v>
      </c>
      <c r="AM20" s="2061">
        <f>+AC20+AG20+AK20</f>
        <v>1500</v>
      </c>
      <c r="AN20" s="611">
        <f>AD20+AH20+AL20</f>
        <v>0</v>
      </c>
      <c r="AO20" s="2060">
        <f>+AI20+AK20</f>
        <v>3500</v>
      </c>
      <c r="AP20" s="517">
        <f t="shared" ref="AP20:AP23" si="88">+AJ20+AL20</f>
        <v>0</v>
      </c>
      <c r="AQ20" s="3952">
        <v>500</v>
      </c>
      <c r="AR20" s="508">
        <v>0</v>
      </c>
      <c r="AS20" s="2060">
        <f>+AO20+AQ20</f>
        <v>4000</v>
      </c>
      <c r="AT20" s="517">
        <f t="shared" ref="AT20:AT23" si="89">+AP20+AR20</f>
        <v>0</v>
      </c>
      <c r="AU20" s="4015">
        <v>500</v>
      </c>
      <c r="AV20" s="508">
        <v>0</v>
      </c>
      <c r="AW20" s="2060">
        <f>+AS20+AU20</f>
        <v>4500</v>
      </c>
      <c r="AX20" s="517">
        <f t="shared" ref="AX20:AX23" si="90">+AT20+AV20</f>
        <v>0</v>
      </c>
      <c r="AY20" s="4145">
        <v>500</v>
      </c>
      <c r="AZ20" s="508"/>
      <c r="BA20" s="2061">
        <f>+AQ20+AU20+AY20</f>
        <v>1500</v>
      </c>
      <c r="BB20" s="611">
        <f>AR20+AV20+AZ20</f>
        <v>0</v>
      </c>
      <c r="BC20" s="2062">
        <f>+AM20+BA20</f>
        <v>3000</v>
      </c>
      <c r="BD20" s="2062">
        <f t="shared" ref="BD20:BD23" si="91">+BB20+AN20</f>
        <v>0</v>
      </c>
      <c r="BE20" s="2060">
        <f>+AW20+AY20</f>
        <v>5000</v>
      </c>
      <c r="BF20" s="2060">
        <f>+AX20+AZ20</f>
        <v>0</v>
      </c>
    </row>
    <row r="21" spans="1:61" ht="18.75" x14ac:dyDescent="0.25">
      <c r="B21" s="598" t="s">
        <v>78</v>
      </c>
      <c r="C21" s="2058" t="s">
        <v>53</v>
      </c>
      <c r="D21" s="2059"/>
      <c r="E21" s="5051">
        <f>+'Maj Despatch Summ'!E10</f>
        <v>10000</v>
      </c>
      <c r="F21" s="508">
        <v>6532.41</v>
      </c>
      <c r="G21" s="5032">
        <f>+'Maj Despatch Summ'!G10</f>
        <v>0</v>
      </c>
      <c r="H21" s="508">
        <v>2276.5100000000002</v>
      </c>
      <c r="I21" s="5020">
        <f>+E21+G21</f>
        <v>10000</v>
      </c>
      <c r="J21" s="517">
        <f t="shared" si="81"/>
        <v>8808.92</v>
      </c>
      <c r="K21" s="5032">
        <f>+'Maj Despatch Summ'!K10</f>
        <v>39500</v>
      </c>
      <c r="L21" s="508">
        <v>6120.28</v>
      </c>
      <c r="M21" s="5017">
        <f>+I21+K21</f>
        <v>49500</v>
      </c>
      <c r="N21" s="611">
        <f t="shared" si="82"/>
        <v>14929.2</v>
      </c>
      <c r="O21" s="5032">
        <f>+'Maj Despatch Summ'!O10</f>
        <v>39500</v>
      </c>
      <c r="P21" s="508">
        <v>17484.73</v>
      </c>
      <c r="Q21" s="5020">
        <f>+M21+O21</f>
        <v>89000</v>
      </c>
      <c r="R21" s="517">
        <f t="shared" si="83"/>
        <v>32413.93</v>
      </c>
      <c r="S21" s="5032">
        <f>+'Maj Despatch Summ'!S10</f>
        <v>44500</v>
      </c>
      <c r="T21" s="508">
        <v>14892.36</v>
      </c>
      <c r="U21" s="5020">
        <f>+Q21+S21</f>
        <v>133500</v>
      </c>
      <c r="V21" s="517">
        <f t="shared" si="84"/>
        <v>47306.29</v>
      </c>
      <c r="W21" s="5032">
        <f>+'Maj Despatch Summ'!W10</f>
        <v>44500</v>
      </c>
      <c r="X21" s="508">
        <v>5633.4900000000016</v>
      </c>
      <c r="Y21" s="5017">
        <f>O21+S21+W21</f>
        <v>128500</v>
      </c>
      <c r="Z21" s="611">
        <f t="shared" ref="Z21:Z23" si="92">P21+T21+X21</f>
        <v>38010.58</v>
      </c>
      <c r="AA21" s="4982">
        <f>+W21+U21</f>
        <v>178000</v>
      </c>
      <c r="AB21" s="1287">
        <f t="shared" si="85"/>
        <v>52939.78</v>
      </c>
      <c r="AC21" s="5032">
        <f>+'Maj Despatch Summ'!AC10</f>
        <v>44500</v>
      </c>
      <c r="AD21" s="508">
        <v>18396.629999999997</v>
      </c>
      <c r="AE21" s="5020">
        <f>+AA21+AC21</f>
        <v>222500</v>
      </c>
      <c r="AF21" s="517">
        <f t="shared" si="86"/>
        <v>71336.41</v>
      </c>
      <c r="AG21" s="5032">
        <f>+'Maj Despatch Summ'!AG10</f>
        <v>44500</v>
      </c>
      <c r="AH21" s="508">
        <v>16770.800000000003</v>
      </c>
      <c r="AI21" s="5020">
        <f>+AE21+AG21</f>
        <v>267000</v>
      </c>
      <c r="AJ21" s="517">
        <f t="shared" si="87"/>
        <v>88107.21</v>
      </c>
      <c r="AK21" s="5032">
        <f>+'Maj Despatch Summ'!AK10</f>
        <v>44500</v>
      </c>
      <c r="AL21" s="508">
        <v>19011.210000000006</v>
      </c>
      <c r="AM21" s="5017">
        <f>+AC21+AG21+AK21</f>
        <v>133500</v>
      </c>
      <c r="AN21" s="611">
        <f t="shared" ref="AN21:AN23" si="93">AD21+AH21+AL21</f>
        <v>54178.640000000007</v>
      </c>
      <c r="AO21" s="5020">
        <f>+AI21+AK21</f>
        <v>311500</v>
      </c>
      <c r="AP21" s="517">
        <f t="shared" si="88"/>
        <v>107118.42000000001</v>
      </c>
      <c r="AQ21" s="5032">
        <f>+'Maj Despatch Summ'!AQ10</f>
        <v>44500</v>
      </c>
      <c r="AR21" s="508">
        <v>16516.43</v>
      </c>
      <c r="AS21" s="5020">
        <f>+AO21+AQ21</f>
        <v>356000</v>
      </c>
      <c r="AT21" s="517">
        <f t="shared" si="89"/>
        <v>123634.85</v>
      </c>
      <c r="AU21" s="5032">
        <f>+'Maj Despatch Summ'!AU10</f>
        <v>44500</v>
      </c>
      <c r="AV21" s="508">
        <v>18577.539999999997</v>
      </c>
      <c r="AW21" s="5020">
        <f>+AS21+AU21</f>
        <v>400500</v>
      </c>
      <c r="AX21" s="517">
        <f t="shared" si="90"/>
        <v>142212.39000000001</v>
      </c>
      <c r="AY21" s="5032">
        <f>+'Maj Despatch Summ'!AY10</f>
        <v>44500</v>
      </c>
      <c r="AZ21" s="508">
        <v>24226.83</v>
      </c>
      <c r="BA21" s="5017">
        <f>+AQ21+AU21+AY21</f>
        <v>133500</v>
      </c>
      <c r="BB21" s="611">
        <f t="shared" ref="BB21:BB23" si="94">AR21+AV21+AZ21</f>
        <v>59320.800000000003</v>
      </c>
      <c r="BC21" s="4982">
        <f>+BA21+AM21</f>
        <v>267000</v>
      </c>
      <c r="BD21" s="2062">
        <f t="shared" si="91"/>
        <v>113499.44</v>
      </c>
      <c r="BE21" s="5020">
        <f>+AW21+AY21</f>
        <v>445000</v>
      </c>
      <c r="BF21" s="2060">
        <f t="shared" ref="BF21:BF23" si="95">+AX21+AZ21</f>
        <v>166439.22000000003</v>
      </c>
    </row>
    <row r="22" spans="1:61" ht="18.75" x14ac:dyDescent="0.25">
      <c r="B22" s="597" t="s">
        <v>157</v>
      </c>
      <c r="C22" s="2058" t="s">
        <v>53</v>
      </c>
      <c r="D22" s="3953"/>
      <c r="E22" s="5052"/>
      <c r="F22" s="509"/>
      <c r="G22" s="5033"/>
      <c r="H22" s="509">
        <v>186.79</v>
      </c>
      <c r="I22" s="5021"/>
      <c r="J22" s="517">
        <f t="shared" si="81"/>
        <v>186.79</v>
      </c>
      <c r="K22" s="5033"/>
      <c r="L22" s="509">
        <v>62.650000000000006</v>
      </c>
      <c r="M22" s="5018"/>
      <c r="N22" s="611">
        <f t="shared" si="82"/>
        <v>249.44</v>
      </c>
      <c r="O22" s="5033"/>
      <c r="P22" s="509">
        <v>216.81000000000003</v>
      </c>
      <c r="Q22" s="5021"/>
      <c r="R22" s="517">
        <f t="shared" si="83"/>
        <v>466.25</v>
      </c>
      <c r="S22" s="5033"/>
      <c r="T22" s="509">
        <v>0</v>
      </c>
      <c r="U22" s="5021"/>
      <c r="V22" s="517">
        <f t="shared" si="84"/>
        <v>466.25</v>
      </c>
      <c r="W22" s="5033"/>
      <c r="X22" s="509">
        <v>860.78000000000009</v>
      </c>
      <c r="Y22" s="5018"/>
      <c r="Z22" s="611">
        <f t="shared" si="92"/>
        <v>1077.5900000000001</v>
      </c>
      <c r="AA22" s="4983"/>
      <c r="AB22" s="1287">
        <f t="shared" si="85"/>
        <v>1327.0300000000002</v>
      </c>
      <c r="AC22" s="5033"/>
      <c r="AD22" s="509">
        <v>99.509999999999991</v>
      </c>
      <c r="AE22" s="5021"/>
      <c r="AF22" s="517">
        <f t="shared" si="86"/>
        <v>1426.5400000000002</v>
      </c>
      <c r="AG22" s="5033"/>
      <c r="AH22" s="509">
        <v>127.61999999999999</v>
      </c>
      <c r="AI22" s="5021"/>
      <c r="AJ22" s="517">
        <f t="shared" si="87"/>
        <v>1554.16</v>
      </c>
      <c r="AK22" s="5033"/>
      <c r="AL22" s="509">
        <v>337.76</v>
      </c>
      <c r="AM22" s="5018"/>
      <c r="AN22" s="611">
        <f t="shared" si="93"/>
        <v>564.89</v>
      </c>
      <c r="AO22" s="5021"/>
      <c r="AP22" s="517">
        <f t="shared" si="88"/>
        <v>1891.92</v>
      </c>
      <c r="AQ22" s="5033"/>
      <c r="AR22" s="509">
        <v>244.61</v>
      </c>
      <c r="AS22" s="5021"/>
      <c r="AT22" s="517">
        <f t="shared" si="89"/>
        <v>2136.5300000000002</v>
      </c>
      <c r="AU22" s="5033"/>
      <c r="AV22" s="509">
        <v>794.71999999999991</v>
      </c>
      <c r="AW22" s="5021"/>
      <c r="AX22" s="517">
        <f t="shared" si="90"/>
        <v>2931.25</v>
      </c>
      <c r="AY22" s="5033"/>
      <c r="AZ22" s="509">
        <v>359.68000000000006</v>
      </c>
      <c r="BA22" s="5018"/>
      <c r="BB22" s="611">
        <f t="shared" si="94"/>
        <v>1399.01</v>
      </c>
      <c r="BC22" s="4983"/>
      <c r="BD22" s="2062">
        <f t="shared" si="91"/>
        <v>1963.9</v>
      </c>
      <c r="BE22" s="5021"/>
      <c r="BF22" s="2060">
        <f t="shared" si="95"/>
        <v>3290.9300000000003</v>
      </c>
    </row>
    <row r="23" spans="1:61" ht="19.5" thickBot="1" x14ac:dyDescent="0.3">
      <c r="B23" s="598" t="s">
        <v>79</v>
      </c>
      <c r="C23" s="2063" t="s">
        <v>53</v>
      </c>
      <c r="D23" s="3953"/>
      <c r="E23" s="5053"/>
      <c r="F23" s="509">
        <v>2533.9299999999998</v>
      </c>
      <c r="G23" s="5034"/>
      <c r="H23" s="509">
        <v>62.16</v>
      </c>
      <c r="I23" s="5022"/>
      <c r="J23" s="600">
        <f t="shared" si="81"/>
        <v>2596.0899999999997</v>
      </c>
      <c r="K23" s="5034"/>
      <c r="L23" s="509">
        <v>1568.2799999999997</v>
      </c>
      <c r="M23" s="5019"/>
      <c r="N23" s="627">
        <f t="shared" si="82"/>
        <v>4164.369999999999</v>
      </c>
      <c r="O23" s="5034"/>
      <c r="P23" s="509">
        <v>5031.3599999999997</v>
      </c>
      <c r="Q23" s="5022"/>
      <c r="R23" s="600">
        <f t="shared" si="83"/>
        <v>9195.73</v>
      </c>
      <c r="S23" s="5034"/>
      <c r="T23" s="509">
        <v>4124.46</v>
      </c>
      <c r="U23" s="5022"/>
      <c r="V23" s="600">
        <f t="shared" si="84"/>
        <v>13320.189999999999</v>
      </c>
      <c r="W23" s="5034"/>
      <c r="X23" s="509">
        <v>2777.4300000000003</v>
      </c>
      <c r="Y23" s="5019"/>
      <c r="Z23" s="611">
        <f t="shared" si="92"/>
        <v>11933.25</v>
      </c>
      <c r="AA23" s="4984"/>
      <c r="AB23" s="1290">
        <f t="shared" si="85"/>
        <v>16097.619999999999</v>
      </c>
      <c r="AC23" s="5034"/>
      <c r="AD23" s="509">
        <v>2824.9800000000005</v>
      </c>
      <c r="AE23" s="5022"/>
      <c r="AF23" s="600">
        <f t="shared" si="86"/>
        <v>18922.599999999999</v>
      </c>
      <c r="AG23" s="5034"/>
      <c r="AH23" s="509">
        <v>4243.8</v>
      </c>
      <c r="AI23" s="5022"/>
      <c r="AJ23" s="600">
        <f t="shared" si="87"/>
        <v>23166.399999999998</v>
      </c>
      <c r="AK23" s="5034"/>
      <c r="AL23" s="509">
        <v>9083.35</v>
      </c>
      <c r="AM23" s="5019"/>
      <c r="AN23" s="611">
        <f t="shared" si="93"/>
        <v>16152.130000000001</v>
      </c>
      <c r="AO23" s="5022"/>
      <c r="AP23" s="600">
        <f t="shared" si="88"/>
        <v>32249.75</v>
      </c>
      <c r="AQ23" s="5034"/>
      <c r="AR23" s="509">
        <v>4167.49</v>
      </c>
      <c r="AS23" s="5022"/>
      <c r="AT23" s="600">
        <f t="shared" si="89"/>
        <v>36417.24</v>
      </c>
      <c r="AU23" s="5034"/>
      <c r="AV23" s="509">
        <v>4231.7700000000004</v>
      </c>
      <c r="AW23" s="5022"/>
      <c r="AX23" s="600">
        <f t="shared" si="90"/>
        <v>40649.009999999995</v>
      </c>
      <c r="AY23" s="5034"/>
      <c r="AZ23" s="509">
        <v>3940.38</v>
      </c>
      <c r="BA23" s="5019"/>
      <c r="BB23" s="611">
        <f t="shared" si="94"/>
        <v>12339.64</v>
      </c>
      <c r="BC23" s="4984"/>
      <c r="BD23" s="2062">
        <f t="shared" si="91"/>
        <v>28491.77</v>
      </c>
      <c r="BE23" s="5022"/>
      <c r="BF23" s="2060">
        <f t="shared" si="95"/>
        <v>44589.389999999992</v>
      </c>
    </row>
    <row r="24" spans="1:61" ht="19.5" thickBot="1" x14ac:dyDescent="0.3">
      <c r="B24" s="599" t="s">
        <v>2</v>
      </c>
      <c r="C24" s="113" t="s">
        <v>53</v>
      </c>
      <c r="D24" s="2064">
        <v>450000</v>
      </c>
      <c r="E24" s="2004">
        <f>+E20+E21</f>
        <v>10000</v>
      </c>
      <c r="F24" s="323">
        <f t="shared" ref="F24:K24" si="96">SUM(F20:F23)</f>
        <v>9066.34</v>
      </c>
      <c r="G24" s="2069">
        <f>+G20+G21</f>
        <v>0</v>
      </c>
      <c r="H24" s="323">
        <f t="shared" ref="H24" si="97">SUM(H20:H23)</f>
        <v>2525.46</v>
      </c>
      <c r="I24" s="3930">
        <f t="shared" si="96"/>
        <v>10000</v>
      </c>
      <c r="J24" s="515">
        <f t="shared" si="96"/>
        <v>11591.800000000001</v>
      </c>
      <c r="K24" s="3929">
        <f t="shared" si="96"/>
        <v>40000</v>
      </c>
      <c r="L24" s="323">
        <f t="shared" ref="L24" si="98">SUM(L20:L23)</f>
        <v>7751.2099999999991</v>
      </c>
      <c r="M24" s="3934">
        <f t="shared" ref="M24:N24" si="99">SUM(M20:M23)</f>
        <v>50000</v>
      </c>
      <c r="N24" s="884">
        <f t="shared" si="99"/>
        <v>19343.010000000002</v>
      </c>
      <c r="O24" s="3929">
        <f t="shared" ref="O24" si="100">SUM(O20:O23)</f>
        <v>40000</v>
      </c>
      <c r="P24" s="323">
        <f t="shared" ref="P24:Q24" si="101">SUM(P20:P23)</f>
        <v>22732.9</v>
      </c>
      <c r="Q24" s="4198">
        <f t="shared" si="101"/>
        <v>90000</v>
      </c>
      <c r="R24" s="515">
        <f t="shared" ref="R24:U24" si="102">SUM(R20:R23)</f>
        <v>42075.91</v>
      </c>
      <c r="S24" s="3929">
        <f t="shared" si="102"/>
        <v>45000</v>
      </c>
      <c r="T24" s="323">
        <f t="shared" si="102"/>
        <v>19016.82</v>
      </c>
      <c r="U24" s="4198">
        <f t="shared" si="102"/>
        <v>135000</v>
      </c>
      <c r="V24" s="515">
        <f t="shared" ref="V24:X24" si="103">SUM(V20:V23)</f>
        <v>61092.729999999996</v>
      </c>
      <c r="W24" s="3929">
        <f t="shared" si="103"/>
        <v>45000</v>
      </c>
      <c r="X24" s="323">
        <f t="shared" si="103"/>
        <v>9271.7000000000007</v>
      </c>
      <c r="Y24" s="3934">
        <f t="shared" ref="Y24:AA24" si="104">SUM(Y20:Y23)</f>
        <v>130000</v>
      </c>
      <c r="Z24" s="884">
        <f t="shared" si="104"/>
        <v>51021.42</v>
      </c>
      <c r="AA24" s="4197">
        <f t="shared" si="104"/>
        <v>180000</v>
      </c>
      <c r="AB24" s="1291">
        <f t="shared" ref="AB24:AO24" si="105">SUM(AB20:AB23)</f>
        <v>70364.429999999993</v>
      </c>
      <c r="AC24" s="3929">
        <f t="shared" si="105"/>
        <v>45000</v>
      </c>
      <c r="AD24" s="323">
        <f t="shared" si="105"/>
        <v>21321.119999999995</v>
      </c>
      <c r="AE24" s="4198">
        <f t="shared" si="105"/>
        <v>225000</v>
      </c>
      <c r="AF24" s="515">
        <f t="shared" si="105"/>
        <v>91685.549999999988</v>
      </c>
      <c r="AG24" s="3929">
        <f t="shared" ref="AG24:AJ24" si="106">SUM(AG20:AG23)</f>
        <v>45000</v>
      </c>
      <c r="AH24" s="323">
        <f t="shared" si="106"/>
        <v>21142.22</v>
      </c>
      <c r="AI24" s="4198">
        <f t="shared" si="106"/>
        <v>270000</v>
      </c>
      <c r="AJ24" s="515">
        <f t="shared" si="106"/>
        <v>112827.77</v>
      </c>
      <c r="AK24" s="3929">
        <f t="shared" ref="AK24:AM24" si="107">SUM(AK20:AK23)</f>
        <v>45000</v>
      </c>
      <c r="AL24" s="323">
        <f t="shared" si="107"/>
        <v>28432.320000000007</v>
      </c>
      <c r="AM24" s="4200">
        <f t="shared" si="107"/>
        <v>135000</v>
      </c>
      <c r="AN24" s="884">
        <f t="shared" si="105"/>
        <v>70895.66</v>
      </c>
      <c r="AO24" s="4198">
        <f t="shared" si="105"/>
        <v>315000</v>
      </c>
      <c r="AP24" s="515">
        <f t="shared" ref="AP24" si="108">SUM(AP20:AP23)</f>
        <v>141260.09000000003</v>
      </c>
      <c r="AQ24" s="3929">
        <f t="shared" ref="AQ24:AT24" si="109">SUM(AQ20:AQ23)</f>
        <v>45000</v>
      </c>
      <c r="AR24" s="323">
        <f t="shared" si="109"/>
        <v>20928.53</v>
      </c>
      <c r="AS24" s="4198">
        <f t="shared" si="109"/>
        <v>360000</v>
      </c>
      <c r="AT24" s="515">
        <f t="shared" si="109"/>
        <v>162188.62</v>
      </c>
      <c r="AU24" s="4005">
        <f t="shared" ref="AU24:AX24" si="110">SUM(AU20:AU23)</f>
        <v>45000</v>
      </c>
      <c r="AV24" s="323">
        <f t="shared" si="110"/>
        <v>23604.03</v>
      </c>
      <c r="AW24" s="4198">
        <f t="shared" si="110"/>
        <v>405000</v>
      </c>
      <c r="AX24" s="515">
        <f t="shared" si="110"/>
        <v>185792.65000000002</v>
      </c>
      <c r="AY24" s="4132">
        <f t="shared" ref="AY24:BB24" si="111">SUM(AY20:AY23)</f>
        <v>45000</v>
      </c>
      <c r="AZ24" s="323">
        <f t="shared" si="111"/>
        <v>28526.890000000003</v>
      </c>
      <c r="BA24" s="4200">
        <f t="shared" si="111"/>
        <v>135000</v>
      </c>
      <c r="BB24" s="884">
        <f t="shared" si="111"/>
        <v>73059.450000000012</v>
      </c>
      <c r="BC24" s="4202">
        <f t="shared" ref="BC24:BD24" si="112">SUM(BC20:BC23)</f>
        <v>270000</v>
      </c>
      <c r="BD24" s="1291">
        <f t="shared" si="112"/>
        <v>143955.10999999999</v>
      </c>
      <c r="BE24" s="4198">
        <f t="shared" ref="BE24:BF24" si="113">SUM(BE20:BE23)</f>
        <v>450000</v>
      </c>
      <c r="BF24" s="515">
        <f t="shared" si="113"/>
        <v>214319.54</v>
      </c>
    </row>
    <row r="25" spans="1:61" s="334" customFormat="1" ht="18.75" x14ac:dyDescent="0.3">
      <c r="B25" s="895" t="s">
        <v>561</v>
      </c>
      <c r="C25" s="892"/>
      <c r="D25" s="2067"/>
      <c r="E25" s="896"/>
      <c r="F25" s="896"/>
      <c r="G25" s="2068"/>
      <c r="H25" s="896"/>
      <c r="I25" s="896"/>
      <c r="J25" s="896"/>
      <c r="K25" s="896"/>
      <c r="L25" s="896"/>
      <c r="M25" s="896"/>
      <c r="N25" s="896"/>
      <c r="O25" s="896"/>
      <c r="P25" s="896"/>
      <c r="Q25" s="896"/>
      <c r="R25" s="896"/>
      <c r="S25" s="896"/>
      <c r="T25" s="896"/>
      <c r="U25" s="896"/>
      <c r="V25" s="896"/>
      <c r="W25" s="896"/>
      <c r="X25" s="896"/>
      <c r="Y25" s="896"/>
      <c r="Z25" s="896"/>
      <c r="AA25" s="896"/>
      <c r="AB25" s="896"/>
      <c r="AC25" s="896"/>
      <c r="AD25" s="896"/>
      <c r="AE25" s="896"/>
      <c r="AF25" s="896"/>
      <c r="AG25" s="896"/>
      <c r="AH25" s="896"/>
      <c r="AI25" s="896"/>
      <c r="AJ25" s="896"/>
      <c r="AK25" s="896"/>
      <c r="AL25" s="896"/>
      <c r="AM25" s="896"/>
      <c r="AN25" s="896"/>
      <c r="AO25" s="896"/>
      <c r="AP25" s="896"/>
      <c r="AQ25" s="896"/>
      <c r="AR25" s="896"/>
      <c r="AS25" s="896"/>
      <c r="AT25" s="896"/>
      <c r="AU25" s="896"/>
      <c r="AV25" s="896"/>
      <c r="AW25" s="896"/>
      <c r="AX25" s="896"/>
      <c r="AY25" s="896"/>
      <c r="AZ25" s="896"/>
      <c r="BA25" s="896"/>
      <c r="BB25" s="896"/>
      <c r="BC25" s="896"/>
      <c r="BD25" s="896"/>
      <c r="BE25" s="896"/>
      <c r="BF25" s="896"/>
    </row>
    <row r="26" spans="1:61" ht="18.75" x14ac:dyDescent="0.3">
      <c r="B26" s="597" t="s">
        <v>839</v>
      </c>
      <c r="C26" s="2058" t="s">
        <v>53</v>
      </c>
      <c r="D26" s="2070"/>
      <c r="E26" s="2071">
        <v>0</v>
      </c>
      <c r="F26" s="508">
        <f>+'Maj Despatch Summ'!F6</f>
        <v>2956.91</v>
      </c>
      <c r="G26" s="2072">
        <v>0</v>
      </c>
      <c r="H26" s="508">
        <f>+'Maj Despatch Summ'!H6</f>
        <v>4274.74</v>
      </c>
      <c r="I26" s="2060">
        <f>+E26+G26</f>
        <v>0</v>
      </c>
      <c r="J26" s="517">
        <f t="shared" ref="J26:J30" si="114">+F26+H26</f>
        <v>7231.65</v>
      </c>
      <c r="K26" s="2073">
        <v>1000</v>
      </c>
      <c r="L26" s="508">
        <v>1722.87</v>
      </c>
      <c r="M26" s="2061">
        <f>+I26+K26</f>
        <v>1000</v>
      </c>
      <c r="N26" s="611">
        <f t="shared" ref="N26:N30" si="115">+J26+L26</f>
        <v>8954.52</v>
      </c>
      <c r="O26" s="2073">
        <v>1000</v>
      </c>
      <c r="P26" s="508">
        <v>2943.9700000000003</v>
      </c>
      <c r="Q26" s="2060">
        <f>+M26+O26</f>
        <v>2000</v>
      </c>
      <c r="R26" s="517">
        <f t="shared" ref="R26:R30" si="116">+N26+P26</f>
        <v>11898.490000000002</v>
      </c>
      <c r="S26" s="2073">
        <v>1000</v>
      </c>
      <c r="T26" s="508">
        <v>3275.9399999999996</v>
      </c>
      <c r="U26" s="2060">
        <f>+Q26+S26</f>
        <v>3000</v>
      </c>
      <c r="V26" s="517">
        <f t="shared" ref="V26:V30" si="117">+R26+T26</f>
        <v>15174.43</v>
      </c>
      <c r="W26" s="2073">
        <v>1000</v>
      </c>
      <c r="X26" s="508">
        <v>1628.47</v>
      </c>
      <c r="Y26" s="2061">
        <f>O26+S26+W26</f>
        <v>3000</v>
      </c>
      <c r="Z26" s="611">
        <f>P26+T26+X26</f>
        <v>7848.38</v>
      </c>
      <c r="AA26" s="2062">
        <f>+U26+W26</f>
        <v>4000</v>
      </c>
      <c r="AB26" s="1287">
        <f t="shared" ref="AB26:AB30" si="118">+V26+X26</f>
        <v>16802.900000000001</v>
      </c>
      <c r="AC26" s="2073">
        <v>1000</v>
      </c>
      <c r="AD26" s="508">
        <v>3324.25</v>
      </c>
      <c r="AE26" s="2060">
        <f>+AA26+AC26</f>
        <v>5000</v>
      </c>
      <c r="AF26" s="517">
        <f t="shared" ref="AF26:AF30" si="119">+AB26+AD26</f>
        <v>20127.150000000001</v>
      </c>
      <c r="AG26" s="2073">
        <v>1000</v>
      </c>
      <c r="AH26" s="508">
        <v>2214.3199999999993</v>
      </c>
      <c r="AI26" s="2060">
        <f>+AE26+AG26</f>
        <v>6000</v>
      </c>
      <c r="AJ26" s="517">
        <f t="shared" ref="AJ26:AJ30" si="120">+AF26+AH26</f>
        <v>22341.47</v>
      </c>
      <c r="AK26" s="2073">
        <v>1000</v>
      </c>
      <c r="AL26" s="508">
        <v>2437.96</v>
      </c>
      <c r="AM26" s="2061">
        <f>+AC26+AG26+AK26</f>
        <v>3000</v>
      </c>
      <c r="AN26" s="611">
        <f>AD26+AH26+AL26</f>
        <v>7976.53</v>
      </c>
      <c r="AO26" s="2060">
        <f>+AI26+AK26</f>
        <v>7000</v>
      </c>
      <c r="AP26" s="517">
        <f t="shared" ref="AP26:AP30" si="121">+AJ26+AL26</f>
        <v>24779.43</v>
      </c>
      <c r="AQ26" s="2073">
        <v>1000</v>
      </c>
      <c r="AR26" s="508">
        <v>17.600000000000001</v>
      </c>
      <c r="AS26" s="2060">
        <f>+AO26+AQ26</f>
        <v>8000</v>
      </c>
      <c r="AT26" s="517">
        <f t="shared" ref="AT26:AT30" si="122">+AP26+AR26</f>
        <v>24797.03</v>
      </c>
      <c r="AU26" s="2073">
        <v>1000</v>
      </c>
      <c r="AV26" s="508">
        <v>2076.1399999999994</v>
      </c>
      <c r="AW26" s="2060">
        <f>+AS26+AU26</f>
        <v>9000</v>
      </c>
      <c r="AX26" s="517">
        <f t="shared" ref="AX26:AX30" si="123">+AT26+AV26</f>
        <v>26873.17</v>
      </c>
      <c r="AY26" s="2073">
        <v>1050</v>
      </c>
      <c r="AZ26" s="1565">
        <v>6263.58</v>
      </c>
      <c r="BA26" s="2061">
        <f>+AQ26+AU26+AY26</f>
        <v>3050</v>
      </c>
      <c r="BB26" s="611">
        <f>AR26+AV26+AZ26</f>
        <v>8357.32</v>
      </c>
      <c r="BC26" s="2062">
        <f>+AM26+BA26</f>
        <v>6050</v>
      </c>
      <c r="BD26" s="2062">
        <f t="shared" ref="BD26:BD30" si="124">+BB26+AN26</f>
        <v>16333.849999999999</v>
      </c>
      <c r="BE26" s="2060">
        <f>+AW26+AY26</f>
        <v>10050</v>
      </c>
      <c r="BF26" s="2060">
        <f>+AX26+AZ26</f>
        <v>33136.75</v>
      </c>
    </row>
    <row r="27" spans="1:61" ht="18.75" x14ac:dyDescent="0.25">
      <c r="B27" s="597" t="s">
        <v>78</v>
      </c>
      <c r="C27" s="2058" t="s">
        <v>53</v>
      </c>
      <c r="D27" s="2059"/>
      <c r="E27" s="5051">
        <f>+'Maj Despatch Summ'!E11</f>
        <v>-1.0140470251940314E-4</v>
      </c>
      <c r="F27" s="508">
        <v>6492.89</v>
      </c>
      <c r="G27" s="5032">
        <f>+'Maj Despatch Summ'!G11</f>
        <v>0.46042229194426909</v>
      </c>
      <c r="H27" s="508">
        <v>10094.39</v>
      </c>
      <c r="I27" s="5020">
        <f>+E27+G27</f>
        <v>0.46032088724174969</v>
      </c>
      <c r="J27" s="514">
        <f t="shared" si="114"/>
        <v>16587.28</v>
      </c>
      <c r="K27" s="5032">
        <f>+'Maj Despatch Summ'!K11</f>
        <v>68792.581804310903</v>
      </c>
      <c r="L27" s="508">
        <v>20980.000000000004</v>
      </c>
      <c r="M27" s="5017">
        <f>+I27+K27</f>
        <v>68793.042125198146</v>
      </c>
      <c r="N27" s="885">
        <f t="shared" si="115"/>
        <v>37567.279999999999</v>
      </c>
      <c r="O27" s="5032">
        <f>+'Maj Despatch Summ'!O11</f>
        <v>70892.089892564109</v>
      </c>
      <c r="P27" s="508">
        <v>28094.070000000003</v>
      </c>
      <c r="Q27" s="5020">
        <f>+M27+O27</f>
        <v>139685.13201776225</v>
      </c>
      <c r="R27" s="514">
        <f t="shared" si="116"/>
        <v>65661.350000000006</v>
      </c>
      <c r="S27" s="5032">
        <f>+'Maj Despatch Summ'!S11</f>
        <v>66355.222922719942</v>
      </c>
      <c r="T27" s="508">
        <v>26259.61</v>
      </c>
      <c r="U27" s="5020">
        <f>+Q27+S27</f>
        <v>206040.35494048218</v>
      </c>
      <c r="V27" s="514">
        <f t="shared" si="117"/>
        <v>91920.960000000006</v>
      </c>
      <c r="W27" s="5032">
        <f>+'Maj Despatch Summ'!W11</f>
        <v>64673.36037437286</v>
      </c>
      <c r="X27" s="508">
        <v>34675.370000000003</v>
      </c>
      <c r="Y27" s="5017">
        <f>O27+S27+W27</f>
        <v>201920.67318965693</v>
      </c>
      <c r="Z27" s="611">
        <f t="shared" ref="Z27:Z30" si="125">P27+T27+X27</f>
        <v>89029.050000000017</v>
      </c>
      <c r="AA27" s="4982">
        <f>+U27+W27</f>
        <v>270713.71531485504</v>
      </c>
      <c r="AB27" s="1292">
        <f t="shared" si="118"/>
        <v>126596.33000000002</v>
      </c>
      <c r="AC27" s="5032">
        <f>+'Maj Despatch Summ'!AC11</f>
        <v>67643.955317086118</v>
      </c>
      <c r="AD27" s="508">
        <v>24948.25</v>
      </c>
      <c r="AE27" s="5020">
        <f>+AA27+AC27</f>
        <v>338357.67063194118</v>
      </c>
      <c r="AF27" s="514">
        <f t="shared" si="119"/>
        <v>151544.58000000002</v>
      </c>
      <c r="AG27" s="5032">
        <f>+'Maj Despatch Summ'!AG11</f>
        <v>62673.36037437286</v>
      </c>
      <c r="AH27" s="508">
        <v>26221.099999999995</v>
      </c>
      <c r="AI27" s="5020">
        <f>+AE27+AG27</f>
        <v>401031.03100631404</v>
      </c>
      <c r="AJ27" s="514">
        <f t="shared" si="120"/>
        <v>177765.68000000002</v>
      </c>
      <c r="AK27" s="5032">
        <f>+'Maj Despatch Summ'!AK11</f>
        <v>67969.955317086118</v>
      </c>
      <c r="AL27" s="508">
        <v>45998.329999999973</v>
      </c>
      <c r="AM27" s="5017">
        <f>+AC27+AG27+AK27</f>
        <v>198287.2710085451</v>
      </c>
      <c r="AN27" s="611">
        <f t="shared" ref="AN27:AN30" si="126">AD27+AH27+AL27</f>
        <v>97167.679999999964</v>
      </c>
      <c r="AO27" s="5020">
        <f>+AI27+AK27</f>
        <v>469000.98632340017</v>
      </c>
      <c r="AP27" s="514">
        <f t="shared" si="121"/>
        <v>223764.01</v>
      </c>
      <c r="AQ27" s="5032">
        <f>+'Maj Despatch Summ'!AQ11</f>
        <v>68143.955317086118</v>
      </c>
      <c r="AR27" s="508">
        <v>40799.78</v>
      </c>
      <c r="AS27" s="5020">
        <f>+AO27+AQ27</f>
        <v>537144.94164048624</v>
      </c>
      <c r="AT27" s="514">
        <f t="shared" si="122"/>
        <v>264563.79000000004</v>
      </c>
      <c r="AU27" s="5032">
        <f>+'Maj Despatch Summ'!AU11</f>
        <v>54711.253949988895</v>
      </c>
      <c r="AV27" s="508">
        <v>27485.460000000003</v>
      </c>
      <c r="AW27" s="5020">
        <f>+AS27+AU27</f>
        <v>591856.19559047511</v>
      </c>
      <c r="AX27" s="514">
        <f t="shared" si="123"/>
        <v>292049.25000000006</v>
      </c>
      <c r="AY27" s="5032">
        <f>+'Maj Despatch Summ'!AY11</f>
        <v>68093.955317086118</v>
      </c>
      <c r="AZ27" s="508">
        <v>41486.67</v>
      </c>
      <c r="BA27" s="5017">
        <f>+AQ27+AU27+AY27</f>
        <v>190949.16458416113</v>
      </c>
      <c r="BB27" s="611">
        <f t="shared" ref="BB27:BB30" si="127">AR27+AV27+AZ27</f>
        <v>109771.91</v>
      </c>
      <c r="BC27" s="4982">
        <f>+BA27+AM27</f>
        <v>389236.4355927062</v>
      </c>
      <c r="BD27" s="2062">
        <f t="shared" si="124"/>
        <v>206939.58999999997</v>
      </c>
      <c r="BE27" s="5020">
        <f>+AW27+AY27</f>
        <v>659950.15090756118</v>
      </c>
      <c r="BF27" s="2060">
        <f t="shared" ref="BF27:BF30" si="128">+AX27+AZ27</f>
        <v>333535.92000000004</v>
      </c>
    </row>
    <row r="28" spans="1:61" ht="18.75" x14ac:dyDescent="0.25">
      <c r="A28" s="48"/>
      <c r="B28" s="597" t="s">
        <v>79</v>
      </c>
      <c r="C28" s="2058" t="s">
        <v>53</v>
      </c>
      <c r="D28" s="3953"/>
      <c r="E28" s="5052"/>
      <c r="F28" s="508">
        <v>3949.2</v>
      </c>
      <c r="G28" s="5033"/>
      <c r="H28" s="508">
        <v>2342.37</v>
      </c>
      <c r="I28" s="5021"/>
      <c r="J28" s="514">
        <f t="shared" si="114"/>
        <v>6291.57</v>
      </c>
      <c r="K28" s="5033"/>
      <c r="L28" s="508">
        <v>2839.46</v>
      </c>
      <c r="M28" s="5018"/>
      <c r="N28" s="885">
        <f t="shared" si="115"/>
        <v>9131.0299999999988</v>
      </c>
      <c r="O28" s="5033"/>
      <c r="P28" s="508">
        <v>4286.4799999999996</v>
      </c>
      <c r="Q28" s="5021"/>
      <c r="R28" s="514">
        <f t="shared" si="116"/>
        <v>13417.509999999998</v>
      </c>
      <c r="S28" s="5033"/>
      <c r="T28" s="508">
        <v>5270.32</v>
      </c>
      <c r="U28" s="5021"/>
      <c r="V28" s="514">
        <f t="shared" si="117"/>
        <v>18687.829999999998</v>
      </c>
      <c r="W28" s="5033"/>
      <c r="X28" s="508">
        <v>5490.6</v>
      </c>
      <c r="Y28" s="5018"/>
      <c r="Z28" s="611">
        <f t="shared" si="125"/>
        <v>15047.4</v>
      </c>
      <c r="AA28" s="4983"/>
      <c r="AB28" s="1292">
        <f t="shared" si="118"/>
        <v>24178.43</v>
      </c>
      <c r="AC28" s="5033"/>
      <c r="AD28" s="508">
        <v>4219.3999999999996</v>
      </c>
      <c r="AE28" s="5021"/>
      <c r="AF28" s="514">
        <f t="shared" si="119"/>
        <v>28397.83</v>
      </c>
      <c r="AG28" s="5033"/>
      <c r="AH28" s="508">
        <v>8743.3900000000012</v>
      </c>
      <c r="AI28" s="5021"/>
      <c r="AJ28" s="514">
        <f t="shared" si="120"/>
        <v>37141.22</v>
      </c>
      <c r="AK28" s="5033"/>
      <c r="AL28" s="508">
        <v>9762.760000000002</v>
      </c>
      <c r="AM28" s="5018"/>
      <c r="AN28" s="611">
        <f t="shared" si="126"/>
        <v>22725.550000000003</v>
      </c>
      <c r="AO28" s="5021"/>
      <c r="AP28" s="514">
        <f t="shared" si="121"/>
        <v>46903.98</v>
      </c>
      <c r="AQ28" s="5033"/>
      <c r="AR28" s="508">
        <v>1271.3700000000001</v>
      </c>
      <c r="AS28" s="5021"/>
      <c r="AT28" s="514">
        <f t="shared" si="122"/>
        <v>48175.350000000006</v>
      </c>
      <c r="AU28" s="5033"/>
      <c r="AV28" s="508">
        <v>4656.55</v>
      </c>
      <c r="AW28" s="5021"/>
      <c r="AX28" s="514">
        <f t="shared" si="123"/>
        <v>52831.900000000009</v>
      </c>
      <c r="AY28" s="5033"/>
      <c r="AZ28" s="508">
        <v>10551.199999999999</v>
      </c>
      <c r="BA28" s="5018"/>
      <c r="BB28" s="611">
        <f t="shared" si="127"/>
        <v>16479.12</v>
      </c>
      <c r="BC28" s="4983"/>
      <c r="BD28" s="2062">
        <f t="shared" si="124"/>
        <v>39204.67</v>
      </c>
      <c r="BE28" s="5021"/>
      <c r="BF28" s="2060">
        <f t="shared" si="128"/>
        <v>63383.100000000006</v>
      </c>
    </row>
    <row r="29" spans="1:61" ht="18.75" x14ac:dyDescent="0.25">
      <c r="B29" s="597" t="s">
        <v>127</v>
      </c>
      <c r="C29" s="2058" t="s">
        <v>53</v>
      </c>
      <c r="D29" s="2074"/>
      <c r="E29" s="5056"/>
      <c r="F29" s="508">
        <v>15571.98</v>
      </c>
      <c r="G29" s="5035"/>
      <c r="H29" s="508">
        <v>15618.02</v>
      </c>
      <c r="I29" s="5024"/>
      <c r="J29" s="517">
        <f t="shared" si="114"/>
        <v>31190</v>
      </c>
      <c r="K29" s="5035"/>
      <c r="L29" s="508">
        <v>52977.919999999998</v>
      </c>
      <c r="M29" s="5023"/>
      <c r="N29" s="611">
        <f t="shared" si="115"/>
        <v>84167.92</v>
      </c>
      <c r="O29" s="5035"/>
      <c r="P29" s="508">
        <v>34380.260000000009</v>
      </c>
      <c r="Q29" s="5024"/>
      <c r="R29" s="517">
        <f t="shared" si="116"/>
        <v>118548.18000000001</v>
      </c>
      <c r="S29" s="5035"/>
      <c r="T29" s="508">
        <v>39776.019999999997</v>
      </c>
      <c r="U29" s="5024"/>
      <c r="V29" s="517">
        <f t="shared" si="117"/>
        <v>158324.20000000001</v>
      </c>
      <c r="W29" s="5035"/>
      <c r="X29" s="508">
        <v>48625.819999999942</v>
      </c>
      <c r="Y29" s="5023"/>
      <c r="Z29" s="611">
        <f t="shared" si="125"/>
        <v>122782.09999999995</v>
      </c>
      <c r="AA29" s="4985"/>
      <c r="AB29" s="1287">
        <f t="shared" si="118"/>
        <v>206950.01999999996</v>
      </c>
      <c r="AC29" s="5035"/>
      <c r="AD29" s="508">
        <v>19072.119999999992</v>
      </c>
      <c r="AE29" s="5024"/>
      <c r="AF29" s="517">
        <f t="shared" si="119"/>
        <v>226022.13999999996</v>
      </c>
      <c r="AG29" s="5035"/>
      <c r="AH29" s="508">
        <v>38530.899999999994</v>
      </c>
      <c r="AI29" s="5024"/>
      <c r="AJ29" s="517">
        <f t="shared" si="120"/>
        <v>264553.03999999992</v>
      </c>
      <c r="AK29" s="5035"/>
      <c r="AL29" s="508">
        <v>12678.519999999991</v>
      </c>
      <c r="AM29" s="5023"/>
      <c r="AN29" s="611">
        <f t="shared" si="126"/>
        <v>70281.539999999979</v>
      </c>
      <c r="AO29" s="5024"/>
      <c r="AP29" s="517">
        <f t="shared" si="121"/>
        <v>277231.55999999994</v>
      </c>
      <c r="AQ29" s="5035"/>
      <c r="AR29" s="508">
        <v>28884.679999999993</v>
      </c>
      <c r="AS29" s="5024"/>
      <c r="AT29" s="517">
        <f t="shared" si="122"/>
        <v>306116.23999999993</v>
      </c>
      <c r="AU29" s="5035"/>
      <c r="AV29" s="508">
        <v>28951.379999999994</v>
      </c>
      <c r="AW29" s="5024"/>
      <c r="AX29" s="517">
        <f t="shared" si="123"/>
        <v>335067.61999999994</v>
      </c>
      <c r="AY29" s="5035"/>
      <c r="AZ29" s="508">
        <v>10325.439999999995</v>
      </c>
      <c r="BA29" s="5023"/>
      <c r="BB29" s="611">
        <f t="shared" si="127"/>
        <v>68161.499999999971</v>
      </c>
      <c r="BC29" s="4985"/>
      <c r="BD29" s="2062">
        <f t="shared" si="124"/>
        <v>138443.03999999995</v>
      </c>
      <c r="BE29" s="5024"/>
      <c r="BF29" s="2060">
        <f t="shared" si="128"/>
        <v>345393.05999999994</v>
      </c>
    </row>
    <row r="30" spans="1:61" ht="19.5" thickBot="1" x14ac:dyDescent="0.3">
      <c r="B30" s="598" t="s">
        <v>80</v>
      </c>
      <c r="C30" s="2063" t="s">
        <v>53</v>
      </c>
      <c r="D30" s="2059"/>
      <c r="E30" s="3933">
        <v>0</v>
      </c>
      <c r="F30" s="509">
        <v>0</v>
      </c>
      <c r="G30" s="3952">
        <v>0</v>
      </c>
      <c r="H30" s="509">
        <f>+'Maj Despatch Summ'!H7</f>
        <v>5712.02</v>
      </c>
      <c r="I30" s="3930">
        <f>+E30+G30</f>
        <v>0</v>
      </c>
      <c r="J30" s="517">
        <f t="shared" si="114"/>
        <v>5712.02</v>
      </c>
      <c r="K30" s="3929">
        <v>0</v>
      </c>
      <c r="L30" s="509">
        <v>0</v>
      </c>
      <c r="M30" s="3934">
        <f>+I30+K30</f>
        <v>0</v>
      </c>
      <c r="N30" s="611">
        <f t="shared" si="115"/>
        <v>5712.02</v>
      </c>
      <c r="O30" s="3929">
        <v>0</v>
      </c>
      <c r="P30" s="509">
        <v>2863.6799999999994</v>
      </c>
      <c r="Q30" s="3930">
        <f>+M30+O30</f>
        <v>0</v>
      </c>
      <c r="R30" s="517">
        <f t="shared" si="116"/>
        <v>8575.7000000000007</v>
      </c>
      <c r="S30" s="3929">
        <v>0</v>
      </c>
      <c r="T30" s="509">
        <v>8333.58</v>
      </c>
      <c r="U30" s="3930">
        <f>+Q30+S30</f>
        <v>0</v>
      </c>
      <c r="V30" s="517">
        <f t="shared" si="117"/>
        <v>16909.28</v>
      </c>
      <c r="W30" s="3929">
        <v>0</v>
      </c>
      <c r="X30" s="509">
        <v>5479.1599999999971</v>
      </c>
      <c r="Y30" s="3934">
        <f>O30+S30+W30</f>
        <v>0</v>
      </c>
      <c r="Z30" s="611">
        <f t="shared" si="125"/>
        <v>16676.419999999995</v>
      </c>
      <c r="AA30" s="3942">
        <f>+U30+W30</f>
        <v>0</v>
      </c>
      <c r="AB30" s="1287">
        <f t="shared" si="118"/>
        <v>22388.439999999995</v>
      </c>
      <c r="AC30" s="3929">
        <v>0</v>
      </c>
      <c r="AD30" s="509">
        <v>11475.779999999999</v>
      </c>
      <c r="AE30" s="4198">
        <f>+AA30+AC30</f>
        <v>0</v>
      </c>
      <c r="AF30" s="517">
        <f t="shared" si="119"/>
        <v>33864.219999999994</v>
      </c>
      <c r="AG30" s="3929">
        <v>0</v>
      </c>
      <c r="AH30" s="509">
        <v>2870</v>
      </c>
      <c r="AI30" s="4198">
        <f>+AE30+AG30</f>
        <v>0</v>
      </c>
      <c r="AJ30" s="517">
        <f t="shared" si="120"/>
        <v>36734.219999999994</v>
      </c>
      <c r="AK30" s="3929">
        <v>0</v>
      </c>
      <c r="AL30" s="509">
        <v>10720.04</v>
      </c>
      <c r="AM30" s="2061">
        <f>+AC30+AG30+AK30</f>
        <v>0</v>
      </c>
      <c r="AN30" s="611">
        <f t="shared" si="126"/>
        <v>25065.82</v>
      </c>
      <c r="AO30" s="2060">
        <f>+AI30+AK30</f>
        <v>0</v>
      </c>
      <c r="AP30" s="517">
        <f t="shared" si="121"/>
        <v>47454.259999999995</v>
      </c>
      <c r="AQ30" s="3929"/>
      <c r="AR30" s="509">
        <v>5342.76</v>
      </c>
      <c r="AS30" s="4198">
        <f>+AO30+AQ30</f>
        <v>0</v>
      </c>
      <c r="AT30" s="517">
        <f t="shared" si="122"/>
        <v>52797.02</v>
      </c>
      <c r="AU30" s="4005">
        <v>0</v>
      </c>
      <c r="AV30" s="509">
        <v>8560.9199999999983</v>
      </c>
      <c r="AW30" s="4198">
        <f>+AS30+AU30</f>
        <v>0</v>
      </c>
      <c r="AX30" s="517">
        <f t="shared" si="123"/>
        <v>61357.939999999995</v>
      </c>
      <c r="AY30" s="4132"/>
      <c r="AZ30" s="509">
        <v>7580.4</v>
      </c>
      <c r="BA30" s="2061">
        <f>+AQ30+AU30+AY30</f>
        <v>0</v>
      </c>
      <c r="BB30" s="611">
        <f t="shared" si="127"/>
        <v>21484.079999999998</v>
      </c>
      <c r="BC30" s="2062">
        <f>+AM30+BA30</f>
        <v>0</v>
      </c>
      <c r="BD30" s="2062">
        <f t="shared" si="124"/>
        <v>46549.899999999994</v>
      </c>
      <c r="BE30" s="2060">
        <f>+AW30+AY30</f>
        <v>0</v>
      </c>
      <c r="BF30" s="2060">
        <f t="shared" si="128"/>
        <v>68938.34</v>
      </c>
    </row>
    <row r="31" spans="1:61" ht="19.5" thickBot="1" x14ac:dyDescent="0.3">
      <c r="B31" s="599" t="s">
        <v>2</v>
      </c>
      <c r="C31" s="113" t="s">
        <v>53</v>
      </c>
      <c r="D31" s="2075">
        <v>670000.15090756118</v>
      </c>
      <c r="E31" s="2004">
        <f>SUM(E26:E30)</f>
        <v>-1.0140470251940314E-4</v>
      </c>
      <c r="F31" s="323">
        <f t="shared" ref="F31:J31" si="129">SUM(F26:F30)</f>
        <v>28970.98</v>
      </c>
      <c r="G31" s="2069">
        <f>SUM(G26:G30)</f>
        <v>0.46042229194426909</v>
      </c>
      <c r="H31" s="323">
        <f t="shared" ref="H31" si="130">SUM(H26:H30)</f>
        <v>38041.54</v>
      </c>
      <c r="I31" s="3930">
        <f>SUM(I26:I30)</f>
        <v>0.46032088724174969</v>
      </c>
      <c r="J31" s="472">
        <f t="shared" si="129"/>
        <v>67012.52</v>
      </c>
      <c r="K31" s="2069">
        <f>SUM(K26:K30)</f>
        <v>69792.581804310903</v>
      </c>
      <c r="L31" s="323">
        <f t="shared" ref="L31" si="131">SUM(L26:L30)</f>
        <v>78520.25</v>
      </c>
      <c r="M31" s="3934">
        <f>SUM(M26:M30)</f>
        <v>69793.042125198146</v>
      </c>
      <c r="N31" s="883">
        <f t="shared" ref="N31" si="132">SUM(N26:N30)</f>
        <v>145532.76999999999</v>
      </c>
      <c r="O31" s="2069">
        <f>SUM(O26:O30)</f>
        <v>71892.089892564109</v>
      </c>
      <c r="P31" s="323">
        <f t="shared" ref="P31" si="133">SUM(P26:P30)</f>
        <v>72568.460000000006</v>
      </c>
      <c r="Q31" s="4198">
        <f>SUM(Q26:Q30)</f>
        <v>141685.13201776225</v>
      </c>
      <c r="R31" s="472">
        <f t="shared" ref="R31" si="134">SUM(R26:R30)</f>
        <v>218101.23000000004</v>
      </c>
      <c r="S31" s="2069">
        <f>SUM(S26:S30)</f>
        <v>67355.222922719942</v>
      </c>
      <c r="T31" s="323">
        <f t="shared" ref="T31" si="135">SUM(T26:T30)</f>
        <v>82915.469999999987</v>
      </c>
      <c r="U31" s="4198">
        <f>SUM(U26:U30)</f>
        <v>209040.35494048218</v>
      </c>
      <c r="V31" s="472">
        <f t="shared" ref="V31" si="136">SUM(V26:V30)</f>
        <v>301016.70000000007</v>
      </c>
      <c r="W31" s="2069">
        <f>SUM(W26:W30)</f>
        <v>65673.36037437286</v>
      </c>
      <c r="X31" s="323">
        <f t="shared" ref="X31" si="137">SUM(X26:X30)</f>
        <v>95899.419999999955</v>
      </c>
      <c r="Y31" s="3934">
        <f>SUM(Y26:Y30)</f>
        <v>204920.67318965693</v>
      </c>
      <c r="Z31" s="883">
        <f t="shared" ref="Z31" si="138">SUM(Z26:Z30)</f>
        <v>251383.34999999995</v>
      </c>
      <c r="AA31" s="2069">
        <f>SUM(AA26:AA30)</f>
        <v>274713.71531485504</v>
      </c>
      <c r="AB31" s="1289">
        <f t="shared" ref="AB31" si="139">SUM(AB26:AB30)</f>
        <v>396916.11999999994</v>
      </c>
      <c r="AC31" s="2069">
        <f>SUM(AC26:AC30)</f>
        <v>68643.955317086118</v>
      </c>
      <c r="AD31" s="323">
        <f t="shared" ref="AD31" si="140">SUM(AD26:AD30)</f>
        <v>63039.799999999988</v>
      </c>
      <c r="AE31" s="4198">
        <f>SUM(AE26:AE30)</f>
        <v>343357.67063194118</v>
      </c>
      <c r="AF31" s="472">
        <f t="shared" ref="AF31" si="141">SUM(AF26:AF30)</f>
        <v>459955.91999999993</v>
      </c>
      <c r="AG31" s="2069">
        <f>SUM(AG26:AG30)</f>
        <v>63673.36037437286</v>
      </c>
      <c r="AH31" s="323">
        <f t="shared" ref="AH31" si="142">SUM(AH26:AH30)</f>
        <v>78579.709999999992</v>
      </c>
      <c r="AI31" s="4198">
        <f>SUM(AI26:AI30)</f>
        <v>407031.03100631404</v>
      </c>
      <c r="AJ31" s="472">
        <f t="shared" ref="AJ31" si="143">SUM(AJ26:AJ30)</f>
        <v>538535.62999999989</v>
      </c>
      <c r="AK31" s="2069">
        <f>SUM(AK26:AK30)</f>
        <v>68969.955317086118</v>
      </c>
      <c r="AL31" s="323">
        <f t="shared" ref="AL31" si="144">SUM(AL26:AL30)</f>
        <v>81597.609999999957</v>
      </c>
      <c r="AM31" s="4200">
        <f>SUM(AM26:AM30)</f>
        <v>201287.2710085451</v>
      </c>
      <c r="AN31" s="883">
        <f t="shared" ref="AN31" si="145">SUM(AN26:AN30)</f>
        <v>223217.11999999994</v>
      </c>
      <c r="AO31" s="4198">
        <f>SUM(AO26:AO30)</f>
        <v>476000.98632340017</v>
      </c>
      <c r="AP31" s="472">
        <f t="shared" ref="AP31" si="146">SUM(AP26:AP30)</f>
        <v>620133.24</v>
      </c>
      <c r="AQ31" s="2069">
        <f>SUM(AQ26:AQ30)</f>
        <v>69143.955317086118</v>
      </c>
      <c r="AR31" s="323">
        <f t="shared" ref="AR31" si="147">SUM(AR26:AR30)</f>
        <v>76316.189999999988</v>
      </c>
      <c r="AS31" s="4198">
        <f>SUM(AS26:AS30)</f>
        <v>545144.94164048624</v>
      </c>
      <c r="AT31" s="472">
        <f t="shared" ref="AT31" si="148">SUM(AT26:AT30)</f>
        <v>696449.42999999993</v>
      </c>
      <c r="AU31" s="2069">
        <f>SUM(AU26:AU30)</f>
        <v>55711.253949988895</v>
      </c>
      <c r="AV31" s="323">
        <f t="shared" ref="AV31" si="149">SUM(AV26:AV30)</f>
        <v>71730.45</v>
      </c>
      <c r="AW31" s="4198">
        <f>SUM(AW26:AW30)</f>
        <v>600856.19559047511</v>
      </c>
      <c r="AX31" s="472">
        <f t="shared" ref="AX31" si="150">SUM(AX26:AX30)</f>
        <v>768179.87999999989</v>
      </c>
      <c r="AY31" s="2069">
        <f>SUM(AY26:AY30)</f>
        <v>69143.955317086118</v>
      </c>
      <c r="AZ31" s="323">
        <f t="shared" ref="AZ31" si="151">SUM(AZ26:AZ30)</f>
        <v>76207.289999999979</v>
      </c>
      <c r="BA31" s="4200">
        <f>SUM(BA26:BA30)</f>
        <v>193999.16458416113</v>
      </c>
      <c r="BB31" s="883">
        <f t="shared" ref="BB31:BD31" si="152">SUM(BB26:BB30)</f>
        <v>224253.92999999996</v>
      </c>
      <c r="BC31" s="4202">
        <f>SUM(BC26:BC30)</f>
        <v>395286.4355927062</v>
      </c>
      <c r="BD31" s="1289">
        <f t="shared" si="152"/>
        <v>447471.04999999993</v>
      </c>
      <c r="BE31" s="4198">
        <f>SUM(BE26:BE30)</f>
        <v>670000.15090756118</v>
      </c>
      <c r="BF31" s="472">
        <f t="shared" ref="BF31" si="153">SUM(BF26:BF30)</f>
        <v>844387.16999999993</v>
      </c>
    </row>
    <row r="32" spans="1:61" s="334" customFormat="1" ht="18.75" x14ac:dyDescent="0.3">
      <c r="B32" s="690" t="s">
        <v>126</v>
      </c>
      <c r="C32" s="622"/>
      <c r="D32" s="2056"/>
      <c r="E32" s="708"/>
      <c r="F32" s="708"/>
      <c r="G32" s="707"/>
      <c r="H32" s="708"/>
      <c r="I32" s="708"/>
      <c r="J32" s="708"/>
      <c r="K32" s="708"/>
      <c r="L32" s="708"/>
      <c r="M32" s="708"/>
      <c r="N32" s="708"/>
      <c r="O32" s="708"/>
      <c r="P32" s="708"/>
      <c r="Q32" s="708"/>
      <c r="R32" s="708"/>
      <c r="S32" s="708"/>
      <c r="T32" s="708"/>
      <c r="U32" s="708"/>
      <c r="V32" s="708"/>
      <c r="W32" s="708"/>
      <c r="X32" s="708"/>
      <c r="Y32" s="708"/>
      <c r="Z32" s="708"/>
      <c r="AA32" s="708"/>
      <c r="AB32" s="708"/>
      <c r="AC32" s="708"/>
      <c r="AD32" s="708"/>
      <c r="AE32" s="708"/>
      <c r="AF32" s="708"/>
      <c r="AG32" s="708"/>
      <c r="AH32" s="708"/>
      <c r="AI32" s="708"/>
      <c r="AJ32" s="708"/>
      <c r="AK32" s="708"/>
      <c r="AL32" s="708"/>
      <c r="AM32" s="708"/>
      <c r="AN32" s="708"/>
      <c r="AO32" s="708"/>
      <c r="AP32" s="708"/>
      <c r="AQ32" s="708"/>
      <c r="AR32" s="708"/>
      <c r="AS32" s="708"/>
      <c r="AT32" s="708"/>
      <c r="AU32" s="708"/>
      <c r="AV32" s="708"/>
      <c r="AW32" s="708"/>
      <c r="AX32" s="708"/>
      <c r="AY32" s="708"/>
      <c r="AZ32" s="708"/>
      <c r="BA32" s="708"/>
      <c r="BB32" s="708"/>
      <c r="BC32" s="708"/>
      <c r="BD32" s="708"/>
      <c r="BE32" s="708"/>
      <c r="BF32" s="708"/>
    </row>
    <row r="33" spans="2:65" ht="18.75" x14ac:dyDescent="0.25">
      <c r="B33" s="438" t="s">
        <v>633</v>
      </c>
      <c r="C33" s="115" t="s">
        <v>53</v>
      </c>
      <c r="D33" s="2076"/>
      <c r="E33" s="2071">
        <f>+E7+E13+E20+E26</f>
        <v>0</v>
      </c>
      <c r="F33" s="601">
        <f>+F7+F13+F20+F26</f>
        <v>2956.91</v>
      </c>
      <c r="G33" s="4359">
        <f t="shared" ref="G33" si="154">+G7+G13+G20+G26</f>
        <v>500</v>
      </c>
      <c r="H33" s="601">
        <f t="shared" ref="H33" si="155">+H7+H13+H20+H26</f>
        <v>4274.74</v>
      </c>
      <c r="I33" s="2060">
        <f>+E33+G33</f>
        <v>500</v>
      </c>
      <c r="J33" s="602">
        <f t="shared" ref="J33:J37" si="156">+F33+H33</f>
        <v>7231.65</v>
      </c>
      <c r="K33" s="2077">
        <f>+K7+K13+K20+K26</f>
        <v>1500</v>
      </c>
      <c r="L33" s="601">
        <f>+L7+L13+L20+L26</f>
        <v>1722.87</v>
      </c>
      <c r="M33" s="2061">
        <f>+I33+K33</f>
        <v>2000</v>
      </c>
      <c r="N33" s="886">
        <f t="shared" ref="N33:N37" si="157">+J33+L33</f>
        <v>8954.52</v>
      </c>
      <c r="O33" s="2077">
        <f>+O7+O13+O20+O26</f>
        <v>1500</v>
      </c>
      <c r="P33" s="601">
        <f t="shared" ref="P33" si="158">+P7+P13+P20+P26</f>
        <v>2943.9700000000003</v>
      </c>
      <c r="Q33" s="2060">
        <f>+O33+M33</f>
        <v>3500</v>
      </c>
      <c r="R33" s="602">
        <f t="shared" ref="R33:R37" si="159">+N33+P33</f>
        <v>11898.490000000002</v>
      </c>
      <c r="S33" s="4359">
        <f>+S7+S13+S20+S26</f>
        <v>2000</v>
      </c>
      <c r="T33" s="601">
        <f>+T7+T13+T20+T26</f>
        <v>3275.9399999999996</v>
      </c>
      <c r="U33" s="2060">
        <f>+Q33+S33</f>
        <v>5500</v>
      </c>
      <c r="V33" s="602">
        <f t="shared" ref="V33:V37" si="160">+R33+T33</f>
        <v>15174.43</v>
      </c>
      <c r="W33" s="2077">
        <f>+W7+W13+W20+W26</f>
        <v>1500</v>
      </c>
      <c r="X33" s="601">
        <f>+X7+X13+X20+X26</f>
        <v>1628.47</v>
      </c>
      <c r="Y33" s="2061">
        <f>O33+S33+W33</f>
        <v>5000</v>
      </c>
      <c r="Z33" s="886">
        <f>P33+T33+X33</f>
        <v>7848.38</v>
      </c>
      <c r="AA33" s="2062">
        <f>+U33+W33</f>
        <v>7000</v>
      </c>
      <c r="AB33" s="1293">
        <f t="shared" ref="AB33:AB37" si="161">+V33+X33</f>
        <v>16802.900000000001</v>
      </c>
      <c r="AC33" s="2077">
        <f>+AC7+AC13+AC20+AC26</f>
        <v>1500</v>
      </c>
      <c r="AD33" s="601">
        <f>+AD7+AD13+AD20+AD26</f>
        <v>3324.25</v>
      </c>
      <c r="AE33" s="2060">
        <f>+AA33+AC33</f>
        <v>8500</v>
      </c>
      <c r="AF33" s="602">
        <f t="shared" ref="AF33:AF37" si="162">+AB33+AD33</f>
        <v>20127.150000000001</v>
      </c>
      <c r="AG33" s="2077">
        <f>+AG7+AG13+AG20+AG26</f>
        <v>1500</v>
      </c>
      <c r="AH33" s="601">
        <f>+AH7+AH13+AH20+AH26</f>
        <v>2214.3199999999993</v>
      </c>
      <c r="AI33" s="2060">
        <f>+AE33+AG33</f>
        <v>10000</v>
      </c>
      <c r="AJ33" s="602">
        <f t="shared" ref="AJ33:AJ37" si="163">+AF33+AH33</f>
        <v>22341.47</v>
      </c>
      <c r="AK33" s="2077">
        <f>+AK7+AK13+AK20+AK26</f>
        <v>1500</v>
      </c>
      <c r="AL33" s="601">
        <f>+AL7+AL13+AL20+AL26</f>
        <v>2437.96</v>
      </c>
      <c r="AM33" s="2061">
        <f>+AC33+AG33+AK33</f>
        <v>4500</v>
      </c>
      <c r="AN33" s="886">
        <f>AD33+AH33+AL33</f>
        <v>7976.53</v>
      </c>
      <c r="AO33" s="2060">
        <f>+AI33+AK33</f>
        <v>11500</v>
      </c>
      <c r="AP33" s="602">
        <f t="shared" ref="AP33:AP37" si="164">+AJ33+AL33</f>
        <v>24779.43</v>
      </c>
      <c r="AQ33" s="2077">
        <f t="shared" ref="AQ33" si="165">+AQ7+AQ13+AQ20+AQ26</f>
        <v>1500</v>
      </c>
      <c r="AR33" s="601">
        <f>+AR7+AR13+AR20+AR26</f>
        <v>17.600000000000001</v>
      </c>
      <c r="AS33" s="2060">
        <f>+AO33+AQ33</f>
        <v>13000</v>
      </c>
      <c r="AT33" s="602">
        <f t="shared" ref="AT33:AT37" si="166">+AP33+AR33</f>
        <v>24797.03</v>
      </c>
      <c r="AU33" s="2077">
        <f t="shared" ref="AU33" si="167">+AU7+AU13+AU20+AU26</f>
        <v>1500</v>
      </c>
      <c r="AV33" s="601">
        <f>+AV7+AV13+AV20+AV26</f>
        <v>2076.1399999999994</v>
      </c>
      <c r="AW33" s="2060">
        <f>+AS33+AU33</f>
        <v>14500</v>
      </c>
      <c r="AX33" s="602">
        <f t="shared" ref="AX33:AX37" si="168">+AT33+AV33</f>
        <v>26873.17</v>
      </c>
      <c r="AY33" s="2077">
        <f t="shared" ref="AY33" si="169">+AY7+AY13+AY20+AY26</f>
        <v>1550</v>
      </c>
      <c r="AZ33" s="601">
        <f>+AZ7+AZ13+AZ20+AZ26</f>
        <v>6327.98</v>
      </c>
      <c r="BA33" s="2061">
        <f>+AQ33+AU33+AY33</f>
        <v>4550</v>
      </c>
      <c r="BB33" s="886">
        <f>AR33+AV33+AZ33</f>
        <v>8421.7199999999993</v>
      </c>
      <c r="BC33" s="2062">
        <f>+AM33+BA33</f>
        <v>9050</v>
      </c>
      <c r="BD33" s="2062">
        <f t="shared" ref="BD33:BD37" si="170">+BB33+AN33</f>
        <v>16398.25</v>
      </c>
      <c r="BE33" s="2060">
        <f>+AW33+AY33</f>
        <v>16050</v>
      </c>
      <c r="BF33" s="2060">
        <f>+AX33+AZ33</f>
        <v>33201.149999999994</v>
      </c>
    </row>
    <row r="34" spans="2:65" ht="18.75" x14ac:dyDescent="0.25">
      <c r="B34" s="438" t="s">
        <v>78</v>
      </c>
      <c r="C34" s="115" t="s">
        <v>53</v>
      </c>
      <c r="D34" s="2078"/>
      <c r="E34" s="5051">
        <f>+E8+E15+E21+E27</f>
        <v>86999.999898595299</v>
      </c>
      <c r="F34" s="601">
        <f>+F8+F15+F21+F27</f>
        <v>53811.41</v>
      </c>
      <c r="G34" s="5032">
        <f>+G8+G15+G21+G27</f>
        <v>91000.460422291944</v>
      </c>
      <c r="H34" s="601">
        <f t="shared" ref="H34" si="171">+H8+H15+H21+H27</f>
        <v>55157.91</v>
      </c>
      <c r="I34" s="5020">
        <f>+I8+I15+I21+I31</f>
        <v>178000.46032088724</v>
      </c>
      <c r="J34" s="602">
        <f t="shared" si="156"/>
        <v>108969.32</v>
      </c>
      <c r="K34" s="5032">
        <f>+K8+K15+K21+K27</f>
        <v>214792.5818043109</v>
      </c>
      <c r="L34" s="601">
        <f>+L8+L15+L21+L27</f>
        <v>65051.270000000004</v>
      </c>
      <c r="M34" s="5017">
        <f>+M8+M15+M21+M27</f>
        <v>392793.04212519818</v>
      </c>
      <c r="N34" s="886">
        <f t="shared" si="157"/>
        <v>174020.59000000003</v>
      </c>
      <c r="O34" s="5032">
        <f>+O8+O15+O21+O27</f>
        <v>220892.08989256411</v>
      </c>
      <c r="P34" s="601">
        <f t="shared" ref="P34" si="172">+P8+P15+P21+P27</f>
        <v>82656.160000000003</v>
      </c>
      <c r="Q34" s="5020">
        <f>+O34+M34</f>
        <v>613685.13201776228</v>
      </c>
      <c r="R34" s="602">
        <f t="shared" si="159"/>
        <v>256676.75000000003</v>
      </c>
      <c r="S34" s="5032">
        <f>+S8+S15+S21+S27</f>
        <v>220855.22292271996</v>
      </c>
      <c r="T34" s="601">
        <f>+T8+T15+T21+T27</f>
        <v>97004.97</v>
      </c>
      <c r="U34" s="5020">
        <f>+S34+Q34</f>
        <v>834540.35494048218</v>
      </c>
      <c r="V34" s="602">
        <f t="shared" si="160"/>
        <v>353681.72000000003</v>
      </c>
      <c r="W34" s="5032">
        <f>+W27+W21+W15+W8</f>
        <v>216173.36037437286</v>
      </c>
      <c r="X34" s="601">
        <f>+X8+X15+X21+X27</f>
        <v>102219.45999999999</v>
      </c>
      <c r="Y34" s="5017">
        <f>O34+S34+W34</f>
        <v>657920.67318965693</v>
      </c>
      <c r="Z34" s="886">
        <f t="shared" ref="Z34:Z37" si="173">P34+T34+X34</f>
        <v>281880.58999999997</v>
      </c>
      <c r="AA34" s="4982">
        <f>+U34+W34</f>
        <v>1050713.7153148551</v>
      </c>
      <c r="AB34" s="1293">
        <f t="shared" si="161"/>
        <v>455901.18000000005</v>
      </c>
      <c r="AC34" s="5032">
        <f>+AC27+AC21+AC15+AC8</f>
        <v>222643.95531708613</v>
      </c>
      <c r="AD34" s="601">
        <f>+AD8+AD15+AD21+AD27</f>
        <v>101716.5</v>
      </c>
      <c r="AE34" s="5020">
        <f>+AC34+AA34</f>
        <v>1273357.6706319412</v>
      </c>
      <c r="AF34" s="602">
        <f t="shared" si="162"/>
        <v>557617.68000000005</v>
      </c>
      <c r="AG34" s="5032">
        <f>+AG27+AG21+AG15+AG8</f>
        <v>214173.36037437286</v>
      </c>
      <c r="AH34" s="601">
        <f>+AH8+AH15+AH21+AH27</f>
        <v>81658.61</v>
      </c>
      <c r="AI34" s="5020">
        <f>+AG34+AE34</f>
        <v>1487531.0310063141</v>
      </c>
      <c r="AJ34" s="602">
        <f t="shared" si="163"/>
        <v>639276.29</v>
      </c>
      <c r="AK34" s="5032">
        <f>+AK27+AK21+AK15+AK8</f>
        <v>222469.95531708613</v>
      </c>
      <c r="AL34" s="601">
        <f>+AL8+AL15+AL21+AL27</f>
        <v>95716.889999999985</v>
      </c>
      <c r="AM34" s="5017">
        <f>+AC34+AG34+AK34</f>
        <v>659287.27100854507</v>
      </c>
      <c r="AN34" s="886">
        <f t="shared" ref="AN34:AN37" si="174">AD34+AH34+AL34</f>
        <v>279092</v>
      </c>
      <c r="AO34" s="5020">
        <f>+AI34+AK34</f>
        <v>1710000.9863234002</v>
      </c>
      <c r="AP34" s="602">
        <f t="shared" si="164"/>
        <v>734993.18</v>
      </c>
      <c r="AQ34" s="5032">
        <f>+AQ27+AQ21+AQ15+AQ8</f>
        <v>223143.95531708613</v>
      </c>
      <c r="AR34" s="601">
        <f t="shared" ref="AR34" si="175">+AR8+AR15+AR21+AR27</f>
        <v>114017.20000000001</v>
      </c>
      <c r="AS34" s="5020">
        <f>+AQ34+AO34</f>
        <v>1933144.9416404862</v>
      </c>
      <c r="AT34" s="602">
        <f t="shared" si="166"/>
        <v>849010.38000000012</v>
      </c>
      <c r="AU34" s="5032">
        <f>+AU27+AU21+AU15+AU8</f>
        <v>197211.2539499889</v>
      </c>
      <c r="AV34" s="601">
        <f t="shared" ref="AV34" si="176">+AV8+AV15+AV21+AV27</f>
        <v>103913.77</v>
      </c>
      <c r="AW34" s="5020">
        <f>+AU34+AS34</f>
        <v>2130356.1955904751</v>
      </c>
      <c r="AX34" s="602">
        <f t="shared" si="168"/>
        <v>952924.15000000014</v>
      </c>
      <c r="AY34" s="5032">
        <f>+AY27+AY21+AY15+AY8</f>
        <v>223093.95531708613</v>
      </c>
      <c r="AZ34" s="601">
        <f t="shared" ref="AZ34" si="177">+AZ8+AZ15+AZ21+AZ27</f>
        <v>144168.78</v>
      </c>
      <c r="BA34" s="5017">
        <f>+AQ34+AU34+AY34</f>
        <v>643449.16458416125</v>
      </c>
      <c r="BB34" s="886">
        <f>AR34+AV34+AZ34</f>
        <v>362099.75</v>
      </c>
      <c r="BC34" s="4982">
        <f>+BA34+AM34</f>
        <v>1302736.4355927063</v>
      </c>
      <c r="BD34" s="2062">
        <f t="shared" si="170"/>
        <v>641191.75</v>
      </c>
      <c r="BE34" s="5020">
        <f>+AW34+AY34</f>
        <v>2353450.1509075612</v>
      </c>
      <c r="BF34" s="2060">
        <f t="shared" ref="BF34:BF37" si="178">+AX34+AZ34</f>
        <v>1097092.9300000002</v>
      </c>
    </row>
    <row r="35" spans="2:65" ht="18.75" x14ac:dyDescent="0.25">
      <c r="B35" s="438" t="s">
        <v>79</v>
      </c>
      <c r="C35" s="115" t="s">
        <v>53</v>
      </c>
      <c r="D35" s="2079"/>
      <c r="E35" s="5052"/>
      <c r="F35" s="601">
        <f>+F10+F17+F23+F28</f>
        <v>29580.3</v>
      </c>
      <c r="G35" s="5033"/>
      <c r="H35" s="601">
        <f>+H10+H17+H23+H28</f>
        <v>23511.71</v>
      </c>
      <c r="I35" s="5021"/>
      <c r="J35" s="602">
        <f t="shared" si="156"/>
        <v>53092.009999999995</v>
      </c>
      <c r="K35" s="5033"/>
      <c r="L35" s="601">
        <f>+L10+L17+L23+L28</f>
        <v>50006.46</v>
      </c>
      <c r="M35" s="5018"/>
      <c r="N35" s="886">
        <f t="shared" si="157"/>
        <v>103098.47</v>
      </c>
      <c r="O35" s="5033"/>
      <c r="P35" s="601">
        <f>+P10+P17+P23+P28</f>
        <v>57970.83</v>
      </c>
      <c r="Q35" s="5021"/>
      <c r="R35" s="602">
        <f t="shared" si="159"/>
        <v>161069.29999999999</v>
      </c>
      <c r="S35" s="5033"/>
      <c r="T35" s="601">
        <f>+T10+T17+T23+T28</f>
        <v>42991.689999999995</v>
      </c>
      <c r="U35" s="5021"/>
      <c r="V35" s="602">
        <f t="shared" si="160"/>
        <v>204060.99</v>
      </c>
      <c r="W35" s="5033"/>
      <c r="X35" s="601">
        <f>+X10+X17+X23+X28</f>
        <v>36485.469999999994</v>
      </c>
      <c r="Y35" s="5018"/>
      <c r="Z35" s="886">
        <f t="shared" si="173"/>
        <v>137447.99</v>
      </c>
      <c r="AA35" s="4983"/>
      <c r="AB35" s="1293">
        <f t="shared" si="161"/>
        <v>240546.46</v>
      </c>
      <c r="AC35" s="5033"/>
      <c r="AD35" s="601">
        <f>+AD10+AD17+AD23+AD28</f>
        <v>44126.7</v>
      </c>
      <c r="AE35" s="5021"/>
      <c r="AF35" s="602">
        <f t="shared" si="162"/>
        <v>284673.15999999997</v>
      </c>
      <c r="AG35" s="5033"/>
      <c r="AH35" s="601">
        <f>+AH10+AH17+AH23+AH28</f>
        <v>55003.57</v>
      </c>
      <c r="AI35" s="5021"/>
      <c r="AJ35" s="602">
        <f t="shared" si="163"/>
        <v>339676.73</v>
      </c>
      <c r="AK35" s="5033"/>
      <c r="AL35" s="601">
        <f>+AL10+AL17+AL23+AL28</f>
        <v>93671.32</v>
      </c>
      <c r="AM35" s="5018"/>
      <c r="AN35" s="886">
        <f t="shared" si="174"/>
        <v>192801.59</v>
      </c>
      <c r="AO35" s="5021"/>
      <c r="AP35" s="602">
        <f t="shared" si="164"/>
        <v>433348.05</v>
      </c>
      <c r="AQ35" s="5033"/>
      <c r="AR35" s="601">
        <f>+AR10+AR17+AR23+AR28</f>
        <v>52992.639999999978</v>
      </c>
      <c r="AS35" s="5021"/>
      <c r="AT35" s="602">
        <f t="shared" si="166"/>
        <v>486340.68999999994</v>
      </c>
      <c r="AU35" s="5033"/>
      <c r="AV35" s="601">
        <f>+AV10+AV17+AV23+AV28</f>
        <v>34486.53</v>
      </c>
      <c r="AW35" s="5021"/>
      <c r="AX35" s="602">
        <f t="shared" si="168"/>
        <v>520827.22</v>
      </c>
      <c r="AY35" s="5033"/>
      <c r="AZ35" s="601">
        <f>+AZ10+AZ17+AZ23+AZ28</f>
        <v>46444.11</v>
      </c>
      <c r="BA35" s="5018"/>
      <c r="BB35" s="886">
        <f t="shared" ref="BB35:BB37" si="179">AR35+AV35+AZ35</f>
        <v>133923.27999999997</v>
      </c>
      <c r="BC35" s="4983"/>
      <c r="BD35" s="2062">
        <f t="shared" si="170"/>
        <v>326724.87</v>
      </c>
      <c r="BE35" s="5021"/>
      <c r="BF35" s="2060">
        <f t="shared" si="178"/>
        <v>567271.32999999996</v>
      </c>
    </row>
    <row r="36" spans="2:65" ht="18.75" x14ac:dyDescent="0.25">
      <c r="B36" s="438" t="s">
        <v>127</v>
      </c>
      <c r="C36" s="115" t="s">
        <v>53</v>
      </c>
      <c r="D36" s="2079"/>
      <c r="E36" s="5052"/>
      <c r="F36" s="601">
        <f>+F9+F16+F22+F29</f>
        <v>19244.8</v>
      </c>
      <c r="G36" s="5033"/>
      <c r="H36" s="601">
        <f>+H9+H16+H22+H29</f>
        <v>15804.810000000001</v>
      </c>
      <c r="I36" s="5021"/>
      <c r="J36" s="602">
        <f t="shared" si="156"/>
        <v>35049.61</v>
      </c>
      <c r="K36" s="5033"/>
      <c r="L36" s="601">
        <f>+L9+L16+L22+L29</f>
        <v>57325.27</v>
      </c>
      <c r="M36" s="5018"/>
      <c r="N36" s="886">
        <f t="shared" si="157"/>
        <v>92374.88</v>
      </c>
      <c r="O36" s="5033"/>
      <c r="P36" s="601">
        <f>+P9+P16+P22+P29</f>
        <v>42170.470000000008</v>
      </c>
      <c r="Q36" s="5021"/>
      <c r="R36" s="602">
        <f t="shared" si="159"/>
        <v>134545.35</v>
      </c>
      <c r="S36" s="5033"/>
      <c r="T36" s="601">
        <f>+T9+T16+T22+T29</f>
        <v>42788.259999999995</v>
      </c>
      <c r="U36" s="5021"/>
      <c r="V36" s="602">
        <f t="shared" si="160"/>
        <v>177333.61</v>
      </c>
      <c r="W36" s="5033"/>
      <c r="X36" s="601">
        <f>+X9+X16+X22+X29</f>
        <v>53873.319999999942</v>
      </c>
      <c r="Y36" s="5018"/>
      <c r="Z36" s="886">
        <f t="shared" si="173"/>
        <v>138832.04999999996</v>
      </c>
      <c r="AA36" s="4983"/>
      <c r="AB36" s="1293">
        <f t="shared" si="161"/>
        <v>231206.92999999993</v>
      </c>
      <c r="AC36" s="5033"/>
      <c r="AD36" s="601">
        <f>+AD9+AD16+AD22+AD29</f>
        <v>23677.009999999995</v>
      </c>
      <c r="AE36" s="5021"/>
      <c r="AF36" s="602">
        <f t="shared" si="162"/>
        <v>254883.93999999994</v>
      </c>
      <c r="AG36" s="5033"/>
      <c r="AH36" s="601">
        <f>+AH9+AH16+AH22+AH29</f>
        <v>44040.169999999991</v>
      </c>
      <c r="AI36" s="5021"/>
      <c r="AJ36" s="602">
        <f t="shared" si="163"/>
        <v>298924.10999999993</v>
      </c>
      <c r="AK36" s="5033"/>
      <c r="AL36" s="601">
        <f>+AL9+AL16+AL22+AL29</f>
        <v>20436.229999999992</v>
      </c>
      <c r="AM36" s="5018"/>
      <c r="AN36" s="886">
        <f t="shared" si="174"/>
        <v>88153.409999999989</v>
      </c>
      <c r="AO36" s="5021"/>
      <c r="AP36" s="602">
        <f t="shared" si="164"/>
        <v>319360.33999999991</v>
      </c>
      <c r="AQ36" s="5033"/>
      <c r="AR36" s="601">
        <f>+AR9+AR16+AR22+AR29</f>
        <v>33494.919999999991</v>
      </c>
      <c r="AS36" s="5021"/>
      <c r="AT36" s="602">
        <f t="shared" si="166"/>
        <v>352855.25999999989</v>
      </c>
      <c r="AU36" s="5033"/>
      <c r="AV36" s="601">
        <f>+AV9+AV16+AV22+AV29</f>
        <v>37415.319999999992</v>
      </c>
      <c r="AW36" s="5021"/>
      <c r="AX36" s="602">
        <f t="shared" si="168"/>
        <v>390270.5799999999</v>
      </c>
      <c r="AY36" s="5033"/>
      <c r="AZ36" s="601">
        <f>+AZ9+AZ16+AZ22+AZ29</f>
        <v>18711.889999999996</v>
      </c>
      <c r="BA36" s="5018"/>
      <c r="BB36" s="886">
        <f t="shared" si="179"/>
        <v>89622.12999999999</v>
      </c>
      <c r="BC36" s="4983"/>
      <c r="BD36" s="2062">
        <f t="shared" si="170"/>
        <v>177775.53999999998</v>
      </c>
      <c r="BE36" s="5021"/>
      <c r="BF36" s="2060">
        <f t="shared" si="178"/>
        <v>408982.46999999991</v>
      </c>
      <c r="BM36" s="48">
        <f>+AR38-AR35</f>
        <v>152872.48000000001</v>
      </c>
    </row>
    <row r="37" spans="2:65" ht="19.5" thickBot="1" x14ac:dyDescent="0.3">
      <c r="B37" s="2080" t="s">
        <v>80</v>
      </c>
      <c r="C37" s="2081" t="s">
        <v>53</v>
      </c>
      <c r="D37" s="2079"/>
      <c r="E37" s="5053"/>
      <c r="F37" s="603">
        <f>+F30+F14</f>
        <v>0</v>
      </c>
      <c r="G37" s="5034"/>
      <c r="H37" s="603">
        <f>+H30+H14</f>
        <v>5712.02</v>
      </c>
      <c r="I37" s="5022"/>
      <c r="J37" s="604">
        <f t="shared" si="156"/>
        <v>5712.02</v>
      </c>
      <c r="K37" s="5034"/>
      <c r="L37" s="603">
        <f>+L30+L14</f>
        <v>0</v>
      </c>
      <c r="M37" s="5019"/>
      <c r="N37" s="887">
        <f t="shared" si="157"/>
        <v>5712.02</v>
      </c>
      <c r="O37" s="5034"/>
      <c r="P37" s="603">
        <f>+P30+P14</f>
        <v>2863.6799999999994</v>
      </c>
      <c r="Q37" s="5022"/>
      <c r="R37" s="604">
        <f t="shared" si="159"/>
        <v>8575.7000000000007</v>
      </c>
      <c r="S37" s="5034"/>
      <c r="T37" s="603">
        <f>+T30+T14</f>
        <v>8333.58</v>
      </c>
      <c r="U37" s="5022"/>
      <c r="V37" s="604">
        <f t="shared" si="160"/>
        <v>16909.28</v>
      </c>
      <c r="W37" s="5034"/>
      <c r="X37" s="603">
        <f>+X30+X14</f>
        <v>5479.1599999999971</v>
      </c>
      <c r="Y37" s="5019"/>
      <c r="Z37" s="886">
        <f t="shared" si="173"/>
        <v>16676.419999999995</v>
      </c>
      <c r="AA37" s="4984"/>
      <c r="AB37" s="1294">
        <f t="shared" si="161"/>
        <v>22388.439999999995</v>
      </c>
      <c r="AC37" s="5034"/>
      <c r="AD37" s="603">
        <f>+AD30+AD14</f>
        <v>11475.779999999999</v>
      </c>
      <c r="AE37" s="5022"/>
      <c r="AF37" s="604">
        <f t="shared" si="162"/>
        <v>33864.219999999994</v>
      </c>
      <c r="AG37" s="5034"/>
      <c r="AH37" s="603">
        <f>+AH30+AH14</f>
        <v>2870</v>
      </c>
      <c r="AI37" s="5022"/>
      <c r="AJ37" s="604">
        <f t="shared" si="163"/>
        <v>36734.219999999994</v>
      </c>
      <c r="AK37" s="5034"/>
      <c r="AL37" s="603">
        <f>+AL30+AL14</f>
        <v>10720.04</v>
      </c>
      <c r="AM37" s="5019"/>
      <c r="AN37" s="886">
        <f t="shared" si="174"/>
        <v>25065.82</v>
      </c>
      <c r="AO37" s="5022"/>
      <c r="AP37" s="604">
        <f t="shared" si="164"/>
        <v>47454.259999999995</v>
      </c>
      <c r="AQ37" s="5034"/>
      <c r="AR37" s="603">
        <f>+AR30+AR14</f>
        <v>5342.76</v>
      </c>
      <c r="AS37" s="5022"/>
      <c r="AT37" s="604">
        <f t="shared" si="166"/>
        <v>52797.02</v>
      </c>
      <c r="AU37" s="5034"/>
      <c r="AV37" s="603">
        <f>+AV30+AV14</f>
        <v>8560.9199999999983</v>
      </c>
      <c r="AW37" s="5022"/>
      <c r="AX37" s="604">
        <f t="shared" si="168"/>
        <v>61357.939999999995</v>
      </c>
      <c r="AY37" s="5034"/>
      <c r="AZ37" s="603">
        <f>+AZ30+AZ14</f>
        <v>10348.9</v>
      </c>
      <c r="BA37" s="5019"/>
      <c r="BB37" s="886">
        <f t="shared" si="179"/>
        <v>24252.579999999998</v>
      </c>
      <c r="BC37" s="4984"/>
      <c r="BD37" s="2062">
        <f t="shared" si="170"/>
        <v>49318.399999999994</v>
      </c>
      <c r="BE37" s="5022"/>
      <c r="BF37" s="2060">
        <f t="shared" si="178"/>
        <v>71706.84</v>
      </c>
    </row>
    <row r="38" spans="2:65" ht="19.5" thickBot="1" x14ac:dyDescent="0.35">
      <c r="B38" s="599" t="s">
        <v>2</v>
      </c>
      <c r="C38" s="113" t="s">
        <v>53</v>
      </c>
      <c r="D38" s="2075">
        <f>+D31+D24+D18+D11</f>
        <v>2370000.1509075612</v>
      </c>
      <c r="E38" s="2065">
        <f>+E33+E34</f>
        <v>86999.999898595299</v>
      </c>
      <c r="F38" s="478">
        <f t="shared" ref="F38:K38" si="180">SUM(F33:F37)</f>
        <v>105593.42000000001</v>
      </c>
      <c r="G38" s="2066">
        <f>+G33+G34</f>
        <v>91500.460422291944</v>
      </c>
      <c r="H38" s="478">
        <f t="shared" ref="H38" si="181">SUM(H33:H37)</f>
        <v>104461.19</v>
      </c>
      <c r="I38" s="1577">
        <f t="shared" si="180"/>
        <v>178500.46032088724</v>
      </c>
      <c r="J38" s="479">
        <f t="shared" si="180"/>
        <v>210054.60999999996</v>
      </c>
      <c r="K38" s="2069">
        <f t="shared" si="180"/>
        <v>216292.5818043109</v>
      </c>
      <c r="L38" s="478">
        <f t="shared" ref="L38" si="182">SUM(L33:L37)</f>
        <v>174105.87</v>
      </c>
      <c r="M38" s="2005">
        <f t="shared" ref="M38:N38" si="183">SUM(M33:M37)</f>
        <v>394793.04212519818</v>
      </c>
      <c r="N38" s="888">
        <f t="shared" si="183"/>
        <v>384160.48000000004</v>
      </c>
      <c r="O38" s="2069">
        <f t="shared" ref="O38" si="184">SUM(O33:O37)</f>
        <v>222392.08989256411</v>
      </c>
      <c r="P38" s="478">
        <f t="shared" ref="P38" si="185">SUM(P33:P37)</f>
        <v>188605.11000000002</v>
      </c>
      <c r="Q38" s="1577">
        <f>SUM(Q33:Q37)</f>
        <v>617185.13201776228</v>
      </c>
      <c r="R38" s="479">
        <f t="shared" ref="R38:T38" si="186">SUM(R33:R37)</f>
        <v>572765.59</v>
      </c>
      <c r="S38" s="2069">
        <f>SUM(S33:S37)</f>
        <v>222855.22292271996</v>
      </c>
      <c r="T38" s="478">
        <f t="shared" si="186"/>
        <v>194394.43999999997</v>
      </c>
      <c r="U38" s="1577">
        <f>SUM(U33:U37)</f>
        <v>840040.35494048218</v>
      </c>
      <c r="V38" s="479">
        <f t="shared" ref="V38:X38" si="187">SUM(V33:V37)</f>
        <v>767160.03</v>
      </c>
      <c r="W38" s="2069">
        <f t="shared" si="187"/>
        <v>217673.36037437286</v>
      </c>
      <c r="X38" s="478">
        <f t="shared" si="187"/>
        <v>199685.87999999995</v>
      </c>
      <c r="Y38" s="2005">
        <f t="shared" ref="Y38:AB38" si="188">SUM(Y33:Y37)</f>
        <v>662920.67318965693</v>
      </c>
      <c r="Z38" s="888">
        <f t="shared" si="188"/>
        <v>582685.42999999993</v>
      </c>
      <c r="AA38" s="2069">
        <f t="shared" si="188"/>
        <v>1057713.7153148551</v>
      </c>
      <c r="AB38" s="1295">
        <f t="shared" si="188"/>
        <v>966845.90999999992</v>
      </c>
      <c r="AC38" s="2069">
        <f t="shared" ref="AC38:AN38" si="189">SUM(AC33:AC37)</f>
        <v>224143.95531708613</v>
      </c>
      <c r="AD38" s="478">
        <f t="shared" si="189"/>
        <v>184320.24000000002</v>
      </c>
      <c r="AE38" s="1577">
        <f>SUM(AE33:AE37)</f>
        <v>1281857.6706319412</v>
      </c>
      <c r="AF38" s="479">
        <f t="shared" ref="AF38" si="190">SUM(AF33:AF37)</f>
        <v>1151166.1499999999</v>
      </c>
      <c r="AG38" s="2069">
        <f t="shared" ref="AG38:AH38" si="191">SUM(AG33:AG37)</f>
        <v>215673.36037437286</v>
      </c>
      <c r="AH38" s="478">
        <f t="shared" si="191"/>
        <v>185786.66999999998</v>
      </c>
      <c r="AI38" s="1577">
        <f>SUM(AI33:AI37)</f>
        <v>1497531.0310063141</v>
      </c>
      <c r="AJ38" s="479">
        <f t="shared" ref="AJ38" si="192">SUM(AJ33:AJ37)</f>
        <v>1336952.8199999998</v>
      </c>
      <c r="AK38" s="2069">
        <f t="shared" ref="AK38:AL38" si="193">SUM(AK33:AK37)</f>
        <v>223969.95531708613</v>
      </c>
      <c r="AL38" s="478">
        <f t="shared" si="193"/>
        <v>222982.43999999997</v>
      </c>
      <c r="AM38" s="2005">
        <f>SUM(AM33:AM37)</f>
        <v>663787.27100854507</v>
      </c>
      <c r="AN38" s="888">
        <f t="shared" si="189"/>
        <v>593089.35</v>
      </c>
      <c r="AO38" s="1577">
        <f>SUM(AO33:AO37)</f>
        <v>1721500.9863234002</v>
      </c>
      <c r="AP38" s="479">
        <f t="shared" ref="AP38" si="194">SUM(AP33:AP37)</f>
        <v>1559935.26</v>
      </c>
      <c r="AQ38" s="2069">
        <f t="shared" ref="AQ38:AR38" si="195">SUM(AQ33:AQ37)</f>
        <v>224643.95531708613</v>
      </c>
      <c r="AR38" s="478">
        <f t="shared" si="195"/>
        <v>205865.12</v>
      </c>
      <c r="AS38" s="1577">
        <f>SUM(AS33:AS37)</f>
        <v>1946144.9416404862</v>
      </c>
      <c r="AT38" s="479">
        <f t="shared" ref="AT38" si="196">SUM(AT33:AT37)</f>
        <v>1765800.38</v>
      </c>
      <c r="AU38" s="2069">
        <f t="shared" ref="AU38:AV38" si="197">SUM(AU33:AU37)</f>
        <v>198711.2539499889</v>
      </c>
      <c r="AV38" s="478">
        <f t="shared" si="197"/>
        <v>186452.68</v>
      </c>
      <c r="AW38" s="1577">
        <f>SUM(AW33:AW37)</f>
        <v>2144856.1955904751</v>
      </c>
      <c r="AX38" s="479">
        <f t="shared" ref="AX38" si="198">SUM(AX33:AX37)</f>
        <v>1952253.0599999998</v>
      </c>
      <c r="AY38" s="2069">
        <f t="shared" ref="AY38:AZ38" si="199">SUM(AY33:AY37)</f>
        <v>224643.95531708613</v>
      </c>
      <c r="AZ38" s="478">
        <f t="shared" si="199"/>
        <v>226001.65999999997</v>
      </c>
      <c r="BA38" s="2005">
        <f>SUM(BA33:BA37)</f>
        <v>647999.16458416125</v>
      </c>
      <c r="BB38" s="888">
        <f t="shared" ref="BB38:BD38" si="200">SUM(BB33:BB37)</f>
        <v>618319.45999999985</v>
      </c>
      <c r="BC38" s="2006">
        <f>SUM(BC33:BC37)</f>
        <v>1311786.4355927063</v>
      </c>
      <c r="BD38" s="1295">
        <f t="shared" si="200"/>
        <v>1211408.8099999998</v>
      </c>
      <c r="BE38" s="1577">
        <f>SUM(BE33:BE37)</f>
        <v>2369500.1509075612</v>
      </c>
      <c r="BF38" s="479">
        <f t="shared" ref="BF38" si="201">SUM(BF33:BF37)</f>
        <v>2178254.7199999997</v>
      </c>
    </row>
    <row r="39" spans="2:65" s="334" customFormat="1" ht="19.5" thickBot="1" x14ac:dyDescent="0.3">
      <c r="B39" s="2174" t="s">
        <v>1673</v>
      </c>
      <c r="C39" s="2116" t="s">
        <v>52</v>
      </c>
      <c r="D39" s="2198"/>
      <c r="E39" s="3464" t="s">
        <v>35</v>
      </c>
      <c r="F39" s="3465">
        <f>+((F33+F34+F36+F37)/F38)*100</f>
        <v>71.98660674121551</v>
      </c>
      <c r="G39" s="3465"/>
      <c r="H39" s="3465">
        <f t="shared" ref="H39:AZ39" si="202">+((H33+H34+H36+H37)/H38)*100</f>
        <v>77.492396937082574</v>
      </c>
      <c r="I39" s="3465">
        <f t="shared" si="202"/>
        <v>100</v>
      </c>
      <c r="J39" s="3465">
        <f t="shared" si="202"/>
        <v>74.724663267328452</v>
      </c>
      <c r="K39" s="3465"/>
      <c r="L39" s="3465">
        <f t="shared" si="202"/>
        <v>71.278130944120392</v>
      </c>
      <c r="M39" s="3465"/>
      <c r="N39" s="3465">
        <f t="shared" si="202"/>
        <v>73.162655877564504</v>
      </c>
      <c r="O39" s="3465"/>
      <c r="P39" s="3465">
        <f t="shared" si="202"/>
        <v>69.263383160721361</v>
      </c>
      <c r="Q39" s="3465"/>
      <c r="R39" s="3465">
        <f t="shared" si="202"/>
        <v>71.87867029512023</v>
      </c>
      <c r="S39" s="3465"/>
      <c r="T39" s="3465">
        <f t="shared" si="202"/>
        <v>77.884300600366956</v>
      </c>
      <c r="U39" s="3465"/>
      <c r="V39" s="3465">
        <f t="shared" si="202"/>
        <v>73.40046639291154</v>
      </c>
      <c r="W39" s="3465"/>
      <c r="X39" s="3465">
        <f t="shared" si="202"/>
        <v>81.728567888726019</v>
      </c>
      <c r="Y39" s="3465"/>
      <c r="Z39" s="3465">
        <f t="shared" si="202"/>
        <v>76.411287647950971</v>
      </c>
      <c r="AA39" s="3465"/>
      <c r="AB39" s="3465">
        <f t="shared" si="202"/>
        <v>75.12049670872581</v>
      </c>
      <c r="AC39" s="3465"/>
      <c r="AD39" s="3465">
        <f t="shared" si="202"/>
        <v>76.05976424509862</v>
      </c>
      <c r="AE39" s="3465"/>
      <c r="AF39" s="3465">
        <f t="shared" ref="AF39" si="203">+((AF33+AF34+AF36+AF37)/AF38)*100</f>
        <v>75.270888568083777</v>
      </c>
      <c r="AG39" s="3465"/>
      <c r="AH39" s="3465">
        <f t="shared" si="202"/>
        <v>70.394232266502215</v>
      </c>
      <c r="AI39" s="3465"/>
      <c r="AJ39" s="3465">
        <f t="shared" ref="AJ39" si="204">+((AJ33+AJ34+AJ36+AJ37)/AJ38)*100</f>
        <v>74.593214889961487</v>
      </c>
      <c r="AK39" s="3465"/>
      <c r="AL39" s="3465">
        <f t="shared" si="202"/>
        <v>57.991615842036715</v>
      </c>
      <c r="AM39" s="3465"/>
      <c r="AN39" s="3465">
        <f t="shared" si="202"/>
        <v>67.491982447501371</v>
      </c>
      <c r="AO39" s="3465"/>
      <c r="AP39" s="3465">
        <f t="shared" si="202"/>
        <v>72.220125981382068</v>
      </c>
      <c r="AQ39" s="3465"/>
      <c r="AR39" s="3465">
        <f t="shared" si="202"/>
        <v>74.258563082468768</v>
      </c>
      <c r="AS39" s="3465"/>
      <c r="AT39" s="3465">
        <f t="shared" ref="AT39" si="205">+((AT33+AT34+AT36+AT37)/AT38)*100</f>
        <v>72.457776342759644</v>
      </c>
      <c r="AU39" s="3465"/>
      <c r="AV39" s="3465">
        <f t="shared" si="202"/>
        <v>81.503870043594958</v>
      </c>
      <c r="AW39" s="3465"/>
      <c r="AX39" s="3465">
        <f t="shared" ref="AX39" si="206">+((AX33+AX34+AX36+AX37)/AX38)*100</f>
        <v>73.321736271218867</v>
      </c>
      <c r="AY39" s="3465"/>
      <c r="AZ39" s="3465">
        <f t="shared" si="202"/>
        <v>79.449659794534256</v>
      </c>
      <c r="BA39" s="3465"/>
      <c r="BB39" s="3465">
        <f t="shared" ref="BB39" si="207">+((BB33+BB34+BB36+BB37)/BB38)*100</f>
        <v>78.340762556624071</v>
      </c>
      <c r="BC39" s="3465"/>
      <c r="BD39" s="3465">
        <f t="shared" ref="BD39" si="208">+((BD33+BD34+BD36+BD37)/BD38)*100</f>
        <v>73.029346715746627</v>
      </c>
      <c r="BE39" s="3465"/>
      <c r="BF39" s="3465">
        <f t="shared" ref="BF39" si="209">+((BF33+BF34+BF36+BF37)/BF38)*100</f>
        <v>73.957530090879374</v>
      </c>
    </row>
    <row r="40" spans="2:65" s="334" customFormat="1" ht="18.75" x14ac:dyDescent="0.25">
      <c r="B40" s="690" t="s">
        <v>162</v>
      </c>
      <c r="C40" s="622"/>
      <c r="D40" s="2056"/>
      <c r="E40" s="622"/>
      <c r="F40" s="622"/>
      <c r="G40" s="690"/>
      <c r="H40" s="622"/>
      <c r="I40" s="622"/>
      <c r="J40" s="622"/>
      <c r="K40" s="622"/>
      <c r="L40" s="622"/>
      <c r="M40" s="622"/>
      <c r="N40" s="622"/>
      <c r="O40" s="622"/>
      <c r="P40" s="622"/>
      <c r="Q40" s="622"/>
      <c r="R40" s="622"/>
      <c r="S40" s="622"/>
      <c r="T40" s="622"/>
      <c r="U40" s="622"/>
      <c r="V40" s="622"/>
      <c r="W40" s="622"/>
      <c r="X40" s="622"/>
      <c r="Y40" s="622"/>
      <c r="Z40" s="622"/>
      <c r="AA40" s="622"/>
      <c r="AB40" s="622"/>
      <c r="AC40" s="622"/>
      <c r="AD40" s="622"/>
      <c r="AE40" s="622"/>
      <c r="AF40" s="622"/>
      <c r="AG40" s="622"/>
      <c r="AH40" s="622"/>
      <c r="AI40" s="622"/>
      <c r="AJ40" s="622"/>
      <c r="AK40" s="622"/>
      <c r="AL40" s="622"/>
      <c r="AM40" s="622"/>
      <c r="AN40" s="622"/>
      <c r="AO40" s="622"/>
      <c r="AP40" s="622"/>
      <c r="AQ40" s="622"/>
      <c r="AR40" s="622"/>
      <c r="AS40" s="622"/>
      <c r="AT40" s="622"/>
      <c r="AU40" s="622"/>
      <c r="AV40" s="622"/>
      <c r="AW40" s="622"/>
      <c r="AX40" s="622"/>
      <c r="AY40" s="622"/>
      <c r="AZ40" s="622"/>
      <c r="BA40" s="622"/>
      <c r="BB40" s="622"/>
      <c r="BC40" s="622"/>
      <c r="BD40" s="622"/>
      <c r="BE40" s="622"/>
      <c r="BF40" s="622"/>
    </row>
    <row r="41" spans="2:65" ht="18.75" x14ac:dyDescent="0.25">
      <c r="B41" s="597" t="s">
        <v>123</v>
      </c>
      <c r="C41" s="2082" t="s">
        <v>53</v>
      </c>
      <c r="D41" s="2074">
        <f>+D11</f>
        <v>500000</v>
      </c>
      <c r="E41" s="2083">
        <f>+E11</f>
        <v>33000</v>
      </c>
      <c r="F41" s="507">
        <f>+F11</f>
        <v>32479.46</v>
      </c>
      <c r="G41" s="2084">
        <f>+G11</f>
        <v>41500</v>
      </c>
      <c r="H41" s="507">
        <f>+H11</f>
        <v>29307.43</v>
      </c>
      <c r="I41" s="3922">
        <f>+E41+G41</f>
        <v>74500</v>
      </c>
      <c r="J41" s="517">
        <f t="shared" ref="J41:J44" si="210">+F41+H41</f>
        <v>61786.89</v>
      </c>
      <c r="K41" s="2084">
        <f>+K11</f>
        <v>41500</v>
      </c>
      <c r="L41" s="507">
        <f>+L11</f>
        <v>36165.990000000005</v>
      </c>
      <c r="M41" s="3940">
        <f>+I41+K41</f>
        <v>116000</v>
      </c>
      <c r="N41" s="611">
        <f t="shared" ref="N41:N44" si="211">+J41+L41</f>
        <v>97952.88</v>
      </c>
      <c r="O41" s="2084">
        <f>+O11</f>
        <v>43500</v>
      </c>
      <c r="P41" s="507">
        <f>+P11</f>
        <v>39401.82</v>
      </c>
      <c r="Q41" s="3922">
        <f>+M41+O41</f>
        <v>159500</v>
      </c>
      <c r="R41" s="517">
        <f t="shared" ref="R41:R44" si="212">+N41+P41</f>
        <v>137354.70000000001</v>
      </c>
      <c r="S41" s="2084">
        <f>+S11</f>
        <v>43500</v>
      </c>
      <c r="T41" s="507">
        <f>+T11</f>
        <v>41652.299999999996</v>
      </c>
      <c r="U41" s="3922">
        <f>+Q41+S41</f>
        <v>203000</v>
      </c>
      <c r="V41" s="517">
        <f t="shared" ref="V41:V44" si="213">+R41+T41</f>
        <v>179007</v>
      </c>
      <c r="W41" s="2084">
        <f>+W11</f>
        <v>42000</v>
      </c>
      <c r="X41" s="507">
        <f>+X11</f>
        <v>40286.89</v>
      </c>
      <c r="Y41" s="3940">
        <f>O41+S41+W41</f>
        <v>129000</v>
      </c>
      <c r="Z41" s="611">
        <f>P41+T41+X41</f>
        <v>121341.01</v>
      </c>
      <c r="AA41" s="3948">
        <f>+U41+W41</f>
        <v>245000</v>
      </c>
      <c r="AB41" s="1287">
        <f t="shared" ref="AB41:AB44" si="214">+V41+X41</f>
        <v>219293.89</v>
      </c>
      <c r="AC41" s="2084">
        <f>+AC11</f>
        <v>43500</v>
      </c>
      <c r="AD41" s="507">
        <f>+AD11</f>
        <v>41035.009999999995</v>
      </c>
      <c r="AE41" s="3922">
        <f>+AA41+AC41</f>
        <v>288500</v>
      </c>
      <c r="AF41" s="517">
        <f t="shared" ref="AF41:AF44" si="215">+AB41+AD41</f>
        <v>260328.90000000002</v>
      </c>
      <c r="AG41" s="2084">
        <f>+AG11</f>
        <v>42000</v>
      </c>
      <c r="AH41" s="507">
        <f>+AH11</f>
        <v>36699.67</v>
      </c>
      <c r="AI41" s="3922">
        <f>+AE41+AG41</f>
        <v>330500</v>
      </c>
      <c r="AJ41" s="517">
        <f t="shared" ref="AJ41:AJ44" si="216">+AF41+AH41</f>
        <v>297028.57</v>
      </c>
      <c r="AK41" s="2084">
        <f>+AK11</f>
        <v>43000</v>
      </c>
      <c r="AL41" s="507">
        <f>+AL11</f>
        <v>37448.32</v>
      </c>
      <c r="AM41" s="3940">
        <f>AC41+AG41+AK41</f>
        <v>128500</v>
      </c>
      <c r="AN41" s="611">
        <f>AD41+AH41+AL41</f>
        <v>115183</v>
      </c>
      <c r="AO41" s="3922">
        <f>+AI41+AK41</f>
        <v>373500</v>
      </c>
      <c r="AP41" s="517">
        <f t="shared" ref="AP41:AP44" si="217">+AJ41+AL41</f>
        <v>334476.89</v>
      </c>
      <c r="AQ41" s="2084">
        <f>+AQ11</f>
        <v>43500</v>
      </c>
      <c r="AR41" s="507">
        <f>+AR11</f>
        <v>41962.080000000002</v>
      </c>
      <c r="AS41" s="3922">
        <f>+AO41+AQ41</f>
        <v>417000</v>
      </c>
      <c r="AT41" s="517">
        <f t="shared" ref="AT41:AT44" si="218">+AP41+AR41</f>
        <v>376438.97000000003</v>
      </c>
      <c r="AU41" s="2084">
        <f>+AU11</f>
        <v>39000</v>
      </c>
      <c r="AV41" s="507">
        <f>+AV11</f>
        <v>44216.669999999991</v>
      </c>
      <c r="AW41" s="3999">
        <f>+AS41+AU41</f>
        <v>456000</v>
      </c>
      <c r="AX41" s="517">
        <f t="shared" ref="AX41:AX44" si="219">+AT41+AV41</f>
        <v>420655.64</v>
      </c>
      <c r="AY41" s="2084">
        <f>+AY11</f>
        <v>43500</v>
      </c>
      <c r="AZ41" s="507">
        <f>+AZ11</f>
        <v>47362.03</v>
      </c>
      <c r="BA41" s="4137">
        <f>AQ41+AU41+AY41</f>
        <v>126000</v>
      </c>
      <c r="BB41" s="611">
        <f>AR41+AV41+AZ41</f>
        <v>133540.78</v>
      </c>
      <c r="BC41" s="4144">
        <f t="shared" ref="BC41:BC45" si="220">+BA41+AM41</f>
        <v>254500</v>
      </c>
      <c r="BD41" s="1287">
        <f t="shared" ref="BD41:BD45" si="221">+BB41+AN41</f>
        <v>248723.78</v>
      </c>
      <c r="BE41" s="4130">
        <f>+AW41+AY41</f>
        <v>499500</v>
      </c>
      <c r="BF41" s="517">
        <f t="shared" ref="BF41:BF44" si="222">+AX41+AZ41</f>
        <v>468017.67000000004</v>
      </c>
    </row>
    <row r="42" spans="2:65" ht="18.75" x14ac:dyDescent="0.25">
      <c r="B42" s="597" t="s">
        <v>101</v>
      </c>
      <c r="C42" s="2058" t="s">
        <v>53</v>
      </c>
      <c r="D42" s="2070">
        <f>+D18</f>
        <v>750000</v>
      </c>
      <c r="E42" s="1848">
        <f>+E18</f>
        <v>44000</v>
      </c>
      <c r="F42" s="508">
        <f>+F18</f>
        <v>35076.639999999999</v>
      </c>
      <c r="G42" s="2085">
        <f>+G18</f>
        <v>50000</v>
      </c>
      <c r="H42" s="508">
        <f>+H18</f>
        <v>34586.76</v>
      </c>
      <c r="I42" s="3922">
        <f t="shared" ref="I42:I44" si="223">+E42+G42</f>
        <v>94000</v>
      </c>
      <c r="J42" s="517">
        <f t="shared" si="210"/>
        <v>69663.399999999994</v>
      </c>
      <c r="K42" s="2085">
        <f>+K18</f>
        <v>65000</v>
      </c>
      <c r="L42" s="508">
        <f>+L18</f>
        <v>51668.42</v>
      </c>
      <c r="M42" s="3940">
        <f t="shared" ref="M42:M44" si="224">+I42+K42</f>
        <v>159000</v>
      </c>
      <c r="N42" s="611">
        <f t="shared" si="211"/>
        <v>121331.81999999999</v>
      </c>
      <c r="O42" s="2085">
        <f>+O18</f>
        <v>67000</v>
      </c>
      <c r="P42" s="508">
        <f>+P18</f>
        <v>53901.93</v>
      </c>
      <c r="Q42" s="3922">
        <f t="shared" ref="Q42:Q44" si="225">+M42+O42</f>
        <v>226000</v>
      </c>
      <c r="R42" s="517">
        <f t="shared" si="212"/>
        <v>175233.75</v>
      </c>
      <c r="S42" s="2085">
        <f>+S18</f>
        <v>67000</v>
      </c>
      <c r="T42" s="508">
        <f>+T18</f>
        <v>50809.85</v>
      </c>
      <c r="U42" s="3922">
        <f t="shared" ref="U42:U44" si="226">+Q42+S42</f>
        <v>293000</v>
      </c>
      <c r="V42" s="517">
        <f t="shared" si="213"/>
        <v>226043.6</v>
      </c>
      <c r="W42" s="2085">
        <f>+W18</f>
        <v>65000</v>
      </c>
      <c r="X42" s="508">
        <f>+X18</f>
        <v>54227.869999999995</v>
      </c>
      <c r="Y42" s="3940">
        <f t="shared" ref="Y42:Y43" si="227">O42+S42+W42</f>
        <v>199000</v>
      </c>
      <c r="Z42" s="611">
        <f t="shared" ref="Z42:Z44" si="228">P42+T42+X42</f>
        <v>158939.65</v>
      </c>
      <c r="AA42" s="3948">
        <f t="shared" ref="AA42:AA44" si="229">+U42+W42</f>
        <v>358000</v>
      </c>
      <c r="AB42" s="1287">
        <f t="shared" si="214"/>
        <v>280271.46999999997</v>
      </c>
      <c r="AC42" s="2085">
        <f>+AC18</f>
        <v>67000</v>
      </c>
      <c r="AD42" s="508">
        <f>+AD18</f>
        <v>58924.31</v>
      </c>
      <c r="AE42" s="3922">
        <f t="shared" ref="AE42:AE44" si="230">+AA42+AC42</f>
        <v>425000</v>
      </c>
      <c r="AF42" s="517">
        <f t="shared" si="215"/>
        <v>339195.77999999997</v>
      </c>
      <c r="AG42" s="2085">
        <f>+AG18</f>
        <v>65000</v>
      </c>
      <c r="AH42" s="508">
        <f>+AH18</f>
        <v>49365.07</v>
      </c>
      <c r="AI42" s="3922">
        <f t="shared" ref="AI42:AI44" si="231">+AE42+AG42</f>
        <v>490000</v>
      </c>
      <c r="AJ42" s="517">
        <f t="shared" si="216"/>
        <v>388560.85</v>
      </c>
      <c r="AK42" s="2085">
        <f>+AK18</f>
        <v>67000</v>
      </c>
      <c r="AL42" s="508">
        <f>+AL18</f>
        <v>75504.19</v>
      </c>
      <c r="AM42" s="3940">
        <f t="shared" ref="AM42:AM43" si="232">AC42+AG42+AK42</f>
        <v>199000</v>
      </c>
      <c r="AN42" s="611">
        <f t="shared" ref="AN42:AN44" si="233">AD42+AH42+AL42</f>
        <v>183793.57</v>
      </c>
      <c r="AO42" s="3922">
        <f t="shared" ref="AO42:AO44" si="234">+AI42+AK42</f>
        <v>557000</v>
      </c>
      <c r="AP42" s="517">
        <f t="shared" si="217"/>
        <v>464065.04</v>
      </c>
      <c r="AQ42" s="2085">
        <f>+AQ18</f>
        <v>67000</v>
      </c>
      <c r="AR42" s="508">
        <f>+AR18</f>
        <v>66658.319999999978</v>
      </c>
      <c r="AS42" s="3922">
        <f t="shared" ref="AS42:AS44" si="235">+AO42+AQ42</f>
        <v>624000</v>
      </c>
      <c r="AT42" s="517">
        <f t="shared" si="218"/>
        <v>530723.36</v>
      </c>
      <c r="AU42" s="2085">
        <f>+AU18</f>
        <v>59000</v>
      </c>
      <c r="AV42" s="508">
        <f>+AV18</f>
        <v>46901.53</v>
      </c>
      <c r="AW42" s="3999">
        <f t="shared" ref="AW42:AW44" si="236">+AS42+AU42</f>
        <v>683000</v>
      </c>
      <c r="AX42" s="517">
        <f t="shared" si="219"/>
        <v>577624.89</v>
      </c>
      <c r="AY42" s="2085">
        <f>+AY18</f>
        <v>67000</v>
      </c>
      <c r="AZ42" s="508">
        <f>+AZ18</f>
        <v>73905.45</v>
      </c>
      <c r="BA42" s="4137">
        <f t="shared" ref="BA42:BA43" si="237">AQ42+AU42+AY42</f>
        <v>193000</v>
      </c>
      <c r="BB42" s="611">
        <f t="shared" ref="BB42:BB44" si="238">AR42+AV42+AZ42</f>
        <v>187465.3</v>
      </c>
      <c r="BC42" s="4144">
        <f t="shared" si="220"/>
        <v>392000</v>
      </c>
      <c r="BD42" s="1287">
        <f t="shared" si="221"/>
        <v>371258.87</v>
      </c>
      <c r="BE42" s="4130">
        <f t="shared" ref="BE42:BE44" si="239">+AW42+AY42</f>
        <v>750000</v>
      </c>
      <c r="BF42" s="517">
        <f t="shared" si="222"/>
        <v>651530.34</v>
      </c>
    </row>
    <row r="43" spans="2:65" ht="18.75" x14ac:dyDescent="0.25">
      <c r="B43" s="597" t="s">
        <v>124</v>
      </c>
      <c r="C43" s="2058" t="s">
        <v>53</v>
      </c>
      <c r="D43" s="2070">
        <f>+D24</f>
        <v>450000</v>
      </c>
      <c r="E43" s="1848">
        <f>+E24</f>
        <v>10000</v>
      </c>
      <c r="F43" s="508">
        <f>+F24</f>
        <v>9066.34</v>
      </c>
      <c r="G43" s="2085">
        <f>+G24</f>
        <v>0</v>
      </c>
      <c r="H43" s="508">
        <f>+H24</f>
        <v>2525.46</v>
      </c>
      <c r="I43" s="3922">
        <f t="shared" si="223"/>
        <v>10000</v>
      </c>
      <c r="J43" s="517">
        <f t="shared" si="210"/>
        <v>11591.8</v>
      </c>
      <c r="K43" s="2085">
        <f>+K24</f>
        <v>40000</v>
      </c>
      <c r="L43" s="508">
        <f>+L24</f>
        <v>7751.2099999999991</v>
      </c>
      <c r="M43" s="3940">
        <f t="shared" si="224"/>
        <v>50000</v>
      </c>
      <c r="N43" s="611">
        <f t="shared" si="211"/>
        <v>19343.009999999998</v>
      </c>
      <c r="O43" s="2085">
        <f>+O24</f>
        <v>40000</v>
      </c>
      <c r="P43" s="508">
        <f>+P24</f>
        <v>22732.9</v>
      </c>
      <c r="Q43" s="3922">
        <f t="shared" si="225"/>
        <v>90000</v>
      </c>
      <c r="R43" s="517">
        <f t="shared" si="212"/>
        <v>42075.91</v>
      </c>
      <c r="S43" s="2085">
        <f>+S24</f>
        <v>45000</v>
      </c>
      <c r="T43" s="508">
        <f>+T24</f>
        <v>19016.82</v>
      </c>
      <c r="U43" s="3922">
        <f t="shared" si="226"/>
        <v>135000</v>
      </c>
      <c r="V43" s="517">
        <f t="shared" si="213"/>
        <v>61092.73</v>
      </c>
      <c r="W43" s="2085">
        <f>+W24</f>
        <v>45000</v>
      </c>
      <c r="X43" s="508">
        <f>+X24</f>
        <v>9271.7000000000007</v>
      </c>
      <c r="Y43" s="3940">
        <f t="shared" si="227"/>
        <v>130000</v>
      </c>
      <c r="Z43" s="611">
        <f t="shared" si="228"/>
        <v>51021.42</v>
      </c>
      <c r="AA43" s="3948">
        <f t="shared" si="229"/>
        <v>180000</v>
      </c>
      <c r="AB43" s="1287">
        <f t="shared" si="214"/>
        <v>70364.430000000008</v>
      </c>
      <c r="AC43" s="2085">
        <f>+AC24</f>
        <v>45000</v>
      </c>
      <c r="AD43" s="508">
        <f>+AD24</f>
        <v>21321.119999999995</v>
      </c>
      <c r="AE43" s="3922">
        <f t="shared" si="230"/>
        <v>225000</v>
      </c>
      <c r="AF43" s="517">
        <f t="shared" si="215"/>
        <v>91685.55</v>
      </c>
      <c r="AG43" s="2085">
        <f>+AG24</f>
        <v>45000</v>
      </c>
      <c r="AH43" s="508">
        <f>+AH24</f>
        <v>21142.22</v>
      </c>
      <c r="AI43" s="3922">
        <f t="shared" si="231"/>
        <v>270000</v>
      </c>
      <c r="AJ43" s="517">
        <f t="shared" si="216"/>
        <v>112827.77</v>
      </c>
      <c r="AK43" s="2085">
        <f>+AK24</f>
        <v>45000</v>
      </c>
      <c r="AL43" s="508">
        <f>+AL24</f>
        <v>28432.320000000007</v>
      </c>
      <c r="AM43" s="3940">
        <f t="shared" si="232"/>
        <v>135000</v>
      </c>
      <c r="AN43" s="611">
        <f t="shared" si="233"/>
        <v>70895.66</v>
      </c>
      <c r="AO43" s="3922">
        <f t="shared" si="234"/>
        <v>315000</v>
      </c>
      <c r="AP43" s="517">
        <f t="shared" si="217"/>
        <v>141260.09000000003</v>
      </c>
      <c r="AQ43" s="2085">
        <f>+AQ24</f>
        <v>45000</v>
      </c>
      <c r="AR43" s="508">
        <f>+AR24</f>
        <v>20928.53</v>
      </c>
      <c r="AS43" s="3922">
        <f t="shared" si="235"/>
        <v>360000</v>
      </c>
      <c r="AT43" s="517">
        <f t="shared" si="218"/>
        <v>162188.62000000002</v>
      </c>
      <c r="AU43" s="2085">
        <f>+AU24</f>
        <v>45000</v>
      </c>
      <c r="AV43" s="508">
        <f>+AV24</f>
        <v>23604.03</v>
      </c>
      <c r="AW43" s="3999">
        <f t="shared" si="236"/>
        <v>405000</v>
      </c>
      <c r="AX43" s="517">
        <f t="shared" si="219"/>
        <v>185792.65000000002</v>
      </c>
      <c r="AY43" s="2085">
        <f>+AY24</f>
        <v>45000</v>
      </c>
      <c r="AZ43" s="508">
        <f>+AZ24</f>
        <v>28526.890000000003</v>
      </c>
      <c r="BA43" s="4137">
        <f t="shared" si="237"/>
        <v>135000</v>
      </c>
      <c r="BB43" s="611">
        <f t="shared" si="238"/>
        <v>73059.45</v>
      </c>
      <c r="BC43" s="4144">
        <f t="shared" si="220"/>
        <v>270000</v>
      </c>
      <c r="BD43" s="1287">
        <f t="shared" si="221"/>
        <v>143955.10999999999</v>
      </c>
      <c r="BE43" s="4130">
        <f t="shared" si="239"/>
        <v>450000</v>
      </c>
      <c r="BF43" s="517">
        <f t="shared" si="222"/>
        <v>214319.54000000004</v>
      </c>
    </row>
    <row r="44" spans="2:65" ht="19.5" thickBot="1" x14ac:dyDescent="0.3">
      <c r="B44" s="598" t="s">
        <v>561</v>
      </c>
      <c r="C44" s="2063" t="s">
        <v>53</v>
      </c>
      <c r="D44" s="2086">
        <f>+D31</f>
        <v>670000.15090756118</v>
      </c>
      <c r="E44" s="1848">
        <f>+E31</f>
        <v>-1.0140470251940314E-4</v>
      </c>
      <c r="F44" s="509">
        <f>+F31</f>
        <v>28970.98</v>
      </c>
      <c r="G44" s="2085">
        <f>+G31</f>
        <v>0.46042229194426909</v>
      </c>
      <c r="H44" s="509">
        <f>+H31</f>
        <v>38041.54</v>
      </c>
      <c r="I44" s="3922">
        <f t="shared" si="223"/>
        <v>0.46032088724174969</v>
      </c>
      <c r="J44" s="517">
        <f t="shared" si="210"/>
        <v>67012.52</v>
      </c>
      <c r="K44" s="2085">
        <f>+K31</f>
        <v>69792.581804310903</v>
      </c>
      <c r="L44" s="509">
        <f>+L31</f>
        <v>78520.25</v>
      </c>
      <c r="M44" s="3940">
        <f t="shared" si="224"/>
        <v>69793.042125198146</v>
      </c>
      <c r="N44" s="611">
        <f t="shared" si="211"/>
        <v>145532.77000000002</v>
      </c>
      <c r="O44" s="2085">
        <f>+O31</f>
        <v>71892.089892564109</v>
      </c>
      <c r="P44" s="509">
        <f>+P31</f>
        <v>72568.460000000006</v>
      </c>
      <c r="Q44" s="3922">
        <f t="shared" si="225"/>
        <v>141685.13201776225</v>
      </c>
      <c r="R44" s="517">
        <f t="shared" si="212"/>
        <v>218101.23000000004</v>
      </c>
      <c r="S44" s="2085">
        <f>+S31</f>
        <v>67355.222922719942</v>
      </c>
      <c r="T44" s="509">
        <f>+T31</f>
        <v>82915.469999999987</v>
      </c>
      <c r="U44" s="3922">
        <f t="shared" si="226"/>
        <v>209040.35494048218</v>
      </c>
      <c r="V44" s="517">
        <f t="shared" si="213"/>
        <v>301016.7</v>
      </c>
      <c r="W44" s="2085">
        <f>+W31</f>
        <v>65673.36037437286</v>
      </c>
      <c r="X44" s="509">
        <f>+X31</f>
        <v>95899.419999999955</v>
      </c>
      <c r="Y44" s="3940">
        <f>O44+S44+W44</f>
        <v>204920.67318965693</v>
      </c>
      <c r="Z44" s="611">
        <f t="shared" si="228"/>
        <v>251383.34999999995</v>
      </c>
      <c r="AA44" s="3948">
        <f t="shared" si="229"/>
        <v>274713.71531485504</v>
      </c>
      <c r="AB44" s="1287">
        <f t="shared" si="214"/>
        <v>396916.12</v>
      </c>
      <c r="AC44" s="2085">
        <f>+AC31</f>
        <v>68643.955317086118</v>
      </c>
      <c r="AD44" s="509">
        <f>+AD31</f>
        <v>63039.799999999988</v>
      </c>
      <c r="AE44" s="3922">
        <f t="shared" si="230"/>
        <v>343357.67063194118</v>
      </c>
      <c r="AF44" s="517">
        <f t="shared" si="215"/>
        <v>459955.92</v>
      </c>
      <c r="AG44" s="2085">
        <f>+AG31</f>
        <v>63673.36037437286</v>
      </c>
      <c r="AH44" s="509">
        <f>+AH31</f>
        <v>78579.709999999992</v>
      </c>
      <c r="AI44" s="3922">
        <f t="shared" si="231"/>
        <v>407031.03100631404</v>
      </c>
      <c r="AJ44" s="517">
        <f t="shared" si="216"/>
        <v>538535.63</v>
      </c>
      <c r="AK44" s="2085">
        <f>+AK31</f>
        <v>68969.955317086118</v>
      </c>
      <c r="AL44" s="509">
        <f>+AL31</f>
        <v>81597.609999999957</v>
      </c>
      <c r="AM44" s="3940">
        <f>AC44+AG44+AK44</f>
        <v>201287.27100854513</v>
      </c>
      <c r="AN44" s="611">
        <f t="shared" si="233"/>
        <v>223217.11999999994</v>
      </c>
      <c r="AO44" s="3922">
        <f t="shared" si="234"/>
        <v>476000.98632340017</v>
      </c>
      <c r="AP44" s="517">
        <f t="shared" si="217"/>
        <v>620133.24</v>
      </c>
      <c r="AQ44" s="2085">
        <f>+AQ31</f>
        <v>69143.955317086118</v>
      </c>
      <c r="AR44" s="509">
        <f>+AR31</f>
        <v>76316.189999999988</v>
      </c>
      <c r="AS44" s="3922">
        <f t="shared" si="235"/>
        <v>545144.94164048624</v>
      </c>
      <c r="AT44" s="517">
        <f t="shared" si="218"/>
        <v>696449.42999999993</v>
      </c>
      <c r="AU44" s="2085">
        <f>+AU31</f>
        <v>55711.253949988895</v>
      </c>
      <c r="AV44" s="509">
        <f>+AV31</f>
        <v>71730.45</v>
      </c>
      <c r="AW44" s="3999">
        <f t="shared" si="236"/>
        <v>600856.19559047511</v>
      </c>
      <c r="AX44" s="517">
        <f t="shared" si="219"/>
        <v>768179.87999999989</v>
      </c>
      <c r="AY44" s="2085">
        <f>+AY31</f>
        <v>69143.955317086118</v>
      </c>
      <c r="AZ44" s="509">
        <f>+AZ31</f>
        <v>76207.289999999979</v>
      </c>
      <c r="BA44" s="4137">
        <f>AQ44+AU44+AY44</f>
        <v>193999.16458416113</v>
      </c>
      <c r="BB44" s="611">
        <f t="shared" si="238"/>
        <v>224253.92999999996</v>
      </c>
      <c r="BC44" s="4144">
        <f t="shared" si="220"/>
        <v>395286.43559270626</v>
      </c>
      <c r="BD44" s="1287">
        <f t="shared" si="221"/>
        <v>447471.04999999993</v>
      </c>
      <c r="BE44" s="4130">
        <f t="shared" si="239"/>
        <v>670000.15090756118</v>
      </c>
      <c r="BF44" s="517">
        <f t="shared" si="222"/>
        <v>844387.16999999993</v>
      </c>
    </row>
    <row r="45" spans="2:65" ht="19.5" thickBot="1" x14ac:dyDescent="0.3">
      <c r="B45" s="599" t="s">
        <v>2</v>
      </c>
      <c r="C45" s="113" t="s">
        <v>53</v>
      </c>
      <c r="D45" s="2075">
        <f>SUM(D41:D44)</f>
        <v>2370000.1509075612</v>
      </c>
      <c r="E45" s="2004">
        <f t="shared" ref="E45:J45" si="240">SUM(E41:E44)</f>
        <v>86999.999898595299</v>
      </c>
      <c r="F45" s="323">
        <f t="shared" si="240"/>
        <v>105593.42</v>
      </c>
      <c r="G45" s="2069">
        <f t="shared" ref="G45:H45" si="241">SUM(G41:G44)</f>
        <v>91500.460422291944</v>
      </c>
      <c r="H45" s="323">
        <f t="shared" si="241"/>
        <v>104461.19</v>
      </c>
      <c r="I45" s="1577">
        <f t="shared" si="240"/>
        <v>178500.46032088724</v>
      </c>
      <c r="J45" s="472">
        <f t="shared" si="240"/>
        <v>210054.61</v>
      </c>
      <c r="K45" s="2004">
        <f t="shared" ref="K45:L45" si="242">SUM(K41:K44)</f>
        <v>216292.5818043109</v>
      </c>
      <c r="L45" s="323">
        <f t="shared" si="242"/>
        <v>174105.87</v>
      </c>
      <c r="M45" s="2005">
        <f t="shared" ref="M45:P45" si="243">SUM(M41:M44)</f>
        <v>394793.04212519818</v>
      </c>
      <c r="N45" s="883">
        <f t="shared" si="243"/>
        <v>384160.48000000004</v>
      </c>
      <c r="O45" s="2004">
        <f t="shared" si="243"/>
        <v>222392.08989256411</v>
      </c>
      <c r="P45" s="323">
        <f t="shared" si="243"/>
        <v>188605.11</v>
      </c>
      <c r="Q45" s="1577">
        <f t="shared" ref="Q45:T45" si="244">SUM(Q41:Q44)</f>
        <v>617185.13201776228</v>
      </c>
      <c r="R45" s="472">
        <f t="shared" si="244"/>
        <v>572765.59000000008</v>
      </c>
      <c r="S45" s="2004">
        <f t="shared" si="244"/>
        <v>222855.22292271996</v>
      </c>
      <c r="T45" s="323">
        <f t="shared" si="244"/>
        <v>194394.44</v>
      </c>
      <c r="U45" s="1577">
        <f t="shared" ref="U45:X45" si="245">SUM(U41:U44)</f>
        <v>840040.35494048218</v>
      </c>
      <c r="V45" s="472">
        <f t="shared" si="245"/>
        <v>767160.03</v>
      </c>
      <c r="W45" s="2004">
        <f t="shared" si="245"/>
        <v>217673.36037437286</v>
      </c>
      <c r="X45" s="323">
        <f t="shared" si="245"/>
        <v>199685.87999999995</v>
      </c>
      <c r="Y45" s="2005">
        <f t="shared" ref="Y45:Z45" si="246">SUM(Y41:Y44)</f>
        <v>662920.67318965693</v>
      </c>
      <c r="Z45" s="883">
        <f t="shared" si="246"/>
        <v>582685.42999999993</v>
      </c>
      <c r="AA45" s="2006">
        <f t="shared" ref="AA45:AN45" si="247">SUM(AA41:AA44)</f>
        <v>1057713.7153148551</v>
      </c>
      <c r="AB45" s="1289">
        <f t="shared" si="247"/>
        <v>966845.91</v>
      </c>
      <c r="AC45" s="2004">
        <f t="shared" si="247"/>
        <v>224143.95531708613</v>
      </c>
      <c r="AD45" s="323">
        <f t="shared" si="247"/>
        <v>184320.24</v>
      </c>
      <c r="AE45" s="1577">
        <f t="shared" si="247"/>
        <v>1281857.6706319412</v>
      </c>
      <c r="AF45" s="472">
        <f t="shared" si="247"/>
        <v>1151166.1499999999</v>
      </c>
      <c r="AG45" s="2004">
        <f t="shared" ref="AG45:AJ45" si="248">SUM(AG41:AG44)</f>
        <v>215673.36037437286</v>
      </c>
      <c r="AH45" s="323">
        <f t="shared" si="248"/>
        <v>185786.66999999998</v>
      </c>
      <c r="AI45" s="1577">
        <f t="shared" si="248"/>
        <v>1497531.0310063141</v>
      </c>
      <c r="AJ45" s="472">
        <f t="shared" si="248"/>
        <v>1336952.8199999998</v>
      </c>
      <c r="AK45" s="2004">
        <f t="shared" ref="AK45:AL45" si="249">SUM(AK41:AK44)</f>
        <v>223969.95531708613</v>
      </c>
      <c r="AL45" s="323">
        <f t="shared" si="249"/>
        <v>222982.43999999997</v>
      </c>
      <c r="AM45" s="2005">
        <f t="shared" si="247"/>
        <v>663787.27100854507</v>
      </c>
      <c r="AN45" s="883">
        <f t="shared" si="247"/>
        <v>593089.34999999986</v>
      </c>
      <c r="AO45" s="1577">
        <f t="shared" ref="AO45:AP45" si="250">SUM(AO41:AO44)</f>
        <v>1721500.9863234002</v>
      </c>
      <c r="AP45" s="472">
        <f t="shared" si="250"/>
        <v>1559935.26</v>
      </c>
      <c r="AQ45" s="2004">
        <f t="shared" ref="AQ45:AT45" si="251">SUM(AQ41:AQ44)</f>
        <v>224643.95531708613</v>
      </c>
      <c r="AR45" s="323">
        <f t="shared" si="251"/>
        <v>205865.11999999997</v>
      </c>
      <c r="AS45" s="1577">
        <f t="shared" si="251"/>
        <v>1946144.9416404862</v>
      </c>
      <c r="AT45" s="472">
        <f t="shared" si="251"/>
        <v>1765800.3800000001</v>
      </c>
      <c r="AU45" s="2004">
        <f t="shared" ref="AU45:AX45" si="252">SUM(AU41:AU44)</f>
        <v>198711.2539499889</v>
      </c>
      <c r="AV45" s="323">
        <f t="shared" si="252"/>
        <v>186452.68</v>
      </c>
      <c r="AW45" s="1577">
        <f t="shared" si="252"/>
        <v>2144856.1955904751</v>
      </c>
      <c r="AX45" s="472">
        <f t="shared" si="252"/>
        <v>1952253.06</v>
      </c>
      <c r="AY45" s="2004">
        <f t="shared" ref="AY45:BB45" si="253">SUM(AY41:AY44)</f>
        <v>224643.95531708613</v>
      </c>
      <c r="AZ45" s="323">
        <f t="shared" si="253"/>
        <v>226001.65999999997</v>
      </c>
      <c r="BA45" s="2005">
        <f t="shared" si="253"/>
        <v>647999.16458416113</v>
      </c>
      <c r="BB45" s="883">
        <f t="shared" si="253"/>
        <v>618319.46</v>
      </c>
      <c r="BC45" s="2006">
        <f t="shared" si="220"/>
        <v>1311786.4355927063</v>
      </c>
      <c r="BD45" s="1289">
        <f t="shared" si="221"/>
        <v>1211408.8099999998</v>
      </c>
      <c r="BE45" s="1577">
        <f t="shared" ref="BE45:BF45" si="254">SUM(BE41:BE44)</f>
        <v>2369500.1509075612</v>
      </c>
      <c r="BF45" s="472">
        <f t="shared" si="254"/>
        <v>2178254.7199999997</v>
      </c>
    </row>
    <row r="46" spans="2:65" s="334" customFormat="1" ht="18.75" x14ac:dyDescent="0.25">
      <c r="B46" s="690" t="s">
        <v>350</v>
      </c>
      <c r="C46" s="622"/>
      <c r="D46" s="2056"/>
      <c r="E46" s="622"/>
      <c r="F46" s="622"/>
      <c r="G46" s="690"/>
      <c r="H46" s="622"/>
      <c r="I46" s="622"/>
      <c r="J46" s="622"/>
      <c r="K46" s="622"/>
      <c r="L46" s="622"/>
      <c r="M46" s="622"/>
      <c r="N46" s="622"/>
      <c r="O46" s="622"/>
      <c r="P46" s="622"/>
      <c r="Q46" s="622"/>
      <c r="R46" s="622"/>
      <c r="S46" s="622"/>
      <c r="T46" s="622"/>
      <c r="U46" s="622"/>
      <c r="V46" s="622"/>
      <c r="W46" s="622"/>
      <c r="X46" s="622"/>
      <c r="Y46" s="622"/>
      <c r="Z46" s="622"/>
      <c r="AA46" s="622"/>
      <c r="AB46" s="622"/>
      <c r="AC46" s="622"/>
      <c r="AD46" s="622"/>
      <c r="AE46" s="622"/>
      <c r="AF46" s="622"/>
      <c r="AG46" s="622"/>
      <c r="AH46" s="622"/>
      <c r="AI46" s="622"/>
      <c r="AJ46" s="622"/>
      <c r="AK46" s="622"/>
      <c r="AL46" s="622"/>
      <c r="AM46" s="622"/>
      <c r="AN46" s="622"/>
      <c r="AO46" s="622"/>
      <c r="AP46" s="622"/>
      <c r="AQ46" s="622"/>
      <c r="AR46" s="622"/>
      <c r="AS46" s="622"/>
      <c r="AT46" s="622"/>
      <c r="AU46" s="622"/>
      <c r="AV46" s="622"/>
      <c r="AW46" s="622"/>
      <c r="AX46" s="622"/>
      <c r="AY46" s="622"/>
      <c r="AZ46" s="622"/>
      <c r="BA46" s="622"/>
      <c r="BB46" s="622"/>
      <c r="BC46" s="622"/>
      <c r="BD46" s="622"/>
      <c r="BE46" s="622"/>
      <c r="BF46" s="622"/>
    </row>
    <row r="47" spans="2:65" s="334" customFormat="1" ht="18.75" x14ac:dyDescent="0.25">
      <c r="B47" s="897" t="s">
        <v>123</v>
      </c>
      <c r="C47" s="849"/>
      <c r="D47" s="2057"/>
      <c r="E47" s="849"/>
      <c r="F47" s="849"/>
      <c r="G47" s="897"/>
      <c r="H47" s="849"/>
      <c r="I47" s="849"/>
      <c r="J47" s="849"/>
      <c r="K47" s="849"/>
      <c r="L47" s="849"/>
      <c r="M47" s="849"/>
      <c r="N47" s="849"/>
      <c r="O47" s="849"/>
      <c r="P47" s="849"/>
      <c r="Q47" s="849"/>
      <c r="R47" s="849"/>
      <c r="S47" s="849"/>
      <c r="T47" s="849"/>
      <c r="U47" s="849"/>
      <c r="V47" s="849"/>
      <c r="W47" s="849"/>
      <c r="X47" s="849"/>
      <c r="Y47" s="849"/>
      <c r="Z47" s="849"/>
      <c r="AA47" s="849"/>
      <c r="AB47" s="849"/>
      <c r="AC47" s="849"/>
      <c r="AD47" s="849"/>
      <c r="AE47" s="849"/>
      <c r="AF47" s="849"/>
      <c r="AG47" s="849"/>
      <c r="AH47" s="849"/>
      <c r="AI47" s="849"/>
      <c r="AJ47" s="849"/>
      <c r="AK47" s="849"/>
      <c r="AL47" s="849"/>
      <c r="AM47" s="849"/>
      <c r="AN47" s="849"/>
      <c r="AO47" s="849"/>
      <c r="AP47" s="849"/>
      <c r="AQ47" s="849"/>
      <c r="AR47" s="849"/>
      <c r="AS47" s="849"/>
      <c r="AT47" s="849"/>
      <c r="AU47" s="849"/>
      <c r="AV47" s="849"/>
      <c r="AW47" s="849"/>
      <c r="AX47" s="849"/>
      <c r="AY47" s="849"/>
      <c r="AZ47" s="849"/>
      <c r="BA47" s="849"/>
      <c r="BB47" s="849"/>
      <c r="BC47" s="849"/>
      <c r="BD47" s="849"/>
      <c r="BE47" s="849"/>
      <c r="BF47" s="849"/>
    </row>
    <row r="48" spans="2:65" ht="18.75" x14ac:dyDescent="0.25">
      <c r="B48" s="597" t="s">
        <v>24</v>
      </c>
      <c r="C48" s="2058" t="s">
        <v>53</v>
      </c>
      <c r="D48" s="2059"/>
      <c r="E48" s="5010">
        <f>+E41</f>
        <v>33000</v>
      </c>
      <c r="F48" s="508">
        <v>28267.439999999999</v>
      </c>
      <c r="G48" s="5054">
        <f>+G41</f>
        <v>41500</v>
      </c>
      <c r="H48" s="508">
        <v>26045.62</v>
      </c>
      <c r="I48" s="4964">
        <f>+E48+G48</f>
        <v>74500</v>
      </c>
      <c r="J48" s="517">
        <f t="shared" ref="J48:J49" si="255">+F48+H48</f>
        <v>54313.06</v>
      </c>
      <c r="K48" s="5010">
        <f>+K41</f>
        <v>41500</v>
      </c>
      <c r="L48" s="508">
        <f>34932.58-127.26</f>
        <v>34805.32</v>
      </c>
      <c r="M48" s="4962">
        <f>+I48+K48</f>
        <v>116000</v>
      </c>
      <c r="N48" s="611">
        <f t="shared" ref="N48:N49" si="256">+J48+L48</f>
        <v>89118.38</v>
      </c>
      <c r="O48" s="5010">
        <f>+O41</f>
        <v>43500</v>
      </c>
      <c r="P48" s="508">
        <f>35837.84+127.26</f>
        <v>35965.1</v>
      </c>
      <c r="Q48" s="4964">
        <f>+M48+O48</f>
        <v>159500</v>
      </c>
      <c r="R48" s="517">
        <f t="shared" ref="R48:R49" si="257">+N48+P48</f>
        <v>125083.48000000001</v>
      </c>
      <c r="S48" s="5010">
        <f>+S41</f>
        <v>43500</v>
      </c>
      <c r="T48" s="508">
        <v>38395.82</v>
      </c>
      <c r="U48" s="4964">
        <f>+Q48+S48</f>
        <v>203000</v>
      </c>
      <c r="V48" s="517">
        <f t="shared" ref="V48:V49" si="258">+R48+T48</f>
        <v>163479.30000000002</v>
      </c>
      <c r="W48" s="5010">
        <f>+W41</f>
        <v>42000</v>
      </c>
      <c r="X48" s="508">
        <v>35914.820000000007</v>
      </c>
      <c r="Y48" s="4962">
        <f>O48+S48+W48</f>
        <v>129000</v>
      </c>
      <c r="Z48" s="611">
        <f>P48+T48+X48</f>
        <v>110275.74</v>
      </c>
      <c r="AA48" s="4960">
        <f>+U48+W48</f>
        <v>245000</v>
      </c>
      <c r="AB48" s="1287">
        <f t="shared" ref="AB48:AB49" si="259">+V48+X48</f>
        <v>199394.12000000002</v>
      </c>
      <c r="AC48" s="5010">
        <f>+AC41</f>
        <v>43500</v>
      </c>
      <c r="AD48" s="508">
        <v>38791.599999999999</v>
      </c>
      <c r="AE48" s="4964">
        <f>+AA48+AC48</f>
        <v>288500</v>
      </c>
      <c r="AF48" s="517">
        <f t="shared" ref="AF48:AF49" si="260">+AB48+AD48</f>
        <v>238185.72000000003</v>
      </c>
      <c r="AG48" s="5010">
        <f>+AG41</f>
        <v>42000</v>
      </c>
      <c r="AH48" s="508">
        <v>34447.78</v>
      </c>
      <c r="AI48" s="4964">
        <f>+AE48+AG48</f>
        <v>330500</v>
      </c>
      <c r="AJ48" s="517">
        <f t="shared" ref="AJ48:AJ49" si="261">+AF48+AH48</f>
        <v>272633.5</v>
      </c>
      <c r="AK48" s="5010">
        <f>+AK41</f>
        <v>43000</v>
      </c>
      <c r="AL48" s="508">
        <v>34284.239999999998</v>
      </c>
      <c r="AM48" s="4962">
        <f>AC48+AG48+AK48</f>
        <v>128500</v>
      </c>
      <c r="AN48" s="611">
        <f>AD48+AH48+AL48</f>
        <v>107523.62</v>
      </c>
      <c r="AO48" s="4964">
        <f>+AI48+AK48</f>
        <v>373500</v>
      </c>
      <c r="AP48" s="517">
        <f t="shared" ref="AP48:AP49" si="262">+AJ48+AL48</f>
        <v>306917.74</v>
      </c>
      <c r="AQ48" s="5010">
        <f>+AQ41</f>
        <v>43500</v>
      </c>
      <c r="AR48" s="508">
        <v>37320.87000000001</v>
      </c>
      <c r="AS48" s="4964">
        <f>+AO48+AQ48</f>
        <v>417000</v>
      </c>
      <c r="AT48" s="517">
        <f t="shared" ref="AT48:AT49" si="263">+AP48+AR48</f>
        <v>344238.61</v>
      </c>
      <c r="AU48" s="5010">
        <f>+AU41</f>
        <v>39000</v>
      </c>
      <c r="AV48" s="508">
        <v>40986.039999999986</v>
      </c>
      <c r="AW48" s="4964">
        <f>+AS48+AU48</f>
        <v>456000</v>
      </c>
      <c r="AX48" s="517">
        <f t="shared" ref="AX48:AX49" si="264">+AT48+AV48</f>
        <v>385224.64999999997</v>
      </c>
      <c r="AY48" s="5010">
        <f>+AY41</f>
        <v>43500</v>
      </c>
      <c r="AZ48" s="508">
        <v>45979.91</v>
      </c>
      <c r="BA48" s="4962">
        <f>AQ48+AU48+AY48</f>
        <v>126000</v>
      </c>
      <c r="BB48" s="611">
        <f>AR48+AV48+AZ48</f>
        <v>124286.82</v>
      </c>
      <c r="BC48" s="4960">
        <f t="shared" ref="BC48:BC50" si="265">+BA48+AM48</f>
        <v>254500</v>
      </c>
      <c r="BD48" s="1287">
        <f t="shared" ref="BD48:BD50" si="266">+BB48+AN48</f>
        <v>231810.44</v>
      </c>
      <c r="BE48" s="4964">
        <f>+AW48+AY48</f>
        <v>499500</v>
      </c>
      <c r="BF48" s="517">
        <f t="shared" ref="BF48:BF49" si="267">+AX48+AZ48</f>
        <v>431204.55999999994</v>
      </c>
    </row>
    <row r="49" spans="2:61" ht="19.5" thickBot="1" x14ac:dyDescent="0.3">
      <c r="B49" s="598" t="s">
        <v>25</v>
      </c>
      <c r="C49" s="2063" t="s">
        <v>53</v>
      </c>
      <c r="D49" s="3953"/>
      <c r="E49" s="5011"/>
      <c r="F49" s="508">
        <v>4212.0200000000004</v>
      </c>
      <c r="G49" s="5047"/>
      <c r="H49" s="508">
        <v>3261.81</v>
      </c>
      <c r="I49" s="4990"/>
      <c r="J49" s="517">
        <f t="shared" si="255"/>
        <v>7473.83</v>
      </c>
      <c r="K49" s="5011"/>
      <c r="L49" s="508">
        <v>1360.6700000000003</v>
      </c>
      <c r="M49" s="4992"/>
      <c r="N49" s="611">
        <f t="shared" si="256"/>
        <v>8834.5</v>
      </c>
      <c r="O49" s="5011"/>
      <c r="P49" s="508">
        <v>3436.72</v>
      </c>
      <c r="Q49" s="4990"/>
      <c r="R49" s="517">
        <f t="shared" si="257"/>
        <v>12271.22</v>
      </c>
      <c r="S49" s="5011"/>
      <c r="T49" s="508">
        <v>3256.48</v>
      </c>
      <c r="U49" s="4990"/>
      <c r="V49" s="517">
        <f t="shared" si="258"/>
        <v>15527.699999999999</v>
      </c>
      <c r="W49" s="5011"/>
      <c r="X49" s="508">
        <v>4372.07</v>
      </c>
      <c r="Y49" s="4992"/>
      <c r="Z49" s="611">
        <f>P49+T49+X49</f>
        <v>11065.27</v>
      </c>
      <c r="AA49" s="4986"/>
      <c r="AB49" s="1287">
        <f t="shared" si="259"/>
        <v>19899.769999999997</v>
      </c>
      <c r="AC49" s="5011"/>
      <c r="AD49" s="508">
        <v>2243.41</v>
      </c>
      <c r="AE49" s="4990"/>
      <c r="AF49" s="517">
        <f t="shared" si="260"/>
        <v>22143.179999999997</v>
      </c>
      <c r="AG49" s="5011"/>
      <c r="AH49" s="508">
        <v>2251.89</v>
      </c>
      <c r="AI49" s="4990"/>
      <c r="AJ49" s="517">
        <f t="shared" si="261"/>
        <v>24395.069999999996</v>
      </c>
      <c r="AK49" s="5011"/>
      <c r="AL49" s="508">
        <v>3164.0799999999995</v>
      </c>
      <c r="AM49" s="4992"/>
      <c r="AN49" s="611">
        <f>AD49+AH49+AL49</f>
        <v>7659.3799999999992</v>
      </c>
      <c r="AO49" s="4990"/>
      <c r="AP49" s="517">
        <f t="shared" si="262"/>
        <v>27559.149999999994</v>
      </c>
      <c r="AQ49" s="5011"/>
      <c r="AR49" s="508">
        <v>4641.2100000000019</v>
      </c>
      <c r="AS49" s="4990"/>
      <c r="AT49" s="517">
        <f t="shared" si="263"/>
        <v>32200.359999999997</v>
      </c>
      <c r="AU49" s="5011"/>
      <c r="AV49" s="508">
        <v>3230.6300000000006</v>
      </c>
      <c r="AW49" s="4990"/>
      <c r="AX49" s="517">
        <f t="shared" si="264"/>
        <v>35430.99</v>
      </c>
      <c r="AY49" s="5011"/>
      <c r="AZ49" s="508">
        <v>1382.12</v>
      </c>
      <c r="BA49" s="4992"/>
      <c r="BB49" s="611">
        <f>AR49+AV49+AZ49</f>
        <v>9253.9600000000028</v>
      </c>
      <c r="BC49" s="4986">
        <f t="shared" si="265"/>
        <v>0</v>
      </c>
      <c r="BD49" s="1287">
        <f t="shared" si="266"/>
        <v>16913.340000000004</v>
      </c>
      <c r="BE49" s="4990"/>
      <c r="BF49" s="517">
        <f t="shared" si="267"/>
        <v>36813.11</v>
      </c>
    </row>
    <row r="50" spans="2:61" ht="19.5" thickBot="1" x14ac:dyDescent="0.3">
      <c r="B50" s="599" t="s">
        <v>2</v>
      </c>
      <c r="C50" s="113" t="s">
        <v>53</v>
      </c>
      <c r="D50" s="3949">
        <f>+D41</f>
        <v>500000</v>
      </c>
      <c r="E50" s="5012"/>
      <c r="F50" s="323">
        <f>SUM(F48:F49)</f>
        <v>32479.46</v>
      </c>
      <c r="G50" s="5055"/>
      <c r="H50" s="323">
        <f>SUM(H48:H49)</f>
        <v>29307.43</v>
      </c>
      <c r="I50" s="4991"/>
      <c r="J50" s="472">
        <f>SUM(J48:J49)</f>
        <v>61786.89</v>
      </c>
      <c r="K50" s="5012"/>
      <c r="L50" s="323">
        <f>SUM(L48:L49)</f>
        <v>36165.99</v>
      </c>
      <c r="M50" s="5025"/>
      <c r="N50" s="883">
        <f>SUM(N48:N49)</f>
        <v>97952.88</v>
      </c>
      <c r="O50" s="5012"/>
      <c r="P50" s="323">
        <f>SUM(P48:P49)</f>
        <v>39401.82</v>
      </c>
      <c r="Q50" s="4991"/>
      <c r="R50" s="472">
        <f>SUM(R48:R49)</f>
        <v>137354.70000000001</v>
      </c>
      <c r="S50" s="5012"/>
      <c r="T50" s="635">
        <f>SUM(T48:T49)</f>
        <v>41652.300000000003</v>
      </c>
      <c r="U50" s="4991"/>
      <c r="V50" s="472">
        <f>SUM(V48:V49)</f>
        <v>179007.00000000003</v>
      </c>
      <c r="W50" s="5012"/>
      <c r="X50" s="323">
        <f>SUM(X48:X49)</f>
        <v>40286.890000000007</v>
      </c>
      <c r="Y50" s="5025"/>
      <c r="Z50" s="883">
        <f>SUM(Z48:Z49)</f>
        <v>121341.01000000001</v>
      </c>
      <c r="AA50" s="4987"/>
      <c r="AB50" s="1289">
        <f>SUM(AB48:AB49)</f>
        <v>219293.89</v>
      </c>
      <c r="AC50" s="5012"/>
      <c r="AD50" s="323">
        <f>SUM(AD48:AD49)</f>
        <v>41035.009999999995</v>
      </c>
      <c r="AE50" s="4991"/>
      <c r="AF50" s="472">
        <f>SUM(AF48:AF49)</f>
        <v>260328.90000000002</v>
      </c>
      <c r="AG50" s="5012"/>
      <c r="AH50" s="323">
        <f>SUM(AH48:AH49)</f>
        <v>36699.67</v>
      </c>
      <c r="AI50" s="4991"/>
      <c r="AJ50" s="472">
        <f>SUM(AJ48:AJ49)</f>
        <v>297028.57</v>
      </c>
      <c r="AK50" s="5012"/>
      <c r="AL50" s="323">
        <f>SUM(AL48:AL49)</f>
        <v>37448.32</v>
      </c>
      <c r="AM50" s="5025"/>
      <c r="AN50" s="883">
        <f>SUM(AN48:AN49)</f>
        <v>115183</v>
      </c>
      <c r="AO50" s="4991"/>
      <c r="AP50" s="472">
        <f>SUM(AP48:AP49)</f>
        <v>334476.89</v>
      </c>
      <c r="AQ50" s="5012"/>
      <c r="AR50" s="323">
        <f>SUM(AR48:AR49)</f>
        <v>41962.080000000009</v>
      </c>
      <c r="AS50" s="4991"/>
      <c r="AT50" s="472">
        <f>SUM(AT48:AT49)</f>
        <v>376438.97</v>
      </c>
      <c r="AU50" s="5012"/>
      <c r="AV50" s="323">
        <f>SUM(AV48:AV49)</f>
        <v>44216.669999999984</v>
      </c>
      <c r="AW50" s="4991"/>
      <c r="AX50" s="472">
        <f>SUM(AX48:AX49)</f>
        <v>420655.63999999996</v>
      </c>
      <c r="AY50" s="5012"/>
      <c r="AZ50" s="323">
        <f>SUM(AZ48:AZ49)</f>
        <v>47362.030000000006</v>
      </c>
      <c r="BA50" s="5025"/>
      <c r="BB50" s="883">
        <f>SUM(BB48:BB49)</f>
        <v>133540.78</v>
      </c>
      <c r="BC50" s="4987">
        <f t="shared" si="265"/>
        <v>0</v>
      </c>
      <c r="BD50" s="1289">
        <f t="shared" si="266"/>
        <v>248723.78</v>
      </c>
      <c r="BE50" s="4991"/>
      <c r="BF50" s="472">
        <f>SUM(BF48:BF49)</f>
        <v>468017.66999999993</v>
      </c>
    </row>
    <row r="51" spans="2:61" s="334" customFormat="1" ht="18.75" x14ac:dyDescent="0.3">
      <c r="B51" s="895" t="s">
        <v>101</v>
      </c>
      <c r="C51" s="892"/>
      <c r="D51" s="2067"/>
      <c r="E51" s="896"/>
      <c r="F51" s="896"/>
      <c r="G51" s="2068"/>
      <c r="H51" s="896"/>
      <c r="I51" s="896"/>
      <c r="J51" s="896"/>
      <c r="K51" s="896"/>
      <c r="L51" s="896"/>
      <c r="M51" s="896"/>
      <c r="N51" s="896"/>
      <c r="O51" s="896"/>
      <c r="P51" s="896"/>
      <c r="Q51" s="896"/>
      <c r="R51" s="896"/>
      <c r="S51" s="896"/>
      <c r="T51" s="896"/>
      <c r="U51" s="896"/>
      <c r="V51" s="896"/>
      <c r="W51" s="896"/>
      <c r="X51" s="896"/>
      <c r="Y51" s="896"/>
      <c r="Z51" s="896"/>
      <c r="AA51" s="896"/>
      <c r="AB51" s="896"/>
      <c r="AC51" s="896"/>
      <c r="AD51" s="896"/>
      <c r="AE51" s="896"/>
      <c r="AF51" s="896"/>
      <c r="AG51" s="896"/>
      <c r="AH51" s="896"/>
      <c r="AI51" s="896"/>
      <c r="AJ51" s="896"/>
      <c r="AK51" s="896"/>
      <c r="AL51" s="896"/>
      <c r="AM51" s="896"/>
      <c r="AN51" s="896"/>
      <c r="AO51" s="896"/>
      <c r="AP51" s="896"/>
      <c r="AQ51" s="896"/>
      <c r="AR51" s="896"/>
      <c r="AS51" s="896"/>
      <c r="AT51" s="896"/>
      <c r="AU51" s="896"/>
      <c r="AV51" s="896"/>
      <c r="AW51" s="896"/>
      <c r="AX51" s="896"/>
      <c r="AY51" s="896"/>
      <c r="AZ51" s="896"/>
      <c r="BA51" s="896"/>
      <c r="BB51" s="896"/>
      <c r="BC51" s="896"/>
      <c r="BD51" s="896"/>
      <c r="BE51" s="896"/>
      <c r="BF51" s="896"/>
    </row>
    <row r="52" spans="2:61" ht="18.75" x14ac:dyDescent="0.25">
      <c r="B52" s="597" t="s">
        <v>24</v>
      </c>
      <c r="C52" s="2058" t="s">
        <v>53</v>
      </c>
      <c r="D52" s="2059"/>
      <c r="E52" s="5010">
        <f>+E42</f>
        <v>44000</v>
      </c>
      <c r="F52" s="508">
        <v>29915.9</v>
      </c>
      <c r="G52" s="5054">
        <f>+G42</f>
        <v>50000</v>
      </c>
      <c r="H52" s="508">
        <v>27882.46</v>
      </c>
      <c r="I52" s="4964">
        <f>+E52+G52</f>
        <v>94000</v>
      </c>
      <c r="J52" s="517">
        <f t="shared" ref="J52:J53" si="268">+F52+H52</f>
        <v>57798.36</v>
      </c>
      <c r="K52" s="5010">
        <f>+K42</f>
        <v>65000</v>
      </c>
      <c r="L52" s="508">
        <v>43118.549999999996</v>
      </c>
      <c r="M52" s="4962">
        <f>+I52+K52</f>
        <v>159000</v>
      </c>
      <c r="N52" s="611">
        <f t="shared" ref="N52:N53" si="269">+J52+L52</f>
        <v>100916.91</v>
      </c>
      <c r="O52" s="5010">
        <f>+O42</f>
        <v>67000</v>
      </c>
      <c r="P52" s="508">
        <v>48616.750000000007</v>
      </c>
      <c r="Q52" s="4964">
        <f>+M52+O52</f>
        <v>226000</v>
      </c>
      <c r="R52" s="517">
        <f t="shared" ref="R52:R53" si="270">+N52+P52</f>
        <v>149533.66</v>
      </c>
      <c r="S52" s="5010">
        <f>+S42</f>
        <v>67000</v>
      </c>
      <c r="T52" s="508">
        <v>44495.16</v>
      </c>
      <c r="U52" s="4964">
        <f>+Q52+S52</f>
        <v>293000</v>
      </c>
      <c r="V52" s="517">
        <f t="shared" ref="V52:V53" si="271">+R52+T52</f>
        <v>194028.82</v>
      </c>
      <c r="W52" s="5010">
        <f>+W42</f>
        <v>65000</v>
      </c>
      <c r="X52" s="508">
        <v>46696.69</v>
      </c>
      <c r="Y52" s="4962">
        <f>O52+S52+W52</f>
        <v>199000</v>
      </c>
      <c r="Z52" s="611">
        <f>P52+T52+X52</f>
        <v>139808.6</v>
      </c>
      <c r="AA52" s="4960">
        <f>+U52+W52</f>
        <v>358000</v>
      </c>
      <c r="AB52" s="1287">
        <f t="shared" ref="AB52:AB53" si="272">+V52+X52</f>
        <v>240725.51</v>
      </c>
      <c r="AC52" s="5010">
        <f>+AC42</f>
        <v>67000</v>
      </c>
      <c r="AD52" s="508">
        <v>52632.31</v>
      </c>
      <c r="AE52" s="4964">
        <f>+AA52+AC52</f>
        <v>425000</v>
      </c>
      <c r="AF52" s="517">
        <f t="shared" ref="AF52:AF53" si="273">+AB52+AD52</f>
        <v>293357.82</v>
      </c>
      <c r="AG52" s="5010">
        <f>+AG42</f>
        <v>65000</v>
      </c>
      <c r="AH52" s="508">
        <v>45594.239999999998</v>
      </c>
      <c r="AI52" s="4964">
        <f>+AE52+AG52</f>
        <v>490000</v>
      </c>
      <c r="AJ52" s="517">
        <f t="shared" ref="AJ52:AJ53" si="274">+AF52+AH52</f>
        <v>338952.06</v>
      </c>
      <c r="AK52" s="5010">
        <f>+AK42</f>
        <v>67000</v>
      </c>
      <c r="AL52" s="508">
        <v>69810.399999999994</v>
      </c>
      <c r="AM52" s="4962">
        <f>AC52+AG52+AK52</f>
        <v>199000</v>
      </c>
      <c r="AN52" s="611">
        <f>AD52+AH52+AL52</f>
        <v>168036.94999999998</v>
      </c>
      <c r="AO52" s="4964">
        <f>+AI52+AK52</f>
        <v>557000</v>
      </c>
      <c r="AP52" s="517">
        <f t="shared" ref="AP52:AP53" si="275">+AJ52+AL52</f>
        <v>408762.45999999996</v>
      </c>
      <c r="AQ52" s="5010">
        <f>+AQ42</f>
        <v>67000</v>
      </c>
      <c r="AR52" s="508">
        <v>55443.429999999978</v>
      </c>
      <c r="AS52" s="4964">
        <f>+AO52+AQ52</f>
        <v>624000</v>
      </c>
      <c r="AT52" s="517">
        <f t="shared" ref="AT52:AT53" si="276">+AP52+AR52</f>
        <v>464205.88999999996</v>
      </c>
      <c r="AU52" s="5010">
        <f>+AU42</f>
        <v>59000</v>
      </c>
      <c r="AV52" s="508">
        <v>39114.92</v>
      </c>
      <c r="AW52" s="4964">
        <f>+AS52+AU52</f>
        <v>683000</v>
      </c>
      <c r="AX52" s="517">
        <f t="shared" ref="AX52:AX53" si="277">+AT52+AV52</f>
        <v>503320.80999999994</v>
      </c>
      <c r="AY52" s="5010">
        <f>+AY42</f>
        <v>67000</v>
      </c>
      <c r="AZ52" s="508">
        <v>66108.399999999994</v>
      </c>
      <c r="BA52" s="4962">
        <f>AQ52+AU52+AY52</f>
        <v>193000</v>
      </c>
      <c r="BB52" s="611">
        <f>AR52+AV52+AZ52</f>
        <v>160666.74999999997</v>
      </c>
      <c r="BC52" s="4960">
        <f t="shared" ref="BC52:BC54" si="278">+BA52+AM52</f>
        <v>392000</v>
      </c>
      <c r="BD52" s="1287">
        <f t="shared" ref="BD52:BD54" si="279">+BB52+AN52</f>
        <v>328703.69999999995</v>
      </c>
      <c r="BE52" s="4964">
        <f>+AW52+AY52</f>
        <v>750000</v>
      </c>
      <c r="BF52" s="517">
        <f t="shared" ref="BF52:BF53" si="280">+AX52+AZ52</f>
        <v>569429.21</v>
      </c>
    </row>
    <row r="53" spans="2:61" ht="19.5" thickBot="1" x14ac:dyDescent="0.3">
      <c r="B53" s="598" t="s">
        <v>25</v>
      </c>
      <c r="C53" s="2063" t="s">
        <v>53</v>
      </c>
      <c r="D53" s="3953"/>
      <c r="E53" s="5011"/>
      <c r="F53" s="508">
        <v>5160.74</v>
      </c>
      <c r="G53" s="5047"/>
      <c r="H53" s="508">
        <v>6704.3</v>
      </c>
      <c r="I53" s="4990"/>
      <c r="J53" s="517">
        <f t="shared" si="268"/>
        <v>11865.04</v>
      </c>
      <c r="K53" s="5011"/>
      <c r="L53" s="508">
        <v>8549.869999999999</v>
      </c>
      <c r="M53" s="4992"/>
      <c r="N53" s="611">
        <f t="shared" si="269"/>
        <v>20414.91</v>
      </c>
      <c r="O53" s="5011"/>
      <c r="P53" s="508">
        <v>5285.1799999999985</v>
      </c>
      <c r="Q53" s="4990"/>
      <c r="R53" s="517">
        <f t="shared" si="270"/>
        <v>25700.089999999997</v>
      </c>
      <c r="S53" s="5011"/>
      <c r="T53" s="508">
        <v>6314.69</v>
      </c>
      <c r="U53" s="4990"/>
      <c r="V53" s="517">
        <f t="shared" si="271"/>
        <v>32014.779999999995</v>
      </c>
      <c r="W53" s="5011"/>
      <c r="X53" s="508">
        <v>7531.1799999999994</v>
      </c>
      <c r="Y53" s="4992"/>
      <c r="Z53" s="611">
        <f>P53+T53+X53</f>
        <v>19131.05</v>
      </c>
      <c r="AA53" s="4986"/>
      <c r="AB53" s="1287">
        <f t="shared" si="272"/>
        <v>39545.959999999992</v>
      </c>
      <c r="AC53" s="5011"/>
      <c r="AD53" s="508">
        <v>6292</v>
      </c>
      <c r="AE53" s="4990"/>
      <c r="AF53" s="517">
        <f t="shared" si="273"/>
        <v>45837.959999999992</v>
      </c>
      <c r="AG53" s="5011"/>
      <c r="AH53" s="508">
        <v>3770.8299999999995</v>
      </c>
      <c r="AI53" s="4990"/>
      <c r="AJ53" s="517">
        <f t="shared" si="274"/>
        <v>49608.789999999994</v>
      </c>
      <c r="AK53" s="5011"/>
      <c r="AL53" s="508">
        <v>5693.7899999999991</v>
      </c>
      <c r="AM53" s="4992"/>
      <c r="AN53" s="611">
        <f>AD53+AH53+AL53</f>
        <v>15756.619999999999</v>
      </c>
      <c r="AO53" s="4990"/>
      <c r="AP53" s="517">
        <f t="shared" si="275"/>
        <v>55302.579999999994</v>
      </c>
      <c r="AQ53" s="5011"/>
      <c r="AR53" s="508">
        <v>11214.89</v>
      </c>
      <c r="AS53" s="4990"/>
      <c r="AT53" s="517">
        <f t="shared" si="276"/>
        <v>66517.47</v>
      </c>
      <c r="AU53" s="5011"/>
      <c r="AV53" s="508">
        <v>7786.6100000000015</v>
      </c>
      <c r="AW53" s="4990"/>
      <c r="AX53" s="517">
        <f t="shared" si="277"/>
        <v>74304.08</v>
      </c>
      <c r="AY53" s="5011"/>
      <c r="AZ53" s="508">
        <v>7797.11</v>
      </c>
      <c r="BA53" s="4992"/>
      <c r="BB53" s="611">
        <f>AR53+AV53+AZ53</f>
        <v>26798.61</v>
      </c>
      <c r="BC53" s="4986">
        <f t="shared" si="278"/>
        <v>0</v>
      </c>
      <c r="BD53" s="1287">
        <f t="shared" si="279"/>
        <v>42555.229999999996</v>
      </c>
      <c r="BE53" s="4990"/>
      <c r="BF53" s="517">
        <f t="shared" si="280"/>
        <v>82101.19</v>
      </c>
    </row>
    <row r="54" spans="2:61" ht="19.5" thickBot="1" x14ac:dyDescent="0.3">
      <c r="B54" s="599" t="s">
        <v>2</v>
      </c>
      <c r="C54" s="113" t="s">
        <v>53</v>
      </c>
      <c r="D54" s="3949">
        <f>+D42</f>
        <v>750000</v>
      </c>
      <c r="E54" s="5012"/>
      <c r="F54" s="323">
        <f>SUM(F52:F53)</f>
        <v>35076.639999999999</v>
      </c>
      <c r="G54" s="5055"/>
      <c r="H54" s="323">
        <f>SUM(H52:H53)</f>
        <v>34586.76</v>
      </c>
      <c r="I54" s="4991"/>
      <c r="J54" s="472">
        <f>SUM(J52:J53)</f>
        <v>69663.399999999994</v>
      </c>
      <c r="K54" s="5012"/>
      <c r="L54" s="323">
        <f>SUM(L52:L53)</f>
        <v>51668.42</v>
      </c>
      <c r="M54" s="5025"/>
      <c r="N54" s="883">
        <f>SUM(N52:N53)</f>
        <v>121331.82</v>
      </c>
      <c r="O54" s="5012"/>
      <c r="P54" s="323">
        <f>SUM(P52:P53)</f>
        <v>53901.930000000008</v>
      </c>
      <c r="Q54" s="4991"/>
      <c r="R54" s="472">
        <f>SUM(R52:R53)</f>
        <v>175233.75</v>
      </c>
      <c r="S54" s="5012"/>
      <c r="T54" s="323">
        <f>SUM(T52:T53)</f>
        <v>50809.850000000006</v>
      </c>
      <c r="U54" s="4991"/>
      <c r="V54" s="472">
        <f>SUM(V52:V53)</f>
        <v>226043.6</v>
      </c>
      <c r="W54" s="5012"/>
      <c r="X54" s="323">
        <f>SUM(X52:X53)</f>
        <v>54227.87</v>
      </c>
      <c r="Y54" s="5025"/>
      <c r="Z54" s="883">
        <f>SUM(Z52:Z53)</f>
        <v>158939.65</v>
      </c>
      <c r="AA54" s="4987"/>
      <c r="AB54" s="1289">
        <f>SUM(AB52:AB53)</f>
        <v>280271.46999999997</v>
      </c>
      <c r="AC54" s="5012"/>
      <c r="AD54" s="323">
        <f>SUM(AD52:AD53)</f>
        <v>58924.31</v>
      </c>
      <c r="AE54" s="4991"/>
      <c r="AF54" s="472">
        <f>SUM(AF52:AF53)</f>
        <v>339195.78</v>
      </c>
      <c r="AG54" s="5012"/>
      <c r="AH54" s="323">
        <f>SUM(AH52:AH53)</f>
        <v>49365.07</v>
      </c>
      <c r="AI54" s="4991"/>
      <c r="AJ54" s="472">
        <f>SUM(AJ52:AJ53)</f>
        <v>388560.85</v>
      </c>
      <c r="AK54" s="5012"/>
      <c r="AL54" s="323">
        <f>SUM(AL52:AL53)</f>
        <v>75504.189999999988</v>
      </c>
      <c r="AM54" s="5025"/>
      <c r="AN54" s="883">
        <f>SUM(AN52:AN53)</f>
        <v>183793.56999999998</v>
      </c>
      <c r="AO54" s="4991"/>
      <c r="AP54" s="472">
        <f>SUM(AP52:AP53)</f>
        <v>464065.04</v>
      </c>
      <c r="AQ54" s="5012"/>
      <c r="AR54" s="323">
        <f>SUM(AR52:AR53)</f>
        <v>66658.319999999978</v>
      </c>
      <c r="AS54" s="4991"/>
      <c r="AT54" s="472">
        <f>SUM(AT52:AT53)</f>
        <v>530723.36</v>
      </c>
      <c r="AU54" s="5012"/>
      <c r="AV54" s="323">
        <f>SUM(AV52:AV53)</f>
        <v>46901.53</v>
      </c>
      <c r="AW54" s="4991"/>
      <c r="AX54" s="472">
        <f>SUM(AX52:AX53)</f>
        <v>577624.8899999999</v>
      </c>
      <c r="AY54" s="5012"/>
      <c r="AZ54" s="323">
        <f>SUM(AZ52:AZ53)</f>
        <v>73905.509999999995</v>
      </c>
      <c r="BA54" s="5025"/>
      <c r="BB54" s="883">
        <f>SUM(BB52:BB53)</f>
        <v>187465.36</v>
      </c>
      <c r="BC54" s="4987">
        <f t="shared" si="278"/>
        <v>0</v>
      </c>
      <c r="BD54" s="1289">
        <f t="shared" si="279"/>
        <v>371258.92999999993</v>
      </c>
      <c r="BE54" s="4991"/>
      <c r="BF54" s="472">
        <f>SUM(BF52:BF53)</f>
        <v>651530.39999999991</v>
      </c>
    </row>
    <row r="55" spans="2:61" s="334" customFormat="1" ht="18.75" x14ac:dyDescent="0.3">
      <c r="B55" s="895" t="s">
        <v>124</v>
      </c>
      <c r="C55" s="892"/>
      <c r="D55" s="2067"/>
      <c r="E55" s="896"/>
      <c r="F55" s="896"/>
      <c r="G55" s="2068"/>
      <c r="H55" s="896"/>
      <c r="I55" s="896"/>
      <c r="J55" s="896"/>
      <c r="K55" s="896"/>
      <c r="L55" s="896"/>
      <c r="M55" s="896"/>
      <c r="N55" s="896"/>
      <c r="O55" s="896"/>
      <c r="P55" s="896"/>
      <c r="Q55" s="896"/>
      <c r="R55" s="896"/>
      <c r="S55" s="896"/>
      <c r="T55" s="896"/>
      <c r="U55" s="896"/>
      <c r="V55" s="896"/>
      <c r="W55" s="896"/>
      <c r="X55" s="896"/>
      <c r="Y55" s="896"/>
      <c r="Z55" s="896"/>
      <c r="AA55" s="896"/>
      <c r="AB55" s="896"/>
      <c r="AC55" s="896"/>
      <c r="AD55" s="896"/>
      <c r="AE55" s="896"/>
      <c r="AF55" s="896"/>
      <c r="AG55" s="896"/>
      <c r="AH55" s="896"/>
      <c r="AI55" s="896"/>
      <c r="AJ55" s="896"/>
      <c r="AK55" s="896"/>
      <c r="AL55" s="896"/>
      <c r="AM55" s="896"/>
      <c r="AN55" s="896"/>
      <c r="AO55" s="896"/>
      <c r="AP55" s="896"/>
      <c r="AQ55" s="896"/>
      <c r="AR55" s="896"/>
      <c r="AS55" s="896"/>
      <c r="AT55" s="896"/>
      <c r="AU55" s="896"/>
      <c r="AV55" s="896"/>
      <c r="AW55" s="896"/>
      <c r="AX55" s="896"/>
      <c r="AY55" s="896"/>
      <c r="AZ55" s="896"/>
      <c r="BA55" s="896"/>
      <c r="BB55" s="896"/>
      <c r="BC55" s="896"/>
      <c r="BD55" s="896"/>
      <c r="BE55" s="896"/>
      <c r="BF55" s="896"/>
    </row>
    <row r="56" spans="2:61" ht="18.75" x14ac:dyDescent="0.25">
      <c r="B56" s="597" t="s">
        <v>24</v>
      </c>
      <c r="C56" s="2058" t="s">
        <v>53</v>
      </c>
      <c r="D56" s="2059"/>
      <c r="E56" s="5010">
        <f>+E43</f>
        <v>10000</v>
      </c>
      <c r="F56" s="508">
        <v>6310.74</v>
      </c>
      <c r="G56" s="5054">
        <f>+G43</f>
        <v>0</v>
      </c>
      <c r="H56" s="508">
        <v>2137.7199999999998</v>
      </c>
      <c r="I56" s="4964">
        <f>+E56+G56</f>
        <v>10000</v>
      </c>
      <c r="J56" s="517">
        <f t="shared" ref="J56:J57" si="281">+F56+H56</f>
        <v>8448.4599999999991</v>
      </c>
      <c r="K56" s="5010">
        <f>+K43</f>
        <v>40000</v>
      </c>
      <c r="L56" s="508">
        <v>6344.31</v>
      </c>
      <c r="M56" s="4962">
        <f>+I56+K56</f>
        <v>50000</v>
      </c>
      <c r="N56" s="611">
        <f t="shared" ref="N56:N57" si="282">+J56+L56</f>
        <v>14792.77</v>
      </c>
      <c r="O56" s="5010">
        <f>+O43</f>
        <v>40000</v>
      </c>
      <c r="P56" s="508">
        <v>19163.68</v>
      </c>
      <c r="Q56" s="4964">
        <f>+M56+O56</f>
        <v>90000</v>
      </c>
      <c r="R56" s="517">
        <f t="shared" ref="R56:R57" si="283">+N56+P56</f>
        <v>33956.449999999997</v>
      </c>
      <c r="S56" s="5010">
        <f>+S43</f>
        <v>45000</v>
      </c>
      <c r="T56" s="508">
        <v>15325.02</v>
      </c>
      <c r="U56" s="4964">
        <f>+Q56+S56</f>
        <v>135000</v>
      </c>
      <c r="V56" s="517">
        <f t="shared" ref="V56:V57" si="284">+R56+T56</f>
        <v>49281.47</v>
      </c>
      <c r="W56" s="5010">
        <f>+W43</f>
        <v>45000</v>
      </c>
      <c r="X56" s="508">
        <v>7761.94</v>
      </c>
      <c r="Y56" s="4962">
        <f>O56+S56+W56</f>
        <v>130000</v>
      </c>
      <c r="Z56" s="611">
        <f>P56+T56+X56</f>
        <v>42250.64</v>
      </c>
      <c r="AA56" s="4960">
        <f>+U56+W56</f>
        <v>180000</v>
      </c>
      <c r="AB56" s="1287">
        <f t="shared" ref="AB56:AB57" si="285">+V56+X56</f>
        <v>57043.41</v>
      </c>
      <c r="AC56" s="5010">
        <f>+AC43</f>
        <v>45000</v>
      </c>
      <c r="AD56" s="508">
        <v>16022</v>
      </c>
      <c r="AE56" s="4964">
        <f>+AA56+AC56</f>
        <v>225000</v>
      </c>
      <c r="AF56" s="517">
        <f t="shared" ref="AF56:AF57" si="286">+AB56+AD56</f>
        <v>73065.41</v>
      </c>
      <c r="AG56" s="5010">
        <f>+AG43</f>
        <v>45000</v>
      </c>
      <c r="AH56" s="508">
        <v>17596.04</v>
      </c>
      <c r="AI56" s="4964">
        <f>+AE56+AG56</f>
        <v>270000</v>
      </c>
      <c r="AJ56" s="517">
        <f t="shared" ref="AJ56:AJ57" si="287">+AF56+AH56</f>
        <v>90661.450000000012</v>
      </c>
      <c r="AK56" s="5010">
        <f>+AK43</f>
        <v>45000</v>
      </c>
      <c r="AL56" s="508">
        <v>23057.72</v>
      </c>
      <c r="AM56" s="4962">
        <f>AC56+AG56+AK56</f>
        <v>135000</v>
      </c>
      <c r="AN56" s="611">
        <f>AD56+AH56+AL56</f>
        <v>56675.76</v>
      </c>
      <c r="AO56" s="4964">
        <f>+AI56+AK56</f>
        <v>315000</v>
      </c>
      <c r="AP56" s="517">
        <f t="shared" ref="AP56:AP57" si="288">+AJ56+AL56</f>
        <v>113719.17000000001</v>
      </c>
      <c r="AQ56" s="5010">
        <f>+AQ43</f>
        <v>45000</v>
      </c>
      <c r="AR56" s="508">
        <v>14390.779999999999</v>
      </c>
      <c r="AS56" s="4964">
        <f>+AO56+AQ56</f>
        <v>360000</v>
      </c>
      <c r="AT56" s="517">
        <f t="shared" ref="AT56:AT57" si="289">+AP56+AR56</f>
        <v>128109.95000000001</v>
      </c>
      <c r="AU56" s="5010">
        <f>+AU43</f>
        <v>45000</v>
      </c>
      <c r="AV56" s="508">
        <v>17355.09</v>
      </c>
      <c r="AW56" s="4964">
        <f>+AS56+AU56</f>
        <v>405000</v>
      </c>
      <c r="AX56" s="517">
        <f t="shared" ref="AX56:AX57" si="290">+AT56+AV56</f>
        <v>145465.04</v>
      </c>
      <c r="AY56" s="5010">
        <f>+AY43</f>
        <v>45000</v>
      </c>
      <c r="AZ56" s="508">
        <v>23800.340000000011</v>
      </c>
      <c r="BA56" s="4962">
        <f>AQ56+AU56+AY56</f>
        <v>135000</v>
      </c>
      <c r="BB56" s="611">
        <f>AR56+AV56+AZ56</f>
        <v>55546.210000000006</v>
      </c>
      <c r="BC56" s="4960">
        <f t="shared" ref="BC56:BC58" si="291">+BA56+AM56</f>
        <v>270000</v>
      </c>
      <c r="BD56" s="1287">
        <f t="shared" ref="BD56:BD58" si="292">+BB56+AN56</f>
        <v>112221.97</v>
      </c>
      <c r="BE56" s="4964">
        <f>+AW56+AY56</f>
        <v>450000</v>
      </c>
      <c r="BF56" s="517">
        <f t="shared" ref="BF56:BF57" si="293">+AX56+AZ56</f>
        <v>169265.38</v>
      </c>
    </row>
    <row r="57" spans="2:61" ht="19.5" thickBot="1" x14ac:dyDescent="0.3">
      <c r="B57" s="598" t="s">
        <v>25</v>
      </c>
      <c r="C57" s="2063" t="s">
        <v>53</v>
      </c>
      <c r="D57" s="3953"/>
      <c r="E57" s="5011"/>
      <c r="F57" s="508">
        <v>2755.6</v>
      </c>
      <c r="G57" s="5047"/>
      <c r="H57" s="508">
        <v>387.74</v>
      </c>
      <c r="I57" s="4990"/>
      <c r="J57" s="517">
        <f t="shared" si="281"/>
        <v>3143.34</v>
      </c>
      <c r="K57" s="5011"/>
      <c r="L57" s="508">
        <v>1406.8999999999999</v>
      </c>
      <c r="M57" s="4992"/>
      <c r="N57" s="611">
        <f t="shared" si="282"/>
        <v>4550.24</v>
      </c>
      <c r="O57" s="5011"/>
      <c r="P57" s="508">
        <v>3569.22</v>
      </c>
      <c r="Q57" s="4990"/>
      <c r="R57" s="517">
        <f t="shared" si="283"/>
        <v>8119.4599999999991</v>
      </c>
      <c r="S57" s="5011"/>
      <c r="T57" s="508">
        <v>3691.8</v>
      </c>
      <c r="U57" s="4990"/>
      <c r="V57" s="517">
        <f t="shared" si="284"/>
        <v>11811.259999999998</v>
      </c>
      <c r="W57" s="5011"/>
      <c r="X57" s="508">
        <v>1509.76</v>
      </c>
      <c r="Y57" s="4992"/>
      <c r="Z57" s="611">
        <f>P57+T57+X57</f>
        <v>8770.7800000000007</v>
      </c>
      <c r="AA57" s="4986"/>
      <c r="AB57" s="1287">
        <f t="shared" si="285"/>
        <v>13321.019999999999</v>
      </c>
      <c r="AC57" s="5011"/>
      <c r="AD57" s="508">
        <v>5299.12</v>
      </c>
      <c r="AE57" s="4990"/>
      <c r="AF57" s="517">
        <f t="shared" si="286"/>
        <v>18620.14</v>
      </c>
      <c r="AG57" s="5011"/>
      <c r="AH57" s="508">
        <v>3546.18</v>
      </c>
      <c r="AI57" s="4990"/>
      <c r="AJ57" s="517">
        <f t="shared" si="287"/>
        <v>22166.32</v>
      </c>
      <c r="AK57" s="5011"/>
      <c r="AL57" s="508">
        <v>5374.6</v>
      </c>
      <c r="AM57" s="4992"/>
      <c r="AN57" s="611">
        <f>AD57+AH57+AL57</f>
        <v>14219.9</v>
      </c>
      <c r="AO57" s="4990"/>
      <c r="AP57" s="517">
        <f t="shared" si="288"/>
        <v>27540.92</v>
      </c>
      <c r="AQ57" s="5011"/>
      <c r="AR57" s="508">
        <v>6537.75</v>
      </c>
      <c r="AS57" s="4990"/>
      <c r="AT57" s="517">
        <f t="shared" si="289"/>
        <v>34078.67</v>
      </c>
      <c r="AU57" s="5011"/>
      <c r="AV57" s="508">
        <v>6248.9399999999978</v>
      </c>
      <c r="AW57" s="4990"/>
      <c r="AX57" s="517">
        <f t="shared" si="290"/>
        <v>40327.609999999993</v>
      </c>
      <c r="AY57" s="5011"/>
      <c r="AZ57" s="508">
        <v>4726.55</v>
      </c>
      <c r="BA57" s="4992"/>
      <c r="BB57" s="611">
        <f>AR57+AV57+AZ57</f>
        <v>17513.239999999998</v>
      </c>
      <c r="BC57" s="4986">
        <f t="shared" si="291"/>
        <v>0</v>
      </c>
      <c r="BD57" s="1287">
        <f t="shared" si="292"/>
        <v>31733.14</v>
      </c>
      <c r="BE57" s="4990"/>
      <c r="BF57" s="517">
        <f t="shared" si="293"/>
        <v>45054.159999999996</v>
      </c>
      <c r="BI57" s="1726">
        <v>2214.3199999999997</v>
      </c>
    </row>
    <row r="58" spans="2:61" ht="19.5" thickBot="1" x14ac:dyDescent="0.3">
      <c r="B58" s="599" t="s">
        <v>2</v>
      </c>
      <c r="C58" s="113" t="s">
        <v>53</v>
      </c>
      <c r="D58" s="3949">
        <f>+D43</f>
        <v>450000</v>
      </c>
      <c r="E58" s="5012"/>
      <c r="F58" s="323">
        <f>SUM(F56:F57)</f>
        <v>9066.34</v>
      </c>
      <c r="G58" s="5055"/>
      <c r="H58" s="323">
        <f>SUM(H56:H57)</f>
        <v>2525.46</v>
      </c>
      <c r="I58" s="4991"/>
      <c r="J58" s="472">
        <f>SUM(J56:J57)</f>
        <v>11591.8</v>
      </c>
      <c r="K58" s="5012"/>
      <c r="L58" s="323">
        <f>SUM(L56:L57)</f>
        <v>7751.21</v>
      </c>
      <c r="M58" s="5025"/>
      <c r="N58" s="883">
        <f>SUM(N56:N57)</f>
        <v>19343.010000000002</v>
      </c>
      <c r="O58" s="5012"/>
      <c r="P58" s="323">
        <f>SUM(P56:P57)</f>
        <v>22732.9</v>
      </c>
      <c r="Q58" s="4991"/>
      <c r="R58" s="472">
        <f>SUM(R56:R57)</f>
        <v>42075.909999999996</v>
      </c>
      <c r="S58" s="5012"/>
      <c r="T58" s="323">
        <f>SUM(T56:T57)</f>
        <v>19016.82</v>
      </c>
      <c r="U58" s="4991"/>
      <c r="V58" s="472">
        <f>SUM(V56:V57)</f>
        <v>61092.729999999996</v>
      </c>
      <c r="W58" s="5012"/>
      <c r="X58" s="323">
        <f>SUM(X56:X57)</f>
        <v>9271.6999999999989</v>
      </c>
      <c r="Y58" s="5025"/>
      <c r="Z58" s="883">
        <f>SUM(Z56:Z57)</f>
        <v>51021.42</v>
      </c>
      <c r="AA58" s="4987"/>
      <c r="AB58" s="1289">
        <f>SUM(AB56:AB57)</f>
        <v>70364.430000000008</v>
      </c>
      <c r="AC58" s="5012"/>
      <c r="AD58" s="323">
        <f>SUM(AD56:AD57)</f>
        <v>21321.119999999999</v>
      </c>
      <c r="AE58" s="4991"/>
      <c r="AF58" s="472">
        <f>SUM(AF56:AF57)</f>
        <v>91685.55</v>
      </c>
      <c r="AG58" s="5012"/>
      <c r="AH58" s="323">
        <f>SUM(AH56:AH57)</f>
        <v>21142.22</v>
      </c>
      <c r="AI58" s="4991"/>
      <c r="AJ58" s="472">
        <f>SUM(AJ56:AJ57)</f>
        <v>112827.77000000002</v>
      </c>
      <c r="AK58" s="5012"/>
      <c r="AL58" s="323">
        <f>SUM(AL56:AL57)</f>
        <v>28432.32</v>
      </c>
      <c r="AM58" s="5025"/>
      <c r="AN58" s="883">
        <f>SUM(AN56:AN57)</f>
        <v>70895.66</v>
      </c>
      <c r="AO58" s="4991"/>
      <c r="AP58" s="472">
        <f>SUM(AP56:AP57)</f>
        <v>141260.09000000003</v>
      </c>
      <c r="AQ58" s="5012"/>
      <c r="AR58" s="323">
        <f>SUM(AR56:AR57)</f>
        <v>20928.53</v>
      </c>
      <c r="AS58" s="4991"/>
      <c r="AT58" s="472">
        <f>SUM(AT56:AT57)</f>
        <v>162188.62</v>
      </c>
      <c r="AU58" s="5012"/>
      <c r="AV58" s="323">
        <f>SUM(AV56:AV57)</f>
        <v>23604.03</v>
      </c>
      <c r="AW58" s="4991"/>
      <c r="AX58" s="472">
        <f>SUM(AX56:AX57)</f>
        <v>185792.65</v>
      </c>
      <c r="AY58" s="5012"/>
      <c r="AZ58" s="323">
        <f>SUM(AZ56:AZ57)</f>
        <v>28526.89000000001</v>
      </c>
      <c r="BA58" s="5025"/>
      <c r="BB58" s="883">
        <f>SUM(BB56:BB57)</f>
        <v>73059.450000000012</v>
      </c>
      <c r="BC58" s="4987">
        <f t="shared" si="291"/>
        <v>0</v>
      </c>
      <c r="BD58" s="1289">
        <f t="shared" si="292"/>
        <v>143955.11000000002</v>
      </c>
      <c r="BE58" s="4991"/>
      <c r="BF58" s="472">
        <f>SUM(BF56:BF57)</f>
        <v>214319.54</v>
      </c>
    </row>
    <row r="59" spans="2:61" s="334" customFormat="1" ht="18.75" x14ac:dyDescent="0.3">
      <c r="B59" s="895" t="s">
        <v>561</v>
      </c>
      <c r="C59" s="892"/>
      <c r="D59" s="2067"/>
      <c r="E59" s="896"/>
      <c r="F59" s="896"/>
      <c r="G59" s="2068"/>
      <c r="H59" s="896"/>
      <c r="I59" s="896"/>
      <c r="J59" s="896"/>
      <c r="K59" s="896"/>
      <c r="L59" s="896"/>
      <c r="M59" s="896"/>
      <c r="N59" s="896"/>
      <c r="O59" s="896"/>
      <c r="P59" s="896"/>
      <c r="Q59" s="896"/>
      <c r="R59" s="896"/>
      <c r="S59" s="896"/>
      <c r="T59" s="896"/>
      <c r="U59" s="896"/>
      <c r="V59" s="896"/>
      <c r="W59" s="896"/>
      <c r="X59" s="896"/>
      <c r="Y59" s="896"/>
      <c r="Z59" s="896"/>
      <c r="AA59" s="896"/>
      <c r="AB59" s="896"/>
      <c r="AC59" s="896"/>
      <c r="AD59" s="896"/>
      <c r="AE59" s="896"/>
      <c r="AF59" s="896"/>
      <c r="AG59" s="896"/>
      <c r="AH59" s="896"/>
      <c r="AI59" s="896"/>
      <c r="AJ59" s="896"/>
      <c r="AK59" s="896"/>
      <c r="AL59" s="896"/>
      <c r="AM59" s="896"/>
      <c r="AN59" s="896"/>
      <c r="AO59" s="896"/>
      <c r="AP59" s="896"/>
      <c r="AQ59" s="896"/>
      <c r="AR59" s="896"/>
      <c r="AS59" s="896"/>
      <c r="AT59" s="896"/>
      <c r="AU59" s="896"/>
      <c r="AV59" s="896"/>
      <c r="AW59" s="896"/>
      <c r="AX59" s="896"/>
      <c r="AY59" s="896"/>
      <c r="AZ59" s="896"/>
      <c r="BA59" s="896"/>
      <c r="BB59" s="896"/>
      <c r="BC59" s="896"/>
      <c r="BD59" s="896"/>
      <c r="BE59" s="896"/>
      <c r="BF59" s="896"/>
    </row>
    <row r="60" spans="2:61" ht="18.75" x14ac:dyDescent="0.25">
      <c r="B60" s="597" t="s">
        <v>24</v>
      </c>
      <c r="C60" s="2058" t="s">
        <v>53</v>
      </c>
      <c r="D60" s="2059"/>
      <c r="E60" s="5010">
        <f>+E44</f>
        <v>-1.0140470251940314E-4</v>
      </c>
      <c r="F60" s="508">
        <v>23399.34</v>
      </c>
      <c r="G60" s="5054">
        <f>+G44</f>
        <v>0.46042229194426909</v>
      </c>
      <c r="H60" s="508">
        <f>26642.02+H37</f>
        <v>32354.04</v>
      </c>
      <c r="I60" s="4964">
        <f>+E60+G60</f>
        <v>0.46032088724174969</v>
      </c>
      <c r="J60" s="517">
        <f t="shared" ref="J60:J61" si="294">+F60+H60</f>
        <v>55753.380000000005</v>
      </c>
      <c r="K60" s="5010">
        <f>+K44</f>
        <v>69792.581804310903</v>
      </c>
      <c r="L60" s="508">
        <v>71785.36</v>
      </c>
      <c r="M60" s="4962">
        <f>+I60+K60</f>
        <v>69793.042125198146</v>
      </c>
      <c r="N60" s="611">
        <f t="shared" ref="N60:N61" si="295">+J60+L60</f>
        <v>127538.74</v>
      </c>
      <c r="O60" s="5010">
        <f>+O44</f>
        <v>71892.089892564109</v>
      </c>
      <c r="P60" s="610">
        <v>65292.060000000012</v>
      </c>
      <c r="Q60" s="4964">
        <f>+M60+O60</f>
        <v>141685.13201776225</v>
      </c>
      <c r="R60" s="517">
        <f t="shared" ref="R60:R61" si="296">+N60+P60</f>
        <v>192830.80000000002</v>
      </c>
      <c r="S60" s="5010">
        <f>+S44</f>
        <v>67355.222922719942</v>
      </c>
      <c r="T60" s="610">
        <v>76682.189999999988</v>
      </c>
      <c r="U60" s="4964">
        <f>+Q60+S60</f>
        <v>209040.35494048218</v>
      </c>
      <c r="V60" s="517">
        <f t="shared" ref="V60:V61" si="297">+R60+T60</f>
        <v>269512.99</v>
      </c>
      <c r="W60" s="5010">
        <f>+W44</f>
        <v>65673.36037437286</v>
      </c>
      <c r="X60" s="610">
        <v>90020.579999999987</v>
      </c>
      <c r="Y60" s="4962">
        <f>O60+S60+W60</f>
        <v>204920.67318965693</v>
      </c>
      <c r="Z60" s="611">
        <f>P60+T60+X60</f>
        <v>231994.83</v>
      </c>
      <c r="AA60" s="4960">
        <f>+U60+W60</f>
        <v>274713.71531485504</v>
      </c>
      <c r="AB60" s="1287">
        <f t="shared" ref="AB60:AB61" si="298">+V60+X60</f>
        <v>359533.56999999995</v>
      </c>
      <c r="AC60" s="5010">
        <f>+AC44</f>
        <v>68643.955317086118</v>
      </c>
      <c r="AD60" s="610">
        <v>7711.7199999999993</v>
      </c>
      <c r="AE60" s="4964">
        <f>+AA60+AC60</f>
        <v>343357.67063194118</v>
      </c>
      <c r="AF60" s="517">
        <f t="shared" ref="AF60:AF61" si="299">+AB60+AD60</f>
        <v>367245.28999999992</v>
      </c>
      <c r="AG60" s="5010">
        <f>+AG44</f>
        <v>63673.36037437286</v>
      </c>
      <c r="AH60" s="610">
        <v>74091.739999999991</v>
      </c>
      <c r="AI60" s="4964">
        <f>+AE60+AG60</f>
        <v>407031.03100631404</v>
      </c>
      <c r="AJ60" s="517">
        <f>+AF60+AH60</f>
        <v>441337.02999999991</v>
      </c>
      <c r="AK60" s="5010">
        <f>+AK44</f>
        <v>68969.955317086118</v>
      </c>
      <c r="AL60" s="610">
        <v>71181.479999999967</v>
      </c>
      <c r="AM60" s="4962">
        <f>AC60+AG60+AK60</f>
        <v>201287.27100854513</v>
      </c>
      <c r="AN60" s="611">
        <f>AD60+AH60+AL60</f>
        <v>152984.93999999994</v>
      </c>
      <c r="AO60" s="4964">
        <f>+AI60+AK60</f>
        <v>476000.98632340017</v>
      </c>
      <c r="AP60" s="517">
        <f t="shared" ref="AP60:AP61" si="300">+AJ60+AL60</f>
        <v>512518.50999999989</v>
      </c>
      <c r="AQ60" s="5010">
        <f>+AQ44</f>
        <v>69143.955317086118</v>
      </c>
      <c r="AR60" s="508">
        <v>68294.999999999985</v>
      </c>
      <c r="AS60" s="4964">
        <f>+AO60+AQ60</f>
        <v>545144.94164048624</v>
      </c>
      <c r="AT60" s="517">
        <f t="shared" ref="AT60:AT61" si="301">+AP60+AR60</f>
        <v>580813.50999999989</v>
      </c>
      <c r="AU60" s="5010">
        <f>+AU44</f>
        <v>55711.253949988895</v>
      </c>
      <c r="AV60" s="508">
        <v>64320.789999999994</v>
      </c>
      <c r="AW60" s="4964">
        <f>+AS60+AU60</f>
        <v>600856.19559047511</v>
      </c>
      <c r="AX60" s="517">
        <f t="shared" ref="AX60:AX61" si="302">+AT60+AV60</f>
        <v>645134.29999999993</v>
      </c>
      <c r="AY60" s="5010">
        <f>+AY44</f>
        <v>69143.955317086118</v>
      </c>
      <c r="AZ60" s="508">
        <v>67557.679999999993</v>
      </c>
      <c r="BA60" s="4962">
        <f>AQ60+AU60+AY60</f>
        <v>193999.16458416113</v>
      </c>
      <c r="BB60" s="611">
        <f>AR60+AV60+AZ60</f>
        <v>200173.46999999997</v>
      </c>
      <c r="BC60" s="4960">
        <f t="shared" ref="BC60:BC62" si="303">+BA60+AM60</f>
        <v>395286.43559270626</v>
      </c>
      <c r="BD60" s="1287">
        <f t="shared" ref="BD60:BD62" si="304">+BB60+AN60</f>
        <v>353158.40999999992</v>
      </c>
      <c r="BE60" s="4964">
        <f>+AW60+AY60</f>
        <v>670000.15090756118</v>
      </c>
      <c r="BF60" s="517">
        <f t="shared" ref="BF60:BF61" si="305">+AX60+AZ60</f>
        <v>712691.98</v>
      </c>
      <c r="BI60" s="1726">
        <v>22564.360000000004</v>
      </c>
    </row>
    <row r="61" spans="2:61" ht="19.5" thickBot="1" x14ac:dyDescent="0.3">
      <c r="B61" s="598" t="s">
        <v>25</v>
      </c>
      <c r="C61" s="2063" t="s">
        <v>53</v>
      </c>
      <c r="D61" s="3953"/>
      <c r="E61" s="5011"/>
      <c r="F61" s="508">
        <f>2614.73+F33</f>
        <v>5571.6399999999994</v>
      </c>
      <c r="G61" s="5047"/>
      <c r="H61" s="508">
        <f>11399.52-H37</f>
        <v>5687.5</v>
      </c>
      <c r="I61" s="4990"/>
      <c r="J61" s="517">
        <f t="shared" si="294"/>
        <v>11259.14</v>
      </c>
      <c r="K61" s="5011"/>
      <c r="L61" s="508">
        <f>5012.02+1723</f>
        <v>6735.02</v>
      </c>
      <c r="M61" s="4992"/>
      <c r="N61" s="611">
        <f t="shared" si="295"/>
        <v>17994.16</v>
      </c>
      <c r="O61" s="5011"/>
      <c r="P61" s="610">
        <v>7276.4</v>
      </c>
      <c r="Q61" s="4990"/>
      <c r="R61" s="517">
        <f t="shared" si="296"/>
        <v>25270.559999999998</v>
      </c>
      <c r="S61" s="5011"/>
      <c r="T61" s="610">
        <v>6233.28</v>
      </c>
      <c r="U61" s="4990"/>
      <c r="V61" s="517">
        <f t="shared" si="297"/>
        <v>31503.839999999997</v>
      </c>
      <c r="W61" s="5011"/>
      <c r="X61" s="610">
        <v>5878.8399999999992</v>
      </c>
      <c r="Y61" s="4992"/>
      <c r="Z61" s="611">
        <f>P61+T61+X61</f>
        <v>19388.52</v>
      </c>
      <c r="AA61" s="4986"/>
      <c r="AB61" s="1287">
        <f t="shared" si="298"/>
        <v>37382.679999999993</v>
      </c>
      <c r="AC61" s="5011"/>
      <c r="AD61" s="610">
        <v>55328.08</v>
      </c>
      <c r="AE61" s="4990"/>
      <c r="AF61" s="517">
        <f t="shared" si="299"/>
        <v>92710.76</v>
      </c>
      <c r="AG61" s="5011"/>
      <c r="AH61" s="610">
        <f>2274.13+2214.32</f>
        <v>4488.4500000000007</v>
      </c>
      <c r="AI61" s="4990"/>
      <c r="AJ61" s="517">
        <f>+AF61+AH61</f>
        <v>97199.209999999992</v>
      </c>
      <c r="AK61" s="5011"/>
      <c r="AL61" s="610">
        <v>10416.129999999999</v>
      </c>
      <c r="AM61" s="4992"/>
      <c r="AN61" s="611">
        <f>AD61+AH61+AL61</f>
        <v>70232.66</v>
      </c>
      <c r="AO61" s="4990"/>
      <c r="AP61" s="517">
        <f t="shared" si="300"/>
        <v>107615.34</v>
      </c>
      <c r="AQ61" s="5011"/>
      <c r="AR61" s="508">
        <v>8021.1899999999987</v>
      </c>
      <c r="AS61" s="4990"/>
      <c r="AT61" s="517">
        <f t="shared" si="301"/>
        <v>115636.53</v>
      </c>
      <c r="AU61" s="5011"/>
      <c r="AV61" s="508">
        <v>7409.6599999999989</v>
      </c>
      <c r="AW61" s="4990"/>
      <c r="AX61" s="517">
        <f t="shared" si="302"/>
        <v>123046.19</v>
      </c>
      <c r="AY61" s="5011"/>
      <c r="AZ61" s="508">
        <v>8649.61</v>
      </c>
      <c r="BA61" s="4992"/>
      <c r="BB61" s="611">
        <f>AR61+AV61+AZ61</f>
        <v>24080.46</v>
      </c>
      <c r="BC61" s="4986">
        <f t="shared" si="303"/>
        <v>0</v>
      </c>
      <c r="BD61" s="1287">
        <f t="shared" si="304"/>
        <v>94313.12</v>
      </c>
      <c r="BE61" s="4990"/>
      <c r="BF61" s="517">
        <f t="shared" si="305"/>
        <v>131695.79999999999</v>
      </c>
      <c r="BI61" s="1726">
        <v>48656.899999999994</v>
      </c>
    </row>
    <row r="62" spans="2:61" ht="19.5" thickBot="1" x14ac:dyDescent="0.3">
      <c r="B62" s="599" t="s">
        <v>2</v>
      </c>
      <c r="C62" s="113" t="s">
        <v>53</v>
      </c>
      <c r="D62" s="2087">
        <f>+D44</f>
        <v>670000.15090756118</v>
      </c>
      <c r="E62" s="5012"/>
      <c r="F62" s="323">
        <f>SUM(F60:F61)</f>
        <v>28970.98</v>
      </c>
      <c r="G62" s="5055"/>
      <c r="H62" s="323">
        <f>SUM(H60:H61)</f>
        <v>38041.54</v>
      </c>
      <c r="I62" s="4991"/>
      <c r="J62" s="472">
        <f>SUM(J60:J61)</f>
        <v>67012.52</v>
      </c>
      <c r="K62" s="5012"/>
      <c r="L62" s="323">
        <f>SUM(L60:L61)</f>
        <v>78520.38</v>
      </c>
      <c r="M62" s="5025"/>
      <c r="N62" s="883">
        <f>SUM(N60:N61)</f>
        <v>145532.9</v>
      </c>
      <c r="O62" s="5012"/>
      <c r="P62" s="323">
        <f>SUM(P60:P61)</f>
        <v>72568.460000000006</v>
      </c>
      <c r="Q62" s="4991"/>
      <c r="R62" s="472">
        <f>SUM(R60:R61)</f>
        <v>218101.36000000002</v>
      </c>
      <c r="S62" s="5012"/>
      <c r="T62" s="323">
        <f>SUM(T60:T61)</f>
        <v>82915.469999999987</v>
      </c>
      <c r="U62" s="4991"/>
      <c r="V62" s="472">
        <f>SUM(V60:V61)</f>
        <v>301016.82999999996</v>
      </c>
      <c r="W62" s="5012"/>
      <c r="X62" s="323">
        <f>SUM(X60:X61)</f>
        <v>95899.419999999984</v>
      </c>
      <c r="Y62" s="5025"/>
      <c r="Z62" s="883">
        <f>SUM(Z60:Z61)</f>
        <v>251383.34999999998</v>
      </c>
      <c r="AA62" s="4987"/>
      <c r="AB62" s="1289">
        <f>SUM(AB60:AB61)</f>
        <v>396916.24999999994</v>
      </c>
      <c r="AC62" s="5012"/>
      <c r="AD62" s="323">
        <f>SUM(AD60:AD61)</f>
        <v>63039.8</v>
      </c>
      <c r="AE62" s="4991"/>
      <c r="AF62" s="472">
        <f>SUM(AF60:AF61)</f>
        <v>459956.04999999993</v>
      </c>
      <c r="AG62" s="5012"/>
      <c r="AH62" s="323">
        <f>SUM(AH60:AH61)</f>
        <v>78580.189999999988</v>
      </c>
      <c r="AI62" s="4991"/>
      <c r="AJ62" s="472">
        <f>SUM(AJ60:AJ61)</f>
        <v>538536.23999999987</v>
      </c>
      <c r="AK62" s="5012"/>
      <c r="AL62" s="323">
        <f>SUM(AL60:AL61)</f>
        <v>81597.609999999971</v>
      </c>
      <c r="AM62" s="5025"/>
      <c r="AN62" s="883">
        <f>SUM(AN60:AN61)</f>
        <v>223217.59999999995</v>
      </c>
      <c r="AO62" s="4991"/>
      <c r="AP62" s="472">
        <f>SUM(AP60:AP61)</f>
        <v>620133.84999999986</v>
      </c>
      <c r="AQ62" s="5012"/>
      <c r="AR62" s="323">
        <f>SUM(AR60:AR61)</f>
        <v>76316.189999999988</v>
      </c>
      <c r="AS62" s="4991"/>
      <c r="AT62" s="472">
        <f>SUM(AT60:AT61)</f>
        <v>696450.03999999992</v>
      </c>
      <c r="AU62" s="5012"/>
      <c r="AV62" s="323">
        <f>SUM(AV60:AV61)</f>
        <v>71730.45</v>
      </c>
      <c r="AW62" s="4991"/>
      <c r="AX62" s="472">
        <f>SUM(AX60:AX61)</f>
        <v>768180.49</v>
      </c>
      <c r="AY62" s="5012"/>
      <c r="AZ62" s="323">
        <f>SUM(AZ60:AZ61)</f>
        <v>76207.289999999994</v>
      </c>
      <c r="BA62" s="5025"/>
      <c r="BB62" s="883">
        <f>SUM(BB60:BB61)</f>
        <v>224253.92999999996</v>
      </c>
      <c r="BC62" s="4987">
        <f t="shared" si="303"/>
        <v>0</v>
      </c>
      <c r="BD62" s="1289">
        <f t="shared" si="304"/>
        <v>447471.52999999991</v>
      </c>
      <c r="BE62" s="4991"/>
      <c r="BF62" s="472">
        <f>SUM(BF60:BF61)</f>
        <v>844387.78</v>
      </c>
      <c r="BI62" s="1726">
        <f>SUM(BI60:BI61)</f>
        <v>71221.259999999995</v>
      </c>
    </row>
    <row r="63" spans="2:61" s="334" customFormat="1" ht="18.75" x14ac:dyDescent="0.3">
      <c r="B63" s="690" t="s">
        <v>125</v>
      </c>
      <c r="C63" s="622"/>
      <c r="D63" s="2056"/>
      <c r="E63" s="708"/>
      <c r="F63" s="708"/>
      <c r="G63" s="707"/>
      <c r="H63" s="708"/>
      <c r="I63" s="708"/>
      <c r="J63" s="708"/>
      <c r="K63" s="708"/>
      <c r="L63" s="708"/>
      <c r="M63" s="708"/>
      <c r="N63" s="708"/>
      <c r="O63" s="708"/>
      <c r="P63" s="708"/>
      <c r="Q63" s="708"/>
      <c r="R63" s="708"/>
      <c r="S63" s="708"/>
      <c r="T63" s="708"/>
      <c r="U63" s="708"/>
      <c r="V63" s="708"/>
      <c r="W63" s="708"/>
      <c r="X63" s="708"/>
      <c r="Y63" s="708"/>
      <c r="Z63" s="708"/>
      <c r="AA63" s="708"/>
      <c r="AB63" s="708"/>
      <c r="AC63" s="708"/>
      <c r="AD63" s="708"/>
      <c r="AE63" s="708"/>
      <c r="AF63" s="708"/>
      <c r="AG63" s="708"/>
      <c r="AH63" s="708"/>
      <c r="AI63" s="708"/>
      <c r="AJ63" s="708"/>
      <c r="AK63" s="708"/>
      <c r="AL63" s="708"/>
      <c r="AM63" s="708"/>
      <c r="AN63" s="708"/>
      <c r="AO63" s="708"/>
      <c r="AP63" s="708"/>
      <c r="AQ63" s="708"/>
      <c r="AR63" s="708"/>
      <c r="AS63" s="708"/>
      <c r="AT63" s="708"/>
      <c r="AU63" s="708"/>
      <c r="AV63" s="708"/>
      <c r="AW63" s="708"/>
      <c r="AX63" s="708"/>
      <c r="AY63" s="708"/>
      <c r="AZ63" s="708"/>
      <c r="BA63" s="708"/>
      <c r="BB63" s="708"/>
      <c r="BC63" s="708"/>
      <c r="BD63" s="708"/>
      <c r="BE63" s="708"/>
      <c r="BF63" s="708"/>
    </row>
    <row r="64" spans="2:61" ht="18.75" x14ac:dyDescent="0.25">
      <c r="B64" s="438" t="s">
        <v>24</v>
      </c>
      <c r="C64" s="115" t="s">
        <v>53</v>
      </c>
      <c r="D64" s="2079"/>
      <c r="E64" s="5011">
        <f>+E48+E52+E56+E60</f>
        <v>86999.999898595299</v>
      </c>
      <c r="F64" s="316">
        <f>+F48+F52+F56+F60</f>
        <v>87893.42</v>
      </c>
      <c r="G64" s="5047">
        <f>+G48+G52+G56+G60</f>
        <v>91500.460422291944</v>
      </c>
      <c r="H64" s="316">
        <f>+H48+H52+H56+H60</f>
        <v>88419.839999999997</v>
      </c>
      <c r="I64" s="4964">
        <f>+E64+G64</f>
        <v>178500.46032088724</v>
      </c>
      <c r="J64" s="605">
        <f t="shared" ref="J64:J65" si="306">+F64+H64</f>
        <v>176313.26</v>
      </c>
      <c r="K64" s="5011">
        <f>+K48+K52+K56+K60</f>
        <v>216292.5818043109</v>
      </c>
      <c r="L64" s="316">
        <f>+L48+L52+L56+L60</f>
        <v>156053.53999999998</v>
      </c>
      <c r="M64" s="4962">
        <f>+I64+K64</f>
        <v>394793.04212519818</v>
      </c>
      <c r="N64" s="889">
        <f t="shared" ref="N64:N65" si="307">+J64+L64</f>
        <v>332366.8</v>
      </c>
      <c r="O64" s="5011">
        <f>+O48+O52+O56+O60</f>
        <v>222392.08989256411</v>
      </c>
      <c r="P64" s="316">
        <f>+P48+P52+P56+P60</f>
        <v>169037.59000000003</v>
      </c>
      <c r="Q64" s="4964">
        <f>+M64+O64</f>
        <v>617185.13201776228</v>
      </c>
      <c r="R64" s="605">
        <f t="shared" ref="R64:R65" si="308">+N64+P64</f>
        <v>501404.39</v>
      </c>
      <c r="S64" s="5011">
        <f>+S48+S52+S56+S60</f>
        <v>222855.22292271996</v>
      </c>
      <c r="T64" s="316">
        <f>+T48+T52+T56+T60</f>
        <v>174898.19</v>
      </c>
      <c r="U64" s="4964">
        <f>+Q64+S64</f>
        <v>840040.35494048218</v>
      </c>
      <c r="V64" s="605">
        <f t="shared" ref="V64:V65" si="309">+R64+T64</f>
        <v>676302.58000000007</v>
      </c>
      <c r="W64" s="5011">
        <f>+W48+W52+W56+W60</f>
        <v>217673.36037437286</v>
      </c>
      <c r="X64" s="316">
        <f>+X48+X52+X56+X60</f>
        <v>180394.03</v>
      </c>
      <c r="Y64" s="4962">
        <f>O64+S64+W64</f>
        <v>662920.67318965693</v>
      </c>
      <c r="Z64" s="889">
        <f>P64+T64+X64</f>
        <v>524329.81000000006</v>
      </c>
      <c r="AA64" s="4960">
        <f>+U64+W64</f>
        <v>1057713.7153148551</v>
      </c>
      <c r="AB64" s="1296">
        <f t="shared" ref="AB64:AB65" si="310">+V64+X64</f>
        <v>856696.6100000001</v>
      </c>
      <c r="AC64" s="5011">
        <f>+AC48+AC52+AC56+AC60</f>
        <v>224143.95531708613</v>
      </c>
      <c r="AD64" s="316">
        <f>+AD48+AD52+AD56+AD60</f>
        <v>115157.63</v>
      </c>
      <c r="AE64" s="4964">
        <f>+AA64+AC64</f>
        <v>1281857.6706319412</v>
      </c>
      <c r="AF64" s="605">
        <f t="shared" ref="AF64:AF65" si="311">+AB64+AD64</f>
        <v>971854.24000000011</v>
      </c>
      <c r="AG64" s="5011">
        <f>+AG48+AG52+AG56+AG60</f>
        <v>215673.36037437286</v>
      </c>
      <c r="AH64" s="316">
        <f>+AH48+AH52+AH56+AH60</f>
        <v>171729.8</v>
      </c>
      <c r="AI64" s="4964">
        <f>+AE64+AG64</f>
        <v>1497531.0310063141</v>
      </c>
      <c r="AJ64" s="605">
        <f t="shared" ref="AJ64:AJ65" si="312">+AF64+AH64</f>
        <v>1143584.04</v>
      </c>
      <c r="AK64" s="5011">
        <f>+AK48+AK52+AK56+AK60</f>
        <v>223969.95531708613</v>
      </c>
      <c r="AL64" s="316">
        <f>+AL48+AL52+AL56+AL60</f>
        <v>198333.83999999997</v>
      </c>
      <c r="AM64" s="4962">
        <f>AC64+AG64+AK64</f>
        <v>663787.27100854507</v>
      </c>
      <c r="AN64" s="889">
        <f>AD64+AH64+AL64</f>
        <v>485221.26999999996</v>
      </c>
      <c r="AO64" s="4964">
        <f>+AI64+AK64</f>
        <v>1721500.9863234002</v>
      </c>
      <c r="AP64" s="605">
        <f t="shared" ref="AP64:AP65" si="313">+AJ64+AL64</f>
        <v>1341917.8799999999</v>
      </c>
      <c r="AQ64" s="5011">
        <f>+AQ48+AQ52+AQ56+AQ60</f>
        <v>224643.95531708613</v>
      </c>
      <c r="AR64" s="316">
        <f>+AR48+AR52+AR56+AR60</f>
        <v>175450.07999999996</v>
      </c>
      <c r="AS64" s="4964">
        <f>+AO64+AQ64</f>
        <v>1946144.9416404862</v>
      </c>
      <c r="AT64" s="517">
        <f t="shared" ref="AT64:AT65" si="314">+AP64+AR64</f>
        <v>1517367.96</v>
      </c>
      <c r="AU64" s="5011">
        <f>+AU48+AU52+AU56+AU60</f>
        <v>198711.2539499889</v>
      </c>
      <c r="AV64" s="316">
        <f>+AV48+AV52+AV56+AV60</f>
        <v>161776.83999999997</v>
      </c>
      <c r="AW64" s="4964">
        <f>+AS64+AU64</f>
        <v>2144856.1955904751</v>
      </c>
      <c r="AX64" s="517">
        <f t="shared" ref="AX64:AX65" si="315">+AT64+AV64</f>
        <v>1679144.7999999998</v>
      </c>
      <c r="AY64" s="5011">
        <f>+AY48+AY52+AY56+AY60</f>
        <v>224643.95531708613</v>
      </c>
      <c r="AZ64" s="316">
        <f>+AZ48+AZ52+AZ56+AZ60</f>
        <v>203446.33000000002</v>
      </c>
      <c r="BA64" s="4962">
        <f>AQ64+AU64+AY64</f>
        <v>647999.16458416125</v>
      </c>
      <c r="BB64" s="889">
        <f>AR64+AV64+AZ64</f>
        <v>540673.25</v>
      </c>
      <c r="BC64" s="4960">
        <f t="shared" ref="BC64:BC66" si="316">+BA64+AM64</f>
        <v>1311786.4355927063</v>
      </c>
      <c r="BD64" s="1296">
        <f t="shared" ref="BD64:BD66" si="317">+BB64+AN64</f>
        <v>1025894.52</v>
      </c>
      <c r="BE64" s="4964">
        <f>+AW64+AY64</f>
        <v>2369500.1509075612</v>
      </c>
      <c r="BF64" s="517">
        <f t="shared" ref="BF64:BF65" si="318">+AX64+AZ64</f>
        <v>1882591.13</v>
      </c>
    </row>
    <row r="65" spans="2:81" ht="19.5" thickBot="1" x14ac:dyDescent="0.3">
      <c r="B65" s="2080" t="s">
        <v>25</v>
      </c>
      <c r="C65" s="2081" t="s">
        <v>53</v>
      </c>
      <c r="D65" s="2079"/>
      <c r="E65" s="5011"/>
      <c r="F65" s="603">
        <f>+F49+F53+F57+F61</f>
        <v>17700</v>
      </c>
      <c r="G65" s="5047"/>
      <c r="H65" s="603">
        <f>+H49+H53+H57+H61</f>
        <v>16041.35</v>
      </c>
      <c r="I65" s="4990"/>
      <c r="J65" s="605">
        <f t="shared" si="306"/>
        <v>33741.35</v>
      </c>
      <c r="K65" s="5011"/>
      <c r="L65" s="603">
        <f>+L49+L53+L57+L61</f>
        <v>18052.46</v>
      </c>
      <c r="M65" s="4992"/>
      <c r="N65" s="889">
        <f t="shared" si="307"/>
        <v>51793.81</v>
      </c>
      <c r="O65" s="5011"/>
      <c r="P65" s="603">
        <f>+P49+P53+P57+P61</f>
        <v>19567.519999999997</v>
      </c>
      <c r="Q65" s="4990"/>
      <c r="R65" s="605">
        <f t="shared" si="308"/>
        <v>71361.329999999987</v>
      </c>
      <c r="S65" s="5011"/>
      <c r="T65" s="603">
        <f>+T49+T53+T57+T61</f>
        <v>19496.25</v>
      </c>
      <c r="U65" s="4990"/>
      <c r="V65" s="605">
        <f t="shared" si="309"/>
        <v>90857.579999999987</v>
      </c>
      <c r="W65" s="5011"/>
      <c r="X65" s="603">
        <f>+X49+X53+X57+X61</f>
        <v>19291.849999999999</v>
      </c>
      <c r="Y65" s="4992"/>
      <c r="Z65" s="889">
        <f>P65+T65+X65</f>
        <v>58355.619999999995</v>
      </c>
      <c r="AA65" s="4986"/>
      <c r="AB65" s="1296">
        <f t="shared" si="310"/>
        <v>110149.43</v>
      </c>
      <c r="AC65" s="5011"/>
      <c r="AD65" s="603">
        <f>+AD49+AD53+AD57+AD61</f>
        <v>69162.61</v>
      </c>
      <c r="AE65" s="4990"/>
      <c r="AF65" s="605">
        <f t="shared" si="311"/>
        <v>179312.03999999998</v>
      </c>
      <c r="AG65" s="5011"/>
      <c r="AH65" s="603">
        <f>+AH49+AH53+AH57+AH61</f>
        <v>14057.35</v>
      </c>
      <c r="AI65" s="4990"/>
      <c r="AJ65" s="605">
        <f t="shared" si="312"/>
        <v>193369.38999999998</v>
      </c>
      <c r="AK65" s="5011"/>
      <c r="AL65" s="603">
        <f>+AL49+AL53+AL57+AL61</f>
        <v>24648.6</v>
      </c>
      <c r="AM65" s="4992"/>
      <c r="AN65" s="889">
        <f>AD65+AH65+AL65</f>
        <v>107868.56</v>
      </c>
      <c r="AO65" s="4990"/>
      <c r="AP65" s="605">
        <f t="shared" si="313"/>
        <v>218017.99</v>
      </c>
      <c r="AQ65" s="5011"/>
      <c r="AR65" s="603">
        <f>+AR49+AR53+AR57+AR61</f>
        <v>30415.040000000001</v>
      </c>
      <c r="AS65" s="4990"/>
      <c r="AT65" s="517">
        <f t="shared" si="314"/>
        <v>248433.03</v>
      </c>
      <c r="AU65" s="5011"/>
      <c r="AV65" s="603">
        <f>+AV49+AV53+AV57+AV61</f>
        <v>24675.84</v>
      </c>
      <c r="AW65" s="4990"/>
      <c r="AX65" s="517">
        <f t="shared" si="315"/>
        <v>273108.87</v>
      </c>
      <c r="AY65" s="5011"/>
      <c r="AZ65" s="603">
        <f>+AZ49+AZ53+AZ57+AZ61</f>
        <v>22555.39</v>
      </c>
      <c r="BA65" s="4992"/>
      <c r="BB65" s="889">
        <f>AR65+AV65+AZ65</f>
        <v>77646.27</v>
      </c>
      <c r="BC65" s="4986">
        <f t="shared" si="316"/>
        <v>0</v>
      </c>
      <c r="BD65" s="1296">
        <f t="shared" si="317"/>
        <v>185514.83000000002</v>
      </c>
      <c r="BE65" s="4990"/>
      <c r="BF65" s="517">
        <f t="shared" si="318"/>
        <v>295664.26</v>
      </c>
    </row>
    <row r="66" spans="2:81" ht="19.5" thickBot="1" x14ac:dyDescent="0.3">
      <c r="B66" s="599" t="s">
        <v>2</v>
      </c>
      <c r="C66" s="113" t="s">
        <v>53</v>
      </c>
      <c r="D66" s="2088">
        <f>+D45</f>
        <v>2370000.1509075612</v>
      </c>
      <c r="E66" s="5011"/>
      <c r="F66" s="323">
        <f>SUM(F64:F65)</f>
        <v>105593.42</v>
      </c>
      <c r="G66" s="5047"/>
      <c r="H66" s="323">
        <f>SUM(H64:H65)</f>
        <v>104461.19</v>
      </c>
      <c r="I66" s="4990"/>
      <c r="J66" s="479">
        <f>SUM(J64:J65)</f>
        <v>210054.61000000002</v>
      </c>
      <c r="K66" s="5011"/>
      <c r="L66" s="323">
        <f>SUM(L64:L65)</f>
        <v>174105.99999999997</v>
      </c>
      <c r="M66" s="4992"/>
      <c r="N66" s="888">
        <f>SUM(N64:N65)</f>
        <v>384160.61</v>
      </c>
      <c r="O66" s="5011"/>
      <c r="P66" s="323">
        <f>SUM(P64:P65)</f>
        <v>188605.11000000002</v>
      </c>
      <c r="Q66" s="4990"/>
      <c r="R66" s="479">
        <f>SUM(R64:R65)</f>
        <v>572765.72</v>
      </c>
      <c r="S66" s="5011"/>
      <c r="T66" s="323">
        <f>SUM(T64:T65)</f>
        <v>194394.44</v>
      </c>
      <c r="U66" s="4990"/>
      <c r="V66" s="479">
        <f>SUM(V64:V65)</f>
        <v>767160.16</v>
      </c>
      <c r="W66" s="5011"/>
      <c r="X66" s="323">
        <f>SUM(X64:X65)</f>
        <v>199685.88</v>
      </c>
      <c r="Y66" s="4992"/>
      <c r="Z66" s="888">
        <f>SUM(Z64:Z65)</f>
        <v>582685.43000000005</v>
      </c>
      <c r="AA66" s="4986"/>
      <c r="AB66" s="1295">
        <f>SUM(AB64:AB65)</f>
        <v>966846.04</v>
      </c>
      <c r="AC66" s="5011"/>
      <c r="AD66" s="323">
        <f>SUM(AD64:AD65)</f>
        <v>184320.24</v>
      </c>
      <c r="AE66" s="4990"/>
      <c r="AF66" s="479">
        <f>SUM(AF64:AF65)</f>
        <v>1151166.28</v>
      </c>
      <c r="AG66" s="5011"/>
      <c r="AH66" s="323">
        <f>SUM(AH64:AH65)</f>
        <v>185787.15</v>
      </c>
      <c r="AI66" s="4990"/>
      <c r="AJ66" s="479">
        <f>SUM(AJ64:AJ65)</f>
        <v>1336953.43</v>
      </c>
      <c r="AK66" s="5011"/>
      <c r="AL66" s="323">
        <f>SUM(AL64:AL65)</f>
        <v>222982.43999999997</v>
      </c>
      <c r="AM66" s="4992"/>
      <c r="AN66" s="888">
        <f>SUM(AN64:AN65)</f>
        <v>593089.82999999996</v>
      </c>
      <c r="AO66" s="4990"/>
      <c r="AP66" s="479">
        <f>SUM(AP64:AP65)</f>
        <v>1559935.8699999999</v>
      </c>
      <c r="AQ66" s="5011"/>
      <c r="AR66" s="323">
        <f>SUM(AR64:AR65)</f>
        <v>205865.11999999997</v>
      </c>
      <c r="AS66" s="4990"/>
      <c r="AT66" s="479">
        <f>SUM(AT64:AT65)</f>
        <v>1765800.99</v>
      </c>
      <c r="AU66" s="5011"/>
      <c r="AV66" s="323">
        <f>SUM(AV64:AV65)</f>
        <v>186452.67999999996</v>
      </c>
      <c r="AW66" s="4990"/>
      <c r="AX66" s="479">
        <f>SUM(AX64:AX65)</f>
        <v>1952253.67</v>
      </c>
      <c r="AY66" s="5011"/>
      <c r="AZ66" s="323">
        <f>SUM(AZ64:AZ65)</f>
        <v>226001.72000000003</v>
      </c>
      <c r="BA66" s="4992"/>
      <c r="BB66" s="888">
        <f>SUM(BB64:BB65)</f>
        <v>618319.52</v>
      </c>
      <c r="BC66" s="4986">
        <f t="shared" si="316"/>
        <v>0</v>
      </c>
      <c r="BD66" s="1295">
        <f t="shared" si="317"/>
        <v>1211409.3500000001</v>
      </c>
      <c r="BE66" s="4990"/>
      <c r="BF66" s="479">
        <f>SUM(BF64:BF65)</f>
        <v>2178255.3899999997</v>
      </c>
    </row>
    <row r="67" spans="2:81" ht="19.5" thickBot="1" x14ac:dyDescent="0.3">
      <c r="B67" s="599" t="s">
        <v>779</v>
      </c>
      <c r="C67" s="113" t="s">
        <v>52</v>
      </c>
      <c r="D67" s="2079"/>
      <c r="E67" s="2089"/>
      <c r="F67" s="327">
        <f>+F65/F66*100</f>
        <v>16.762408112172142</v>
      </c>
      <c r="G67" s="2090"/>
      <c r="H67" s="327">
        <f>+H65/H66*100</f>
        <v>15.356277293031029</v>
      </c>
      <c r="I67" s="2091"/>
      <c r="J67" s="392">
        <f>+J65/J66*100</f>
        <v>16.063132344488888</v>
      </c>
      <c r="K67" s="485"/>
      <c r="L67" s="327">
        <f>+L65/L66*100</f>
        <v>10.368660471207198</v>
      </c>
      <c r="M67" s="2092"/>
      <c r="N67" s="327">
        <f>+N65/N66*100</f>
        <v>13.482332298462355</v>
      </c>
      <c r="O67" s="485"/>
      <c r="P67" s="327">
        <f>+P65/P66*100</f>
        <v>10.374862059675898</v>
      </c>
      <c r="Q67" s="2091"/>
      <c r="R67" s="392">
        <f>+R65/R66*100</f>
        <v>12.459078381995345</v>
      </c>
      <c r="S67" s="485"/>
      <c r="T67" s="327">
        <f>+T65/T66*100</f>
        <v>10.029222029189723</v>
      </c>
      <c r="U67" s="2091"/>
      <c r="V67" s="392">
        <f>+V65/V66*100</f>
        <v>11.843365275902752</v>
      </c>
      <c r="W67" s="485"/>
      <c r="X67" s="327">
        <f>+X65/X66*100</f>
        <v>9.6610987216522251</v>
      </c>
      <c r="Y67" s="2092"/>
      <c r="Z67" s="327">
        <f>+Z65/Z66*100</f>
        <v>10.01494408398027</v>
      </c>
      <c r="AA67" s="2093"/>
      <c r="AB67" s="327">
        <f>+AB65/AB66*100</f>
        <v>11.392654615413225</v>
      </c>
      <c r="AC67" s="485"/>
      <c r="AD67" s="327">
        <f>+AD65/AD66*100</f>
        <v>37.523068546351723</v>
      </c>
      <c r="AE67" s="2091"/>
      <c r="AF67" s="392">
        <f>+AF65/AF66*100</f>
        <v>15.576554240278822</v>
      </c>
      <c r="AG67" s="485"/>
      <c r="AH67" s="327">
        <f>+AH65/AH66*100</f>
        <v>7.5663736700842881</v>
      </c>
      <c r="AI67" s="2091"/>
      <c r="AJ67" s="392">
        <f>+AJ65/AJ66*100</f>
        <v>14.463434975442638</v>
      </c>
      <c r="AK67" s="485"/>
      <c r="AL67" s="327">
        <f>+AL65/AL66*100</f>
        <v>11.054054301316283</v>
      </c>
      <c r="AM67" s="2092"/>
      <c r="AN67" s="327">
        <f>+AN65/AN66*100</f>
        <v>18.18755853561003</v>
      </c>
      <c r="AO67" s="2091"/>
      <c r="AP67" s="392">
        <f>+AP65/AP66*100</f>
        <v>13.976086722077877</v>
      </c>
      <c r="AQ67" s="485"/>
      <c r="AR67" s="327">
        <f>+AR65/AR66*100</f>
        <v>14.774256076017153</v>
      </c>
      <c r="AS67" s="2091"/>
      <c r="AT67" s="327">
        <f>+AT65/AT66*100</f>
        <v>14.069140939829239</v>
      </c>
      <c r="AU67" s="485"/>
      <c r="AV67" s="327">
        <f>+AV65/AV66*100</f>
        <v>13.234371316089424</v>
      </c>
      <c r="AW67" s="2091"/>
      <c r="AX67" s="327">
        <f>+AX65/AX66*100</f>
        <v>13.989415115301076</v>
      </c>
      <c r="AY67" s="485"/>
      <c r="AZ67" s="327">
        <f>+AZ65/AZ66*100</f>
        <v>9.9801851065558242</v>
      </c>
      <c r="BA67" s="2092"/>
      <c r="BB67" s="327">
        <f>+BB65/BB66*100</f>
        <v>12.557628780666668</v>
      </c>
      <c r="BC67" s="2093"/>
      <c r="BD67" s="327">
        <f>+BD65/BD66*100</f>
        <v>15.313967157344461</v>
      </c>
      <c r="BE67" s="2091"/>
      <c r="BF67" s="327">
        <f>+BF65/BF66*100</f>
        <v>13.573443286647855</v>
      </c>
    </row>
    <row r="68" spans="2:81" s="334" customFormat="1" ht="18.75" x14ac:dyDescent="0.25">
      <c r="B68" s="2094" t="s">
        <v>351</v>
      </c>
      <c r="C68" s="892"/>
      <c r="D68" s="2095"/>
      <c r="E68" s="848"/>
      <c r="F68" s="892"/>
      <c r="G68" s="619"/>
      <c r="H68" s="892"/>
      <c r="I68" s="892"/>
      <c r="J68" s="892"/>
      <c r="K68" s="619"/>
      <c r="L68" s="892"/>
      <c r="M68" s="892"/>
      <c r="N68" s="892"/>
      <c r="O68" s="892"/>
      <c r="P68" s="892"/>
      <c r="Q68" s="892"/>
      <c r="R68" s="892"/>
      <c r="S68" s="892"/>
      <c r="T68" s="892"/>
      <c r="U68" s="892"/>
      <c r="V68" s="892"/>
      <c r="W68" s="892"/>
      <c r="X68" s="892"/>
      <c r="Y68" s="892"/>
      <c r="Z68" s="892"/>
      <c r="AA68" s="892"/>
      <c r="AB68" s="892"/>
      <c r="AC68" s="892"/>
      <c r="AD68" s="892"/>
      <c r="AE68" s="892"/>
      <c r="AF68" s="892"/>
      <c r="AG68" s="892"/>
      <c r="AH68" s="892"/>
      <c r="AI68" s="892"/>
      <c r="AJ68" s="892"/>
      <c r="AK68" s="892"/>
      <c r="AL68" s="892"/>
      <c r="AM68" s="892"/>
      <c r="AN68" s="892"/>
      <c r="AO68" s="892"/>
      <c r="AP68" s="892"/>
      <c r="AQ68" s="892"/>
      <c r="AR68" s="892"/>
      <c r="AS68" s="892"/>
      <c r="AT68" s="892"/>
      <c r="AU68" s="892"/>
      <c r="AV68" s="892"/>
      <c r="AW68" s="892"/>
      <c r="AX68" s="892"/>
      <c r="AY68" s="892"/>
      <c r="AZ68" s="892"/>
      <c r="BA68" s="892"/>
      <c r="BB68" s="892"/>
      <c r="BC68" s="892"/>
      <c r="BD68" s="892"/>
      <c r="BE68" s="892"/>
      <c r="BF68" s="892"/>
    </row>
    <row r="69" spans="2:81" ht="18.75" x14ac:dyDescent="0.25">
      <c r="B69" s="2096" t="s">
        <v>1134</v>
      </c>
      <c r="C69" s="2097" t="s">
        <v>1206</v>
      </c>
      <c r="D69" s="2098"/>
      <c r="E69" s="1848"/>
      <c r="F69" s="1331"/>
      <c r="G69" s="497"/>
      <c r="H69" s="508"/>
      <c r="I69" s="606"/>
      <c r="J69" s="517">
        <f t="shared" ref="J69:J172" si="319">+F69+H69</f>
        <v>0</v>
      </c>
      <c r="K69" s="497"/>
      <c r="L69" s="508"/>
      <c r="M69" s="621"/>
      <c r="N69" s="611">
        <f>+F69+H69+L69</f>
        <v>0</v>
      </c>
      <c r="O69" s="619"/>
      <c r="P69" s="508"/>
      <c r="Q69" s="606"/>
      <c r="R69" s="517">
        <f t="shared" ref="R69:R174" si="320">+N69+P69</f>
        <v>0</v>
      </c>
      <c r="S69" s="619"/>
      <c r="T69" s="508"/>
      <c r="U69" s="606"/>
      <c r="V69" s="517">
        <f t="shared" ref="V69:V174" si="321">+R69+T69</f>
        <v>0</v>
      </c>
      <c r="W69" s="619"/>
      <c r="X69" s="508"/>
      <c r="Y69" s="621"/>
      <c r="Z69" s="611">
        <f>P69+T69+X69</f>
        <v>0</v>
      </c>
      <c r="AA69" s="1208"/>
      <c r="AB69" s="1287">
        <f>+N69+Z69</f>
        <v>0</v>
      </c>
      <c r="AC69" s="619"/>
      <c r="AD69" s="508">
        <v>680.43999999999994</v>
      </c>
      <c r="AE69" s="606"/>
      <c r="AF69" s="517">
        <f>+AB69+AD69</f>
        <v>680.43999999999994</v>
      </c>
      <c r="AG69" s="619"/>
      <c r="AH69" s="508"/>
      <c r="AI69" s="606"/>
      <c r="AJ69" s="517">
        <f>+AF69+AH69</f>
        <v>680.43999999999994</v>
      </c>
      <c r="AK69" s="619"/>
      <c r="AL69" s="508">
        <v>60.98</v>
      </c>
      <c r="AM69" s="621"/>
      <c r="AN69" s="611">
        <f>AD69+AH69+AL69</f>
        <v>741.42</v>
      </c>
      <c r="AO69" s="606"/>
      <c r="AP69" s="517">
        <f>+AJ69+AL69</f>
        <v>741.42</v>
      </c>
      <c r="AQ69" s="619"/>
      <c r="AR69" s="508"/>
      <c r="AS69" s="606"/>
      <c r="AT69" s="517">
        <f t="shared" ref="AT69:AT173" si="322">+AP69+AR69</f>
        <v>741.42</v>
      </c>
      <c r="AU69" s="619"/>
      <c r="AV69" s="508"/>
      <c r="AW69" s="606"/>
      <c r="AX69" s="517">
        <f t="shared" ref="AX69:AX173" si="323">+AT69+AV69</f>
        <v>741.42</v>
      </c>
      <c r="AY69" s="619"/>
      <c r="AZ69" s="508"/>
      <c r="BA69" s="621"/>
      <c r="BB69" s="611">
        <f>AR69+AV69+AZ69</f>
        <v>0</v>
      </c>
      <c r="BC69" s="1208"/>
      <c r="BD69" s="1287">
        <f t="shared" ref="BD69" si="324">+BB69+AN69</f>
        <v>741.42</v>
      </c>
      <c r="BE69" s="606"/>
      <c r="BF69" s="517">
        <f>+BD69+AB69</f>
        <v>741.42</v>
      </c>
    </row>
    <row r="70" spans="2:81" s="659" customFormat="1" ht="18.75" x14ac:dyDescent="0.25">
      <c r="B70" s="2096" t="s">
        <v>1134</v>
      </c>
      <c r="C70" s="2097" t="s">
        <v>1157</v>
      </c>
      <c r="D70" s="2098"/>
      <c r="E70" s="1848"/>
      <c r="F70" s="1331"/>
      <c r="G70" s="497"/>
      <c r="H70" s="508"/>
      <c r="I70" s="606"/>
      <c r="J70" s="517">
        <f t="shared" si="319"/>
        <v>0</v>
      </c>
      <c r="K70" s="497"/>
      <c r="L70" s="508"/>
      <c r="M70" s="621"/>
      <c r="N70" s="611">
        <f t="shared" ref="N70:N134" si="325">+F70+H70+L70</f>
        <v>0</v>
      </c>
      <c r="O70" s="497"/>
      <c r="P70" s="508"/>
      <c r="Q70" s="606"/>
      <c r="R70" s="517">
        <f t="shared" si="320"/>
        <v>0</v>
      </c>
      <c r="S70" s="497"/>
      <c r="T70" s="508"/>
      <c r="U70" s="606"/>
      <c r="V70" s="517">
        <f t="shared" si="321"/>
        <v>0</v>
      </c>
      <c r="W70" s="497"/>
      <c r="X70" s="508"/>
      <c r="Y70" s="621"/>
      <c r="Z70" s="611">
        <f t="shared" ref="Z70:Z134" si="326">P70+T70+X70</f>
        <v>0</v>
      </c>
      <c r="AA70" s="1208"/>
      <c r="AB70" s="1287">
        <f t="shared" ref="AB70:AB134" si="327">+N70+Z70</f>
        <v>0</v>
      </c>
      <c r="AC70" s="497"/>
      <c r="AD70" s="508"/>
      <c r="AE70" s="606"/>
      <c r="AF70" s="517">
        <f t="shared" ref="AF70:AF134" si="328">+AB70+AD70</f>
        <v>0</v>
      </c>
      <c r="AG70" s="497"/>
      <c r="AH70" s="508"/>
      <c r="AI70" s="606"/>
      <c r="AJ70" s="517">
        <f t="shared" ref="AJ70:AJ134" si="329">+AF70+AH70</f>
        <v>0</v>
      </c>
      <c r="AK70" s="497"/>
      <c r="AL70" s="508"/>
      <c r="AM70" s="621"/>
      <c r="AN70" s="611">
        <f t="shared" ref="AN70:AN133" si="330">AD70+AH70+AL70</f>
        <v>0</v>
      </c>
      <c r="AO70" s="606"/>
      <c r="AP70" s="517">
        <f t="shared" ref="AP70:AP134" si="331">+AJ70+AL70</f>
        <v>0</v>
      </c>
      <c r="AQ70" s="497"/>
      <c r="AR70" s="508"/>
      <c r="AS70" s="606"/>
      <c r="AT70" s="517">
        <f t="shared" si="322"/>
        <v>0</v>
      </c>
      <c r="AU70" s="497"/>
      <c r="AV70" s="508"/>
      <c r="AW70" s="606"/>
      <c r="AX70" s="517">
        <f t="shared" si="323"/>
        <v>0</v>
      </c>
      <c r="AY70" s="497"/>
      <c r="AZ70" s="508"/>
      <c r="BA70" s="621"/>
      <c r="BB70" s="611">
        <f t="shared" ref="BB70:BB134" si="332">AR70+AV70+AZ70</f>
        <v>0</v>
      </c>
      <c r="BC70" s="1208"/>
      <c r="BD70" s="1287">
        <f t="shared" ref="BD70:BD134" si="333">+BB70+AN70</f>
        <v>0</v>
      </c>
      <c r="BE70" s="606"/>
      <c r="BF70" s="517">
        <f t="shared" ref="BF70:BF134" si="334">+BD70+AB70</f>
        <v>0</v>
      </c>
      <c r="BG70" s="1726"/>
      <c r="BH70" s="1726"/>
      <c r="BI70" s="1726"/>
      <c r="BJ70" s="1726"/>
      <c r="BK70" s="1726"/>
      <c r="BL70" s="1726"/>
      <c r="BM70" s="1726"/>
      <c r="BN70" s="1726"/>
      <c r="BO70" s="1726"/>
      <c r="BP70" s="1726"/>
      <c r="BQ70" s="1726"/>
      <c r="BR70" s="1726"/>
      <c r="BS70" s="1726"/>
      <c r="BT70" s="1726"/>
      <c r="BU70" s="1726"/>
      <c r="BV70" s="1726"/>
      <c r="BW70" s="1726"/>
      <c r="BX70" s="1726"/>
      <c r="BY70" s="1726"/>
      <c r="BZ70" s="1726"/>
      <c r="CA70" s="1726"/>
      <c r="CB70" s="1726"/>
      <c r="CC70" s="1726"/>
    </row>
    <row r="71" spans="2:81" s="659" customFormat="1" ht="18.75" x14ac:dyDescent="0.25">
      <c r="B71" s="2096" t="s">
        <v>1134</v>
      </c>
      <c r="C71" s="2097" t="s">
        <v>1150</v>
      </c>
      <c r="D71" s="2098"/>
      <c r="E71" s="1848"/>
      <c r="F71" s="1331"/>
      <c r="G71" s="497"/>
      <c r="H71" s="508"/>
      <c r="I71" s="606"/>
      <c r="J71" s="517">
        <f t="shared" si="319"/>
        <v>0</v>
      </c>
      <c r="K71" s="497"/>
      <c r="L71" s="508"/>
      <c r="M71" s="621"/>
      <c r="N71" s="611">
        <f t="shared" si="325"/>
        <v>0</v>
      </c>
      <c r="O71" s="497"/>
      <c r="P71" s="508"/>
      <c r="Q71" s="606"/>
      <c r="R71" s="517">
        <f t="shared" si="320"/>
        <v>0</v>
      </c>
      <c r="S71" s="497"/>
      <c r="T71" s="508"/>
      <c r="U71" s="606"/>
      <c r="V71" s="517">
        <f t="shared" si="321"/>
        <v>0</v>
      </c>
      <c r="W71" s="497"/>
      <c r="X71" s="508"/>
      <c r="Y71" s="621"/>
      <c r="Z71" s="611">
        <f t="shared" si="326"/>
        <v>0</v>
      </c>
      <c r="AA71" s="1208"/>
      <c r="AB71" s="1287">
        <f t="shared" si="327"/>
        <v>0</v>
      </c>
      <c r="AC71" s="497"/>
      <c r="AD71" s="508"/>
      <c r="AE71" s="606"/>
      <c r="AF71" s="517">
        <f t="shared" si="328"/>
        <v>0</v>
      </c>
      <c r="AG71" s="497"/>
      <c r="AH71" s="508"/>
      <c r="AI71" s="606"/>
      <c r="AJ71" s="517">
        <f t="shared" si="329"/>
        <v>0</v>
      </c>
      <c r="AK71" s="497"/>
      <c r="AL71" s="508"/>
      <c r="AM71" s="621"/>
      <c r="AN71" s="611">
        <f t="shared" si="330"/>
        <v>0</v>
      </c>
      <c r="AO71" s="606"/>
      <c r="AP71" s="517">
        <f t="shared" si="331"/>
        <v>0</v>
      </c>
      <c r="AQ71" s="497"/>
      <c r="AR71" s="508"/>
      <c r="AS71" s="606"/>
      <c r="AT71" s="517">
        <f t="shared" si="322"/>
        <v>0</v>
      </c>
      <c r="AU71" s="497"/>
      <c r="AV71" s="508"/>
      <c r="AW71" s="606"/>
      <c r="AX71" s="517">
        <f t="shared" si="323"/>
        <v>0</v>
      </c>
      <c r="AY71" s="497"/>
      <c r="AZ71" s="508"/>
      <c r="BA71" s="621"/>
      <c r="BB71" s="611">
        <f t="shared" si="332"/>
        <v>0</v>
      </c>
      <c r="BC71" s="1208"/>
      <c r="BD71" s="1287">
        <f t="shared" si="333"/>
        <v>0</v>
      </c>
      <c r="BE71" s="606"/>
      <c r="BF71" s="517">
        <f t="shared" si="334"/>
        <v>0</v>
      </c>
      <c r="BG71" s="1726"/>
      <c r="BH71" s="1726"/>
      <c r="BI71" s="1726"/>
      <c r="BJ71" s="1726"/>
      <c r="BK71" s="1726"/>
      <c r="BL71" s="1726"/>
      <c r="BM71" s="1726"/>
      <c r="BN71" s="1726"/>
      <c r="BO71" s="1726"/>
      <c r="BP71" s="1726"/>
      <c r="BQ71" s="1726"/>
      <c r="BR71" s="1726"/>
      <c r="BS71" s="1726"/>
      <c r="BT71" s="1726"/>
      <c r="BU71" s="1726"/>
      <c r="BV71" s="1726"/>
      <c r="BW71" s="1726"/>
      <c r="BX71" s="1726"/>
      <c r="BY71" s="1726"/>
      <c r="BZ71" s="1726"/>
      <c r="CA71" s="1726"/>
      <c r="CB71" s="1726"/>
      <c r="CC71" s="1726"/>
    </row>
    <row r="72" spans="2:81" s="1485" customFormat="1" ht="18.75" x14ac:dyDescent="0.25">
      <c r="B72" s="2096" t="s">
        <v>1134</v>
      </c>
      <c r="C72" s="2097" t="s">
        <v>1225</v>
      </c>
      <c r="D72" s="2098"/>
      <c r="E72" s="1848"/>
      <c r="F72" s="1331"/>
      <c r="G72" s="497"/>
      <c r="H72" s="508"/>
      <c r="I72" s="606"/>
      <c r="J72" s="517">
        <f t="shared" si="319"/>
        <v>0</v>
      </c>
      <c r="K72" s="497"/>
      <c r="L72" s="508"/>
      <c r="M72" s="621"/>
      <c r="N72" s="611">
        <f t="shared" si="325"/>
        <v>0</v>
      </c>
      <c r="O72" s="497"/>
      <c r="P72" s="508">
        <v>63.1</v>
      </c>
      <c r="Q72" s="606"/>
      <c r="R72" s="517">
        <f t="shared" si="320"/>
        <v>63.1</v>
      </c>
      <c r="S72" s="497"/>
      <c r="T72" s="508"/>
      <c r="U72" s="606"/>
      <c r="V72" s="517">
        <f t="shared" si="321"/>
        <v>63.1</v>
      </c>
      <c r="W72" s="497"/>
      <c r="X72" s="508"/>
      <c r="Y72" s="621"/>
      <c r="Z72" s="611">
        <f t="shared" si="326"/>
        <v>63.1</v>
      </c>
      <c r="AA72" s="1208"/>
      <c r="AB72" s="1287">
        <f t="shared" si="327"/>
        <v>63.1</v>
      </c>
      <c r="AC72" s="497"/>
      <c r="AD72" s="508"/>
      <c r="AE72" s="606"/>
      <c r="AF72" s="517">
        <f t="shared" si="328"/>
        <v>63.1</v>
      </c>
      <c r="AG72" s="497"/>
      <c r="AH72" s="508"/>
      <c r="AI72" s="606"/>
      <c r="AJ72" s="517">
        <f t="shared" si="329"/>
        <v>63.1</v>
      </c>
      <c r="AK72" s="497"/>
      <c r="AL72" s="508"/>
      <c r="AM72" s="621"/>
      <c r="AN72" s="611">
        <f t="shared" si="330"/>
        <v>0</v>
      </c>
      <c r="AO72" s="606"/>
      <c r="AP72" s="517">
        <f t="shared" si="331"/>
        <v>63.1</v>
      </c>
      <c r="AQ72" s="497"/>
      <c r="AR72" s="508"/>
      <c r="AS72" s="606"/>
      <c r="AT72" s="517">
        <f t="shared" si="322"/>
        <v>63.1</v>
      </c>
      <c r="AU72" s="497"/>
      <c r="AV72" s="508"/>
      <c r="AW72" s="606"/>
      <c r="AX72" s="517">
        <f t="shared" si="323"/>
        <v>63.1</v>
      </c>
      <c r="AY72" s="497"/>
      <c r="AZ72" s="508"/>
      <c r="BA72" s="621"/>
      <c r="BB72" s="611">
        <f t="shared" si="332"/>
        <v>0</v>
      </c>
      <c r="BC72" s="1208"/>
      <c r="BD72" s="1287">
        <f t="shared" si="333"/>
        <v>0</v>
      </c>
      <c r="BE72" s="606"/>
      <c r="BF72" s="517">
        <f t="shared" si="334"/>
        <v>63.1</v>
      </c>
      <c r="BG72" s="1726"/>
      <c r="BH72" s="1726"/>
      <c r="BI72" s="1726"/>
      <c r="BJ72" s="1726"/>
      <c r="BK72" s="1726"/>
      <c r="BL72" s="1726"/>
      <c r="BM72" s="1726"/>
      <c r="BN72" s="1726"/>
      <c r="BO72" s="1726"/>
      <c r="BP72" s="1726"/>
      <c r="BQ72" s="1726"/>
      <c r="BR72" s="1726"/>
      <c r="BS72" s="1726"/>
      <c r="BT72" s="1726"/>
      <c r="BU72" s="1726"/>
      <c r="BV72" s="1726"/>
      <c r="BW72" s="1726"/>
      <c r="BX72" s="1726"/>
      <c r="BY72" s="1726"/>
      <c r="BZ72" s="1726"/>
      <c r="CA72" s="1726"/>
      <c r="CB72" s="1726"/>
      <c r="CC72" s="1726"/>
    </row>
    <row r="73" spans="2:81" s="570" customFormat="1" ht="18.75" x14ac:dyDescent="0.25">
      <c r="B73" s="2096" t="s">
        <v>1134</v>
      </c>
      <c r="C73" s="2097" t="s">
        <v>1207</v>
      </c>
      <c r="D73" s="2098"/>
      <c r="E73" s="1848"/>
      <c r="F73" s="1331">
        <v>32.450000000000003</v>
      </c>
      <c r="G73" s="497"/>
      <c r="H73" s="508"/>
      <c r="I73" s="606"/>
      <c r="J73" s="517">
        <f t="shared" si="319"/>
        <v>32.450000000000003</v>
      </c>
      <c r="K73" s="497"/>
      <c r="L73" s="508"/>
      <c r="M73" s="621"/>
      <c r="N73" s="611">
        <f t="shared" si="325"/>
        <v>32.450000000000003</v>
      </c>
      <c r="O73" s="497"/>
      <c r="P73" s="508">
        <v>34.14</v>
      </c>
      <c r="Q73" s="606"/>
      <c r="R73" s="517">
        <f t="shared" si="320"/>
        <v>66.59</v>
      </c>
      <c r="S73" s="497"/>
      <c r="T73" s="508"/>
      <c r="U73" s="606"/>
      <c r="V73" s="517">
        <f t="shared" si="321"/>
        <v>66.59</v>
      </c>
      <c r="W73" s="497"/>
      <c r="X73" s="508"/>
      <c r="Y73" s="621"/>
      <c r="Z73" s="611">
        <f t="shared" si="326"/>
        <v>34.14</v>
      </c>
      <c r="AA73" s="1208"/>
      <c r="AB73" s="1287">
        <f t="shared" si="327"/>
        <v>66.59</v>
      </c>
      <c r="AC73" s="497"/>
      <c r="AD73" s="508">
        <v>1235.9599999999998</v>
      </c>
      <c r="AE73" s="606"/>
      <c r="AF73" s="517">
        <f t="shared" si="328"/>
        <v>1302.5499999999997</v>
      </c>
      <c r="AG73" s="497"/>
      <c r="AH73" s="508"/>
      <c r="AI73" s="606"/>
      <c r="AJ73" s="517">
        <f t="shared" si="329"/>
        <v>1302.5499999999997</v>
      </c>
      <c r="AK73" s="497"/>
      <c r="AL73" s="508">
        <v>127.47999999999999</v>
      </c>
      <c r="AM73" s="621"/>
      <c r="AN73" s="611">
        <f t="shared" si="330"/>
        <v>1363.4399999999998</v>
      </c>
      <c r="AO73" s="606"/>
      <c r="AP73" s="517">
        <f t="shared" si="331"/>
        <v>1430.0299999999997</v>
      </c>
      <c r="AQ73" s="497"/>
      <c r="AR73" s="508">
        <v>33.17</v>
      </c>
      <c r="AS73" s="606"/>
      <c r="AT73" s="517">
        <f t="shared" si="322"/>
        <v>1463.1999999999998</v>
      </c>
      <c r="AU73" s="497"/>
      <c r="AV73" s="508"/>
      <c r="AW73" s="606"/>
      <c r="AX73" s="517">
        <f t="shared" si="323"/>
        <v>1463.1999999999998</v>
      </c>
      <c r="AY73" s="497"/>
      <c r="AZ73" s="508"/>
      <c r="BA73" s="621"/>
      <c r="BB73" s="611">
        <f t="shared" si="332"/>
        <v>33.17</v>
      </c>
      <c r="BC73" s="1208"/>
      <c r="BD73" s="1287">
        <f t="shared" si="333"/>
        <v>1396.61</v>
      </c>
      <c r="BE73" s="606"/>
      <c r="BF73" s="517">
        <f t="shared" si="334"/>
        <v>1463.1999999999998</v>
      </c>
      <c r="BG73" s="1726"/>
      <c r="BH73" s="1726"/>
      <c r="BI73" s="1726"/>
      <c r="BJ73" s="1726"/>
      <c r="BK73" s="1726"/>
      <c r="BL73" s="1726"/>
      <c r="BM73" s="1726"/>
      <c r="BN73" s="1726"/>
      <c r="BO73" s="1726"/>
      <c r="BP73" s="1726"/>
      <c r="BQ73" s="1726"/>
      <c r="BR73" s="1726"/>
      <c r="BS73" s="1726"/>
      <c r="BT73" s="1726"/>
      <c r="BU73" s="1726"/>
      <c r="BV73" s="1726"/>
      <c r="BW73" s="1726"/>
      <c r="BX73" s="1726"/>
      <c r="BY73" s="1726"/>
      <c r="BZ73" s="1726"/>
      <c r="CA73" s="1726"/>
      <c r="CB73" s="1726"/>
      <c r="CC73" s="1726"/>
    </row>
    <row r="74" spans="2:81" s="1726" customFormat="1" ht="18.75" x14ac:dyDescent="0.25">
      <c r="B74" s="2096" t="s">
        <v>1134</v>
      </c>
      <c r="C74" s="2097" t="s">
        <v>1327</v>
      </c>
      <c r="D74" s="2098"/>
      <c r="E74" s="1848"/>
      <c r="F74" s="1331"/>
      <c r="G74" s="497"/>
      <c r="H74" s="508"/>
      <c r="I74" s="606"/>
      <c r="J74" s="517">
        <f t="shared" si="319"/>
        <v>0</v>
      </c>
      <c r="K74" s="497"/>
      <c r="L74" s="508"/>
      <c r="M74" s="621"/>
      <c r="N74" s="611">
        <f t="shared" si="325"/>
        <v>0</v>
      </c>
      <c r="O74" s="497"/>
      <c r="P74" s="508"/>
      <c r="Q74" s="606"/>
      <c r="R74" s="517">
        <f t="shared" si="320"/>
        <v>0</v>
      </c>
      <c r="S74" s="497"/>
      <c r="T74" s="508"/>
      <c r="U74" s="606"/>
      <c r="V74" s="517">
        <f t="shared" si="321"/>
        <v>0</v>
      </c>
      <c r="W74" s="497"/>
      <c r="X74" s="508"/>
      <c r="Y74" s="621"/>
      <c r="Z74" s="611">
        <f t="shared" si="326"/>
        <v>0</v>
      </c>
      <c r="AA74" s="1208"/>
      <c r="AB74" s="1287">
        <f t="shared" si="327"/>
        <v>0</v>
      </c>
      <c r="AC74" s="497"/>
      <c r="AD74" s="508"/>
      <c r="AE74" s="606"/>
      <c r="AF74" s="517">
        <f t="shared" si="328"/>
        <v>0</v>
      </c>
      <c r="AG74" s="497"/>
      <c r="AH74" s="508"/>
      <c r="AI74" s="606"/>
      <c r="AJ74" s="517">
        <f t="shared" si="329"/>
        <v>0</v>
      </c>
      <c r="AK74" s="497"/>
      <c r="AL74" s="508"/>
      <c r="AM74" s="621"/>
      <c r="AN74" s="611">
        <f t="shared" si="330"/>
        <v>0</v>
      </c>
      <c r="AO74" s="606"/>
      <c r="AP74" s="517">
        <f t="shared" si="331"/>
        <v>0</v>
      </c>
      <c r="AQ74" s="497"/>
      <c r="AR74" s="508">
        <v>61.64</v>
      </c>
      <c r="AS74" s="606"/>
      <c r="AT74" s="517">
        <f t="shared" si="322"/>
        <v>61.64</v>
      </c>
      <c r="AU74" s="497"/>
      <c r="AV74" s="508"/>
      <c r="AW74" s="606"/>
      <c r="AX74" s="517">
        <f t="shared" si="323"/>
        <v>61.64</v>
      </c>
      <c r="AY74" s="497"/>
      <c r="AZ74" s="508"/>
      <c r="BA74" s="621"/>
      <c r="BB74" s="611">
        <f t="shared" si="332"/>
        <v>61.64</v>
      </c>
      <c r="BC74" s="1208"/>
      <c r="BD74" s="1287">
        <f t="shared" si="333"/>
        <v>61.64</v>
      </c>
      <c r="BE74" s="606"/>
      <c r="BF74" s="517">
        <f t="shared" si="334"/>
        <v>61.64</v>
      </c>
    </row>
    <row r="75" spans="2:81" s="1587" customFormat="1" ht="18.75" x14ac:dyDescent="0.25">
      <c r="B75" s="2096" t="s">
        <v>1134</v>
      </c>
      <c r="C75" s="2097" t="s">
        <v>1714</v>
      </c>
      <c r="D75" s="2098"/>
      <c r="E75" s="1848"/>
      <c r="F75" s="1331"/>
      <c r="G75" s="497"/>
      <c r="H75" s="508"/>
      <c r="I75" s="606"/>
      <c r="J75" s="517">
        <f t="shared" si="319"/>
        <v>0</v>
      </c>
      <c r="K75" s="497"/>
      <c r="L75" s="508"/>
      <c r="M75" s="621"/>
      <c r="N75" s="611">
        <f t="shared" si="325"/>
        <v>0</v>
      </c>
      <c r="O75" s="497"/>
      <c r="P75" s="508"/>
      <c r="Q75" s="606"/>
      <c r="R75" s="517">
        <f t="shared" si="320"/>
        <v>0</v>
      </c>
      <c r="S75" s="497"/>
      <c r="T75" s="508"/>
      <c r="U75" s="606"/>
      <c r="V75" s="517">
        <f t="shared" si="321"/>
        <v>0</v>
      </c>
      <c r="W75" s="497"/>
      <c r="X75" s="508"/>
      <c r="Y75" s="621"/>
      <c r="Z75" s="611">
        <f t="shared" si="326"/>
        <v>0</v>
      </c>
      <c r="AA75" s="1208"/>
      <c r="AB75" s="1287">
        <f t="shared" si="327"/>
        <v>0</v>
      </c>
      <c r="AC75" s="497"/>
      <c r="AD75" s="508"/>
      <c r="AE75" s="606"/>
      <c r="AF75" s="517">
        <f t="shared" si="328"/>
        <v>0</v>
      </c>
      <c r="AG75" s="497"/>
      <c r="AH75" s="508"/>
      <c r="AI75" s="606"/>
      <c r="AJ75" s="517">
        <f t="shared" si="329"/>
        <v>0</v>
      </c>
      <c r="AK75" s="497"/>
      <c r="AL75" s="508">
        <v>52.54</v>
      </c>
      <c r="AM75" s="621"/>
      <c r="AN75" s="611">
        <f t="shared" si="330"/>
        <v>52.54</v>
      </c>
      <c r="AO75" s="606"/>
      <c r="AP75" s="517">
        <f t="shared" si="331"/>
        <v>52.54</v>
      </c>
      <c r="AQ75" s="497"/>
      <c r="AR75" s="508"/>
      <c r="AS75" s="606"/>
      <c r="AT75" s="517">
        <f t="shared" si="322"/>
        <v>52.54</v>
      </c>
      <c r="AU75" s="497"/>
      <c r="AV75" s="508"/>
      <c r="AW75" s="606"/>
      <c r="AX75" s="517">
        <f t="shared" si="323"/>
        <v>52.54</v>
      </c>
      <c r="AY75" s="497"/>
      <c r="AZ75" s="508"/>
      <c r="BA75" s="621"/>
      <c r="BB75" s="611">
        <f t="shared" si="332"/>
        <v>0</v>
      </c>
      <c r="BC75" s="1208"/>
      <c r="BD75" s="1287">
        <f t="shared" si="333"/>
        <v>52.54</v>
      </c>
      <c r="BE75" s="606"/>
      <c r="BF75" s="517">
        <f t="shared" si="334"/>
        <v>52.54</v>
      </c>
      <c r="BG75" s="1726"/>
      <c r="BH75" s="1726"/>
      <c r="BI75" s="1726"/>
      <c r="BJ75" s="1726"/>
      <c r="BK75" s="1726"/>
      <c r="BL75" s="1726"/>
      <c r="BM75" s="1726"/>
      <c r="BN75" s="1726"/>
      <c r="BO75" s="1726"/>
      <c r="BP75" s="1726"/>
      <c r="BQ75" s="1726"/>
      <c r="BR75" s="1726"/>
      <c r="BS75" s="1726"/>
      <c r="BT75" s="1726"/>
      <c r="BU75" s="1726"/>
      <c r="BV75" s="1726"/>
      <c r="BW75" s="1726"/>
      <c r="BX75" s="1726"/>
      <c r="BY75" s="1726"/>
      <c r="BZ75" s="1726"/>
      <c r="CA75" s="1726"/>
      <c r="CB75" s="1726"/>
      <c r="CC75" s="1726"/>
    </row>
    <row r="76" spans="2:81" s="1485" customFormat="1" ht="18.75" x14ac:dyDescent="0.25">
      <c r="B76" s="2096" t="s">
        <v>1156</v>
      </c>
      <c r="C76" s="2097" t="s">
        <v>1225</v>
      </c>
      <c r="D76" s="2098"/>
      <c r="E76" s="1848"/>
      <c r="F76" s="1331"/>
      <c r="G76" s="497"/>
      <c r="H76" s="508"/>
      <c r="I76" s="606"/>
      <c r="J76" s="517">
        <f t="shared" si="319"/>
        <v>0</v>
      </c>
      <c r="K76" s="497"/>
      <c r="L76" s="508"/>
      <c r="M76" s="621"/>
      <c r="N76" s="611">
        <f t="shared" si="325"/>
        <v>0</v>
      </c>
      <c r="O76" s="497"/>
      <c r="P76" s="508"/>
      <c r="Q76" s="606"/>
      <c r="R76" s="517">
        <f t="shared" si="320"/>
        <v>0</v>
      </c>
      <c r="S76" s="497"/>
      <c r="T76" s="508"/>
      <c r="U76" s="606"/>
      <c r="V76" s="517">
        <f t="shared" si="321"/>
        <v>0</v>
      </c>
      <c r="W76" s="497"/>
      <c r="X76" s="508"/>
      <c r="Y76" s="621"/>
      <c r="Z76" s="611">
        <f t="shared" si="326"/>
        <v>0</v>
      </c>
      <c r="AA76" s="1208"/>
      <c r="AB76" s="1287">
        <f t="shared" si="327"/>
        <v>0</v>
      </c>
      <c r="AC76" s="497"/>
      <c r="AD76" s="508"/>
      <c r="AE76" s="606"/>
      <c r="AF76" s="517">
        <f t="shared" si="328"/>
        <v>0</v>
      </c>
      <c r="AG76" s="497"/>
      <c r="AH76" s="508"/>
      <c r="AI76" s="606"/>
      <c r="AJ76" s="517">
        <f t="shared" si="329"/>
        <v>0</v>
      </c>
      <c r="AK76" s="497"/>
      <c r="AL76" s="508"/>
      <c r="AM76" s="621"/>
      <c r="AN76" s="611">
        <f t="shared" si="330"/>
        <v>0</v>
      </c>
      <c r="AO76" s="606"/>
      <c r="AP76" s="517">
        <f t="shared" si="331"/>
        <v>0</v>
      </c>
      <c r="AQ76" s="497"/>
      <c r="AR76" s="508"/>
      <c r="AS76" s="606"/>
      <c r="AT76" s="517">
        <f t="shared" si="322"/>
        <v>0</v>
      </c>
      <c r="AU76" s="497"/>
      <c r="AV76" s="508"/>
      <c r="AW76" s="606"/>
      <c r="AX76" s="517">
        <f t="shared" si="323"/>
        <v>0</v>
      </c>
      <c r="AY76" s="497"/>
      <c r="AZ76" s="508"/>
      <c r="BA76" s="621"/>
      <c r="BB76" s="611">
        <f t="shared" si="332"/>
        <v>0</v>
      </c>
      <c r="BC76" s="1208"/>
      <c r="BD76" s="1287">
        <f t="shared" si="333"/>
        <v>0</v>
      </c>
      <c r="BE76" s="606"/>
      <c r="BF76" s="517">
        <f t="shared" si="334"/>
        <v>0</v>
      </c>
      <c r="BG76" s="1726"/>
      <c r="BH76" s="1726"/>
      <c r="BI76" s="1726"/>
      <c r="BJ76" s="1726"/>
      <c r="BK76" s="1726"/>
      <c r="BL76" s="1726"/>
      <c r="BM76" s="1726"/>
      <c r="BN76" s="1726"/>
      <c r="BO76" s="1726"/>
      <c r="BP76" s="1726"/>
      <c r="BQ76" s="1726"/>
      <c r="BR76" s="1726"/>
      <c r="BS76" s="1726"/>
      <c r="BT76" s="1726"/>
      <c r="BU76" s="1726"/>
      <c r="BV76" s="1726"/>
      <c r="BW76" s="1726"/>
      <c r="BX76" s="1726"/>
      <c r="BY76" s="1726"/>
      <c r="BZ76" s="1726"/>
      <c r="CA76" s="1726"/>
      <c r="CB76" s="1726"/>
      <c r="CC76" s="1726"/>
    </row>
    <row r="77" spans="2:81" ht="18.75" x14ac:dyDescent="0.25">
      <c r="B77" s="2096" t="s">
        <v>1156</v>
      </c>
      <c r="C77" s="2097" t="s">
        <v>1206</v>
      </c>
      <c r="D77" s="2098"/>
      <c r="E77" s="1848"/>
      <c r="F77" s="1331"/>
      <c r="G77" s="497"/>
      <c r="H77" s="508"/>
      <c r="I77" s="606"/>
      <c r="J77" s="517">
        <f t="shared" si="319"/>
        <v>0</v>
      </c>
      <c r="K77" s="497"/>
      <c r="L77" s="508">
        <v>760.3599999999999</v>
      </c>
      <c r="M77" s="621"/>
      <c r="N77" s="611">
        <f t="shared" si="325"/>
        <v>760.3599999999999</v>
      </c>
      <c r="O77" s="497"/>
      <c r="P77" s="508">
        <v>124.1</v>
      </c>
      <c r="Q77" s="606"/>
      <c r="R77" s="517">
        <f t="shared" si="320"/>
        <v>884.45999999999992</v>
      </c>
      <c r="S77" s="497"/>
      <c r="T77" s="508">
        <v>383.46000000000004</v>
      </c>
      <c r="U77" s="606"/>
      <c r="V77" s="517">
        <f t="shared" si="321"/>
        <v>1267.92</v>
      </c>
      <c r="W77" s="497"/>
      <c r="X77" s="508"/>
      <c r="Y77" s="621"/>
      <c r="Z77" s="611">
        <f t="shared" si="326"/>
        <v>507.56000000000006</v>
      </c>
      <c r="AA77" s="1208"/>
      <c r="AB77" s="1287">
        <f t="shared" si="327"/>
        <v>1267.92</v>
      </c>
      <c r="AC77" s="497"/>
      <c r="AD77" s="508"/>
      <c r="AE77" s="606"/>
      <c r="AF77" s="517">
        <f t="shared" si="328"/>
        <v>1267.92</v>
      </c>
      <c r="AG77" s="497"/>
      <c r="AH77" s="508"/>
      <c r="AI77" s="606"/>
      <c r="AJ77" s="517">
        <f t="shared" si="329"/>
        <v>1267.92</v>
      </c>
      <c r="AK77" s="497"/>
      <c r="AL77" s="508"/>
      <c r="AM77" s="621"/>
      <c r="AN77" s="611">
        <f t="shared" si="330"/>
        <v>0</v>
      </c>
      <c r="AO77" s="606"/>
      <c r="AP77" s="517">
        <f t="shared" si="331"/>
        <v>1267.92</v>
      </c>
      <c r="AQ77" s="497"/>
      <c r="AR77" s="508">
        <v>369.53999999999996</v>
      </c>
      <c r="AS77" s="606"/>
      <c r="AT77" s="517">
        <f t="shared" si="322"/>
        <v>1637.46</v>
      </c>
      <c r="AU77" s="497"/>
      <c r="AV77" s="508"/>
      <c r="AW77" s="606"/>
      <c r="AX77" s="517">
        <f t="shared" si="323"/>
        <v>1637.46</v>
      </c>
      <c r="AY77" s="497"/>
      <c r="AZ77" s="508">
        <v>32.28</v>
      </c>
      <c r="BA77" s="621"/>
      <c r="BB77" s="611">
        <f t="shared" si="332"/>
        <v>401.81999999999994</v>
      </c>
      <c r="BC77" s="1208"/>
      <c r="BD77" s="1287">
        <f t="shared" si="333"/>
        <v>401.81999999999994</v>
      </c>
      <c r="BE77" s="606"/>
      <c r="BF77" s="517">
        <f t="shared" si="334"/>
        <v>1669.74</v>
      </c>
    </row>
    <row r="78" spans="2:81" s="1485" customFormat="1" ht="18.75" x14ac:dyDescent="0.25">
      <c r="B78" s="2096" t="s">
        <v>1156</v>
      </c>
      <c r="C78" s="2097" t="s">
        <v>1207</v>
      </c>
      <c r="D78" s="2098"/>
      <c r="E78" s="1848"/>
      <c r="F78" s="1331">
        <v>24.41</v>
      </c>
      <c r="G78" s="497"/>
      <c r="H78" s="508"/>
      <c r="I78" s="4536"/>
      <c r="J78" s="517">
        <f t="shared" si="319"/>
        <v>24.41</v>
      </c>
      <c r="K78" s="497"/>
      <c r="L78" s="508">
        <v>378.84000000000003</v>
      </c>
      <c r="M78" s="4538"/>
      <c r="N78" s="611">
        <f t="shared" si="325"/>
        <v>403.25000000000006</v>
      </c>
      <c r="O78" s="497"/>
      <c r="P78" s="508">
        <v>1468.5600000000002</v>
      </c>
      <c r="Q78" s="4536"/>
      <c r="R78" s="517">
        <f t="shared" si="320"/>
        <v>1871.8100000000002</v>
      </c>
      <c r="S78" s="497"/>
      <c r="T78" s="508"/>
      <c r="U78" s="4536"/>
      <c r="V78" s="517">
        <f t="shared" si="321"/>
        <v>1871.8100000000002</v>
      </c>
      <c r="W78" s="497"/>
      <c r="X78" s="508">
        <v>123.58</v>
      </c>
      <c r="Y78" s="4538"/>
      <c r="Z78" s="611">
        <f t="shared" si="326"/>
        <v>1592.14</v>
      </c>
      <c r="AA78" s="4541"/>
      <c r="AB78" s="1287">
        <f t="shared" si="327"/>
        <v>1995.39</v>
      </c>
      <c r="AC78" s="497"/>
      <c r="AD78" s="508"/>
      <c r="AE78" s="4536"/>
      <c r="AF78" s="517">
        <f t="shared" si="328"/>
        <v>1995.39</v>
      </c>
      <c r="AG78" s="497"/>
      <c r="AH78" s="508"/>
      <c r="AI78" s="4536"/>
      <c r="AJ78" s="517">
        <f t="shared" si="329"/>
        <v>1995.39</v>
      </c>
      <c r="AK78" s="497"/>
      <c r="AL78" s="508"/>
      <c r="AM78" s="4538"/>
      <c r="AN78" s="611">
        <f t="shared" si="330"/>
        <v>0</v>
      </c>
      <c r="AO78" s="4536"/>
      <c r="AP78" s="517">
        <f t="shared" si="331"/>
        <v>1995.39</v>
      </c>
      <c r="AQ78" s="497"/>
      <c r="AR78" s="508">
        <v>1419.7700000000002</v>
      </c>
      <c r="AS78" s="4536"/>
      <c r="AT78" s="517">
        <f t="shared" si="322"/>
        <v>3415.1600000000003</v>
      </c>
      <c r="AU78" s="497"/>
      <c r="AV78" s="508"/>
      <c r="AW78" s="4536"/>
      <c r="AX78" s="517">
        <f t="shared" si="323"/>
        <v>3415.1600000000003</v>
      </c>
      <c r="AY78" s="497"/>
      <c r="AZ78" s="508"/>
      <c r="BA78" s="4538"/>
      <c r="BB78" s="611">
        <f t="shared" si="332"/>
        <v>1419.7700000000002</v>
      </c>
      <c r="BC78" s="1208"/>
      <c r="BD78" s="1287">
        <f t="shared" si="333"/>
        <v>1419.7700000000002</v>
      </c>
      <c r="BE78" s="606"/>
      <c r="BF78" s="517">
        <f t="shared" si="334"/>
        <v>3415.1600000000003</v>
      </c>
      <c r="BG78" s="1726"/>
      <c r="BH78" s="1726"/>
      <c r="BI78" s="1726"/>
      <c r="BJ78" s="1726"/>
      <c r="BK78" s="1726"/>
      <c r="BL78" s="1726"/>
      <c r="BM78" s="1726"/>
      <c r="BN78" s="1726"/>
      <c r="BO78" s="1726"/>
      <c r="BP78" s="1726"/>
      <c r="BQ78" s="1726"/>
      <c r="BR78" s="1726"/>
      <c r="BS78" s="1726"/>
      <c r="BT78" s="1726"/>
      <c r="BU78" s="1726"/>
      <c r="BV78" s="1726"/>
      <c r="BW78" s="1726"/>
      <c r="BX78" s="1726"/>
      <c r="BY78" s="1726"/>
      <c r="BZ78" s="1726"/>
      <c r="CA78" s="1726"/>
      <c r="CB78" s="1726"/>
      <c r="CC78" s="1726"/>
    </row>
    <row r="79" spans="2:81" s="1559" customFormat="1" ht="18.75" x14ac:dyDescent="0.25">
      <c r="B79" s="2096" t="s">
        <v>1156</v>
      </c>
      <c r="C79" s="2097" t="s">
        <v>1327</v>
      </c>
      <c r="D79" s="2098"/>
      <c r="E79" s="1848"/>
      <c r="F79" s="1331"/>
      <c r="G79" s="497"/>
      <c r="H79" s="508"/>
      <c r="I79" s="4536"/>
      <c r="J79" s="517">
        <f t="shared" si="319"/>
        <v>0</v>
      </c>
      <c r="K79" s="497"/>
      <c r="L79" s="508">
        <v>32.01</v>
      </c>
      <c r="M79" s="4538"/>
      <c r="N79" s="611">
        <f t="shared" si="325"/>
        <v>32.01</v>
      </c>
      <c r="O79" s="497"/>
      <c r="P79" s="508"/>
      <c r="Q79" s="4536"/>
      <c r="R79" s="517">
        <f t="shared" si="320"/>
        <v>32.01</v>
      </c>
      <c r="S79" s="497"/>
      <c r="T79" s="508"/>
      <c r="U79" s="4536"/>
      <c r="V79" s="517">
        <f t="shared" si="321"/>
        <v>32.01</v>
      </c>
      <c r="W79" s="497"/>
      <c r="X79" s="508"/>
      <c r="Y79" s="4538"/>
      <c r="Z79" s="611">
        <f t="shared" si="326"/>
        <v>0</v>
      </c>
      <c r="AA79" s="4541"/>
      <c r="AB79" s="1287">
        <f t="shared" si="327"/>
        <v>32.01</v>
      </c>
      <c r="AC79" s="497"/>
      <c r="AD79" s="508"/>
      <c r="AE79" s="4536"/>
      <c r="AF79" s="517">
        <f t="shared" si="328"/>
        <v>32.01</v>
      </c>
      <c r="AG79" s="497"/>
      <c r="AH79" s="508"/>
      <c r="AI79" s="4536"/>
      <c r="AJ79" s="517">
        <f t="shared" si="329"/>
        <v>32.01</v>
      </c>
      <c r="AK79" s="497"/>
      <c r="AL79" s="508"/>
      <c r="AM79" s="4538"/>
      <c r="AN79" s="611">
        <f t="shared" si="330"/>
        <v>0</v>
      </c>
      <c r="AO79" s="4536"/>
      <c r="AP79" s="517">
        <f t="shared" si="331"/>
        <v>32.01</v>
      </c>
      <c r="AQ79" s="497"/>
      <c r="AR79" s="508"/>
      <c r="AS79" s="4536"/>
      <c r="AT79" s="517">
        <f t="shared" si="322"/>
        <v>32.01</v>
      </c>
      <c r="AU79" s="497"/>
      <c r="AV79" s="508"/>
      <c r="AW79" s="4536"/>
      <c r="AX79" s="517">
        <f t="shared" si="323"/>
        <v>32.01</v>
      </c>
      <c r="AY79" s="497"/>
      <c r="AZ79" s="508"/>
      <c r="BA79" s="4538"/>
      <c r="BB79" s="611">
        <f t="shared" si="332"/>
        <v>0</v>
      </c>
      <c r="BC79" s="1208"/>
      <c r="BD79" s="1287">
        <f t="shared" si="333"/>
        <v>0</v>
      </c>
      <c r="BE79" s="606"/>
      <c r="BF79" s="517">
        <f t="shared" si="334"/>
        <v>32.01</v>
      </c>
      <c r="BG79" s="1726"/>
      <c r="BH79" s="1726"/>
      <c r="BI79" s="1726"/>
      <c r="BJ79" s="1726"/>
      <c r="BK79" s="1726"/>
      <c r="BL79" s="1726"/>
      <c r="BM79" s="1726"/>
      <c r="BN79" s="1726"/>
      <c r="BO79" s="1726"/>
      <c r="BP79" s="1726"/>
      <c r="BQ79" s="1726"/>
      <c r="BR79" s="1726"/>
      <c r="BS79" s="1726"/>
      <c r="BT79" s="1726"/>
      <c r="BU79" s="1726"/>
      <c r="BV79" s="1726"/>
      <c r="BW79" s="1726"/>
      <c r="BX79" s="1726"/>
      <c r="BY79" s="1726"/>
      <c r="BZ79" s="1726"/>
      <c r="CA79" s="1726"/>
      <c r="CB79" s="1726"/>
      <c r="CC79" s="1726"/>
    </row>
    <row r="80" spans="2:81" ht="18.75" x14ac:dyDescent="0.25">
      <c r="B80" s="2096" t="s">
        <v>1135</v>
      </c>
      <c r="C80" s="2097" t="s">
        <v>1206</v>
      </c>
      <c r="D80" s="2098"/>
      <c r="E80" s="2099"/>
      <c r="F80" s="1331"/>
      <c r="G80" s="2100"/>
      <c r="H80" s="508"/>
      <c r="I80" s="4586"/>
      <c r="J80" s="517">
        <f t="shared" si="319"/>
        <v>0</v>
      </c>
      <c r="K80" s="2100"/>
      <c r="L80" s="508">
        <v>3375.46</v>
      </c>
      <c r="M80" s="4587"/>
      <c r="N80" s="611">
        <f t="shared" si="325"/>
        <v>3375.46</v>
      </c>
      <c r="O80" s="497"/>
      <c r="P80" s="508">
        <v>314.74</v>
      </c>
      <c r="Q80" s="4586"/>
      <c r="R80" s="517">
        <f t="shared" si="320"/>
        <v>3690.2</v>
      </c>
      <c r="S80" s="497"/>
      <c r="T80" s="508"/>
      <c r="U80" s="4586"/>
      <c r="V80" s="517">
        <f t="shared" si="321"/>
        <v>3690.2</v>
      </c>
      <c r="W80" s="497"/>
      <c r="X80" s="508">
        <v>1983.12</v>
      </c>
      <c r="Y80" s="4587"/>
      <c r="Z80" s="611">
        <f t="shared" si="326"/>
        <v>2297.8599999999997</v>
      </c>
      <c r="AA80" s="4588"/>
      <c r="AB80" s="1287">
        <f t="shared" si="327"/>
        <v>5673.32</v>
      </c>
      <c r="AC80" s="497"/>
      <c r="AD80" s="508">
        <v>4079.7600000000016</v>
      </c>
      <c r="AE80" s="4586"/>
      <c r="AF80" s="517">
        <f t="shared" si="328"/>
        <v>9753.0800000000017</v>
      </c>
      <c r="AG80" s="497"/>
      <c r="AH80" s="508"/>
      <c r="AI80" s="4586"/>
      <c r="AJ80" s="517">
        <f t="shared" si="329"/>
        <v>9753.0800000000017</v>
      </c>
      <c r="AK80" s="497"/>
      <c r="AL80" s="508">
        <v>1592.5800000000002</v>
      </c>
      <c r="AM80" s="4587"/>
      <c r="AN80" s="611">
        <f t="shared" si="330"/>
        <v>5672.340000000002</v>
      </c>
      <c r="AO80" s="4586"/>
      <c r="AP80" s="517">
        <f t="shared" si="331"/>
        <v>11345.660000000002</v>
      </c>
      <c r="AQ80" s="497"/>
      <c r="AR80" s="508">
        <v>2096.3499999999995</v>
      </c>
      <c r="AS80" s="4586"/>
      <c r="AT80" s="517">
        <f t="shared" si="322"/>
        <v>13442.010000000002</v>
      </c>
      <c r="AU80" s="497"/>
      <c r="AV80" s="508"/>
      <c r="AW80" s="4586"/>
      <c r="AX80" s="517">
        <f t="shared" si="323"/>
        <v>13442.010000000002</v>
      </c>
      <c r="AY80" s="497"/>
      <c r="AZ80" s="508">
        <v>4768.04</v>
      </c>
      <c r="BA80" s="4587"/>
      <c r="BB80" s="611">
        <f t="shared" si="332"/>
        <v>6864.3899999999994</v>
      </c>
      <c r="BC80" s="1208"/>
      <c r="BD80" s="1287">
        <f t="shared" si="333"/>
        <v>12536.730000000001</v>
      </c>
      <c r="BE80" s="606"/>
      <c r="BF80" s="517">
        <f t="shared" si="334"/>
        <v>18210.050000000003</v>
      </c>
    </row>
    <row r="81" spans="2:81" s="4515" customFormat="1" ht="18.75" x14ac:dyDescent="0.25">
      <c r="B81" s="2096" t="s">
        <v>1135</v>
      </c>
      <c r="C81" s="2097" t="s">
        <v>1737</v>
      </c>
      <c r="D81" s="2098"/>
      <c r="E81" s="2099"/>
      <c r="F81" s="1331"/>
      <c r="G81" s="2100"/>
      <c r="H81" s="508"/>
      <c r="I81" s="4589"/>
      <c r="J81" s="517">
        <f t="shared" si="319"/>
        <v>0</v>
      </c>
      <c r="K81" s="2100"/>
      <c r="L81" s="508"/>
      <c r="M81" s="4590"/>
      <c r="N81" s="611">
        <f t="shared" si="325"/>
        <v>0</v>
      </c>
      <c r="O81" s="497"/>
      <c r="P81" s="508"/>
      <c r="Q81" s="4589"/>
      <c r="R81" s="517">
        <f t="shared" si="320"/>
        <v>0</v>
      </c>
      <c r="S81" s="497"/>
      <c r="T81" s="508"/>
      <c r="U81" s="4589"/>
      <c r="V81" s="517">
        <f t="shared" si="321"/>
        <v>0</v>
      </c>
      <c r="W81" s="497"/>
      <c r="X81" s="508"/>
      <c r="Y81" s="4590"/>
      <c r="Z81" s="611">
        <f t="shared" si="326"/>
        <v>0</v>
      </c>
      <c r="AA81" s="4591"/>
      <c r="AB81" s="1287">
        <f t="shared" si="327"/>
        <v>0</v>
      </c>
      <c r="AC81" s="497"/>
      <c r="AD81" s="508"/>
      <c r="AE81" s="4589"/>
      <c r="AF81" s="517">
        <f t="shared" si="328"/>
        <v>0</v>
      </c>
      <c r="AG81" s="497"/>
      <c r="AH81" s="508"/>
      <c r="AI81" s="4589"/>
      <c r="AJ81" s="517">
        <f t="shared" si="329"/>
        <v>0</v>
      </c>
      <c r="AK81" s="497"/>
      <c r="AL81" s="508"/>
      <c r="AM81" s="4590"/>
      <c r="AN81" s="611">
        <f t="shared" si="330"/>
        <v>0</v>
      </c>
      <c r="AO81" s="4589"/>
      <c r="AP81" s="517">
        <f t="shared" si="331"/>
        <v>0</v>
      </c>
      <c r="AQ81" s="497"/>
      <c r="AR81" s="508"/>
      <c r="AS81" s="4589"/>
      <c r="AT81" s="517">
        <f t="shared" si="322"/>
        <v>0</v>
      </c>
      <c r="AU81" s="497"/>
      <c r="AV81" s="508"/>
      <c r="AW81" s="4589"/>
      <c r="AX81" s="517">
        <f t="shared" si="323"/>
        <v>0</v>
      </c>
      <c r="AY81" s="497"/>
      <c r="AZ81" s="508">
        <v>84.259999999999991</v>
      </c>
      <c r="BA81" s="4590"/>
      <c r="BB81" s="611">
        <f t="shared" si="332"/>
        <v>84.259999999999991</v>
      </c>
      <c r="BC81" s="1208"/>
      <c r="BD81" s="1287">
        <f t="shared" si="333"/>
        <v>84.259999999999991</v>
      </c>
      <c r="BE81" s="606"/>
      <c r="BF81" s="517">
        <f t="shared" si="334"/>
        <v>84.259999999999991</v>
      </c>
    </row>
    <row r="82" spans="2:81" s="942" customFormat="1" ht="18.75" x14ac:dyDescent="0.25">
      <c r="B82" s="2096" t="s">
        <v>1135</v>
      </c>
      <c r="C82" s="2097" t="s">
        <v>1327</v>
      </c>
      <c r="D82" s="2098"/>
      <c r="E82" s="2099"/>
      <c r="F82" s="1331">
        <v>74.44</v>
      </c>
      <c r="G82" s="2100"/>
      <c r="H82" s="508">
        <v>69.069999999999993</v>
      </c>
      <c r="I82" s="4589"/>
      <c r="J82" s="517">
        <f t="shared" si="319"/>
        <v>143.51</v>
      </c>
      <c r="K82" s="2100"/>
      <c r="L82" s="508">
        <v>32</v>
      </c>
      <c r="M82" s="4590"/>
      <c r="N82" s="611">
        <f t="shared" si="325"/>
        <v>175.51</v>
      </c>
      <c r="O82" s="2100"/>
      <c r="P82" s="508">
        <v>32.74</v>
      </c>
      <c r="Q82" s="4589"/>
      <c r="R82" s="517">
        <f t="shared" si="320"/>
        <v>208.25</v>
      </c>
      <c r="S82" s="2100"/>
      <c r="T82" s="508"/>
      <c r="U82" s="4589"/>
      <c r="V82" s="517">
        <f t="shared" si="321"/>
        <v>208.25</v>
      </c>
      <c r="W82" s="2100"/>
      <c r="X82" s="508"/>
      <c r="Y82" s="4590"/>
      <c r="Z82" s="611">
        <f t="shared" si="326"/>
        <v>32.74</v>
      </c>
      <c r="AA82" s="4591"/>
      <c r="AB82" s="1287">
        <f t="shared" si="327"/>
        <v>208.25</v>
      </c>
      <c r="AC82" s="2100"/>
      <c r="AD82" s="508"/>
      <c r="AE82" s="4589"/>
      <c r="AF82" s="517">
        <f t="shared" si="328"/>
        <v>208.25</v>
      </c>
      <c r="AG82" s="2100"/>
      <c r="AH82" s="508"/>
      <c r="AI82" s="4589"/>
      <c r="AJ82" s="517">
        <f t="shared" si="329"/>
        <v>208.25</v>
      </c>
      <c r="AK82" s="2100"/>
      <c r="AL82" s="508"/>
      <c r="AM82" s="4590"/>
      <c r="AN82" s="611">
        <f t="shared" si="330"/>
        <v>0</v>
      </c>
      <c r="AO82" s="4589"/>
      <c r="AP82" s="517">
        <f t="shared" si="331"/>
        <v>208.25</v>
      </c>
      <c r="AQ82" s="2100"/>
      <c r="AR82" s="508"/>
      <c r="AS82" s="4589"/>
      <c r="AT82" s="517">
        <f t="shared" si="322"/>
        <v>208.25</v>
      </c>
      <c r="AU82" s="2100"/>
      <c r="AV82" s="508"/>
      <c r="AW82" s="4589"/>
      <c r="AX82" s="517">
        <f t="shared" si="323"/>
        <v>208.25</v>
      </c>
      <c r="AY82" s="2100"/>
      <c r="AZ82" s="508"/>
      <c r="BA82" s="4590"/>
      <c r="BB82" s="611">
        <f t="shared" si="332"/>
        <v>0</v>
      </c>
      <c r="BC82" s="1208"/>
      <c r="BD82" s="1287">
        <f t="shared" si="333"/>
        <v>0</v>
      </c>
      <c r="BE82" s="606"/>
      <c r="BF82" s="517">
        <f t="shared" si="334"/>
        <v>208.25</v>
      </c>
      <c r="BG82" s="1726"/>
      <c r="BH82" s="1726"/>
      <c r="BI82" s="1726"/>
      <c r="BJ82" s="1726"/>
      <c r="BK82" s="1726"/>
      <c r="BL82" s="1726"/>
      <c r="BM82" s="1726"/>
      <c r="BN82" s="1726"/>
      <c r="BO82" s="1726"/>
      <c r="BP82" s="1726"/>
      <c r="BQ82" s="1726"/>
      <c r="BR82" s="1726"/>
      <c r="BS82" s="1726"/>
      <c r="BT82" s="1726"/>
      <c r="BU82" s="1726"/>
      <c r="BV82" s="1726"/>
      <c r="BW82" s="1726"/>
      <c r="BX82" s="1726"/>
      <c r="BY82" s="1726"/>
      <c r="BZ82" s="1726"/>
      <c r="CA82" s="1726"/>
      <c r="CB82" s="1726"/>
      <c r="CC82" s="1726"/>
    </row>
    <row r="83" spans="2:81" s="1485" customFormat="1" ht="18.75" x14ac:dyDescent="0.25">
      <c r="B83" s="2096" t="s">
        <v>1135</v>
      </c>
      <c r="C83" s="2097" t="s">
        <v>1150</v>
      </c>
      <c r="D83" s="2098"/>
      <c r="E83" s="2099"/>
      <c r="F83" s="1331">
        <v>190.16</v>
      </c>
      <c r="G83" s="2100"/>
      <c r="H83" s="508"/>
      <c r="I83" s="4589"/>
      <c r="J83" s="517">
        <f t="shared" si="319"/>
        <v>190.16</v>
      </c>
      <c r="K83" s="2100"/>
      <c r="L83" s="508"/>
      <c r="M83" s="4590"/>
      <c r="N83" s="611">
        <f t="shared" si="325"/>
        <v>190.16</v>
      </c>
      <c r="O83" s="2100"/>
      <c r="P83" s="508">
        <v>16.41</v>
      </c>
      <c r="Q83" s="4589"/>
      <c r="R83" s="517">
        <f t="shared" si="320"/>
        <v>206.57</v>
      </c>
      <c r="S83" s="2100"/>
      <c r="T83" s="508"/>
      <c r="U83" s="4589"/>
      <c r="V83" s="517">
        <f t="shared" si="321"/>
        <v>206.57</v>
      </c>
      <c r="W83" s="2100"/>
      <c r="X83" s="508"/>
      <c r="Y83" s="4590"/>
      <c r="Z83" s="611">
        <f t="shared" si="326"/>
        <v>16.41</v>
      </c>
      <c r="AA83" s="4591"/>
      <c r="AB83" s="1287">
        <f t="shared" si="327"/>
        <v>206.57</v>
      </c>
      <c r="AC83" s="2100"/>
      <c r="AD83" s="508"/>
      <c r="AE83" s="4589"/>
      <c r="AF83" s="517">
        <f t="shared" si="328"/>
        <v>206.57</v>
      </c>
      <c r="AG83" s="2100"/>
      <c r="AH83" s="508"/>
      <c r="AI83" s="4589"/>
      <c r="AJ83" s="517">
        <f t="shared" si="329"/>
        <v>206.57</v>
      </c>
      <c r="AK83" s="2100"/>
      <c r="AL83" s="508"/>
      <c r="AM83" s="4590"/>
      <c r="AN83" s="611">
        <f t="shared" si="330"/>
        <v>0</v>
      </c>
      <c r="AO83" s="4589"/>
      <c r="AP83" s="517">
        <f t="shared" si="331"/>
        <v>206.57</v>
      </c>
      <c r="AQ83" s="2100"/>
      <c r="AR83" s="508"/>
      <c r="AS83" s="4589"/>
      <c r="AT83" s="517">
        <f t="shared" si="322"/>
        <v>206.57</v>
      </c>
      <c r="AU83" s="2100"/>
      <c r="AV83" s="508"/>
      <c r="AW83" s="4589"/>
      <c r="AX83" s="517">
        <f t="shared" si="323"/>
        <v>206.57</v>
      </c>
      <c r="AY83" s="2100"/>
      <c r="AZ83" s="508"/>
      <c r="BA83" s="4590"/>
      <c r="BB83" s="611">
        <f t="shared" si="332"/>
        <v>0</v>
      </c>
      <c r="BC83" s="1208"/>
      <c r="BD83" s="1287">
        <f t="shared" si="333"/>
        <v>0</v>
      </c>
      <c r="BE83" s="606"/>
      <c r="BF83" s="517">
        <f t="shared" si="334"/>
        <v>206.57</v>
      </c>
      <c r="BG83" s="1726"/>
      <c r="BH83" s="1726"/>
      <c r="BI83" s="1726"/>
      <c r="BJ83" s="1726"/>
      <c r="BK83" s="1726"/>
      <c r="BL83" s="1726"/>
      <c r="BM83" s="1726"/>
      <c r="BN83" s="1726"/>
      <c r="BO83" s="1726"/>
      <c r="BP83" s="1726"/>
      <c r="BQ83" s="1726"/>
      <c r="BR83" s="1726"/>
      <c r="BS83" s="1726"/>
      <c r="BT83" s="1726"/>
      <c r="BU83" s="1726"/>
      <c r="BV83" s="1726"/>
      <c r="BW83" s="1726"/>
      <c r="BX83" s="1726"/>
      <c r="BY83" s="1726"/>
      <c r="BZ83" s="1726"/>
      <c r="CA83" s="1726"/>
      <c r="CB83" s="1726"/>
      <c r="CC83" s="1726"/>
    </row>
    <row r="84" spans="2:81" s="1485" customFormat="1" ht="18.75" x14ac:dyDescent="0.25">
      <c r="B84" s="2096" t="s">
        <v>1135</v>
      </c>
      <c r="C84" s="2097" t="s">
        <v>1225</v>
      </c>
      <c r="D84" s="2098"/>
      <c r="E84" s="2099"/>
      <c r="F84" s="1331"/>
      <c r="G84" s="2100"/>
      <c r="H84" s="508"/>
      <c r="I84" s="4589"/>
      <c r="J84" s="517">
        <f t="shared" si="319"/>
        <v>0</v>
      </c>
      <c r="K84" s="2100"/>
      <c r="L84" s="508"/>
      <c r="M84" s="4590"/>
      <c r="N84" s="611">
        <f t="shared" si="325"/>
        <v>0</v>
      </c>
      <c r="O84" s="2100"/>
      <c r="P84" s="508"/>
      <c r="Q84" s="4589"/>
      <c r="R84" s="517">
        <f t="shared" si="320"/>
        <v>0</v>
      </c>
      <c r="S84" s="2100"/>
      <c r="T84" s="508"/>
      <c r="U84" s="4589"/>
      <c r="V84" s="517">
        <f t="shared" si="321"/>
        <v>0</v>
      </c>
      <c r="W84" s="2100"/>
      <c r="X84" s="508"/>
      <c r="Y84" s="4590"/>
      <c r="Z84" s="611">
        <f t="shared" si="326"/>
        <v>0</v>
      </c>
      <c r="AA84" s="4591"/>
      <c r="AB84" s="1287">
        <f t="shared" si="327"/>
        <v>0</v>
      </c>
      <c r="AC84" s="2100"/>
      <c r="AD84" s="508"/>
      <c r="AE84" s="4589"/>
      <c r="AF84" s="517">
        <f t="shared" si="328"/>
        <v>0</v>
      </c>
      <c r="AG84" s="2100"/>
      <c r="AH84" s="508"/>
      <c r="AI84" s="4589"/>
      <c r="AJ84" s="517">
        <f t="shared" si="329"/>
        <v>0</v>
      </c>
      <c r="AK84" s="2100"/>
      <c r="AL84" s="508">
        <v>192</v>
      </c>
      <c r="AM84" s="4590"/>
      <c r="AN84" s="611">
        <f t="shared" si="330"/>
        <v>192</v>
      </c>
      <c r="AO84" s="4589"/>
      <c r="AP84" s="517">
        <f t="shared" si="331"/>
        <v>192</v>
      </c>
      <c r="AQ84" s="2100"/>
      <c r="AR84" s="508"/>
      <c r="AS84" s="4589"/>
      <c r="AT84" s="517">
        <f t="shared" si="322"/>
        <v>192</v>
      </c>
      <c r="AU84" s="2100"/>
      <c r="AV84" s="508"/>
      <c r="AW84" s="4589"/>
      <c r="AX84" s="517">
        <f t="shared" si="323"/>
        <v>192</v>
      </c>
      <c r="AY84" s="2100"/>
      <c r="AZ84" s="508">
        <v>61.9</v>
      </c>
      <c r="BA84" s="4590"/>
      <c r="BB84" s="611">
        <f t="shared" si="332"/>
        <v>61.9</v>
      </c>
      <c r="BC84" s="1208"/>
      <c r="BD84" s="1287">
        <f t="shared" si="333"/>
        <v>253.9</v>
      </c>
      <c r="BE84" s="606"/>
      <c r="BF84" s="517">
        <f t="shared" si="334"/>
        <v>253.9</v>
      </c>
      <c r="BG84" s="1726"/>
      <c r="BH84" s="1726"/>
      <c r="BI84" s="1726"/>
      <c r="BJ84" s="1726"/>
      <c r="BK84" s="1726"/>
      <c r="BL84" s="1726"/>
      <c r="BM84" s="1726"/>
      <c r="BN84" s="1726"/>
      <c r="BO84" s="1726"/>
      <c r="BP84" s="1726"/>
      <c r="BQ84" s="1726"/>
      <c r="BR84" s="1726"/>
      <c r="BS84" s="1726"/>
      <c r="BT84" s="1726"/>
      <c r="BU84" s="1726"/>
      <c r="BV84" s="1726"/>
      <c r="BW84" s="1726"/>
      <c r="BX84" s="1726"/>
      <c r="BY84" s="1726"/>
      <c r="BZ84" s="1726"/>
      <c r="CA84" s="1726"/>
      <c r="CB84" s="1726"/>
      <c r="CC84" s="1726"/>
    </row>
    <row r="85" spans="2:81" s="659" customFormat="1" ht="18.75" x14ac:dyDescent="0.25">
      <c r="B85" s="2096" t="s">
        <v>1135</v>
      </c>
      <c r="C85" s="2097" t="s">
        <v>1158</v>
      </c>
      <c r="D85" s="2098"/>
      <c r="E85" s="2099"/>
      <c r="F85" s="1331"/>
      <c r="G85" s="2100"/>
      <c r="H85" s="508"/>
      <c r="I85" s="4589"/>
      <c r="J85" s="517">
        <f t="shared" si="319"/>
        <v>0</v>
      </c>
      <c r="K85" s="2100"/>
      <c r="L85" s="508"/>
      <c r="M85" s="4590"/>
      <c r="N85" s="611">
        <f t="shared" si="325"/>
        <v>0</v>
      </c>
      <c r="O85" s="2100"/>
      <c r="P85" s="508"/>
      <c r="Q85" s="4589"/>
      <c r="R85" s="517">
        <f t="shared" si="320"/>
        <v>0</v>
      </c>
      <c r="S85" s="2100"/>
      <c r="T85" s="508"/>
      <c r="U85" s="4589"/>
      <c r="V85" s="517">
        <f t="shared" si="321"/>
        <v>0</v>
      </c>
      <c r="W85" s="2100"/>
      <c r="X85" s="508"/>
      <c r="Y85" s="4590"/>
      <c r="Z85" s="611">
        <f t="shared" si="326"/>
        <v>0</v>
      </c>
      <c r="AA85" s="4591"/>
      <c r="AB85" s="1287">
        <f t="shared" si="327"/>
        <v>0</v>
      </c>
      <c r="AC85" s="2100"/>
      <c r="AD85" s="508"/>
      <c r="AE85" s="4589"/>
      <c r="AF85" s="517">
        <f t="shared" si="328"/>
        <v>0</v>
      </c>
      <c r="AG85" s="2100"/>
      <c r="AH85" s="508"/>
      <c r="AI85" s="4589"/>
      <c r="AJ85" s="517">
        <f t="shared" si="329"/>
        <v>0</v>
      </c>
      <c r="AK85" s="2100"/>
      <c r="AL85" s="508">
        <v>60.76</v>
      </c>
      <c r="AM85" s="4590"/>
      <c r="AN85" s="611">
        <f t="shared" si="330"/>
        <v>60.76</v>
      </c>
      <c r="AO85" s="4589"/>
      <c r="AP85" s="517">
        <f t="shared" si="331"/>
        <v>60.76</v>
      </c>
      <c r="AQ85" s="2100"/>
      <c r="AR85" s="508"/>
      <c r="AS85" s="4589"/>
      <c r="AT85" s="517">
        <f t="shared" si="322"/>
        <v>60.76</v>
      </c>
      <c r="AU85" s="2100"/>
      <c r="AV85" s="508"/>
      <c r="AW85" s="4589"/>
      <c r="AX85" s="517">
        <f t="shared" si="323"/>
        <v>60.76</v>
      </c>
      <c r="AY85" s="2100"/>
      <c r="AZ85" s="508"/>
      <c r="BA85" s="4590"/>
      <c r="BB85" s="611">
        <f t="shared" si="332"/>
        <v>0</v>
      </c>
      <c r="BC85" s="1208"/>
      <c r="BD85" s="1287">
        <f t="shared" si="333"/>
        <v>60.76</v>
      </c>
      <c r="BE85" s="606"/>
      <c r="BF85" s="517">
        <f t="shared" si="334"/>
        <v>60.76</v>
      </c>
      <c r="BG85" s="1726"/>
      <c r="BH85" s="1726"/>
      <c r="BI85" s="1726"/>
      <c r="BJ85" s="1726"/>
      <c r="BK85" s="1726"/>
      <c r="BL85" s="1726"/>
      <c r="BM85" s="1726"/>
      <c r="BN85" s="1726"/>
      <c r="BO85" s="1726"/>
      <c r="BP85" s="1726"/>
      <c r="BQ85" s="1726"/>
      <c r="BR85" s="1726"/>
      <c r="BS85" s="1726"/>
      <c r="BT85" s="1726"/>
      <c r="BU85" s="1726"/>
      <c r="BV85" s="1726"/>
      <c r="BW85" s="1726"/>
      <c r="BX85" s="1726"/>
      <c r="BY85" s="1726"/>
      <c r="BZ85" s="1726"/>
      <c r="CA85" s="1726"/>
      <c r="CB85" s="1726"/>
      <c r="CC85" s="1726"/>
    </row>
    <row r="86" spans="2:81" ht="18.75" x14ac:dyDescent="0.25">
      <c r="B86" s="2096" t="s">
        <v>1135</v>
      </c>
      <c r="C86" s="2097" t="s">
        <v>1207</v>
      </c>
      <c r="D86" s="2098"/>
      <c r="E86" s="2099"/>
      <c r="F86" s="1331"/>
      <c r="G86" s="2100"/>
      <c r="H86" s="508"/>
      <c r="I86" s="4592"/>
      <c r="J86" s="517">
        <f t="shared" si="319"/>
        <v>0</v>
      </c>
      <c r="K86" s="2100"/>
      <c r="L86" s="508">
        <v>1272.5199999999998</v>
      </c>
      <c r="M86" s="4593"/>
      <c r="N86" s="611">
        <f t="shared" si="325"/>
        <v>1272.5199999999998</v>
      </c>
      <c r="O86" s="2100"/>
      <c r="P86" s="508">
        <v>126.9</v>
      </c>
      <c r="Q86" s="4592"/>
      <c r="R86" s="517">
        <f t="shared" si="320"/>
        <v>1399.4199999999998</v>
      </c>
      <c r="S86" s="2100"/>
      <c r="T86" s="508"/>
      <c r="U86" s="4592"/>
      <c r="V86" s="517">
        <f t="shared" si="321"/>
        <v>1399.4199999999998</v>
      </c>
      <c r="W86" s="2100"/>
      <c r="X86" s="508">
        <v>26.5</v>
      </c>
      <c r="Y86" s="4593"/>
      <c r="Z86" s="611">
        <f t="shared" si="326"/>
        <v>153.4</v>
      </c>
      <c r="AA86" s="4594"/>
      <c r="AB86" s="1287">
        <f t="shared" si="327"/>
        <v>1425.9199999999998</v>
      </c>
      <c r="AC86" s="2100"/>
      <c r="AD86" s="508">
        <v>868.96</v>
      </c>
      <c r="AE86" s="4592"/>
      <c r="AF86" s="517">
        <f t="shared" si="328"/>
        <v>2294.88</v>
      </c>
      <c r="AG86" s="2100"/>
      <c r="AH86" s="508"/>
      <c r="AI86" s="4592"/>
      <c r="AJ86" s="517">
        <f t="shared" si="329"/>
        <v>2294.88</v>
      </c>
      <c r="AK86" s="2100"/>
      <c r="AL86" s="508">
        <v>694.76</v>
      </c>
      <c r="AM86" s="4593"/>
      <c r="AN86" s="611">
        <f t="shared" si="330"/>
        <v>1563.72</v>
      </c>
      <c r="AO86" s="4592"/>
      <c r="AP86" s="517">
        <f t="shared" si="331"/>
        <v>2989.6400000000003</v>
      </c>
      <c r="AQ86" s="2100"/>
      <c r="AR86" s="508">
        <v>188.62</v>
      </c>
      <c r="AS86" s="4592"/>
      <c r="AT86" s="517">
        <f t="shared" si="322"/>
        <v>3178.26</v>
      </c>
      <c r="AU86" s="2100"/>
      <c r="AV86" s="508">
        <v>39.42</v>
      </c>
      <c r="AW86" s="4592"/>
      <c r="AX86" s="517">
        <f t="shared" si="323"/>
        <v>3217.6800000000003</v>
      </c>
      <c r="AY86" s="2100"/>
      <c r="AZ86" s="508">
        <v>2123.9199999999992</v>
      </c>
      <c r="BA86" s="4593"/>
      <c r="BB86" s="611">
        <f t="shared" si="332"/>
        <v>2351.9599999999991</v>
      </c>
      <c r="BC86" s="1208"/>
      <c r="BD86" s="1287">
        <f t="shared" si="333"/>
        <v>3915.6799999999994</v>
      </c>
      <c r="BE86" s="606"/>
      <c r="BF86" s="517">
        <f t="shared" si="334"/>
        <v>5341.5999999999995</v>
      </c>
    </row>
    <row r="87" spans="2:81" s="1384" customFormat="1" ht="18.75" x14ac:dyDescent="0.25">
      <c r="B87" s="2096" t="s">
        <v>1149</v>
      </c>
      <c r="C87" s="2097" t="s">
        <v>1208</v>
      </c>
      <c r="D87" s="2098"/>
      <c r="E87" s="2099"/>
      <c r="F87" s="1331">
        <v>20.079999999999998</v>
      </c>
      <c r="G87" s="2100"/>
      <c r="H87" s="508"/>
      <c r="I87" s="4537"/>
      <c r="J87" s="517">
        <f t="shared" si="319"/>
        <v>20.079999999999998</v>
      </c>
      <c r="K87" s="2100"/>
      <c r="L87" s="508"/>
      <c r="M87" s="4539"/>
      <c r="N87" s="611">
        <f t="shared" si="325"/>
        <v>20.079999999999998</v>
      </c>
      <c r="O87" s="2100"/>
      <c r="P87" s="508"/>
      <c r="Q87" s="4537"/>
      <c r="R87" s="517">
        <f t="shared" si="320"/>
        <v>20.079999999999998</v>
      </c>
      <c r="S87" s="2100"/>
      <c r="T87" s="508"/>
      <c r="U87" s="4537"/>
      <c r="V87" s="517">
        <f t="shared" si="321"/>
        <v>20.079999999999998</v>
      </c>
      <c r="W87" s="2100"/>
      <c r="X87" s="508"/>
      <c r="Y87" s="4539"/>
      <c r="Z87" s="611">
        <f t="shared" si="326"/>
        <v>0</v>
      </c>
      <c r="AA87" s="4542"/>
      <c r="AB87" s="1287">
        <f t="shared" si="327"/>
        <v>20.079999999999998</v>
      </c>
      <c r="AC87" s="2100"/>
      <c r="AD87" s="508"/>
      <c r="AE87" s="4537"/>
      <c r="AF87" s="517">
        <f t="shared" si="328"/>
        <v>20.079999999999998</v>
      </c>
      <c r="AG87" s="2100"/>
      <c r="AH87" s="508"/>
      <c r="AI87" s="4537"/>
      <c r="AJ87" s="517">
        <f t="shared" si="329"/>
        <v>20.079999999999998</v>
      </c>
      <c r="AK87" s="2100"/>
      <c r="AL87" s="508"/>
      <c r="AM87" s="4539"/>
      <c r="AN87" s="611">
        <f t="shared" si="330"/>
        <v>0</v>
      </c>
      <c r="AO87" s="4537"/>
      <c r="AP87" s="517">
        <f t="shared" si="331"/>
        <v>20.079999999999998</v>
      </c>
      <c r="AQ87" s="2100"/>
      <c r="AR87" s="508"/>
      <c r="AS87" s="4537"/>
      <c r="AT87" s="517">
        <f t="shared" si="322"/>
        <v>20.079999999999998</v>
      </c>
      <c r="AU87" s="2100"/>
      <c r="AV87" s="508"/>
      <c r="AW87" s="4537"/>
      <c r="AX87" s="517">
        <f t="shared" si="323"/>
        <v>20.079999999999998</v>
      </c>
      <c r="AY87" s="2100"/>
      <c r="AZ87" s="508"/>
      <c r="BA87" s="4539"/>
      <c r="BB87" s="611">
        <f t="shared" si="332"/>
        <v>0</v>
      </c>
      <c r="BC87" s="1208"/>
      <c r="BD87" s="1287">
        <f t="shared" si="333"/>
        <v>0</v>
      </c>
      <c r="BE87" s="606"/>
      <c r="BF87" s="517">
        <f t="shared" si="334"/>
        <v>20.079999999999998</v>
      </c>
      <c r="BG87" s="1726"/>
      <c r="BH87" s="1726"/>
      <c r="BI87" s="1726"/>
      <c r="BJ87" s="1726"/>
      <c r="BK87" s="1726"/>
      <c r="BL87" s="1726"/>
      <c r="BM87" s="1726"/>
      <c r="BN87" s="1726"/>
      <c r="BO87" s="1726"/>
      <c r="BP87" s="1726"/>
      <c r="BQ87" s="1726"/>
      <c r="BR87" s="1726"/>
      <c r="BS87" s="1726"/>
      <c r="BT87" s="1726"/>
      <c r="BU87" s="1726"/>
      <c r="BV87" s="1726"/>
      <c r="BW87" s="1726"/>
      <c r="BX87" s="1726"/>
      <c r="BY87" s="1726"/>
      <c r="BZ87" s="1726"/>
      <c r="CA87" s="1726"/>
      <c r="CB87" s="1726"/>
      <c r="CC87" s="1726"/>
    </row>
    <row r="88" spans="2:81" s="1726" customFormat="1" ht="18.75" x14ac:dyDescent="0.25">
      <c r="B88" s="2096" t="s">
        <v>1149</v>
      </c>
      <c r="C88" s="2097" t="s">
        <v>1206</v>
      </c>
      <c r="D88" s="2098"/>
      <c r="E88" s="2099"/>
      <c r="F88" s="1331"/>
      <c r="G88" s="2100"/>
      <c r="H88" s="508"/>
      <c r="I88" s="4537"/>
      <c r="J88" s="517">
        <f t="shared" si="319"/>
        <v>0</v>
      </c>
      <c r="K88" s="2100"/>
      <c r="L88" s="508"/>
      <c r="M88" s="4539"/>
      <c r="N88" s="611">
        <f t="shared" si="325"/>
        <v>0</v>
      </c>
      <c r="O88" s="2100"/>
      <c r="P88" s="508"/>
      <c r="Q88" s="4537"/>
      <c r="R88" s="517">
        <f t="shared" si="320"/>
        <v>0</v>
      </c>
      <c r="S88" s="2100"/>
      <c r="T88" s="508"/>
      <c r="U88" s="4537"/>
      <c r="V88" s="517">
        <f t="shared" si="321"/>
        <v>0</v>
      </c>
      <c r="W88" s="2100"/>
      <c r="X88" s="508"/>
      <c r="Y88" s="4539"/>
      <c r="Z88" s="611">
        <f t="shared" si="326"/>
        <v>0</v>
      </c>
      <c r="AA88" s="4542"/>
      <c r="AB88" s="1287">
        <f t="shared" si="327"/>
        <v>0</v>
      </c>
      <c r="AC88" s="2100"/>
      <c r="AD88" s="508"/>
      <c r="AE88" s="4537"/>
      <c r="AF88" s="517">
        <f t="shared" si="328"/>
        <v>0</v>
      </c>
      <c r="AG88" s="2100"/>
      <c r="AH88" s="508"/>
      <c r="AI88" s="4537"/>
      <c r="AJ88" s="517">
        <f t="shared" si="329"/>
        <v>0</v>
      </c>
      <c r="AK88" s="2100"/>
      <c r="AL88" s="508">
        <v>318.8</v>
      </c>
      <c r="AM88" s="4539"/>
      <c r="AN88" s="611">
        <f t="shared" si="330"/>
        <v>318.8</v>
      </c>
      <c r="AO88" s="4537"/>
      <c r="AP88" s="517">
        <f t="shared" si="331"/>
        <v>318.8</v>
      </c>
      <c r="AQ88" s="2100"/>
      <c r="AR88" s="508">
        <v>63.06</v>
      </c>
      <c r="AS88" s="4537"/>
      <c r="AT88" s="517">
        <f t="shared" si="322"/>
        <v>381.86</v>
      </c>
      <c r="AU88" s="2100"/>
      <c r="AV88" s="508"/>
      <c r="AW88" s="4537"/>
      <c r="AX88" s="517">
        <f t="shared" si="323"/>
        <v>381.86</v>
      </c>
      <c r="AY88" s="2100"/>
      <c r="AZ88" s="508">
        <v>33.369999999999997</v>
      </c>
      <c r="BA88" s="4539"/>
      <c r="BB88" s="611">
        <f t="shared" si="332"/>
        <v>96.43</v>
      </c>
      <c r="BC88" s="1208"/>
      <c r="BD88" s="1287">
        <f t="shared" si="333"/>
        <v>415.23</v>
      </c>
      <c r="BE88" s="606"/>
      <c r="BF88" s="517">
        <f t="shared" si="334"/>
        <v>415.23</v>
      </c>
    </row>
    <row r="89" spans="2:81" s="1384" customFormat="1" ht="18.75" x14ac:dyDescent="0.25">
      <c r="B89" s="2096" t="s">
        <v>1149</v>
      </c>
      <c r="C89" s="2097" t="s">
        <v>1225</v>
      </c>
      <c r="D89" s="2098"/>
      <c r="E89" s="2099"/>
      <c r="F89" s="1331"/>
      <c r="G89" s="2100"/>
      <c r="H89" s="508"/>
      <c r="I89" s="4537"/>
      <c r="J89" s="517">
        <f t="shared" si="319"/>
        <v>0</v>
      </c>
      <c r="K89" s="2100"/>
      <c r="L89" s="508"/>
      <c r="M89" s="4539"/>
      <c r="N89" s="611">
        <f t="shared" si="325"/>
        <v>0</v>
      </c>
      <c r="O89" s="2100"/>
      <c r="P89" s="508"/>
      <c r="Q89" s="4537"/>
      <c r="R89" s="517">
        <f t="shared" si="320"/>
        <v>0</v>
      </c>
      <c r="S89" s="2100"/>
      <c r="T89" s="508"/>
      <c r="U89" s="4537"/>
      <c r="V89" s="517">
        <f t="shared" si="321"/>
        <v>0</v>
      </c>
      <c r="W89" s="2100"/>
      <c r="X89" s="508"/>
      <c r="Y89" s="4539"/>
      <c r="Z89" s="611">
        <f t="shared" si="326"/>
        <v>0</v>
      </c>
      <c r="AA89" s="4542"/>
      <c r="AB89" s="1287">
        <f t="shared" si="327"/>
        <v>0</v>
      </c>
      <c r="AC89" s="2100"/>
      <c r="AD89" s="508"/>
      <c r="AE89" s="4537"/>
      <c r="AF89" s="517">
        <f t="shared" si="328"/>
        <v>0</v>
      </c>
      <c r="AG89" s="2100"/>
      <c r="AH89" s="508"/>
      <c r="AI89" s="4537"/>
      <c r="AJ89" s="517">
        <f t="shared" si="329"/>
        <v>0</v>
      </c>
      <c r="AK89" s="2100"/>
      <c r="AL89" s="508">
        <v>821.7600000000001</v>
      </c>
      <c r="AM89" s="4539"/>
      <c r="AN89" s="611">
        <f t="shared" si="330"/>
        <v>821.7600000000001</v>
      </c>
      <c r="AO89" s="4537"/>
      <c r="AP89" s="517">
        <f t="shared" si="331"/>
        <v>821.7600000000001</v>
      </c>
      <c r="AQ89" s="2100"/>
      <c r="AR89" s="508">
        <v>63.98</v>
      </c>
      <c r="AS89" s="4537"/>
      <c r="AT89" s="517">
        <f t="shared" si="322"/>
        <v>885.74000000000012</v>
      </c>
      <c r="AU89" s="2100"/>
      <c r="AV89" s="508"/>
      <c r="AW89" s="4537"/>
      <c r="AX89" s="517">
        <f t="shared" si="323"/>
        <v>885.74000000000012</v>
      </c>
      <c r="AY89" s="2100"/>
      <c r="AZ89" s="508"/>
      <c r="BA89" s="4539"/>
      <c r="BB89" s="611">
        <f t="shared" si="332"/>
        <v>63.98</v>
      </c>
      <c r="BC89" s="1208"/>
      <c r="BD89" s="1287">
        <f t="shared" si="333"/>
        <v>885.74000000000012</v>
      </c>
      <c r="BE89" s="606"/>
      <c r="BF89" s="517">
        <f t="shared" si="334"/>
        <v>885.74000000000012</v>
      </c>
      <c r="BG89" s="1726"/>
      <c r="BH89" s="1726"/>
      <c r="BI89" s="1726"/>
      <c r="BJ89" s="1726"/>
      <c r="BK89" s="1726"/>
      <c r="BL89" s="1726"/>
      <c r="BM89" s="1726"/>
      <c r="BN89" s="1726"/>
      <c r="BO89" s="1726"/>
      <c r="BP89" s="1726"/>
      <c r="BQ89" s="1726"/>
      <c r="BR89" s="1726"/>
      <c r="BS89" s="1726"/>
      <c r="BT89" s="1726"/>
      <c r="BU89" s="1726"/>
      <c r="BV89" s="1726"/>
      <c r="BW89" s="1726"/>
      <c r="BX89" s="1726"/>
      <c r="BY89" s="1726"/>
      <c r="BZ89" s="1726"/>
      <c r="CA89" s="1726"/>
      <c r="CB89" s="1726"/>
      <c r="CC89" s="1726"/>
    </row>
    <row r="90" spans="2:81" s="1726" customFormat="1" ht="18.75" x14ac:dyDescent="0.25">
      <c r="B90" s="2096" t="s">
        <v>1149</v>
      </c>
      <c r="C90" s="2097" t="s">
        <v>1714</v>
      </c>
      <c r="D90" s="2098"/>
      <c r="E90" s="2099"/>
      <c r="F90" s="1331"/>
      <c r="G90" s="2100"/>
      <c r="H90" s="508"/>
      <c r="I90" s="4537"/>
      <c r="J90" s="517">
        <f t="shared" si="319"/>
        <v>0</v>
      </c>
      <c r="K90" s="2100"/>
      <c r="L90" s="508"/>
      <c r="M90" s="4539"/>
      <c r="N90" s="611">
        <f t="shared" si="325"/>
        <v>0</v>
      </c>
      <c r="O90" s="2100"/>
      <c r="P90" s="508"/>
      <c r="Q90" s="4537"/>
      <c r="R90" s="517">
        <f t="shared" si="320"/>
        <v>0</v>
      </c>
      <c r="S90" s="2100"/>
      <c r="T90" s="508"/>
      <c r="U90" s="4537"/>
      <c r="V90" s="517">
        <f t="shared" si="321"/>
        <v>0</v>
      </c>
      <c r="W90" s="2100"/>
      <c r="X90" s="508"/>
      <c r="Y90" s="4539"/>
      <c r="Z90" s="611">
        <f t="shared" si="326"/>
        <v>0</v>
      </c>
      <c r="AA90" s="4542"/>
      <c r="AB90" s="1287">
        <f t="shared" si="327"/>
        <v>0</v>
      </c>
      <c r="AC90" s="2100"/>
      <c r="AD90" s="508"/>
      <c r="AE90" s="4537"/>
      <c r="AF90" s="517">
        <f t="shared" si="328"/>
        <v>0</v>
      </c>
      <c r="AG90" s="2100"/>
      <c r="AH90" s="508"/>
      <c r="AI90" s="4537"/>
      <c r="AJ90" s="517">
        <f t="shared" si="329"/>
        <v>0</v>
      </c>
      <c r="AK90" s="2100"/>
      <c r="AL90" s="508">
        <v>191.98</v>
      </c>
      <c r="AM90" s="4539"/>
      <c r="AN90" s="611">
        <f t="shared" si="330"/>
        <v>191.98</v>
      </c>
      <c r="AO90" s="4537"/>
      <c r="AP90" s="517">
        <f t="shared" si="331"/>
        <v>191.98</v>
      </c>
      <c r="AQ90" s="2100"/>
      <c r="AR90" s="508"/>
      <c r="AS90" s="4537"/>
      <c r="AT90" s="517">
        <f t="shared" si="322"/>
        <v>191.98</v>
      </c>
      <c r="AU90" s="2100"/>
      <c r="AV90" s="508"/>
      <c r="AW90" s="4537"/>
      <c r="AX90" s="517">
        <f t="shared" si="323"/>
        <v>191.98</v>
      </c>
      <c r="AY90" s="2100"/>
      <c r="AZ90" s="508"/>
      <c r="BA90" s="4539"/>
      <c r="BB90" s="611">
        <f t="shared" si="332"/>
        <v>0</v>
      </c>
      <c r="BC90" s="1208"/>
      <c r="BD90" s="1287">
        <f t="shared" si="333"/>
        <v>191.98</v>
      </c>
      <c r="BE90" s="606"/>
      <c r="BF90" s="517">
        <f t="shared" si="334"/>
        <v>191.98</v>
      </c>
    </row>
    <row r="91" spans="2:81" s="1726" customFormat="1" ht="18.75" x14ac:dyDescent="0.25">
      <c r="B91" s="2096" t="s">
        <v>1149</v>
      </c>
      <c r="C91" s="2097" t="s">
        <v>1207</v>
      </c>
      <c r="D91" s="2098"/>
      <c r="E91" s="2099"/>
      <c r="F91" s="1331"/>
      <c r="G91" s="2100"/>
      <c r="H91" s="508"/>
      <c r="I91" s="4537"/>
      <c r="J91" s="517">
        <f t="shared" si="319"/>
        <v>0</v>
      </c>
      <c r="K91" s="2100"/>
      <c r="L91" s="508"/>
      <c r="M91" s="4539"/>
      <c r="N91" s="611">
        <f t="shared" si="325"/>
        <v>0</v>
      </c>
      <c r="O91" s="2100"/>
      <c r="P91" s="508"/>
      <c r="Q91" s="4537"/>
      <c r="R91" s="517">
        <f t="shared" si="320"/>
        <v>0</v>
      </c>
      <c r="S91" s="2100"/>
      <c r="T91" s="508"/>
      <c r="U91" s="4537"/>
      <c r="V91" s="517">
        <f t="shared" si="321"/>
        <v>0</v>
      </c>
      <c r="W91" s="2100"/>
      <c r="X91" s="508"/>
      <c r="Y91" s="4539"/>
      <c r="Z91" s="611">
        <f t="shared" si="326"/>
        <v>0</v>
      </c>
      <c r="AA91" s="4542"/>
      <c r="AB91" s="1287">
        <f t="shared" si="327"/>
        <v>0</v>
      </c>
      <c r="AC91" s="2100"/>
      <c r="AD91" s="508"/>
      <c r="AE91" s="4537"/>
      <c r="AF91" s="517">
        <f t="shared" si="328"/>
        <v>0</v>
      </c>
      <c r="AG91" s="2100"/>
      <c r="AH91" s="508"/>
      <c r="AI91" s="4537"/>
      <c r="AJ91" s="517">
        <f t="shared" si="329"/>
        <v>0</v>
      </c>
      <c r="AK91" s="2100"/>
      <c r="AL91" s="508">
        <v>248.88</v>
      </c>
      <c r="AM91" s="4539"/>
      <c r="AN91" s="611">
        <f t="shared" si="330"/>
        <v>248.88</v>
      </c>
      <c r="AO91" s="4537"/>
      <c r="AP91" s="517">
        <f t="shared" si="331"/>
        <v>248.88</v>
      </c>
      <c r="AQ91" s="2100"/>
      <c r="AR91" s="508">
        <v>161.4</v>
      </c>
      <c r="AS91" s="4537"/>
      <c r="AT91" s="517">
        <f t="shared" si="322"/>
        <v>410.28</v>
      </c>
      <c r="AU91" s="2100"/>
      <c r="AV91" s="508"/>
      <c r="AW91" s="4537"/>
      <c r="AX91" s="517">
        <f t="shared" si="323"/>
        <v>410.28</v>
      </c>
      <c r="AY91" s="2100"/>
      <c r="AZ91" s="508"/>
      <c r="BA91" s="4539"/>
      <c r="BB91" s="611">
        <f t="shared" si="332"/>
        <v>161.4</v>
      </c>
      <c r="BC91" s="1208"/>
      <c r="BD91" s="1287">
        <f t="shared" si="333"/>
        <v>410.28</v>
      </c>
      <c r="BE91" s="606"/>
      <c r="BF91" s="517">
        <f t="shared" si="334"/>
        <v>410.28</v>
      </c>
    </row>
    <row r="92" spans="2:81" s="1384" customFormat="1" ht="18.75" x14ac:dyDescent="0.25">
      <c r="B92" s="2096" t="s">
        <v>1149</v>
      </c>
      <c r="C92" s="2097" t="s">
        <v>1878</v>
      </c>
      <c r="D92" s="2098"/>
      <c r="E92" s="2099"/>
      <c r="F92" s="1331"/>
      <c r="G92" s="2100"/>
      <c r="H92" s="508"/>
      <c r="I92" s="4537"/>
      <c r="J92" s="517">
        <f t="shared" si="319"/>
        <v>0</v>
      </c>
      <c r="K92" s="2100"/>
      <c r="L92" s="508"/>
      <c r="M92" s="4539"/>
      <c r="N92" s="611">
        <f t="shared" si="325"/>
        <v>0</v>
      </c>
      <c r="O92" s="2100"/>
      <c r="P92" s="508"/>
      <c r="Q92" s="4537"/>
      <c r="R92" s="517">
        <f t="shared" si="320"/>
        <v>0</v>
      </c>
      <c r="S92" s="2100"/>
      <c r="T92" s="508"/>
      <c r="U92" s="4537"/>
      <c r="V92" s="517">
        <f t="shared" si="321"/>
        <v>0</v>
      </c>
      <c r="W92" s="2100"/>
      <c r="X92" s="508"/>
      <c r="Y92" s="4539"/>
      <c r="Z92" s="611">
        <f t="shared" si="326"/>
        <v>0</v>
      </c>
      <c r="AA92" s="4542"/>
      <c r="AB92" s="1287">
        <f t="shared" si="327"/>
        <v>0</v>
      </c>
      <c r="AC92" s="2100"/>
      <c r="AD92" s="508"/>
      <c r="AE92" s="4537"/>
      <c r="AF92" s="517">
        <f t="shared" si="328"/>
        <v>0</v>
      </c>
      <c r="AG92" s="2100"/>
      <c r="AH92" s="508"/>
      <c r="AI92" s="4537"/>
      <c r="AJ92" s="517">
        <f t="shared" si="329"/>
        <v>0</v>
      </c>
      <c r="AK92" s="2100"/>
      <c r="AL92" s="508"/>
      <c r="AM92" s="4539"/>
      <c r="AN92" s="611">
        <f t="shared" si="330"/>
        <v>0</v>
      </c>
      <c r="AO92" s="4537"/>
      <c r="AP92" s="517">
        <f t="shared" si="331"/>
        <v>0</v>
      </c>
      <c r="AQ92" s="2100"/>
      <c r="AR92" s="508"/>
      <c r="AS92" s="4537"/>
      <c r="AT92" s="517">
        <f t="shared" si="322"/>
        <v>0</v>
      </c>
      <c r="AU92" s="2100"/>
      <c r="AV92" s="508"/>
      <c r="AW92" s="4537"/>
      <c r="AX92" s="517">
        <f t="shared" si="323"/>
        <v>0</v>
      </c>
      <c r="AY92" s="2100"/>
      <c r="AZ92" s="508"/>
      <c r="BA92" s="4539"/>
      <c r="BB92" s="611">
        <f t="shared" si="332"/>
        <v>0</v>
      </c>
      <c r="BC92" s="1208"/>
      <c r="BD92" s="1287">
        <f t="shared" si="333"/>
        <v>0</v>
      </c>
      <c r="BE92" s="606"/>
      <c r="BF92" s="517">
        <f t="shared" si="334"/>
        <v>0</v>
      </c>
      <c r="BG92" s="1726"/>
      <c r="BH92" s="1726"/>
      <c r="BI92" s="1726"/>
      <c r="BJ92" s="1726"/>
      <c r="BK92" s="1726"/>
      <c r="BL92" s="1726"/>
      <c r="BM92" s="1726"/>
      <c r="BN92" s="1726"/>
      <c r="BO92" s="1726"/>
      <c r="BP92" s="1726"/>
      <c r="BQ92" s="1726"/>
      <c r="BR92" s="1726"/>
      <c r="BS92" s="1726"/>
      <c r="BT92" s="1726"/>
      <c r="BU92" s="1726"/>
      <c r="BV92" s="1726"/>
      <c r="BW92" s="1726"/>
      <c r="BX92" s="1726"/>
      <c r="BY92" s="1726"/>
      <c r="BZ92" s="1726"/>
      <c r="CA92" s="1726"/>
      <c r="CB92" s="1726"/>
      <c r="CC92" s="1726"/>
    </row>
    <row r="93" spans="2:81" s="1337" customFormat="1" ht="18.75" x14ac:dyDescent="0.25">
      <c r="B93" s="2096" t="s">
        <v>1149</v>
      </c>
      <c r="C93" s="2097" t="s">
        <v>1205</v>
      </c>
      <c r="D93" s="2098"/>
      <c r="E93" s="2099"/>
      <c r="F93" s="1331"/>
      <c r="G93" s="2100"/>
      <c r="H93" s="508"/>
      <c r="I93" s="4537"/>
      <c r="J93" s="517">
        <f t="shared" si="319"/>
        <v>0</v>
      </c>
      <c r="K93" s="2100"/>
      <c r="L93" s="508"/>
      <c r="M93" s="4539"/>
      <c r="N93" s="611">
        <f t="shared" si="325"/>
        <v>0</v>
      </c>
      <c r="O93" s="2100"/>
      <c r="P93" s="508"/>
      <c r="Q93" s="4537"/>
      <c r="R93" s="517">
        <f t="shared" si="320"/>
        <v>0</v>
      </c>
      <c r="S93" s="2100"/>
      <c r="T93" s="508"/>
      <c r="U93" s="4537"/>
      <c r="V93" s="517">
        <f t="shared" si="321"/>
        <v>0</v>
      </c>
      <c r="W93" s="2100"/>
      <c r="X93" s="508"/>
      <c r="Y93" s="4539"/>
      <c r="Z93" s="611">
        <f t="shared" si="326"/>
        <v>0</v>
      </c>
      <c r="AA93" s="4542"/>
      <c r="AB93" s="1287">
        <f t="shared" si="327"/>
        <v>0</v>
      </c>
      <c r="AC93" s="2100"/>
      <c r="AD93" s="508"/>
      <c r="AE93" s="4537"/>
      <c r="AF93" s="517">
        <f t="shared" si="328"/>
        <v>0</v>
      </c>
      <c r="AG93" s="2100"/>
      <c r="AH93" s="508"/>
      <c r="AI93" s="4537"/>
      <c r="AJ93" s="517">
        <f t="shared" si="329"/>
        <v>0</v>
      </c>
      <c r="AK93" s="2100"/>
      <c r="AL93" s="508"/>
      <c r="AM93" s="4539"/>
      <c r="AN93" s="611">
        <f t="shared" si="330"/>
        <v>0</v>
      </c>
      <c r="AO93" s="4537"/>
      <c r="AP93" s="517">
        <f t="shared" si="331"/>
        <v>0</v>
      </c>
      <c r="AQ93" s="2100"/>
      <c r="AR93" s="508"/>
      <c r="AS93" s="4537"/>
      <c r="AT93" s="517">
        <f t="shared" si="322"/>
        <v>0</v>
      </c>
      <c r="AU93" s="2100"/>
      <c r="AV93" s="508"/>
      <c r="AW93" s="4537"/>
      <c r="AX93" s="517">
        <f t="shared" si="323"/>
        <v>0</v>
      </c>
      <c r="AY93" s="2100"/>
      <c r="AZ93" s="508"/>
      <c r="BA93" s="4539"/>
      <c r="BB93" s="611">
        <f t="shared" si="332"/>
        <v>0</v>
      </c>
      <c r="BC93" s="1208"/>
      <c r="BD93" s="1287">
        <f t="shared" si="333"/>
        <v>0</v>
      </c>
      <c r="BE93" s="606"/>
      <c r="BF93" s="517">
        <f t="shared" si="334"/>
        <v>0</v>
      </c>
      <c r="BG93" s="1726"/>
      <c r="BH93" s="1726"/>
      <c r="BI93" s="1726"/>
      <c r="BJ93" s="1726"/>
      <c r="BK93" s="1726"/>
      <c r="BL93" s="1726"/>
      <c r="BM93" s="1726"/>
      <c r="BN93" s="1726"/>
      <c r="BO93" s="1726"/>
      <c r="BP93" s="1726"/>
      <c r="BQ93" s="1726"/>
      <c r="BR93" s="1726"/>
      <c r="BS93" s="1726"/>
      <c r="BT93" s="1726"/>
      <c r="BU93" s="1726"/>
      <c r="BV93" s="1726"/>
      <c r="BW93" s="1726"/>
      <c r="BX93" s="1726"/>
      <c r="BY93" s="1726"/>
      <c r="BZ93" s="1726"/>
      <c r="CA93" s="1726"/>
      <c r="CB93" s="1726"/>
      <c r="CC93" s="1726"/>
    </row>
    <row r="94" spans="2:81" ht="18.75" x14ac:dyDescent="0.25">
      <c r="B94" s="2101" t="s">
        <v>1136</v>
      </c>
      <c r="C94" s="2102" t="s">
        <v>1208</v>
      </c>
      <c r="D94" s="2103"/>
      <c r="E94" s="2099"/>
      <c r="F94" s="1331">
        <v>3598.6299999999997</v>
      </c>
      <c r="G94" s="2100"/>
      <c r="H94" s="508">
        <v>3214.1600000000012</v>
      </c>
      <c r="I94" s="4586"/>
      <c r="J94" s="517">
        <f t="shared" si="319"/>
        <v>6812.7900000000009</v>
      </c>
      <c r="K94" s="2100"/>
      <c r="L94" s="508">
        <v>253.44</v>
      </c>
      <c r="M94" s="4587"/>
      <c r="N94" s="611">
        <f t="shared" si="325"/>
        <v>7066.2300000000005</v>
      </c>
      <c r="O94" s="2100"/>
      <c r="P94" s="508"/>
      <c r="Q94" s="4586"/>
      <c r="R94" s="517">
        <f t="shared" si="320"/>
        <v>7066.2300000000005</v>
      </c>
      <c r="S94" s="2100"/>
      <c r="T94" s="508">
        <v>4844.5399999999991</v>
      </c>
      <c r="U94" s="4586"/>
      <c r="V94" s="517">
        <f t="shared" si="321"/>
        <v>11910.77</v>
      </c>
      <c r="W94" s="2100"/>
      <c r="X94" s="508"/>
      <c r="Y94" s="4587"/>
      <c r="Z94" s="611">
        <f t="shared" si="326"/>
        <v>4844.5399999999991</v>
      </c>
      <c r="AA94" s="4588"/>
      <c r="AB94" s="1287">
        <f t="shared" si="327"/>
        <v>11910.77</v>
      </c>
      <c r="AC94" s="2100"/>
      <c r="AD94" s="508">
        <v>6043.9199999999983</v>
      </c>
      <c r="AE94" s="4586"/>
      <c r="AF94" s="517">
        <f t="shared" si="328"/>
        <v>17954.689999999999</v>
      </c>
      <c r="AG94" s="2100"/>
      <c r="AH94" s="508"/>
      <c r="AI94" s="4586"/>
      <c r="AJ94" s="517">
        <f t="shared" si="329"/>
        <v>17954.689999999999</v>
      </c>
      <c r="AK94" s="2100"/>
      <c r="AL94" s="508">
        <v>192</v>
      </c>
      <c r="AM94" s="4587"/>
      <c r="AN94" s="611">
        <f t="shared" si="330"/>
        <v>6235.9199999999983</v>
      </c>
      <c r="AO94" s="4586"/>
      <c r="AP94" s="517">
        <f t="shared" si="331"/>
        <v>18146.689999999999</v>
      </c>
      <c r="AQ94" s="2100"/>
      <c r="AR94" s="508"/>
      <c r="AS94" s="4586"/>
      <c r="AT94" s="517">
        <f t="shared" si="322"/>
        <v>18146.689999999999</v>
      </c>
      <c r="AU94" s="2100"/>
      <c r="AV94" s="508">
        <v>4106.1400000000012</v>
      </c>
      <c r="AW94" s="4586"/>
      <c r="AX94" s="517">
        <f t="shared" si="323"/>
        <v>22252.83</v>
      </c>
      <c r="AY94" s="2100"/>
      <c r="AZ94" s="508">
        <v>3347.5799999999995</v>
      </c>
      <c r="BA94" s="4587"/>
      <c r="BB94" s="611">
        <f t="shared" si="332"/>
        <v>7453.7200000000012</v>
      </c>
      <c r="BC94" s="1208"/>
      <c r="BD94" s="1287">
        <f t="shared" si="333"/>
        <v>13689.64</v>
      </c>
      <c r="BE94" s="606"/>
      <c r="BF94" s="517">
        <f t="shared" si="334"/>
        <v>25600.41</v>
      </c>
    </row>
    <row r="95" spans="2:81" s="1337" customFormat="1" ht="18.75" x14ac:dyDescent="0.25">
      <c r="B95" s="2101" t="s">
        <v>1136</v>
      </c>
      <c r="C95" s="2097" t="s">
        <v>1225</v>
      </c>
      <c r="D95" s="2103"/>
      <c r="E95" s="2099"/>
      <c r="F95" s="1331">
        <v>113.88</v>
      </c>
      <c r="G95" s="2100"/>
      <c r="H95" s="508"/>
      <c r="I95" s="4589"/>
      <c r="J95" s="517">
        <f t="shared" si="319"/>
        <v>113.88</v>
      </c>
      <c r="K95" s="2100"/>
      <c r="L95" s="508"/>
      <c r="M95" s="4590"/>
      <c r="N95" s="611">
        <f t="shared" si="325"/>
        <v>113.88</v>
      </c>
      <c r="O95" s="2100"/>
      <c r="P95" s="508"/>
      <c r="Q95" s="4589"/>
      <c r="R95" s="517">
        <f t="shared" si="320"/>
        <v>113.88</v>
      </c>
      <c r="S95" s="2100"/>
      <c r="T95" s="508"/>
      <c r="U95" s="4589"/>
      <c r="V95" s="517">
        <f t="shared" si="321"/>
        <v>113.88</v>
      </c>
      <c r="W95" s="2100"/>
      <c r="X95" s="508"/>
      <c r="Y95" s="4590"/>
      <c r="Z95" s="611">
        <f t="shared" si="326"/>
        <v>0</v>
      </c>
      <c r="AA95" s="4591"/>
      <c r="AB95" s="1287">
        <f t="shared" si="327"/>
        <v>113.88</v>
      </c>
      <c r="AC95" s="2100"/>
      <c r="AD95" s="508"/>
      <c r="AE95" s="4589"/>
      <c r="AF95" s="517">
        <f t="shared" si="328"/>
        <v>113.88</v>
      </c>
      <c r="AG95" s="2100"/>
      <c r="AH95" s="508"/>
      <c r="AI95" s="4589"/>
      <c r="AJ95" s="517">
        <f t="shared" si="329"/>
        <v>113.88</v>
      </c>
      <c r="AK95" s="2100"/>
      <c r="AL95" s="508"/>
      <c r="AM95" s="4590"/>
      <c r="AN95" s="611">
        <f t="shared" si="330"/>
        <v>0</v>
      </c>
      <c r="AO95" s="4589"/>
      <c r="AP95" s="517">
        <f t="shared" si="331"/>
        <v>113.88</v>
      </c>
      <c r="AQ95" s="2100"/>
      <c r="AR95" s="508"/>
      <c r="AS95" s="4589"/>
      <c r="AT95" s="517">
        <f t="shared" si="322"/>
        <v>113.88</v>
      </c>
      <c r="AU95" s="2100"/>
      <c r="AV95" s="508"/>
      <c r="AW95" s="4589"/>
      <c r="AX95" s="517">
        <f t="shared" si="323"/>
        <v>113.88</v>
      </c>
      <c r="AY95" s="2100"/>
      <c r="AZ95" s="508"/>
      <c r="BA95" s="4590"/>
      <c r="BB95" s="611">
        <f t="shared" si="332"/>
        <v>0</v>
      </c>
      <c r="BC95" s="1208"/>
      <c r="BD95" s="1287">
        <f t="shared" si="333"/>
        <v>0</v>
      </c>
      <c r="BE95" s="606"/>
      <c r="BF95" s="517">
        <f t="shared" si="334"/>
        <v>113.88</v>
      </c>
      <c r="BG95" s="1726"/>
      <c r="BH95" s="1726"/>
      <c r="BI95" s="1726"/>
      <c r="BJ95" s="1726"/>
      <c r="BK95" s="1726"/>
      <c r="BL95" s="1726"/>
      <c r="BM95" s="1726"/>
      <c r="BN95" s="1726"/>
      <c r="BO95" s="1726"/>
      <c r="BP95" s="1726"/>
      <c r="BQ95" s="1726"/>
      <c r="BR95" s="1726"/>
      <c r="BS95" s="1726"/>
      <c r="BT95" s="1726"/>
      <c r="BU95" s="1726"/>
      <c r="BV95" s="1726"/>
      <c r="BW95" s="1726"/>
      <c r="BX95" s="1726"/>
      <c r="BY95" s="1726"/>
      <c r="BZ95" s="1726"/>
      <c r="CA95" s="1726"/>
      <c r="CB95" s="1726"/>
      <c r="CC95" s="1726"/>
    </row>
    <row r="96" spans="2:81" s="4534" customFormat="1" ht="18.75" x14ac:dyDescent="0.25">
      <c r="B96" s="2096" t="s">
        <v>1136</v>
      </c>
      <c r="C96" s="2097" t="s">
        <v>1878</v>
      </c>
      <c r="D96" s="2103"/>
      <c r="E96" s="2099"/>
      <c r="F96" s="1331">
        <v>246.76</v>
      </c>
      <c r="G96" s="2100"/>
      <c r="H96" s="508"/>
      <c r="I96" s="4589"/>
      <c r="J96" s="517"/>
      <c r="K96" s="2100"/>
      <c r="L96" s="508"/>
      <c r="M96" s="4590"/>
      <c r="N96" s="611">
        <f t="shared" si="325"/>
        <v>246.76</v>
      </c>
      <c r="O96" s="2100"/>
      <c r="P96" s="508"/>
      <c r="Q96" s="4589"/>
      <c r="R96" s="517"/>
      <c r="S96" s="2100"/>
      <c r="T96" s="508">
        <v>691.5</v>
      </c>
      <c r="U96" s="4589"/>
      <c r="V96" s="517"/>
      <c r="W96" s="2100"/>
      <c r="X96" s="508"/>
      <c r="Y96" s="4590"/>
      <c r="Z96" s="611">
        <f t="shared" si="326"/>
        <v>691.5</v>
      </c>
      <c r="AA96" s="4591"/>
      <c r="AB96" s="1287">
        <f t="shared" si="327"/>
        <v>938.26</v>
      </c>
      <c r="AC96" s="2100"/>
      <c r="AD96" s="508"/>
      <c r="AE96" s="4589"/>
      <c r="AF96" s="517"/>
      <c r="AG96" s="2100"/>
      <c r="AH96" s="508"/>
      <c r="AI96" s="4589"/>
      <c r="AJ96" s="517"/>
      <c r="AK96" s="2100"/>
      <c r="AL96" s="508"/>
      <c r="AM96" s="4590"/>
      <c r="AN96" s="611">
        <f t="shared" si="330"/>
        <v>0</v>
      </c>
      <c r="AO96" s="4589"/>
      <c r="AP96" s="517"/>
      <c r="AQ96" s="2100"/>
      <c r="AR96" s="508"/>
      <c r="AS96" s="4589"/>
      <c r="AT96" s="517"/>
      <c r="AU96" s="2100"/>
      <c r="AV96" s="508">
        <v>1653.08</v>
      </c>
      <c r="AW96" s="4589"/>
      <c r="AX96" s="517"/>
      <c r="AY96" s="2100"/>
      <c r="AZ96" s="508">
        <v>3060.94</v>
      </c>
      <c r="BA96" s="4590"/>
      <c r="BB96" s="611">
        <f t="shared" si="332"/>
        <v>4714.0200000000004</v>
      </c>
      <c r="BC96" s="1208"/>
      <c r="BD96" s="1287">
        <f t="shared" si="333"/>
        <v>4714.0200000000004</v>
      </c>
      <c r="BE96" s="606"/>
      <c r="BF96" s="517">
        <f t="shared" si="334"/>
        <v>5652.2800000000007</v>
      </c>
    </row>
    <row r="97" spans="2:81" ht="18.75" x14ac:dyDescent="0.25">
      <c r="B97" s="2101" t="s">
        <v>1136</v>
      </c>
      <c r="C97" s="2102" t="s">
        <v>1326</v>
      </c>
      <c r="D97" s="2103"/>
      <c r="E97" s="2099"/>
      <c r="F97" s="1331">
        <v>216.41</v>
      </c>
      <c r="G97" s="2100"/>
      <c r="H97" s="508"/>
      <c r="I97" s="4589"/>
      <c r="J97" s="517">
        <f t="shared" si="319"/>
        <v>216.41</v>
      </c>
      <c r="K97" s="2100"/>
      <c r="L97" s="508"/>
      <c r="M97" s="4590"/>
      <c r="N97" s="611">
        <f t="shared" si="325"/>
        <v>216.41</v>
      </c>
      <c r="O97" s="2100"/>
      <c r="P97" s="508">
        <v>16.059999999999999</v>
      </c>
      <c r="Q97" s="4589"/>
      <c r="R97" s="517">
        <f t="shared" si="320"/>
        <v>232.47</v>
      </c>
      <c r="S97" s="2100"/>
      <c r="T97" s="508"/>
      <c r="U97" s="4589"/>
      <c r="V97" s="517">
        <f t="shared" si="321"/>
        <v>232.47</v>
      </c>
      <c r="W97" s="2100"/>
      <c r="X97" s="508"/>
      <c r="Y97" s="4590"/>
      <c r="Z97" s="611">
        <f t="shared" si="326"/>
        <v>16.059999999999999</v>
      </c>
      <c r="AA97" s="4591"/>
      <c r="AB97" s="1287">
        <f t="shared" si="327"/>
        <v>232.47</v>
      </c>
      <c r="AC97" s="2100"/>
      <c r="AD97" s="508"/>
      <c r="AE97" s="4589"/>
      <c r="AF97" s="517">
        <f t="shared" si="328"/>
        <v>232.47</v>
      </c>
      <c r="AG97" s="2100"/>
      <c r="AH97" s="508"/>
      <c r="AI97" s="4589"/>
      <c r="AJ97" s="517">
        <f t="shared" si="329"/>
        <v>232.47</v>
      </c>
      <c r="AK97" s="2100"/>
      <c r="AL97" s="508"/>
      <c r="AM97" s="4590"/>
      <c r="AN97" s="611">
        <f t="shared" si="330"/>
        <v>0</v>
      </c>
      <c r="AO97" s="4589"/>
      <c r="AP97" s="517">
        <f t="shared" si="331"/>
        <v>232.47</v>
      </c>
      <c r="AQ97" s="2100"/>
      <c r="AR97" s="508"/>
      <c r="AS97" s="4589"/>
      <c r="AT97" s="517">
        <f t="shared" si="322"/>
        <v>232.47</v>
      </c>
      <c r="AU97" s="2100"/>
      <c r="AV97" s="508"/>
      <c r="AW97" s="4589"/>
      <c r="AX97" s="517">
        <f t="shared" si="323"/>
        <v>232.47</v>
      </c>
      <c r="AY97" s="2100"/>
      <c r="AZ97" s="508"/>
      <c r="BA97" s="4590"/>
      <c r="BB97" s="611">
        <f t="shared" si="332"/>
        <v>0</v>
      </c>
      <c r="BC97" s="1208"/>
      <c r="BD97" s="1287">
        <f t="shared" si="333"/>
        <v>0</v>
      </c>
      <c r="BE97" s="606"/>
      <c r="BF97" s="517">
        <f t="shared" si="334"/>
        <v>232.47</v>
      </c>
    </row>
    <row r="98" spans="2:81" s="1270" customFormat="1" ht="18.75" x14ac:dyDescent="0.25">
      <c r="B98" s="2101" t="s">
        <v>1136</v>
      </c>
      <c r="C98" s="2102" t="s">
        <v>1327</v>
      </c>
      <c r="D98" s="2103"/>
      <c r="E98" s="2099"/>
      <c r="F98" s="1331"/>
      <c r="G98" s="2100"/>
      <c r="H98" s="508">
        <v>253.7</v>
      </c>
      <c r="I98" s="4589"/>
      <c r="J98" s="517">
        <f t="shared" si="319"/>
        <v>253.7</v>
      </c>
      <c r="K98" s="2100"/>
      <c r="L98" s="508"/>
      <c r="M98" s="4590"/>
      <c r="N98" s="611">
        <f t="shared" si="325"/>
        <v>253.7</v>
      </c>
      <c r="O98" s="2100"/>
      <c r="P98" s="508">
        <v>124.75999999999999</v>
      </c>
      <c r="Q98" s="4589"/>
      <c r="R98" s="517">
        <f t="shared" si="320"/>
        <v>378.46</v>
      </c>
      <c r="S98" s="2100"/>
      <c r="T98" s="508">
        <v>62.96</v>
      </c>
      <c r="U98" s="4589"/>
      <c r="V98" s="517">
        <f t="shared" si="321"/>
        <v>441.41999999999996</v>
      </c>
      <c r="W98" s="2100"/>
      <c r="X98" s="508"/>
      <c r="Y98" s="4590"/>
      <c r="Z98" s="611">
        <f t="shared" si="326"/>
        <v>187.72</v>
      </c>
      <c r="AA98" s="4591"/>
      <c r="AB98" s="1287">
        <f t="shared" si="327"/>
        <v>441.41999999999996</v>
      </c>
      <c r="AC98" s="2100"/>
      <c r="AD98" s="508"/>
      <c r="AE98" s="4589"/>
      <c r="AF98" s="517">
        <f t="shared" si="328"/>
        <v>441.41999999999996</v>
      </c>
      <c r="AG98" s="2100"/>
      <c r="AH98" s="508"/>
      <c r="AI98" s="4589"/>
      <c r="AJ98" s="517">
        <f t="shared" si="329"/>
        <v>441.41999999999996</v>
      </c>
      <c r="AK98" s="2100"/>
      <c r="AL98" s="508"/>
      <c r="AM98" s="4590"/>
      <c r="AN98" s="611">
        <f t="shared" si="330"/>
        <v>0</v>
      </c>
      <c r="AO98" s="4589"/>
      <c r="AP98" s="517">
        <f t="shared" si="331"/>
        <v>441.41999999999996</v>
      </c>
      <c r="AQ98" s="2100"/>
      <c r="AR98" s="508"/>
      <c r="AS98" s="4589"/>
      <c r="AT98" s="517">
        <f t="shared" si="322"/>
        <v>441.41999999999996</v>
      </c>
      <c r="AU98" s="2100"/>
      <c r="AV98" s="508"/>
      <c r="AW98" s="4589"/>
      <c r="AX98" s="517">
        <f t="shared" si="323"/>
        <v>441.41999999999996</v>
      </c>
      <c r="AY98" s="2100"/>
      <c r="AZ98" s="508">
        <v>57.930000000000007</v>
      </c>
      <c r="BA98" s="4590"/>
      <c r="BB98" s="611">
        <f t="shared" si="332"/>
        <v>57.930000000000007</v>
      </c>
      <c r="BC98" s="1208"/>
      <c r="BD98" s="1287">
        <f t="shared" si="333"/>
        <v>57.930000000000007</v>
      </c>
      <c r="BE98" s="606"/>
      <c r="BF98" s="517">
        <f t="shared" si="334"/>
        <v>499.34999999999997</v>
      </c>
      <c r="BG98" s="1726"/>
      <c r="BH98" s="1726"/>
      <c r="BI98" s="1726"/>
      <c r="BJ98" s="1726"/>
      <c r="BK98" s="1726"/>
      <c r="BL98" s="1726"/>
      <c r="BM98" s="1726"/>
      <c r="BN98" s="1726"/>
      <c r="BO98" s="1726"/>
      <c r="BP98" s="1726"/>
      <c r="BQ98" s="1726"/>
      <c r="BR98" s="1726"/>
      <c r="BS98" s="1726"/>
      <c r="BT98" s="1726"/>
      <c r="BU98" s="1726"/>
      <c r="BV98" s="1726"/>
      <c r="BW98" s="1726"/>
      <c r="BX98" s="1726"/>
      <c r="BY98" s="1726"/>
      <c r="BZ98" s="1726"/>
      <c r="CA98" s="1726"/>
      <c r="CB98" s="1726"/>
      <c r="CC98" s="1726"/>
    </row>
    <row r="99" spans="2:81" s="1337" customFormat="1" ht="18.75" x14ac:dyDescent="0.25">
      <c r="B99" s="2101" t="s">
        <v>1136</v>
      </c>
      <c r="C99" s="2102" t="s">
        <v>1207</v>
      </c>
      <c r="D99" s="2103"/>
      <c r="E99" s="2099"/>
      <c r="F99" s="1331"/>
      <c r="G99" s="2100"/>
      <c r="H99" s="508"/>
      <c r="I99" s="4589"/>
      <c r="J99" s="517">
        <f t="shared" si="319"/>
        <v>0</v>
      </c>
      <c r="K99" s="2100"/>
      <c r="L99" s="508"/>
      <c r="M99" s="4590"/>
      <c r="N99" s="611">
        <f t="shared" si="325"/>
        <v>0</v>
      </c>
      <c r="O99" s="2100"/>
      <c r="P99" s="508"/>
      <c r="Q99" s="4589"/>
      <c r="R99" s="517">
        <f t="shared" si="320"/>
        <v>0</v>
      </c>
      <c r="S99" s="2100"/>
      <c r="T99" s="508"/>
      <c r="U99" s="4589"/>
      <c r="V99" s="517">
        <f t="shared" si="321"/>
        <v>0</v>
      </c>
      <c r="W99" s="2100"/>
      <c r="X99" s="508"/>
      <c r="Y99" s="4590"/>
      <c r="Z99" s="611">
        <f t="shared" si="326"/>
        <v>0</v>
      </c>
      <c r="AA99" s="4591"/>
      <c r="AB99" s="1287">
        <f t="shared" si="327"/>
        <v>0</v>
      </c>
      <c r="AC99" s="2100"/>
      <c r="AD99" s="508"/>
      <c r="AE99" s="4589"/>
      <c r="AF99" s="517">
        <f t="shared" si="328"/>
        <v>0</v>
      </c>
      <c r="AG99" s="2100"/>
      <c r="AH99" s="508"/>
      <c r="AI99" s="4589"/>
      <c r="AJ99" s="517">
        <f t="shared" si="329"/>
        <v>0</v>
      </c>
      <c r="AK99" s="2100"/>
      <c r="AL99" s="508"/>
      <c r="AM99" s="4590"/>
      <c r="AN99" s="611">
        <f t="shared" si="330"/>
        <v>0</v>
      </c>
      <c r="AO99" s="4589"/>
      <c r="AP99" s="517">
        <f t="shared" si="331"/>
        <v>0</v>
      </c>
      <c r="AQ99" s="2100"/>
      <c r="AR99" s="508"/>
      <c r="AS99" s="4589"/>
      <c r="AT99" s="517">
        <f t="shared" si="322"/>
        <v>0</v>
      </c>
      <c r="AU99" s="2100"/>
      <c r="AV99" s="508"/>
      <c r="AW99" s="4589"/>
      <c r="AX99" s="517">
        <f t="shared" si="323"/>
        <v>0</v>
      </c>
      <c r="AY99" s="2100"/>
      <c r="AZ99" s="508"/>
      <c r="BA99" s="4590"/>
      <c r="BB99" s="611">
        <f t="shared" si="332"/>
        <v>0</v>
      </c>
      <c r="BC99" s="1208"/>
      <c r="BD99" s="1287">
        <f t="shared" si="333"/>
        <v>0</v>
      </c>
      <c r="BE99" s="606"/>
      <c r="BF99" s="517">
        <f t="shared" si="334"/>
        <v>0</v>
      </c>
      <c r="BG99" s="1726"/>
      <c r="BH99" s="1726"/>
      <c r="BI99" s="1726"/>
      <c r="BJ99" s="1726"/>
      <c r="BK99" s="1726"/>
      <c r="BL99" s="1726"/>
      <c r="BM99" s="1726"/>
      <c r="BN99" s="1726"/>
      <c r="BO99" s="1726"/>
      <c r="BP99" s="1726"/>
      <c r="BQ99" s="1726"/>
      <c r="BR99" s="1726"/>
      <c r="BS99" s="1726"/>
      <c r="BT99" s="1726"/>
      <c r="BU99" s="1726"/>
      <c r="BV99" s="1726"/>
      <c r="BW99" s="1726"/>
      <c r="BX99" s="1726"/>
      <c r="BY99" s="1726"/>
      <c r="BZ99" s="1726"/>
      <c r="CA99" s="1726"/>
      <c r="CB99" s="1726"/>
      <c r="CC99" s="1726"/>
    </row>
    <row r="100" spans="2:81" s="1337" customFormat="1" ht="18.75" x14ac:dyDescent="0.25">
      <c r="B100" s="2101" t="s">
        <v>1136</v>
      </c>
      <c r="C100" s="2102" t="s">
        <v>1203</v>
      </c>
      <c r="D100" s="2103"/>
      <c r="E100" s="2099"/>
      <c r="F100" s="1331"/>
      <c r="G100" s="2100"/>
      <c r="H100" s="508"/>
      <c r="I100" s="4589"/>
      <c r="J100" s="517">
        <f t="shared" si="319"/>
        <v>0</v>
      </c>
      <c r="K100" s="2100"/>
      <c r="L100" s="508"/>
      <c r="M100" s="4590"/>
      <c r="N100" s="611">
        <f t="shared" si="325"/>
        <v>0</v>
      </c>
      <c r="O100" s="2100"/>
      <c r="P100" s="508"/>
      <c r="Q100" s="4589"/>
      <c r="R100" s="517">
        <f t="shared" si="320"/>
        <v>0</v>
      </c>
      <c r="S100" s="2100"/>
      <c r="T100" s="508"/>
      <c r="U100" s="4589"/>
      <c r="V100" s="517">
        <f t="shared" si="321"/>
        <v>0</v>
      </c>
      <c r="W100" s="2100"/>
      <c r="X100" s="508"/>
      <c r="Y100" s="4590"/>
      <c r="Z100" s="611">
        <f t="shared" si="326"/>
        <v>0</v>
      </c>
      <c r="AA100" s="4591"/>
      <c r="AB100" s="1287">
        <f t="shared" si="327"/>
        <v>0</v>
      </c>
      <c r="AC100" s="2100"/>
      <c r="AD100" s="508"/>
      <c r="AE100" s="4589"/>
      <c r="AF100" s="517">
        <f t="shared" si="328"/>
        <v>0</v>
      </c>
      <c r="AG100" s="2100"/>
      <c r="AH100" s="508"/>
      <c r="AI100" s="4589"/>
      <c r="AJ100" s="517">
        <f t="shared" si="329"/>
        <v>0</v>
      </c>
      <c r="AK100" s="2100"/>
      <c r="AL100" s="508"/>
      <c r="AM100" s="4590"/>
      <c r="AN100" s="611">
        <f t="shared" si="330"/>
        <v>0</v>
      </c>
      <c r="AO100" s="4589"/>
      <c r="AP100" s="517">
        <f t="shared" si="331"/>
        <v>0</v>
      </c>
      <c r="AQ100" s="2100"/>
      <c r="AR100" s="508"/>
      <c r="AS100" s="4589"/>
      <c r="AT100" s="517">
        <f t="shared" si="322"/>
        <v>0</v>
      </c>
      <c r="AU100" s="2100"/>
      <c r="AV100" s="508"/>
      <c r="AW100" s="4589"/>
      <c r="AX100" s="517">
        <f t="shared" si="323"/>
        <v>0</v>
      </c>
      <c r="AY100" s="2100"/>
      <c r="AZ100" s="508"/>
      <c r="BA100" s="4590"/>
      <c r="BB100" s="611">
        <f t="shared" si="332"/>
        <v>0</v>
      </c>
      <c r="BC100" s="1208"/>
      <c r="BD100" s="1287">
        <f t="shared" si="333"/>
        <v>0</v>
      </c>
      <c r="BE100" s="606"/>
      <c r="BF100" s="517">
        <f t="shared" si="334"/>
        <v>0</v>
      </c>
      <c r="BG100" s="1726"/>
      <c r="BH100" s="1726"/>
      <c r="BI100" s="1726"/>
      <c r="BJ100" s="1726"/>
      <c r="BK100" s="1726"/>
      <c r="BL100" s="1726"/>
      <c r="BM100" s="1726"/>
      <c r="BN100" s="1726"/>
      <c r="BO100" s="1726"/>
      <c r="BP100" s="1726"/>
      <c r="BQ100" s="1726"/>
      <c r="BR100" s="1726"/>
      <c r="BS100" s="1726"/>
      <c r="BT100" s="1726"/>
      <c r="BU100" s="1726"/>
      <c r="BV100" s="1726"/>
      <c r="BW100" s="1726"/>
      <c r="BX100" s="1726"/>
      <c r="BY100" s="1726"/>
      <c r="BZ100" s="1726"/>
      <c r="CA100" s="1726"/>
      <c r="CB100" s="1726"/>
      <c r="CC100" s="1726"/>
    </row>
    <row r="101" spans="2:81" ht="18.75" x14ac:dyDescent="0.25">
      <c r="B101" s="2104" t="s">
        <v>1137</v>
      </c>
      <c r="C101" s="2102" t="s">
        <v>1327</v>
      </c>
      <c r="D101" s="2103"/>
      <c r="E101" s="2099"/>
      <c r="F101" s="1331"/>
      <c r="G101" s="2100"/>
      <c r="H101" s="508"/>
      <c r="I101" s="4589"/>
      <c r="J101" s="517">
        <f t="shared" si="319"/>
        <v>0</v>
      </c>
      <c r="K101" s="2100"/>
      <c r="L101" s="508"/>
      <c r="M101" s="4590"/>
      <c r="N101" s="611">
        <f t="shared" si="325"/>
        <v>0</v>
      </c>
      <c r="O101" s="2100"/>
      <c r="P101" s="508"/>
      <c r="Q101" s="4589"/>
      <c r="R101" s="517">
        <f t="shared" si="320"/>
        <v>0</v>
      </c>
      <c r="S101" s="2100"/>
      <c r="T101" s="508"/>
      <c r="U101" s="4589"/>
      <c r="V101" s="517">
        <f t="shared" si="321"/>
        <v>0</v>
      </c>
      <c r="W101" s="2100"/>
      <c r="X101" s="508"/>
      <c r="Y101" s="4590"/>
      <c r="Z101" s="611">
        <f t="shared" si="326"/>
        <v>0</v>
      </c>
      <c r="AA101" s="4591"/>
      <c r="AB101" s="1287">
        <f t="shared" si="327"/>
        <v>0</v>
      </c>
      <c r="AC101" s="2100"/>
      <c r="AD101" s="508"/>
      <c r="AE101" s="4589"/>
      <c r="AF101" s="517">
        <f t="shared" si="328"/>
        <v>0</v>
      </c>
      <c r="AG101" s="2100"/>
      <c r="AH101" s="508"/>
      <c r="AI101" s="4589"/>
      <c r="AJ101" s="517">
        <f t="shared" si="329"/>
        <v>0</v>
      </c>
      <c r="AK101" s="2100"/>
      <c r="AL101" s="508"/>
      <c r="AM101" s="4590"/>
      <c r="AN101" s="611">
        <f t="shared" si="330"/>
        <v>0</v>
      </c>
      <c r="AO101" s="4589"/>
      <c r="AP101" s="517">
        <f t="shared" si="331"/>
        <v>0</v>
      </c>
      <c r="AQ101" s="2100"/>
      <c r="AR101" s="508"/>
      <c r="AS101" s="4589"/>
      <c r="AT101" s="517">
        <f t="shared" si="322"/>
        <v>0</v>
      </c>
      <c r="AU101" s="2100"/>
      <c r="AV101" s="508"/>
      <c r="AW101" s="4589"/>
      <c r="AX101" s="517">
        <f t="shared" si="323"/>
        <v>0</v>
      </c>
      <c r="AY101" s="2100"/>
      <c r="AZ101" s="508">
        <v>31.35</v>
      </c>
      <c r="BA101" s="4590"/>
      <c r="BB101" s="611">
        <f t="shared" si="332"/>
        <v>31.35</v>
      </c>
      <c r="BC101" s="1208"/>
      <c r="BD101" s="1287">
        <f t="shared" si="333"/>
        <v>31.35</v>
      </c>
      <c r="BE101" s="606"/>
      <c r="BF101" s="517">
        <f t="shared" si="334"/>
        <v>31.35</v>
      </c>
    </row>
    <row r="102" spans="2:81" s="4515" customFormat="1" ht="18.75" x14ac:dyDescent="0.25">
      <c r="B102" s="2104" t="s">
        <v>1137</v>
      </c>
      <c r="C102" s="2102" t="s">
        <v>1150</v>
      </c>
      <c r="D102" s="2103"/>
      <c r="E102" s="2099"/>
      <c r="F102" s="1331"/>
      <c r="G102" s="2100"/>
      <c r="H102" s="508"/>
      <c r="I102" s="4589"/>
      <c r="J102" s="517">
        <f t="shared" si="319"/>
        <v>0</v>
      </c>
      <c r="K102" s="2100"/>
      <c r="L102" s="508"/>
      <c r="M102" s="4590"/>
      <c r="N102" s="611">
        <f t="shared" si="325"/>
        <v>0</v>
      </c>
      <c r="O102" s="2100"/>
      <c r="P102" s="508"/>
      <c r="Q102" s="4589"/>
      <c r="R102" s="517">
        <f t="shared" si="320"/>
        <v>0</v>
      </c>
      <c r="S102" s="2100"/>
      <c r="T102" s="508"/>
      <c r="U102" s="4589"/>
      <c r="V102" s="517">
        <f t="shared" si="321"/>
        <v>0</v>
      </c>
      <c r="W102" s="2100"/>
      <c r="X102" s="508"/>
      <c r="Y102" s="4590"/>
      <c r="Z102" s="611">
        <f t="shared" si="326"/>
        <v>0</v>
      </c>
      <c r="AA102" s="4591"/>
      <c r="AB102" s="1287">
        <f t="shared" si="327"/>
        <v>0</v>
      </c>
      <c r="AC102" s="2100"/>
      <c r="AD102" s="508"/>
      <c r="AE102" s="4589"/>
      <c r="AF102" s="517">
        <f t="shared" si="328"/>
        <v>0</v>
      </c>
      <c r="AG102" s="2100"/>
      <c r="AH102" s="508"/>
      <c r="AI102" s="4589"/>
      <c r="AJ102" s="517">
        <f t="shared" si="329"/>
        <v>0</v>
      </c>
      <c r="AK102" s="2100"/>
      <c r="AL102" s="508"/>
      <c r="AM102" s="4590"/>
      <c r="AN102" s="611">
        <f t="shared" si="330"/>
        <v>0</v>
      </c>
      <c r="AO102" s="4589"/>
      <c r="AP102" s="517">
        <f t="shared" si="331"/>
        <v>0</v>
      </c>
      <c r="AQ102" s="2100"/>
      <c r="AR102" s="508">
        <v>689.33999999999992</v>
      </c>
      <c r="AS102" s="4589"/>
      <c r="AT102" s="517">
        <f t="shared" si="322"/>
        <v>689.33999999999992</v>
      </c>
      <c r="AU102" s="2100"/>
      <c r="AV102" s="508"/>
      <c r="AW102" s="4589"/>
      <c r="AX102" s="517">
        <f t="shared" si="323"/>
        <v>689.33999999999992</v>
      </c>
      <c r="AY102" s="2100"/>
      <c r="AZ102" s="508"/>
      <c r="BA102" s="4590"/>
      <c r="BB102" s="611">
        <f t="shared" si="332"/>
        <v>689.33999999999992</v>
      </c>
      <c r="BC102" s="1208"/>
      <c r="BD102" s="1287">
        <f t="shared" si="333"/>
        <v>689.33999999999992</v>
      </c>
      <c r="BE102" s="606"/>
      <c r="BF102" s="517">
        <f t="shared" si="334"/>
        <v>689.33999999999992</v>
      </c>
    </row>
    <row r="103" spans="2:81" s="1384" customFormat="1" ht="18.75" x14ac:dyDescent="0.25">
      <c r="B103" s="2101" t="s">
        <v>1137</v>
      </c>
      <c r="C103" s="2102" t="s">
        <v>1225</v>
      </c>
      <c r="D103" s="2098"/>
      <c r="E103" s="2099"/>
      <c r="F103" s="1331"/>
      <c r="G103" s="2100"/>
      <c r="H103" s="508">
        <v>176.4</v>
      </c>
      <c r="I103" s="4589"/>
      <c r="J103" s="517">
        <f t="shared" si="319"/>
        <v>176.4</v>
      </c>
      <c r="K103" s="2100"/>
      <c r="L103" s="508"/>
      <c r="M103" s="4590"/>
      <c r="N103" s="611">
        <f t="shared" si="325"/>
        <v>176.4</v>
      </c>
      <c r="O103" s="2100"/>
      <c r="P103" s="508"/>
      <c r="Q103" s="4589"/>
      <c r="R103" s="517">
        <f t="shared" si="320"/>
        <v>176.4</v>
      </c>
      <c r="S103" s="2100"/>
      <c r="T103" s="508"/>
      <c r="U103" s="4589"/>
      <c r="V103" s="517">
        <f t="shared" si="321"/>
        <v>176.4</v>
      </c>
      <c r="W103" s="2100"/>
      <c r="X103" s="508"/>
      <c r="Y103" s="4590"/>
      <c r="Z103" s="611">
        <f t="shared" si="326"/>
        <v>0</v>
      </c>
      <c r="AA103" s="4591"/>
      <c r="AB103" s="1287">
        <f t="shared" si="327"/>
        <v>176.4</v>
      </c>
      <c r="AC103" s="2100"/>
      <c r="AD103" s="508"/>
      <c r="AE103" s="4589"/>
      <c r="AF103" s="517">
        <f t="shared" si="328"/>
        <v>176.4</v>
      </c>
      <c r="AG103" s="2100"/>
      <c r="AH103" s="508"/>
      <c r="AI103" s="4589"/>
      <c r="AJ103" s="517">
        <f t="shared" si="329"/>
        <v>176.4</v>
      </c>
      <c r="AK103" s="2100"/>
      <c r="AL103" s="508"/>
      <c r="AM103" s="4590"/>
      <c r="AN103" s="611">
        <f t="shared" si="330"/>
        <v>0</v>
      </c>
      <c r="AO103" s="4589"/>
      <c r="AP103" s="517">
        <f t="shared" si="331"/>
        <v>176.4</v>
      </c>
      <c r="AQ103" s="2100"/>
      <c r="AR103" s="508"/>
      <c r="AS103" s="4589"/>
      <c r="AT103" s="517">
        <f t="shared" si="322"/>
        <v>176.4</v>
      </c>
      <c r="AU103" s="2100"/>
      <c r="AV103" s="508"/>
      <c r="AW103" s="4589"/>
      <c r="AX103" s="517">
        <f t="shared" si="323"/>
        <v>176.4</v>
      </c>
      <c r="AY103" s="2100"/>
      <c r="AZ103" s="508"/>
      <c r="BA103" s="4590"/>
      <c r="BB103" s="611">
        <f t="shared" si="332"/>
        <v>0</v>
      </c>
      <c r="BC103" s="1208"/>
      <c r="BD103" s="1287">
        <f t="shared" si="333"/>
        <v>0</v>
      </c>
      <c r="BE103" s="606"/>
      <c r="BF103" s="517">
        <f t="shared" si="334"/>
        <v>176.4</v>
      </c>
      <c r="BG103" s="1726"/>
      <c r="BH103" s="1726"/>
      <c r="BI103" s="1726"/>
      <c r="BJ103" s="1726"/>
      <c r="BK103" s="1726"/>
      <c r="BL103" s="1726"/>
      <c r="BM103" s="1726"/>
      <c r="BN103" s="1726"/>
      <c r="BO103" s="1726"/>
      <c r="BP103" s="1726"/>
      <c r="BQ103" s="1726"/>
      <c r="BR103" s="1726"/>
      <c r="BS103" s="1726"/>
      <c r="BT103" s="1726"/>
      <c r="BU103" s="1726"/>
      <c r="BV103" s="1726"/>
      <c r="BW103" s="1726"/>
      <c r="BX103" s="1726"/>
      <c r="BY103" s="1726"/>
      <c r="BZ103" s="1726"/>
      <c r="CA103" s="1726"/>
      <c r="CB103" s="1726"/>
      <c r="CC103" s="1726"/>
    </row>
    <row r="104" spans="2:81" s="1384" customFormat="1" ht="18.75" x14ac:dyDescent="0.25">
      <c r="B104" s="2101" t="s">
        <v>1137</v>
      </c>
      <c r="C104" s="2102" t="s">
        <v>1879</v>
      </c>
      <c r="D104" s="2098"/>
      <c r="E104" s="2099"/>
      <c r="F104" s="1331"/>
      <c r="G104" s="2100"/>
      <c r="H104" s="508"/>
      <c r="I104" s="4589"/>
      <c r="J104" s="517">
        <f t="shared" si="319"/>
        <v>0</v>
      </c>
      <c r="K104" s="2100"/>
      <c r="L104" s="508"/>
      <c r="M104" s="4590"/>
      <c r="N104" s="611">
        <f t="shared" si="325"/>
        <v>0</v>
      </c>
      <c r="O104" s="2100"/>
      <c r="P104" s="508"/>
      <c r="Q104" s="4589"/>
      <c r="R104" s="517">
        <f t="shared" si="320"/>
        <v>0</v>
      </c>
      <c r="S104" s="2100"/>
      <c r="T104" s="508"/>
      <c r="U104" s="4589"/>
      <c r="V104" s="517">
        <f t="shared" si="321"/>
        <v>0</v>
      </c>
      <c r="W104" s="2100"/>
      <c r="X104" s="508"/>
      <c r="Y104" s="4590"/>
      <c r="Z104" s="611">
        <f t="shared" si="326"/>
        <v>0</v>
      </c>
      <c r="AA104" s="4591"/>
      <c r="AB104" s="1287">
        <f t="shared" si="327"/>
        <v>0</v>
      </c>
      <c r="AC104" s="2100"/>
      <c r="AD104" s="508"/>
      <c r="AE104" s="4589"/>
      <c r="AF104" s="517">
        <f t="shared" si="328"/>
        <v>0</v>
      </c>
      <c r="AG104" s="2100"/>
      <c r="AH104" s="508"/>
      <c r="AI104" s="4589"/>
      <c r="AJ104" s="517">
        <f t="shared" si="329"/>
        <v>0</v>
      </c>
      <c r="AK104" s="2100"/>
      <c r="AL104" s="508"/>
      <c r="AM104" s="4590"/>
      <c r="AN104" s="611">
        <f t="shared" si="330"/>
        <v>0</v>
      </c>
      <c r="AO104" s="4589"/>
      <c r="AP104" s="517">
        <f t="shared" si="331"/>
        <v>0</v>
      </c>
      <c r="AQ104" s="2100"/>
      <c r="AR104" s="508"/>
      <c r="AS104" s="4589"/>
      <c r="AT104" s="517">
        <f t="shared" si="322"/>
        <v>0</v>
      </c>
      <c r="AU104" s="2100"/>
      <c r="AV104" s="508">
        <v>122.07</v>
      </c>
      <c r="AW104" s="4589"/>
      <c r="AX104" s="517">
        <f t="shared" si="323"/>
        <v>122.07</v>
      </c>
      <c r="AY104" s="2100"/>
      <c r="AZ104" s="508"/>
      <c r="BA104" s="4590"/>
      <c r="BB104" s="611">
        <f t="shared" si="332"/>
        <v>122.07</v>
      </c>
      <c r="BC104" s="1208"/>
      <c r="BD104" s="1287">
        <f t="shared" si="333"/>
        <v>122.07</v>
      </c>
      <c r="BE104" s="606"/>
      <c r="BF104" s="517">
        <f t="shared" si="334"/>
        <v>122.07</v>
      </c>
      <c r="BG104" s="1726"/>
      <c r="BH104" s="1726"/>
      <c r="BI104" s="1726"/>
      <c r="BJ104" s="1726"/>
      <c r="BK104" s="1726"/>
      <c r="BL104" s="1726"/>
      <c r="BM104" s="1726"/>
      <c r="BN104" s="1726"/>
      <c r="BO104" s="1726"/>
      <c r="BP104" s="1726"/>
      <c r="BQ104" s="1726"/>
      <c r="BR104" s="1726"/>
      <c r="BS104" s="1726"/>
      <c r="BT104" s="1726"/>
      <c r="BU104" s="1726"/>
      <c r="BV104" s="1726"/>
      <c r="BW104" s="1726"/>
      <c r="BX104" s="1726"/>
      <c r="BY104" s="1726"/>
      <c r="BZ104" s="1726"/>
      <c r="CA104" s="1726"/>
      <c r="CB104" s="1726"/>
      <c r="CC104" s="1726"/>
    </row>
    <row r="105" spans="2:81" s="1726" customFormat="1" ht="18.75" x14ac:dyDescent="0.25">
      <c r="B105" s="2101" t="s">
        <v>1137</v>
      </c>
      <c r="C105" s="2102" t="s">
        <v>1301</v>
      </c>
      <c r="D105" s="2098"/>
      <c r="E105" s="2099"/>
      <c r="F105" s="1331"/>
      <c r="G105" s="2100"/>
      <c r="H105" s="508">
        <v>123.84</v>
      </c>
      <c r="I105" s="4589"/>
      <c r="J105" s="517">
        <f t="shared" si="319"/>
        <v>123.84</v>
      </c>
      <c r="K105" s="2100"/>
      <c r="L105" s="508"/>
      <c r="M105" s="4590"/>
      <c r="N105" s="611">
        <f t="shared" si="325"/>
        <v>123.84</v>
      </c>
      <c r="O105" s="2100"/>
      <c r="P105" s="508"/>
      <c r="Q105" s="4589"/>
      <c r="R105" s="517">
        <f t="shared" si="320"/>
        <v>123.84</v>
      </c>
      <c r="S105" s="2100"/>
      <c r="T105" s="508"/>
      <c r="U105" s="4589"/>
      <c r="V105" s="517">
        <f t="shared" si="321"/>
        <v>123.84</v>
      </c>
      <c r="W105" s="2100"/>
      <c r="X105" s="508"/>
      <c r="Y105" s="4590"/>
      <c r="Z105" s="611">
        <f t="shared" si="326"/>
        <v>0</v>
      </c>
      <c r="AA105" s="4591"/>
      <c r="AB105" s="1287">
        <f t="shared" si="327"/>
        <v>123.84</v>
      </c>
      <c r="AC105" s="2100"/>
      <c r="AD105" s="508"/>
      <c r="AE105" s="4589"/>
      <c r="AF105" s="517">
        <f t="shared" si="328"/>
        <v>123.84</v>
      </c>
      <c r="AG105" s="2100"/>
      <c r="AH105" s="508"/>
      <c r="AI105" s="4589"/>
      <c r="AJ105" s="517">
        <f t="shared" si="329"/>
        <v>123.84</v>
      </c>
      <c r="AK105" s="2100"/>
      <c r="AL105" s="508"/>
      <c r="AM105" s="4590"/>
      <c r="AN105" s="611">
        <f t="shared" si="330"/>
        <v>0</v>
      </c>
      <c r="AO105" s="4589"/>
      <c r="AP105" s="517">
        <f t="shared" si="331"/>
        <v>123.84</v>
      </c>
      <c r="AQ105" s="2100"/>
      <c r="AR105" s="508"/>
      <c r="AS105" s="4589"/>
      <c r="AT105" s="517">
        <f t="shared" si="322"/>
        <v>123.84</v>
      </c>
      <c r="AU105" s="2100"/>
      <c r="AV105" s="508"/>
      <c r="AW105" s="4589"/>
      <c r="AX105" s="517">
        <f t="shared" si="323"/>
        <v>123.84</v>
      </c>
      <c r="AY105" s="2100"/>
      <c r="AZ105" s="508"/>
      <c r="BA105" s="4590"/>
      <c r="BB105" s="611">
        <f t="shared" si="332"/>
        <v>0</v>
      </c>
      <c r="BC105" s="1208"/>
      <c r="BD105" s="1287">
        <f t="shared" si="333"/>
        <v>0</v>
      </c>
      <c r="BE105" s="606"/>
      <c r="BF105" s="517">
        <f t="shared" si="334"/>
        <v>123.84</v>
      </c>
    </row>
    <row r="106" spans="2:81" s="1270" customFormat="1" ht="18.75" x14ac:dyDescent="0.25">
      <c r="B106" s="2104" t="s">
        <v>1137</v>
      </c>
      <c r="C106" s="2102" t="s">
        <v>1887</v>
      </c>
      <c r="D106" s="2098"/>
      <c r="E106" s="2099"/>
      <c r="F106" s="1331"/>
      <c r="G106" s="2100"/>
      <c r="H106" s="508"/>
      <c r="I106" s="4589"/>
      <c r="J106" s="517">
        <f t="shared" si="319"/>
        <v>0</v>
      </c>
      <c r="K106" s="2100"/>
      <c r="L106" s="508"/>
      <c r="M106" s="4590"/>
      <c r="N106" s="611">
        <f t="shared" si="325"/>
        <v>0</v>
      </c>
      <c r="O106" s="2100"/>
      <c r="P106" s="508"/>
      <c r="Q106" s="4589"/>
      <c r="R106" s="517">
        <f t="shared" si="320"/>
        <v>0</v>
      </c>
      <c r="S106" s="2100"/>
      <c r="T106" s="508"/>
      <c r="U106" s="4589"/>
      <c r="V106" s="517">
        <f t="shared" si="321"/>
        <v>0</v>
      </c>
      <c r="W106" s="2100"/>
      <c r="X106" s="508"/>
      <c r="Y106" s="4590"/>
      <c r="Z106" s="611">
        <f t="shared" si="326"/>
        <v>0</v>
      </c>
      <c r="AA106" s="4591"/>
      <c r="AB106" s="1287">
        <f t="shared" si="327"/>
        <v>0</v>
      </c>
      <c r="AC106" s="2100"/>
      <c r="AD106" s="508"/>
      <c r="AE106" s="4589"/>
      <c r="AF106" s="517">
        <f t="shared" si="328"/>
        <v>0</v>
      </c>
      <c r="AG106" s="2100"/>
      <c r="AH106" s="508"/>
      <c r="AI106" s="4589"/>
      <c r="AJ106" s="517">
        <f t="shared" si="329"/>
        <v>0</v>
      </c>
      <c r="AK106" s="2100"/>
      <c r="AL106" s="508"/>
      <c r="AM106" s="4590"/>
      <c r="AN106" s="611">
        <f t="shared" si="330"/>
        <v>0</v>
      </c>
      <c r="AO106" s="4589"/>
      <c r="AP106" s="517">
        <f t="shared" si="331"/>
        <v>0</v>
      </c>
      <c r="AQ106" s="2100"/>
      <c r="AR106" s="508"/>
      <c r="AS106" s="4589"/>
      <c r="AT106" s="517">
        <f t="shared" si="322"/>
        <v>0</v>
      </c>
      <c r="AU106" s="2100"/>
      <c r="AV106" s="508"/>
      <c r="AW106" s="4589"/>
      <c r="AX106" s="517">
        <f t="shared" si="323"/>
        <v>0</v>
      </c>
      <c r="AY106" s="2100"/>
      <c r="AZ106" s="508"/>
      <c r="BA106" s="4590"/>
      <c r="BB106" s="611">
        <f t="shared" si="332"/>
        <v>0</v>
      </c>
      <c r="BC106" s="1208"/>
      <c r="BD106" s="1287">
        <f t="shared" si="333"/>
        <v>0</v>
      </c>
      <c r="BE106" s="606"/>
      <c r="BF106" s="517">
        <f t="shared" si="334"/>
        <v>0</v>
      </c>
      <c r="BG106" s="1726"/>
      <c r="BH106" s="1726"/>
      <c r="BI106" s="1726"/>
      <c r="BJ106" s="1726"/>
      <c r="BK106" s="1726"/>
      <c r="BL106" s="1726"/>
      <c r="BM106" s="1726"/>
      <c r="BN106" s="1726"/>
      <c r="BO106" s="1726"/>
      <c r="BP106" s="1726"/>
      <c r="BQ106" s="1726"/>
      <c r="BR106" s="1726"/>
      <c r="BS106" s="1726"/>
      <c r="BT106" s="1726"/>
      <c r="BU106" s="1726"/>
      <c r="BV106" s="1726"/>
      <c r="BW106" s="1726"/>
      <c r="BX106" s="1726"/>
      <c r="BY106" s="1726"/>
      <c r="BZ106" s="1726"/>
      <c r="CA106" s="1726"/>
      <c r="CB106" s="1726"/>
      <c r="CC106" s="1726"/>
    </row>
    <row r="107" spans="2:81" s="1384" customFormat="1" ht="18.75" x14ac:dyDescent="0.25">
      <c r="B107" s="2104" t="s">
        <v>1137</v>
      </c>
      <c r="C107" s="2102" t="s">
        <v>1217</v>
      </c>
      <c r="D107" s="2098"/>
      <c r="E107" s="2099"/>
      <c r="F107" s="1331"/>
      <c r="G107" s="2100"/>
      <c r="H107" s="508"/>
      <c r="I107" s="4589"/>
      <c r="J107" s="517">
        <f t="shared" si="319"/>
        <v>0</v>
      </c>
      <c r="K107" s="2100"/>
      <c r="L107" s="508"/>
      <c r="M107" s="4590"/>
      <c r="N107" s="611">
        <f t="shared" si="325"/>
        <v>0</v>
      </c>
      <c r="O107" s="2100"/>
      <c r="P107" s="508"/>
      <c r="Q107" s="4589"/>
      <c r="R107" s="517">
        <f t="shared" si="320"/>
        <v>0</v>
      </c>
      <c r="S107" s="2100"/>
      <c r="T107" s="508"/>
      <c r="U107" s="4589"/>
      <c r="V107" s="517">
        <f t="shared" si="321"/>
        <v>0</v>
      </c>
      <c r="W107" s="2100"/>
      <c r="X107" s="508"/>
      <c r="Y107" s="4590"/>
      <c r="Z107" s="611">
        <f t="shared" si="326"/>
        <v>0</v>
      </c>
      <c r="AA107" s="4591"/>
      <c r="AB107" s="1287">
        <f t="shared" si="327"/>
        <v>0</v>
      </c>
      <c r="AC107" s="2100"/>
      <c r="AD107" s="508"/>
      <c r="AE107" s="4589"/>
      <c r="AF107" s="517">
        <f t="shared" si="328"/>
        <v>0</v>
      </c>
      <c r="AG107" s="2100"/>
      <c r="AH107" s="508"/>
      <c r="AI107" s="4589"/>
      <c r="AJ107" s="517">
        <f t="shared" si="329"/>
        <v>0</v>
      </c>
      <c r="AK107" s="2100"/>
      <c r="AL107" s="508"/>
      <c r="AM107" s="4590"/>
      <c r="AN107" s="611">
        <f t="shared" si="330"/>
        <v>0</v>
      </c>
      <c r="AO107" s="4589"/>
      <c r="AP107" s="517">
        <f t="shared" si="331"/>
        <v>0</v>
      </c>
      <c r="AQ107" s="2100"/>
      <c r="AR107" s="508"/>
      <c r="AS107" s="4589"/>
      <c r="AT107" s="517">
        <f t="shared" si="322"/>
        <v>0</v>
      </c>
      <c r="AU107" s="2100"/>
      <c r="AV107" s="508">
        <v>300.39999999999998</v>
      </c>
      <c r="AW107" s="4589"/>
      <c r="AX107" s="517">
        <f t="shared" si="323"/>
        <v>300.39999999999998</v>
      </c>
      <c r="AY107" s="2100"/>
      <c r="AZ107" s="508"/>
      <c r="BA107" s="4590"/>
      <c r="BB107" s="611">
        <f t="shared" si="332"/>
        <v>300.39999999999998</v>
      </c>
      <c r="BC107" s="1208"/>
      <c r="BD107" s="1287">
        <f t="shared" si="333"/>
        <v>300.39999999999998</v>
      </c>
      <c r="BE107" s="606"/>
      <c r="BF107" s="517">
        <f t="shared" si="334"/>
        <v>300.39999999999998</v>
      </c>
      <c r="BG107" s="1726"/>
      <c r="BH107" s="1726"/>
      <c r="BI107" s="1726"/>
      <c r="BJ107" s="1726"/>
      <c r="BK107" s="1726"/>
      <c r="BL107" s="1726"/>
      <c r="BM107" s="1726"/>
      <c r="BN107" s="1726"/>
      <c r="BO107" s="1726"/>
      <c r="BP107" s="1726"/>
      <c r="BQ107" s="1726"/>
      <c r="BR107" s="1726"/>
      <c r="BS107" s="1726"/>
      <c r="BT107" s="1726"/>
      <c r="BU107" s="1726"/>
      <c r="BV107" s="1726"/>
      <c r="BW107" s="1726"/>
      <c r="BX107" s="1726"/>
      <c r="BY107" s="1726"/>
      <c r="BZ107" s="1726"/>
      <c r="CA107" s="1726"/>
      <c r="CB107" s="1726"/>
      <c r="CC107" s="1726"/>
    </row>
    <row r="108" spans="2:81" s="1384" customFormat="1" ht="18.75" x14ac:dyDescent="0.25">
      <c r="B108" s="2104" t="s">
        <v>1137</v>
      </c>
      <c r="C108" s="2102" t="s">
        <v>1160</v>
      </c>
      <c r="D108" s="2098"/>
      <c r="E108" s="2099"/>
      <c r="F108" s="1331"/>
      <c r="G108" s="2100"/>
      <c r="H108" s="508"/>
      <c r="I108" s="4589"/>
      <c r="J108" s="517">
        <f t="shared" si="319"/>
        <v>0</v>
      </c>
      <c r="K108" s="2100"/>
      <c r="L108" s="508"/>
      <c r="M108" s="4590"/>
      <c r="N108" s="611">
        <f t="shared" si="325"/>
        <v>0</v>
      </c>
      <c r="O108" s="2100"/>
      <c r="P108" s="508"/>
      <c r="Q108" s="4589"/>
      <c r="R108" s="517">
        <f t="shared" si="320"/>
        <v>0</v>
      </c>
      <c r="S108" s="2100"/>
      <c r="T108" s="508"/>
      <c r="U108" s="4589"/>
      <c r="V108" s="517">
        <f t="shared" si="321"/>
        <v>0</v>
      </c>
      <c r="W108" s="2100"/>
      <c r="X108" s="508"/>
      <c r="Y108" s="4590"/>
      <c r="Z108" s="611">
        <f t="shared" si="326"/>
        <v>0</v>
      </c>
      <c r="AA108" s="4591"/>
      <c r="AB108" s="1287">
        <f t="shared" si="327"/>
        <v>0</v>
      </c>
      <c r="AC108" s="2100"/>
      <c r="AD108" s="508"/>
      <c r="AE108" s="4589"/>
      <c r="AF108" s="517">
        <f t="shared" si="328"/>
        <v>0</v>
      </c>
      <c r="AG108" s="2100"/>
      <c r="AH108" s="508"/>
      <c r="AI108" s="4589"/>
      <c r="AJ108" s="517">
        <f t="shared" si="329"/>
        <v>0</v>
      </c>
      <c r="AK108" s="2100"/>
      <c r="AL108" s="508"/>
      <c r="AM108" s="4590"/>
      <c r="AN108" s="611">
        <f t="shared" si="330"/>
        <v>0</v>
      </c>
      <c r="AO108" s="4589"/>
      <c r="AP108" s="517">
        <f t="shared" si="331"/>
        <v>0</v>
      </c>
      <c r="AQ108" s="2100"/>
      <c r="AR108" s="508">
        <v>203.23000000000002</v>
      </c>
      <c r="AS108" s="4589"/>
      <c r="AT108" s="517">
        <f t="shared" si="322"/>
        <v>203.23000000000002</v>
      </c>
      <c r="AU108" s="2100"/>
      <c r="AV108" s="508"/>
      <c r="AW108" s="4589"/>
      <c r="AX108" s="517">
        <f t="shared" si="323"/>
        <v>203.23000000000002</v>
      </c>
      <c r="AY108" s="2100"/>
      <c r="AZ108" s="508"/>
      <c r="BA108" s="4590"/>
      <c r="BB108" s="611">
        <f t="shared" si="332"/>
        <v>203.23000000000002</v>
      </c>
      <c r="BC108" s="1208"/>
      <c r="BD108" s="1287">
        <f t="shared" si="333"/>
        <v>203.23000000000002</v>
      </c>
      <c r="BE108" s="606"/>
      <c r="BF108" s="517">
        <f t="shared" si="334"/>
        <v>203.23000000000002</v>
      </c>
      <c r="BG108" s="1726"/>
      <c r="BH108" s="1726"/>
      <c r="BI108" s="1726"/>
      <c r="BJ108" s="1726"/>
      <c r="BK108" s="1726"/>
      <c r="BL108" s="1726"/>
      <c r="BM108" s="1726"/>
      <c r="BN108" s="1726"/>
      <c r="BO108" s="1726"/>
      <c r="BP108" s="1726"/>
      <c r="BQ108" s="1726"/>
      <c r="BR108" s="1726"/>
      <c r="BS108" s="1726"/>
      <c r="BT108" s="1726"/>
      <c r="BU108" s="1726"/>
      <c r="BV108" s="1726"/>
      <c r="BW108" s="1726"/>
      <c r="BX108" s="1726"/>
      <c r="BY108" s="1726"/>
      <c r="BZ108" s="1726"/>
      <c r="CA108" s="1726"/>
      <c r="CB108" s="1726"/>
      <c r="CC108" s="1726"/>
    </row>
    <row r="109" spans="2:81" s="1384" customFormat="1" ht="18.75" x14ac:dyDescent="0.25">
      <c r="B109" s="2104" t="s">
        <v>1137</v>
      </c>
      <c r="C109" s="2102" t="s">
        <v>1207</v>
      </c>
      <c r="D109" s="2098"/>
      <c r="E109" s="2099"/>
      <c r="F109" s="1331"/>
      <c r="G109" s="2100"/>
      <c r="H109" s="508"/>
      <c r="I109" s="4589"/>
      <c r="J109" s="517">
        <f t="shared" si="319"/>
        <v>0</v>
      </c>
      <c r="K109" s="2100"/>
      <c r="L109" s="508"/>
      <c r="M109" s="4590"/>
      <c r="N109" s="611">
        <f t="shared" si="325"/>
        <v>0</v>
      </c>
      <c r="O109" s="2100"/>
      <c r="P109" s="508"/>
      <c r="Q109" s="4589"/>
      <c r="R109" s="517">
        <f t="shared" si="320"/>
        <v>0</v>
      </c>
      <c r="S109" s="2100"/>
      <c r="T109" s="508">
        <v>63.2</v>
      </c>
      <c r="U109" s="4589"/>
      <c r="V109" s="517">
        <f t="shared" si="321"/>
        <v>63.2</v>
      </c>
      <c r="W109" s="2100"/>
      <c r="X109" s="508"/>
      <c r="Y109" s="4590"/>
      <c r="Z109" s="611">
        <f t="shared" si="326"/>
        <v>63.2</v>
      </c>
      <c r="AA109" s="4591"/>
      <c r="AB109" s="1287">
        <f t="shared" si="327"/>
        <v>63.2</v>
      </c>
      <c r="AC109" s="2100"/>
      <c r="AD109" s="508"/>
      <c r="AE109" s="4589"/>
      <c r="AF109" s="517">
        <f t="shared" si="328"/>
        <v>63.2</v>
      </c>
      <c r="AG109" s="2100"/>
      <c r="AH109" s="508"/>
      <c r="AI109" s="4589"/>
      <c r="AJ109" s="517">
        <f t="shared" si="329"/>
        <v>63.2</v>
      </c>
      <c r="AK109" s="2100"/>
      <c r="AL109" s="508"/>
      <c r="AM109" s="4590"/>
      <c r="AN109" s="611">
        <f t="shared" si="330"/>
        <v>0</v>
      </c>
      <c r="AO109" s="4589"/>
      <c r="AP109" s="517">
        <f t="shared" si="331"/>
        <v>63.2</v>
      </c>
      <c r="AQ109" s="2100"/>
      <c r="AR109" s="508"/>
      <c r="AS109" s="4589"/>
      <c r="AT109" s="517">
        <f t="shared" si="322"/>
        <v>63.2</v>
      </c>
      <c r="AU109" s="2100"/>
      <c r="AV109" s="508"/>
      <c r="AW109" s="4589"/>
      <c r="AX109" s="517">
        <f t="shared" si="323"/>
        <v>63.2</v>
      </c>
      <c r="AY109" s="2100"/>
      <c r="AZ109" s="508"/>
      <c r="BA109" s="4590"/>
      <c r="BB109" s="611">
        <f t="shared" si="332"/>
        <v>0</v>
      </c>
      <c r="BC109" s="1208"/>
      <c r="BD109" s="1287">
        <f t="shared" si="333"/>
        <v>0</v>
      </c>
      <c r="BE109" s="606"/>
      <c r="BF109" s="517">
        <f t="shared" si="334"/>
        <v>63.2</v>
      </c>
      <c r="BG109" s="1726"/>
      <c r="BH109" s="1726"/>
      <c r="BI109" s="1726"/>
      <c r="BJ109" s="1726"/>
      <c r="BK109" s="1726"/>
      <c r="BL109" s="1726"/>
      <c r="BM109" s="1726"/>
      <c r="BN109" s="1726"/>
      <c r="BO109" s="1726"/>
      <c r="BP109" s="1726"/>
      <c r="BQ109" s="1726"/>
      <c r="BR109" s="1726"/>
      <c r="BS109" s="1726"/>
      <c r="BT109" s="1726"/>
      <c r="BU109" s="1726"/>
      <c r="BV109" s="1726"/>
      <c r="BW109" s="1726"/>
      <c r="BX109" s="1726"/>
      <c r="BY109" s="1726"/>
      <c r="BZ109" s="1726"/>
      <c r="CA109" s="1726"/>
      <c r="CB109" s="1726"/>
      <c r="CC109" s="1726"/>
    </row>
    <row r="110" spans="2:81" s="1725" customFormat="1" ht="18.75" x14ac:dyDescent="0.25">
      <c r="B110" s="2104" t="s">
        <v>1137</v>
      </c>
      <c r="C110" s="2102" t="s">
        <v>1878</v>
      </c>
      <c r="D110" s="2098"/>
      <c r="E110" s="2099"/>
      <c r="F110" s="1331">
        <v>26.6</v>
      </c>
      <c r="G110" s="2100"/>
      <c r="H110" s="508"/>
      <c r="I110" s="4589"/>
      <c r="J110" s="517">
        <f t="shared" si="319"/>
        <v>26.6</v>
      </c>
      <c r="K110" s="2100"/>
      <c r="L110" s="508"/>
      <c r="M110" s="4590"/>
      <c r="N110" s="611">
        <f t="shared" si="325"/>
        <v>26.6</v>
      </c>
      <c r="O110" s="2100"/>
      <c r="P110" s="508"/>
      <c r="Q110" s="4589"/>
      <c r="R110" s="517">
        <f t="shared" si="320"/>
        <v>26.6</v>
      </c>
      <c r="S110" s="2100"/>
      <c r="T110" s="508">
        <v>764.2600000000001</v>
      </c>
      <c r="U110" s="4589"/>
      <c r="V110" s="517">
        <f t="shared" si="321"/>
        <v>790.86000000000013</v>
      </c>
      <c r="W110" s="2100"/>
      <c r="X110" s="508">
        <v>92.52000000000001</v>
      </c>
      <c r="Y110" s="4590"/>
      <c r="Z110" s="611">
        <f t="shared" si="326"/>
        <v>856.78000000000009</v>
      </c>
      <c r="AA110" s="4591"/>
      <c r="AB110" s="1287">
        <f t="shared" si="327"/>
        <v>883.38000000000011</v>
      </c>
      <c r="AC110" s="2100"/>
      <c r="AD110" s="508"/>
      <c r="AE110" s="4589"/>
      <c r="AF110" s="517">
        <f t="shared" si="328"/>
        <v>883.38000000000011</v>
      </c>
      <c r="AG110" s="2100"/>
      <c r="AH110" s="508"/>
      <c r="AI110" s="4589"/>
      <c r="AJ110" s="517">
        <f t="shared" si="329"/>
        <v>883.38000000000011</v>
      </c>
      <c r="AK110" s="2100"/>
      <c r="AL110" s="508">
        <v>63.18</v>
      </c>
      <c r="AM110" s="4590"/>
      <c r="AN110" s="611">
        <f t="shared" si="330"/>
        <v>63.18</v>
      </c>
      <c r="AO110" s="4589"/>
      <c r="AP110" s="517">
        <f t="shared" si="331"/>
        <v>946.56000000000006</v>
      </c>
      <c r="AQ110" s="2100"/>
      <c r="AR110" s="508">
        <v>992.07999999999993</v>
      </c>
      <c r="AS110" s="4589"/>
      <c r="AT110" s="517">
        <f t="shared" si="322"/>
        <v>1938.6399999999999</v>
      </c>
      <c r="AU110" s="2100"/>
      <c r="AV110" s="508">
        <v>1053.69</v>
      </c>
      <c r="AW110" s="4589"/>
      <c r="AX110" s="517">
        <f t="shared" si="323"/>
        <v>2992.33</v>
      </c>
      <c r="AY110" s="2100"/>
      <c r="AZ110" s="508">
        <v>31.99</v>
      </c>
      <c r="BA110" s="4590"/>
      <c r="BB110" s="611">
        <f t="shared" si="332"/>
        <v>2077.7599999999998</v>
      </c>
      <c r="BC110" s="1208"/>
      <c r="BD110" s="1287">
        <f t="shared" si="333"/>
        <v>2140.9399999999996</v>
      </c>
      <c r="BE110" s="606"/>
      <c r="BF110" s="517">
        <f t="shared" si="334"/>
        <v>3024.3199999999997</v>
      </c>
      <c r="BG110" s="1726"/>
      <c r="BH110" s="1726"/>
      <c r="BI110" s="1726"/>
      <c r="BJ110" s="1726"/>
      <c r="BK110" s="1726"/>
      <c r="BL110" s="1726"/>
      <c r="BM110" s="1726"/>
      <c r="BN110" s="1726"/>
      <c r="BO110" s="1726"/>
      <c r="BP110" s="1726"/>
      <c r="BQ110" s="1726"/>
      <c r="BR110" s="1726"/>
      <c r="BS110" s="1726"/>
      <c r="BT110" s="1726"/>
      <c r="BU110" s="1726"/>
      <c r="BV110" s="1726"/>
      <c r="BW110" s="1726"/>
      <c r="BX110" s="1726"/>
      <c r="BY110" s="1726"/>
      <c r="BZ110" s="1726"/>
      <c r="CA110" s="1726"/>
      <c r="CB110" s="1726"/>
      <c r="CC110" s="1726"/>
    </row>
    <row r="111" spans="2:81" s="1384" customFormat="1" ht="18.75" x14ac:dyDescent="0.25">
      <c r="B111" s="2104" t="s">
        <v>1137</v>
      </c>
      <c r="C111" s="2102" t="s">
        <v>1208</v>
      </c>
      <c r="D111" s="2098"/>
      <c r="E111" s="2099"/>
      <c r="F111" s="1331"/>
      <c r="G111" s="2100"/>
      <c r="H111" s="508">
        <v>3822.33</v>
      </c>
      <c r="I111" s="4589"/>
      <c r="J111" s="517">
        <f t="shared" si="319"/>
        <v>3822.33</v>
      </c>
      <c r="K111" s="2100"/>
      <c r="L111" s="508"/>
      <c r="M111" s="4590"/>
      <c r="N111" s="611">
        <f t="shared" si="325"/>
        <v>3822.33</v>
      </c>
      <c r="O111" s="2100"/>
      <c r="P111" s="508"/>
      <c r="Q111" s="4589"/>
      <c r="R111" s="517">
        <f t="shared" si="320"/>
        <v>3822.33</v>
      </c>
      <c r="S111" s="2100"/>
      <c r="T111" s="508">
        <v>3174.7799999999997</v>
      </c>
      <c r="U111" s="4589"/>
      <c r="V111" s="517">
        <f t="shared" si="321"/>
        <v>6997.11</v>
      </c>
      <c r="W111" s="2100"/>
      <c r="X111" s="508">
        <v>316.04000000000002</v>
      </c>
      <c r="Y111" s="4590"/>
      <c r="Z111" s="611">
        <f t="shared" si="326"/>
        <v>3490.8199999999997</v>
      </c>
      <c r="AA111" s="4591"/>
      <c r="AB111" s="1287">
        <f t="shared" si="327"/>
        <v>7313.15</v>
      </c>
      <c r="AC111" s="2100"/>
      <c r="AD111" s="508"/>
      <c r="AE111" s="4589"/>
      <c r="AF111" s="517">
        <f t="shared" si="328"/>
        <v>7313.15</v>
      </c>
      <c r="AG111" s="2100"/>
      <c r="AH111" s="508"/>
      <c r="AI111" s="4589"/>
      <c r="AJ111" s="517">
        <f t="shared" si="329"/>
        <v>7313.15</v>
      </c>
      <c r="AK111" s="2100"/>
      <c r="AL111" s="508"/>
      <c r="AM111" s="4590"/>
      <c r="AN111" s="611">
        <f t="shared" si="330"/>
        <v>0</v>
      </c>
      <c r="AO111" s="4589"/>
      <c r="AP111" s="517">
        <f t="shared" si="331"/>
        <v>7313.15</v>
      </c>
      <c r="AQ111" s="2100"/>
      <c r="AR111" s="508">
        <v>2827.84</v>
      </c>
      <c r="AS111" s="4589"/>
      <c r="AT111" s="517">
        <f t="shared" si="322"/>
        <v>10140.99</v>
      </c>
      <c r="AU111" s="2100"/>
      <c r="AV111" s="508">
        <v>2281.73</v>
      </c>
      <c r="AW111" s="4589"/>
      <c r="AX111" s="517">
        <f t="shared" si="323"/>
        <v>12422.72</v>
      </c>
      <c r="AY111" s="2100"/>
      <c r="AZ111" s="508">
        <v>65.759999999999991</v>
      </c>
      <c r="BA111" s="4590"/>
      <c r="BB111" s="611">
        <f t="shared" si="332"/>
        <v>5175.33</v>
      </c>
      <c r="BC111" s="1208"/>
      <c r="BD111" s="1287">
        <f t="shared" si="333"/>
        <v>5175.33</v>
      </c>
      <c r="BE111" s="606"/>
      <c r="BF111" s="517">
        <f t="shared" si="334"/>
        <v>12488.48</v>
      </c>
      <c r="BG111" s="1726"/>
      <c r="BH111" s="1726"/>
      <c r="BI111" s="1726"/>
      <c r="BJ111" s="1726"/>
      <c r="BK111" s="1726"/>
      <c r="BL111" s="1726"/>
      <c r="BM111" s="1726"/>
      <c r="BN111" s="1726"/>
      <c r="BO111" s="1726"/>
      <c r="BP111" s="1726"/>
      <c r="BQ111" s="1726"/>
      <c r="BR111" s="1726"/>
      <c r="BS111" s="1726"/>
      <c r="BT111" s="1726"/>
      <c r="BU111" s="1726"/>
      <c r="BV111" s="1726"/>
      <c r="BW111" s="1726"/>
      <c r="BX111" s="1726"/>
      <c r="BY111" s="1726"/>
      <c r="BZ111" s="1726"/>
      <c r="CA111" s="1726"/>
      <c r="CB111" s="1726"/>
      <c r="CC111" s="1726"/>
    </row>
    <row r="112" spans="2:81" s="4534" customFormat="1" ht="18.75" x14ac:dyDescent="0.25">
      <c r="B112" s="2104" t="s">
        <v>1825</v>
      </c>
      <c r="C112" s="2102" t="s">
        <v>1878</v>
      </c>
      <c r="D112" s="2098"/>
      <c r="E112" s="2099"/>
      <c r="F112" s="1331"/>
      <c r="G112" s="2100"/>
      <c r="H112" s="508"/>
      <c r="I112" s="4592"/>
      <c r="J112" s="517">
        <f t="shared" ref="J112" si="335">+F112+H112</f>
        <v>0</v>
      </c>
      <c r="K112" s="2100"/>
      <c r="L112" s="508"/>
      <c r="M112" s="4593"/>
      <c r="N112" s="611">
        <f t="shared" si="325"/>
        <v>0</v>
      </c>
      <c r="O112" s="2100"/>
      <c r="P112" s="508"/>
      <c r="Q112" s="4592"/>
      <c r="R112" s="517">
        <f t="shared" ref="R112" si="336">+N112+P112</f>
        <v>0</v>
      </c>
      <c r="S112" s="2100"/>
      <c r="T112" s="508"/>
      <c r="U112" s="4592"/>
      <c r="V112" s="517">
        <f t="shared" ref="V112" si="337">+R112+T112</f>
        <v>0</v>
      </c>
      <c r="W112" s="2100"/>
      <c r="X112" s="508"/>
      <c r="Y112" s="4593"/>
      <c r="Z112" s="611">
        <f t="shared" si="326"/>
        <v>0</v>
      </c>
      <c r="AA112" s="4594"/>
      <c r="AB112" s="1287">
        <f t="shared" si="327"/>
        <v>0</v>
      </c>
      <c r="AC112" s="2100"/>
      <c r="AD112" s="508"/>
      <c r="AE112" s="4592"/>
      <c r="AF112" s="517">
        <f t="shared" ref="AF112" si="338">+AB112+AD112</f>
        <v>0</v>
      </c>
      <c r="AG112" s="2100"/>
      <c r="AH112" s="508"/>
      <c r="AI112" s="4592"/>
      <c r="AJ112" s="517">
        <f t="shared" ref="AJ112" si="339">+AF112+AH112</f>
        <v>0</v>
      </c>
      <c r="AK112" s="2100"/>
      <c r="AL112" s="508"/>
      <c r="AM112" s="4593"/>
      <c r="AN112" s="611">
        <f t="shared" si="330"/>
        <v>0</v>
      </c>
      <c r="AO112" s="4592"/>
      <c r="AP112" s="517">
        <f t="shared" ref="AP112" si="340">+AJ112+AL112</f>
        <v>0</v>
      </c>
      <c r="AQ112" s="2100"/>
      <c r="AR112" s="508"/>
      <c r="AS112" s="4592"/>
      <c r="AT112" s="517">
        <f t="shared" ref="AT112" si="341">+AP112+AR112</f>
        <v>0</v>
      </c>
      <c r="AU112" s="2100"/>
      <c r="AV112" s="508">
        <v>760.34</v>
      </c>
      <c r="AW112" s="4592"/>
      <c r="AX112" s="517">
        <f t="shared" ref="AX112" si="342">+AT112+AV112</f>
        <v>760.34</v>
      </c>
      <c r="AY112" s="2100"/>
      <c r="AZ112" s="508">
        <v>22.34</v>
      </c>
      <c r="BA112" s="4593"/>
      <c r="BB112" s="611">
        <f t="shared" si="332"/>
        <v>782.68000000000006</v>
      </c>
      <c r="BC112" s="1208"/>
      <c r="BD112" s="1287">
        <f t="shared" si="333"/>
        <v>782.68000000000006</v>
      </c>
      <c r="BE112" s="606"/>
      <c r="BF112" s="517">
        <f t="shared" si="334"/>
        <v>782.68000000000006</v>
      </c>
    </row>
    <row r="113" spans="2:81" s="1726" customFormat="1" ht="18.75" x14ac:dyDescent="0.25">
      <c r="B113" s="2104" t="s">
        <v>1825</v>
      </c>
      <c r="C113" s="2102" t="s">
        <v>1208</v>
      </c>
      <c r="D113" s="2098"/>
      <c r="E113" s="2099"/>
      <c r="F113" s="1331"/>
      <c r="G113" s="2100"/>
      <c r="H113" s="508"/>
      <c r="I113" s="4537"/>
      <c r="J113" s="517">
        <f t="shared" si="319"/>
        <v>0</v>
      </c>
      <c r="K113" s="2100"/>
      <c r="L113" s="508"/>
      <c r="M113" s="4539"/>
      <c r="N113" s="611">
        <f t="shared" si="325"/>
        <v>0</v>
      </c>
      <c r="O113" s="2100"/>
      <c r="P113" s="508"/>
      <c r="Q113" s="4537"/>
      <c r="R113" s="517">
        <f t="shared" si="320"/>
        <v>0</v>
      </c>
      <c r="S113" s="2100"/>
      <c r="T113" s="508"/>
      <c r="U113" s="4537"/>
      <c r="V113" s="517">
        <f t="shared" si="321"/>
        <v>0</v>
      </c>
      <c r="W113" s="2100"/>
      <c r="X113" s="508"/>
      <c r="Y113" s="4539"/>
      <c r="Z113" s="611">
        <f t="shared" si="326"/>
        <v>0</v>
      </c>
      <c r="AA113" s="4542"/>
      <c r="AB113" s="1287">
        <f t="shared" si="327"/>
        <v>0</v>
      </c>
      <c r="AC113" s="2100"/>
      <c r="AD113" s="508"/>
      <c r="AE113" s="4537"/>
      <c r="AF113" s="517">
        <f t="shared" si="328"/>
        <v>0</v>
      </c>
      <c r="AG113" s="2100"/>
      <c r="AH113" s="508"/>
      <c r="AI113" s="4537"/>
      <c r="AJ113" s="517">
        <f t="shared" si="329"/>
        <v>0</v>
      </c>
      <c r="AK113" s="2100"/>
      <c r="AL113" s="508"/>
      <c r="AM113" s="4539"/>
      <c r="AN113" s="611">
        <f t="shared" si="330"/>
        <v>0</v>
      </c>
      <c r="AO113" s="4537"/>
      <c r="AP113" s="517">
        <f t="shared" si="331"/>
        <v>0</v>
      </c>
      <c r="AQ113" s="2100"/>
      <c r="AR113" s="508"/>
      <c r="AS113" s="4537"/>
      <c r="AT113" s="517">
        <f t="shared" si="322"/>
        <v>0</v>
      </c>
      <c r="AU113" s="2100"/>
      <c r="AV113" s="508">
        <v>811.46</v>
      </c>
      <c r="AW113" s="4537"/>
      <c r="AX113" s="517">
        <f t="shared" si="323"/>
        <v>811.46</v>
      </c>
      <c r="AY113" s="2100"/>
      <c r="AZ113" s="508">
        <v>48.42</v>
      </c>
      <c r="BA113" s="4539"/>
      <c r="BB113" s="611">
        <f t="shared" si="332"/>
        <v>859.88</v>
      </c>
      <c r="BC113" s="1208"/>
      <c r="BD113" s="1287">
        <f t="shared" si="333"/>
        <v>859.88</v>
      </c>
      <c r="BE113" s="606"/>
      <c r="BF113" s="517">
        <f t="shared" si="334"/>
        <v>859.88</v>
      </c>
    </row>
    <row r="114" spans="2:81" ht="18.75" x14ac:dyDescent="0.25">
      <c r="B114" s="2105" t="s">
        <v>1138</v>
      </c>
      <c r="C114" s="2097" t="s">
        <v>1208</v>
      </c>
      <c r="D114" s="2098"/>
      <c r="E114" s="2099"/>
      <c r="F114" s="1331"/>
      <c r="G114" s="2100"/>
      <c r="H114" s="508">
        <v>1780.2799999999997</v>
      </c>
      <c r="I114" s="4589"/>
      <c r="J114" s="517">
        <f t="shared" si="319"/>
        <v>1780.2799999999997</v>
      </c>
      <c r="K114" s="2100"/>
      <c r="L114" s="508"/>
      <c r="M114" s="4590"/>
      <c r="N114" s="611">
        <f t="shared" si="325"/>
        <v>1780.2799999999997</v>
      </c>
      <c r="O114" s="2100"/>
      <c r="P114" s="508">
        <v>1719.6400000000003</v>
      </c>
      <c r="Q114" s="4589"/>
      <c r="R114" s="517">
        <f t="shared" si="320"/>
        <v>3499.92</v>
      </c>
      <c r="S114" s="2100"/>
      <c r="T114" s="508">
        <v>61.34</v>
      </c>
      <c r="U114" s="4589"/>
      <c r="V114" s="517">
        <f t="shared" si="321"/>
        <v>3561.26</v>
      </c>
      <c r="W114" s="2100"/>
      <c r="X114" s="508">
        <v>2204.77</v>
      </c>
      <c r="Y114" s="4590"/>
      <c r="Z114" s="611">
        <f t="shared" si="326"/>
        <v>3985.75</v>
      </c>
      <c r="AA114" s="4591"/>
      <c r="AB114" s="1287">
        <f t="shared" si="327"/>
        <v>5766.03</v>
      </c>
      <c r="AC114" s="2100"/>
      <c r="AD114" s="508"/>
      <c r="AE114" s="4589"/>
      <c r="AF114" s="517">
        <f t="shared" si="328"/>
        <v>5766.03</v>
      </c>
      <c r="AG114" s="2100"/>
      <c r="AH114" s="508"/>
      <c r="AI114" s="4589"/>
      <c r="AJ114" s="517">
        <f t="shared" si="329"/>
        <v>5766.03</v>
      </c>
      <c r="AK114" s="2100"/>
      <c r="AL114" s="508"/>
      <c r="AM114" s="4590"/>
      <c r="AN114" s="611">
        <f t="shared" si="330"/>
        <v>0</v>
      </c>
      <c r="AO114" s="4589"/>
      <c r="AP114" s="517">
        <f t="shared" si="331"/>
        <v>5766.03</v>
      </c>
      <c r="AQ114" s="2100"/>
      <c r="AR114" s="508"/>
      <c r="AS114" s="4589"/>
      <c r="AT114" s="517">
        <f t="shared" si="322"/>
        <v>5766.03</v>
      </c>
      <c r="AU114" s="2100"/>
      <c r="AV114" s="508"/>
      <c r="AW114" s="4589"/>
      <c r="AX114" s="517">
        <f t="shared" si="323"/>
        <v>5766.03</v>
      </c>
      <c r="AY114" s="2100"/>
      <c r="AZ114" s="508"/>
      <c r="BA114" s="4590"/>
      <c r="BB114" s="611">
        <f t="shared" si="332"/>
        <v>0</v>
      </c>
      <c r="BC114" s="1208"/>
      <c r="BD114" s="1287">
        <f t="shared" si="333"/>
        <v>0</v>
      </c>
      <c r="BE114" s="606"/>
      <c r="BF114" s="517">
        <f t="shared" si="334"/>
        <v>5766.03</v>
      </c>
    </row>
    <row r="115" spans="2:81" s="1587" customFormat="1" ht="18.75" x14ac:dyDescent="0.25">
      <c r="B115" s="2105" t="s">
        <v>1138</v>
      </c>
      <c r="C115" s="2097" t="s">
        <v>1301</v>
      </c>
      <c r="D115" s="2098"/>
      <c r="E115" s="2099"/>
      <c r="F115" s="1331"/>
      <c r="G115" s="2100"/>
      <c r="H115" s="508"/>
      <c r="I115" s="4589"/>
      <c r="J115" s="517">
        <f t="shared" si="319"/>
        <v>0</v>
      </c>
      <c r="K115" s="2100"/>
      <c r="L115" s="508"/>
      <c r="M115" s="4590"/>
      <c r="N115" s="611">
        <f t="shared" si="325"/>
        <v>0</v>
      </c>
      <c r="O115" s="2100"/>
      <c r="P115" s="508">
        <v>62.56</v>
      </c>
      <c r="Q115" s="4589"/>
      <c r="R115" s="517">
        <f t="shared" si="320"/>
        <v>62.56</v>
      </c>
      <c r="S115" s="2100"/>
      <c r="T115" s="508"/>
      <c r="U115" s="4589"/>
      <c r="V115" s="517">
        <f t="shared" si="321"/>
        <v>62.56</v>
      </c>
      <c r="W115" s="2100"/>
      <c r="X115" s="508"/>
      <c r="Y115" s="4590"/>
      <c r="Z115" s="611">
        <f t="shared" si="326"/>
        <v>62.56</v>
      </c>
      <c r="AA115" s="4591"/>
      <c r="AB115" s="1287">
        <f t="shared" si="327"/>
        <v>62.56</v>
      </c>
      <c r="AC115" s="2100"/>
      <c r="AD115" s="508"/>
      <c r="AE115" s="4589"/>
      <c r="AF115" s="517">
        <f t="shared" si="328"/>
        <v>62.56</v>
      </c>
      <c r="AG115" s="2100"/>
      <c r="AH115" s="508"/>
      <c r="AI115" s="4589"/>
      <c r="AJ115" s="517">
        <f t="shared" si="329"/>
        <v>62.56</v>
      </c>
      <c r="AK115" s="2100"/>
      <c r="AL115" s="508"/>
      <c r="AM115" s="4590"/>
      <c r="AN115" s="611">
        <f t="shared" si="330"/>
        <v>0</v>
      </c>
      <c r="AO115" s="4589"/>
      <c r="AP115" s="517">
        <f t="shared" si="331"/>
        <v>62.56</v>
      </c>
      <c r="AQ115" s="2100"/>
      <c r="AR115" s="508"/>
      <c r="AS115" s="4589"/>
      <c r="AT115" s="517">
        <f t="shared" si="322"/>
        <v>62.56</v>
      </c>
      <c r="AU115" s="2100"/>
      <c r="AV115" s="508"/>
      <c r="AW115" s="4589"/>
      <c r="AX115" s="517">
        <f t="shared" si="323"/>
        <v>62.56</v>
      </c>
      <c r="AY115" s="2100"/>
      <c r="AZ115" s="508"/>
      <c r="BA115" s="4590"/>
      <c r="BB115" s="611">
        <f t="shared" si="332"/>
        <v>0</v>
      </c>
      <c r="BC115" s="1208"/>
      <c r="BD115" s="1287">
        <f t="shared" si="333"/>
        <v>0</v>
      </c>
      <c r="BE115" s="606"/>
      <c r="BF115" s="517">
        <f t="shared" si="334"/>
        <v>62.56</v>
      </c>
      <c r="BG115" s="1726"/>
      <c r="BH115" s="1726"/>
      <c r="BI115" s="1726"/>
      <c r="BJ115" s="1726"/>
      <c r="BK115" s="1726"/>
      <c r="BL115" s="1726"/>
      <c r="BM115" s="1726"/>
      <c r="BN115" s="1726"/>
      <c r="BO115" s="1726"/>
      <c r="BP115" s="1726"/>
      <c r="BQ115" s="1726"/>
      <c r="BR115" s="1726"/>
      <c r="BS115" s="1726"/>
      <c r="BT115" s="1726"/>
      <c r="BU115" s="1726"/>
      <c r="BV115" s="1726"/>
      <c r="BW115" s="1726"/>
      <c r="BX115" s="1726"/>
      <c r="BY115" s="1726"/>
      <c r="BZ115" s="1726"/>
      <c r="CA115" s="1726"/>
      <c r="CB115" s="1726"/>
      <c r="CC115" s="1726"/>
    </row>
    <row r="116" spans="2:81" s="1726" customFormat="1" ht="18.75" x14ac:dyDescent="0.25">
      <c r="B116" s="2105" t="s">
        <v>1138</v>
      </c>
      <c r="C116" s="2097" t="s">
        <v>1879</v>
      </c>
      <c r="D116" s="2098"/>
      <c r="E116" s="2099"/>
      <c r="F116" s="1331"/>
      <c r="G116" s="2100"/>
      <c r="H116" s="508"/>
      <c r="I116" s="4589"/>
      <c r="J116" s="517">
        <f t="shared" si="319"/>
        <v>0</v>
      </c>
      <c r="K116" s="2100"/>
      <c r="L116" s="508"/>
      <c r="M116" s="4590"/>
      <c r="N116" s="611">
        <f t="shared" si="325"/>
        <v>0</v>
      </c>
      <c r="O116" s="2100"/>
      <c r="P116" s="508"/>
      <c r="Q116" s="4589"/>
      <c r="R116" s="517">
        <f t="shared" si="320"/>
        <v>0</v>
      </c>
      <c r="S116" s="2100"/>
      <c r="T116" s="508"/>
      <c r="U116" s="4589"/>
      <c r="V116" s="517">
        <f t="shared" si="321"/>
        <v>0</v>
      </c>
      <c r="W116" s="2100"/>
      <c r="X116" s="508"/>
      <c r="Y116" s="4590"/>
      <c r="Z116" s="611">
        <f t="shared" si="326"/>
        <v>0</v>
      </c>
      <c r="AA116" s="4591"/>
      <c r="AB116" s="1287">
        <f t="shared" si="327"/>
        <v>0</v>
      </c>
      <c r="AC116" s="2100"/>
      <c r="AD116" s="508"/>
      <c r="AE116" s="4589"/>
      <c r="AF116" s="517">
        <f t="shared" si="328"/>
        <v>0</v>
      </c>
      <c r="AG116" s="2100"/>
      <c r="AH116" s="508"/>
      <c r="AI116" s="4589"/>
      <c r="AJ116" s="517">
        <f t="shared" si="329"/>
        <v>0</v>
      </c>
      <c r="AK116" s="2100"/>
      <c r="AL116" s="508">
        <v>65.459999999999994</v>
      </c>
      <c r="AM116" s="4590"/>
      <c r="AN116" s="611">
        <f t="shared" si="330"/>
        <v>65.459999999999994</v>
      </c>
      <c r="AO116" s="4589"/>
      <c r="AP116" s="517">
        <f t="shared" si="331"/>
        <v>65.459999999999994</v>
      </c>
      <c r="AQ116" s="2100"/>
      <c r="AR116" s="508"/>
      <c r="AS116" s="4589"/>
      <c r="AT116" s="517">
        <f t="shared" si="322"/>
        <v>65.459999999999994</v>
      </c>
      <c r="AU116" s="2100"/>
      <c r="AV116" s="508"/>
      <c r="AW116" s="4589"/>
      <c r="AX116" s="517">
        <f t="shared" si="323"/>
        <v>65.459999999999994</v>
      </c>
      <c r="AY116" s="2100"/>
      <c r="AZ116" s="508"/>
      <c r="BA116" s="4590"/>
      <c r="BB116" s="611">
        <f t="shared" si="332"/>
        <v>0</v>
      </c>
      <c r="BC116" s="1208"/>
      <c r="BD116" s="1287">
        <f t="shared" si="333"/>
        <v>65.459999999999994</v>
      </c>
      <c r="BE116" s="606"/>
      <c r="BF116" s="517">
        <f t="shared" si="334"/>
        <v>65.459999999999994</v>
      </c>
    </row>
    <row r="117" spans="2:81" ht="18.75" x14ac:dyDescent="0.25">
      <c r="B117" s="2104" t="s">
        <v>1138</v>
      </c>
      <c r="C117" s="2102" t="s">
        <v>1217</v>
      </c>
      <c r="D117" s="2098"/>
      <c r="E117" s="2099"/>
      <c r="F117" s="1331"/>
      <c r="G117" s="2100"/>
      <c r="H117" s="508"/>
      <c r="I117" s="4592"/>
      <c r="J117" s="517">
        <f t="shared" si="319"/>
        <v>0</v>
      </c>
      <c r="K117" s="2100"/>
      <c r="L117" s="508"/>
      <c r="M117" s="4593"/>
      <c r="N117" s="611">
        <f t="shared" si="325"/>
        <v>0</v>
      </c>
      <c r="O117" s="2100"/>
      <c r="P117" s="508"/>
      <c r="Q117" s="4592"/>
      <c r="R117" s="517">
        <f t="shared" si="320"/>
        <v>0</v>
      </c>
      <c r="S117" s="2100"/>
      <c r="T117" s="508"/>
      <c r="U117" s="4592"/>
      <c r="V117" s="517">
        <f t="shared" si="321"/>
        <v>0</v>
      </c>
      <c r="W117" s="2100"/>
      <c r="X117" s="508"/>
      <c r="Y117" s="4593"/>
      <c r="Z117" s="611">
        <f t="shared" si="326"/>
        <v>0</v>
      </c>
      <c r="AA117" s="4594"/>
      <c r="AB117" s="1287">
        <f t="shared" si="327"/>
        <v>0</v>
      </c>
      <c r="AC117" s="2100"/>
      <c r="AD117" s="508"/>
      <c r="AE117" s="4592"/>
      <c r="AF117" s="517">
        <f t="shared" si="328"/>
        <v>0</v>
      </c>
      <c r="AG117" s="2100"/>
      <c r="AH117" s="508"/>
      <c r="AI117" s="4592"/>
      <c r="AJ117" s="517">
        <f t="shared" si="329"/>
        <v>0</v>
      </c>
      <c r="AK117" s="2100"/>
      <c r="AL117" s="508"/>
      <c r="AM117" s="4593"/>
      <c r="AN117" s="611">
        <f t="shared" si="330"/>
        <v>0</v>
      </c>
      <c r="AO117" s="4592"/>
      <c r="AP117" s="517">
        <f t="shared" si="331"/>
        <v>0</v>
      </c>
      <c r="AQ117" s="2100"/>
      <c r="AR117" s="508"/>
      <c r="AS117" s="4592"/>
      <c r="AT117" s="517">
        <f t="shared" si="322"/>
        <v>0</v>
      </c>
      <c r="AU117" s="2100"/>
      <c r="AV117" s="508"/>
      <c r="AW117" s="4592"/>
      <c r="AX117" s="517">
        <f t="shared" si="323"/>
        <v>0</v>
      </c>
      <c r="AY117" s="2100"/>
      <c r="AZ117" s="508"/>
      <c r="BA117" s="4593"/>
      <c r="BB117" s="611">
        <f t="shared" si="332"/>
        <v>0</v>
      </c>
      <c r="BC117" s="1208"/>
      <c r="BD117" s="1287">
        <f t="shared" si="333"/>
        <v>0</v>
      </c>
      <c r="BE117" s="606"/>
      <c r="BF117" s="517">
        <f t="shared" si="334"/>
        <v>0</v>
      </c>
    </row>
    <row r="118" spans="2:81" s="570" customFormat="1" ht="18.75" x14ac:dyDescent="0.25">
      <c r="B118" s="2104" t="s">
        <v>1138</v>
      </c>
      <c r="C118" s="2102" t="s">
        <v>1887</v>
      </c>
      <c r="D118" s="2098"/>
      <c r="E118" s="1848"/>
      <c r="F118" s="1331"/>
      <c r="G118" s="497"/>
      <c r="H118" s="508"/>
      <c r="I118" s="4537"/>
      <c r="J118" s="517">
        <f t="shared" si="319"/>
        <v>0</v>
      </c>
      <c r="K118" s="497"/>
      <c r="L118" s="508"/>
      <c r="M118" s="4539"/>
      <c r="N118" s="611">
        <f t="shared" si="325"/>
        <v>0</v>
      </c>
      <c r="O118" s="2100"/>
      <c r="P118" s="508"/>
      <c r="Q118" s="4537"/>
      <c r="R118" s="517">
        <f t="shared" si="320"/>
        <v>0</v>
      </c>
      <c r="S118" s="2100"/>
      <c r="T118" s="508"/>
      <c r="U118" s="4537"/>
      <c r="V118" s="517">
        <f t="shared" si="321"/>
        <v>0</v>
      </c>
      <c r="W118" s="2100"/>
      <c r="X118" s="508"/>
      <c r="Y118" s="4539"/>
      <c r="Z118" s="611">
        <f t="shared" si="326"/>
        <v>0</v>
      </c>
      <c r="AA118" s="4542"/>
      <c r="AB118" s="1287">
        <f t="shared" si="327"/>
        <v>0</v>
      </c>
      <c r="AC118" s="2100"/>
      <c r="AD118" s="508"/>
      <c r="AE118" s="4537"/>
      <c r="AF118" s="517">
        <f t="shared" si="328"/>
        <v>0</v>
      </c>
      <c r="AG118" s="2100"/>
      <c r="AH118" s="508"/>
      <c r="AI118" s="4537"/>
      <c r="AJ118" s="517">
        <f t="shared" si="329"/>
        <v>0</v>
      </c>
      <c r="AK118" s="2100"/>
      <c r="AL118" s="508"/>
      <c r="AM118" s="4539"/>
      <c r="AN118" s="611">
        <f t="shared" si="330"/>
        <v>0</v>
      </c>
      <c r="AO118" s="4537"/>
      <c r="AP118" s="517">
        <f t="shared" si="331"/>
        <v>0</v>
      </c>
      <c r="AQ118" s="2100"/>
      <c r="AR118" s="508"/>
      <c r="AS118" s="4537"/>
      <c r="AT118" s="517">
        <f t="shared" si="322"/>
        <v>0</v>
      </c>
      <c r="AU118" s="2100"/>
      <c r="AV118" s="508"/>
      <c r="AW118" s="4537"/>
      <c r="AX118" s="517">
        <f t="shared" si="323"/>
        <v>0</v>
      </c>
      <c r="AY118" s="2100"/>
      <c r="AZ118" s="508"/>
      <c r="BA118" s="4539"/>
      <c r="BB118" s="611">
        <f t="shared" si="332"/>
        <v>0</v>
      </c>
      <c r="BC118" s="1208"/>
      <c r="BD118" s="1287">
        <f t="shared" si="333"/>
        <v>0</v>
      </c>
      <c r="BE118" s="606"/>
      <c r="BF118" s="517">
        <f t="shared" si="334"/>
        <v>0</v>
      </c>
      <c r="BG118" s="1726"/>
      <c r="BH118" s="1726"/>
      <c r="BI118" s="1726"/>
      <c r="BJ118" s="1726"/>
      <c r="BK118" s="1726"/>
      <c r="BL118" s="1726"/>
      <c r="BM118" s="1726"/>
      <c r="BN118" s="1726"/>
      <c r="BO118" s="1726"/>
      <c r="BP118" s="1726"/>
      <c r="BQ118" s="1726"/>
      <c r="BR118" s="1726"/>
      <c r="BS118" s="1726"/>
      <c r="BT118" s="1726"/>
      <c r="BU118" s="1726"/>
      <c r="BV118" s="1726"/>
      <c r="BW118" s="1726"/>
      <c r="BX118" s="1726"/>
      <c r="BY118" s="1726"/>
      <c r="BZ118" s="1726"/>
      <c r="CA118" s="1726"/>
      <c r="CB118" s="1726"/>
      <c r="CC118" s="1726"/>
    </row>
    <row r="119" spans="2:81" s="1726" customFormat="1" ht="18.75" x14ac:dyDescent="0.25">
      <c r="B119" s="2104" t="s">
        <v>1138</v>
      </c>
      <c r="C119" s="2102" t="s">
        <v>1204</v>
      </c>
      <c r="D119" s="2098"/>
      <c r="E119" s="1848"/>
      <c r="F119" s="1331"/>
      <c r="G119" s="497"/>
      <c r="H119" s="508"/>
      <c r="I119" s="4537"/>
      <c r="J119" s="517">
        <f t="shared" si="319"/>
        <v>0</v>
      </c>
      <c r="K119" s="497"/>
      <c r="L119" s="508"/>
      <c r="M119" s="4539"/>
      <c r="N119" s="611">
        <f t="shared" si="325"/>
        <v>0</v>
      </c>
      <c r="O119" s="2100"/>
      <c r="P119" s="508"/>
      <c r="Q119" s="4537"/>
      <c r="R119" s="517">
        <f t="shared" si="320"/>
        <v>0</v>
      </c>
      <c r="S119" s="2100"/>
      <c r="T119" s="508"/>
      <c r="U119" s="4537"/>
      <c r="V119" s="517">
        <f t="shared" si="321"/>
        <v>0</v>
      </c>
      <c r="W119" s="2100"/>
      <c r="X119" s="508">
        <v>378.53999999999996</v>
      </c>
      <c r="Y119" s="4539"/>
      <c r="Z119" s="611">
        <f t="shared" si="326"/>
        <v>378.53999999999996</v>
      </c>
      <c r="AA119" s="4542"/>
      <c r="AB119" s="1287">
        <f t="shared" si="327"/>
        <v>378.53999999999996</v>
      </c>
      <c r="AC119" s="2100"/>
      <c r="AD119" s="508"/>
      <c r="AE119" s="4537"/>
      <c r="AF119" s="517">
        <f t="shared" si="328"/>
        <v>378.53999999999996</v>
      </c>
      <c r="AG119" s="2100"/>
      <c r="AH119" s="508"/>
      <c r="AI119" s="4537"/>
      <c r="AJ119" s="517">
        <f t="shared" si="329"/>
        <v>378.53999999999996</v>
      </c>
      <c r="AK119" s="2100"/>
      <c r="AL119" s="508"/>
      <c r="AM119" s="4539"/>
      <c r="AN119" s="611">
        <f t="shared" si="330"/>
        <v>0</v>
      </c>
      <c r="AO119" s="4537"/>
      <c r="AP119" s="517">
        <f t="shared" si="331"/>
        <v>378.53999999999996</v>
      </c>
      <c r="AQ119" s="2100"/>
      <c r="AR119" s="508"/>
      <c r="AS119" s="4537"/>
      <c r="AT119" s="517">
        <f t="shared" si="322"/>
        <v>378.53999999999996</v>
      </c>
      <c r="AU119" s="2100"/>
      <c r="AV119" s="508"/>
      <c r="AW119" s="4537"/>
      <c r="AX119" s="517">
        <f t="shared" si="323"/>
        <v>378.53999999999996</v>
      </c>
      <c r="AY119" s="2100"/>
      <c r="AZ119" s="508"/>
      <c r="BA119" s="4539"/>
      <c r="BB119" s="611">
        <f t="shared" si="332"/>
        <v>0</v>
      </c>
      <c r="BC119" s="1208"/>
      <c r="BD119" s="1287">
        <f t="shared" si="333"/>
        <v>0</v>
      </c>
      <c r="BE119" s="606"/>
      <c r="BF119" s="517">
        <f t="shared" si="334"/>
        <v>378.53999999999996</v>
      </c>
    </row>
    <row r="120" spans="2:81" s="942" customFormat="1" ht="18.75" x14ac:dyDescent="0.25">
      <c r="B120" s="2104" t="s">
        <v>1138</v>
      </c>
      <c r="C120" s="2102" t="s">
        <v>1160</v>
      </c>
      <c r="D120" s="2098"/>
      <c r="E120" s="1848"/>
      <c r="F120" s="1331">
        <v>28.39</v>
      </c>
      <c r="G120" s="497"/>
      <c r="H120" s="508">
        <v>728.10000000000014</v>
      </c>
      <c r="I120" s="4537"/>
      <c r="J120" s="517">
        <f t="shared" si="319"/>
        <v>756.49000000000012</v>
      </c>
      <c r="K120" s="497"/>
      <c r="L120" s="508"/>
      <c r="M120" s="4539"/>
      <c r="N120" s="611">
        <f t="shared" si="325"/>
        <v>756.49000000000012</v>
      </c>
      <c r="O120" s="497"/>
      <c r="P120" s="508">
        <v>219.89000000000001</v>
      </c>
      <c r="Q120" s="4537"/>
      <c r="R120" s="517">
        <f t="shared" si="320"/>
        <v>976.38000000000011</v>
      </c>
      <c r="S120" s="497"/>
      <c r="T120" s="508"/>
      <c r="U120" s="4537"/>
      <c r="V120" s="517">
        <f t="shared" si="321"/>
        <v>976.38000000000011</v>
      </c>
      <c r="W120" s="497"/>
      <c r="X120" s="508">
        <v>1809.4099999999994</v>
      </c>
      <c r="Y120" s="4539"/>
      <c r="Z120" s="611">
        <f t="shared" si="326"/>
        <v>2029.2999999999995</v>
      </c>
      <c r="AA120" s="4542"/>
      <c r="AB120" s="1287">
        <f t="shared" si="327"/>
        <v>2785.7899999999995</v>
      </c>
      <c r="AC120" s="497"/>
      <c r="AD120" s="508"/>
      <c r="AE120" s="4537"/>
      <c r="AF120" s="517">
        <f t="shared" si="328"/>
        <v>2785.7899999999995</v>
      </c>
      <c r="AG120" s="497"/>
      <c r="AH120" s="508">
        <v>2209.5000000000005</v>
      </c>
      <c r="AI120" s="4537"/>
      <c r="AJ120" s="517">
        <f t="shared" si="329"/>
        <v>4995.29</v>
      </c>
      <c r="AK120" s="497"/>
      <c r="AL120" s="508">
        <v>61.26</v>
      </c>
      <c r="AM120" s="4539"/>
      <c r="AN120" s="611">
        <f t="shared" si="330"/>
        <v>2270.7600000000007</v>
      </c>
      <c r="AO120" s="4537"/>
      <c r="AP120" s="517">
        <f t="shared" si="331"/>
        <v>5056.55</v>
      </c>
      <c r="AQ120" s="497"/>
      <c r="AR120" s="508"/>
      <c r="AS120" s="4537"/>
      <c r="AT120" s="517">
        <f t="shared" si="322"/>
        <v>5056.55</v>
      </c>
      <c r="AU120" s="497"/>
      <c r="AV120" s="508"/>
      <c r="AW120" s="4537"/>
      <c r="AX120" s="517">
        <f t="shared" si="323"/>
        <v>5056.55</v>
      </c>
      <c r="AY120" s="497"/>
      <c r="AZ120" s="508"/>
      <c r="BA120" s="4539"/>
      <c r="BB120" s="611">
        <f t="shared" si="332"/>
        <v>0</v>
      </c>
      <c r="BC120" s="1208"/>
      <c r="BD120" s="1287">
        <f t="shared" si="333"/>
        <v>2270.7600000000007</v>
      </c>
      <c r="BE120" s="606"/>
      <c r="BF120" s="517">
        <f t="shared" si="334"/>
        <v>5056.55</v>
      </c>
      <c r="BG120" s="1726"/>
      <c r="BH120" s="1726"/>
      <c r="BI120" s="1726"/>
      <c r="BJ120" s="1726"/>
      <c r="BK120" s="1726"/>
      <c r="BL120" s="1726"/>
      <c r="BM120" s="1726"/>
      <c r="BN120" s="1726"/>
      <c r="BO120" s="1726"/>
      <c r="BP120" s="1726"/>
      <c r="BQ120" s="1726"/>
      <c r="BR120" s="1726"/>
      <c r="BS120" s="1726"/>
      <c r="BT120" s="1726"/>
      <c r="BU120" s="1726"/>
      <c r="BV120" s="1726"/>
      <c r="BW120" s="1726"/>
      <c r="BX120" s="1726"/>
      <c r="BY120" s="1726"/>
      <c r="BZ120" s="1726"/>
      <c r="CA120" s="1726"/>
      <c r="CB120" s="1726"/>
      <c r="CC120" s="1726"/>
    </row>
    <row r="121" spans="2:81" s="570" customFormat="1" ht="18.75" x14ac:dyDescent="0.25">
      <c r="B121" s="2104" t="s">
        <v>1138</v>
      </c>
      <c r="C121" s="2102" t="s">
        <v>1209</v>
      </c>
      <c r="D121" s="2098"/>
      <c r="E121" s="1848"/>
      <c r="F121" s="1331">
        <v>16.37</v>
      </c>
      <c r="G121" s="497"/>
      <c r="H121" s="508"/>
      <c r="I121" s="4537"/>
      <c r="J121" s="517">
        <f t="shared" si="319"/>
        <v>16.37</v>
      </c>
      <c r="K121" s="497"/>
      <c r="L121" s="508"/>
      <c r="M121" s="4539"/>
      <c r="N121" s="611">
        <f t="shared" si="325"/>
        <v>16.37</v>
      </c>
      <c r="O121" s="497"/>
      <c r="P121" s="508">
        <v>1481.59</v>
      </c>
      <c r="Q121" s="4537"/>
      <c r="R121" s="517">
        <f t="shared" si="320"/>
        <v>1497.9599999999998</v>
      </c>
      <c r="S121" s="497"/>
      <c r="T121" s="508"/>
      <c r="U121" s="4537"/>
      <c r="V121" s="517">
        <f t="shared" si="321"/>
        <v>1497.9599999999998</v>
      </c>
      <c r="W121" s="497"/>
      <c r="X121" s="508">
        <v>314.60000000000002</v>
      </c>
      <c r="Y121" s="4539"/>
      <c r="Z121" s="611">
        <f t="shared" si="326"/>
        <v>1796.19</v>
      </c>
      <c r="AA121" s="4542"/>
      <c r="AB121" s="1287">
        <f t="shared" si="327"/>
        <v>1812.56</v>
      </c>
      <c r="AC121" s="497"/>
      <c r="AD121" s="508"/>
      <c r="AE121" s="4537"/>
      <c r="AF121" s="517">
        <f t="shared" si="328"/>
        <v>1812.56</v>
      </c>
      <c r="AG121" s="497"/>
      <c r="AH121" s="508">
        <v>39.119999999999997</v>
      </c>
      <c r="AI121" s="4537"/>
      <c r="AJ121" s="517">
        <f t="shared" si="329"/>
        <v>1851.6799999999998</v>
      </c>
      <c r="AK121" s="497"/>
      <c r="AL121" s="508">
        <v>443.65</v>
      </c>
      <c r="AM121" s="4539"/>
      <c r="AN121" s="611">
        <f t="shared" si="330"/>
        <v>482.77</v>
      </c>
      <c r="AO121" s="4537"/>
      <c r="AP121" s="517">
        <f t="shared" si="331"/>
        <v>2295.33</v>
      </c>
      <c r="AQ121" s="497"/>
      <c r="AR121" s="508">
        <v>32.770000000000003</v>
      </c>
      <c r="AS121" s="4537"/>
      <c r="AT121" s="517">
        <f t="shared" si="322"/>
        <v>2328.1</v>
      </c>
      <c r="AU121" s="497"/>
      <c r="AV121" s="508">
        <v>122.06</v>
      </c>
      <c r="AW121" s="4537"/>
      <c r="AX121" s="517">
        <f t="shared" si="323"/>
        <v>2450.16</v>
      </c>
      <c r="AY121" s="497"/>
      <c r="AZ121" s="508"/>
      <c r="BA121" s="4539"/>
      <c r="BB121" s="611">
        <f t="shared" si="332"/>
        <v>154.83000000000001</v>
      </c>
      <c r="BC121" s="1208"/>
      <c r="BD121" s="1287">
        <f t="shared" si="333"/>
        <v>637.6</v>
      </c>
      <c r="BE121" s="606"/>
      <c r="BF121" s="517">
        <f t="shared" si="334"/>
        <v>2450.16</v>
      </c>
      <c r="BG121" s="1726"/>
      <c r="BH121" s="1726"/>
      <c r="BI121" s="1726"/>
      <c r="BJ121" s="1726"/>
      <c r="BK121" s="1726"/>
      <c r="BL121" s="1726"/>
      <c r="BM121" s="1726"/>
      <c r="BN121" s="1726"/>
      <c r="BO121" s="1726"/>
      <c r="BP121" s="1726"/>
      <c r="BQ121" s="1726"/>
      <c r="BR121" s="1726"/>
      <c r="BS121" s="1726"/>
      <c r="BT121" s="1726"/>
      <c r="BU121" s="1726"/>
      <c r="BV121" s="1726"/>
      <c r="BW121" s="1726"/>
      <c r="BX121" s="1726"/>
      <c r="BY121" s="1726"/>
      <c r="BZ121" s="1726"/>
      <c r="CA121" s="1726"/>
      <c r="CB121" s="1726"/>
      <c r="CC121" s="1726"/>
    </row>
    <row r="122" spans="2:81" s="1559" customFormat="1" ht="18.75" x14ac:dyDescent="0.25">
      <c r="B122" s="2104" t="s">
        <v>1138</v>
      </c>
      <c r="C122" s="2102" t="s">
        <v>1327</v>
      </c>
      <c r="D122" s="2103"/>
      <c r="E122" s="1848"/>
      <c r="F122" s="1331"/>
      <c r="G122" s="497"/>
      <c r="H122" s="508"/>
      <c r="I122" s="4537"/>
      <c r="J122" s="517">
        <f t="shared" si="319"/>
        <v>0</v>
      </c>
      <c r="K122" s="497"/>
      <c r="L122" s="508">
        <v>24.19</v>
      </c>
      <c r="M122" s="4539"/>
      <c r="N122" s="611">
        <f t="shared" si="325"/>
        <v>24.19</v>
      </c>
      <c r="O122" s="497"/>
      <c r="P122" s="508"/>
      <c r="Q122" s="4537"/>
      <c r="R122" s="517">
        <f t="shared" si="320"/>
        <v>24.19</v>
      </c>
      <c r="S122" s="497"/>
      <c r="T122" s="508"/>
      <c r="U122" s="4537"/>
      <c r="V122" s="517">
        <f t="shared" si="321"/>
        <v>24.19</v>
      </c>
      <c r="W122" s="497"/>
      <c r="X122" s="508"/>
      <c r="Y122" s="4539"/>
      <c r="Z122" s="611">
        <f t="shared" si="326"/>
        <v>0</v>
      </c>
      <c r="AA122" s="4542"/>
      <c r="AB122" s="1287">
        <f t="shared" si="327"/>
        <v>24.19</v>
      </c>
      <c r="AC122" s="497"/>
      <c r="AD122" s="508"/>
      <c r="AE122" s="4537"/>
      <c r="AF122" s="517">
        <f t="shared" si="328"/>
        <v>24.19</v>
      </c>
      <c r="AG122" s="497"/>
      <c r="AH122" s="508"/>
      <c r="AI122" s="4537"/>
      <c r="AJ122" s="517">
        <f t="shared" si="329"/>
        <v>24.19</v>
      </c>
      <c r="AK122" s="497"/>
      <c r="AL122" s="508"/>
      <c r="AM122" s="4539"/>
      <c r="AN122" s="611">
        <f t="shared" si="330"/>
        <v>0</v>
      </c>
      <c r="AO122" s="4537"/>
      <c r="AP122" s="517">
        <f t="shared" si="331"/>
        <v>24.19</v>
      </c>
      <c r="AQ122" s="497"/>
      <c r="AR122" s="508"/>
      <c r="AS122" s="4537"/>
      <c r="AT122" s="517">
        <f t="shared" si="322"/>
        <v>24.19</v>
      </c>
      <c r="AU122" s="497"/>
      <c r="AV122" s="508"/>
      <c r="AW122" s="4537"/>
      <c r="AX122" s="517">
        <f t="shared" si="323"/>
        <v>24.19</v>
      </c>
      <c r="AY122" s="497"/>
      <c r="AZ122" s="508">
        <v>32.53</v>
      </c>
      <c r="BA122" s="4539"/>
      <c r="BB122" s="611">
        <f t="shared" si="332"/>
        <v>32.53</v>
      </c>
      <c r="BC122" s="1208"/>
      <c r="BD122" s="1287">
        <f t="shared" si="333"/>
        <v>32.53</v>
      </c>
      <c r="BE122" s="606"/>
      <c r="BF122" s="517">
        <f t="shared" si="334"/>
        <v>56.72</v>
      </c>
      <c r="BG122" s="1726"/>
      <c r="BH122" s="1726"/>
      <c r="BI122" s="1726"/>
      <c r="BJ122" s="1726"/>
      <c r="BK122" s="1726"/>
      <c r="BL122" s="1726"/>
      <c r="BM122" s="1726"/>
      <c r="BN122" s="1726"/>
      <c r="BO122" s="1726"/>
      <c r="BP122" s="1726"/>
      <c r="BQ122" s="1726"/>
      <c r="BR122" s="1726"/>
      <c r="BS122" s="1726"/>
      <c r="BT122" s="1726"/>
      <c r="BU122" s="1726"/>
      <c r="BV122" s="1726"/>
      <c r="BW122" s="1726"/>
      <c r="BX122" s="1726"/>
      <c r="BY122" s="1726"/>
      <c r="BZ122" s="1726"/>
      <c r="CA122" s="1726"/>
      <c r="CB122" s="1726"/>
      <c r="CC122" s="1726"/>
    </row>
    <row r="123" spans="2:81" ht="18.75" x14ac:dyDescent="0.25">
      <c r="B123" s="2104" t="s">
        <v>1138</v>
      </c>
      <c r="C123" s="2102" t="s">
        <v>1880</v>
      </c>
      <c r="D123" s="2098"/>
      <c r="E123" s="2099"/>
      <c r="F123" s="1331"/>
      <c r="G123" s="2100"/>
      <c r="H123" s="508"/>
      <c r="I123" s="4586"/>
      <c r="J123" s="517">
        <f t="shared" si="319"/>
        <v>0</v>
      </c>
      <c r="K123" s="2100"/>
      <c r="L123" s="508"/>
      <c r="M123" s="4587"/>
      <c r="N123" s="611">
        <f t="shared" si="325"/>
        <v>0</v>
      </c>
      <c r="O123" s="497"/>
      <c r="P123" s="508">
        <v>507.42</v>
      </c>
      <c r="Q123" s="4586"/>
      <c r="R123" s="517">
        <f t="shared" si="320"/>
        <v>507.42</v>
      </c>
      <c r="S123" s="497"/>
      <c r="T123" s="508">
        <v>177.98000000000002</v>
      </c>
      <c r="U123" s="4586"/>
      <c r="V123" s="517">
        <f t="shared" si="321"/>
        <v>685.40000000000009</v>
      </c>
      <c r="W123" s="497"/>
      <c r="X123" s="508">
        <v>443.14</v>
      </c>
      <c r="Y123" s="4587"/>
      <c r="Z123" s="611">
        <f t="shared" si="326"/>
        <v>1128.54</v>
      </c>
      <c r="AA123" s="4588"/>
      <c r="AB123" s="1287">
        <f t="shared" si="327"/>
        <v>1128.54</v>
      </c>
      <c r="AC123" s="497"/>
      <c r="AD123" s="508"/>
      <c r="AE123" s="4586"/>
      <c r="AF123" s="517">
        <f t="shared" si="328"/>
        <v>1128.54</v>
      </c>
      <c r="AG123" s="497"/>
      <c r="AH123" s="508">
        <v>191.86</v>
      </c>
      <c r="AI123" s="4586"/>
      <c r="AJ123" s="517">
        <f t="shared" si="329"/>
        <v>1320.4</v>
      </c>
      <c r="AK123" s="497"/>
      <c r="AL123" s="508">
        <v>256.85000000000002</v>
      </c>
      <c r="AM123" s="4587"/>
      <c r="AN123" s="611">
        <f t="shared" si="330"/>
        <v>448.71000000000004</v>
      </c>
      <c r="AO123" s="4586"/>
      <c r="AP123" s="517">
        <f t="shared" si="331"/>
        <v>1577.25</v>
      </c>
      <c r="AQ123" s="497"/>
      <c r="AR123" s="508">
        <v>63.92</v>
      </c>
      <c r="AS123" s="4586"/>
      <c r="AT123" s="517">
        <f t="shared" si="322"/>
        <v>1641.17</v>
      </c>
      <c r="AU123" s="497"/>
      <c r="AV123" s="508"/>
      <c r="AW123" s="4586"/>
      <c r="AX123" s="517">
        <f t="shared" si="323"/>
        <v>1641.17</v>
      </c>
      <c r="AY123" s="497"/>
      <c r="AZ123" s="508"/>
      <c r="BA123" s="4587"/>
      <c r="BB123" s="611">
        <f t="shared" si="332"/>
        <v>63.92</v>
      </c>
      <c r="BC123" s="1208"/>
      <c r="BD123" s="1287">
        <f t="shared" si="333"/>
        <v>512.63</v>
      </c>
      <c r="BE123" s="606"/>
      <c r="BF123" s="517">
        <f t="shared" si="334"/>
        <v>1641.17</v>
      </c>
    </row>
    <row r="124" spans="2:81" s="4515" customFormat="1" ht="18.75" x14ac:dyDescent="0.25">
      <c r="B124" s="2104" t="s">
        <v>1139</v>
      </c>
      <c r="C124" s="2102" t="s">
        <v>1327</v>
      </c>
      <c r="D124" s="2098"/>
      <c r="E124" s="2099"/>
      <c r="F124" s="1331"/>
      <c r="G124" s="2100"/>
      <c r="H124" s="508"/>
      <c r="I124" s="4589"/>
      <c r="J124" s="517">
        <f t="shared" si="319"/>
        <v>0</v>
      </c>
      <c r="K124" s="2100"/>
      <c r="L124" s="508"/>
      <c r="M124" s="4590"/>
      <c r="N124" s="611">
        <f t="shared" si="325"/>
        <v>0</v>
      </c>
      <c r="O124" s="497"/>
      <c r="P124" s="508"/>
      <c r="Q124" s="4589"/>
      <c r="R124" s="517">
        <f t="shared" si="320"/>
        <v>0</v>
      </c>
      <c r="S124" s="497"/>
      <c r="T124" s="508"/>
      <c r="U124" s="4589"/>
      <c r="V124" s="517">
        <f t="shared" si="321"/>
        <v>0</v>
      </c>
      <c r="W124" s="497"/>
      <c r="X124" s="508"/>
      <c r="Y124" s="4590"/>
      <c r="Z124" s="611">
        <f t="shared" si="326"/>
        <v>0</v>
      </c>
      <c r="AA124" s="4591"/>
      <c r="AB124" s="1287">
        <f t="shared" si="327"/>
        <v>0</v>
      </c>
      <c r="AC124" s="497"/>
      <c r="AD124" s="508"/>
      <c r="AE124" s="4589"/>
      <c r="AF124" s="517">
        <f t="shared" si="328"/>
        <v>0</v>
      </c>
      <c r="AG124" s="497"/>
      <c r="AH124" s="508"/>
      <c r="AI124" s="4589"/>
      <c r="AJ124" s="517">
        <f t="shared" si="329"/>
        <v>0</v>
      </c>
      <c r="AK124" s="497"/>
      <c r="AL124" s="508"/>
      <c r="AM124" s="4590"/>
      <c r="AN124" s="611">
        <f t="shared" si="330"/>
        <v>0</v>
      </c>
      <c r="AO124" s="4589"/>
      <c r="AP124" s="517">
        <f t="shared" si="331"/>
        <v>0</v>
      </c>
      <c r="AQ124" s="497"/>
      <c r="AR124" s="508"/>
      <c r="AS124" s="4589"/>
      <c r="AT124" s="517">
        <f t="shared" si="322"/>
        <v>0</v>
      </c>
      <c r="AU124" s="497"/>
      <c r="AV124" s="508"/>
      <c r="AW124" s="4589"/>
      <c r="AX124" s="517">
        <f t="shared" si="323"/>
        <v>0</v>
      </c>
      <c r="AY124" s="497"/>
      <c r="AZ124" s="508">
        <v>59.12</v>
      </c>
      <c r="BA124" s="4590"/>
      <c r="BB124" s="611">
        <f t="shared" si="332"/>
        <v>59.12</v>
      </c>
      <c r="BC124" s="1208"/>
      <c r="BD124" s="1287">
        <f t="shared" si="333"/>
        <v>59.12</v>
      </c>
      <c r="BE124" s="606"/>
      <c r="BF124" s="517">
        <f t="shared" si="334"/>
        <v>59.12</v>
      </c>
    </row>
    <row r="125" spans="2:81" ht="18.75" x14ac:dyDescent="0.25">
      <c r="B125" s="2104" t="s">
        <v>1139</v>
      </c>
      <c r="C125" s="2102" t="s">
        <v>1159</v>
      </c>
      <c r="D125" s="2098"/>
      <c r="E125" s="2099"/>
      <c r="F125" s="1331"/>
      <c r="G125" s="2100"/>
      <c r="H125" s="508">
        <v>28.29</v>
      </c>
      <c r="I125" s="4589"/>
      <c r="J125" s="517">
        <f t="shared" si="319"/>
        <v>28.29</v>
      </c>
      <c r="K125" s="2100"/>
      <c r="L125" s="508"/>
      <c r="M125" s="4590"/>
      <c r="N125" s="611">
        <f t="shared" si="325"/>
        <v>28.29</v>
      </c>
      <c r="O125" s="2100"/>
      <c r="P125" s="508">
        <v>442.80000000000007</v>
      </c>
      <c r="Q125" s="4589"/>
      <c r="R125" s="517">
        <f t="shared" si="320"/>
        <v>471.09000000000009</v>
      </c>
      <c r="S125" s="2100"/>
      <c r="T125" s="508">
        <v>187.26</v>
      </c>
      <c r="U125" s="4589"/>
      <c r="V125" s="517">
        <f t="shared" si="321"/>
        <v>658.35000000000014</v>
      </c>
      <c r="W125" s="2100"/>
      <c r="X125" s="508">
        <v>334.22999999999996</v>
      </c>
      <c r="Y125" s="4590"/>
      <c r="Z125" s="611">
        <f t="shared" si="326"/>
        <v>964.29</v>
      </c>
      <c r="AA125" s="4591"/>
      <c r="AB125" s="1287">
        <f t="shared" si="327"/>
        <v>992.57999999999993</v>
      </c>
      <c r="AC125" s="2100"/>
      <c r="AD125" s="508">
        <v>1442.28</v>
      </c>
      <c r="AE125" s="4589"/>
      <c r="AF125" s="517">
        <f t="shared" si="328"/>
        <v>2434.8599999999997</v>
      </c>
      <c r="AG125" s="2100"/>
      <c r="AH125" s="508"/>
      <c r="AI125" s="4589"/>
      <c r="AJ125" s="517">
        <f t="shared" si="329"/>
        <v>2434.8599999999997</v>
      </c>
      <c r="AK125" s="2100"/>
      <c r="AL125" s="508"/>
      <c r="AM125" s="4590"/>
      <c r="AN125" s="611">
        <f t="shared" si="330"/>
        <v>1442.28</v>
      </c>
      <c r="AO125" s="4589"/>
      <c r="AP125" s="517">
        <f t="shared" si="331"/>
        <v>2434.8599999999997</v>
      </c>
      <c r="AQ125" s="2100"/>
      <c r="AR125" s="508"/>
      <c r="AS125" s="4589"/>
      <c r="AT125" s="517">
        <f t="shared" si="322"/>
        <v>2434.8599999999997</v>
      </c>
      <c r="AU125" s="2100"/>
      <c r="AV125" s="508">
        <v>1347.88</v>
      </c>
      <c r="AW125" s="4589"/>
      <c r="AX125" s="517">
        <f t="shared" si="323"/>
        <v>3782.74</v>
      </c>
      <c r="AY125" s="2100"/>
      <c r="AZ125" s="508">
        <v>307.64</v>
      </c>
      <c r="BA125" s="4590"/>
      <c r="BB125" s="611">
        <f t="shared" si="332"/>
        <v>1655.52</v>
      </c>
      <c r="BC125" s="1208"/>
      <c r="BD125" s="1287">
        <f t="shared" si="333"/>
        <v>3097.8</v>
      </c>
      <c r="BE125" s="606"/>
      <c r="BF125" s="517">
        <f t="shared" si="334"/>
        <v>4090.38</v>
      </c>
    </row>
    <row r="126" spans="2:81" s="4534" customFormat="1" ht="18.75" x14ac:dyDescent="0.25">
      <c r="B126" s="2104" t="s">
        <v>1139</v>
      </c>
      <c r="C126" s="2102" t="s">
        <v>1878</v>
      </c>
      <c r="D126" s="2070">
        <v>0</v>
      </c>
      <c r="E126" s="2070">
        <v>0</v>
      </c>
      <c r="F126" s="2070"/>
      <c r="G126" s="2070">
        <v>0</v>
      </c>
      <c r="H126" s="2070"/>
      <c r="I126" s="4598"/>
      <c r="J126" s="517">
        <f t="shared" si="319"/>
        <v>0</v>
      </c>
      <c r="K126" s="2070">
        <v>0</v>
      </c>
      <c r="L126" s="2070"/>
      <c r="M126" s="2070">
        <v>0</v>
      </c>
      <c r="N126" s="611">
        <f t="shared" si="325"/>
        <v>0</v>
      </c>
      <c r="O126" s="2070">
        <v>0</v>
      </c>
      <c r="P126" s="2070"/>
      <c r="Q126" s="2070">
        <v>0</v>
      </c>
      <c r="R126" s="517">
        <f t="shared" si="320"/>
        <v>0</v>
      </c>
      <c r="S126" s="2070">
        <v>0</v>
      </c>
      <c r="T126" s="2070">
        <v>987.4</v>
      </c>
      <c r="U126" s="2070">
        <v>0</v>
      </c>
      <c r="V126" s="517">
        <f t="shared" si="321"/>
        <v>987.4</v>
      </c>
      <c r="W126" s="2070">
        <v>0</v>
      </c>
      <c r="X126" s="2070">
        <f>1010.18+316.1</f>
        <v>1326.28</v>
      </c>
      <c r="Y126" s="2070">
        <v>0</v>
      </c>
      <c r="Z126" s="611">
        <f t="shared" si="326"/>
        <v>2313.6799999999998</v>
      </c>
      <c r="AA126" s="2070">
        <v>0</v>
      </c>
      <c r="AB126" s="1287">
        <f t="shared" si="327"/>
        <v>2313.6799999999998</v>
      </c>
      <c r="AC126" s="2070">
        <v>0</v>
      </c>
      <c r="AD126" s="4597">
        <v>1082.58</v>
      </c>
      <c r="AE126" s="2070">
        <v>0</v>
      </c>
      <c r="AF126" s="517">
        <f t="shared" si="328"/>
        <v>3396.2599999999998</v>
      </c>
      <c r="AG126" s="2070">
        <v>0</v>
      </c>
      <c r="AH126" s="2070">
        <v>63.6</v>
      </c>
      <c r="AI126" s="2070">
        <v>0</v>
      </c>
      <c r="AJ126" s="517">
        <f t="shared" si="329"/>
        <v>3459.8599999999997</v>
      </c>
      <c r="AK126" s="2070">
        <v>0</v>
      </c>
      <c r="AL126" s="2070"/>
      <c r="AM126" s="2070">
        <v>0</v>
      </c>
      <c r="AN126" s="611">
        <f t="shared" si="330"/>
        <v>1146.1799999999998</v>
      </c>
      <c r="AO126" s="2070">
        <v>0</v>
      </c>
      <c r="AP126" s="517">
        <f t="shared" si="331"/>
        <v>3459.8599999999997</v>
      </c>
      <c r="AQ126" s="2070">
        <v>0</v>
      </c>
      <c r="AR126" s="2070">
        <f>1262.62+2624.46</f>
        <v>3887.08</v>
      </c>
      <c r="AS126" s="2070">
        <v>0</v>
      </c>
      <c r="AT126" s="517">
        <f t="shared" si="322"/>
        <v>7346.94</v>
      </c>
      <c r="AU126" s="2070">
        <v>0</v>
      </c>
      <c r="AV126" s="2070">
        <v>613.34</v>
      </c>
      <c r="AW126" s="2070">
        <v>0</v>
      </c>
      <c r="AX126" s="517">
        <f t="shared" si="323"/>
        <v>7960.28</v>
      </c>
      <c r="AY126" s="2070">
        <v>0</v>
      </c>
      <c r="AZ126" s="4597">
        <v>1292.46</v>
      </c>
      <c r="BA126" s="2070">
        <v>0</v>
      </c>
      <c r="BB126" s="611">
        <f t="shared" si="332"/>
        <v>5792.88</v>
      </c>
      <c r="BC126" s="1208"/>
      <c r="BD126" s="1287">
        <f t="shared" si="333"/>
        <v>6939.0599999999995</v>
      </c>
      <c r="BE126" s="606"/>
      <c r="BF126" s="517">
        <f t="shared" si="334"/>
        <v>9252.74</v>
      </c>
    </row>
    <row r="127" spans="2:81" s="1342" customFormat="1" ht="18.75" x14ac:dyDescent="0.25">
      <c r="B127" s="2104" t="s">
        <v>1139</v>
      </c>
      <c r="C127" s="2102" t="s">
        <v>1208</v>
      </c>
      <c r="D127" s="2103"/>
      <c r="E127" s="2099"/>
      <c r="F127" s="1331"/>
      <c r="G127" s="2100"/>
      <c r="H127" s="508"/>
      <c r="I127" s="4589"/>
      <c r="J127" s="517">
        <f t="shared" si="319"/>
        <v>0</v>
      </c>
      <c r="K127" s="2100"/>
      <c r="L127" s="508"/>
      <c r="M127" s="4590"/>
      <c r="N127" s="611">
        <f t="shared" si="325"/>
        <v>0</v>
      </c>
      <c r="O127" s="2100"/>
      <c r="P127" s="508"/>
      <c r="Q127" s="4589"/>
      <c r="R127" s="517">
        <f t="shared" si="320"/>
        <v>0</v>
      </c>
      <c r="S127" s="2100"/>
      <c r="T127" s="508">
        <v>443.86</v>
      </c>
      <c r="U127" s="4589"/>
      <c r="V127" s="517">
        <f t="shared" si="321"/>
        <v>443.86</v>
      </c>
      <c r="W127" s="2100"/>
      <c r="X127" s="508"/>
      <c r="Y127" s="4590"/>
      <c r="Z127" s="611">
        <f t="shared" si="326"/>
        <v>443.86</v>
      </c>
      <c r="AA127" s="4591"/>
      <c r="AB127" s="1287">
        <f t="shared" si="327"/>
        <v>443.86</v>
      </c>
      <c r="AC127" s="2100"/>
      <c r="AD127" s="508">
        <v>1386.82</v>
      </c>
      <c r="AE127" s="4589"/>
      <c r="AF127" s="517">
        <f t="shared" si="328"/>
        <v>1830.6799999999998</v>
      </c>
      <c r="AG127" s="2100"/>
      <c r="AH127" s="508"/>
      <c r="AI127" s="4589"/>
      <c r="AJ127" s="517">
        <f t="shared" si="329"/>
        <v>1830.6799999999998</v>
      </c>
      <c r="AK127" s="2100"/>
      <c r="AL127" s="508"/>
      <c r="AM127" s="4590"/>
      <c r="AN127" s="611">
        <f t="shared" si="330"/>
        <v>1386.82</v>
      </c>
      <c r="AO127" s="4589"/>
      <c r="AP127" s="517">
        <f t="shared" si="331"/>
        <v>1830.6799999999998</v>
      </c>
      <c r="AQ127" s="2100"/>
      <c r="AR127" s="508"/>
      <c r="AS127" s="4589"/>
      <c r="AT127" s="517">
        <f t="shared" si="322"/>
        <v>1830.6799999999998</v>
      </c>
      <c r="AU127" s="2100"/>
      <c r="AV127" s="508"/>
      <c r="AW127" s="4589"/>
      <c r="AX127" s="517">
        <f t="shared" si="323"/>
        <v>1830.6799999999998</v>
      </c>
      <c r="AY127" s="2100"/>
      <c r="AZ127" s="508">
        <v>1064.78</v>
      </c>
      <c r="BA127" s="4590"/>
      <c r="BB127" s="611">
        <f t="shared" si="332"/>
        <v>1064.78</v>
      </c>
      <c r="BC127" s="1208"/>
      <c r="BD127" s="1287">
        <f t="shared" si="333"/>
        <v>2451.6</v>
      </c>
      <c r="BE127" s="606"/>
      <c r="BF127" s="517">
        <f t="shared" si="334"/>
        <v>2895.46</v>
      </c>
      <c r="BG127" s="1726"/>
      <c r="BH127" s="1726"/>
      <c r="BI127" s="1726"/>
      <c r="BJ127" s="1726"/>
      <c r="BK127" s="1726"/>
      <c r="BL127" s="1726"/>
      <c r="BM127" s="1726"/>
      <c r="BN127" s="1726"/>
      <c r="BO127" s="1726"/>
      <c r="BP127" s="1726"/>
      <c r="BQ127" s="1726"/>
      <c r="BR127" s="1726"/>
      <c r="BS127" s="1726"/>
      <c r="BT127" s="1726"/>
      <c r="BU127" s="1726"/>
      <c r="BV127" s="1726"/>
      <c r="BW127" s="1726"/>
      <c r="BX127" s="1726"/>
      <c r="BY127" s="1726"/>
      <c r="BZ127" s="1726"/>
      <c r="CA127" s="1726"/>
      <c r="CB127" s="1726"/>
      <c r="CC127" s="1726"/>
    </row>
    <row r="128" spans="2:81" s="1559" customFormat="1" ht="18.75" x14ac:dyDescent="0.25">
      <c r="B128" s="2104" t="s">
        <v>1139</v>
      </c>
      <c r="C128" s="2102" t="s">
        <v>1408</v>
      </c>
      <c r="D128" s="2098"/>
      <c r="E128" s="2099"/>
      <c r="F128" s="1331"/>
      <c r="G128" s="2100"/>
      <c r="H128" s="508"/>
      <c r="I128" s="4589"/>
      <c r="J128" s="517">
        <f t="shared" si="319"/>
        <v>0</v>
      </c>
      <c r="K128" s="2100"/>
      <c r="L128" s="508">
        <v>312.64000000000004</v>
      </c>
      <c r="M128" s="4590"/>
      <c r="N128" s="611">
        <f t="shared" si="325"/>
        <v>312.64000000000004</v>
      </c>
      <c r="O128" s="2100"/>
      <c r="P128" s="508">
        <v>63.2</v>
      </c>
      <c r="Q128" s="4589"/>
      <c r="R128" s="517">
        <f t="shared" si="320"/>
        <v>375.84000000000003</v>
      </c>
      <c r="S128" s="2100"/>
      <c r="T128" s="508">
        <v>312.38</v>
      </c>
      <c r="U128" s="4589"/>
      <c r="V128" s="517">
        <f t="shared" si="321"/>
        <v>688.22</v>
      </c>
      <c r="W128" s="2100"/>
      <c r="X128" s="508"/>
      <c r="Y128" s="4590"/>
      <c r="Z128" s="611">
        <f t="shared" si="326"/>
        <v>375.58</v>
      </c>
      <c r="AA128" s="4591"/>
      <c r="AB128" s="1287">
        <f t="shared" si="327"/>
        <v>688.22</v>
      </c>
      <c r="AC128" s="2100"/>
      <c r="AD128" s="508">
        <v>245.64000000000001</v>
      </c>
      <c r="AE128" s="4589"/>
      <c r="AF128" s="517">
        <f t="shared" si="328"/>
        <v>933.86</v>
      </c>
      <c r="AG128" s="2100"/>
      <c r="AH128" s="508"/>
      <c r="AI128" s="4589"/>
      <c r="AJ128" s="517">
        <f t="shared" si="329"/>
        <v>933.86</v>
      </c>
      <c r="AK128" s="2100"/>
      <c r="AL128" s="508">
        <v>117.46000000000001</v>
      </c>
      <c r="AM128" s="4590"/>
      <c r="AN128" s="611">
        <f t="shared" si="330"/>
        <v>363.1</v>
      </c>
      <c r="AO128" s="4589"/>
      <c r="AP128" s="517">
        <f t="shared" si="331"/>
        <v>1051.32</v>
      </c>
      <c r="AQ128" s="2100"/>
      <c r="AR128" s="508">
        <v>65.09</v>
      </c>
      <c r="AS128" s="4589"/>
      <c r="AT128" s="517">
        <f t="shared" si="322"/>
        <v>1116.4099999999999</v>
      </c>
      <c r="AU128" s="2100"/>
      <c r="AV128" s="508"/>
      <c r="AW128" s="4589"/>
      <c r="AX128" s="517">
        <f t="shared" si="323"/>
        <v>1116.4099999999999</v>
      </c>
      <c r="AY128" s="2100"/>
      <c r="AZ128" s="508"/>
      <c r="BA128" s="4590"/>
      <c r="BB128" s="611">
        <f t="shared" si="332"/>
        <v>65.09</v>
      </c>
      <c r="BC128" s="1208"/>
      <c r="BD128" s="1287">
        <f t="shared" si="333"/>
        <v>428.19000000000005</v>
      </c>
      <c r="BE128" s="606"/>
      <c r="BF128" s="517">
        <f t="shared" si="334"/>
        <v>1116.4100000000001</v>
      </c>
      <c r="BG128" s="1726"/>
      <c r="BH128" s="1726"/>
      <c r="BI128" s="1726"/>
      <c r="BJ128" s="1726"/>
      <c r="BK128" s="1726"/>
      <c r="BL128" s="1726"/>
      <c r="BM128" s="1726"/>
      <c r="BN128" s="1726"/>
      <c r="BO128" s="1726"/>
      <c r="BP128" s="1726"/>
      <c r="BQ128" s="1726"/>
      <c r="BR128" s="1726"/>
      <c r="BS128" s="1726"/>
      <c r="BT128" s="1726"/>
      <c r="BU128" s="1726"/>
      <c r="BV128" s="1726"/>
      <c r="BW128" s="1726"/>
      <c r="BX128" s="1726"/>
      <c r="BY128" s="1726"/>
      <c r="BZ128" s="1726"/>
      <c r="CA128" s="1726"/>
      <c r="CB128" s="1726"/>
      <c r="CC128" s="1726"/>
    </row>
    <row r="129" spans="2:81" s="1337" customFormat="1" ht="18.75" x14ac:dyDescent="0.25">
      <c r="B129" s="2104" t="s">
        <v>1139</v>
      </c>
      <c r="C129" s="2102" t="s">
        <v>1204</v>
      </c>
      <c r="D129" s="2098"/>
      <c r="E129" s="2099"/>
      <c r="F129" s="1331">
        <v>463</v>
      </c>
      <c r="G129" s="2100"/>
      <c r="H129" s="508">
        <v>31.77</v>
      </c>
      <c r="I129" s="4589"/>
      <c r="J129" s="517">
        <f t="shared" si="319"/>
        <v>494.77</v>
      </c>
      <c r="K129" s="2100"/>
      <c r="L129" s="508"/>
      <c r="M129" s="4590"/>
      <c r="N129" s="611">
        <f t="shared" si="325"/>
        <v>494.77</v>
      </c>
      <c r="O129" s="2100"/>
      <c r="P129" s="508"/>
      <c r="Q129" s="4589"/>
      <c r="R129" s="517">
        <f t="shared" si="320"/>
        <v>494.77</v>
      </c>
      <c r="S129" s="2100"/>
      <c r="T129" s="508"/>
      <c r="U129" s="4589"/>
      <c r="V129" s="517">
        <f t="shared" si="321"/>
        <v>494.77</v>
      </c>
      <c r="W129" s="2100"/>
      <c r="X129" s="508"/>
      <c r="Y129" s="4590"/>
      <c r="Z129" s="611">
        <f t="shared" si="326"/>
        <v>0</v>
      </c>
      <c r="AA129" s="4591"/>
      <c r="AB129" s="1287">
        <f t="shared" si="327"/>
        <v>494.77</v>
      </c>
      <c r="AC129" s="2100"/>
      <c r="AD129" s="508"/>
      <c r="AE129" s="4589"/>
      <c r="AF129" s="517">
        <f t="shared" si="328"/>
        <v>494.77</v>
      </c>
      <c r="AG129" s="2100"/>
      <c r="AH129" s="508"/>
      <c r="AI129" s="4589"/>
      <c r="AJ129" s="517">
        <f t="shared" si="329"/>
        <v>494.77</v>
      </c>
      <c r="AK129" s="2100"/>
      <c r="AL129" s="508"/>
      <c r="AM129" s="4590"/>
      <c r="AN129" s="611">
        <f t="shared" si="330"/>
        <v>0</v>
      </c>
      <c r="AO129" s="4589"/>
      <c r="AP129" s="517">
        <f t="shared" si="331"/>
        <v>494.77</v>
      </c>
      <c r="AQ129" s="2100"/>
      <c r="AR129" s="508"/>
      <c r="AS129" s="4589"/>
      <c r="AT129" s="517">
        <f t="shared" si="322"/>
        <v>494.77</v>
      </c>
      <c r="AU129" s="2100"/>
      <c r="AV129" s="508"/>
      <c r="AW129" s="4589"/>
      <c r="AX129" s="517">
        <f t="shared" si="323"/>
        <v>494.77</v>
      </c>
      <c r="AY129" s="2100"/>
      <c r="AZ129" s="508"/>
      <c r="BA129" s="4590"/>
      <c r="BB129" s="611">
        <f t="shared" si="332"/>
        <v>0</v>
      </c>
      <c r="BC129" s="1208"/>
      <c r="BD129" s="1287">
        <f t="shared" si="333"/>
        <v>0</v>
      </c>
      <c r="BE129" s="606"/>
      <c r="BF129" s="517">
        <f t="shared" si="334"/>
        <v>494.77</v>
      </c>
      <c r="BG129" s="1726"/>
      <c r="BH129" s="1726"/>
      <c r="BI129" s="1726"/>
      <c r="BJ129" s="1726"/>
      <c r="BK129" s="1726"/>
      <c r="BL129" s="1726"/>
      <c r="BM129" s="1726"/>
      <c r="BN129" s="1726"/>
      <c r="BO129" s="1726"/>
      <c r="BP129" s="1726"/>
      <c r="BQ129" s="1726"/>
      <c r="BR129" s="1726"/>
      <c r="BS129" s="1726"/>
      <c r="BT129" s="1726"/>
      <c r="BU129" s="1726"/>
      <c r="BV129" s="1726"/>
      <c r="BW129" s="1726"/>
      <c r="BX129" s="1726"/>
      <c r="BY129" s="1726"/>
      <c r="BZ129" s="1726"/>
      <c r="CA129" s="1726"/>
      <c r="CB129" s="1726"/>
      <c r="CC129" s="1726"/>
    </row>
    <row r="130" spans="2:81" s="4560" customFormat="1" ht="18.75" x14ac:dyDescent="0.25">
      <c r="B130" s="2104" t="s">
        <v>1139</v>
      </c>
      <c r="C130" s="2102" t="s">
        <v>1887</v>
      </c>
      <c r="D130" s="2098"/>
      <c r="E130" s="2099"/>
      <c r="F130" s="1331"/>
      <c r="G130" s="2100"/>
      <c r="H130" s="508"/>
      <c r="I130" s="4589"/>
      <c r="J130" s="517"/>
      <c r="K130" s="2100"/>
      <c r="L130" s="508"/>
      <c r="M130" s="4590"/>
      <c r="N130" s="611"/>
      <c r="O130" s="2100"/>
      <c r="P130" s="508"/>
      <c r="Q130" s="4589"/>
      <c r="R130" s="517"/>
      <c r="S130" s="2100"/>
      <c r="T130" s="508"/>
      <c r="U130" s="4589"/>
      <c r="V130" s="517"/>
      <c r="W130" s="2100"/>
      <c r="X130" s="508"/>
      <c r="Y130" s="4590"/>
      <c r="Z130" s="611"/>
      <c r="AA130" s="4591"/>
      <c r="AB130" s="1287"/>
      <c r="AC130" s="2100"/>
      <c r="AD130" s="508">
        <v>123.84</v>
      </c>
      <c r="AE130" s="4589"/>
      <c r="AF130" s="517"/>
      <c r="AG130" s="2100"/>
      <c r="AH130" s="508"/>
      <c r="AI130" s="4589"/>
      <c r="AJ130" s="517"/>
      <c r="AK130" s="2100"/>
      <c r="AL130" s="508"/>
      <c r="AM130" s="4590"/>
      <c r="AN130" s="611">
        <f t="shared" si="330"/>
        <v>123.84</v>
      </c>
      <c r="AO130" s="4589"/>
      <c r="AP130" s="517"/>
      <c r="AQ130" s="2100"/>
      <c r="AR130" s="508"/>
      <c r="AS130" s="4589"/>
      <c r="AT130" s="517"/>
      <c r="AU130" s="2100"/>
      <c r="AV130" s="508"/>
      <c r="AW130" s="4589"/>
      <c r="AX130" s="517"/>
      <c r="AY130" s="2100"/>
      <c r="AZ130" s="508"/>
      <c r="BA130" s="4590"/>
      <c r="BB130" s="611">
        <f t="shared" si="332"/>
        <v>0</v>
      </c>
      <c r="BC130" s="1208"/>
      <c r="BD130" s="1287">
        <f t="shared" si="333"/>
        <v>123.84</v>
      </c>
      <c r="BE130" s="606"/>
      <c r="BF130" s="517">
        <f t="shared" si="334"/>
        <v>123.84</v>
      </c>
    </row>
    <row r="131" spans="2:81" s="1342" customFormat="1" ht="18.75" x14ac:dyDescent="0.25">
      <c r="B131" s="2104" t="s">
        <v>1139</v>
      </c>
      <c r="C131" s="2102" t="s">
        <v>1217</v>
      </c>
      <c r="D131" s="2098"/>
      <c r="E131" s="2099"/>
      <c r="F131" s="1331"/>
      <c r="G131" s="2100"/>
      <c r="H131" s="508"/>
      <c r="I131" s="4589"/>
      <c r="J131" s="517">
        <f t="shared" si="319"/>
        <v>0</v>
      </c>
      <c r="K131" s="2100"/>
      <c r="L131" s="508"/>
      <c r="M131" s="4590"/>
      <c r="N131" s="611">
        <f t="shared" si="325"/>
        <v>0</v>
      </c>
      <c r="O131" s="2100"/>
      <c r="P131" s="508"/>
      <c r="Q131" s="4589"/>
      <c r="R131" s="517">
        <f t="shared" si="320"/>
        <v>0</v>
      </c>
      <c r="S131" s="2100"/>
      <c r="T131" s="508"/>
      <c r="U131" s="4589"/>
      <c r="V131" s="517">
        <f t="shared" si="321"/>
        <v>0</v>
      </c>
      <c r="W131" s="2100"/>
      <c r="X131" s="508"/>
      <c r="Y131" s="4590"/>
      <c r="Z131" s="611">
        <f t="shared" si="326"/>
        <v>0</v>
      </c>
      <c r="AA131" s="4591"/>
      <c r="AB131" s="1287">
        <f t="shared" si="327"/>
        <v>0</v>
      </c>
      <c r="AC131" s="2100"/>
      <c r="AD131" s="508"/>
      <c r="AE131" s="4589"/>
      <c r="AF131" s="517">
        <f t="shared" si="328"/>
        <v>0</v>
      </c>
      <c r="AG131" s="2100"/>
      <c r="AH131" s="508"/>
      <c r="AI131" s="4589"/>
      <c r="AJ131" s="517">
        <f t="shared" si="329"/>
        <v>0</v>
      </c>
      <c r="AK131" s="2100"/>
      <c r="AL131" s="508">
        <v>62.7</v>
      </c>
      <c r="AM131" s="4590"/>
      <c r="AN131" s="611">
        <f t="shared" si="330"/>
        <v>62.7</v>
      </c>
      <c r="AO131" s="4589"/>
      <c r="AP131" s="517">
        <f t="shared" si="331"/>
        <v>62.7</v>
      </c>
      <c r="AQ131" s="2100"/>
      <c r="AR131" s="508"/>
      <c r="AS131" s="4589"/>
      <c r="AT131" s="517">
        <f t="shared" si="322"/>
        <v>62.7</v>
      </c>
      <c r="AU131" s="2100"/>
      <c r="AV131" s="508">
        <v>419.15999999999997</v>
      </c>
      <c r="AW131" s="4589"/>
      <c r="AX131" s="517">
        <f t="shared" si="323"/>
        <v>481.85999999999996</v>
      </c>
      <c r="AY131" s="2100"/>
      <c r="AZ131" s="508"/>
      <c r="BA131" s="4590"/>
      <c r="BB131" s="611">
        <f t="shared" si="332"/>
        <v>419.15999999999997</v>
      </c>
      <c r="BC131" s="1208"/>
      <c r="BD131" s="1287">
        <f t="shared" si="333"/>
        <v>481.85999999999996</v>
      </c>
      <c r="BE131" s="606"/>
      <c r="BF131" s="517">
        <f t="shared" si="334"/>
        <v>481.85999999999996</v>
      </c>
      <c r="BG131" s="1726"/>
      <c r="BH131" s="1726"/>
      <c r="BI131" s="1726"/>
      <c r="BJ131" s="1726"/>
      <c r="BK131" s="1726"/>
      <c r="BL131" s="1726"/>
      <c r="BM131" s="1726"/>
      <c r="BN131" s="1726"/>
      <c r="BO131" s="1726"/>
      <c r="BP131" s="1726"/>
      <c r="BQ131" s="1726"/>
      <c r="BR131" s="1726"/>
      <c r="BS131" s="1726"/>
      <c r="BT131" s="1726"/>
      <c r="BU131" s="1726"/>
      <c r="BV131" s="1726"/>
      <c r="BW131" s="1726"/>
      <c r="BX131" s="1726"/>
      <c r="BY131" s="1726"/>
      <c r="BZ131" s="1726"/>
      <c r="CA131" s="1726"/>
      <c r="CB131" s="1726"/>
      <c r="CC131" s="1726"/>
    </row>
    <row r="132" spans="2:81" s="1485" customFormat="1" ht="18.75" x14ac:dyDescent="0.25">
      <c r="B132" s="2104" t="s">
        <v>1139</v>
      </c>
      <c r="C132" s="2102" t="s">
        <v>1301</v>
      </c>
      <c r="D132" s="2098"/>
      <c r="E132" s="2099"/>
      <c r="F132" s="1331"/>
      <c r="G132" s="2100"/>
      <c r="H132" s="508"/>
      <c r="I132" s="4589"/>
      <c r="J132" s="517">
        <f t="shared" si="319"/>
        <v>0</v>
      </c>
      <c r="K132" s="2100"/>
      <c r="L132" s="508"/>
      <c r="M132" s="4590"/>
      <c r="N132" s="611">
        <f t="shared" si="325"/>
        <v>0</v>
      </c>
      <c r="O132" s="2100"/>
      <c r="P132" s="508"/>
      <c r="Q132" s="4589"/>
      <c r="R132" s="517">
        <f t="shared" si="320"/>
        <v>0</v>
      </c>
      <c r="S132" s="2100"/>
      <c r="T132" s="508"/>
      <c r="U132" s="4589"/>
      <c r="V132" s="517">
        <f t="shared" si="321"/>
        <v>0</v>
      </c>
      <c r="W132" s="2100"/>
      <c r="X132" s="508"/>
      <c r="Y132" s="4590"/>
      <c r="Z132" s="611">
        <f t="shared" si="326"/>
        <v>0</v>
      </c>
      <c r="AA132" s="4591"/>
      <c r="AB132" s="1287">
        <f t="shared" si="327"/>
        <v>0</v>
      </c>
      <c r="AC132" s="2100"/>
      <c r="AD132" s="508"/>
      <c r="AE132" s="4589"/>
      <c r="AF132" s="517">
        <f t="shared" si="328"/>
        <v>0</v>
      </c>
      <c r="AG132" s="2100"/>
      <c r="AH132" s="508"/>
      <c r="AI132" s="4589"/>
      <c r="AJ132" s="517">
        <f t="shared" si="329"/>
        <v>0</v>
      </c>
      <c r="AK132" s="2100"/>
      <c r="AL132" s="508"/>
      <c r="AM132" s="4590"/>
      <c r="AN132" s="611">
        <f t="shared" si="330"/>
        <v>0</v>
      </c>
      <c r="AO132" s="4589"/>
      <c r="AP132" s="517">
        <f t="shared" si="331"/>
        <v>0</v>
      </c>
      <c r="AQ132" s="2100"/>
      <c r="AR132" s="508"/>
      <c r="AS132" s="4589"/>
      <c r="AT132" s="517">
        <f t="shared" si="322"/>
        <v>0</v>
      </c>
      <c r="AU132" s="2100"/>
      <c r="AV132" s="508"/>
      <c r="AW132" s="4589"/>
      <c r="AX132" s="517">
        <f t="shared" si="323"/>
        <v>0</v>
      </c>
      <c r="AY132" s="2100"/>
      <c r="AZ132" s="508"/>
      <c r="BA132" s="4590"/>
      <c r="BB132" s="611">
        <f t="shared" si="332"/>
        <v>0</v>
      </c>
      <c r="BC132" s="1208"/>
      <c r="BD132" s="1287">
        <f t="shared" si="333"/>
        <v>0</v>
      </c>
      <c r="BE132" s="606"/>
      <c r="BF132" s="517">
        <f t="shared" si="334"/>
        <v>0</v>
      </c>
      <c r="BG132" s="1726"/>
      <c r="BH132" s="1726"/>
      <c r="BI132" s="1726"/>
      <c r="BJ132" s="1726"/>
      <c r="BK132" s="1726"/>
      <c r="BL132" s="1726"/>
      <c r="BM132" s="1726"/>
      <c r="BN132" s="1726"/>
      <c r="BO132" s="1726"/>
      <c r="BP132" s="1726"/>
      <c r="BQ132" s="1726"/>
      <c r="BR132" s="1726"/>
      <c r="BS132" s="1726"/>
      <c r="BT132" s="1726"/>
      <c r="BU132" s="1726"/>
      <c r="BV132" s="1726"/>
      <c r="BW132" s="1726"/>
      <c r="BX132" s="1726"/>
      <c r="BY132" s="1726"/>
      <c r="BZ132" s="1726"/>
      <c r="CA132" s="1726"/>
      <c r="CB132" s="1726"/>
      <c r="CC132" s="1726"/>
    </row>
    <row r="133" spans="2:81" s="1726" customFormat="1" ht="18.75" x14ac:dyDescent="0.25">
      <c r="B133" s="2104" t="s">
        <v>1139</v>
      </c>
      <c r="C133" s="2102" t="s">
        <v>1879</v>
      </c>
      <c r="D133" s="2098"/>
      <c r="E133" s="2099"/>
      <c r="F133" s="1331"/>
      <c r="G133" s="2100"/>
      <c r="H133" s="508"/>
      <c r="I133" s="4589"/>
      <c r="J133" s="517">
        <f t="shared" si="319"/>
        <v>0</v>
      </c>
      <c r="K133" s="2100"/>
      <c r="L133" s="508"/>
      <c r="M133" s="4590"/>
      <c r="N133" s="611">
        <f t="shared" si="325"/>
        <v>0</v>
      </c>
      <c r="O133" s="2100"/>
      <c r="P133" s="508"/>
      <c r="Q133" s="4589"/>
      <c r="R133" s="517">
        <f t="shared" si="320"/>
        <v>0</v>
      </c>
      <c r="S133" s="2100"/>
      <c r="T133" s="508"/>
      <c r="U133" s="4589"/>
      <c r="V133" s="517">
        <f t="shared" si="321"/>
        <v>0</v>
      </c>
      <c r="W133" s="2100"/>
      <c r="X133" s="508"/>
      <c r="Y133" s="4590"/>
      <c r="Z133" s="611">
        <f t="shared" si="326"/>
        <v>0</v>
      </c>
      <c r="AA133" s="4591"/>
      <c r="AB133" s="1287">
        <f t="shared" si="327"/>
        <v>0</v>
      </c>
      <c r="AC133" s="2100"/>
      <c r="AD133" s="508"/>
      <c r="AE133" s="4589"/>
      <c r="AF133" s="517">
        <f t="shared" si="328"/>
        <v>0</v>
      </c>
      <c r="AG133" s="2100"/>
      <c r="AH133" s="508"/>
      <c r="AI133" s="4589"/>
      <c r="AJ133" s="517">
        <f t="shared" si="329"/>
        <v>0</v>
      </c>
      <c r="AK133" s="2100"/>
      <c r="AL133" s="508"/>
      <c r="AM133" s="4590"/>
      <c r="AN133" s="611">
        <f t="shared" si="330"/>
        <v>0</v>
      </c>
      <c r="AO133" s="4589"/>
      <c r="AP133" s="517">
        <f t="shared" si="331"/>
        <v>0</v>
      </c>
      <c r="AQ133" s="2100"/>
      <c r="AR133" s="508">
        <v>97.210000000000008</v>
      </c>
      <c r="AS133" s="4589"/>
      <c r="AT133" s="517">
        <f t="shared" si="322"/>
        <v>97.210000000000008</v>
      </c>
      <c r="AU133" s="2100"/>
      <c r="AV133" s="508"/>
      <c r="AW133" s="4589"/>
      <c r="AX133" s="517">
        <f t="shared" si="323"/>
        <v>97.210000000000008</v>
      </c>
      <c r="AY133" s="2100"/>
      <c r="AZ133" s="508"/>
      <c r="BA133" s="4590"/>
      <c r="BB133" s="611">
        <f t="shared" si="332"/>
        <v>97.210000000000008</v>
      </c>
      <c r="BC133" s="1208"/>
      <c r="BD133" s="1287">
        <f t="shared" si="333"/>
        <v>97.210000000000008</v>
      </c>
      <c r="BE133" s="606"/>
      <c r="BF133" s="517">
        <f t="shared" si="334"/>
        <v>97.210000000000008</v>
      </c>
    </row>
    <row r="134" spans="2:81" s="1107" customFormat="1" ht="18.75" x14ac:dyDescent="0.25">
      <c r="B134" s="2104" t="s">
        <v>1139</v>
      </c>
      <c r="C134" s="2102" t="s">
        <v>1881</v>
      </c>
      <c r="D134" s="2098"/>
      <c r="E134" s="2099"/>
      <c r="F134" s="1331"/>
      <c r="G134" s="2100"/>
      <c r="H134" s="508"/>
      <c r="I134" s="4589"/>
      <c r="J134" s="517">
        <f t="shared" si="319"/>
        <v>0</v>
      </c>
      <c r="K134" s="2100"/>
      <c r="L134" s="508"/>
      <c r="M134" s="4590"/>
      <c r="N134" s="611">
        <f t="shared" si="325"/>
        <v>0</v>
      </c>
      <c r="O134" s="2100"/>
      <c r="P134" s="508"/>
      <c r="Q134" s="4589"/>
      <c r="R134" s="517">
        <f t="shared" si="320"/>
        <v>0</v>
      </c>
      <c r="S134" s="2100"/>
      <c r="T134" s="508"/>
      <c r="U134" s="4589"/>
      <c r="V134" s="517">
        <f t="shared" si="321"/>
        <v>0</v>
      </c>
      <c r="W134" s="2100"/>
      <c r="X134" s="508"/>
      <c r="Y134" s="4590"/>
      <c r="Z134" s="611">
        <f t="shared" si="326"/>
        <v>0</v>
      </c>
      <c r="AA134" s="4591"/>
      <c r="AB134" s="1287">
        <f t="shared" si="327"/>
        <v>0</v>
      </c>
      <c r="AC134" s="2100"/>
      <c r="AD134" s="508"/>
      <c r="AE134" s="4589"/>
      <c r="AF134" s="517">
        <f t="shared" si="328"/>
        <v>0</v>
      </c>
      <c r="AG134" s="2100"/>
      <c r="AH134" s="508">
        <v>508.64</v>
      </c>
      <c r="AI134" s="4589"/>
      <c r="AJ134" s="517">
        <f t="shared" si="329"/>
        <v>508.64</v>
      </c>
      <c r="AK134" s="2100"/>
      <c r="AL134" s="508"/>
      <c r="AM134" s="4590"/>
      <c r="AN134" s="611">
        <f t="shared" ref="AN134:AN174" si="343">AD134+AH134+AL134</f>
        <v>508.64</v>
      </c>
      <c r="AO134" s="4589"/>
      <c r="AP134" s="517">
        <f t="shared" si="331"/>
        <v>508.64</v>
      </c>
      <c r="AQ134" s="2100"/>
      <c r="AR134" s="508"/>
      <c r="AS134" s="4589"/>
      <c r="AT134" s="517">
        <f t="shared" si="322"/>
        <v>508.64</v>
      </c>
      <c r="AU134" s="2100"/>
      <c r="AV134" s="508"/>
      <c r="AW134" s="4589"/>
      <c r="AX134" s="517">
        <f t="shared" si="323"/>
        <v>508.64</v>
      </c>
      <c r="AY134" s="2100"/>
      <c r="AZ134" s="508"/>
      <c r="BA134" s="4590"/>
      <c r="BB134" s="611">
        <f t="shared" si="332"/>
        <v>0</v>
      </c>
      <c r="BC134" s="1208"/>
      <c r="BD134" s="1287">
        <f t="shared" si="333"/>
        <v>508.64</v>
      </c>
      <c r="BE134" s="606"/>
      <c r="BF134" s="517">
        <f t="shared" si="334"/>
        <v>508.64</v>
      </c>
      <c r="BG134" s="1726"/>
      <c r="BH134" s="1726"/>
      <c r="BI134" s="1726"/>
      <c r="BJ134" s="1726"/>
      <c r="BK134" s="1726"/>
      <c r="BL134" s="1726"/>
      <c r="BM134" s="1726"/>
      <c r="BN134" s="1726"/>
      <c r="BO134" s="1726"/>
      <c r="BP134" s="1726"/>
      <c r="BQ134" s="1726"/>
      <c r="BR134" s="1726"/>
      <c r="BS134" s="1726"/>
      <c r="BT134" s="1726"/>
      <c r="BU134" s="1726"/>
      <c r="BV134" s="1726"/>
      <c r="BW134" s="1726"/>
      <c r="BX134" s="1726"/>
      <c r="BY134" s="1726"/>
      <c r="BZ134" s="1726"/>
      <c r="CA134" s="1726"/>
      <c r="CB134" s="1726"/>
      <c r="CC134" s="1726"/>
    </row>
    <row r="135" spans="2:81" s="1342" customFormat="1" ht="18.75" x14ac:dyDescent="0.25">
      <c r="B135" s="2104" t="s">
        <v>1139</v>
      </c>
      <c r="C135" s="2102" t="s">
        <v>1882</v>
      </c>
      <c r="D135" s="2098"/>
      <c r="E135" s="2099"/>
      <c r="F135" s="1331">
        <v>1651.7199999999998</v>
      </c>
      <c r="G135" s="2100"/>
      <c r="H135" s="508"/>
      <c r="I135" s="4589"/>
      <c r="J135" s="517">
        <f t="shared" si="319"/>
        <v>1651.7199999999998</v>
      </c>
      <c r="K135" s="2100"/>
      <c r="L135" s="508">
        <v>511.46000000000004</v>
      </c>
      <c r="M135" s="4590"/>
      <c r="N135" s="611">
        <f t="shared" ref="N135:N174" si="344">+F135+H135+L135</f>
        <v>2163.1799999999998</v>
      </c>
      <c r="O135" s="2100"/>
      <c r="P135" s="508">
        <v>922.6</v>
      </c>
      <c r="Q135" s="4589"/>
      <c r="R135" s="517">
        <f t="shared" si="320"/>
        <v>3085.7799999999997</v>
      </c>
      <c r="S135" s="2100"/>
      <c r="T135" s="508"/>
      <c r="U135" s="4589"/>
      <c r="V135" s="517">
        <f t="shared" si="321"/>
        <v>3085.7799999999997</v>
      </c>
      <c r="W135" s="2100"/>
      <c r="X135" s="508"/>
      <c r="Y135" s="4590"/>
      <c r="Z135" s="611">
        <f t="shared" ref="Z135:Z174" si="345">P135+T135+X135</f>
        <v>922.6</v>
      </c>
      <c r="AA135" s="4591"/>
      <c r="AB135" s="1287">
        <f t="shared" ref="AB135:AB174" si="346">+N135+Z135</f>
        <v>3085.7799999999997</v>
      </c>
      <c r="AC135" s="2100"/>
      <c r="AD135" s="508">
        <v>937.29999999999984</v>
      </c>
      <c r="AE135" s="4589"/>
      <c r="AF135" s="517">
        <f t="shared" ref="AF135:AF174" si="347">+AB135+AD135</f>
        <v>4023.0799999999995</v>
      </c>
      <c r="AG135" s="2100"/>
      <c r="AH135" s="508">
        <v>1242.8999999999999</v>
      </c>
      <c r="AI135" s="4589"/>
      <c r="AJ135" s="517">
        <f t="shared" ref="AJ135:AJ174" si="348">+AF135+AH135</f>
        <v>5265.98</v>
      </c>
      <c r="AK135" s="2100"/>
      <c r="AL135" s="508"/>
      <c r="AM135" s="4590"/>
      <c r="AN135" s="611">
        <f t="shared" si="343"/>
        <v>2180.1999999999998</v>
      </c>
      <c r="AO135" s="4589"/>
      <c r="AP135" s="517">
        <f t="shared" ref="AP135:AP175" si="349">+AJ135+AL135</f>
        <v>5265.98</v>
      </c>
      <c r="AQ135" s="2100"/>
      <c r="AR135" s="508">
        <v>1300.7199999999998</v>
      </c>
      <c r="AS135" s="4589"/>
      <c r="AT135" s="517">
        <f t="shared" si="322"/>
        <v>6566.6999999999989</v>
      </c>
      <c r="AU135" s="2100"/>
      <c r="AV135" s="508">
        <v>1018.4999999999998</v>
      </c>
      <c r="AW135" s="4589"/>
      <c r="AX135" s="517">
        <f t="shared" si="323"/>
        <v>7585.1999999999989</v>
      </c>
      <c r="AY135" s="2100"/>
      <c r="AZ135" s="508">
        <v>1797.16</v>
      </c>
      <c r="BA135" s="4590"/>
      <c r="BB135" s="611">
        <f t="shared" ref="BB135:BB174" si="350">AR135+AV135+AZ135</f>
        <v>4116.3799999999992</v>
      </c>
      <c r="BC135" s="1208"/>
      <c r="BD135" s="1287">
        <f t="shared" ref="BD135:BD174" si="351">+BB135+AN135</f>
        <v>6296.579999999999</v>
      </c>
      <c r="BE135" s="606"/>
      <c r="BF135" s="517">
        <f t="shared" ref="BF135:BF175" si="352">+BD135+AB135</f>
        <v>9382.3599999999988</v>
      </c>
      <c r="BG135" s="1726"/>
      <c r="BH135" s="1726"/>
      <c r="BI135" s="1726"/>
      <c r="BJ135" s="1726"/>
      <c r="BK135" s="1726"/>
      <c r="BL135" s="1726"/>
      <c r="BM135" s="1726"/>
      <c r="BN135" s="1726"/>
      <c r="BO135" s="1726"/>
      <c r="BP135" s="1726"/>
      <c r="BQ135" s="1726"/>
      <c r="BR135" s="1726"/>
      <c r="BS135" s="1726"/>
      <c r="BT135" s="1726"/>
      <c r="BU135" s="1726"/>
      <c r="BV135" s="1726"/>
      <c r="BW135" s="1726"/>
      <c r="BX135" s="1726"/>
      <c r="BY135" s="1726"/>
      <c r="BZ135" s="1726"/>
      <c r="CA135" s="1726"/>
      <c r="CB135" s="1726"/>
      <c r="CC135" s="1726"/>
    </row>
    <row r="136" spans="2:81" s="4534" customFormat="1" ht="18.75" x14ac:dyDescent="0.25">
      <c r="B136" s="2104" t="s">
        <v>1139</v>
      </c>
      <c r="C136" s="2102" t="s">
        <v>1209</v>
      </c>
      <c r="D136" s="2070">
        <v>0</v>
      </c>
      <c r="E136" s="2070">
        <v>0</v>
      </c>
      <c r="F136" s="2070">
        <v>224.01</v>
      </c>
      <c r="G136" s="2070">
        <v>0</v>
      </c>
      <c r="H136" s="2070"/>
      <c r="I136" s="4598"/>
      <c r="J136" s="517">
        <f t="shared" si="319"/>
        <v>224.01</v>
      </c>
      <c r="K136" s="2070">
        <v>0</v>
      </c>
      <c r="L136" s="2070"/>
      <c r="M136" s="2070">
        <v>0</v>
      </c>
      <c r="N136" s="611">
        <f t="shared" si="344"/>
        <v>224.01</v>
      </c>
      <c r="O136" s="2070">
        <v>0</v>
      </c>
      <c r="P136" s="2070">
        <v>821.14</v>
      </c>
      <c r="Q136" s="2070">
        <v>0</v>
      </c>
      <c r="R136" s="517">
        <f t="shared" si="320"/>
        <v>1045.1500000000001</v>
      </c>
      <c r="S136" s="2070">
        <v>0</v>
      </c>
      <c r="T136" s="2070">
        <v>379.98</v>
      </c>
      <c r="U136" s="2070">
        <v>0</v>
      </c>
      <c r="V136" s="517">
        <f t="shared" si="321"/>
        <v>1425.13</v>
      </c>
      <c r="W136" s="2070">
        <v>0</v>
      </c>
      <c r="X136" s="2070">
        <v>2025.8899999999999</v>
      </c>
      <c r="Y136" s="2070">
        <v>0</v>
      </c>
      <c r="Z136" s="611">
        <f t="shared" si="345"/>
        <v>3227.0099999999998</v>
      </c>
      <c r="AA136" s="2070">
        <v>0</v>
      </c>
      <c r="AB136" s="1287">
        <f t="shared" si="346"/>
        <v>3451.0199999999995</v>
      </c>
      <c r="AC136" s="2070">
        <v>0</v>
      </c>
      <c r="AD136" s="4597"/>
      <c r="AE136" s="2070">
        <v>0</v>
      </c>
      <c r="AF136" s="517">
        <f t="shared" si="347"/>
        <v>3451.0199999999995</v>
      </c>
      <c r="AG136" s="2070">
        <v>0</v>
      </c>
      <c r="AH136" s="2070">
        <v>126.1</v>
      </c>
      <c r="AI136" s="2070">
        <v>0</v>
      </c>
      <c r="AJ136" s="517">
        <f t="shared" si="348"/>
        <v>3577.1199999999994</v>
      </c>
      <c r="AK136" s="2070">
        <v>0</v>
      </c>
      <c r="AL136" s="2070"/>
      <c r="AM136" s="2070">
        <v>0</v>
      </c>
      <c r="AN136" s="611">
        <f t="shared" si="343"/>
        <v>126.1</v>
      </c>
      <c r="AO136" s="2070">
        <v>0</v>
      </c>
      <c r="AP136" s="517">
        <f t="shared" si="349"/>
        <v>3577.1199999999994</v>
      </c>
      <c r="AQ136" s="2070">
        <v>0</v>
      </c>
      <c r="AR136" s="2070"/>
      <c r="AS136" s="2070">
        <v>0</v>
      </c>
      <c r="AT136" s="517">
        <f t="shared" si="322"/>
        <v>3577.1199999999994</v>
      </c>
      <c r="AU136" s="2070">
        <v>0</v>
      </c>
      <c r="AV136" s="2070">
        <f>189.98+189.64</f>
        <v>379.62</v>
      </c>
      <c r="AW136" s="2070">
        <v>0</v>
      </c>
      <c r="AX136" s="517">
        <f t="shared" si="323"/>
        <v>3956.7399999999993</v>
      </c>
      <c r="AY136" s="2070">
        <v>0</v>
      </c>
      <c r="AZ136" s="2070">
        <v>61.9</v>
      </c>
      <c r="BA136" s="2070">
        <v>0</v>
      </c>
      <c r="BB136" s="611">
        <f t="shared" si="350"/>
        <v>441.52</v>
      </c>
      <c r="BC136" s="1208"/>
      <c r="BD136" s="1287">
        <f t="shared" si="351"/>
        <v>567.62</v>
      </c>
      <c r="BE136" s="606"/>
      <c r="BF136" s="517">
        <f t="shared" si="352"/>
        <v>4018.6399999999994</v>
      </c>
    </row>
    <row r="137" spans="2:81" s="874" customFormat="1" ht="18.75" x14ac:dyDescent="0.25">
      <c r="B137" s="2104" t="s">
        <v>1139</v>
      </c>
      <c r="C137" s="2102" t="s">
        <v>1160</v>
      </c>
      <c r="D137" s="2098"/>
      <c r="E137" s="2099"/>
      <c r="F137" s="1331">
        <v>3276.9899999999993</v>
      </c>
      <c r="G137" s="2100"/>
      <c r="H137" s="508">
        <v>1475.1999999999996</v>
      </c>
      <c r="I137" s="4589"/>
      <c r="J137" s="517">
        <f t="shared" si="319"/>
        <v>4752.1899999999987</v>
      </c>
      <c r="K137" s="2100"/>
      <c r="L137" s="508">
        <v>7339.8600000000006</v>
      </c>
      <c r="M137" s="4590"/>
      <c r="N137" s="611">
        <f t="shared" si="344"/>
        <v>12092.05</v>
      </c>
      <c r="O137" s="2100"/>
      <c r="P137" s="508">
        <v>5232.2100000000009</v>
      </c>
      <c r="Q137" s="4589"/>
      <c r="R137" s="517">
        <f t="shared" si="320"/>
        <v>17324.260000000002</v>
      </c>
      <c r="S137" s="2100"/>
      <c r="T137" s="508">
        <v>6236.0500000000029</v>
      </c>
      <c r="U137" s="4589"/>
      <c r="V137" s="517">
        <f t="shared" si="321"/>
        <v>23560.310000000005</v>
      </c>
      <c r="W137" s="2100"/>
      <c r="X137" s="508">
        <v>7377.3799999999965</v>
      </c>
      <c r="Y137" s="4590"/>
      <c r="Z137" s="611">
        <f t="shared" si="345"/>
        <v>18845.64</v>
      </c>
      <c r="AA137" s="4591"/>
      <c r="AB137" s="1287">
        <f t="shared" si="346"/>
        <v>30937.69</v>
      </c>
      <c r="AC137" s="2100"/>
      <c r="AD137" s="508">
        <v>7026.3900000000012</v>
      </c>
      <c r="AE137" s="4589"/>
      <c r="AF137" s="517">
        <f t="shared" si="347"/>
        <v>37964.080000000002</v>
      </c>
      <c r="AG137" s="2100"/>
      <c r="AH137" s="508">
        <v>7290.7000000000007</v>
      </c>
      <c r="AI137" s="4589"/>
      <c r="AJ137" s="517">
        <f t="shared" si="348"/>
        <v>45254.78</v>
      </c>
      <c r="AK137" s="2100"/>
      <c r="AL137" s="508">
        <v>2268.4600000000005</v>
      </c>
      <c r="AM137" s="4590"/>
      <c r="AN137" s="611">
        <f t="shared" si="343"/>
        <v>16585.550000000003</v>
      </c>
      <c r="AO137" s="4589"/>
      <c r="AP137" s="517">
        <f t="shared" si="349"/>
        <v>47523.24</v>
      </c>
      <c r="AQ137" s="2100"/>
      <c r="AR137" s="508">
        <v>6136.670000000001</v>
      </c>
      <c r="AS137" s="4589"/>
      <c r="AT137" s="517">
        <f t="shared" si="322"/>
        <v>53659.909999999996</v>
      </c>
      <c r="AU137" s="2100"/>
      <c r="AV137" s="508">
        <v>7590.8399999999992</v>
      </c>
      <c r="AW137" s="4589"/>
      <c r="AX137" s="517">
        <f t="shared" si="323"/>
        <v>61250.749999999993</v>
      </c>
      <c r="AY137" s="2100"/>
      <c r="AZ137" s="508">
        <v>8128.3100000000013</v>
      </c>
      <c r="BA137" s="4590"/>
      <c r="BB137" s="611">
        <f t="shared" si="350"/>
        <v>21855.82</v>
      </c>
      <c r="BC137" s="1208"/>
      <c r="BD137" s="1287">
        <f t="shared" si="351"/>
        <v>38441.370000000003</v>
      </c>
      <c r="BE137" s="606"/>
      <c r="BF137" s="517">
        <f t="shared" si="352"/>
        <v>69379.06</v>
      </c>
      <c r="BG137" s="1726"/>
      <c r="BH137" s="1726"/>
      <c r="BI137" s="1726"/>
      <c r="BJ137" s="1726"/>
      <c r="BK137" s="1726"/>
      <c r="BL137" s="1726"/>
      <c r="BM137" s="1726"/>
      <c r="BN137" s="1726"/>
      <c r="BO137" s="1726"/>
      <c r="BP137" s="1726"/>
      <c r="BQ137" s="1726"/>
      <c r="BR137" s="1726"/>
      <c r="BS137" s="1726"/>
      <c r="BT137" s="1726"/>
      <c r="BU137" s="1726"/>
      <c r="BV137" s="1726"/>
      <c r="BW137" s="1726"/>
      <c r="BX137" s="1726"/>
      <c r="BY137" s="1726"/>
      <c r="BZ137" s="1726"/>
      <c r="CA137" s="1726"/>
      <c r="CB137" s="1726"/>
      <c r="CC137" s="1726"/>
    </row>
    <row r="138" spans="2:81" s="874" customFormat="1" ht="18.75" x14ac:dyDescent="0.25">
      <c r="B138" s="2104" t="s">
        <v>1139</v>
      </c>
      <c r="C138" s="2102" t="s">
        <v>1891</v>
      </c>
      <c r="D138" s="2098"/>
      <c r="E138" s="2099"/>
      <c r="F138" s="1331">
        <v>1002.88</v>
      </c>
      <c r="G138" s="2100"/>
      <c r="H138" s="508">
        <v>187.5</v>
      </c>
      <c r="I138" s="4589"/>
      <c r="J138" s="517">
        <f t="shared" si="319"/>
        <v>1190.3800000000001</v>
      </c>
      <c r="K138" s="2100"/>
      <c r="L138" s="508">
        <v>1188.6199999999999</v>
      </c>
      <c r="M138" s="4590"/>
      <c r="N138" s="611">
        <f t="shared" si="344"/>
        <v>2379</v>
      </c>
      <c r="O138" s="2100"/>
      <c r="P138" s="508">
        <v>804.04</v>
      </c>
      <c r="Q138" s="4589"/>
      <c r="R138" s="517">
        <f t="shared" si="320"/>
        <v>3183.04</v>
      </c>
      <c r="S138" s="2100"/>
      <c r="T138" s="508">
        <v>639.99</v>
      </c>
      <c r="U138" s="4589"/>
      <c r="V138" s="517">
        <f t="shared" si="321"/>
        <v>3823.0299999999997</v>
      </c>
      <c r="W138" s="2100"/>
      <c r="X138" s="508">
        <v>571.98</v>
      </c>
      <c r="Y138" s="4590"/>
      <c r="Z138" s="611">
        <f t="shared" si="345"/>
        <v>2016.01</v>
      </c>
      <c r="AA138" s="4591"/>
      <c r="AB138" s="1287">
        <f t="shared" si="346"/>
        <v>4395.01</v>
      </c>
      <c r="AC138" s="2100"/>
      <c r="AD138" s="508">
        <v>374.34</v>
      </c>
      <c r="AE138" s="4589"/>
      <c r="AF138" s="517">
        <f t="shared" si="347"/>
        <v>4769.3500000000004</v>
      </c>
      <c r="AG138" s="2100"/>
      <c r="AH138" s="508">
        <v>1634.69</v>
      </c>
      <c r="AI138" s="4589"/>
      <c r="AJ138" s="517">
        <f t="shared" si="348"/>
        <v>6404.0400000000009</v>
      </c>
      <c r="AK138" s="2100"/>
      <c r="AL138" s="508">
        <v>511.76000000000005</v>
      </c>
      <c r="AM138" s="4590"/>
      <c r="AN138" s="611">
        <f t="shared" si="343"/>
        <v>2520.79</v>
      </c>
      <c r="AO138" s="4589"/>
      <c r="AP138" s="517">
        <f t="shared" si="349"/>
        <v>6915.8000000000011</v>
      </c>
      <c r="AQ138" s="2100"/>
      <c r="AR138" s="508">
        <v>506.90000000000003</v>
      </c>
      <c r="AS138" s="4589"/>
      <c r="AT138" s="517">
        <f t="shared" si="322"/>
        <v>7422.7000000000007</v>
      </c>
      <c r="AU138" s="2100"/>
      <c r="AV138" s="508">
        <v>547.87</v>
      </c>
      <c r="AW138" s="4589"/>
      <c r="AX138" s="517">
        <f t="shared" si="323"/>
        <v>7970.5700000000006</v>
      </c>
      <c r="AY138" s="2100"/>
      <c r="AZ138" s="508">
        <v>1184.8200000000002</v>
      </c>
      <c r="BA138" s="4590"/>
      <c r="BB138" s="611">
        <f t="shared" si="350"/>
        <v>2239.59</v>
      </c>
      <c r="BC138" s="1208"/>
      <c r="BD138" s="1287">
        <f t="shared" si="351"/>
        <v>4760.38</v>
      </c>
      <c r="BE138" s="606"/>
      <c r="BF138" s="517">
        <f t="shared" si="352"/>
        <v>9155.39</v>
      </c>
      <c r="BG138" s="1726"/>
      <c r="BH138" s="1726"/>
      <c r="BI138" s="1726"/>
      <c r="BJ138" s="1726"/>
      <c r="BK138" s="1726"/>
      <c r="BL138" s="1726"/>
      <c r="BM138" s="1726"/>
      <c r="BN138" s="1726"/>
      <c r="BO138" s="1726"/>
      <c r="BP138" s="1726"/>
      <c r="BQ138" s="1726"/>
      <c r="BR138" s="1726"/>
      <c r="BS138" s="1726"/>
      <c r="BT138" s="1726"/>
      <c r="BU138" s="1726"/>
      <c r="BV138" s="1726"/>
      <c r="BW138" s="1726"/>
      <c r="BX138" s="1726"/>
      <c r="BY138" s="1726"/>
      <c r="BZ138" s="1726"/>
      <c r="CA138" s="1726"/>
      <c r="CB138" s="1726"/>
      <c r="CC138" s="1726"/>
    </row>
    <row r="139" spans="2:81" ht="18.75" x14ac:dyDescent="0.25">
      <c r="B139" s="2104" t="s">
        <v>1139</v>
      </c>
      <c r="C139" s="2102" t="s">
        <v>1878</v>
      </c>
      <c r="D139" s="2098"/>
      <c r="E139" s="2099"/>
      <c r="F139" s="1331">
        <v>532.9</v>
      </c>
      <c r="G139" s="2100"/>
      <c r="H139" s="508"/>
      <c r="I139" s="4589"/>
      <c r="J139" s="517">
        <f t="shared" si="319"/>
        <v>532.9</v>
      </c>
      <c r="K139" s="2100"/>
      <c r="L139" s="508">
        <v>1016</v>
      </c>
      <c r="M139" s="4590"/>
      <c r="N139" s="611">
        <f t="shared" si="344"/>
        <v>1548.9</v>
      </c>
      <c r="O139" s="2100"/>
      <c r="P139" s="508"/>
      <c r="Q139" s="4589"/>
      <c r="R139" s="517">
        <f t="shared" si="320"/>
        <v>1548.9</v>
      </c>
      <c r="S139" s="2100"/>
      <c r="T139" s="508"/>
      <c r="U139" s="4589"/>
      <c r="V139" s="517">
        <f t="shared" si="321"/>
        <v>1548.9</v>
      </c>
      <c r="W139" s="2100"/>
      <c r="X139" s="508"/>
      <c r="Y139" s="4590"/>
      <c r="Z139" s="611">
        <f t="shared" si="345"/>
        <v>0</v>
      </c>
      <c r="AA139" s="4591"/>
      <c r="AB139" s="1287">
        <f t="shared" si="346"/>
        <v>1548.9</v>
      </c>
      <c r="AC139" s="2100"/>
      <c r="AD139" s="508"/>
      <c r="AE139" s="4589"/>
      <c r="AF139" s="517">
        <f t="shared" si="347"/>
        <v>1548.9</v>
      </c>
      <c r="AG139" s="2100"/>
      <c r="AH139" s="508">
        <v>2398.8600000000006</v>
      </c>
      <c r="AI139" s="4589"/>
      <c r="AJ139" s="517">
        <f t="shared" si="348"/>
        <v>3947.7600000000007</v>
      </c>
      <c r="AK139" s="2100"/>
      <c r="AL139" s="508"/>
      <c r="AM139" s="4590"/>
      <c r="AN139" s="611">
        <f t="shared" si="343"/>
        <v>2398.8600000000006</v>
      </c>
      <c r="AO139" s="4589"/>
      <c r="AP139" s="517">
        <f t="shared" si="349"/>
        <v>3947.7600000000007</v>
      </c>
      <c r="AQ139" s="2100"/>
      <c r="AR139" s="508">
        <v>1010.1</v>
      </c>
      <c r="AS139" s="4589"/>
      <c r="AT139" s="517">
        <f t="shared" si="322"/>
        <v>4957.8600000000006</v>
      </c>
      <c r="AU139" s="2100"/>
      <c r="AV139" s="508">
        <v>987.6400000000001</v>
      </c>
      <c r="AW139" s="4589"/>
      <c r="AX139" s="517">
        <f t="shared" si="323"/>
        <v>5945.5000000000009</v>
      </c>
      <c r="AY139" s="2100"/>
      <c r="AZ139" s="508">
        <v>562.82000000000005</v>
      </c>
      <c r="BA139" s="4590"/>
      <c r="BB139" s="611">
        <f t="shared" si="350"/>
        <v>2560.5600000000004</v>
      </c>
      <c r="BC139" s="1208"/>
      <c r="BD139" s="1287">
        <f t="shared" si="351"/>
        <v>4959.420000000001</v>
      </c>
      <c r="BE139" s="606"/>
      <c r="BF139" s="517">
        <f t="shared" si="352"/>
        <v>6508.3200000000015</v>
      </c>
    </row>
    <row r="140" spans="2:81" s="4534" customFormat="1" ht="18.75" x14ac:dyDescent="0.25">
      <c r="B140" s="2104" t="s">
        <v>1427</v>
      </c>
      <c r="C140" s="2102" t="s">
        <v>1209</v>
      </c>
      <c r="D140" s="2070">
        <v>0</v>
      </c>
      <c r="E140" s="2070">
        <v>0</v>
      </c>
      <c r="F140" s="2070"/>
      <c r="G140" s="2070">
        <v>0</v>
      </c>
      <c r="H140" s="2070"/>
      <c r="I140" s="4598"/>
      <c r="J140" s="517">
        <f t="shared" si="319"/>
        <v>0</v>
      </c>
      <c r="K140" s="2070">
        <v>0</v>
      </c>
      <c r="L140" s="2070"/>
      <c r="M140" s="2070">
        <v>0</v>
      </c>
      <c r="N140" s="611">
        <f t="shared" si="344"/>
        <v>0</v>
      </c>
      <c r="O140" s="2070">
        <v>0</v>
      </c>
      <c r="P140" s="2070">
        <v>3800.1599999999994</v>
      </c>
      <c r="Q140" s="2070">
        <v>0</v>
      </c>
      <c r="R140" s="517">
        <f t="shared" si="320"/>
        <v>3800.1599999999994</v>
      </c>
      <c r="S140" s="2070">
        <v>0</v>
      </c>
      <c r="T140" s="2070"/>
      <c r="U140" s="2070">
        <v>0</v>
      </c>
      <c r="V140" s="517">
        <f t="shared" si="321"/>
        <v>3800.1599999999994</v>
      </c>
      <c r="W140" s="2070">
        <v>0</v>
      </c>
      <c r="X140" s="2070"/>
      <c r="Y140" s="2070">
        <v>0</v>
      </c>
      <c r="Z140" s="611">
        <f t="shared" si="345"/>
        <v>3800.1599999999994</v>
      </c>
      <c r="AA140" s="2070">
        <v>0</v>
      </c>
      <c r="AB140" s="1287">
        <f t="shared" si="346"/>
        <v>3800.1599999999994</v>
      </c>
      <c r="AC140" s="2070">
        <v>0</v>
      </c>
      <c r="AD140" s="4597"/>
      <c r="AE140" s="2070">
        <v>0</v>
      </c>
      <c r="AF140" s="517">
        <f t="shared" si="347"/>
        <v>3800.1599999999994</v>
      </c>
      <c r="AG140" s="2070">
        <v>0</v>
      </c>
      <c r="AH140" s="2070"/>
      <c r="AI140" s="2070">
        <v>0</v>
      </c>
      <c r="AJ140" s="517">
        <f t="shared" si="348"/>
        <v>3800.1599999999994</v>
      </c>
      <c r="AK140" s="2070">
        <v>0</v>
      </c>
      <c r="AL140" s="2070"/>
      <c r="AM140" s="2070">
        <v>0</v>
      </c>
      <c r="AN140" s="611">
        <f t="shared" si="343"/>
        <v>0</v>
      </c>
      <c r="AO140" s="2070">
        <v>0</v>
      </c>
      <c r="AP140" s="517">
        <f t="shared" si="349"/>
        <v>3800.1599999999994</v>
      </c>
      <c r="AQ140" s="2070">
        <v>0</v>
      </c>
      <c r="AR140" s="2070"/>
      <c r="AS140" s="2070">
        <v>0</v>
      </c>
      <c r="AT140" s="517">
        <f t="shared" si="322"/>
        <v>3800.1599999999994</v>
      </c>
      <c r="AU140" s="2070">
        <v>0</v>
      </c>
      <c r="AV140" s="2070">
        <v>125.14</v>
      </c>
      <c r="AW140" s="2070">
        <v>0</v>
      </c>
      <c r="AX140" s="517">
        <f t="shared" si="323"/>
        <v>3925.2999999999993</v>
      </c>
      <c r="AY140" s="2070">
        <v>0</v>
      </c>
      <c r="AZ140" s="2070"/>
      <c r="BA140" s="2070">
        <v>0</v>
      </c>
      <c r="BB140" s="611">
        <f t="shared" si="350"/>
        <v>125.14</v>
      </c>
      <c r="BC140" s="1208"/>
      <c r="BD140" s="1287">
        <f t="shared" si="351"/>
        <v>125.14</v>
      </c>
      <c r="BE140" s="606"/>
      <c r="BF140" s="517">
        <f t="shared" si="352"/>
        <v>3925.2999999999993</v>
      </c>
    </row>
    <row r="141" spans="2:81" s="1107" customFormat="1" ht="18.75" x14ac:dyDescent="0.25">
      <c r="B141" s="2104" t="s">
        <v>1140</v>
      </c>
      <c r="C141" s="2102" t="s">
        <v>1204</v>
      </c>
      <c r="D141" s="2098"/>
      <c r="E141" s="2099"/>
      <c r="F141" s="1331"/>
      <c r="G141" s="2100"/>
      <c r="H141" s="508">
        <v>310.72000000000003</v>
      </c>
      <c r="I141" s="4589"/>
      <c r="J141" s="517">
        <f t="shared" si="319"/>
        <v>310.72000000000003</v>
      </c>
      <c r="K141" s="2100"/>
      <c r="L141" s="508"/>
      <c r="M141" s="4590"/>
      <c r="N141" s="611">
        <f t="shared" si="344"/>
        <v>310.72000000000003</v>
      </c>
      <c r="O141" s="2100"/>
      <c r="P141" s="508"/>
      <c r="Q141" s="4589"/>
      <c r="R141" s="517">
        <f t="shared" si="320"/>
        <v>310.72000000000003</v>
      </c>
      <c r="S141" s="2100"/>
      <c r="T141" s="508"/>
      <c r="U141" s="4589"/>
      <c r="V141" s="517">
        <f t="shared" si="321"/>
        <v>310.72000000000003</v>
      </c>
      <c r="W141" s="2100"/>
      <c r="X141" s="508"/>
      <c r="Y141" s="4590"/>
      <c r="Z141" s="611">
        <f t="shared" si="345"/>
        <v>0</v>
      </c>
      <c r="AA141" s="4591"/>
      <c r="AB141" s="1287">
        <f t="shared" si="346"/>
        <v>310.72000000000003</v>
      </c>
      <c r="AC141" s="2100"/>
      <c r="AD141" s="508"/>
      <c r="AE141" s="4589"/>
      <c r="AF141" s="517">
        <f t="shared" si="347"/>
        <v>310.72000000000003</v>
      </c>
      <c r="AG141" s="2100"/>
      <c r="AH141" s="508"/>
      <c r="AI141" s="4589"/>
      <c r="AJ141" s="517">
        <f t="shared" si="348"/>
        <v>310.72000000000003</v>
      </c>
      <c r="AK141" s="2100"/>
      <c r="AL141" s="508"/>
      <c r="AM141" s="4590"/>
      <c r="AN141" s="611">
        <f t="shared" si="343"/>
        <v>0</v>
      </c>
      <c r="AO141" s="4589"/>
      <c r="AP141" s="517">
        <f t="shared" si="349"/>
        <v>310.72000000000003</v>
      </c>
      <c r="AQ141" s="2100"/>
      <c r="AR141" s="508"/>
      <c r="AS141" s="4589"/>
      <c r="AT141" s="517">
        <f t="shared" si="322"/>
        <v>310.72000000000003</v>
      </c>
      <c r="AU141" s="2100"/>
      <c r="AV141" s="508"/>
      <c r="AW141" s="4589"/>
      <c r="AX141" s="517">
        <f t="shared" si="323"/>
        <v>310.72000000000003</v>
      </c>
      <c r="AY141" s="2100"/>
      <c r="AZ141" s="508"/>
      <c r="BA141" s="4590"/>
      <c r="BB141" s="611">
        <f t="shared" si="350"/>
        <v>0</v>
      </c>
      <c r="BC141" s="1208"/>
      <c r="BD141" s="1287">
        <f t="shared" si="351"/>
        <v>0</v>
      </c>
      <c r="BE141" s="606"/>
      <c r="BF141" s="517">
        <f t="shared" si="352"/>
        <v>310.72000000000003</v>
      </c>
      <c r="BG141" s="1726"/>
      <c r="BH141" s="1726"/>
      <c r="BI141" s="1726"/>
      <c r="BJ141" s="1726"/>
      <c r="BK141" s="1726"/>
      <c r="BL141" s="1726"/>
      <c r="BM141" s="1726"/>
      <c r="BN141" s="1726"/>
      <c r="BO141" s="1726"/>
      <c r="BP141" s="1726"/>
      <c r="BQ141" s="1726"/>
      <c r="BR141" s="1726"/>
      <c r="BS141" s="1726"/>
      <c r="BT141" s="1726"/>
      <c r="BU141" s="1726"/>
      <c r="BV141" s="1726"/>
      <c r="BW141" s="1726"/>
      <c r="BX141" s="1726"/>
      <c r="BY141" s="1726"/>
      <c r="BZ141" s="1726"/>
      <c r="CA141" s="1726"/>
      <c r="CB141" s="1726"/>
      <c r="CC141" s="1726"/>
    </row>
    <row r="142" spans="2:81" ht="18.75" x14ac:dyDescent="0.25">
      <c r="B142" s="2104" t="s">
        <v>1140</v>
      </c>
      <c r="C142" s="2102" t="s">
        <v>1887</v>
      </c>
      <c r="D142" s="2098"/>
      <c r="E142" s="2099"/>
      <c r="F142" s="1331"/>
      <c r="G142" s="2100"/>
      <c r="H142" s="508">
        <v>304.22000000000003</v>
      </c>
      <c r="I142" s="4589"/>
      <c r="J142" s="517">
        <f t="shared" si="319"/>
        <v>304.22000000000003</v>
      </c>
      <c r="K142" s="2100"/>
      <c r="L142" s="508"/>
      <c r="M142" s="4590"/>
      <c r="N142" s="611">
        <f t="shared" si="344"/>
        <v>304.22000000000003</v>
      </c>
      <c r="O142" s="2100"/>
      <c r="P142" s="508"/>
      <c r="Q142" s="4589"/>
      <c r="R142" s="517">
        <f t="shared" si="320"/>
        <v>304.22000000000003</v>
      </c>
      <c r="S142" s="2100"/>
      <c r="T142" s="508"/>
      <c r="U142" s="4589"/>
      <c r="V142" s="517">
        <f t="shared" si="321"/>
        <v>304.22000000000003</v>
      </c>
      <c r="W142" s="2100"/>
      <c r="X142" s="508"/>
      <c r="Y142" s="4590"/>
      <c r="Z142" s="611">
        <f t="shared" si="345"/>
        <v>0</v>
      </c>
      <c r="AA142" s="4591"/>
      <c r="AB142" s="1287">
        <f t="shared" si="346"/>
        <v>304.22000000000003</v>
      </c>
      <c r="AC142" s="2100"/>
      <c r="AD142" s="508">
        <v>1168.0600000000002</v>
      </c>
      <c r="AE142" s="4589"/>
      <c r="AF142" s="517">
        <f t="shared" si="347"/>
        <v>1472.2800000000002</v>
      </c>
      <c r="AG142" s="2100"/>
      <c r="AH142" s="508"/>
      <c r="AI142" s="4589"/>
      <c r="AJ142" s="517">
        <f t="shared" si="348"/>
        <v>1472.2800000000002</v>
      </c>
      <c r="AK142" s="2100"/>
      <c r="AL142" s="508">
        <v>1043.32</v>
      </c>
      <c r="AM142" s="4590"/>
      <c r="AN142" s="611">
        <f t="shared" si="343"/>
        <v>2211.38</v>
      </c>
      <c r="AO142" s="4589"/>
      <c r="AP142" s="517">
        <f t="shared" si="349"/>
        <v>2515.6000000000004</v>
      </c>
      <c r="AQ142" s="2100"/>
      <c r="AR142" s="508">
        <v>65.03</v>
      </c>
      <c r="AS142" s="4589"/>
      <c r="AT142" s="517">
        <f t="shared" si="322"/>
        <v>2580.6300000000006</v>
      </c>
      <c r="AU142" s="2100"/>
      <c r="AV142" s="508"/>
      <c r="AW142" s="4589"/>
      <c r="AX142" s="517">
        <f t="shared" si="323"/>
        <v>2580.6300000000006</v>
      </c>
      <c r="AY142" s="2100"/>
      <c r="AZ142" s="508">
        <v>680.96</v>
      </c>
      <c r="BA142" s="4590"/>
      <c r="BB142" s="611">
        <f t="shared" si="350"/>
        <v>745.99</v>
      </c>
      <c r="BC142" s="1208"/>
      <c r="BD142" s="1287">
        <f t="shared" si="351"/>
        <v>2957.37</v>
      </c>
      <c r="BE142" s="606"/>
      <c r="BF142" s="517">
        <f t="shared" si="352"/>
        <v>3261.59</v>
      </c>
    </row>
    <row r="143" spans="2:81" s="4534" customFormat="1" ht="18.75" x14ac:dyDescent="0.25">
      <c r="B143" s="2104" t="s">
        <v>1140</v>
      </c>
      <c r="C143" s="2102" t="s">
        <v>1208</v>
      </c>
      <c r="D143" s="2070">
        <v>0</v>
      </c>
      <c r="E143" s="2070">
        <v>0</v>
      </c>
      <c r="F143" s="2070">
        <v>378.53</v>
      </c>
      <c r="G143" s="2070">
        <v>0</v>
      </c>
      <c r="H143" s="2070">
        <v>994.57999999999993</v>
      </c>
      <c r="I143" s="4598"/>
      <c r="J143" s="517">
        <f t="shared" si="319"/>
        <v>1373.11</v>
      </c>
      <c r="K143" s="2070">
        <v>0</v>
      </c>
      <c r="L143" s="2070"/>
      <c r="M143" s="2070">
        <v>0</v>
      </c>
      <c r="N143" s="611">
        <f t="shared" si="344"/>
        <v>1373.11</v>
      </c>
      <c r="O143" s="2070">
        <v>0</v>
      </c>
      <c r="P143" s="2070"/>
      <c r="Q143" s="2070">
        <v>0</v>
      </c>
      <c r="R143" s="517">
        <f t="shared" si="320"/>
        <v>1373.11</v>
      </c>
      <c r="S143" s="2070">
        <v>0</v>
      </c>
      <c r="T143" s="2070"/>
      <c r="U143" s="2070">
        <v>0</v>
      </c>
      <c r="V143" s="517">
        <f t="shared" si="321"/>
        <v>1373.11</v>
      </c>
      <c r="W143" s="2070">
        <v>0</v>
      </c>
      <c r="X143" s="2070"/>
      <c r="Y143" s="2070">
        <v>0</v>
      </c>
      <c r="Z143" s="611">
        <f t="shared" si="345"/>
        <v>0</v>
      </c>
      <c r="AA143" s="2070">
        <v>0</v>
      </c>
      <c r="AB143" s="1287">
        <f t="shared" si="346"/>
        <v>1373.11</v>
      </c>
      <c r="AC143" s="2070">
        <v>0</v>
      </c>
      <c r="AD143" s="4597">
        <v>632.93999999999994</v>
      </c>
      <c r="AE143" s="2070">
        <v>0</v>
      </c>
      <c r="AF143" s="517">
        <f t="shared" si="347"/>
        <v>2006.0499999999997</v>
      </c>
      <c r="AG143" s="2070">
        <v>0</v>
      </c>
      <c r="AH143" s="2070"/>
      <c r="AI143" s="2070">
        <v>0</v>
      </c>
      <c r="AJ143" s="517">
        <f t="shared" si="348"/>
        <v>2006.0499999999997</v>
      </c>
      <c r="AK143" s="2070">
        <v>0</v>
      </c>
      <c r="AL143" s="2070"/>
      <c r="AM143" s="2070">
        <v>0</v>
      </c>
      <c r="AN143" s="611">
        <f t="shared" si="343"/>
        <v>632.93999999999994</v>
      </c>
      <c r="AO143" s="2070">
        <v>0</v>
      </c>
      <c r="AP143" s="517">
        <f t="shared" si="349"/>
        <v>2006.0499999999997</v>
      </c>
      <c r="AQ143" s="2070">
        <v>0</v>
      </c>
      <c r="AR143" s="2070">
        <v>376.74</v>
      </c>
      <c r="AS143" s="2070">
        <v>0</v>
      </c>
      <c r="AT143" s="517">
        <f t="shared" si="322"/>
        <v>2382.79</v>
      </c>
      <c r="AU143" s="2070">
        <v>0</v>
      </c>
      <c r="AV143" s="2070"/>
      <c r="AW143" s="2070">
        <v>0</v>
      </c>
      <c r="AX143" s="517">
        <f t="shared" si="323"/>
        <v>2382.79</v>
      </c>
      <c r="AY143" s="2070">
        <v>0</v>
      </c>
      <c r="AZ143" s="4597">
        <v>32.21</v>
      </c>
      <c r="BA143" s="2070">
        <v>0</v>
      </c>
      <c r="BB143" s="611">
        <f t="shared" si="350"/>
        <v>408.95</v>
      </c>
      <c r="BC143" s="1208"/>
      <c r="BD143" s="1287">
        <f t="shared" si="351"/>
        <v>1041.8899999999999</v>
      </c>
      <c r="BE143" s="606"/>
      <c r="BF143" s="517">
        <f t="shared" si="352"/>
        <v>2415</v>
      </c>
    </row>
    <row r="144" spans="2:81" s="1485" customFormat="1" ht="18.75" x14ac:dyDescent="0.25">
      <c r="B144" s="2104" t="s">
        <v>1140</v>
      </c>
      <c r="C144" s="2102" t="s">
        <v>1327</v>
      </c>
      <c r="D144" s="2098"/>
      <c r="E144" s="2099"/>
      <c r="F144" s="1331">
        <v>403.24</v>
      </c>
      <c r="G144" s="2100"/>
      <c r="H144" s="508">
        <v>511.06999999999994</v>
      </c>
      <c r="I144" s="4589"/>
      <c r="J144" s="517">
        <f t="shared" si="319"/>
        <v>914.31</v>
      </c>
      <c r="K144" s="2100"/>
      <c r="L144" s="508">
        <v>371</v>
      </c>
      <c r="M144" s="4590"/>
      <c r="N144" s="611">
        <f t="shared" si="344"/>
        <v>1285.31</v>
      </c>
      <c r="O144" s="2100"/>
      <c r="P144" s="508">
        <v>185.2</v>
      </c>
      <c r="Q144" s="4589"/>
      <c r="R144" s="517">
        <f t="shared" si="320"/>
        <v>1470.51</v>
      </c>
      <c r="S144" s="2100"/>
      <c r="T144" s="508">
        <v>143.04</v>
      </c>
      <c r="U144" s="4589"/>
      <c r="V144" s="517">
        <f t="shared" si="321"/>
        <v>1613.55</v>
      </c>
      <c r="W144" s="2100"/>
      <c r="X144" s="508"/>
      <c r="Y144" s="4590"/>
      <c r="Z144" s="611">
        <f t="shared" si="345"/>
        <v>328.24</v>
      </c>
      <c r="AA144" s="4591"/>
      <c r="AB144" s="1287">
        <f t="shared" si="346"/>
        <v>1613.55</v>
      </c>
      <c r="AC144" s="2100"/>
      <c r="AD144" s="508">
        <v>236.44</v>
      </c>
      <c r="AE144" s="4589"/>
      <c r="AF144" s="517">
        <f t="shared" si="347"/>
        <v>1849.99</v>
      </c>
      <c r="AG144" s="2100"/>
      <c r="AH144" s="508"/>
      <c r="AI144" s="4589"/>
      <c r="AJ144" s="517">
        <f t="shared" si="348"/>
        <v>1849.99</v>
      </c>
      <c r="AK144" s="2100"/>
      <c r="AL144" s="508"/>
      <c r="AM144" s="4590"/>
      <c r="AN144" s="611">
        <f t="shared" si="343"/>
        <v>236.44</v>
      </c>
      <c r="AO144" s="4589"/>
      <c r="AP144" s="517">
        <f t="shared" si="349"/>
        <v>1849.99</v>
      </c>
      <c r="AQ144" s="2100"/>
      <c r="AR144" s="508">
        <v>126.64</v>
      </c>
      <c r="AS144" s="4589"/>
      <c r="AT144" s="517">
        <f t="shared" si="322"/>
        <v>1976.63</v>
      </c>
      <c r="AU144" s="2100"/>
      <c r="AV144" s="508"/>
      <c r="AW144" s="4589"/>
      <c r="AX144" s="517">
        <f t="shared" si="323"/>
        <v>1976.63</v>
      </c>
      <c r="AY144" s="2100"/>
      <c r="AZ144" s="508">
        <v>120.97999999999999</v>
      </c>
      <c r="BA144" s="4590"/>
      <c r="BB144" s="611">
        <f t="shared" si="350"/>
        <v>247.62</v>
      </c>
      <c r="BC144" s="1208"/>
      <c r="BD144" s="1287">
        <f t="shared" si="351"/>
        <v>484.06</v>
      </c>
      <c r="BE144" s="606"/>
      <c r="BF144" s="517">
        <f t="shared" si="352"/>
        <v>2097.61</v>
      </c>
      <c r="BG144" s="1726"/>
      <c r="BH144" s="1726"/>
      <c r="BI144" s="1726"/>
      <c r="BJ144" s="1726"/>
      <c r="BK144" s="1726"/>
      <c r="BL144" s="1726"/>
      <c r="BM144" s="1726"/>
      <c r="BN144" s="1726"/>
      <c r="BO144" s="1726"/>
      <c r="BP144" s="1726"/>
      <c r="BQ144" s="1726"/>
      <c r="BR144" s="1726"/>
      <c r="BS144" s="1726"/>
      <c r="BT144" s="1726"/>
      <c r="BU144" s="1726"/>
      <c r="BV144" s="1726"/>
      <c r="BW144" s="1726"/>
      <c r="BX144" s="1726"/>
      <c r="BY144" s="1726"/>
      <c r="BZ144" s="1726"/>
      <c r="CA144" s="1726"/>
      <c r="CB144" s="1726"/>
      <c r="CC144" s="1726"/>
    </row>
    <row r="145" spans="1:81" s="4534" customFormat="1" ht="18.75" x14ac:dyDescent="0.25">
      <c r="B145" s="2104" t="s">
        <v>1140</v>
      </c>
      <c r="C145" s="2102" t="s">
        <v>1881</v>
      </c>
      <c r="D145" s="2070">
        <v>0</v>
      </c>
      <c r="E145" s="2070">
        <v>0</v>
      </c>
      <c r="F145" s="2070">
        <v>3202.88</v>
      </c>
      <c r="G145" s="2070">
        <v>0</v>
      </c>
      <c r="H145" s="2070">
        <v>79.460000000000008</v>
      </c>
      <c r="I145" s="4598"/>
      <c r="J145" s="517">
        <f t="shared" si="319"/>
        <v>3282.34</v>
      </c>
      <c r="K145" s="2070">
        <v>0</v>
      </c>
      <c r="L145" s="2070">
        <v>2765.0399999999995</v>
      </c>
      <c r="M145" s="2070">
        <v>0</v>
      </c>
      <c r="N145" s="611">
        <f t="shared" si="344"/>
        <v>6047.3799999999992</v>
      </c>
      <c r="O145" s="2070">
        <v>0</v>
      </c>
      <c r="P145" s="2070"/>
      <c r="Q145" s="2070">
        <v>0</v>
      </c>
      <c r="R145" s="517">
        <f t="shared" si="320"/>
        <v>6047.3799999999992</v>
      </c>
      <c r="S145" s="2070">
        <v>0</v>
      </c>
      <c r="T145" s="2070">
        <v>1520.6</v>
      </c>
      <c r="U145" s="2070">
        <v>0</v>
      </c>
      <c r="V145" s="517">
        <f t="shared" si="321"/>
        <v>7567.98</v>
      </c>
      <c r="W145" s="2070">
        <v>0</v>
      </c>
      <c r="X145" s="2070">
        <f>2753.72+1283.9</f>
        <v>4037.62</v>
      </c>
      <c r="Y145" s="2070">
        <v>0</v>
      </c>
      <c r="Z145" s="611">
        <f t="shared" si="345"/>
        <v>5558.2199999999993</v>
      </c>
      <c r="AA145" s="2070">
        <v>0</v>
      </c>
      <c r="AB145" s="1287">
        <f t="shared" si="346"/>
        <v>11605.599999999999</v>
      </c>
      <c r="AC145" s="2070">
        <v>0</v>
      </c>
      <c r="AD145" s="4597">
        <v>3431.5000000000018</v>
      </c>
      <c r="AE145" s="2070">
        <v>0</v>
      </c>
      <c r="AF145" s="517">
        <f t="shared" si="347"/>
        <v>15037.1</v>
      </c>
      <c r="AG145" s="2070">
        <v>0</v>
      </c>
      <c r="AH145" s="2070">
        <v>2724.4399999999991</v>
      </c>
      <c r="AI145" s="2070">
        <v>0</v>
      </c>
      <c r="AJ145" s="517">
        <f t="shared" si="348"/>
        <v>17761.54</v>
      </c>
      <c r="AK145" s="2070">
        <v>0</v>
      </c>
      <c r="AL145" s="2070">
        <f>1043.76+2329.1</f>
        <v>3372.8599999999997</v>
      </c>
      <c r="AM145" s="2070">
        <v>0</v>
      </c>
      <c r="AN145" s="611">
        <f t="shared" si="343"/>
        <v>9528.7999999999993</v>
      </c>
      <c r="AO145" s="2070">
        <v>0</v>
      </c>
      <c r="AP145" s="517">
        <f t="shared" si="349"/>
        <v>21134.400000000001</v>
      </c>
      <c r="AQ145" s="2070">
        <v>0</v>
      </c>
      <c r="AR145" s="2070">
        <v>1600.78</v>
      </c>
      <c r="AS145" s="2070">
        <v>0</v>
      </c>
      <c r="AT145" s="517">
        <f t="shared" si="322"/>
        <v>22735.18</v>
      </c>
      <c r="AU145" s="2070">
        <v>0</v>
      </c>
      <c r="AV145" s="2070">
        <f>6491.6+1522.26</f>
        <v>8013.8600000000006</v>
      </c>
      <c r="AW145" s="2070">
        <v>0</v>
      </c>
      <c r="AX145" s="517">
        <f t="shared" si="323"/>
        <v>30749.040000000001</v>
      </c>
      <c r="AY145" s="2070">
        <v>0</v>
      </c>
      <c r="AZ145" s="4597">
        <f>4760.21+969.93</f>
        <v>5730.14</v>
      </c>
      <c r="BA145" s="2070">
        <v>0</v>
      </c>
      <c r="BB145" s="611">
        <f t="shared" si="350"/>
        <v>15344.780000000002</v>
      </c>
      <c r="BC145" s="1208"/>
      <c r="BD145" s="1287">
        <f t="shared" si="351"/>
        <v>24873.58</v>
      </c>
      <c r="BE145" s="606"/>
      <c r="BF145" s="517">
        <f t="shared" si="352"/>
        <v>36479.18</v>
      </c>
    </row>
    <row r="146" spans="1:81" s="4534" customFormat="1" ht="18.75" x14ac:dyDescent="0.25">
      <c r="B146" s="2104" t="s">
        <v>1140</v>
      </c>
      <c r="C146" s="2102" t="s">
        <v>1209</v>
      </c>
      <c r="D146" s="2070">
        <v>0</v>
      </c>
      <c r="E146" s="2070">
        <v>0</v>
      </c>
      <c r="F146" s="2070">
        <v>2849.9600000000009</v>
      </c>
      <c r="G146" s="2070">
        <v>0</v>
      </c>
      <c r="H146" s="2070">
        <v>3024.4799999999996</v>
      </c>
      <c r="I146" s="4598"/>
      <c r="J146" s="517">
        <f t="shared" si="319"/>
        <v>5874.4400000000005</v>
      </c>
      <c r="K146" s="2070">
        <v>0</v>
      </c>
      <c r="L146" s="2070"/>
      <c r="M146" s="2070">
        <v>0</v>
      </c>
      <c r="N146" s="611">
        <f t="shared" si="344"/>
        <v>5874.4400000000005</v>
      </c>
      <c r="O146" s="2070">
        <v>0</v>
      </c>
      <c r="P146" s="2070">
        <v>7263.2</v>
      </c>
      <c r="Q146" s="2070">
        <v>0</v>
      </c>
      <c r="R146" s="517">
        <f t="shared" si="320"/>
        <v>13137.64</v>
      </c>
      <c r="S146" s="2070">
        <v>0</v>
      </c>
      <c r="T146" s="2070">
        <v>3037.4500000000003</v>
      </c>
      <c r="U146" s="2070">
        <v>0</v>
      </c>
      <c r="V146" s="517">
        <f t="shared" si="321"/>
        <v>16175.09</v>
      </c>
      <c r="W146" s="2070">
        <v>0</v>
      </c>
      <c r="X146" s="2070">
        <v>956.31999999999994</v>
      </c>
      <c r="Y146" s="2070">
        <v>0</v>
      </c>
      <c r="Z146" s="611">
        <f t="shared" si="345"/>
        <v>11256.97</v>
      </c>
      <c r="AA146" s="2070">
        <v>0</v>
      </c>
      <c r="AB146" s="1287">
        <f t="shared" si="346"/>
        <v>17131.41</v>
      </c>
      <c r="AC146" s="2070">
        <v>0</v>
      </c>
      <c r="AD146" s="4597">
        <v>1654.8200000000004</v>
      </c>
      <c r="AE146" s="2070">
        <v>0</v>
      </c>
      <c r="AF146" s="517">
        <f t="shared" si="347"/>
        <v>18786.23</v>
      </c>
      <c r="AG146" s="2070">
        <v>0</v>
      </c>
      <c r="AH146" s="2070">
        <v>1797.6800000000005</v>
      </c>
      <c r="AI146" s="2070">
        <v>0</v>
      </c>
      <c r="AJ146" s="517">
        <f t="shared" si="348"/>
        <v>20583.91</v>
      </c>
      <c r="AK146" s="2070">
        <v>0</v>
      </c>
      <c r="AL146" s="2070">
        <f>1571.18+2736.34</f>
        <v>4307.5200000000004</v>
      </c>
      <c r="AM146" s="2070">
        <v>0</v>
      </c>
      <c r="AN146" s="611">
        <f t="shared" si="343"/>
        <v>7760.0200000000013</v>
      </c>
      <c r="AO146" s="2070">
        <v>0</v>
      </c>
      <c r="AP146" s="517">
        <f t="shared" si="349"/>
        <v>24891.43</v>
      </c>
      <c r="AQ146" s="2070">
        <v>0</v>
      </c>
      <c r="AR146" s="2070">
        <f>1018.83+1383.6</f>
        <v>2402.4299999999998</v>
      </c>
      <c r="AS146" s="2070">
        <v>0</v>
      </c>
      <c r="AT146" s="517">
        <f t="shared" si="322"/>
        <v>27293.86</v>
      </c>
      <c r="AU146" s="2070">
        <v>0</v>
      </c>
      <c r="AV146" s="2070">
        <v>1462.9399999999998</v>
      </c>
      <c r="AW146" s="2070">
        <v>0</v>
      </c>
      <c r="AX146" s="517">
        <f t="shared" si="323"/>
        <v>28756.799999999999</v>
      </c>
      <c r="AY146" s="2070">
        <v>0</v>
      </c>
      <c r="AZ146" s="4597"/>
      <c r="BA146" s="2070">
        <v>0</v>
      </c>
      <c r="BB146" s="611">
        <f t="shared" si="350"/>
        <v>3865.37</v>
      </c>
      <c r="BC146" s="1208"/>
      <c r="BD146" s="1287">
        <f t="shared" si="351"/>
        <v>11625.390000000001</v>
      </c>
      <c r="BE146" s="606"/>
      <c r="BF146" s="517">
        <f t="shared" si="352"/>
        <v>28756.800000000003</v>
      </c>
    </row>
    <row r="147" spans="1:81" s="1726" customFormat="1" ht="18.75" x14ac:dyDescent="0.25">
      <c r="B147" s="2104" t="s">
        <v>1140</v>
      </c>
      <c r="C147" s="2102" t="s">
        <v>1878</v>
      </c>
      <c r="D147" s="2098"/>
      <c r="E147" s="2099"/>
      <c r="F147" s="1331"/>
      <c r="G147" s="2100"/>
      <c r="H147" s="508"/>
      <c r="I147" s="4589"/>
      <c r="J147" s="517">
        <f t="shared" si="319"/>
        <v>0</v>
      </c>
      <c r="K147" s="2100"/>
      <c r="L147" s="508"/>
      <c r="M147" s="4595"/>
      <c r="N147" s="611">
        <f t="shared" si="344"/>
        <v>0</v>
      </c>
      <c r="O147" s="2100"/>
      <c r="P147" s="508"/>
      <c r="Q147" s="4589"/>
      <c r="R147" s="517">
        <f t="shared" si="320"/>
        <v>0</v>
      </c>
      <c r="S147" s="2100"/>
      <c r="T147" s="508"/>
      <c r="U147" s="4589"/>
      <c r="V147" s="517">
        <f t="shared" si="321"/>
        <v>0</v>
      </c>
      <c r="W147" s="2100"/>
      <c r="X147" s="508"/>
      <c r="Y147" s="4590"/>
      <c r="Z147" s="611">
        <f t="shared" si="345"/>
        <v>0</v>
      </c>
      <c r="AA147" s="4591"/>
      <c r="AB147" s="1287">
        <f t="shared" si="346"/>
        <v>0</v>
      </c>
      <c r="AC147" s="2100"/>
      <c r="AD147" s="508"/>
      <c r="AE147" s="4589"/>
      <c r="AF147" s="517">
        <f t="shared" si="347"/>
        <v>0</v>
      </c>
      <c r="AG147" s="2100"/>
      <c r="AH147" s="508"/>
      <c r="AI147" s="4589"/>
      <c r="AJ147" s="517">
        <f t="shared" si="348"/>
        <v>0</v>
      </c>
      <c r="AK147" s="2100"/>
      <c r="AL147" s="508"/>
      <c r="AM147" s="4590"/>
      <c r="AN147" s="611">
        <f t="shared" si="343"/>
        <v>0</v>
      </c>
      <c r="AO147" s="4589"/>
      <c r="AP147" s="517">
        <f t="shared" si="349"/>
        <v>0</v>
      </c>
      <c r="AQ147" s="2100"/>
      <c r="AR147" s="508">
        <v>1376.0999999999997</v>
      </c>
      <c r="AS147" s="4589"/>
      <c r="AT147" s="517">
        <f t="shared" si="322"/>
        <v>1376.0999999999997</v>
      </c>
      <c r="AU147" s="2100"/>
      <c r="AV147" s="508">
        <v>2331.880000000001</v>
      </c>
      <c r="AW147" s="4589"/>
      <c r="AX147" s="517">
        <f t="shared" si="323"/>
        <v>3707.9800000000005</v>
      </c>
      <c r="AY147" s="2100"/>
      <c r="AZ147" s="508">
        <v>436.69999999999993</v>
      </c>
      <c r="BA147" s="4590"/>
      <c r="BB147" s="611">
        <f t="shared" si="350"/>
        <v>4144.68</v>
      </c>
      <c r="BC147" s="1208"/>
      <c r="BD147" s="1287">
        <f t="shared" si="351"/>
        <v>4144.68</v>
      </c>
      <c r="BE147" s="606"/>
      <c r="BF147" s="517">
        <f t="shared" si="352"/>
        <v>4144.68</v>
      </c>
    </row>
    <row r="148" spans="1:81" s="1726" customFormat="1" ht="18.75" x14ac:dyDescent="0.25">
      <c r="B148" s="2104" t="s">
        <v>1140</v>
      </c>
      <c r="C148" s="2102" t="s">
        <v>1883</v>
      </c>
      <c r="D148" s="2098"/>
      <c r="E148" s="2099"/>
      <c r="F148" s="1331"/>
      <c r="G148" s="2100"/>
      <c r="H148" s="508"/>
      <c r="I148" s="4589"/>
      <c r="J148" s="517">
        <f t="shared" si="319"/>
        <v>0</v>
      </c>
      <c r="K148" s="2100"/>
      <c r="L148" s="610">
        <v>1793.6900000000003</v>
      </c>
      <c r="M148" s="4595"/>
      <c r="N148" s="611">
        <f t="shared" si="344"/>
        <v>1793.6900000000003</v>
      </c>
      <c r="O148" s="2100"/>
      <c r="P148" s="610"/>
      <c r="Q148" s="4589"/>
      <c r="R148" s="517">
        <f t="shared" si="320"/>
        <v>1793.6900000000003</v>
      </c>
      <c r="S148" s="2100"/>
      <c r="T148" s="508"/>
      <c r="U148" s="4589"/>
      <c r="V148" s="517">
        <f t="shared" si="321"/>
        <v>1793.6900000000003</v>
      </c>
      <c r="W148" s="2100"/>
      <c r="X148" s="508"/>
      <c r="Y148" s="4590"/>
      <c r="Z148" s="611">
        <f t="shared" si="345"/>
        <v>0</v>
      </c>
      <c r="AA148" s="4591"/>
      <c r="AB148" s="1287">
        <f t="shared" si="346"/>
        <v>1793.6900000000003</v>
      </c>
      <c r="AC148" s="2100"/>
      <c r="AD148" s="508"/>
      <c r="AE148" s="4589"/>
      <c r="AF148" s="517">
        <f t="shared" si="347"/>
        <v>1793.6900000000003</v>
      </c>
      <c r="AG148" s="2100"/>
      <c r="AH148" s="508"/>
      <c r="AI148" s="4589"/>
      <c r="AJ148" s="517">
        <f t="shared" si="348"/>
        <v>1793.6900000000003</v>
      </c>
      <c r="AK148" s="2100"/>
      <c r="AL148" s="508">
        <v>507.9</v>
      </c>
      <c r="AM148" s="4590"/>
      <c r="AN148" s="611">
        <f t="shared" si="343"/>
        <v>507.9</v>
      </c>
      <c r="AO148" s="4589"/>
      <c r="AP148" s="517">
        <f t="shared" si="349"/>
        <v>2301.59</v>
      </c>
      <c r="AQ148" s="2100"/>
      <c r="AR148" s="508"/>
      <c r="AS148" s="4589"/>
      <c r="AT148" s="517">
        <f t="shared" si="322"/>
        <v>2301.59</v>
      </c>
      <c r="AU148" s="2100"/>
      <c r="AV148" s="508">
        <v>503.1</v>
      </c>
      <c r="AW148" s="4589"/>
      <c r="AX148" s="517">
        <f t="shared" si="323"/>
        <v>2804.69</v>
      </c>
      <c r="AY148" s="2100"/>
      <c r="AZ148" s="508">
        <v>593.24</v>
      </c>
      <c r="BA148" s="4590"/>
      <c r="BB148" s="611">
        <f t="shared" si="350"/>
        <v>1096.3400000000001</v>
      </c>
      <c r="BC148" s="1208"/>
      <c r="BD148" s="1287">
        <f t="shared" si="351"/>
        <v>1604.2400000000002</v>
      </c>
      <c r="BE148" s="606"/>
      <c r="BF148" s="517">
        <f t="shared" si="352"/>
        <v>3397.9300000000003</v>
      </c>
    </row>
    <row r="149" spans="1:81" s="727" customFormat="1" ht="18.75" x14ac:dyDescent="0.25">
      <c r="B149" s="2104" t="s">
        <v>1140</v>
      </c>
      <c r="C149" s="2102" t="s">
        <v>1891</v>
      </c>
      <c r="D149" s="2098"/>
      <c r="E149" s="2099"/>
      <c r="F149" s="1331">
        <v>6238.78</v>
      </c>
      <c r="G149" s="2100"/>
      <c r="H149" s="508">
        <v>4728.3699999999981</v>
      </c>
      <c r="I149" s="4589"/>
      <c r="J149" s="517">
        <f t="shared" si="319"/>
        <v>10967.149999999998</v>
      </c>
      <c r="K149" s="2100"/>
      <c r="L149" s="610">
        <v>4595.0800000000017</v>
      </c>
      <c r="M149" s="4595"/>
      <c r="N149" s="611">
        <f t="shared" si="344"/>
        <v>15562.23</v>
      </c>
      <c r="O149" s="2100"/>
      <c r="P149" s="610">
        <v>4708.6700000000019</v>
      </c>
      <c r="Q149" s="4589"/>
      <c r="R149" s="517">
        <f t="shared" si="320"/>
        <v>20270.900000000001</v>
      </c>
      <c r="S149" s="2100"/>
      <c r="T149" s="508">
        <v>7810.1499999999978</v>
      </c>
      <c r="U149" s="4589"/>
      <c r="V149" s="517">
        <f t="shared" si="321"/>
        <v>28081.05</v>
      </c>
      <c r="W149" s="2100"/>
      <c r="X149" s="508">
        <v>5835.7800000000007</v>
      </c>
      <c r="Y149" s="4590"/>
      <c r="Z149" s="611">
        <f t="shared" si="345"/>
        <v>18354.599999999999</v>
      </c>
      <c r="AA149" s="4591"/>
      <c r="AB149" s="1287">
        <f t="shared" si="346"/>
        <v>33916.83</v>
      </c>
      <c r="AC149" s="2100"/>
      <c r="AD149" s="508">
        <v>2988.8599999999997</v>
      </c>
      <c r="AE149" s="4589"/>
      <c r="AF149" s="517">
        <f t="shared" si="347"/>
        <v>36905.69</v>
      </c>
      <c r="AG149" s="2100"/>
      <c r="AH149" s="508">
        <v>6964.5599999999986</v>
      </c>
      <c r="AI149" s="4589"/>
      <c r="AJ149" s="517">
        <f t="shared" si="348"/>
        <v>43870.25</v>
      </c>
      <c r="AK149" s="2100"/>
      <c r="AL149" s="508">
        <v>4536.4399999999987</v>
      </c>
      <c r="AM149" s="4590"/>
      <c r="AN149" s="611">
        <f t="shared" si="343"/>
        <v>14489.859999999997</v>
      </c>
      <c r="AO149" s="4589"/>
      <c r="AP149" s="517">
        <f t="shared" si="349"/>
        <v>48406.69</v>
      </c>
      <c r="AQ149" s="2100"/>
      <c r="AR149" s="508">
        <v>2055.1300000000006</v>
      </c>
      <c r="AS149" s="4589"/>
      <c r="AT149" s="517">
        <f t="shared" si="322"/>
        <v>50461.82</v>
      </c>
      <c r="AU149" s="2100"/>
      <c r="AV149" s="508">
        <v>4988.93</v>
      </c>
      <c r="AW149" s="4589"/>
      <c r="AX149" s="517">
        <f t="shared" si="323"/>
        <v>55450.75</v>
      </c>
      <c r="AY149" s="2100"/>
      <c r="AZ149" s="508">
        <v>4576.7200000000012</v>
      </c>
      <c r="BA149" s="4590"/>
      <c r="BB149" s="611">
        <f t="shared" si="350"/>
        <v>11620.780000000002</v>
      </c>
      <c r="BC149" s="1208"/>
      <c r="BD149" s="1287">
        <f t="shared" si="351"/>
        <v>26110.639999999999</v>
      </c>
      <c r="BE149" s="606"/>
      <c r="BF149" s="517">
        <f t="shared" si="352"/>
        <v>60027.47</v>
      </c>
      <c r="BG149" s="1726"/>
      <c r="BH149" s="1726"/>
      <c r="BI149" s="1726"/>
      <c r="BJ149" s="1726"/>
      <c r="BK149" s="1726"/>
      <c r="BL149" s="1726"/>
      <c r="BM149" s="1726"/>
      <c r="BN149" s="1726"/>
      <c r="BO149" s="1726"/>
      <c r="BP149" s="1726"/>
      <c r="BQ149" s="1726"/>
      <c r="BR149" s="1726"/>
      <c r="BS149" s="1726"/>
      <c r="BT149" s="1726"/>
      <c r="BU149" s="1726"/>
      <c r="BV149" s="1726"/>
      <c r="BW149" s="1726"/>
      <c r="BX149" s="1726"/>
      <c r="BY149" s="1726"/>
      <c r="BZ149" s="1726"/>
      <c r="CA149" s="1726"/>
      <c r="CB149" s="1726"/>
      <c r="CC149" s="1726"/>
    </row>
    <row r="150" spans="1:81" s="942" customFormat="1" ht="18.75" x14ac:dyDescent="0.25">
      <c r="A150" s="4090"/>
      <c r="B150" s="2104" t="s">
        <v>1140</v>
      </c>
      <c r="C150" s="2102" t="s">
        <v>1882</v>
      </c>
      <c r="D150" s="2098"/>
      <c r="E150" s="2099"/>
      <c r="F150" s="1331">
        <v>4532.4100000000008</v>
      </c>
      <c r="G150" s="2100"/>
      <c r="H150" s="508">
        <v>4125.7</v>
      </c>
      <c r="I150" s="4589"/>
      <c r="J150" s="517">
        <f t="shared" si="319"/>
        <v>8658.11</v>
      </c>
      <c r="K150" s="2100"/>
      <c r="L150" s="508">
        <v>5275.869999999999</v>
      </c>
      <c r="M150" s="4595"/>
      <c r="N150" s="611">
        <f t="shared" si="344"/>
        <v>13933.98</v>
      </c>
      <c r="O150" s="2100"/>
      <c r="P150" s="610">
        <v>1568.35</v>
      </c>
      <c r="Q150" s="4589"/>
      <c r="R150" s="517">
        <f t="shared" si="320"/>
        <v>15502.33</v>
      </c>
      <c r="S150" s="2100"/>
      <c r="T150" s="508">
        <v>3439.1</v>
      </c>
      <c r="U150" s="4589"/>
      <c r="V150" s="517">
        <f t="shared" si="321"/>
        <v>18941.43</v>
      </c>
      <c r="W150" s="2100"/>
      <c r="X150" s="508">
        <v>6158.4400000000014</v>
      </c>
      <c r="Y150" s="4590"/>
      <c r="Z150" s="611">
        <f t="shared" si="345"/>
        <v>11165.890000000001</v>
      </c>
      <c r="AA150" s="4591"/>
      <c r="AB150" s="1287">
        <f t="shared" si="346"/>
        <v>25099.870000000003</v>
      </c>
      <c r="AC150" s="2100"/>
      <c r="AD150" s="508">
        <v>2288.2200000000007</v>
      </c>
      <c r="AE150" s="4589"/>
      <c r="AF150" s="517">
        <f t="shared" si="347"/>
        <v>27388.090000000004</v>
      </c>
      <c r="AG150" s="2100"/>
      <c r="AH150" s="508">
        <v>1979.4599999999998</v>
      </c>
      <c r="AI150" s="4589"/>
      <c r="AJ150" s="517">
        <f t="shared" si="348"/>
        <v>29367.550000000003</v>
      </c>
      <c r="AK150" s="2100"/>
      <c r="AL150" s="508">
        <v>3172.78</v>
      </c>
      <c r="AM150" s="4590"/>
      <c r="AN150" s="611">
        <f t="shared" si="343"/>
        <v>7440.4600000000009</v>
      </c>
      <c r="AO150" s="4589"/>
      <c r="AP150" s="517">
        <f t="shared" si="349"/>
        <v>32540.33</v>
      </c>
      <c r="AQ150" s="2100"/>
      <c r="AR150" s="508">
        <v>32.81</v>
      </c>
      <c r="AS150" s="4589"/>
      <c r="AT150" s="517">
        <f t="shared" si="322"/>
        <v>32573.140000000003</v>
      </c>
      <c r="AU150" s="2100"/>
      <c r="AV150" s="508">
        <v>2067.17</v>
      </c>
      <c r="AW150" s="4589"/>
      <c r="AX150" s="517">
        <f t="shared" si="323"/>
        <v>34640.310000000005</v>
      </c>
      <c r="AY150" s="2100"/>
      <c r="AZ150" s="508">
        <v>2633.1299999999997</v>
      </c>
      <c r="BA150" s="4590"/>
      <c r="BB150" s="611">
        <f t="shared" si="350"/>
        <v>4733.1099999999997</v>
      </c>
      <c r="BC150" s="1208"/>
      <c r="BD150" s="1287">
        <f t="shared" si="351"/>
        <v>12173.57</v>
      </c>
      <c r="BE150" s="606"/>
      <c r="BF150" s="517">
        <f t="shared" si="352"/>
        <v>37273.440000000002</v>
      </c>
      <c r="BG150" s="1726"/>
      <c r="BH150" s="1726"/>
      <c r="BI150" s="1726"/>
      <c r="BJ150" s="1726"/>
      <c r="BK150" s="1726"/>
      <c r="BL150" s="1726"/>
      <c r="BM150" s="1726"/>
      <c r="BN150" s="1726"/>
      <c r="BO150" s="1726"/>
      <c r="BP150" s="1726"/>
      <c r="BQ150" s="1726"/>
      <c r="BR150" s="1726"/>
      <c r="BS150" s="1726"/>
      <c r="BT150" s="1726"/>
      <c r="BU150" s="1726"/>
      <c r="BV150" s="1726"/>
      <c r="BW150" s="1726"/>
      <c r="BX150" s="1726"/>
      <c r="BY150" s="1726"/>
      <c r="BZ150" s="1726"/>
      <c r="CA150" s="1726"/>
      <c r="CB150" s="1726"/>
      <c r="CC150" s="1726"/>
    </row>
    <row r="151" spans="1:81" ht="18.75" x14ac:dyDescent="0.25">
      <c r="B151" s="2104" t="s">
        <v>1141</v>
      </c>
      <c r="C151" s="2102" t="s">
        <v>1879</v>
      </c>
      <c r="D151" s="2098"/>
      <c r="E151" s="2099"/>
      <c r="F151" s="1331"/>
      <c r="G151" s="2100"/>
      <c r="H151" s="508">
        <v>23.7</v>
      </c>
      <c r="I151" s="4589"/>
      <c r="J151" s="517">
        <f t="shared" si="319"/>
        <v>23.7</v>
      </c>
      <c r="K151" s="2100"/>
      <c r="L151" s="508"/>
      <c r="M151" s="4595"/>
      <c r="N151" s="611">
        <f t="shared" si="344"/>
        <v>23.7</v>
      </c>
      <c r="O151" s="2100"/>
      <c r="P151" s="508"/>
      <c r="Q151" s="4589"/>
      <c r="R151" s="517">
        <f t="shared" si="320"/>
        <v>23.7</v>
      </c>
      <c r="S151" s="2100"/>
      <c r="T151" s="508"/>
      <c r="U151" s="4589"/>
      <c r="V151" s="517">
        <f t="shared" si="321"/>
        <v>23.7</v>
      </c>
      <c r="W151" s="2100"/>
      <c r="X151" s="508"/>
      <c r="Y151" s="4590"/>
      <c r="Z151" s="611">
        <f t="shared" si="345"/>
        <v>0</v>
      </c>
      <c r="AA151" s="4591"/>
      <c r="AB151" s="1287">
        <f t="shared" si="346"/>
        <v>23.7</v>
      </c>
      <c r="AC151" s="2100"/>
      <c r="AD151" s="508"/>
      <c r="AE151" s="4589"/>
      <c r="AF151" s="517">
        <f t="shared" si="347"/>
        <v>23.7</v>
      </c>
      <c r="AG151" s="2100"/>
      <c r="AH151" s="508">
        <v>310.38</v>
      </c>
      <c r="AI151" s="4589"/>
      <c r="AJ151" s="517">
        <f t="shared" si="348"/>
        <v>334.08</v>
      </c>
      <c r="AK151" s="2100"/>
      <c r="AL151" s="508"/>
      <c r="AM151" s="4590"/>
      <c r="AN151" s="611">
        <f t="shared" si="343"/>
        <v>310.38</v>
      </c>
      <c r="AO151" s="4589"/>
      <c r="AP151" s="517">
        <f t="shared" si="349"/>
        <v>334.08</v>
      </c>
      <c r="AQ151" s="2100"/>
      <c r="AR151" s="508"/>
      <c r="AS151" s="4589"/>
      <c r="AT151" s="517">
        <f t="shared" si="322"/>
        <v>334.08</v>
      </c>
      <c r="AU151" s="2100"/>
      <c r="AV151" s="508"/>
      <c r="AW151" s="4589"/>
      <c r="AX151" s="517">
        <f t="shared" si="323"/>
        <v>334.08</v>
      </c>
      <c r="AY151" s="2100"/>
      <c r="AZ151" s="508"/>
      <c r="BA151" s="4590"/>
      <c r="BB151" s="611">
        <f t="shared" si="350"/>
        <v>0</v>
      </c>
      <c r="BC151" s="1208"/>
      <c r="BD151" s="1287">
        <f t="shared" si="351"/>
        <v>310.38</v>
      </c>
      <c r="BE151" s="606"/>
      <c r="BF151" s="517">
        <f t="shared" si="352"/>
        <v>334.08</v>
      </c>
    </row>
    <row r="152" spans="1:81" ht="18.75" x14ac:dyDescent="0.25">
      <c r="B152" s="2104" t="s">
        <v>1141</v>
      </c>
      <c r="C152" s="2102" t="s">
        <v>1887</v>
      </c>
      <c r="D152" s="2098"/>
      <c r="E152" s="2099"/>
      <c r="F152" s="1331">
        <v>1039.5700000000002</v>
      </c>
      <c r="G152" s="2100"/>
      <c r="H152" s="508"/>
      <c r="I152" s="4589"/>
      <c r="J152" s="517">
        <f t="shared" si="319"/>
        <v>1039.5700000000002</v>
      </c>
      <c r="K152" s="2100"/>
      <c r="L152" s="508">
        <v>1362.38</v>
      </c>
      <c r="M152" s="4595"/>
      <c r="N152" s="611">
        <f t="shared" si="344"/>
        <v>2401.9500000000003</v>
      </c>
      <c r="O152" s="2100"/>
      <c r="P152" s="508">
        <v>951.1099999999999</v>
      </c>
      <c r="Q152" s="4589"/>
      <c r="R152" s="517">
        <f t="shared" si="320"/>
        <v>3353.0600000000004</v>
      </c>
      <c r="S152" s="2100"/>
      <c r="T152" s="508">
        <v>486.48</v>
      </c>
      <c r="U152" s="4589"/>
      <c r="V152" s="517">
        <f t="shared" si="321"/>
        <v>3839.5400000000004</v>
      </c>
      <c r="W152" s="2100"/>
      <c r="X152" s="508">
        <v>951.34</v>
      </c>
      <c r="Y152" s="4590"/>
      <c r="Z152" s="611">
        <f t="shared" si="345"/>
        <v>2388.9299999999998</v>
      </c>
      <c r="AA152" s="4591"/>
      <c r="AB152" s="1287">
        <f t="shared" si="346"/>
        <v>4790.88</v>
      </c>
      <c r="AC152" s="2100"/>
      <c r="AD152" s="508"/>
      <c r="AE152" s="4589"/>
      <c r="AF152" s="517">
        <f t="shared" si="347"/>
        <v>4790.88</v>
      </c>
      <c r="AG152" s="2100"/>
      <c r="AH152" s="508">
        <v>904.56999999999994</v>
      </c>
      <c r="AI152" s="4589"/>
      <c r="AJ152" s="517">
        <f t="shared" si="348"/>
        <v>5695.45</v>
      </c>
      <c r="AK152" s="2100"/>
      <c r="AL152" s="508">
        <v>1204.0700000000002</v>
      </c>
      <c r="AM152" s="4590"/>
      <c r="AN152" s="611">
        <f t="shared" si="343"/>
        <v>2108.6400000000003</v>
      </c>
      <c r="AO152" s="4589"/>
      <c r="AP152" s="517">
        <f t="shared" si="349"/>
        <v>6899.52</v>
      </c>
      <c r="AQ152" s="2100"/>
      <c r="AR152" s="508">
        <v>1133.94</v>
      </c>
      <c r="AS152" s="4589"/>
      <c r="AT152" s="517">
        <f t="shared" si="322"/>
        <v>8033.4600000000009</v>
      </c>
      <c r="AU152" s="2100"/>
      <c r="AV152" s="508"/>
      <c r="AW152" s="4589"/>
      <c r="AX152" s="517">
        <f t="shared" si="323"/>
        <v>8033.4600000000009</v>
      </c>
      <c r="AY152" s="2100"/>
      <c r="AZ152" s="508"/>
      <c r="BA152" s="4590"/>
      <c r="BB152" s="611">
        <f t="shared" si="350"/>
        <v>1133.94</v>
      </c>
      <c r="BC152" s="1208"/>
      <c r="BD152" s="1287">
        <f t="shared" si="351"/>
        <v>3242.5800000000004</v>
      </c>
      <c r="BE152" s="606"/>
      <c r="BF152" s="517">
        <f t="shared" si="352"/>
        <v>8033.4600000000009</v>
      </c>
    </row>
    <row r="153" spans="1:81" s="1726" customFormat="1" ht="18.75" x14ac:dyDescent="0.25">
      <c r="B153" s="2104" t="s">
        <v>1141</v>
      </c>
      <c r="C153" s="2102" t="s">
        <v>1888</v>
      </c>
      <c r="D153" s="2098"/>
      <c r="E153" s="2099"/>
      <c r="F153" s="1331"/>
      <c r="G153" s="2100"/>
      <c r="H153" s="508"/>
      <c r="I153" s="4589"/>
      <c r="J153" s="517">
        <f t="shared" si="319"/>
        <v>0</v>
      </c>
      <c r="K153" s="2100"/>
      <c r="L153" s="508"/>
      <c r="M153" s="4595"/>
      <c r="N153" s="611">
        <f t="shared" si="344"/>
        <v>0</v>
      </c>
      <c r="O153" s="2100"/>
      <c r="P153" s="508"/>
      <c r="Q153" s="4589"/>
      <c r="R153" s="517">
        <f t="shared" si="320"/>
        <v>0</v>
      </c>
      <c r="S153" s="2100"/>
      <c r="T153" s="508"/>
      <c r="U153" s="4589"/>
      <c r="V153" s="517">
        <f t="shared" si="321"/>
        <v>0</v>
      </c>
      <c r="W153" s="2100"/>
      <c r="X153" s="508"/>
      <c r="Y153" s="4590"/>
      <c r="Z153" s="611">
        <f t="shared" si="345"/>
        <v>0</v>
      </c>
      <c r="AA153" s="4591"/>
      <c r="AB153" s="1287">
        <f t="shared" si="346"/>
        <v>0</v>
      </c>
      <c r="AC153" s="2100"/>
      <c r="AD153" s="508"/>
      <c r="AE153" s="4589"/>
      <c r="AF153" s="517">
        <f t="shared" si="347"/>
        <v>0</v>
      </c>
      <c r="AG153" s="2100"/>
      <c r="AH153" s="508"/>
      <c r="AI153" s="4589"/>
      <c r="AJ153" s="517">
        <f t="shared" si="348"/>
        <v>0</v>
      </c>
      <c r="AK153" s="2100"/>
      <c r="AL153" s="508"/>
      <c r="AM153" s="4590"/>
      <c r="AN153" s="611">
        <f t="shared" si="343"/>
        <v>0</v>
      </c>
      <c r="AO153" s="4589"/>
      <c r="AP153" s="517">
        <f t="shared" si="349"/>
        <v>0</v>
      </c>
      <c r="AQ153" s="2100"/>
      <c r="AR153" s="508">
        <v>62.64</v>
      </c>
      <c r="AS153" s="4589"/>
      <c r="AT153" s="517">
        <f t="shared" si="322"/>
        <v>62.64</v>
      </c>
      <c r="AU153" s="2100"/>
      <c r="AV153" s="508">
        <v>30.57</v>
      </c>
      <c r="AW153" s="4589"/>
      <c r="AX153" s="517">
        <f t="shared" si="323"/>
        <v>93.210000000000008</v>
      </c>
      <c r="AY153" s="2100"/>
      <c r="AZ153" s="508"/>
      <c r="BA153" s="4590"/>
      <c r="BB153" s="611">
        <f t="shared" si="350"/>
        <v>93.210000000000008</v>
      </c>
      <c r="BC153" s="1208"/>
      <c r="BD153" s="1287">
        <f t="shared" si="351"/>
        <v>93.210000000000008</v>
      </c>
      <c r="BE153" s="606"/>
      <c r="BF153" s="517">
        <f t="shared" si="352"/>
        <v>93.210000000000008</v>
      </c>
    </row>
    <row r="154" spans="1:81" s="1726" customFormat="1" ht="18.75" x14ac:dyDescent="0.25">
      <c r="B154" s="2104" t="s">
        <v>1141</v>
      </c>
      <c r="C154" s="2102" t="s">
        <v>1889</v>
      </c>
      <c r="D154" s="2098"/>
      <c r="E154" s="2099"/>
      <c r="F154" s="1331"/>
      <c r="G154" s="2100"/>
      <c r="H154" s="508"/>
      <c r="I154" s="4589"/>
      <c r="J154" s="517">
        <f t="shared" si="319"/>
        <v>0</v>
      </c>
      <c r="K154" s="2100"/>
      <c r="L154" s="508"/>
      <c r="M154" s="4595"/>
      <c r="N154" s="611">
        <f t="shared" si="344"/>
        <v>0</v>
      </c>
      <c r="O154" s="2100"/>
      <c r="P154" s="508"/>
      <c r="Q154" s="4589"/>
      <c r="R154" s="517">
        <f t="shared" si="320"/>
        <v>0</v>
      </c>
      <c r="S154" s="2100"/>
      <c r="T154" s="508"/>
      <c r="U154" s="4589"/>
      <c r="V154" s="517">
        <f t="shared" si="321"/>
        <v>0</v>
      </c>
      <c r="W154" s="2100"/>
      <c r="X154" s="508"/>
      <c r="Y154" s="4590"/>
      <c r="Z154" s="611">
        <f t="shared" si="345"/>
        <v>0</v>
      </c>
      <c r="AA154" s="4591"/>
      <c r="AB154" s="1287">
        <f t="shared" si="346"/>
        <v>0</v>
      </c>
      <c r="AC154" s="2100"/>
      <c r="AD154" s="508"/>
      <c r="AE154" s="4589"/>
      <c r="AF154" s="517">
        <f t="shared" si="347"/>
        <v>0</v>
      </c>
      <c r="AG154" s="2100"/>
      <c r="AH154" s="508"/>
      <c r="AI154" s="4589"/>
      <c r="AJ154" s="517">
        <f t="shared" si="348"/>
        <v>0</v>
      </c>
      <c r="AK154" s="2100"/>
      <c r="AL154" s="508"/>
      <c r="AM154" s="4590"/>
      <c r="AN154" s="611">
        <f t="shared" si="343"/>
        <v>0</v>
      </c>
      <c r="AO154" s="4589"/>
      <c r="AP154" s="517">
        <f t="shared" si="349"/>
        <v>0</v>
      </c>
      <c r="AQ154" s="2100"/>
      <c r="AR154" s="508">
        <v>123.92</v>
      </c>
      <c r="AS154" s="4589"/>
      <c r="AT154" s="517">
        <f t="shared" si="322"/>
        <v>123.92</v>
      </c>
      <c r="AU154" s="2100"/>
      <c r="AV154" s="508">
        <v>62.96</v>
      </c>
      <c r="AW154" s="4589"/>
      <c r="AX154" s="517">
        <f t="shared" si="323"/>
        <v>186.88</v>
      </c>
      <c r="AY154" s="2100"/>
      <c r="AZ154" s="508"/>
      <c r="BA154" s="4590"/>
      <c r="BB154" s="611">
        <f t="shared" si="350"/>
        <v>186.88</v>
      </c>
      <c r="BC154" s="1208"/>
      <c r="BD154" s="1287">
        <f t="shared" si="351"/>
        <v>186.88</v>
      </c>
      <c r="BE154" s="606"/>
      <c r="BF154" s="517">
        <f t="shared" si="352"/>
        <v>186.88</v>
      </c>
    </row>
    <row r="155" spans="1:81" ht="18.75" x14ac:dyDescent="0.25">
      <c r="B155" s="2104" t="s">
        <v>1141</v>
      </c>
      <c r="C155" s="2102" t="s">
        <v>1159</v>
      </c>
      <c r="D155" s="2098"/>
      <c r="E155" s="2099"/>
      <c r="F155" s="1331">
        <v>361.06</v>
      </c>
      <c r="G155" s="2100"/>
      <c r="H155" s="508"/>
      <c r="I155" s="4592"/>
      <c r="J155" s="517">
        <f t="shared" si="319"/>
        <v>361.06</v>
      </c>
      <c r="K155" s="2100"/>
      <c r="L155" s="508">
        <v>375.15999999999997</v>
      </c>
      <c r="M155" s="4596"/>
      <c r="N155" s="611">
        <f t="shared" si="344"/>
        <v>736.22</v>
      </c>
      <c r="O155" s="2100"/>
      <c r="P155" s="508">
        <v>1003.3599999999999</v>
      </c>
      <c r="Q155" s="4592"/>
      <c r="R155" s="517">
        <f t="shared" si="320"/>
        <v>1739.58</v>
      </c>
      <c r="S155" s="2100"/>
      <c r="T155" s="508">
        <v>414.06000000000006</v>
      </c>
      <c r="U155" s="4592"/>
      <c r="V155" s="517">
        <f t="shared" si="321"/>
        <v>2153.64</v>
      </c>
      <c r="W155" s="2100"/>
      <c r="X155" s="508">
        <v>576.71</v>
      </c>
      <c r="Y155" s="4593"/>
      <c r="Z155" s="611">
        <f t="shared" si="345"/>
        <v>1994.13</v>
      </c>
      <c r="AA155" s="4594"/>
      <c r="AB155" s="1287">
        <f t="shared" si="346"/>
        <v>2730.3500000000004</v>
      </c>
      <c r="AC155" s="2100"/>
      <c r="AD155" s="508">
        <v>56.85</v>
      </c>
      <c r="AE155" s="4592"/>
      <c r="AF155" s="517">
        <f t="shared" si="347"/>
        <v>2787.2000000000003</v>
      </c>
      <c r="AG155" s="2100"/>
      <c r="AH155" s="508">
        <v>928.86</v>
      </c>
      <c r="AI155" s="4592"/>
      <c r="AJ155" s="517">
        <f t="shared" si="348"/>
        <v>3716.0600000000004</v>
      </c>
      <c r="AK155" s="2100"/>
      <c r="AL155" s="508">
        <v>1206.4100000000001</v>
      </c>
      <c r="AM155" s="4593"/>
      <c r="AN155" s="611">
        <f t="shared" si="343"/>
        <v>2192.12</v>
      </c>
      <c r="AO155" s="4592"/>
      <c r="AP155" s="517">
        <f t="shared" si="349"/>
        <v>4922.47</v>
      </c>
      <c r="AQ155" s="2100"/>
      <c r="AR155" s="508">
        <v>550.67000000000007</v>
      </c>
      <c r="AS155" s="4592"/>
      <c r="AT155" s="517">
        <f t="shared" si="322"/>
        <v>5473.14</v>
      </c>
      <c r="AU155" s="2100"/>
      <c r="AV155" s="508">
        <v>474.88</v>
      </c>
      <c r="AW155" s="4592"/>
      <c r="AX155" s="517">
        <f t="shared" si="323"/>
        <v>5948.02</v>
      </c>
      <c r="AY155" s="2100"/>
      <c r="AZ155" s="508"/>
      <c r="BA155" s="4593"/>
      <c r="BB155" s="611">
        <f t="shared" si="350"/>
        <v>1025.5500000000002</v>
      </c>
      <c r="BC155" s="1208"/>
      <c r="BD155" s="1287">
        <f t="shared" si="351"/>
        <v>3217.67</v>
      </c>
      <c r="BE155" s="606"/>
      <c r="BF155" s="517">
        <f t="shared" si="352"/>
        <v>5948.02</v>
      </c>
    </row>
    <row r="156" spans="1:81" s="1485" customFormat="1" ht="18.75" x14ac:dyDescent="0.25">
      <c r="B156" s="2104" t="s">
        <v>1141</v>
      </c>
      <c r="C156" s="2102" t="s">
        <v>1408</v>
      </c>
      <c r="D156" s="2098"/>
      <c r="E156" s="2099"/>
      <c r="F156" s="1331">
        <v>49.58</v>
      </c>
      <c r="G156" s="2100"/>
      <c r="H156" s="508"/>
      <c r="I156" s="4537"/>
      <c r="J156" s="517">
        <f t="shared" si="319"/>
        <v>49.58</v>
      </c>
      <c r="K156" s="2100"/>
      <c r="L156" s="508">
        <v>561.86</v>
      </c>
      <c r="M156" s="4539"/>
      <c r="N156" s="611">
        <f t="shared" si="344"/>
        <v>611.44000000000005</v>
      </c>
      <c r="O156" s="2100"/>
      <c r="P156" s="508">
        <v>62.7</v>
      </c>
      <c r="Q156" s="4537"/>
      <c r="R156" s="517">
        <f t="shared" si="320"/>
        <v>674.1400000000001</v>
      </c>
      <c r="S156" s="2100"/>
      <c r="T156" s="508">
        <v>682.32</v>
      </c>
      <c r="U156" s="4537"/>
      <c r="V156" s="517">
        <f t="shared" si="321"/>
        <v>1356.46</v>
      </c>
      <c r="W156" s="2100"/>
      <c r="X156" s="508">
        <v>1437.84</v>
      </c>
      <c r="Y156" s="4539"/>
      <c r="Z156" s="611">
        <f t="shared" si="345"/>
        <v>2182.86</v>
      </c>
      <c r="AA156" s="4542"/>
      <c r="AB156" s="1287">
        <f t="shared" si="346"/>
        <v>2794.3</v>
      </c>
      <c r="AC156" s="2100"/>
      <c r="AD156" s="508">
        <v>744.38</v>
      </c>
      <c r="AE156" s="4537"/>
      <c r="AF156" s="517">
        <f t="shared" si="347"/>
        <v>3538.6800000000003</v>
      </c>
      <c r="AG156" s="2100"/>
      <c r="AH156" s="508">
        <v>1248.18</v>
      </c>
      <c r="AI156" s="4537"/>
      <c r="AJ156" s="517">
        <f t="shared" si="348"/>
        <v>4786.8600000000006</v>
      </c>
      <c r="AK156" s="2100"/>
      <c r="AL156" s="508"/>
      <c r="AM156" s="4539"/>
      <c r="AN156" s="611">
        <f t="shared" si="343"/>
        <v>1992.56</v>
      </c>
      <c r="AO156" s="4537"/>
      <c r="AP156" s="517">
        <f t="shared" si="349"/>
        <v>4786.8600000000006</v>
      </c>
      <c r="AQ156" s="2100"/>
      <c r="AR156" s="508">
        <v>491.48</v>
      </c>
      <c r="AS156" s="4537"/>
      <c r="AT156" s="517">
        <f t="shared" si="322"/>
        <v>5278.34</v>
      </c>
      <c r="AU156" s="2100"/>
      <c r="AV156" s="508"/>
      <c r="AW156" s="4537"/>
      <c r="AX156" s="517">
        <f t="shared" si="323"/>
        <v>5278.34</v>
      </c>
      <c r="AY156" s="2100"/>
      <c r="AZ156" s="508">
        <v>1186.82</v>
      </c>
      <c r="BA156" s="4539"/>
      <c r="BB156" s="611">
        <f t="shared" si="350"/>
        <v>1678.3</v>
      </c>
      <c r="BC156" s="1208"/>
      <c r="BD156" s="1287">
        <f t="shared" si="351"/>
        <v>3670.8599999999997</v>
      </c>
      <c r="BE156" s="606"/>
      <c r="BF156" s="517">
        <f t="shared" si="352"/>
        <v>6465.16</v>
      </c>
      <c r="BG156" s="1726"/>
      <c r="BH156" s="1726"/>
      <c r="BI156" s="1726"/>
      <c r="BJ156" s="1726"/>
      <c r="BK156" s="1726"/>
      <c r="BL156" s="1726"/>
      <c r="BM156" s="1726"/>
      <c r="BN156" s="1726"/>
      <c r="BO156" s="1726"/>
      <c r="BP156" s="1726"/>
      <c r="BQ156" s="1726"/>
      <c r="BR156" s="1726"/>
      <c r="BS156" s="1726"/>
      <c r="BT156" s="1726"/>
      <c r="BU156" s="1726"/>
      <c r="BV156" s="1726"/>
      <c r="BW156" s="1726"/>
      <c r="BX156" s="1726"/>
      <c r="BY156" s="1726"/>
      <c r="BZ156" s="1726"/>
      <c r="CA156" s="1726"/>
      <c r="CB156" s="1726"/>
      <c r="CC156" s="1726"/>
    </row>
    <row r="157" spans="1:81" s="570" customFormat="1" ht="18.75" x14ac:dyDescent="0.25">
      <c r="B157" s="2104" t="s">
        <v>1141</v>
      </c>
      <c r="C157" s="2102" t="s">
        <v>1204</v>
      </c>
      <c r="D157" s="2103"/>
      <c r="E157" s="2099"/>
      <c r="F157" s="1331">
        <v>32.31</v>
      </c>
      <c r="G157" s="2100"/>
      <c r="H157" s="508"/>
      <c r="I157" s="4589"/>
      <c r="J157" s="517">
        <f t="shared" si="319"/>
        <v>32.31</v>
      </c>
      <c r="K157" s="2100"/>
      <c r="L157" s="508"/>
      <c r="M157" s="4590"/>
      <c r="N157" s="611">
        <f t="shared" si="344"/>
        <v>32.31</v>
      </c>
      <c r="O157" s="2100"/>
      <c r="P157" s="508"/>
      <c r="Q157" s="4589"/>
      <c r="R157" s="517">
        <f t="shared" si="320"/>
        <v>32.31</v>
      </c>
      <c r="S157" s="2100"/>
      <c r="T157" s="508"/>
      <c r="U157" s="4589"/>
      <c r="V157" s="517">
        <f t="shared" si="321"/>
        <v>32.31</v>
      </c>
      <c r="W157" s="2100"/>
      <c r="X157" s="508"/>
      <c r="Y157" s="4590"/>
      <c r="Z157" s="611">
        <f t="shared" si="345"/>
        <v>0</v>
      </c>
      <c r="AA157" s="4591"/>
      <c r="AB157" s="1287">
        <f t="shared" si="346"/>
        <v>32.31</v>
      </c>
      <c r="AC157" s="2100"/>
      <c r="AD157" s="508">
        <v>576.4899999999999</v>
      </c>
      <c r="AE157" s="4589"/>
      <c r="AF157" s="517">
        <f t="shared" si="347"/>
        <v>608.79999999999995</v>
      </c>
      <c r="AG157" s="2100"/>
      <c r="AH157" s="508"/>
      <c r="AI157" s="4589"/>
      <c r="AJ157" s="517">
        <f t="shared" si="348"/>
        <v>608.79999999999995</v>
      </c>
      <c r="AK157" s="2100"/>
      <c r="AL157" s="508"/>
      <c r="AM157" s="4590"/>
      <c r="AN157" s="611">
        <f t="shared" si="343"/>
        <v>576.4899999999999</v>
      </c>
      <c r="AO157" s="4589"/>
      <c r="AP157" s="517">
        <f t="shared" si="349"/>
        <v>608.79999999999995</v>
      </c>
      <c r="AQ157" s="2100"/>
      <c r="AR157" s="508"/>
      <c r="AS157" s="4589"/>
      <c r="AT157" s="517">
        <f t="shared" si="322"/>
        <v>608.79999999999995</v>
      </c>
      <c r="AU157" s="2100"/>
      <c r="AV157" s="508"/>
      <c r="AW157" s="4589"/>
      <c r="AX157" s="517">
        <f t="shared" si="323"/>
        <v>608.79999999999995</v>
      </c>
      <c r="AY157" s="2100"/>
      <c r="AZ157" s="508"/>
      <c r="BA157" s="4590"/>
      <c r="BB157" s="611">
        <f t="shared" si="350"/>
        <v>0</v>
      </c>
      <c r="BC157" s="1208"/>
      <c r="BD157" s="1287">
        <f t="shared" si="351"/>
        <v>576.4899999999999</v>
      </c>
      <c r="BE157" s="606"/>
      <c r="BF157" s="517">
        <f t="shared" si="352"/>
        <v>608.79999999999995</v>
      </c>
      <c r="BG157" s="1726"/>
      <c r="BH157" s="1726"/>
      <c r="BI157" s="1726"/>
      <c r="BJ157" s="1726"/>
      <c r="BK157" s="1726"/>
      <c r="BL157" s="1726"/>
      <c r="BM157" s="1726"/>
      <c r="BN157" s="1726"/>
      <c r="BO157" s="1726"/>
      <c r="BP157" s="1726"/>
      <c r="BQ157" s="1726"/>
      <c r="BR157" s="1726"/>
      <c r="BS157" s="1726"/>
      <c r="BT157" s="1726"/>
      <c r="BU157" s="1726"/>
      <c r="BV157" s="1726"/>
      <c r="BW157" s="1726"/>
      <c r="BX157" s="1726"/>
      <c r="BY157" s="1726"/>
      <c r="BZ157" s="1726"/>
      <c r="CA157" s="1726"/>
      <c r="CB157" s="1726"/>
      <c r="CC157" s="1726"/>
    </row>
    <row r="158" spans="1:81" s="4534" customFormat="1" ht="18.75" x14ac:dyDescent="0.25">
      <c r="B158" s="2104" t="s">
        <v>1141</v>
      </c>
      <c r="C158" s="2102" t="s">
        <v>1426</v>
      </c>
      <c r="D158" s="2177">
        <v>0</v>
      </c>
      <c r="E158" s="2177">
        <v>0</v>
      </c>
      <c r="F158" s="2177">
        <v>25.34</v>
      </c>
      <c r="G158" s="2177">
        <v>0</v>
      </c>
      <c r="H158" s="2177"/>
      <c r="I158" s="4598"/>
      <c r="J158" s="517">
        <f t="shared" si="319"/>
        <v>25.34</v>
      </c>
      <c r="K158" s="2177">
        <v>0</v>
      </c>
      <c r="L158" s="2177">
        <v>237.60999999999999</v>
      </c>
      <c r="M158" s="2177">
        <v>0</v>
      </c>
      <c r="N158" s="611">
        <f t="shared" si="344"/>
        <v>262.95</v>
      </c>
      <c r="O158" s="2177">
        <v>0</v>
      </c>
      <c r="P158" s="2177">
        <v>569.84999999999991</v>
      </c>
      <c r="Q158" s="2177">
        <v>0</v>
      </c>
      <c r="R158" s="517">
        <f t="shared" si="320"/>
        <v>832.8</v>
      </c>
      <c r="S158" s="2177">
        <v>0</v>
      </c>
      <c r="T158" s="2177">
        <v>1215.0999999999999</v>
      </c>
      <c r="U158" s="2177">
        <v>0</v>
      </c>
      <c r="V158" s="517">
        <f t="shared" si="321"/>
        <v>2047.8999999999999</v>
      </c>
      <c r="W158" s="2177">
        <v>0</v>
      </c>
      <c r="X158" s="2177"/>
      <c r="Y158" s="2177">
        <v>0</v>
      </c>
      <c r="Z158" s="611">
        <f t="shared" si="345"/>
        <v>1784.9499999999998</v>
      </c>
      <c r="AA158" s="2177">
        <v>0</v>
      </c>
      <c r="AB158" s="1287">
        <f t="shared" si="346"/>
        <v>2047.8999999999999</v>
      </c>
      <c r="AC158" s="2177">
        <v>0</v>
      </c>
      <c r="AD158" s="4599"/>
      <c r="AE158" s="2177">
        <v>0</v>
      </c>
      <c r="AF158" s="517">
        <f t="shared" si="347"/>
        <v>2047.8999999999999</v>
      </c>
      <c r="AG158" s="2177">
        <v>0</v>
      </c>
      <c r="AH158" s="2177">
        <v>1103.5700000000002</v>
      </c>
      <c r="AI158" s="2177">
        <v>0</v>
      </c>
      <c r="AJ158" s="517">
        <f t="shared" si="348"/>
        <v>3151.4700000000003</v>
      </c>
      <c r="AK158" s="2177">
        <v>0</v>
      </c>
      <c r="AL158" s="2177">
        <v>1176.3</v>
      </c>
      <c r="AM158" s="2177">
        <v>0</v>
      </c>
      <c r="AN158" s="611">
        <f t="shared" si="343"/>
        <v>2279.87</v>
      </c>
      <c r="AO158" s="2177">
        <v>0</v>
      </c>
      <c r="AP158" s="517">
        <f t="shared" si="349"/>
        <v>4327.7700000000004</v>
      </c>
      <c r="AQ158" s="2177">
        <v>0</v>
      </c>
      <c r="AR158" s="2177">
        <v>990.42</v>
      </c>
      <c r="AS158" s="2177">
        <v>0</v>
      </c>
      <c r="AT158" s="517">
        <f t="shared" si="322"/>
        <v>5318.1900000000005</v>
      </c>
      <c r="AU158" s="2177">
        <v>0</v>
      </c>
      <c r="AV158" s="2177"/>
      <c r="AW158" s="2177">
        <v>0</v>
      </c>
      <c r="AX158" s="517">
        <f t="shared" si="323"/>
        <v>5318.1900000000005</v>
      </c>
      <c r="AY158" s="2177">
        <v>0</v>
      </c>
      <c r="AZ158" s="4599">
        <v>825.8</v>
      </c>
      <c r="BA158" s="2177">
        <v>0</v>
      </c>
      <c r="BB158" s="611">
        <f t="shared" si="350"/>
        <v>1816.2199999999998</v>
      </c>
      <c r="BC158" s="1208"/>
      <c r="BD158" s="1287">
        <f t="shared" si="351"/>
        <v>4096.09</v>
      </c>
      <c r="BE158" s="606"/>
      <c r="BF158" s="517">
        <f t="shared" si="352"/>
        <v>6143.99</v>
      </c>
    </row>
    <row r="159" spans="1:81" s="4534" customFormat="1" ht="18.75" x14ac:dyDescent="0.25">
      <c r="A159" s="334"/>
      <c r="B159" s="2104" t="s">
        <v>1141</v>
      </c>
      <c r="C159" s="2102" t="s">
        <v>1209</v>
      </c>
      <c r="D159" s="2177">
        <v>0</v>
      </c>
      <c r="E159" s="2177">
        <v>0</v>
      </c>
      <c r="F159" s="2177">
        <v>938.05</v>
      </c>
      <c r="G159" s="2177">
        <v>0</v>
      </c>
      <c r="H159" s="2177"/>
      <c r="I159" s="4598"/>
      <c r="J159" s="517">
        <f t="shared" si="319"/>
        <v>938.05</v>
      </c>
      <c r="K159" s="2177">
        <v>0</v>
      </c>
      <c r="L159" s="2177">
        <f>503.66+62.9</f>
        <v>566.56000000000006</v>
      </c>
      <c r="M159" s="2177">
        <v>0</v>
      </c>
      <c r="N159" s="611">
        <f t="shared" si="344"/>
        <v>1504.6100000000001</v>
      </c>
      <c r="O159" s="2177">
        <v>0</v>
      </c>
      <c r="P159" s="2177">
        <f>2291.65+380.78</f>
        <v>2672.4300000000003</v>
      </c>
      <c r="Q159" s="2177">
        <v>0</v>
      </c>
      <c r="R159" s="517">
        <f t="shared" si="320"/>
        <v>4177.0400000000009</v>
      </c>
      <c r="S159" s="2177">
        <v>0</v>
      </c>
      <c r="T159" s="2177">
        <f>504.24+506.1</f>
        <v>1010.34</v>
      </c>
      <c r="U159" s="2177">
        <v>0</v>
      </c>
      <c r="V159" s="517">
        <f t="shared" si="321"/>
        <v>5187.380000000001</v>
      </c>
      <c r="W159" s="2177">
        <v>0</v>
      </c>
      <c r="X159" s="2177">
        <v>622.81999999999994</v>
      </c>
      <c r="Y159" s="2177">
        <v>0</v>
      </c>
      <c r="Z159" s="611">
        <f t="shared" si="345"/>
        <v>4305.59</v>
      </c>
      <c r="AA159" s="2177">
        <v>0</v>
      </c>
      <c r="AB159" s="1287">
        <f t="shared" si="346"/>
        <v>5810.2000000000007</v>
      </c>
      <c r="AC159" s="2177">
        <v>0</v>
      </c>
      <c r="AD159" s="4599">
        <v>760.24</v>
      </c>
      <c r="AE159" s="2177">
        <v>0</v>
      </c>
      <c r="AF159" s="517">
        <f t="shared" si="347"/>
        <v>6570.4400000000005</v>
      </c>
      <c r="AG159" s="2177">
        <v>0</v>
      </c>
      <c r="AH159" s="2177">
        <v>378.84</v>
      </c>
      <c r="AI159" s="2177">
        <v>0</v>
      </c>
      <c r="AJ159" s="517">
        <f t="shared" si="348"/>
        <v>6949.2800000000007</v>
      </c>
      <c r="AK159" s="2177">
        <v>0</v>
      </c>
      <c r="AL159" s="2177">
        <f>819.48+39.08</f>
        <v>858.56000000000006</v>
      </c>
      <c r="AM159" s="2177">
        <v>0</v>
      </c>
      <c r="AN159" s="611">
        <f t="shared" si="343"/>
        <v>1997.6399999999999</v>
      </c>
      <c r="AO159" s="2177">
        <v>0</v>
      </c>
      <c r="AP159" s="517">
        <f t="shared" si="349"/>
        <v>7807.8400000000011</v>
      </c>
      <c r="AQ159" s="2177">
        <v>0</v>
      </c>
      <c r="AR159" s="2177">
        <v>438.26</v>
      </c>
      <c r="AS159" s="2177">
        <v>0</v>
      </c>
      <c r="AT159" s="517">
        <f t="shared" si="322"/>
        <v>8246.1</v>
      </c>
      <c r="AU159" s="2177">
        <v>0</v>
      </c>
      <c r="AV159" s="2177"/>
      <c r="AW159" s="2177">
        <v>0</v>
      </c>
      <c r="AX159" s="517">
        <f t="shared" si="323"/>
        <v>8246.1</v>
      </c>
      <c r="AY159" s="2177">
        <v>0</v>
      </c>
      <c r="AZ159" s="4599">
        <f>1974.1+156.11</f>
        <v>2130.21</v>
      </c>
      <c r="BA159" s="2177">
        <v>0</v>
      </c>
      <c r="BB159" s="611">
        <f t="shared" si="350"/>
        <v>2568.4700000000003</v>
      </c>
      <c r="BC159" s="1208"/>
      <c r="BD159" s="1287">
        <f t="shared" si="351"/>
        <v>4566.1100000000006</v>
      </c>
      <c r="BE159" s="606"/>
      <c r="BF159" s="517">
        <f t="shared" si="352"/>
        <v>10376.310000000001</v>
      </c>
    </row>
    <row r="160" spans="1:81" ht="18.75" x14ac:dyDescent="0.25">
      <c r="A160" s="334"/>
      <c r="B160" s="2104" t="s">
        <v>1141</v>
      </c>
      <c r="C160" s="2102" t="s">
        <v>1881</v>
      </c>
      <c r="D160" s="2103"/>
      <c r="E160" s="2099"/>
      <c r="F160" s="1331">
        <v>509.24</v>
      </c>
      <c r="G160" s="2100"/>
      <c r="H160" s="508"/>
      <c r="I160" s="4589"/>
      <c r="J160" s="517">
        <f t="shared" si="319"/>
        <v>509.24</v>
      </c>
      <c r="K160" s="2100"/>
      <c r="L160" s="610"/>
      <c r="M160" s="4590"/>
      <c r="N160" s="611">
        <f t="shared" si="344"/>
        <v>509.24</v>
      </c>
      <c r="O160" s="2100"/>
      <c r="P160" s="508"/>
      <c r="Q160" s="4589"/>
      <c r="R160" s="517">
        <f t="shared" si="320"/>
        <v>509.24</v>
      </c>
      <c r="S160" s="2100"/>
      <c r="T160" s="508">
        <v>505.26000000000005</v>
      </c>
      <c r="U160" s="4589"/>
      <c r="V160" s="517">
        <f t="shared" si="321"/>
        <v>1014.5</v>
      </c>
      <c r="W160" s="2100"/>
      <c r="X160" s="508"/>
      <c r="Y160" s="4590"/>
      <c r="Z160" s="611">
        <f t="shared" si="345"/>
        <v>505.26000000000005</v>
      </c>
      <c r="AA160" s="4591"/>
      <c r="AB160" s="1287">
        <f t="shared" si="346"/>
        <v>1014.5</v>
      </c>
      <c r="AC160" s="2100"/>
      <c r="AD160" s="508"/>
      <c r="AE160" s="4589"/>
      <c r="AF160" s="517">
        <f t="shared" si="347"/>
        <v>1014.5</v>
      </c>
      <c r="AG160" s="2100"/>
      <c r="AH160" s="508"/>
      <c r="AI160" s="4589"/>
      <c r="AJ160" s="517">
        <f t="shared" si="348"/>
        <v>1014.5</v>
      </c>
      <c r="AK160" s="2100"/>
      <c r="AL160" s="508">
        <v>303.98</v>
      </c>
      <c r="AM160" s="4590"/>
      <c r="AN160" s="611">
        <f t="shared" si="343"/>
        <v>303.98</v>
      </c>
      <c r="AO160" s="4589"/>
      <c r="AP160" s="517">
        <f t="shared" si="349"/>
        <v>1318.48</v>
      </c>
      <c r="AQ160" s="2100"/>
      <c r="AR160" s="508">
        <v>659.57999999999993</v>
      </c>
      <c r="AS160" s="4589"/>
      <c r="AT160" s="517">
        <f t="shared" si="322"/>
        <v>1978.06</v>
      </c>
      <c r="AU160" s="2100"/>
      <c r="AV160" s="508"/>
      <c r="AW160" s="4589"/>
      <c r="AX160" s="517">
        <f t="shared" si="323"/>
        <v>1978.06</v>
      </c>
      <c r="AY160" s="2100"/>
      <c r="AZ160" s="508"/>
      <c r="BA160" s="4590"/>
      <c r="BB160" s="611">
        <f t="shared" si="350"/>
        <v>659.57999999999993</v>
      </c>
      <c r="BC160" s="1208"/>
      <c r="BD160" s="1287">
        <f t="shared" si="351"/>
        <v>963.56</v>
      </c>
      <c r="BE160" s="606"/>
      <c r="BF160" s="517">
        <f t="shared" si="352"/>
        <v>1978.06</v>
      </c>
    </row>
    <row r="161" spans="1:81" ht="18.75" x14ac:dyDescent="0.25">
      <c r="A161" s="334"/>
      <c r="B161" s="2104" t="s">
        <v>1141</v>
      </c>
      <c r="C161" s="2102" t="s">
        <v>1327</v>
      </c>
      <c r="D161" s="2103"/>
      <c r="E161" s="2099"/>
      <c r="F161" s="1332">
        <v>178.43</v>
      </c>
      <c r="G161" s="2106"/>
      <c r="H161" s="610">
        <v>294.38999999999993</v>
      </c>
      <c r="I161" s="4589"/>
      <c r="J161" s="517">
        <f t="shared" si="319"/>
        <v>472.81999999999994</v>
      </c>
      <c r="K161" s="2100"/>
      <c r="L161" s="610">
        <v>178.44</v>
      </c>
      <c r="M161" s="4590"/>
      <c r="N161" s="611">
        <f t="shared" si="344"/>
        <v>651.26</v>
      </c>
      <c r="O161" s="2100"/>
      <c r="P161" s="508">
        <v>122.32</v>
      </c>
      <c r="Q161" s="4589"/>
      <c r="R161" s="517">
        <f t="shared" si="320"/>
        <v>773.57999999999993</v>
      </c>
      <c r="S161" s="2100"/>
      <c r="T161" s="508">
        <v>171.22</v>
      </c>
      <c r="U161" s="4589"/>
      <c r="V161" s="517">
        <f t="shared" si="321"/>
        <v>944.8</v>
      </c>
      <c r="W161" s="2100"/>
      <c r="X161" s="508"/>
      <c r="Y161" s="4590"/>
      <c r="Z161" s="611">
        <f t="shared" si="345"/>
        <v>293.53999999999996</v>
      </c>
      <c r="AA161" s="4591"/>
      <c r="AB161" s="1287">
        <f t="shared" si="346"/>
        <v>944.8</v>
      </c>
      <c r="AC161" s="2100"/>
      <c r="AD161" s="508">
        <v>240.4</v>
      </c>
      <c r="AE161" s="4589"/>
      <c r="AF161" s="517">
        <f t="shared" si="347"/>
        <v>1185.2</v>
      </c>
      <c r="AG161" s="2100"/>
      <c r="AH161" s="508"/>
      <c r="AI161" s="4589"/>
      <c r="AJ161" s="517">
        <f t="shared" si="348"/>
        <v>1185.2</v>
      </c>
      <c r="AK161" s="2100"/>
      <c r="AL161" s="508"/>
      <c r="AM161" s="4590"/>
      <c r="AN161" s="611">
        <f t="shared" si="343"/>
        <v>240.4</v>
      </c>
      <c r="AO161" s="4589"/>
      <c r="AP161" s="517">
        <f t="shared" si="349"/>
        <v>1185.2</v>
      </c>
      <c r="AQ161" s="2100"/>
      <c r="AR161" s="508">
        <v>114.38</v>
      </c>
      <c r="AS161" s="4589"/>
      <c r="AT161" s="517">
        <f t="shared" si="322"/>
        <v>1299.58</v>
      </c>
      <c r="AU161" s="2100"/>
      <c r="AV161" s="508"/>
      <c r="AW161" s="4589"/>
      <c r="AX161" s="517">
        <f t="shared" si="323"/>
        <v>1299.58</v>
      </c>
      <c r="AY161" s="2100"/>
      <c r="AZ161" s="508">
        <v>89.1</v>
      </c>
      <c r="BA161" s="4590"/>
      <c r="BB161" s="611">
        <f t="shared" si="350"/>
        <v>203.48</v>
      </c>
      <c r="BC161" s="1208"/>
      <c r="BD161" s="1287">
        <f t="shared" si="351"/>
        <v>443.88</v>
      </c>
      <c r="BE161" s="606"/>
      <c r="BF161" s="517">
        <f t="shared" si="352"/>
        <v>1388.6799999999998</v>
      </c>
    </row>
    <row r="162" spans="1:81" ht="18.75" x14ac:dyDescent="0.25">
      <c r="A162" s="334"/>
      <c r="B162" s="2104" t="s">
        <v>1141</v>
      </c>
      <c r="C162" s="2102" t="s">
        <v>1882</v>
      </c>
      <c r="D162" s="2103"/>
      <c r="E162" s="2099"/>
      <c r="F162" s="1332"/>
      <c r="G162" s="2106"/>
      <c r="H162" s="610"/>
      <c r="I162" s="4589"/>
      <c r="J162" s="517">
        <f t="shared" si="319"/>
        <v>0</v>
      </c>
      <c r="K162" s="2100"/>
      <c r="L162" s="610">
        <v>1585.9</v>
      </c>
      <c r="M162" s="4590"/>
      <c r="N162" s="611">
        <f t="shared" si="344"/>
        <v>1585.9</v>
      </c>
      <c r="O162" s="2100"/>
      <c r="P162" s="508">
        <v>1206.26</v>
      </c>
      <c r="Q162" s="4589"/>
      <c r="R162" s="517">
        <f t="shared" si="320"/>
        <v>2792.16</v>
      </c>
      <c r="S162" s="2100"/>
      <c r="T162" s="508">
        <v>1806.2399999999998</v>
      </c>
      <c r="U162" s="4589"/>
      <c r="V162" s="517">
        <f t="shared" si="321"/>
        <v>4598.3999999999996</v>
      </c>
      <c r="W162" s="2100"/>
      <c r="X162" s="508"/>
      <c r="Y162" s="4590"/>
      <c r="Z162" s="611">
        <f t="shared" si="345"/>
        <v>3012.5</v>
      </c>
      <c r="AA162" s="4591"/>
      <c r="AB162" s="1287">
        <f t="shared" si="346"/>
        <v>4598.3999999999996</v>
      </c>
      <c r="AC162" s="2100"/>
      <c r="AD162" s="508"/>
      <c r="AE162" s="4589"/>
      <c r="AF162" s="517">
        <f t="shared" si="347"/>
        <v>4598.3999999999996</v>
      </c>
      <c r="AG162" s="2100"/>
      <c r="AH162" s="508"/>
      <c r="AI162" s="4589"/>
      <c r="AJ162" s="517">
        <f t="shared" si="348"/>
        <v>4598.3999999999996</v>
      </c>
      <c r="AK162" s="2100"/>
      <c r="AL162" s="508"/>
      <c r="AM162" s="4590"/>
      <c r="AN162" s="611">
        <f t="shared" si="343"/>
        <v>0</v>
      </c>
      <c r="AO162" s="4589"/>
      <c r="AP162" s="517">
        <f t="shared" si="349"/>
        <v>4598.3999999999996</v>
      </c>
      <c r="AQ162" s="2100"/>
      <c r="AR162" s="508">
        <v>1042.92</v>
      </c>
      <c r="AS162" s="4589"/>
      <c r="AT162" s="517">
        <f t="shared" si="322"/>
        <v>5641.32</v>
      </c>
      <c r="AU162" s="2100"/>
      <c r="AV162" s="508"/>
      <c r="AW162" s="4589"/>
      <c r="AX162" s="517">
        <f t="shared" si="323"/>
        <v>5641.32</v>
      </c>
      <c r="AY162" s="2100"/>
      <c r="AZ162" s="508"/>
      <c r="BA162" s="4590"/>
      <c r="BB162" s="611">
        <f t="shared" si="350"/>
        <v>1042.92</v>
      </c>
      <c r="BC162" s="1208"/>
      <c r="BD162" s="1287">
        <f t="shared" si="351"/>
        <v>1042.92</v>
      </c>
      <c r="BE162" s="606"/>
      <c r="BF162" s="517">
        <f t="shared" si="352"/>
        <v>5641.32</v>
      </c>
    </row>
    <row r="163" spans="1:81" s="1587" customFormat="1" ht="18.75" x14ac:dyDescent="0.25">
      <c r="A163" s="334"/>
      <c r="B163" s="2104" t="s">
        <v>1141</v>
      </c>
      <c r="C163" s="2102" t="s">
        <v>1884</v>
      </c>
      <c r="D163" s="2103"/>
      <c r="E163" s="2099"/>
      <c r="F163" s="1332"/>
      <c r="G163" s="2106"/>
      <c r="H163" s="610"/>
      <c r="I163" s="4589"/>
      <c r="J163" s="517">
        <f t="shared" si="319"/>
        <v>0</v>
      </c>
      <c r="K163" s="2100"/>
      <c r="L163" s="610"/>
      <c r="M163" s="4590"/>
      <c r="N163" s="611">
        <f t="shared" si="344"/>
        <v>0</v>
      </c>
      <c r="O163" s="2100"/>
      <c r="P163" s="508">
        <v>573.08000000000004</v>
      </c>
      <c r="Q163" s="4589"/>
      <c r="R163" s="517">
        <f t="shared" si="320"/>
        <v>573.08000000000004</v>
      </c>
      <c r="S163" s="2100"/>
      <c r="T163" s="508"/>
      <c r="U163" s="4589"/>
      <c r="V163" s="517">
        <f t="shared" si="321"/>
        <v>573.08000000000004</v>
      </c>
      <c r="W163" s="2100"/>
      <c r="X163" s="508"/>
      <c r="Y163" s="4590"/>
      <c r="Z163" s="611">
        <f t="shared" si="345"/>
        <v>573.08000000000004</v>
      </c>
      <c r="AA163" s="4591"/>
      <c r="AB163" s="1287">
        <f t="shared" si="346"/>
        <v>573.08000000000004</v>
      </c>
      <c r="AC163" s="2100"/>
      <c r="AD163" s="508"/>
      <c r="AE163" s="4589"/>
      <c r="AF163" s="517">
        <f t="shared" si="347"/>
        <v>573.08000000000004</v>
      </c>
      <c r="AG163" s="2100"/>
      <c r="AH163" s="508"/>
      <c r="AI163" s="4589"/>
      <c r="AJ163" s="517">
        <f t="shared" si="348"/>
        <v>573.08000000000004</v>
      </c>
      <c r="AK163" s="2100"/>
      <c r="AL163" s="508"/>
      <c r="AM163" s="4590"/>
      <c r="AN163" s="611">
        <f t="shared" si="343"/>
        <v>0</v>
      </c>
      <c r="AO163" s="4589"/>
      <c r="AP163" s="517">
        <f t="shared" si="349"/>
        <v>573.08000000000004</v>
      </c>
      <c r="AQ163" s="2100"/>
      <c r="AR163" s="508"/>
      <c r="AS163" s="4589"/>
      <c r="AT163" s="517">
        <f t="shared" si="322"/>
        <v>573.08000000000004</v>
      </c>
      <c r="AU163" s="2100"/>
      <c r="AV163" s="508"/>
      <c r="AW163" s="4589"/>
      <c r="AX163" s="517">
        <f t="shared" si="323"/>
        <v>573.08000000000004</v>
      </c>
      <c r="AY163" s="2100"/>
      <c r="AZ163" s="508"/>
      <c r="BA163" s="4590"/>
      <c r="BB163" s="611">
        <f t="shared" si="350"/>
        <v>0</v>
      </c>
      <c r="BC163" s="1208"/>
      <c r="BD163" s="1287">
        <f t="shared" si="351"/>
        <v>0</v>
      </c>
      <c r="BE163" s="606"/>
      <c r="BF163" s="517">
        <f t="shared" si="352"/>
        <v>573.08000000000004</v>
      </c>
      <c r="BG163" s="1726"/>
      <c r="BH163" s="1726"/>
      <c r="BI163" s="1726"/>
      <c r="BJ163" s="1726"/>
      <c r="BK163" s="1726"/>
      <c r="BL163" s="1726"/>
      <c r="BM163" s="1726"/>
      <c r="BN163" s="1726"/>
      <c r="BO163" s="1726"/>
      <c r="BP163" s="1726"/>
      <c r="BQ163" s="1726"/>
      <c r="BR163" s="1726"/>
      <c r="BS163" s="1726"/>
      <c r="BT163" s="1726"/>
      <c r="BU163" s="1726"/>
      <c r="BV163" s="1726"/>
      <c r="BW163" s="1726"/>
      <c r="BX163" s="1726"/>
      <c r="BY163" s="1726"/>
      <c r="BZ163" s="1726"/>
      <c r="CA163" s="1726"/>
      <c r="CB163" s="1726"/>
      <c r="CC163" s="1726"/>
    </row>
    <row r="164" spans="1:81" s="1726" customFormat="1" ht="18.75" x14ac:dyDescent="0.25">
      <c r="A164" s="334"/>
      <c r="B164" s="2104" t="s">
        <v>1141</v>
      </c>
      <c r="C164" s="2102" t="s">
        <v>1891</v>
      </c>
      <c r="D164" s="2103"/>
      <c r="E164" s="2099"/>
      <c r="F164" s="1332"/>
      <c r="G164" s="2106"/>
      <c r="H164" s="610"/>
      <c r="I164" s="4589"/>
      <c r="J164" s="517">
        <f t="shared" si="319"/>
        <v>0</v>
      </c>
      <c r="K164" s="2100"/>
      <c r="L164" s="610"/>
      <c r="M164" s="4590"/>
      <c r="N164" s="611">
        <f t="shared" si="344"/>
        <v>0</v>
      </c>
      <c r="O164" s="2100"/>
      <c r="P164" s="508"/>
      <c r="Q164" s="4589"/>
      <c r="R164" s="517">
        <f t="shared" si="320"/>
        <v>0</v>
      </c>
      <c r="S164" s="2100"/>
      <c r="T164" s="508"/>
      <c r="U164" s="4589"/>
      <c r="V164" s="517">
        <f t="shared" si="321"/>
        <v>0</v>
      </c>
      <c r="W164" s="2100"/>
      <c r="X164" s="508">
        <v>382.04</v>
      </c>
      <c r="Y164" s="4590"/>
      <c r="Z164" s="611">
        <f t="shared" si="345"/>
        <v>382.04</v>
      </c>
      <c r="AA164" s="4591"/>
      <c r="AB164" s="1287">
        <f t="shared" si="346"/>
        <v>382.04</v>
      </c>
      <c r="AC164" s="2100"/>
      <c r="AD164" s="508">
        <v>413.94</v>
      </c>
      <c r="AE164" s="4589"/>
      <c r="AF164" s="517">
        <f t="shared" si="347"/>
        <v>795.98</v>
      </c>
      <c r="AG164" s="2100"/>
      <c r="AH164" s="508">
        <v>2433.9300000000003</v>
      </c>
      <c r="AI164" s="4589"/>
      <c r="AJ164" s="517">
        <f t="shared" si="348"/>
        <v>3229.9100000000003</v>
      </c>
      <c r="AK164" s="2100"/>
      <c r="AL164" s="508">
        <v>947.39999999999986</v>
      </c>
      <c r="AM164" s="4590"/>
      <c r="AN164" s="611">
        <f t="shared" si="343"/>
        <v>3795.2700000000004</v>
      </c>
      <c r="AO164" s="4589"/>
      <c r="AP164" s="517">
        <f t="shared" si="349"/>
        <v>4177.3100000000004</v>
      </c>
      <c r="AQ164" s="2100"/>
      <c r="AR164" s="508">
        <v>470.74</v>
      </c>
      <c r="AS164" s="4589"/>
      <c r="AT164" s="517">
        <f t="shared" si="322"/>
        <v>4648.05</v>
      </c>
      <c r="AU164" s="2100"/>
      <c r="AV164" s="508"/>
      <c r="AW164" s="4589"/>
      <c r="AX164" s="517">
        <f t="shared" si="323"/>
        <v>4648.05</v>
      </c>
      <c r="AY164" s="2100"/>
      <c r="AZ164" s="508"/>
      <c r="BA164" s="4590"/>
      <c r="BB164" s="611">
        <f t="shared" si="350"/>
        <v>470.74</v>
      </c>
      <c r="BC164" s="1208"/>
      <c r="BD164" s="1287">
        <f t="shared" si="351"/>
        <v>4266.01</v>
      </c>
      <c r="BE164" s="606"/>
      <c r="BF164" s="517">
        <f t="shared" si="352"/>
        <v>4648.05</v>
      </c>
    </row>
    <row r="165" spans="1:81" s="1726" customFormat="1" ht="18.75" x14ac:dyDescent="0.25">
      <c r="A165" s="334"/>
      <c r="B165" s="2104" t="s">
        <v>1141</v>
      </c>
      <c r="C165" s="2102" t="s">
        <v>1639</v>
      </c>
      <c r="D165" s="2103"/>
      <c r="E165" s="2099"/>
      <c r="F165" s="1332"/>
      <c r="G165" s="2106"/>
      <c r="H165" s="610"/>
      <c r="I165" s="4589"/>
      <c r="J165" s="517">
        <f t="shared" si="319"/>
        <v>0</v>
      </c>
      <c r="K165" s="2100"/>
      <c r="L165" s="610"/>
      <c r="M165" s="4590"/>
      <c r="N165" s="611">
        <f t="shared" si="344"/>
        <v>0</v>
      </c>
      <c r="O165" s="2100"/>
      <c r="P165" s="508"/>
      <c r="Q165" s="4589"/>
      <c r="R165" s="517">
        <f t="shared" si="320"/>
        <v>0</v>
      </c>
      <c r="S165" s="2100"/>
      <c r="T165" s="508"/>
      <c r="U165" s="4589"/>
      <c r="V165" s="517">
        <f t="shared" si="321"/>
        <v>0</v>
      </c>
      <c r="W165" s="2100"/>
      <c r="X165" s="508"/>
      <c r="Y165" s="4590"/>
      <c r="Z165" s="611">
        <f t="shared" si="345"/>
        <v>0</v>
      </c>
      <c r="AA165" s="4591"/>
      <c r="AB165" s="1287">
        <f t="shared" si="346"/>
        <v>0</v>
      </c>
      <c r="AC165" s="2100"/>
      <c r="AD165" s="508">
        <v>277.17</v>
      </c>
      <c r="AE165" s="4589"/>
      <c r="AF165" s="517">
        <f t="shared" si="347"/>
        <v>277.17</v>
      </c>
      <c r="AG165" s="2100"/>
      <c r="AH165" s="508">
        <v>219.23</v>
      </c>
      <c r="AI165" s="4589"/>
      <c r="AJ165" s="517">
        <f t="shared" si="348"/>
        <v>496.4</v>
      </c>
      <c r="AK165" s="2100"/>
      <c r="AL165" s="508">
        <v>498.90999999999985</v>
      </c>
      <c r="AM165" s="4590"/>
      <c r="AN165" s="611">
        <f t="shared" si="343"/>
        <v>995.30999999999983</v>
      </c>
      <c r="AO165" s="4589"/>
      <c r="AP165" s="517">
        <f t="shared" si="349"/>
        <v>995.30999999999983</v>
      </c>
      <c r="AQ165" s="2100"/>
      <c r="AR165" s="508"/>
      <c r="AS165" s="4589"/>
      <c r="AT165" s="517">
        <f t="shared" si="322"/>
        <v>995.30999999999983</v>
      </c>
      <c r="AU165" s="2100"/>
      <c r="AV165" s="508"/>
      <c r="AW165" s="4589"/>
      <c r="AX165" s="517">
        <f t="shared" si="323"/>
        <v>995.30999999999983</v>
      </c>
      <c r="AY165" s="2100"/>
      <c r="AZ165" s="508"/>
      <c r="BA165" s="4590"/>
      <c r="BB165" s="611">
        <f t="shared" si="350"/>
        <v>0</v>
      </c>
      <c r="BC165" s="1208"/>
      <c r="BD165" s="1287">
        <f t="shared" si="351"/>
        <v>995.30999999999983</v>
      </c>
      <c r="BE165" s="606"/>
      <c r="BF165" s="517">
        <f t="shared" si="352"/>
        <v>995.30999999999983</v>
      </c>
    </row>
    <row r="166" spans="1:81" s="1726" customFormat="1" ht="18.75" x14ac:dyDescent="0.25">
      <c r="A166" s="334"/>
      <c r="B166" s="2104" t="s">
        <v>1141</v>
      </c>
      <c r="C166" s="2102" t="s">
        <v>1885</v>
      </c>
      <c r="D166" s="2103"/>
      <c r="E166" s="2099"/>
      <c r="F166" s="1332"/>
      <c r="G166" s="2106"/>
      <c r="H166" s="610"/>
      <c r="I166" s="4589"/>
      <c r="J166" s="517">
        <f t="shared" si="319"/>
        <v>0</v>
      </c>
      <c r="K166" s="2100"/>
      <c r="L166" s="610"/>
      <c r="M166" s="4590"/>
      <c r="N166" s="611">
        <f t="shared" si="344"/>
        <v>0</v>
      </c>
      <c r="O166" s="2100"/>
      <c r="P166" s="508"/>
      <c r="Q166" s="4589"/>
      <c r="R166" s="517">
        <f t="shared" si="320"/>
        <v>0</v>
      </c>
      <c r="S166" s="2100"/>
      <c r="T166" s="508"/>
      <c r="U166" s="4589"/>
      <c r="V166" s="517">
        <f t="shared" si="321"/>
        <v>0</v>
      </c>
      <c r="W166" s="2100"/>
      <c r="X166" s="508"/>
      <c r="Y166" s="4590"/>
      <c r="Z166" s="611">
        <f t="shared" si="345"/>
        <v>0</v>
      </c>
      <c r="AA166" s="4591"/>
      <c r="AB166" s="1287">
        <f t="shared" si="346"/>
        <v>0</v>
      </c>
      <c r="AC166" s="2100"/>
      <c r="AD166" s="508">
        <v>17.95</v>
      </c>
      <c r="AE166" s="4589"/>
      <c r="AF166" s="517">
        <f t="shared" si="347"/>
        <v>17.95</v>
      </c>
      <c r="AG166" s="2100"/>
      <c r="AH166" s="508"/>
      <c r="AI166" s="4589"/>
      <c r="AJ166" s="517">
        <f t="shared" si="348"/>
        <v>17.95</v>
      </c>
      <c r="AK166" s="2100"/>
      <c r="AL166" s="508"/>
      <c r="AM166" s="4590"/>
      <c r="AN166" s="611">
        <f t="shared" si="343"/>
        <v>17.95</v>
      </c>
      <c r="AO166" s="4589"/>
      <c r="AP166" s="517">
        <f t="shared" si="349"/>
        <v>17.95</v>
      </c>
      <c r="AQ166" s="2100"/>
      <c r="AR166" s="508"/>
      <c r="AS166" s="4589"/>
      <c r="AT166" s="517">
        <f t="shared" si="322"/>
        <v>17.95</v>
      </c>
      <c r="AU166" s="2100"/>
      <c r="AV166" s="508"/>
      <c r="AW166" s="4589"/>
      <c r="AX166" s="517">
        <f t="shared" si="323"/>
        <v>17.95</v>
      </c>
      <c r="AY166" s="2100"/>
      <c r="AZ166" s="508"/>
      <c r="BA166" s="4590"/>
      <c r="BB166" s="611">
        <f t="shared" si="350"/>
        <v>0</v>
      </c>
      <c r="BC166" s="1208"/>
      <c r="BD166" s="1287">
        <f t="shared" si="351"/>
        <v>17.95</v>
      </c>
      <c r="BE166" s="606"/>
      <c r="BF166" s="517">
        <f t="shared" si="352"/>
        <v>17.95</v>
      </c>
    </row>
    <row r="167" spans="1:81" s="1726" customFormat="1" ht="18.75" x14ac:dyDescent="0.25">
      <c r="A167" s="334"/>
      <c r="B167" s="2104" t="s">
        <v>1141</v>
      </c>
      <c r="C167" s="2102" t="s">
        <v>1886</v>
      </c>
      <c r="D167" s="2103"/>
      <c r="E167" s="2099"/>
      <c r="F167" s="1332"/>
      <c r="G167" s="2106"/>
      <c r="H167" s="610"/>
      <c r="I167" s="4589"/>
      <c r="J167" s="517">
        <f t="shared" si="319"/>
        <v>0</v>
      </c>
      <c r="K167" s="2100"/>
      <c r="L167" s="610"/>
      <c r="M167" s="4590"/>
      <c r="N167" s="611">
        <f t="shared" si="344"/>
        <v>0</v>
      </c>
      <c r="O167" s="2100"/>
      <c r="P167" s="508"/>
      <c r="Q167" s="4589"/>
      <c r="R167" s="517">
        <f t="shared" si="320"/>
        <v>0</v>
      </c>
      <c r="S167" s="2100"/>
      <c r="T167" s="508"/>
      <c r="U167" s="4589"/>
      <c r="V167" s="517">
        <f t="shared" si="321"/>
        <v>0</v>
      </c>
      <c r="W167" s="2100"/>
      <c r="X167" s="508"/>
      <c r="Y167" s="4590"/>
      <c r="Z167" s="611">
        <f t="shared" si="345"/>
        <v>0</v>
      </c>
      <c r="AA167" s="4591"/>
      <c r="AB167" s="1287">
        <f t="shared" si="346"/>
        <v>0</v>
      </c>
      <c r="AC167" s="2100"/>
      <c r="AD167" s="508">
        <v>18.52</v>
      </c>
      <c r="AE167" s="4589"/>
      <c r="AF167" s="517">
        <f t="shared" si="347"/>
        <v>18.52</v>
      </c>
      <c r="AG167" s="2100"/>
      <c r="AH167" s="508"/>
      <c r="AI167" s="4589"/>
      <c r="AJ167" s="517">
        <f t="shared" si="348"/>
        <v>18.52</v>
      </c>
      <c r="AK167" s="2100"/>
      <c r="AL167" s="508"/>
      <c r="AM167" s="4590"/>
      <c r="AN167" s="611">
        <f t="shared" si="343"/>
        <v>18.52</v>
      </c>
      <c r="AO167" s="4589"/>
      <c r="AP167" s="517">
        <f t="shared" si="349"/>
        <v>18.52</v>
      </c>
      <c r="AQ167" s="2100"/>
      <c r="AR167" s="508"/>
      <c r="AS167" s="4589"/>
      <c r="AT167" s="517">
        <f t="shared" si="322"/>
        <v>18.52</v>
      </c>
      <c r="AU167" s="2100"/>
      <c r="AV167" s="508"/>
      <c r="AW167" s="4589"/>
      <c r="AX167" s="517">
        <f t="shared" si="323"/>
        <v>18.52</v>
      </c>
      <c r="AY167" s="2100"/>
      <c r="AZ167" s="508"/>
      <c r="BA167" s="4590"/>
      <c r="BB167" s="611">
        <f t="shared" si="350"/>
        <v>0</v>
      </c>
      <c r="BC167" s="1208"/>
      <c r="BD167" s="1287">
        <f t="shared" si="351"/>
        <v>18.52</v>
      </c>
      <c r="BE167" s="606"/>
      <c r="BF167" s="517">
        <f t="shared" si="352"/>
        <v>18.52</v>
      </c>
    </row>
    <row r="168" spans="1:81" s="204" customFormat="1" ht="18.75" x14ac:dyDescent="0.25">
      <c r="A168" s="334"/>
      <c r="B168" s="2104" t="s">
        <v>1142</v>
      </c>
      <c r="C168" s="2102" t="s">
        <v>1133</v>
      </c>
      <c r="D168" s="2103"/>
      <c r="E168" s="2099"/>
      <c r="F168" s="1332"/>
      <c r="G168" s="2106"/>
      <c r="H168" s="610"/>
      <c r="I168" s="4589"/>
      <c r="J168" s="517">
        <f t="shared" si="319"/>
        <v>0</v>
      </c>
      <c r="K168" s="2100"/>
      <c r="L168" s="610"/>
      <c r="M168" s="4590"/>
      <c r="N168" s="611">
        <f t="shared" si="344"/>
        <v>0</v>
      </c>
      <c r="O168" s="2100"/>
      <c r="P168" s="610">
        <v>28.69</v>
      </c>
      <c r="Q168" s="4589"/>
      <c r="R168" s="517">
        <f t="shared" si="320"/>
        <v>28.69</v>
      </c>
      <c r="S168" s="2100"/>
      <c r="T168" s="508"/>
      <c r="U168" s="4589"/>
      <c r="V168" s="517">
        <f t="shared" si="321"/>
        <v>28.69</v>
      </c>
      <c r="W168" s="2100"/>
      <c r="X168" s="508"/>
      <c r="Y168" s="4590"/>
      <c r="Z168" s="611">
        <f t="shared" si="345"/>
        <v>28.69</v>
      </c>
      <c r="AA168" s="4591"/>
      <c r="AB168" s="1287">
        <f t="shared" si="346"/>
        <v>28.69</v>
      </c>
      <c r="AC168" s="2100"/>
      <c r="AD168" s="508"/>
      <c r="AE168" s="4589"/>
      <c r="AF168" s="517">
        <f t="shared" si="347"/>
        <v>28.69</v>
      </c>
      <c r="AG168" s="2100"/>
      <c r="AH168" s="508"/>
      <c r="AI168" s="4589"/>
      <c r="AJ168" s="517">
        <f t="shared" si="348"/>
        <v>28.69</v>
      </c>
      <c r="AK168" s="2100"/>
      <c r="AL168" s="508"/>
      <c r="AM168" s="4590"/>
      <c r="AN168" s="611">
        <f t="shared" si="343"/>
        <v>0</v>
      </c>
      <c r="AO168" s="4589"/>
      <c r="AP168" s="517">
        <f t="shared" si="349"/>
        <v>28.69</v>
      </c>
      <c r="AQ168" s="2100"/>
      <c r="AR168" s="508"/>
      <c r="AS168" s="4589"/>
      <c r="AT168" s="517">
        <f t="shared" si="322"/>
        <v>28.69</v>
      </c>
      <c r="AU168" s="2100"/>
      <c r="AV168" s="508"/>
      <c r="AW168" s="4589"/>
      <c r="AX168" s="517">
        <f t="shared" si="323"/>
        <v>28.69</v>
      </c>
      <c r="AY168" s="2100"/>
      <c r="AZ168" s="508"/>
      <c r="BA168" s="4590"/>
      <c r="BB168" s="611">
        <f t="shared" si="350"/>
        <v>0</v>
      </c>
      <c r="BC168" s="1208"/>
      <c r="BD168" s="1287">
        <f t="shared" si="351"/>
        <v>0</v>
      </c>
      <c r="BE168" s="606"/>
      <c r="BF168" s="517">
        <f t="shared" si="352"/>
        <v>28.69</v>
      </c>
      <c r="BG168" s="1726"/>
      <c r="BH168" s="1726"/>
      <c r="BI168" s="1726"/>
      <c r="BJ168" s="1726"/>
      <c r="BK168" s="1726"/>
      <c r="BL168" s="1726"/>
      <c r="BM168" s="1726"/>
      <c r="BN168" s="1726"/>
      <c r="BO168" s="1726"/>
      <c r="BP168" s="1726"/>
      <c r="BQ168" s="1726"/>
      <c r="BR168" s="1726"/>
      <c r="BS168" s="1726"/>
      <c r="BT168" s="1726"/>
      <c r="BU168" s="1726"/>
      <c r="BV168" s="1726"/>
      <c r="BW168" s="1726"/>
      <c r="BX168" s="1726"/>
      <c r="BY168" s="1726"/>
      <c r="BZ168" s="1726"/>
      <c r="CA168" s="1726"/>
      <c r="CB168" s="1726"/>
      <c r="CC168" s="1726"/>
    </row>
    <row r="169" spans="1:81" s="668" customFormat="1" ht="18.75" x14ac:dyDescent="0.25">
      <c r="A169" s="334"/>
      <c r="B169" s="2104" t="s">
        <v>1142</v>
      </c>
      <c r="C169" s="2102" t="s">
        <v>1147</v>
      </c>
      <c r="D169" s="2103"/>
      <c r="E169" s="2099"/>
      <c r="F169" s="1332"/>
      <c r="G169" s="2106"/>
      <c r="H169" s="610"/>
      <c r="I169" s="4589"/>
      <c r="J169" s="517">
        <f t="shared" si="319"/>
        <v>0</v>
      </c>
      <c r="K169" s="2100"/>
      <c r="L169" s="610"/>
      <c r="M169" s="4590"/>
      <c r="N169" s="611">
        <f t="shared" si="344"/>
        <v>0</v>
      </c>
      <c r="O169" s="2100"/>
      <c r="P169" s="610"/>
      <c r="Q169" s="4589"/>
      <c r="R169" s="517">
        <f t="shared" si="320"/>
        <v>0</v>
      </c>
      <c r="S169" s="2100"/>
      <c r="T169" s="508"/>
      <c r="U169" s="4589"/>
      <c r="V169" s="517">
        <f t="shared" si="321"/>
        <v>0</v>
      </c>
      <c r="W169" s="2100"/>
      <c r="X169" s="508"/>
      <c r="Y169" s="4590"/>
      <c r="Z169" s="611">
        <f t="shared" si="345"/>
        <v>0</v>
      </c>
      <c r="AA169" s="4591"/>
      <c r="AB169" s="1287">
        <f t="shared" si="346"/>
        <v>0</v>
      </c>
      <c r="AC169" s="2100"/>
      <c r="AD169" s="508"/>
      <c r="AE169" s="4589"/>
      <c r="AF169" s="517">
        <f t="shared" si="347"/>
        <v>0</v>
      </c>
      <c r="AG169" s="2100"/>
      <c r="AH169" s="508"/>
      <c r="AI169" s="4589"/>
      <c r="AJ169" s="517">
        <f t="shared" si="348"/>
        <v>0</v>
      </c>
      <c r="AK169" s="2100"/>
      <c r="AL169" s="508"/>
      <c r="AM169" s="4590"/>
      <c r="AN169" s="611">
        <f t="shared" si="343"/>
        <v>0</v>
      </c>
      <c r="AO169" s="4589"/>
      <c r="AP169" s="517">
        <f t="shared" si="349"/>
        <v>0</v>
      </c>
      <c r="AQ169" s="2100"/>
      <c r="AR169" s="508"/>
      <c r="AS169" s="4589"/>
      <c r="AT169" s="517">
        <f t="shared" si="322"/>
        <v>0</v>
      </c>
      <c r="AU169" s="2100"/>
      <c r="AV169" s="508"/>
      <c r="AW169" s="4589"/>
      <c r="AX169" s="517">
        <f t="shared" si="323"/>
        <v>0</v>
      </c>
      <c r="AY169" s="2100"/>
      <c r="AZ169" s="508"/>
      <c r="BA169" s="4590"/>
      <c r="BB169" s="611">
        <f t="shared" si="350"/>
        <v>0</v>
      </c>
      <c r="BC169" s="1208"/>
      <c r="BD169" s="1287">
        <f t="shared" si="351"/>
        <v>0</v>
      </c>
      <c r="BE169" s="606"/>
      <c r="BF169" s="517">
        <f t="shared" si="352"/>
        <v>0</v>
      </c>
      <c r="BG169" s="1726"/>
      <c r="BH169" s="1726"/>
      <c r="BI169" s="1726"/>
      <c r="BJ169" s="1726"/>
      <c r="BK169" s="1726"/>
      <c r="BL169" s="1726"/>
      <c r="BM169" s="1726"/>
      <c r="BN169" s="1726"/>
      <c r="BO169" s="1726"/>
      <c r="BP169" s="1726"/>
      <c r="BQ169" s="1726"/>
      <c r="BR169" s="1726"/>
      <c r="BS169" s="1726"/>
      <c r="BT169" s="1726"/>
      <c r="BU169" s="1726"/>
      <c r="BV169" s="1726"/>
      <c r="BW169" s="1726"/>
      <c r="BX169" s="1726"/>
      <c r="BY169" s="1726"/>
      <c r="BZ169" s="1726"/>
      <c r="CA169" s="1726"/>
      <c r="CB169" s="1726"/>
      <c r="CC169" s="1726"/>
    </row>
    <row r="170" spans="1:81" s="1342" customFormat="1" ht="18.75" x14ac:dyDescent="0.25">
      <c r="A170" s="334"/>
      <c r="B170" s="2104" t="s">
        <v>1216</v>
      </c>
      <c r="C170" s="2102" t="s">
        <v>1133</v>
      </c>
      <c r="D170" s="2103"/>
      <c r="E170" s="2099"/>
      <c r="F170" s="1332"/>
      <c r="G170" s="2106"/>
      <c r="H170" s="610"/>
      <c r="I170" s="4589"/>
      <c r="J170" s="517">
        <f t="shared" si="319"/>
        <v>0</v>
      </c>
      <c r="K170" s="2100"/>
      <c r="L170" s="610"/>
      <c r="M170" s="4590"/>
      <c r="N170" s="611">
        <f t="shared" si="344"/>
        <v>0</v>
      </c>
      <c r="O170" s="2100"/>
      <c r="P170" s="610"/>
      <c r="Q170" s="4589"/>
      <c r="R170" s="517">
        <f t="shared" si="320"/>
        <v>0</v>
      </c>
      <c r="S170" s="2100"/>
      <c r="T170" s="508"/>
      <c r="U170" s="4589"/>
      <c r="V170" s="517">
        <f t="shared" si="321"/>
        <v>0</v>
      </c>
      <c r="W170" s="2100"/>
      <c r="X170" s="508"/>
      <c r="Y170" s="4590"/>
      <c r="Z170" s="611">
        <f t="shared" si="345"/>
        <v>0</v>
      </c>
      <c r="AA170" s="4591"/>
      <c r="AB170" s="1287">
        <f t="shared" si="346"/>
        <v>0</v>
      </c>
      <c r="AC170" s="2100"/>
      <c r="AD170" s="508"/>
      <c r="AE170" s="4589"/>
      <c r="AF170" s="517">
        <f t="shared" si="347"/>
        <v>0</v>
      </c>
      <c r="AG170" s="2100"/>
      <c r="AH170" s="508"/>
      <c r="AI170" s="4589"/>
      <c r="AJ170" s="517">
        <f t="shared" si="348"/>
        <v>0</v>
      </c>
      <c r="AK170" s="2100"/>
      <c r="AL170" s="508"/>
      <c r="AM170" s="4590"/>
      <c r="AN170" s="611">
        <f t="shared" si="343"/>
        <v>0</v>
      </c>
      <c r="AO170" s="4589"/>
      <c r="AP170" s="517">
        <f t="shared" si="349"/>
        <v>0</v>
      </c>
      <c r="AQ170" s="2100"/>
      <c r="AR170" s="508"/>
      <c r="AS170" s="4589"/>
      <c r="AT170" s="517">
        <f t="shared" si="322"/>
        <v>0</v>
      </c>
      <c r="AU170" s="2100"/>
      <c r="AV170" s="508"/>
      <c r="AW170" s="4589"/>
      <c r="AX170" s="517">
        <f t="shared" si="323"/>
        <v>0</v>
      </c>
      <c r="AY170" s="2100"/>
      <c r="AZ170" s="508"/>
      <c r="BA170" s="4590"/>
      <c r="BB170" s="611">
        <f t="shared" si="350"/>
        <v>0</v>
      </c>
      <c r="BC170" s="1208"/>
      <c r="BD170" s="1287">
        <f t="shared" si="351"/>
        <v>0</v>
      </c>
      <c r="BE170" s="606"/>
      <c r="BF170" s="517">
        <f t="shared" si="352"/>
        <v>0</v>
      </c>
      <c r="BG170" s="1726"/>
      <c r="BH170" s="1726"/>
      <c r="BI170" s="1726"/>
      <c r="BJ170" s="1726"/>
      <c r="BK170" s="1726"/>
      <c r="BL170" s="1726"/>
      <c r="BM170" s="1726"/>
      <c r="BN170" s="1726"/>
      <c r="BO170" s="1726"/>
      <c r="BP170" s="1726"/>
      <c r="BQ170" s="1726"/>
      <c r="BR170" s="1726"/>
      <c r="BS170" s="1726"/>
      <c r="BT170" s="1726"/>
      <c r="BU170" s="1726"/>
      <c r="BV170" s="1726"/>
      <c r="BW170" s="1726"/>
      <c r="BX170" s="1726"/>
      <c r="BY170" s="1726"/>
      <c r="BZ170" s="1726"/>
      <c r="CA170" s="1726"/>
      <c r="CB170" s="1726"/>
      <c r="CC170" s="1726"/>
    </row>
    <row r="171" spans="1:81" ht="18.75" x14ac:dyDescent="0.25">
      <c r="A171" s="334"/>
      <c r="B171" s="2104" t="s">
        <v>1143</v>
      </c>
      <c r="C171" s="2102" t="s">
        <v>1147</v>
      </c>
      <c r="D171" s="2103"/>
      <c r="E171" s="2099"/>
      <c r="F171" s="1332"/>
      <c r="G171" s="2106"/>
      <c r="H171" s="610"/>
      <c r="I171" s="4589"/>
      <c r="J171" s="517">
        <f t="shared" si="319"/>
        <v>0</v>
      </c>
      <c r="K171" s="2100"/>
      <c r="L171" s="610"/>
      <c r="M171" s="4590"/>
      <c r="N171" s="611">
        <f t="shared" si="344"/>
        <v>0</v>
      </c>
      <c r="O171" s="2100"/>
      <c r="P171" s="610"/>
      <c r="Q171" s="4589"/>
      <c r="R171" s="517">
        <f t="shared" si="320"/>
        <v>0</v>
      </c>
      <c r="S171" s="2100"/>
      <c r="T171" s="508"/>
      <c r="U171" s="4589"/>
      <c r="V171" s="517">
        <f t="shared" si="321"/>
        <v>0</v>
      </c>
      <c r="W171" s="2100"/>
      <c r="X171" s="508"/>
      <c r="Y171" s="4590"/>
      <c r="Z171" s="611">
        <f t="shared" si="345"/>
        <v>0</v>
      </c>
      <c r="AA171" s="4591"/>
      <c r="AB171" s="1287">
        <f t="shared" si="346"/>
        <v>0</v>
      </c>
      <c r="AC171" s="2100"/>
      <c r="AD171" s="508"/>
      <c r="AE171" s="4589"/>
      <c r="AF171" s="517">
        <f t="shared" si="347"/>
        <v>0</v>
      </c>
      <c r="AG171" s="2100"/>
      <c r="AH171" s="508"/>
      <c r="AI171" s="4589"/>
      <c r="AJ171" s="517">
        <f t="shared" si="348"/>
        <v>0</v>
      </c>
      <c r="AK171" s="2100"/>
      <c r="AL171" s="508"/>
      <c r="AM171" s="4590"/>
      <c r="AN171" s="611">
        <f t="shared" si="343"/>
        <v>0</v>
      </c>
      <c r="AO171" s="4589"/>
      <c r="AP171" s="517">
        <f t="shared" si="349"/>
        <v>0</v>
      </c>
      <c r="AQ171" s="2100"/>
      <c r="AR171" s="508"/>
      <c r="AS171" s="4589"/>
      <c r="AT171" s="517">
        <f t="shared" si="322"/>
        <v>0</v>
      </c>
      <c r="AU171" s="2100"/>
      <c r="AV171" s="508"/>
      <c r="AW171" s="4589"/>
      <c r="AX171" s="517">
        <f t="shared" si="323"/>
        <v>0</v>
      </c>
      <c r="AY171" s="2100"/>
      <c r="AZ171" s="508"/>
      <c r="BA171" s="4590"/>
      <c r="BB171" s="611">
        <f t="shared" si="350"/>
        <v>0</v>
      </c>
      <c r="BC171" s="1208"/>
      <c r="BD171" s="1287">
        <f t="shared" si="351"/>
        <v>0</v>
      </c>
      <c r="BE171" s="606"/>
      <c r="BF171" s="517">
        <f t="shared" si="352"/>
        <v>0</v>
      </c>
    </row>
    <row r="172" spans="1:81" s="204" customFormat="1" ht="18.75" x14ac:dyDescent="0.25">
      <c r="A172" s="334"/>
      <c r="B172" s="2104" t="s">
        <v>1143</v>
      </c>
      <c r="C172" s="2102" t="s">
        <v>1133</v>
      </c>
      <c r="D172" s="2103"/>
      <c r="E172" s="2099"/>
      <c r="F172" s="1332"/>
      <c r="G172" s="2106"/>
      <c r="H172" s="610">
        <v>3020.1</v>
      </c>
      <c r="I172" s="4589"/>
      <c r="J172" s="517">
        <f t="shared" si="319"/>
        <v>3020.1</v>
      </c>
      <c r="K172" s="2100"/>
      <c r="L172" s="610"/>
      <c r="M172" s="4590"/>
      <c r="N172" s="611">
        <f t="shared" si="344"/>
        <v>3020.1</v>
      </c>
      <c r="O172" s="2100"/>
      <c r="P172" s="610">
        <v>30.34</v>
      </c>
      <c r="Q172" s="4589"/>
      <c r="R172" s="517">
        <f t="shared" si="320"/>
        <v>3050.44</v>
      </c>
      <c r="S172" s="2100"/>
      <c r="T172" s="508"/>
      <c r="U172" s="4589"/>
      <c r="V172" s="517">
        <f t="shared" si="321"/>
        <v>3050.44</v>
      </c>
      <c r="W172" s="2100"/>
      <c r="X172" s="508"/>
      <c r="Y172" s="4590"/>
      <c r="Z172" s="611">
        <f t="shared" si="345"/>
        <v>30.34</v>
      </c>
      <c r="AA172" s="4591"/>
      <c r="AB172" s="1287">
        <f t="shared" si="346"/>
        <v>3050.44</v>
      </c>
      <c r="AC172" s="2100"/>
      <c r="AD172" s="508"/>
      <c r="AE172" s="4589"/>
      <c r="AF172" s="517">
        <f t="shared" si="347"/>
        <v>3050.44</v>
      </c>
      <c r="AG172" s="2100"/>
      <c r="AH172" s="508"/>
      <c r="AI172" s="4589"/>
      <c r="AJ172" s="517">
        <f t="shared" si="348"/>
        <v>3050.44</v>
      </c>
      <c r="AK172" s="2100"/>
      <c r="AL172" s="508">
        <v>5906.5700000000015</v>
      </c>
      <c r="AM172" s="4590"/>
      <c r="AN172" s="611">
        <f t="shared" si="343"/>
        <v>5906.5700000000015</v>
      </c>
      <c r="AO172" s="4589"/>
      <c r="AP172" s="517">
        <f t="shared" si="349"/>
        <v>8957.010000000002</v>
      </c>
      <c r="AQ172" s="2100"/>
      <c r="AR172" s="508">
        <v>4603.6500000000015</v>
      </c>
      <c r="AS172" s="4589"/>
      <c r="AT172" s="517">
        <f t="shared" si="322"/>
        <v>13560.660000000003</v>
      </c>
      <c r="AU172" s="2100"/>
      <c r="AV172" s="508"/>
      <c r="AW172" s="4589"/>
      <c r="AX172" s="517">
        <f t="shared" si="323"/>
        <v>13560.660000000003</v>
      </c>
      <c r="AY172" s="2100"/>
      <c r="AZ172" s="508"/>
      <c r="BA172" s="4590"/>
      <c r="BB172" s="611">
        <f t="shared" si="350"/>
        <v>4603.6500000000015</v>
      </c>
      <c r="BC172" s="1208"/>
      <c r="BD172" s="1287">
        <f t="shared" si="351"/>
        <v>10510.220000000003</v>
      </c>
      <c r="BE172" s="606"/>
      <c r="BF172" s="517">
        <f t="shared" si="352"/>
        <v>13560.660000000003</v>
      </c>
      <c r="BG172" s="1726"/>
      <c r="BH172" s="1726"/>
      <c r="BI172" s="1726"/>
      <c r="BJ172" s="1726"/>
      <c r="BK172" s="1726"/>
      <c r="BL172" s="1726"/>
      <c r="BM172" s="1726"/>
      <c r="BN172" s="1726"/>
      <c r="BO172" s="1726"/>
      <c r="BP172" s="1726"/>
      <c r="BQ172" s="1726"/>
      <c r="BR172" s="1726"/>
      <c r="BS172" s="1726"/>
      <c r="BT172" s="1726"/>
      <c r="BU172" s="1726"/>
      <c r="BV172" s="1726"/>
      <c r="BW172" s="1726"/>
      <c r="BX172" s="1726"/>
      <c r="BY172" s="1726"/>
      <c r="BZ172" s="1726"/>
      <c r="CA172" s="1726"/>
      <c r="CB172" s="1726"/>
      <c r="CC172" s="1726"/>
    </row>
    <row r="173" spans="1:81" s="204" customFormat="1" ht="18.75" x14ac:dyDescent="0.25">
      <c r="A173" s="334"/>
      <c r="B173" s="2104" t="s">
        <v>1143</v>
      </c>
      <c r="C173" s="2102" t="s">
        <v>1780</v>
      </c>
      <c r="D173" s="2108"/>
      <c r="E173" s="2109"/>
      <c r="F173" s="1589"/>
      <c r="G173" s="2110"/>
      <c r="H173" s="1590"/>
      <c r="I173" s="4537"/>
      <c r="J173" s="517">
        <f t="shared" ref="J173:J174" si="353">+F173+H173</f>
        <v>0</v>
      </c>
      <c r="K173" s="2111"/>
      <c r="L173" s="1590"/>
      <c r="M173" s="4539"/>
      <c r="N173" s="611">
        <f t="shared" si="344"/>
        <v>0</v>
      </c>
      <c r="O173" s="2111"/>
      <c r="P173" s="1590"/>
      <c r="Q173" s="4537"/>
      <c r="R173" s="517">
        <f t="shared" si="320"/>
        <v>0</v>
      </c>
      <c r="S173" s="2111"/>
      <c r="T173" s="508"/>
      <c r="U173" s="4537"/>
      <c r="V173" s="517">
        <f t="shared" si="321"/>
        <v>0</v>
      </c>
      <c r="W173" s="2111"/>
      <c r="X173" s="508"/>
      <c r="Y173" s="4539"/>
      <c r="Z173" s="611">
        <f t="shared" si="345"/>
        <v>0</v>
      </c>
      <c r="AA173" s="4542"/>
      <c r="AB173" s="1287">
        <f t="shared" si="346"/>
        <v>0</v>
      </c>
      <c r="AC173" s="2111"/>
      <c r="AD173" s="508"/>
      <c r="AE173" s="4537"/>
      <c r="AF173" s="517">
        <f t="shared" si="347"/>
        <v>0</v>
      </c>
      <c r="AG173" s="2111"/>
      <c r="AH173" s="508"/>
      <c r="AI173" s="4537"/>
      <c r="AJ173" s="517">
        <f t="shared" si="348"/>
        <v>0</v>
      </c>
      <c r="AK173" s="2111"/>
      <c r="AL173" s="508"/>
      <c r="AM173" s="4539"/>
      <c r="AN173" s="611">
        <f t="shared" si="343"/>
        <v>0</v>
      </c>
      <c r="AO173" s="4537"/>
      <c r="AP173" s="517">
        <f t="shared" si="349"/>
        <v>0</v>
      </c>
      <c r="AQ173" s="2111"/>
      <c r="AR173" s="1591">
        <v>973.34000000000015</v>
      </c>
      <c r="AS173" s="4537"/>
      <c r="AT173" s="517">
        <f t="shared" si="322"/>
        <v>973.34000000000015</v>
      </c>
      <c r="AU173" s="2111"/>
      <c r="AV173" s="1591"/>
      <c r="AW173" s="4537"/>
      <c r="AX173" s="517">
        <f t="shared" si="323"/>
        <v>973.34000000000015</v>
      </c>
      <c r="AY173" s="2111"/>
      <c r="AZ173" s="1591"/>
      <c r="BA173" s="4539"/>
      <c r="BB173" s="611">
        <f t="shared" si="350"/>
        <v>973.34000000000015</v>
      </c>
      <c r="BC173" s="1208"/>
      <c r="BD173" s="1287">
        <f t="shared" si="351"/>
        <v>973.34000000000015</v>
      </c>
      <c r="BE173" s="606"/>
      <c r="BF173" s="517">
        <f t="shared" si="352"/>
        <v>973.34000000000015</v>
      </c>
      <c r="BG173" s="1726"/>
      <c r="BH173" s="1726"/>
      <c r="BI173" s="1726"/>
      <c r="BJ173" s="1726"/>
      <c r="BK173" s="1726"/>
      <c r="BL173" s="1726"/>
      <c r="BM173" s="1726"/>
      <c r="BN173" s="1726"/>
      <c r="BO173" s="1726"/>
      <c r="BP173" s="1726"/>
      <c r="BQ173" s="1726"/>
      <c r="BR173" s="1726"/>
      <c r="BS173" s="1726"/>
      <c r="BT173" s="1726"/>
      <c r="BU173" s="1726"/>
      <c r="BV173" s="1726"/>
      <c r="BW173" s="1726"/>
      <c r="BX173" s="1726"/>
      <c r="BY173" s="1726"/>
      <c r="BZ173" s="1726"/>
      <c r="CA173" s="1726"/>
      <c r="CB173" s="1726"/>
      <c r="CC173" s="1726"/>
    </row>
    <row r="174" spans="1:81" s="204" customFormat="1" ht="18.75" x14ac:dyDescent="0.25">
      <c r="A174" s="334"/>
      <c r="B174" s="2104" t="s">
        <v>1143</v>
      </c>
      <c r="C174" s="2107" t="s">
        <v>1425</v>
      </c>
      <c r="D174" s="2108"/>
      <c r="E174" s="2109"/>
      <c r="F174" s="1589"/>
      <c r="G174" s="2110"/>
      <c r="H174" s="1590"/>
      <c r="I174" s="4537"/>
      <c r="J174" s="517">
        <f t="shared" si="353"/>
        <v>0</v>
      </c>
      <c r="K174" s="2111"/>
      <c r="L174" s="1590"/>
      <c r="M174" s="4539"/>
      <c r="N174" s="611">
        <f t="shared" si="344"/>
        <v>0</v>
      </c>
      <c r="O174" s="2111"/>
      <c r="P174" s="1590">
        <v>57.5</v>
      </c>
      <c r="Q174" s="4537"/>
      <c r="R174" s="517">
        <f t="shared" si="320"/>
        <v>57.5</v>
      </c>
      <c r="S174" s="2111"/>
      <c r="T174" s="508"/>
      <c r="U174" s="4537"/>
      <c r="V174" s="517">
        <f t="shared" si="321"/>
        <v>57.5</v>
      </c>
      <c r="W174" s="2111"/>
      <c r="X174" s="508"/>
      <c r="Y174" s="4539"/>
      <c r="Z174" s="611">
        <f t="shared" si="345"/>
        <v>57.5</v>
      </c>
      <c r="AA174" s="4542"/>
      <c r="AB174" s="1287">
        <f t="shared" si="346"/>
        <v>57.5</v>
      </c>
      <c r="AC174" s="2111"/>
      <c r="AD174" s="508"/>
      <c r="AE174" s="4537"/>
      <c r="AF174" s="517">
        <f t="shared" si="347"/>
        <v>57.5</v>
      </c>
      <c r="AG174" s="2111"/>
      <c r="AH174" s="508"/>
      <c r="AI174" s="4537"/>
      <c r="AJ174" s="517">
        <f t="shared" si="348"/>
        <v>57.5</v>
      </c>
      <c r="AK174" s="2111"/>
      <c r="AL174" s="508"/>
      <c r="AM174" s="4539"/>
      <c r="AN174" s="611">
        <f t="shared" si="343"/>
        <v>0</v>
      </c>
      <c r="AO174" s="4537"/>
      <c r="AP174" s="517">
        <f t="shared" si="349"/>
        <v>57.5</v>
      </c>
      <c r="AQ174" s="2111"/>
      <c r="AR174" s="1591"/>
      <c r="AS174" s="4537"/>
      <c r="AT174" s="517">
        <f t="shared" ref="AT174" si="354">+AP174+AR174</f>
        <v>57.5</v>
      </c>
      <c r="AU174" s="2111"/>
      <c r="AV174" s="1591"/>
      <c r="AW174" s="4537"/>
      <c r="AX174" s="517">
        <f t="shared" ref="AX174:AX175" si="355">+AT174+AV174</f>
        <v>57.5</v>
      </c>
      <c r="AY174" s="2111"/>
      <c r="AZ174" s="1591"/>
      <c r="BA174" s="4539"/>
      <c r="BB174" s="611">
        <f t="shared" si="350"/>
        <v>0</v>
      </c>
      <c r="BC174" s="1208"/>
      <c r="BD174" s="1287">
        <f t="shared" si="351"/>
        <v>0</v>
      </c>
      <c r="BE174" s="606"/>
      <c r="BF174" s="517">
        <f t="shared" si="352"/>
        <v>57.5</v>
      </c>
      <c r="BG174" s="1726"/>
      <c r="BH174" s="1726"/>
      <c r="BI174" s="1726"/>
      <c r="BJ174" s="1726"/>
      <c r="BK174" s="1726"/>
      <c r="BL174" s="1726"/>
      <c r="BM174" s="1726"/>
      <c r="BN174" s="1726"/>
      <c r="BO174" s="1726"/>
      <c r="BP174" s="1726"/>
      <c r="BQ174" s="1726"/>
      <c r="BR174" s="1726"/>
      <c r="BS174" s="1726"/>
      <c r="BT174" s="1726"/>
      <c r="BU174" s="1726"/>
      <c r="BV174" s="1726"/>
      <c r="BW174" s="1726"/>
      <c r="BX174" s="1726"/>
      <c r="BY174" s="1726"/>
      <c r="BZ174" s="1726"/>
      <c r="CA174" s="1726"/>
      <c r="CB174" s="1726"/>
      <c r="CC174" s="1726"/>
    </row>
    <row r="175" spans="1:81" s="334" customFormat="1" ht="19.5" thickBot="1" x14ac:dyDescent="0.3">
      <c r="B175" s="2112" t="s">
        <v>612</v>
      </c>
      <c r="C175" s="2113"/>
      <c r="D175" s="2114"/>
      <c r="E175" s="4535"/>
      <c r="F175" s="1028">
        <f>+F7</f>
        <v>0</v>
      </c>
      <c r="G175" s="1028"/>
      <c r="H175" s="1028">
        <f>+H7</f>
        <v>0</v>
      </c>
      <c r="I175" s="1028"/>
      <c r="J175" s="610">
        <f t="shared" ref="J175:J258" si="356">+F175+H175</f>
        <v>0</v>
      </c>
      <c r="K175" s="1028"/>
      <c r="L175" s="1028">
        <f>+L7</f>
        <v>0</v>
      </c>
      <c r="M175" s="1028"/>
      <c r="N175" s="610">
        <f t="shared" ref="N175" si="357">+J175+L175</f>
        <v>0</v>
      </c>
      <c r="O175" s="2110"/>
      <c r="P175" s="1028">
        <f>+P7</f>
        <v>0</v>
      </c>
      <c r="Q175" s="1028"/>
      <c r="R175" s="610">
        <f t="shared" ref="R175:R214" si="358">+N175+P175</f>
        <v>0</v>
      </c>
      <c r="S175" s="2110"/>
      <c r="T175" s="1028">
        <v>0</v>
      </c>
      <c r="U175" s="1028"/>
      <c r="V175" s="610">
        <f t="shared" ref="V175:V214" si="359">+R175+T175</f>
        <v>0</v>
      </c>
      <c r="W175" s="2110"/>
      <c r="X175" s="1028">
        <f>+X7</f>
        <v>0</v>
      </c>
      <c r="Y175" s="1028"/>
      <c r="Z175" s="1028">
        <f>+Z7</f>
        <v>0</v>
      </c>
      <c r="AA175" s="1028"/>
      <c r="AB175" s="1028">
        <f>+AB7</f>
        <v>0</v>
      </c>
      <c r="AC175" s="2110"/>
      <c r="AD175" s="1028">
        <f>+AD7</f>
        <v>0</v>
      </c>
      <c r="AE175" s="1028"/>
      <c r="AF175" s="517">
        <f t="shared" ref="AF175" si="360">+AB175+AD175</f>
        <v>0</v>
      </c>
      <c r="AG175" s="2110"/>
      <c r="AH175" s="1028">
        <f>+AH7</f>
        <v>0</v>
      </c>
      <c r="AI175" s="1028"/>
      <c r="AJ175" s="517">
        <f t="shared" ref="AJ175" si="361">+AF175+AH175</f>
        <v>0</v>
      </c>
      <c r="AK175" s="2110"/>
      <c r="AL175" s="1028">
        <f>+AL7</f>
        <v>0</v>
      </c>
      <c r="AM175" s="1028"/>
      <c r="AN175" s="1028">
        <f>+AN7</f>
        <v>0</v>
      </c>
      <c r="AO175" s="4536"/>
      <c r="AP175" s="517">
        <f t="shared" si="349"/>
        <v>0</v>
      </c>
      <c r="AQ175" s="2110"/>
      <c r="AR175" s="1028">
        <f>+AR7</f>
        <v>0</v>
      </c>
      <c r="AS175" s="1028"/>
      <c r="AT175" s="517">
        <f t="shared" ref="AT175" si="362">+AP175+AR175</f>
        <v>0</v>
      </c>
      <c r="AU175" s="2110"/>
      <c r="AV175" s="1028">
        <f>+AV7</f>
        <v>0</v>
      </c>
      <c r="AW175" s="1028"/>
      <c r="AX175" s="517">
        <f t="shared" si="355"/>
        <v>0</v>
      </c>
      <c r="AY175" s="2110"/>
      <c r="AZ175" s="1028">
        <f>+AZ7</f>
        <v>64.400000000000006</v>
      </c>
      <c r="BA175" s="1028"/>
      <c r="BB175" s="1028">
        <f>+BB7</f>
        <v>64.400000000000006</v>
      </c>
      <c r="BC175" s="1028">
        <f t="shared" ref="BC175:BC215" si="363">+BA175+AM175</f>
        <v>0</v>
      </c>
      <c r="BD175" s="1028">
        <f t="shared" ref="BD175:BD214" si="364">+BB175+AN175</f>
        <v>64.400000000000006</v>
      </c>
      <c r="BE175" s="1028"/>
      <c r="BF175" s="517">
        <f t="shared" si="352"/>
        <v>64.400000000000006</v>
      </c>
      <c r="BG175" s="1726"/>
      <c r="BH175" s="1726"/>
      <c r="BI175" s="1726"/>
      <c r="BJ175" s="1726"/>
      <c r="BK175" s="1726"/>
      <c r="BL175" s="1726"/>
      <c r="BM175" s="1726"/>
      <c r="BN175" s="1726"/>
      <c r="BO175" s="1726"/>
      <c r="BP175" s="1726"/>
      <c r="BQ175" s="1726"/>
      <c r="BR175" s="1726"/>
      <c r="BS175" s="1726"/>
      <c r="BT175" s="1726"/>
      <c r="BU175" s="1726"/>
      <c r="BV175" s="1726"/>
      <c r="BW175" s="1726"/>
      <c r="BX175" s="1726"/>
      <c r="BY175" s="1726"/>
      <c r="BZ175" s="1726"/>
      <c r="CA175" s="1726"/>
      <c r="CB175" s="1726"/>
      <c r="CC175" s="1726"/>
    </row>
    <row r="176" spans="1:81" s="334" customFormat="1" ht="19.5" thickBot="1" x14ac:dyDescent="0.3">
      <c r="B176" s="2115" t="s">
        <v>36</v>
      </c>
      <c r="C176" s="2116"/>
      <c r="D176" s="2117">
        <f>+D50</f>
        <v>500000</v>
      </c>
      <c r="E176" s="2118">
        <f>+E11</f>
        <v>33000</v>
      </c>
      <c r="F176" s="635">
        <f>SUM(F69:F175)</f>
        <v>32479.460000000006</v>
      </c>
      <c r="G176" s="2118">
        <f>+G11</f>
        <v>41500</v>
      </c>
      <c r="H176" s="635">
        <f>SUM(H69:H175)</f>
        <v>29307.429999999997</v>
      </c>
      <c r="I176" s="2118">
        <f>+I11</f>
        <v>74500</v>
      </c>
      <c r="J176" s="635">
        <f>SUM(J69:J175)</f>
        <v>61540.12999999999</v>
      </c>
      <c r="K176" s="2118">
        <f>+K11</f>
        <v>41500</v>
      </c>
      <c r="L176" s="635">
        <f>SUM(L69:L175)</f>
        <v>36165.990000000005</v>
      </c>
      <c r="M176" s="2118">
        <f>+M11</f>
        <v>116000</v>
      </c>
      <c r="N176" s="635">
        <f>SUM(N69:N175)</f>
        <v>97952.87999999999</v>
      </c>
      <c r="O176" s="2118">
        <f>+O11</f>
        <v>43500</v>
      </c>
      <c r="P176" s="635">
        <f>SUM(P69:P175)</f>
        <v>39401.82</v>
      </c>
      <c r="Q176" s="2118">
        <f>+Q11</f>
        <v>159500</v>
      </c>
      <c r="R176" s="635">
        <f>SUM(R69:R175)</f>
        <v>137107.94</v>
      </c>
      <c r="S176" s="2118">
        <f>+S11</f>
        <v>43500</v>
      </c>
      <c r="T176" s="2118">
        <f>SUM(T69:T175)</f>
        <v>41652.299999999996</v>
      </c>
      <c r="U176" s="2118">
        <f>+U11</f>
        <v>203000</v>
      </c>
      <c r="V176" s="635">
        <f>SUM(V69:V175)</f>
        <v>178068.74</v>
      </c>
      <c r="W176" s="2118">
        <f>+W11</f>
        <v>42000</v>
      </c>
      <c r="X176" s="635">
        <f>SUM(X69:X175)</f>
        <v>40286.889999999992</v>
      </c>
      <c r="Y176" s="2118">
        <f>+Y11</f>
        <v>129000</v>
      </c>
      <c r="Z176" s="635">
        <f>SUM(Z69:Z175)</f>
        <v>121341.00999999997</v>
      </c>
      <c r="AA176" s="2118">
        <f>+AA11</f>
        <v>245000</v>
      </c>
      <c r="AB176" s="635">
        <f>SUM(AB69:AB175)</f>
        <v>219293.88999999998</v>
      </c>
      <c r="AC176" s="2118">
        <f>+AC11</f>
        <v>43500</v>
      </c>
      <c r="AD176" s="635">
        <f>SUM(AD69:AD175)</f>
        <v>41035.009999999987</v>
      </c>
      <c r="AE176" s="2118">
        <f>+AE11</f>
        <v>288500</v>
      </c>
      <c r="AF176" s="635">
        <f>SUM(AF69:AF175)</f>
        <v>259266.80000000005</v>
      </c>
      <c r="AG176" s="2118">
        <f>+AG11</f>
        <v>42000</v>
      </c>
      <c r="AH176" s="635">
        <f>SUM(AH69:AH175)</f>
        <v>36699.670000000006</v>
      </c>
      <c r="AI176" s="2118">
        <f>+AI11</f>
        <v>330500</v>
      </c>
      <c r="AJ176" s="635">
        <f>SUM(AJ69:AJ175)</f>
        <v>295966.47000000003</v>
      </c>
      <c r="AK176" s="2118">
        <f>+AK11</f>
        <v>43000</v>
      </c>
      <c r="AL176" s="635">
        <f>SUM(AL69:AL175)</f>
        <v>37448.32</v>
      </c>
      <c r="AM176" s="2118">
        <f>+AM11</f>
        <v>128500</v>
      </c>
      <c r="AN176" s="635">
        <f>SUM(AN69:AN175)</f>
        <v>115183</v>
      </c>
      <c r="AO176" s="2118">
        <f>+AO11</f>
        <v>373500</v>
      </c>
      <c r="AP176" s="635">
        <f>SUM(AP69:AP175)</f>
        <v>333414.79000000004</v>
      </c>
      <c r="AQ176" s="2118">
        <f>+AQ11</f>
        <v>43500</v>
      </c>
      <c r="AR176" s="635">
        <f>SUM(AR69:AR175)</f>
        <v>41962.080000000002</v>
      </c>
      <c r="AS176" s="2118">
        <f>+AS11</f>
        <v>417000</v>
      </c>
      <c r="AT176" s="635">
        <f>SUM(AT69:AT175)</f>
        <v>375376.87000000017</v>
      </c>
      <c r="AU176" s="2118">
        <f>+AU11</f>
        <v>39000</v>
      </c>
      <c r="AV176" s="635">
        <f>SUM(AV69:AV175)</f>
        <v>44216.669999999991</v>
      </c>
      <c r="AW176" s="2118">
        <f>+AW11</f>
        <v>456000</v>
      </c>
      <c r="AX176" s="635">
        <f>SUM(AX69:AX175)</f>
        <v>417940.46000000014</v>
      </c>
      <c r="AY176" s="2118">
        <f>+AY11</f>
        <v>43500</v>
      </c>
      <c r="AZ176" s="635">
        <f>SUM(AZ69:AZ175)</f>
        <v>47362.03</v>
      </c>
      <c r="BA176" s="2118">
        <f>+BA11</f>
        <v>126000</v>
      </c>
      <c r="BB176" s="635">
        <f>SUM(BB69:BB175)</f>
        <v>133540.77999999997</v>
      </c>
      <c r="BC176" s="2118">
        <f>+BC11</f>
        <v>254500</v>
      </c>
      <c r="BD176" s="635">
        <f>SUM(BD69:BD175)</f>
        <v>248723.78</v>
      </c>
      <c r="BE176" s="2118">
        <f>+BE11</f>
        <v>499500</v>
      </c>
      <c r="BF176" s="635">
        <f>SUM(BF69:BF175)</f>
        <v>468017.6700000001</v>
      </c>
      <c r="BG176" s="1726"/>
      <c r="BH176" s="1726"/>
      <c r="BI176" s="1726"/>
      <c r="BJ176" s="1726"/>
      <c r="BK176" s="1726"/>
      <c r="BL176" s="1726"/>
      <c r="BM176" s="1726"/>
      <c r="BN176" s="1726"/>
      <c r="BO176" s="1726"/>
      <c r="BP176" s="1726"/>
      <c r="BQ176" s="1726"/>
      <c r="BR176" s="1726"/>
      <c r="BS176" s="1726"/>
      <c r="BT176" s="1726"/>
      <c r="BU176" s="1726"/>
      <c r="BV176" s="1726"/>
      <c r="BW176" s="1726"/>
      <c r="BX176" s="1726"/>
      <c r="BY176" s="1726"/>
      <c r="BZ176" s="1726"/>
      <c r="CA176" s="1726"/>
      <c r="CB176" s="1726"/>
      <c r="CC176" s="1726"/>
    </row>
    <row r="177" spans="1:81" s="334" customFormat="1" ht="18.75" x14ac:dyDescent="0.3">
      <c r="B177" s="2119" t="s">
        <v>729</v>
      </c>
      <c r="C177" s="2120"/>
      <c r="D177" s="2121"/>
      <c r="E177" s="2122"/>
      <c r="F177" s="728"/>
      <c r="G177" s="2123"/>
      <c r="H177" s="728"/>
      <c r="I177" s="608"/>
      <c r="J177" s="610"/>
      <c r="K177" s="444"/>
      <c r="L177" s="728"/>
      <c r="M177" s="608"/>
      <c r="N177" s="610"/>
      <c r="O177" s="444"/>
      <c r="P177" s="728"/>
      <c r="Q177" s="608"/>
      <c r="R177" s="610"/>
      <c r="S177" s="444"/>
      <c r="T177" s="728"/>
      <c r="U177" s="608"/>
      <c r="V177" s="610"/>
      <c r="W177" s="444"/>
      <c r="X177" s="728"/>
      <c r="Y177" s="608"/>
      <c r="Z177" s="728"/>
      <c r="AA177" s="608"/>
      <c r="AB177" s="728"/>
      <c r="AC177" s="444"/>
      <c r="AD177" s="728"/>
      <c r="AE177" s="608"/>
      <c r="AF177" s="610"/>
      <c r="AG177" s="444"/>
      <c r="AH177" s="728"/>
      <c r="AI177" s="608"/>
      <c r="AJ177" s="610"/>
      <c r="AK177" s="444"/>
      <c r="AL177" s="728"/>
      <c r="AM177" s="608"/>
      <c r="AN177" s="728"/>
      <c r="AO177" s="3450"/>
      <c r="AP177" s="3451"/>
      <c r="AQ177" s="444"/>
      <c r="AR177" s="728"/>
      <c r="AS177" s="608"/>
      <c r="AT177" s="728"/>
      <c r="AU177" s="444"/>
      <c r="AV177" s="728"/>
      <c r="AW177" s="608"/>
      <c r="AX177" s="728"/>
      <c r="AY177" s="444"/>
      <c r="AZ177" s="728"/>
      <c r="BA177" s="608"/>
      <c r="BB177" s="728"/>
      <c r="BC177" s="608"/>
      <c r="BD177" s="728"/>
      <c r="BE177" s="608"/>
      <c r="BF177" s="728"/>
      <c r="BG177" s="1726"/>
      <c r="BH177" s="1726"/>
      <c r="BI177" s="1726"/>
      <c r="BJ177" s="1726"/>
      <c r="BK177" s="1726"/>
      <c r="BL177" s="1726"/>
      <c r="BM177" s="1726"/>
      <c r="BN177" s="1726"/>
      <c r="BO177" s="1726"/>
      <c r="BP177" s="1726"/>
      <c r="BQ177" s="1726"/>
      <c r="BR177" s="1726"/>
      <c r="BS177" s="1726"/>
      <c r="BT177" s="1726"/>
      <c r="BU177" s="1726"/>
      <c r="BV177" s="1726"/>
      <c r="BW177" s="1726"/>
      <c r="BX177" s="1726"/>
      <c r="BY177" s="1726"/>
      <c r="BZ177" s="1726"/>
      <c r="CA177" s="1726"/>
      <c r="CB177" s="1726"/>
      <c r="CC177" s="1726"/>
    </row>
    <row r="178" spans="1:81" s="334" customFormat="1" ht="18.75" x14ac:dyDescent="0.25">
      <c r="B178" s="2124" t="s">
        <v>1035</v>
      </c>
      <c r="C178" s="2125"/>
      <c r="D178" s="2114"/>
      <c r="E178" s="5048">
        <v>3000</v>
      </c>
      <c r="F178" s="610"/>
      <c r="G178" s="5062">
        <v>5400</v>
      </c>
      <c r="H178" s="610"/>
      <c r="I178" s="4996">
        <f>+G178+E178</f>
        <v>8400</v>
      </c>
      <c r="J178" s="517">
        <f t="shared" si="356"/>
        <v>0</v>
      </c>
      <c r="K178" s="5026">
        <v>5400</v>
      </c>
      <c r="L178" s="610"/>
      <c r="M178" s="4993">
        <f>+K178+I178</f>
        <v>13800</v>
      </c>
      <c r="N178" s="611">
        <f t="shared" ref="N178:N258" si="365">+J178+L178</f>
        <v>0</v>
      </c>
      <c r="O178" s="5026">
        <v>5400</v>
      </c>
      <c r="P178" s="610"/>
      <c r="Q178" s="4996">
        <f>+O178+M178</f>
        <v>19200</v>
      </c>
      <c r="R178" s="517">
        <f t="shared" si="358"/>
        <v>0</v>
      </c>
      <c r="S178" s="5026">
        <v>5400</v>
      </c>
      <c r="T178" s="610"/>
      <c r="U178" s="4996">
        <f>+S178+Q178</f>
        <v>24600</v>
      </c>
      <c r="V178" s="517">
        <f t="shared" si="359"/>
        <v>0</v>
      </c>
      <c r="W178" s="5026">
        <v>5400</v>
      </c>
      <c r="X178" s="610"/>
      <c r="Y178" s="4993">
        <f>O178+S178+W178</f>
        <v>16200</v>
      </c>
      <c r="Z178" s="611">
        <f t="shared" ref="Z178:Z214" si="366">P178+T178+X178</f>
        <v>0</v>
      </c>
      <c r="AA178" s="4999">
        <f>+W178+U178</f>
        <v>30000</v>
      </c>
      <c r="AB178" s="1287">
        <f t="shared" ref="AB178:AB214" si="367">+V178+X178</f>
        <v>0</v>
      </c>
      <c r="AC178" s="5026">
        <v>5400</v>
      </c>
      <c r="AD178" s="610"/>
      <c r="AE178" s="4996">
        <f>+AC178+AA178</f>
        <v>35400</v>
      </c>
      <c r="AF178" s="517">
        <f t="shared" ref="AF178:AF214" si="368">+AB178+AD178</f>
        <v>0</v>
      </c>
      <c r="AG178" s="5026">
        <v>5400</v>
      </c>
      <c r="AH178" s="610"/>
      <c r="AI178" s="4996">
        <f>+AG178+AE178</f>
        <v>40800</v>
      </c>
      <c r="AJ178" s="517">
        <f t="shared" ref="AJ178:AJ214" si="369">+AF178+AH178</f>
        <v>0</v>
      </c>
      <c r="AK178" s="5026">
        <v>5400</v>
      </c>
      <c r="AL178" s="610"/>
      <c r="AM178" s="4993">
        <f>AC178+AG178+AK178</f>
        <v>16200</v>
      </c>
      <c r="AN178" s="611">
        <f t="shared" ref="AN178:AN214" si="370">AD178+AH178+AL178</f>
        <v>0</v>
      </c>
      <c r="AO178" s="4996">
        <f>+AK178+AI178</f>
        <v>46200</v>
      </c>
      <c r="AP178" s="517">
        <f t="shared" ref="AP178:AP214" si="371">+AJ178+AL178</f>
        <v>0</v>
      </c>
      <c r="AQ178" s="5026">
        <v>5400</v>
      </c>
      <c r="AR178" s="610"/>
      <c r="AS178" s="4996">
        <f>+AQ178+AO178</f>
        <v>51600</v>
      </c>
      <c r="AT178" s="517">
        <f t="shared" ref="AT178:AT214" si="372">+AP178+AR178</f>
        <v>0</v>
      </c>
      <c r="AU178" s="5026">
        <v>3000</v>
      </c>
      <c r="AV178" s="610"/>
      <c r="AW178" s="4996">
        <f>+AU178+AS178</f>
        <v>54600</v>
      </c>
      <c r="AX178" s="517">
        <f t="shared" ref="AX178:AX214" si="373">+AT178+AV178</f>
        <v>0</v>
      </c>
      <c r="AY178" s="5026">
        <v>5400</v>
      </c>
      <c r="AZ178" s="610"/>
      <c r="BA178" s="4993">
        <f>AQ178+AU178+AY178</f>
        <v>13800</v>
      </c>
      <c r="BB178" s="611">
        <f t="shared" ref="BB178:BB214" si="374">AR178+AV178+AZ178</f>
        <v>0</v>
      </c>
      <c r="BC178" s="4999">
        <f t="shared" si="363"/>
        <v>30000</v>
      </c>
      <c r="BD178" s="1287">
        <f t="shared" si="364"/>
        <v>0</v>
      </c>
      <c r="BE178" s="4996">
        <f>+AY178+AW178</f>
        <v>60000</v>
      </c>
      <c r="BF178" s="517">
        <f t="shared" ref="BF178:BF214" si="375">+AX178+AZ178</f>
        <v>0</v>
      </c>
      <c r="BG178" s="1726"/>
      <c r="BH178" s="1726"/>
      <c r="BI178" s="1726"/>
      <c r="BJ178" s="1726"/>
      <c r="BK178" s="1726"/>
      <c r="BL178" s="1726"/>
      <c r="BM178" s="1726"/>
      <c r="BN178" s="1726"/>
      <c r="BO178" s="1726"/>
      <c r="BP178" s="1726"/>
      <c r="BQ178" s="1726"/>
      <c r="BR178" s="1726"/>
      <c r="BS178" s="1726"/>
      <c r="BT178" s="1726"/>
      <c r="BU178" s="1726"/>
      <c r="BV178" s="1726"/>
      <c r="BW178" s="1726"/>
      <c r="BX178" s="1726"/>
      <c r="BY178" s="1726"/>
      <c r="BZ178" s="1726"/>
      <c r="CA178" s="1726"/>
      <c r="CB178" s="1726"/>
      <c r="CC178" s="1726"/>
    </row>
    <row r="179" spans="1:81" s="1107" customFormat="1" ht="18.75" x14ac:dyDescent="0.25">
      <c r="A179" s="334"/>
      <c r="B179" s="2126" t="s">
        <v>1322</v>
      </c>
      <c r="C179" s="2058" t="s">
        <v>53</v>
      </c>
      <c r="D179" s="3953"/>
      <c r="E179" s="5049"/>
      <c r="F179" s="610">
        <v>509.24</v>
      </c>
      <c r="G179" s="5063"/>
      <c r="H179" s="610"/>
      <c r="I179" s="4997"/>
      <c r="J179" s="517">
        <f t="shared" si="356"/>
        <v>509.24</v>
      </c>
      <c r="K179" s="5027"/>
      <c r="L179" s="610"/>
      <c r="M179" s="4994"/>
      <c r="N179" s="611">
        <f t="shared" si="365"/>
        <v>509.24</v>
      </c>
      <c r="O179" s="5027"/>
      <c r="P179" s="610"/>
      <c r="Q179" s="4997"/>
      <c r="R179" s="517">
        <f t="shared" si="358"/>
        <v>509.24</v>
      </c>
      <c r="S179" s="5027"/>
      <c r="T179" s="610"/>
      <c r="U179" s="4997"/>
      <c r="V179" s="517">
        <f t="shared" si="359"/>
        <v>509.24</v>
      </c>
      <c r="W179" s="5027"/>
      <c r="X179" s="610"/>
      <c r="Y179" s="4994"/>
      <c r="Z179" s="611">
        <f t="shared" si="366"/>
        <v>0</v>
      </c>
      <c r="AA179" s="5000"/>
      <c r="AB179" s="1287">
        <f t="shared" si="367"/>
        <v>509.24</v>
      </c>
      <c r="AC179" s="5027"/>
      <c r="AD179" s="610">
        <v>0</v>
      </c>
      <c r="AE179" s="4997"/>
      <c r="AF179" s="517">
        <f t="shared" si="368"/>
        <v>509.24</v>
      </c>
      <c r="AG179" s="5027"/>
      <c r="AH179" s="610"/>
      <c r="AI179" s="4997"/>
      <c r="AJ179" s="517">
        <f t="shared" si="369"/>
        <v>509.24</v>
      </c>
      <c r="AK179" s="5027"/>
      <c r="AL179" s="610"/>
      <c r="AM179" s="4994"/>
      <c r="AN179" s="611">
        <f t="shared" si="370"/>
        <v>0</v>
      </c>
      <c r="AO179" s="4997"/>
      <c r="AP179" s="517">
        <f t="shared" si="371"/>
        <v>509.24</v>
      </c>
      <c r="AQ179" s="5027"/>
      <c r="AR179" s="610"/>
      <c r="AS179" s="4997"/>
      <c r="AT179" s="517">
        <f t="shared" si="372"/>
        <v>509.24</v>
      </c>
      <c r="AU179" s="5027"/>
      <c r="AV179" s="610"/>
      <c r="AW179" s="4997"/>
      <c r="AX179" s="517">
        <f t="shared" si="373"/>
        <v>509.24</v>
      </c>
      <c r="AY179" s="5027"/>
      <c r="AZ179" s="610"/>
      <c r="BA179" s="4994"/>
      <c r="BB179" s="611">
        <f t="shared" si="374"/>
        <v>0</v>
      </c>
      <c r="BC179" s="5000">
        <f t="shared" si="363"/>
        <v>0</v>
      </c>
      <c r="BD179" s="1287">
        <f t="shared" si="364"/>
        <v>0</v>
      </c>
      <c r="BE179" s="4997"/>
      <c r="BF179" s="517">
        <f t="shared" si="375"/>
        <v>509.24</v>
      </c>
      <c r="BG179" s="1726"/>
      <c r="BH179" s="1726"/>
      <c r="BI179" s="1726"/>
      <c r="BJ179" s="1726"/>
      <c r="BK179" s="1726"/>
      <c r="BL179" s="48">
        <f>+AT179+AT184+AT185+AT191+AT192+AT194+AT197+AT198+AT208</f>
        <v>31192.629999999997</v>
      </c>
      <c r="BM179" s="1726"/>
      <c r="BN179" s="1726"/>
      <c r="BO179" s="1726"/>
      <c r="BP179" s="1726"/>
      <c r="BQ179" s="1726"/>
      <c r="BR179" s="1726"/>
      <c r="BS179" s="1726"/>
      <c r="BT179" s="1726"/>
      <c r="BU179" s="1726"/>
      <c r="BV179" s="1726"/>
      <c r="BW179" s="1726"/>
      <c r="BX179" s="1726"/>
      <c r="BY179" s="1726"/>
      <c r="BZ179" s="1726"/>
      <c r="CA179" s="1726"/>
      <c r="CB179" s="1726"/>
      <c r="CC179" s="1726"/>
    </row>
    <row r="180" spans="1:81" s="570" customFormat="1" ht="18.75" x14ac:dyDescent="0.25">
      <c r="A180" s="334"/>
      <c r="B180" s="2126" t="s">
        <v>848</v>
      </c>
      <c r="C180" s="2058" t="s">
        <v>53</v>
      </c>
      <c r="D180" s="3953"/>
      <c r="E180" s="5049"/>
      <c r="F180" s="610"/>
      <c r="G180" s="5063"/>
      <c r="H180" s="610"/>
      <c r="I180" s="4997"/>
      <c r="J180" s="517">
        <f t="shared" si="356"/>
        <v>0</v>
      </c>
      <c r="K180" s="5027"/>
      <c r="L180" s="610"/>
      <c r="M180" s="4994"/>
      <c r="N180" s="611">
        <f t="shared" si="365"/>
        <v>0</v>
      </c>
      <c r="O180" s="5027"/>
      <c r="P180" s="610"/>
      <c r="Q180" s="4997"/>
      <c r="R180" s="517">
        <f t="shared" si="358"/>
        <v>0</v>
      </c>
      <c r="S180" s="5027"/>
      <c r="T180" s="610"/>
      <c r="U180" s="4997"/>
      <c r="V180" s="517">
        <f t="shared" si="359"/>
        <v>0</v>
      </c>
      <c r="W180" s="5027"/>
      <c r="X180" s="610"/>
      <c r="Y180" s="4994"/>
      <c r="Z180" s="611">
        <f t="shared" si="366"/>
        <v>0</v>
      </c>
      <c r="AA180" s="5000"/>
      <c r="AB180" s="1287">
        <f t="shared" si="367"/>
        <v>0</v>
      </c>
      <c r="AC180" s="5027"/>
      <c r="AD180" s="610">
        <v>0</v>
      </c>
      <c r="AE180" s="4997"/>
      <c r="AF180" s="517">
        <f t="shared" si="368"/>
        <v>0</v>
      </c>
      <c r="AG180" s="5027"/>
      <c r="AH180" s="610"/>
      <c r="AI180" s="4997"/>
      <c r="AJ180" s="517">
        <f t="shared" si="369"/>
        <v>0</v>
      </c>
      <c r="AK180" s="5027"/>
      <c r="AL180" s="610"/>
      <c r="AM180" s="4994"/>
      <c r="AN180" s="611">
        <f t="shared" si="370"/>
        <v>0</v>
      </c>
      <c r="AO180" s="4997"/>
      <c r="AP180" s="517">
        <f t="shared" si="371"/>
        <v>0</v>
      </c>
      <c r="AQ180" s="5027"/>
      <c r="AR180" s="610"/>
      <c r="AS180" s="4997"/>
      <c r="AT180" s="517">
        <f t="shared" si="372"/>
        <v>0</v>
      </c>
      <c r="AU180" s="5027"/>
      <c r="AV180" s="610"/>
      <c r="AW180" s="4997"/>
      <c r="AX180" s="517">
        <f t="shared" si="373"/>
        <v>0</v>
      </c>
      <c r="AY180" s="5027"/>
      <c r="AZ180" s="610"/>
      <c r="BA180" s="4994"/>
      <c r="BB180" s="611">
        <f t="shared" si="374"/>
        <v>0</v>
      </c>
      <c r="BC180" s="5000">
        <f t="shared" si="363"/>
        <v>0</v>
      </c>
      <c r="BD180" s="1287">
        <f t="shared" si="364"/>
        <v>0</v>
      </c>
      <c r="BE180" s="4997"/>
      <c r="BF180" s="517">
        <f t="shared" si="375"/>
        <v>0</v>
      </c>
      <c r="BG180" s="1726"/>
      <c r="BH180" s="1726"/>
      <c r="BI180" s="1726"/>
      <c r="BJ180" s="1726"/>
      <c r="BK180" s="1726"/>
      <c r="BL180" s="1726"/>
      <c r="BM180" s="1726"/>
      <c r="BN180" s="1726"/>
      <c r="BO180" s="1726"/>
      <c r="BP180" s="1726"/>
      <c r="BQ180" s="1726"/>
      <c r="BR180" s="1726"/>
      <c r="BS180" s="1726"/>
      <c r="BT180" s="1726"/>
      <c r="BU180" s="1726"/>
      <c r="BV180" s="1726"/>
      <c r="BW180" s="1726"/>
      <c r="BX180" s="1726"/>
      <c r="BY180" s="1726"/>
      <c r="BZ180" s="1726"/>
      <c r="CA180" s="1726"/>
      <c r="CB180" s="1726"/>
      <c r="CC180" s="1726"/>
    </row>
    <row r="181" spans="1:81" s="334" customFormat="1" ht="18.75" x14ac:dyDescent="0.25">
      <c r="B181" s="2124" t="s">
        <v>1034</v>
      </c>
      <c r="C181" s="2125" t="s">
        <v>53</v>
      </c>
      <c r="D181" s="2127"/>
      <c r="E181" s="5049"/>
      <c r="F181" s="610"/>
      <c r="G181" s="5063"/>
      <c r="H181" s="610"/>
      <c r="I181" s="4997"/>
      <c r="J181" s="517">
        <f t="shared" si="356"/>
        <v>0</v>
      </c>
      <c r="K181" s="5027"/>
      <c r="L181" s="610"/>
      <c r="M181" s="4994"/>
      <c r="N181" s="611">
        <f t="shared" si="365"/>
        <v>0</v>
      </c>
      <c r="O181" s="5027"/>
      <c r="P181" s="610"/>
      <c r="Q181" s="4997"/>
      <c r="R181" s="517">
        <f t="shared" si="358"/>
        <v>0</v>
      </c>
      <c r="S181" s="5027"/>
      <c r="T181" s="610"/>
      <c r="U181" s="4997"/>
      <c r="V181" s="517">
        <f t="shared" si="359"/>
        <v>0</v>
      </c>
      <c r="W181" s="5027"/>
      <c r="X181" s="610"/>
      <c r="Y181" s="4994"/>
      <c r="Z181" s="611">
        <f t="shared" si="366"/>
        <v>0</v>
      </c>
      <c r="AA181" s="5000"/>
      <c r="AB181" s="1287">
        <f t="shared" si="367"/>
        <v>0</v>
      </c>
      <c r="AC181" s="5027"/>
      <c r="AD181" s="610"/>
      <c r="AE181" s="4997"/>
      <c r="AF181" s="517">
        <f t="shared" si="368"/>
        <v>0</v>
      </c>
      <c r="AG181" s="5027"/>
      <c r="AH181" s="610"/>
      <c r="AI181" s="4997"/>
      <c r="AJ181" s="517">
        <f t="shared" si="369"/>
        <v>0</v>
      </c>
      <c r="AK181" s="5027"/>
      <c r="AL181" s="610"/>
      <c r="AM181" s="4994"/>
      <c r="AN181" s="611">
        <f t="shared" si="370"/>
        <v>0</v>
      </c>
      <c r="AO181" s="4997"/>
      <c r="AP181" s="517">
        <f t="shared" si="371"/>
        <v>0</v>
      </c>
      <c r="AQ181" s="5027"/>
      <c r="AR181" s="610"/>
      <c r="AS181" s="4997"/>
      <c r="AT181" s="517">
        <f t="shared" si="372"/>
        <v>0</v>
      </c>
      <c r="AU181" s="5027"/>
      <c r="AV181" s="610"/>
      <c r="AW181" s="4997"/>
      <c r="AX181" s="517">
        <f t="shared" si="373"/>
        <v>0</v>
      </c>
      <c r="AY181" s="5027"/>
      <c r="AZ181" s="610"/>
      <c r="BA181" s="4994"/>
      <c r="BB181" s="611">
        <f t="shared" si="374"/>
        <v>0</v>
      </c>
      <c r="BC181" s="5000">
        <f t="shared" si="363"/>
        <v>0</v>
      </c>
      <c r="BD181" s="1287">
        <f t="shared" si="364"/>
        <v>0</v>
      </c>
      <c r="BE181" s="4997"/>
      <c r="BF181" s="517">
        <f t="shared" si="375"/>
        <v>0</v>
      </c>
      <c r="BG181" s="1726"/>
      <c r="BH181" s="1726"/>
      <c r="BI181" s="1726"/>
      <c r="BJ181" s="1726"/>
      <c r="BK181" s="1726"/>
      <c r="BL181" s="1726"/>
      <c r="BM181" s="1726"/>
      <c r="BN181" s="1726"/>
      <c r="BO181" s="1726"/>
      <c r="BP181" s="1726"/>
      <c r="BQ181" s="1726"/>
      <c r="BR181" s="1726"/>
      <c r="BS181" s="1726"/>
      <c r="BT181" s="1726"/>
      <c r="BU181" s="1726"/>
      <c r="BV181" s="1726"/>
      <c r="BW181" s="1726"/>
      <c r="BX181" s="1726"/>
      <c r="BY181" s="1726"/>
      <c r="BZ181" s="1726"/>
      <c r="CA181" s="1726"/>
      <c r="CB181" s="1726"/>
      <c r="CC181" s="1726"/>
    </row>
    <row r="182" spans="1:81" s="944" customFormat="1" ht="18.75" x14ac:dyDescent="0.25">
      <c r="B182" s="2126" t="s">
        <v>848</v>
      </c>
      <c r="C182" s="2058" t="s">
        <v>53</v>
      </c>
      <c r="D182" s="3953"/>
      <c r="E182" s="5049"/>
      <c r="F182" s="610"/>
      <c r="G182" s="5063"/>
      <c r="H182" s="610"/>
      <c r="I182" s="4997"/>
      <c r="J182" s="517">
        <f t="shared" si="356"/>
        <v>0</v>
      </c>
      <c r="K182" s="5027"/>
      <c r="L182" s="610"/>
      <c r="M182" s="4994"/>
      <c r="N182" s="611">
        <f t="shared" si="365"/>
        <v>0</v>
      </c>
      <c r="O182" s="5027"/>
      <c r="P182" s="610"/>
      <c r="Q182" s="4997"/>
      <c r="R182" s="517">
        <f t="shared" si="358"/>
        <v>0</v>
      </c>
      <c r="S182" s="5027"/>
      <c r="T182" s="610"/>
      <c r="U182" s="4997"/>
      <c r="V182" s="517">
        <f t="shared" si="359"/>
        <v>0</v>
      </c>
      <c r="W182" s="5027"/>
      <c r="X182" s="610"/>
      <c r="Y182" s="4994"/>
      <c r="Z182" s="611">
        <f t="shared" si="366"/>
        <v>0</v>
      </c>
      <c r="AA182" s="5000"/>
      <c r="AB182" s="1287">
        <f t="shared" si="367"/>
        <v>0</v>
      </c>
      <c r="AC182" s="5027"/>
      <c r="AD182" s="610">
        <v>0</v>
      </c>
      <c r="AE182" s="4997"/>
      <c r="AF182" s="517">
        <f t="shared" si="368"/>
        <v>0</v>
      </c>
      <c r="AG182" s="5027"/>
      <c r="AH182" s="610"/>
      <c r="AI182" s="4997"/>
      <c r="AJ182" s="517">
        <f t="shared" si="369"/>
        <v>0</v>
      </c>
      <c r="AK182" s="5027"/>
      <c r="AL182" s="610"/>
      <c r="AM182" s="4994"/>
      <c r="AN182" s="611">
        <f t="shared" si="370"/>
        <v>0</v>
      </c>
      <c r="AO182" s="4997"/>
      <c r="AP182" s="517">
        <f t="shared" si="371"/>
        <v>0</v>
      </c>
      <c r="AQ182" s="5027"/>
      <c r="AR182" s="610"/>
      <c r="AS182" s="4997"/>
      <c r="AT182" s="517">
        <f t="shared" si="372"/>
        <v>0</v>
      </c>
      <c r="AU182" s="5027"/>
      <c r="AV182" s="610"/>
      <c r="AW182" s="4997"/>
      <c r="AX182" s="517">
        <f t="shared" si="373"/>
        <v>0</v>
      </c>
      <c r="AY182" s="5027"/>
      <c r="AZ182" s="610"/>
      <c r="BA182" s="4994"/>
      <c r="BB182" s="611">
        <f t="shared" si="374"/>
        <v>0</v>
      </c>
      <c r="BC182" s="5000">
        <f t="shared" si="363"/>
        <v>0</v>
      </c>
      <c r="BD182" s="1287">
        <f t="shared" si="364"/>
        <v>0</v>
      </c>
      <c r="BE182" s="4997"/>
      <c r="BF182" s="517">
        <f t="shared" si="375"/>
        <v>0</v>
      </c>
      <c r="BG182" s="1726"/>
      <c r="BH182" s="1726"/>
      <c r="BI182" s="1726"/>
      <c r="BJ182" s="1726"/>
      <c r="BK182" s="1726"/>
      <c r="BL182" s="1726"/>
      <c r="BM182" s="1726"/>
      <c r="BN182" s="1726"/>
      <c r="BO182" s="1726"/>
      <c r="BP182" s="1726"/>
      <c r="BQ182" s="1726"/>
      <c r="BR182" s="1726"/>
      <c r="BS182" s="1726"/>
      <c r="BT182" s="1726"/>
      <c r="BU182" s="1726"/>
      <c r="BV182" s="1726"/>
      <c r="BW182" s="1726"/>
      <c r="BX182" s="1726"/>
      <c r="BY182" s="1726"/>
      <c r="BZ182" s="1726"/>
      <c r="CA182" s="1726"/>
      <c r="CB182" s="1726"/>
      <c r="CC182" s="1726"/>
    </row>
    <row r="183" spans="1:81" s="334" customFormat="1" ht="18.75" x14ac:dyDescent="0.25">
      <c r="B183" s="2124" t="s">
        <v>1412</v>
      </c>
      <c r="C183" s="2125" t="s">
        <v>53</v>
      </c>
      <c r="D183" s="2127"/>
      <c r="E183" s="5049"/>
      <c r="F183" s="610"/>
      <c r="G183" s="5063"/>
      <c r="H183" s="610"/>
      <c r="I183" s="4997"/>
      <c r="J183" s="517">
        <f t="shared" si="356"/>
        <v>0</v>
      </c>
      <c r="K183" s="5027"/>
      <c r="L183" s="610"/>
      <c r="M183" s="4994"/>
      <c r="N183" s="611">
        <f t="shared" si="365"/>
        <v>0</v>
      </c>
      <c r="O183" s="5027"/>
      <c r="P183" s="610"/>
      <c r="Q183" s="4997"/>
      <c r="R183" s="517">
        <f t="shared" si="358"/>
        <v>0</v>
      </c>
      <c r="S183" s="5027"/>
      <c r="T183" s="610"/>
      <c r="U183" s="4997"/>
      <c r="V183" s="517">
        <f t="shared" si="359"/>
        <v>0</v>
      </c>
      <c r="W183" s="5027"/>
      <c r="X183" s="610"/>
      <c r="Y183" s="4994"/>
      <c r="Z183" s="611">
        <f t="shared" si="366"/>
        <v>0</v>
      </c>
      <c r="AA183" s="5000"/>
      <c r="AB183" s="1287">
        <f t="shared" si="367"/>
        <v>0</v>
      </c>
      <c r="AC183" s="5027"/>
      <c r="AD183" s="610"/>
      <c r="AE183" s="4997"/>
      <c r="AF183" s="517">
        <f t="shared" si="368"/>
        <v>0</v>
      </c>
      <c r="AG183" s="5027"/>
      <c r="AH183" s="610"/>
      <c r="AI183" s="4997"/>
      <c r="AJ183" s="517">
        <f t="shared" si="369"/>
        <v>0</v>
      </c>
      <c r="AK183" s="5027"/>
      <c r="AL183" s="610"/>
      <c r="AM183" s="4994"/>
      <c r="AN183" s="611">
        <f t="shared" si="370"/>
        <v>0</v>
      </c>
      <c r="AO183" s="4997"/>
      <c r="AP183" s="517">
        <f t="shared" si="371"/>
        <v>0</v>
      </c>
      <c r="AQ183" s="5027"/>
      <c r="AR183" s="610"/>
      <c r="AS183" s="4997"/>
      <c r="AT183" s="517">
        <f t="shared" si="372"/>
        <v>0</v>
      </c>
      <c r="AU183" s="5027"/>
      <c r="AV183" s="610"/>
      <c r="AW183" s="4997"/>
      <c r="AX183" s="517">
        <f t="shared" si="373"/>
        <v>0</v>
      </c>
      <c r="AY183" s="5027"/>
      <c r="AZ183" s="610"/>
      <c r="BA183" s="4994"/>
      <c r="BB183" s="611">
        <f t="shared" si="374"/>
        <v>0</v>
      </c>
      <c r="BC183" s="5000">
        <f t="shared" si="363"/>
        <v>0</v>
      </c>
      <c r="BD183" s="1287">
        <f t="shared" si="364"/>
        <v>0</v>
      </c>
      <c r="BE183" s="4997"/>
      <c r="BF183" s="517">
        <f t="shared" si="375"/>
        <v>0</v>
      </c>
      <c r="BG183" s="1726"/>
      <c r="BH183" s="1726"/>
      <c r="BI183" s="1726"/>
      <c r="BJ183" s="1726"/>
      <c r="BK183" s="1726"/>
      <c r="BL183" s="1726"/>
      <c r="BM183" s="1726"/>
      <c r="BN183" s="1726"/>
      <c r="BO183" s="1726"/>
      <c r="BP183" s="1726"/>
      <c r="BQ183" s="1726"/>
      <c r="BR183" s="1726"/>
      <c r="BS183" s="1726"/>
      <c r="BT183" s="1726"/>
      <c r="BU183" s="1726"/>
      <c r="BV183" s="1726"/>
      <c r="BW183" s="1726"/>
      <c r="BX183" s="1726"/>
      <c r="BY183" s="1726"/>
      <c r="BZ183" s="1726"/>
      <c r="CA183" s="1726"/>
      <c r="CB183" s="1726"/>
      <c r="CC183" s="1726"/>
    </row>
    <row r="184" spans="1:81" s="874" customFormat="1" ht="18.75" x14ac:dyDescent="0.25">
      <c r="B184" s="2128" t="s">
        <v>849</v>
      </c>
      <c r="C184" s="2058" t="s">
        <v>53</v>
      </c>
      <c r="D184" s="3953"/>
      <c r="E184" s="5049"/>
      <c r="F184" s="610"/>
      <c r="G184" s="5063"/>
      <c r="H184" s="610"/>
      <c r="I184" s="4997"/>
      <c r="J184" s="517">
        <f t="shared" si="356"/>
        <v>0</v>
      </c>
      <c r="K184" s="5027"/>
      <c r="L184" s="610">
        <v>503.66</v>
      </c>
      <c r="M184" s="4994"/>
      <c r="N184" s="611">
        <f t="shared" si="365"/>
        <v>503.66</v>
      </c>
      <c r="O184" s="5027"/>
      <c r="P184" s="610"/>
      <c r="Q184" s="4997"/>
      <c r="R184" s="517">
        <f t="shared" si="358"/>
        <v>503.66</v>
      </c>
      <c r="S184" s="5027"/>
      <c r="T184" s="610">
        <v>504.2399999999999</v>
      </c>
      <c r="U184" s="4997"/>
      <c r="V184" s="517">
        <f t="shared" si="359"/>
        <v>1007.8999999999999</v>
      </c>
      <c r="W184" s="5027"/>
      <c r="X184" s="610">
        <v>622.82000000000005</v>
      </c>
      <c r="Y184" s="4994"/>
      <c r="Z184" s="611">
        <f t="shared" si="366"/>
        <v>1127.06</v>
      </c>
      <c r="AA184" s="5000"/>
      <c r="AB184" s="1287">
        <f t="shared" si="367"/>
        <v>1630.7199999999998</v>
      </c>
      <c r="AC184" s="5027"/>
      <c r="AD184" s="610">
        <v>760.24</v>
      </c>
      <c r="AE184" s="4997"/>
      <c r="AF184" s="517">
        <f t="shared" si="368"/>
        <v>2390.96</v>
      </c>
      <c r="AG184" s="5027"/>
      <c r="AH184" s="610"/>
      <c r="AI184" s="4997"/>
      <c r="AJ184" s="517">
        <f t="shared" si="369"/>
        <v>2390.96</v>
      </c>
      <c r="AK184" s="5027"/>
      <c r="AL184" s="610">
        <v>819.48</v>
      </c>
      <c r="AM184" s="4994"/>
      <c r="AN184" s="611">
        <f t="shared" si="370"/>
        <v>1579.72</v>
      </c>
      <c r="AO184" s="4997"/>
      <c r="AP184" s="517">
        <f t="shared" si="371"/>
        <v>3210.44</v>
      </c>
      <c r="AQ184" s="5027"/>
      <c r="AR184" s="610">
        <v>1018.83</v>
      </c>
      <c r="AS184" s="4997"/>
      <c r="AT184" s="517">
        <f t="shared" si="372"/>
        <v>4229.2700000000004</v>
      </c>
      <c r="AU184" s="5027"/>
      <c r="AV184" s="610"/>
      <c r="AW184" s="4997"/>
      <c r="AX184" s="517">
        <f t="shared" si="373"/>
        <v>4229.2700000000004</v>
      </c>
      <c r="AY184" s="5027"/>
      <c r="AZ184" s="610">
        <v>1974.1</v>
      </c>
      <c r="BA184" s="4994"/>
      <c r="BB184" s="611">
        <f t="shared" si="374"/>
        <v>2992.93</v>
      </c>
      <c r="BC184" s="5000">
        <f t="shared" si="363"/>
        <v>0</v>
      </c>
      <c r="BD184" s="1287">
        <f t="shared" si="364"/>
        <v>4572.6499999999996</v>
      </c>
      <c r="BE184" s="4997"/>
      <c r="BF184" s="517">
        <f t="shared" si="375"/>
        <v>6203.3700000000008</v>
      </c>
      <c r="BG184" s="1726"/>
      <c r="BH184" s="1726"/>
      <c r="BI184" s="1726"/>
      <c r="BJ184" s="1726"/>
      <c r="BK184" s="1726"/>
      <c r="BL184" s="1726"/>
      <c r="BM184" s="1726"/>
      <c r="BN184" s="1726"/>
      <c r="BO184" s="1726"/>
      <c r="BP184" s="1726"/>
      <c r="BQ184" s="1726"/>
      <c r="BR184" s="1726"/>
      <c r="BS184" s="1726"/>
      <c r="BT184" s="1726"/>
      <c r="BU184" s="1726"/>
      <c r="BV184" s="1726"/>
      <c r="BW184" s="1726"/>
      <c r="BX184" s="1726"/>
      <c r="BY184" s="1726"/>
      <c r="BZ184" s="1726"/>
      <c r="CA184" s="1726"/>
      <c r="CB184" s="1726"/>
      <c r="CC184" s="1726"/>
    </row>
    <row r="185" spans="1:81" s="1588" customFormat="1" ht="18.75" x14ac:dyDescent="0.25">
      <c r="B185" s="2126" t="s">
        <v>1322</v>
      </c>
      <c r="C185" s="2058" t="s">
        <v>53</v>
      </c>
      <c r="D185" s="3953"/>
      <c r="E185" s="5049"/>
      <c r="F185" s="610"/>
      <c r="G185" s="5063"/>
      <c r="H185" s="610"/>
      <c r="I185" s="4997"/>
      <c r="J185" s="517">
        <f t="shared" si="356"/>
        <v>0</v>
      </c>
      <c r="K185" s="5027"/>
      <c r="L185" s="610"/>
      <c r="M185" s="4994"/>
      <c r="N185" s="611">
        <f t="shared" si="365"/>
        <v>0</v>
      </c>
      <c r="O185" s="5027"/>
      <c r="P185" s="610">
        <v>2291.65</v>
      </c>
      <c r="Q185" s="4997"/>
      <c r="R185" s="517">
        <f t="shared" si="358"/>
        <v>2291.65</v>
      </c>
      <c r="S185" s="5027"/>
      <c r="T185" s="610"/>
      <c r="U185" s="4997"/>
      <c r="V185" s="517">
        <f t="shared" si="359"/>
        <v>2291.65</v>
      </c>
      <c r="W185" s="5027"/>
      <c r="X185" s="610"/>
      <c r="Y185" s="4994"/>
      <c r="Z185" s="611">
        <f t="shared" si="366"/>
        <v>2291.65</v>
      </c>
      <c r="AA185" s="5000"/>
      <c r="AB185" s="1287">
        <f t="shared" si="367"/>
        <v>2291.65</v>
      </c>
      <c r="AC185" s="5027"/>
      <c r="AD185" s="610">
        <v>0</v>
      </c>
      <c r="AE185" s="4997"/>
      <c r="AF185" s="517">
        <f t="shared" si="368"/>
        <v>2291.65</v>
      </c>
      <c r="AG185" s="5027"/>
      <c r="AH185" s="610"/>
      <c r="AI185" s="4997"/>
      <c r="AJ185" s="517">
        <f t="shared" si="369"/>
        <v>2291.65</v>
      </c>
      <c r="AK185" s="5027"/>
      <c r="AL185" s="610"/>
      <c r="AM185" s="4994"/>
      <c r="AN185" s="611">
        <f t="shared" si="370"/>
        <v>0</v>
      </c>
      <c r="AO185" s="4997"/>
      <c r="AP185" s="517">
        <f t="shared" si="371"/>
        <v>2291.65</v>
      </c>
      <c r="AQ185" s="5027"/>
      <c r="AR185" s="610"/>
      <c r="AS185" s="4997"/>
      <c r="AT185" s="517">
        <f t="shared" si="372"/>
        <v>2291.65</v>
      </c>
      <c r="AU185" s="5027"/>
      <c r="AV185" s="610"/>
      <c r="AW185" s="4997"/>
      <c r="AX185" s="517">
        <f t="shared" si="373"/>
        <v>2291.65</v>
      </c>
      <c r="AY185" s="5027"/>
      <c r="AZ185" s="610"/>
      <c r="BA185" s="4994"/>
      <c r="BB185" s="611">
        <f t="shared" si="374"/>
        <v>0</v>
      </c>
      <c r="BC185" s="5000"/>
      <c r="BD185" s="1287">
        <f t="shared" si="364"/>
        <v>0</v>
      </c>
      <c r="BE185" s="4997"/>
      <c r="BF185" s="517">
        <f t="shared" si="375"/>
        <v>2291.65</v>
      </c>
      <c r="BG185" s="1726"/>
      <c r="BH185" s="1726"/>
      <c r="BI185" s="1726"/>
      <c r="BJ185" s="1726"/>
      <c r="BK185" s="1726"/>
      <c r="BL185" s="1726"/>
      <c r="BM185" s="1726"/>
      <c r="BN185" s="1726"/>
      <c r="BO185" s="1726"/>
      <c r="BP185" s="1726"/>
      <c r="BQ185" s="1726"/>
      <c r="BR185" s="1726"/>
      <c r="BS185" s="1726"/>
      <c r="BT185" s="1726"/>
      <c r="BU185" s="1726"/>
      <c r="BV185" s="1726"/>
      <c r="BW185" s="1726"/>
      <c r="BX185" s="1726"/>
      <c r="BY185" s="1726"/>
      <c r="BZ185" s="1726"/>
      <c r="CA185" s="1726"/>
      <c r="CB185" s="1726"/>
      <c r="CC185" s="1726"/>
    </row>
    <row r="186" spans="1:81" s="1726" customFormat="1" ht="18.75" x14ac:dyDescent="0.25">
      <c r="B186" s="2124" t="s">
        <v>1640</v>
      </c>
      <c r="C186" s="2125"/>
      <c r="D186" s="3953"/>
      <c r="E186" s="5049"/>
      <c r="F186" s="610"/>
      <c r="G186" s="5063"/>
      <c r="H186" s="610"/>
      <c r="I186" s="4997"/>
      <c r="J186" s="517">
        <f t="shared" si="356"/>
        <v>0</v>
      </c>
      <c r="K186" s="5027"/>
      <c r="L186" s="610"/>
      <c r="M186" s="4994"/>
      <c r="N186" s="611">
        <f t="shared" si="365"/>
        <v>0</v>
      </c>
      <c r="O186" s="5027"/>
      <c r="P186" s="610"/>
      <c r="Q186" s="4997"/>
      <c r="R186" s="517"/>
      <c r="S186" s="5027"/>
      <c r="T186" s="610"/>
      <c r="U186" s="4997"/>
      <c r="V186" s="517"/>
      <c r="W186" s="5027"/>
      <c r="X186" s="610"/>
      <c r="Y186" s="4994"/>
      <c r="Z186" s="611">
        <f t="shared" si="366"/>
        <v>0</v>
      </c>
      <c r="AA186" s="5000"/>
      <c r="AB186" s="1287"/>
      <c r="AC186" s="5027"/>
      <c r="AD186" s="610"/>
      <c r="AE186" s="4997"/>
      <c r="AF186" s="517">
        <f t="shared" si="368"/>
        <v>0</v>
      </c>
      <c r="AG186" s="5027"/>
      <c r="AH186" s="610"/>
      <c r="AI186" s="4997"/>
      <c r="AJ186" s="517">
        <f t="shared" si="369"/>
        <v>0</v>
      </c>
      <c r="AK186" s="5027"/>
      <c r="AL186" s="610"/>
      <c r="AM186" s="4994"/>
      <c r="AN186" s="611">
        <f t="shared" si="370"/>
        <v>0</v>
      </c>
      <c r="AO186" s="4997"/>
      <c r="AP186" s="517">
        <f t="shared" si="371"/>
        <v>0</v>
      </c>
      <c r="AQ186" s="5027"/>
      <c r="AR186" s="610"/>
      <c r="AS186" s="4997"/>
      <c r="AT186" s="517">
        <f t="shared" si="372"/>
        <v>0</v>
      </c>
      <c r="AU186" s="5027"/>
      <c r="AV186" s="610"/>
      <c r="AW186" s="4997"/>
      <c r="AX186" s="517">
        <f t="shared" si="373"/>
        <v>0</v>
      </c>
      <c r="AY186" s="5027"/>
      <c r="AZ186" s="610"/>
      <c r="BA186" s="4994"/>
      <c r="BB186" s="611">
        <f t="shared" si="374"/>
        <v>0</v>
      </c>
      <c r="BC186" s="5000"/>
      <c r="BD186" s="1287">
        <f t="shared" si="364"/>
        <v>0</v>
      </c>
      <c r="BE186" s="4997"/>
      <c r="BF186" s="517">
        <f t="shared" si="375"/>
        <v>0</v>
      </c>
    </row>
    <row r="187" spans="1:81" s="1726" customFormat="1" ht="18.75" x14ac:dyDescent="0.25">
      <c r="B187" s="2128" t="s">
        <v>849</v>
      </c>
      <c r="C187" s="2058" t="s">
        <v>53</v>
      </c>
      <c r="D187" s="3953"/>
      <c r="E187" s="5049"/>
      <c r="F187" s="610"/>
      <c r="G187" s="5063"/>
      <c r="H187" s="610"/>
      <c r="I187" s="4997"/>
      <c r="J187" s="517">
        <f t="shared" si="356"/>
        <v>0</v>
      </c>
      <c r="K187" s="5027"/>
      <c r="L187" s="610"/>
      <c r="M187" s="4994"/>
      <c r="N187" s="611">
        <f t="shared" si="365"/>
        <v>0</v>
      </c>
      <c r="O187" s="5027"/>
      <c r="P187" s="610"/>
      <c r="Q187" s="4997"/>
      <c r="R187" s="517"/>
      <c r="S187" s="5027"/>
      <c r="T187" s="610"/>
      <c r="U187" s="4997"/>
      <c r="V187" s="517"/>
      <c r="W187" s="5027"/>
      <c r="X187" s="610"/>
      <c r="Y187" s="4994"/>
      <c r="Z187" s="611">
        <f t="shared" si="366"/>
        <v>0</v>
      </c>
      <c r="AA187" s="5000"/>
      <c r="AB187" s="1287"/>
      <c r="AC187" s="5027"/>
      <c r="AD187" s="610">
        <v>17.95</v>
      </c>
      <c r="AE187" s="4997"/>
      <c r="AF187" s="517">
        <f t="shared" si="368"/>
        <v>17.95</v>
      </c>
      <c r="AG187" s="5027"/>
      <c r="AH187" s="610"/>
      <c r="AI187" s="4997"/>
      <c r="AJ187" s="517">
        <f t="shared" si="369"/>
        <v>17.95</v>
      </c>
      <c r="AK187" s="5027"/>
      <c r="AL187" s="610"/>
      <c r="AM187" s="4994"/>
      <c r="AN187" s="611">
        <f t="shared" si="370"/>
        <v>17.95</v>
      </c>
      <c r="AO187" s="4997"/>
      <c r="AP187" s="517">
        <f t="shared" si="371"/>
        <v>17.95</v>
      </c>
      <c r="AQ187" s="5027"/>
      <c r="AR187" s="610"/>
      <c r="AS187" s="4997"/>
      <c r="AT187" s="517">
        <f t="shared" si="372"/>
        <v>17.95</v>
      </c>
      <c r="AU187" s="5027"/>
      <c r="AV187" s="610"/>
      <c r="AW187" s="4997"/>
      <c r="AX187" s="517">
        <f t="shared" si="373"/>
        <v>17.95</v>
      </c>
      <c r="AY187" s="5027"/>
      <c r="AZ187" s="610"/>
      <c r="BA187" s="4994"/>
      <c r="BB187" s="611">
        <f t="shared" si="374"/>
        <v>0</v>
      </c>
      <c r="BC187" s="5000"/>
      <c r="BD187" s="1287">
        <f t="shared" si="364"/>
        <v>17.95</v>
      </c>
      <c r="BE187" s="4997"/>
      <c r="BF187" s="517">
        <f t="shared" si="375"/>
        <v>17.95</v>
      </c>
    </row>
    <row r="188" spans="1:81" s="1726" customFormat="1" ht="18.75" x14ac:dyDescent="0.25">
      <c r="B188" s="2124" t="s">
        <v>1641</v>
      </c>
      <c r="C188" s="2125"/>
      <c r="D188" s="3953"/>
      <c r="E188" s="5049"/>
      <c r="F188" s="610"/>
      <c r="G188" s="5063"/>
      <c r="H188" s="610"/>
      <c r="I188" s="4997"/>
      <c r="J188" s="517">
        <f t="shared" si="356"/>
        <v>0</v>
      </c>
      <c r="K188" s="5027"/>
      <c r="L188" s="610"/>
      <c r="M188" s="4994"/>
      <c r="N188" s="611">
        <f t="shared" si="365"/>
        <v>0</v>
      </c>
      <c r="O188" s="5027"/>
      <c r="P188" s="610"/>
      <c r="Q188" s="4997"/>
      <c r="R188" s="517"/>
      <c r="S188" s="5027"/>
      <c r="T188" s="610"/>
      <c r="U188" s="4997"/>
      <c r="V188" s="517"/>
      <c r="W188" s="5027"/>
      <c r="X188" s="610"/>
      <c r="Y188" s="4994"/>
      <c r="Z188" s="611">
        <f t="shared" si="366"/>
        <v>0</v>
      </c>
      <c r="AA188" s="5000"/>
      <c r="AB188" s="1287"/>
      <c r="AC188" s="5027"/>
      <c r="AD188" s="610"/>
      <c r="AE188" s="4997"/>
      <c r="AF188" s="517">
        <f t="shared" si="368"/>
        <v>0</v>
      </c>
      <c r="AG188" s="5027"/>
      <c r="AH188" s="610"/>
      <c r="AI188" s="4997"/>
      <c r="AJ188" s="517">
        <f t="shared" si="369"/>
        <v>0</v>
      </c>
      <c r="AK188" s="5027"/>
      <c r="AL188" s="610"/>
      <c r="AM188" s="4994"/>
      <c r="AN188" s="611">
        <f t="shared" si="370"/>
        <v>0</v>
      </c>
      <c r="AO188" s="4997"/>
      <c r="AP188" s="517">
        <f t="shared" si="371"/>
        <v>0</v>
      </c>
      <c r="AQ188" s="5027"/>
      <c r="AR188" s="610"/>
      <c r="AS188" s="4997"/>
      <c r="AT188" s="517">
        <f t="shared" si="372"/>
        <v>0</v>
      </c>
      <c r="AU188" s="5027"/>
      <c r="AV188" s="610"/>
      <c r="AW188" s="4997"/>
      <c r="AX188" s="517">
        <f t="shared" si="373"/>
        <v>0</v>
      </c>
      <c r="AY188" s="5027"/>
      <c r="AZ188" s="610"/>
      <c r="BA188" s="4994"/>
      <c r="BB188" s="611">
        <f t="shared" si="374"/>
        <v>0</v>
      </c>
      <c r="BC188" s="5000"/>
      <c r="BD188" s="1287">
        <f t="shared" si="364"/>
        <v>0</v>
      </c>
      <c r="BE188" s="4997"/>
      <c r="BF188" s="517">
        <f t="shared" si="375"/>
        <v>0</v>
      </c>
    </row>
    <row r="189" spans="1:81" s="1726" customFormat="1" ht="18.75" x14ac:dyDescent="0.25">
      <c r="B189" s="2128" t="s">
        <v>849</v>
      </c>
      <c r="C189" s="2058" t="s">
        <v>53</v>
      </c>
      <c r="D189" s="3953"/>
      <c r="E189" s="5049"/>
      <c r="F189" s="610"/>
      <c r="G189" s="5063"/>
      <c r="H189" s="610"/>
      <c r="I189" s="4997"/>
      <c r="J189" s="517">
        <f t="shared" si="356"/>
        <v>0</v>
      </c>
      <c r="K189" s="5027"/>
      <c r="L189" s="610"/>
      <c r="M189" s="4994"/>
      <c r="N189" s="611">
        <f t="shared" si="365"/>
        <v>0</v>
      </c>
      <c r="O189" s="5027"/>
      <c r="P189" s="610"/>
      <c r="Q189" s="4997"/>
      <c r="R189" s="517"/>
      <c r="S189" s="5027"/>
      <c r="T189" s="610"/>
      <c r="U189" s="4997"/>
      <c r="V189" s="517"/>
      <c r="W189" s="5027"/>
      <c r="X189" s="610"/>
      <c r="Y189" s="4994"/>
      <c r="Z189" s="611">
        <f t="shared" si="366"/>
        <v>0</v>
      </c>
      <c r="AA189" s="5000"/>
      <c r="AB189" s="1287"/>
      <c r="AC189" s="5027"/>
      <c r="AD189" s="610">
        <v>18.52</v>
      </c>
      <c r="AE189" s="4997"/>
      <c r="AF189" s="517">
        <f t="shared" si="368"/>
        <v>18.52</v>
      </c>
      <c r="AG189" s="5027"/>
      <c r="AH189" s="610"/>
      <c r="AI189" s="4997"/>
      <c r="AJ189" s="517">
        <f t="shared" si="369"/>
        <v>18.52</v>
      </c>
      <c r="AK189" s="5027"/>
      <c r="AL189" s="610"/>
      <c r="AM189" s="4994"/>
      <c r="AN189" s="611">
        <f t="shared" si="370"/>
        <v>18.52</v>
      </c>
      <c r="AO189" s="4997"/>
      <c r="AP189" s="517">
        <f t="shared" si="371"/>
        <v>18.52</v>
      </c>
      <c r="AQ189" s="5027"/>
      <c r="AR189" s="610"/>
      <c r="AS189" s="4997"/>
      <c r="AT189" s="517">
        <f t="shared" si="372"/>
        <v>18.52</v>
      </c>
      <c r="AU189" s="5027"/>
      <c r="AV189" s="610"/>
      <c r="AW189" s="4997"/>
      <c r="AX189" s="517">
        <f t="shared" si="373"/>
        <v>18.52</v>
      </c>
      <c r="AY189" s="5027"/>
      <c r="AZ189" s="610"/>
      <c r="BA189" s="4994"/>
      <c r="BB189" s="611">
        <f t="shared" si="374"/>
        <v>0</v>
      </c>
      <c r="BC189" s="5000"/>
      <c r="BD189" s="1287">
        <f t="shared" si="364"/>
        <v>18.52</v>
      </c>
      <c r="BE189" s="4997"/>
      <c r="BF189" s="517">
        <f t="shared" si="375"/>
        <v>18.52</v>
      </c>
    </row>
    <row r="190" spans="1:81" s="1726" customFormat="1" ht="18.75" x14ac:dyDescent="0.25">
      <c r="B190" s="2124" t="s">
        <v>1642</v>
      </c>
      <c r="C190" s="2125"/>
      <c r="D190" s="3953"/>
      <c r="E190" s="5049"/>
      <c r="F190" s="610"/>
      <c r="G190" s="5063"/>
      <c r="H190" s="610"/>
      <c r="I190" s="4997"/>
      <c r="J190" s="517">
        <f t="shared" si="356"/>
        <v>0</v>
      </c>
      <c r="K190" s="5027"/>
      <c r="L190" s="610"/>
      <c r="M190" s="4994"/>
      <c r="N190" s="611">
        <f t="shared" si="365"/>
        <v>0</v>
      </c>
      <c r="O190" s="5027"/>
      <c r="P190" s="610"/>
      <c r="Q190" s="4997"/>
      <c r="R190" s="517"/>
      <c r="S190" s="5027"/>
      <c r="T190" s="610"/>
      <c r="U190" s="4997"/>
      <c r="V190" s="517"/>
      <c r="W190" s="5027"/>
      <c r="X190" s="610"/>
      <c r="Y190" s="4994"/>
      <c r="Z190" s="611">
        <f t="shared" si="366"/>
        <v>0</v>
      </c>
      <c r="AA190" s="5000"/>
      <c r="AB190" s="1287"/>
      <c r="AC190" s="5027"/>
      <c r="AD190" s="610"/>
      <c r="AE190" s="4997"/>
      <c r="AF190" s="517">
        <f t="shared" si="368"/>
        <v>0</v>
      </c>
      <c r="AG190" s="5027"/>
      <c r="AH190" s="610"/>
      <c r="AI190" s="4997"/>
      <c r="AJ190" s="517">
        <f t="shared" si="369"/>
        <v>0</v>
      </c>
      <c r="AK190" s="5027"/>
      <c r="AL190" s="610"/>
      <c r="AM190" s="4994"/>
      <c r="AN190" s="611">
        <f t="shared" si="370"/>
        <v>0</v>
      </c>
      <c r="AO190" s="4997"/>
      <c r="AP190" s="517">
        <f t="shared" si="371"/>
        <v>0</v>
      </c>
      <c r="AQ190" s="5027"/>
      <c r="AR190" s="610"/>
      <c r="AS190" s="4997"/>
      <c r="AT190" s="517">
        <f t="shared" si="372"/>
        <v>0</v>
      </c>
      <c r="AU190" s="5027"/>
      <c r="AV190" s="610"/>
      <c r="AW190" s="4997"/>
      <c r="AX190" s="517">
        <f t="shared" si="373"/>
        <v>0</v>
      </c>
      <c r="AY190" s="5027"/>
      <c r="AZ190" s="610"/>
      <c r="BA190" s="4994"/>
      <c r="BB190" s="611">
        <f t="shared" si="374"/>
        <v>0</v>
      </c>
      <c r="BC190" s="5000"/>
      <c r="BD190" s="1287">
        <f t="shared" si="364"/>
        <v>0</v>
      </c>
      <c r="BE190" s="4997"/>
      <c r="BF190" s="517">
        <f t="shared" si="375"/>
        <v>0</v>
      </c>
    </row>
    <row r="191" spans="1:81" s="1726" customFormat="1" ht="18.75" x14ac:dyDescent="0.25">
      <c r="B191" s="2128" t="s">
        <v>1715</v>
      </c>
      <c r="C191" s="2058" t="s">
        <v>53</v>
      </c>
      <c r="D191" s="3953"/>
      <c r="E191" s="5049"/>
      <c r="F191" s="610"/>
      <c r="G191" s="5063"/>
      <c r="H191" s="610"/>
      <c r="I191" s="4997"/>
      <c r="J191" s="517">
        <f t="shared" si="356"/>
        <v>0</v>
      </c>
      <c r="K191" s="5027"/>
      <c r="L191" s="610"/>
      <c r="M191" s="4994"/>
      <c r="N191" s="611"/>
      <c r="O191" s="5027"/>
      <c r="P191" s="610"/>
      <c r="Q191" s="4997"/>
      <c r="R191" s="517"/>
      <c r="S191" s="5027"/>
      <c r="T191" s="610"/>
      <c r="U191" s="4997"/>
      <c r="V191" s="517"/>
      <c r="W191" s="5027"/>
      <c r="X191" s="610"/>
      <c r="Y191" s="4994"/>
      <c r="Z191" s="611"/>
      <c r="AA191" s="5000"/>
      <c r="AB191" s="1287"/>
      <c r="AC191" s="5027"/>
      <c r="AD191" s="610"/>
      <c r="AE191" s="4997"/>
      <c r="AF191" s="517"/>
      <c r="AG191" s="5027"/>
      <c r="AH191" s="610"/>
      <c r="AI191" s="4997"/>
      <c r="AJ191" s="517"/>
      <c r="AK191" s="5027"/>
      <c r="AL191" s="610">
        <v>498.90999999999997</v>
      </c>
      <c r="AM191" s="4994"/>
      <c r="AN191" s="611">
        <f t="shared" si="370"/>
        <v>498.90999999999997</v>
      </c>
      <c r="AO191" s="4997"/>
      <c r="AP191" s="517">
        <f t="shared" si="371"/>
        <v>498.90999999999997</v>
      </c>
      <c r="AQ191" s="5027"/>
      <c r="AR191" s="610"/>
      <c r="AS191" s="4997"/>
      <c r="AT191" s="517">
        <f t="shared" si="372"/>
        <v>498.90999999999997</v>
      </c>
      <c r="AU191" s="5027"/>
      <c r="AV191" s="610"/>
      <c r="AW191" s="4997"/>
      <c r="AX191" s="517">
        <f t="shared" si="373"/>
        <v>498.90999999999997</v>
      </c>
      <c r="AY191" s="5027"/>
      <c r="AZ191" s="610"/>
      <c r="BA191" s="4994"/>
      <c r="BB191" s="611">
        <f t="shared" si="374"/>
        <v>0</v>
      </c>
      <c r="BC191" s="5000"/>
      <c r="BD191" s="1287">
        <f t="shared" si="364"/>
        <v>498.90999999999997</v>
      </c>
      <c r="BE191" s="4997"/>
      <c r="BF191" s="517">
        <f t="shared" si="375"/>
        <v>498.90999999999997</v>
      </c>
    </row>
    <row r="192" spans="1:81" s="1726" customFormat="1" ht="18.75" x14ac:dyDescent="0.25">
      <c r="B192" s="2128" t="s">
        <v>1643</v>
      </c>
      <c r="C192" s="2058" t="s">
        <v>53</v>
      </c>
      <c r="D192" s="3953"/>
      <c r="E192" s="5049"/>
      <c r="F192" s="610"/>
      <c r="G192" s="5063"/>
      <c r="H192" s="610"/>
      <c r="I192" s="4997"/>
      <c r="J192" s="517">
        <f t="shared" si="356"/>
        <v>0</v>
      </c>
      <c r="K192" s="5027"/>
      <c r="L192" s="610"/>
      <c r="M192" s="4994"/>
      <c r="N192" s="611">
        <f t="shared" si="365"/>
        <v>0</v>
      </c>
      <c r="O192" s="5027"/>
      <c r="P192" s="610"/>
      <c r="Q192" s="4997"/>
      <c r="R192" s="517"/>
      <c r="S192" s="5027"/>
      <c r="T192" s="610"/>
      <c r="U192" s="4997"/>
      <c r="V192" s="517"/>
      <c r="W192" s="5027"/>
      <c r="X192" s="610"/>
      <c r="Y192" s="4994"/>
      <c r="Z192" s="611">
        <f t="shared" si="366"/>
        <v>0</v>
      </c>
      <c r="AA192" s="5000"/>
      <c r="AB192" s="1287"/>
      <c r="AC192" s="5027"/>
      <c r="AD192" s="610">
        <v>277.16999999999996</v>
      </c>
      <c r="AE192" s="4997"/>
      <c r="AF192" s="517">
        <f t="shared" si="368"/>
        <v>277.16999999999996</v>
      </c>
      <c r="AG192" s="5027"/>
      <c r="AH192" s="610">
        <v>219.23</v>
      </c>
      <c r="AI192" s="4997"/>
      <c r="AJ192" s="517">
        <f t="shared" si="369"/>
        <v>496.4</v>
      </c>
      <c r="AK192" s="5027"/>
      <c r="AL192" s="610"/>
      <c r="AM192" s="4994"/>
      <c r="AN192" s="611">
        <f t="shared" si="370"/>
        <v>496.4</v>
      </c>
      <c r="AO192" s="4997"/>
      <c r="AP192" s="517">
        <f t="shared" si="371"/>
        <v>496.4</v>
      </c>
      <c r="AQ192" s="5027"/>
      <c r="AR192" s="610"/>
      <c r="AS192" s="4997"/>
      <c r="AT192" s="517">
        <f t="shared" si="372"/>
        <v>496.4</v>
      </c>
      <c r="AU192" s="5027"/>
      <c r="AV192" s="610"/>
      <c r="AW192" s="4997"/>
      <c r="AX192" s="517">
        <f t="shared" si="373"/>
        <v>496.4</v>
      </c>
      <c r="AY192" s="5027"/>
      <c r="AZ192" s="610"/>
      <c r="BA192" s="4994"/>
      <c r="BB192" s="611">
        <f t="shared" si="374"/>
        <v>0</v>
      </c>
      <c r="BC192" s="5000"/>
      <c r="BD192" s="1287">
        <f t="shared" si="364"/>
        <v>496.4</v>
      </c>
      <c r="BE192" s="4997"/>
      <c r="BF192" s="517">
        <f t="shared" si="375"/>
        <v>496.4</v>
      </c>
    </row>
    <row r="193" spans="2:81" s="334" customFormat="1" ht="18.75" x14ac:dyDescent="0.25">
      <c r="B193" s="2124" t="s">
        <v>1095</v>
      </c>
      <c r="C193" s="2125" t="s">
        <v>53</v>
      </c>
      <c r="D193" s="2127"/>
      <c r="E193" s="5049"/>
      <c r="F193" s="610"/>
      <c r="G193" s="5063"/>
      <c r="H193" s="610"/>
      <c r="I193" s="4997"/>
      <c r="J193" s="517">
        <f t="shared" si="356"/>
        <v>0</v>
      </c>
      <c r="K193" s="5027"/>
      <c r="L193" s="610"/>
      <c r="M193" s="4994"/>
      <c r="N193" s="611">
        <f t="shared" si="365"/>
        <v>0</v>
      </c>
      <c r="O193" s="5027"/>
      <c r="P193" s="610"/>
      <c r="Q193" s="4997"/>
      <c r="R193" s="517">
        <f t="shared" si="358"/>
        <v>0</v>
      </c>
      <c r="S193" s="5027"/>
      <c r="T193" s="610"/>
      <c r="U193" s="4997"/>
      <c r="V193" s="517">
        <f t="shared" si="359"/>
        <v>0</v>
      </c>
      <c r="W193" s="5027"/>
      <c r="X193" s="610"/>
      <c r="Y193" s="4994"/>
      <c r="Z193" s="611">
        <f t="shared" si="366"/>
        <v>0</v>
      </c>
      <c r="AA193" s="5000"/>
      <c r="AB193" s="1287">
        <f t="shared" si="367"/>
        <v>0</v>
      </c>
      <c r="AC193" s="5027"/>
      <c r="AD193" s="610"/>
      <c r="AE193" s="4997"/>
      <c r="AF193" s="517">
        <f t="shared" si="368"/>
        <v>0</v>
      </c>
      <c r="AG193" s="5027"/>
      <c r="AH193" s="610"/>
      <c r="AI193" s="4997"/>
      <c r="AJ193" s="517">
        <f t="shared" si="369"/>
        <v>0</v>
      </c>
      <c r="AK193" s="5027"/>
      <c r="AL193" s="610"/>
      <c r="AM193" s="4994"/>
      <c r="AN193" s="611">
        <f t="shared" si="370"/>
        <v>0</v>
      </c>
      <c r="AO193" s="4997"/>
      <c r="AP193" s="517">
        <f t="shared" si="371"/>
        <v>0</v>
      </c>
      <c r="AQ193" s="5027"/>
      <c r="AR193" s="610"/>
      <c r="AS193" s="4997"/>
      <c r="AT193" s="517">
        <f t="shared" si="372"/>
        <v>0</v>
      </c>
      <c r="AU193" s="5027"/>
      <c r="AV193" s="610"/>
      <c r="AW193" s="4997"/>
      <c r="AX193" s="517">
        <f t="shared" si="373"/>
        <v>0</v>
      </c>
      <c r="AY193" s="5027"/>
      <c r="AZ193" s="610"/>
      <c r="BA193" s="4994"/>
      <c r="BB193" s="611">
        <f t="shared" si="374"/>
        <v>0</v>
      </c>
      <c r="BC193" s="5000">
        <f t="shared" si="363"/>
        <v>0</v>
      </c>
      <c r="BD193" s="1287">
        <f t="shared" si="364"/>
        <v>0</v>
      </c>
      <c r="BE193" s="4997"/>
      <c r="BF193" s="517">
        <f t="shared" si="375"/>
        <v>0</v>
      </c>
      <c r="BG193" s="1726"/>
      <c r="BH193" s="1726"/>
      <c r="BI193" s="1726"/>
      <c r="BJ193" s="1726"/>
      <c r="BK193" s="1726"/>
      <c r="BL193" s="1726"/>
      <c r="BM193" s="1726"/>
      <c r="BN193" s="1726"/>
      <c r="BO193" s="1726"/>
      <c r="BP193" s="1726"/>
      <c r="BQ193" s="1726"/>
      <c r="BR193" s="1726"/>
      <c r="BS193" s="1726"/>
      <c r="BT193" s="1726"/>
      <c r="BU193" s="1726"/>
      <c r="BV193" s="1726"/>
      <c r="BW193" s="1726"/>
      <c r="BX193" s="1726"/>
      <c r="BY193" s="1726"/>
      <c r="BZ193" s="1726"/>
      <c r="CA193" s="1726"/>
      <c r="CB193" s="1726"/>
      <c r="CC193" s="1726"/>
    </row>
    <row r="194" spans="2:81" s="1107" customFormat="1" ht="18.75" x14ac:dyDescent="0.25">
      <c r="B194" s="2126" t="s">
        <v>1322</v>
      </c>
      <c r="C194" s="2058" t="s">
        <v>53</v>
      </c>
      <c r="D194" s="3953"/>
      <c r="E194" s="5049"/>
      <c r="F194" s="610"/>
      <c r="G194" s="5063"/>
      <c r="H194" s="610"/>
      <c r="I194" s="4997"/>
      <c r="J194" s="517">
        <f t="shared" si="356"/>
        <v>0</v>
      </c>
      <c r="K194" s="5027"/>
      <c r="L194" s="610"/>
      <c r="M194" s="4994"/>
      <c r="N194" s="611">
        <f t="shared" si="365"/>
        <v>0</v>
      </c>
      <c r="O194" s="5027"/>
      <c r="P194" s="610">
        <v>3800.16</v>
      </c>
      <c r="Q194" s="4997"/>
      <c r="R194" s="517">
        <f t="shared" si="358"/>
        <v>3800.16</v>
      </c>
      <c r="S194" s="5027"/>
      <c r="T194" s="610"/>
      <c r="U194" s="4997"/>
      <c r="V194" s="517">
        <f t="shared" si="359"/>
        <v>3800.16</v>
      </c>
      <c r="W194" s="5027"/>
      <c r="X194" s="610"/>
      <c r="Y194" s="4994"/>
      <c r="Z194" s="611">
        <f t="shared" si="366"/>
        <v>3800.16</v>
      </c>
      <c r="AA194" s="5000"/>
      <c r="AB194" s="1287">
        <f t="shared" si="367"/>
        <v>3800.16</v>
      </c>
      <c r="AC194" s="5027"/>
      <c r="AD194" s="610">
        <v>0</v>
      </c>
      <c r="AE194" s="4997"/>
      <c r="AF194" s="517">
        <f t="shared" si="368"/>
        <v>3800.16</v>
      </c>
      <c r="AG194" s="5027"/>
      <c r="AH194" s="610"/>
      <c r="AI194" s="4997"/>
      <c r="AJ194" s="517">
        <f t="shared" si="369"/>
        <v>3800.16</v>
      </c>
      <c r="AK194" s="5027"/>
      <c r="AL194" s="610"/>
      <c r="AM194" s="4994"/>
      <c r="AN194" s="611">
        <f t="shared" si="370"/>
        <v>0</v>
      </c>
      <c r="AO194" s="4997"/>
      <c r="AP194" s="517">
        <f t="shared" si="371"/>
        <v>3800.16</v>
      </c>
      <c r="AQ194" s="5027"/>
      <c r="AR194" s="610"/>
      <c r="AS194" s="4997"/>
      <c r="AT194" s="517">
        <f t="shared" si="372"/>
        <v>3800.16</v>
      </c>
      <c r="AU194" s="5027"/>
      <c r="AV194" s="610"/>
      <c r="AW194" s="4997"/>
      <c r="AX194" s="517">
        <f t="shared" si="373"/>
        <v>3800.16</v>
      </c>
      <c r="AY194" s="5027"/>
      <c r="AZ194" s="610"/>
      <c r="BA194" s="4994"/>
      <c r="BB194" s="611">
        <f t="shared" si="374"/>
        <v>0</v>
      </c>
      <c r="BC194" s="5000">
        <f t="shared" si="363"/>
        <v>0</v>
      </c>
      <c r="BD194" s="1287">
        <f t="shared" si="364"/>
        <v>0</v>
      </c>
      <c r="BE194" s="4997"/>
      <c r="BF194" s="517">
        <f t="shared" si="375"/>
        <v>3800.16</v>
      </c>
      <c r="BG194" s="1726"/>
      <c r="BH194" s="1726"/>
      <c r="BI194" s="1726"/>
      <c r="BJ194" s="1726"/>
      <c r="BK194" s="1726"/>
      <c r="BL194" s="1726"/>
      <c r="BM194" s="1726"/>
      <c r="BN194" s="1726"/>
      <c r="BO194" s="1726"/>
      <c r="BP194" s="1726"/>
      <c r="BQ194" s="1726"/>
      <c r="BR194" s="1726"/>
      <c r="BS194" s="1726"/>
      <c r="BT194" s="1726"/>
      <c r="BU194" s="1726"/>
      <c r="BV194" s="1726"/>
      <c r="BW194" s="1726"/>
      <c r="BX194" s="1726"/>
      <c r="BY194" s="1726"/>
      <c r="BZ194" s="1726"/>
      <c r="CA194" s="1726"/>
      <c r="CB194" s="1726"/>
      <c r="CC194" s="1726"/>
    </row>
    <row r="195" spans="2:81" s="1107" customFormat="1" ht="18.75" x14ac:dyDescent="0.25">
      <c r="B195" s="2128" t="s">
        <v>848</v>
      </c>
      <c r="C195" s="2058" t="s">
        <v>53</v>
      </c>
      <c r="D195" s="3953"/>
      <c r="E195" s="5049"/>
      <c r="F195" s="610"/>
      <c r="G195" s="5063"/>
      <c r="H195" s="610"/>
      <c r="I195" s="4997"/>
      <c r="J195" s="517">
        <f t="shared" si="356"/>
        <v>0</v>
      </c>
      <c r="K195" s="5027"/>
      <c r="L195" s="610"/>
      <c r="M195" s="4994"/>
      <c r="N195" s="611">
        <f t="shared" si="365"/>
        <v>0</v>
      </c>
      <c r="O195" s="5027"/>
      <c r="P195" s="610"/>
      <c r="Q195" s="4997"/>
      <c r="R195" s="517">
        <f t="shared" si="358"/>
        <v>0</v>
      </c>
      <c r="S195" s="5027"/>
      <c r="T195" s="610"/>
      <c r="U195" s="4997"/>
      <c r="V195" s="517">
        <f t="shared" si="359"/>
        <v>0</v>
      </c>
      <c r="W195" s="5027"/>
      <c r="X195" s="610"/>
      <c r="Y195" s="4994"/>
      <c r="Z195" s="611">
        <f t="shared" si="366"/>
        <v>0</v>
      </c>
      <c r="AA195" s="5000"/>
      <c r="AB195" s="1287">
        <f t="shared" si="367"/>
        <v>0</v>
      </c>
      <c r="AC195" s="5027"/>
      <c r="AD195" s="610">
        <v>0</v>
      </c>
      <c r="AE195" s="4997"/>
      <c r="AF195" s="517">
        <f t="shared" si="368"/>
        <v>0</v>
      </c>
      <c r="AG195" s="5027"/>
      <c r="AH195" s="610"/>
      <c r="AI195" s="4997"/>
      <c r="AJ195" s="517">
        <f t="shared" si="369"/>
        <v>0</v>
      </c>
      <c r="AK195" s="5027"/>
      <c r="AL195" s="610"/>
      <c r="AM195" s="4994"/>
      <c r="AN195" s="611">
        <f t="shared" si="370"/>
        <v>0</v>
      </c>
      <c r="AO195" s="4997"/>
      <c r="AP195" s="517">
        <f t="shared" si="371"/>
        <v>0</v>
      </c>
      <c r="AQ195" s="5027"/>
      <c r="AR195" s="610"/>
      <c r="AS195" s="4997"/>
      <c r="AT195" s="517">
        <f t="shared" si="372"/>
        <v>0</v>
      </c>
      <c r="AU195" s="5027"/>
      <c r="AV195" s="610"/>
      <c r="AW195" s="4997"/>
      <c r="AX195" s="517">
        <f t="shared" si="373"/>
        <v>0</v>
      </c>
      <c r="AY195" s="5027"/>
      <c r="AZ195" s="610"/>
      <c r="BA195" s="4994"/>
      <c r="BB195" s="611">
        <f t="shared" si="374"/>
        <v>0</v>
      </c>
      <c r="BC195" s="5000">
        <f t="shared" si="363"/>
        <v>0</v>
      </c>
      <c r="BD195" s="1287">
        <f t="shared" si="364"/>
        <v>0</v>
      </c>
      <c r="BE195" s="4997"/>
      <c r="BF195" s="517">
        <f t="shared" si="375"/>
        <v>0</v>
      </c>
      <c r="BG195" s="1726"/>
      <c r="BH195" s="1726"/>
      <c r="BI195" s="1726"/>
      <c r="BJ195" s="1726"/>
      <c r="BK195" s="1726"/>
      <c r="BL195" s="1726"/>
      <c r="BM195" s="1726"/>
      <c r="BN195" s="1726"/>
      <c r="BO195" s="1726"/>
      <c r="BP195" s="1726"/>
      <c r="BQ195" s="1726"/>
      <c r="BR195" s="1726"/>
      <c r="BS195" s="1726"/>
      <c r="BT195" s="1726"/>
      <c r="BU195" s="1726"/>
      <c r="BV195" s="1726"/>
      <c r="BW195" s="1726"/>
      <c r="BX195" s="1726"/>
      <c r="BY195" s="1726"/>
      <c r="BZ195" s="1726"/>
      <c r="CA195" s="1726"/>
      <c r="CB195" s="1726"/>
      <c r="CC195" s="1726"/>
    </row>
    <row r="196" spans="2:81" s="334" customFormat="1" ht="18.75" x14ac:dyDescent="0.25">
      <c r="B196" s="2124" t="s">
        <v>772</v>
      </c>
      <c r="C196" s="2125" t="s">
        <v>53</v>
      </c>
      <c r="D196" s="2127"/>
      <c r="E196" s="5049"/>
      <c r="F196" s="610"/>
      <c r="G196" s="5063"/>
      <c r="H196" s="610"/>
      <c r="I196" s="4997"/>
      <c r="J196" s="517">
        <f t="shared" si="356"/>
        <v>0</v>
      </c>
      <c r="K196" s="5027"/>
      <c r="L196" s="610"/>
      <c r="M196" s="4994"/>
      <c r="N196" s="611">
        <f t="shared" si="365"/>
        <v>0</v>
      </c>
      <c r="O196" s="5027"/>
      <c r="P196" s="610"/>
      <c r="Q196" s="4997"/>
      <c r="R196" s="517">
        <f t="shared" si="358"/>
        <v>0</v>
      </c>
      <c r="S196" s="5027"/>
      <c r="T196" s="610"/>
      <c r="U196" s="4997"/>
      <c r="V196" s="517">
        <f t="shared" si="359"/>
        <v>0</v>
      </c>
      <c r="W196" s="5027"/>
      <c r="X196" s="610"/>
      <c r="Y196" s="4994"/>
      <c r="Z196" s="611">
        <f t="shared" si="366"/>
        <v>0</v>
      </c>
      <c r="AA196" s="5000"/>
      <c r="AB196" s="1287">
        <f t="shared" si="367"/>
        <v>0</v>
      </c>
      <c r="AC196" s="5027"/>
      <c r="AD196" s="610"/>
      <c r="AE196" s="4997"/>
      <c r="AF196" s="517">
        <f t="shared" si="368"/>
        <v>0</v>
      </c>
      <c r="AG196" s="5027"/>
      <c r="AH196" s="610"/>
      <c r="AI196" s="4997"/>
      <c r="AJ196" s="517">
        <f t="shared" si="369"/>
        <v>0</v>
      </c>
      <c r="AK196" s="5027"/>
      <c r="AL196" s="610"/>
      <c r="AM196" s="4994"/>
      <c r="AN196" s="611">
        <f t="shared" si="370"/>
        <v>0</v>
      </c>
      <c r="AO196" s="4997"/>
      <c r="AP196" s="517">
        <f t="shared" si="371"/>
        <v>0</v>
      </c>
      <c r="AQ196" s="5027"/>
      <c r="AR196" s="610"/>
      <c r="AS196" s="4997"/>
      <c r="AT196" s="517">
        <f t="shared" si="372"/>
        <v>0</v>
      </c>
      <c r="AU196" s="5027"/>
      <c r="AV196" s="610"/>
      <c r="AW196" s="4997"/>
      <c r="AX196" s="517">
        <f t="shared" si="373"/>
        <v>0</v>
      </c>
      <c r="AY196" s="5027"/>
      <c r="AZ196" s="610"/>
      <c r="BA196" s="4994"/>
      <c r="BB196" s="611">
        <f t="shared" si="374"/>
        <v>0</v>
      </c>
      <c r="BC196" s="5000">
        <f t="shared" si="363"/>
        <v>0</v>
      </c>
      <c r="BD196" s="1287">
        <f t="shared" si="364"/>
        <v>0</v>
      </c>
      <c r="BE196" s="4997"/>
      <c r="BF196" s="517">
        <f t="shared" si="375"/>
        <v>0</v>
      </c>
      <c r="BG196" s="1726"/>
      <c r="BH196" s="1726"/>
      <c r="BI196" s="1726"/>
      <c r="BJ196" s="1726"/>
      <c r="BK196" s="1726"/>
      <c r="BL196" s="1726"/>
      <c r="BM196" s="1726"/>
      <c r="BN196" s="1726"/>
      <c r="BO196" s="1726"/>
      <c r="BP196" s="1726"/>
      <c r="BQ196" s="1726"/>
      <c r="BR196" s="1726"/>
      <c r="BS196" s="1726"/>
      <c r="BT196" s="1726"/>
      <c r="BU196" s="1726"/>
      <c r="BV196" s="1726"/>
      <c r="BW196" s="1726"/>
      <c r="BX196" s="1726"/>
      <c r="BY196" s="1726"/>
      <c r="BZ196" s="1726"/>
      <c r="CA196" s="1726"/>
      <c r="CB196" s="1726"/>
      <c r="CC196" s="1726"/>
    </row>
    <row r="197" spans="2:81" s="334" customFormat="1" ht="18.75" x14ac:dyDescent="0.25">
      <c r="B197" s="2128" t="s">
        <v>848</v>
      </c>
      <c r="C197" s="2125" t="s">
        <v>53</v>
      </c>
      <c r="D197" s="2127"/>
      <c r="E197" s="5049"/>
      <c r="F197" s="610"/>
      <c r="G197" s="5063"/>
      <c r="H197" s="610"/>
      <c r="I197" s="4997"/>
      <c r="J197" s="517">
        <f t="shared" si="356"/>
        <v>0</v>
      </c>
      <c r="K197" s="5027"/>
      <c r="L197" s="610">
        <v>2765.0399999999995</v>
      </c>
      <c r="M197" s="4994"/>
      <c r="N197" s="611">
        <f t="shared" si="365"/>
        <v>2765.0399999999995</v>
      </c>
      <c r="O197" s="5027"/>
      <c r="P197" s="610"/>
      <c r="Q197" s="4997"/>
      <c r="R197" s="517">
        <f t="shared" si="358"/>
        <v>2765.0399999999995</v>
      </c>
      <c r="S197" s="5027"/>
      <c r="T197" s="610">
        <v>1520.6</v>
      </c>
      <c r="U197" s="4997"/>
      <c r="V197" s="517">
        <f t="shared" si="359"/>
        <v>4285.6399999999994</v>
      </c>
      <c r="W197" s="5027"/>
      <c r="X197" s="610">
        <v>2753.72</v>
      </c>
      <c r="Y197" s="4994"/>
      <c r="Z197" s="611">
        <f t="shared" si="366"/>
        <v>4274.32</v>
      </c>
      <c r="AA197" s="5000"/>
      <c r="AB197" s="1287">
        <f t="shared" si="367"/>
        <v>7039.3599999999988</v>
      </c>
      <c r="AC197" s="5027"/>
      <c r="AD197" s="610">
        <v>3431.5</v>
      </c>
      <c r="AE197" s="4997"/>
      <c r="AF197" s="517">
        <f t="shared" si="368"/>
        <v>10470.859999999999</v>
      </c>
      <c r="AG197" s="5027"/>
      <c r="AH197" s="610">
        <v>2724.44</v>
      </c>
      <c r="AI197" s="4997"/>
      <c r="AJ197" s="517">
        <f t="shared" si="369"/>
        <v>13195.3</v>
      </c>
      <c r="AK197" s="5027"/>
      <c r="AL197" s="610">
        <v>1043.76</v>
      </c>
      <c r="AM197" s="4994"/>
      <c r="AN197" s="611">
        <f t="shared" si="370"/>
        <v>7199.7000000000007</v>
      </c>
      <c r="AO197" s="4997"/>
      <c r="AP197" s="517">
        <f t="shared" si="371"/>
        <v>14239.06</v>
      </c>
      <c r="AQ197" s="5027"/>
      <c r="AR197" s="610"/>
      <c r="AS197" s="4997"/>
      <c r="AT197" s="517">
        <f t="shared" si="372"/>
        <v>14239.06</v>
      </c>
      <c r="AU197" s="5027"/>
      <c r="AV197" s="610">
        <v>6491.6</v>
      </c>
      <c r="AW197" s="4997"/>
      <c r="AX197" s="517">
        <f t="shared" si="373"/>
        <v>20730.66</v>
      </c>
      <c r="AY197" s="5027"/>
      <c r="AZ197" s="610">
        <v>4760.21</v>
      </c>
      <c r="BA197" s="4994"/>
      <c r="BB197" s="611">
        <f t="shared" si="374"/>
        <v>11251.810000000001</v>
      </c>
      <c r="BC197" s="5000"/>
      <c r="BD197" s="1287">
        <f t="shared" si="364"/>
        <v>18451.510000000002</v>
      </c>
      <c r="BE197" s="4997"/>
      <c r="BF197" s="517">
        <f t="shared" si="375"/>
        <v>25490.87</v>
      </c>
      <c r="BG197" s="1726"/>
      <c r="BH197" s="1726"/>
      <c r="BI197" s="1726"/>
      <c r="BJ197" s="1726"/>
      <c r="BK197" s="1726"/>
      <c r="BL197" s="1726"/>
      <c r="BM197" s="1726"/>
      <c r="BN197" s="1726"/>
      <c r="BO197" s="1726"/>
      <c r="BP197" s="1726"/>
      <c r="BQ197" s="1726"/>
      <c r="BR197" s="1726"/>
      <c r="BS197" s="1726"/>
      <c r="BT197" s="1726"/>
      <c r="BU197" s="1726"/>
      <c r="BV197" s="1726"/>
      <c r="BW197" s="1726"/>
      <c r="BX197" s="1726"/>
      <c r="BY197" s="1726"/>
      <c r="BZ197" s="1726"/>
      <c r="CA197" s="1726"/>
      <c r="CB197" s="1726"/>
      <c r="CC197" s="1726"/>
    </row>
    <row r="198" spans="2:81" s="659" customFormat="1" ht="18.75" x14ac:dyDescent="0.25">
      <c r="B198" s="2126" t="s">
        <v>1322</v>
      </c>
      <c r="C198" s="2058" t="s">
        <v>53</v>
      </c>
      <c r="D198" s="3953"/>
      <c r="E198" s="5049"/>
      <c r="F198" s="610">
        <v>3163.58</v>
      </c>
      <c r="G198" s="5063"/>
      <c r="H198" s="610"/>
      <c r="I198" s="4997"/>
      <c r="J198" s="517">
        <f t="shared" si="356"/>
        <v>3163.58</v>
      </c>
      <c r="K198" s="5027"/>
      <c r="L198" s="610"/>
      <c r="M198" s="4994"/>
      <c r="N198" s="611">
        <f t="shared" si="365"/>
        <v>3163.58</v>
      </c>
      <c r="O198" s="5027"/>
      <c r="P198" s="610"/>
      <c r="Q198" s="4997"/>
      <c r="R198" s="517">
        <f t="shared" si="358"/>
        <v>3163.58</v>
      </c>
      <c r="S198" s="5027"/>
      <c r="T198" s="610"/>
      <c r="U198" s="4997"/>
      <c r="V198" s="517">
        <f t="shared" si="359"/>
        <v>3163.58</v>
      </c>
      <c r="W198" s="5027"/>
      <c r="X198" s="610"/>
      <c r="Y198" s="4994"/>
      <c r="Z198" s="611">
        <f t="shared" si="366"/>
        <v>0</v>
      </c>
      <c r="AA198" s="5000"/>
      <c r="AB198" s="1287">
        <f t="shared" si="367"/>
        <v>3163.58</v>
      </c>
      <c r="AC198" s="5027"/>
      <c r="AD198" s="610">
        <v>0</v>
      </c>
      <c r="AE198" s="4997"/>
      <c r="AF198" s="517">
        <f t="shared" si="368"/>
        <v>3163.58</v>
      </c>
      <c r="AG198" s="5027"/>
      <c r="AH198" s="610"/>
      <c r="AI198" s="4997"/>
      <c r="AJ198" s="517">
        <f t="shared" si="369"/>
        <v>3163.58</v>
      </c>
      <c r="AK198" s="5027"/>
      <c r="AL198" s="610"/>
      <c r="AM198" s="4994"/>
      <c r="AN198" s="611">
        <f t="shared" si="370"/>
        <v>0</v>
      </c>
      <c r="AO198" s="4997"/>
      <c r="AP198" s="517">
        <f t="shared" si="371"/>
        <v>3163.58</v>
      </c>
      <c r="AQ198" s="5027"/>
      <c r="AR198" s="610"/>
      <c r="AS198" s="4997"/>
      <c r="AT198" s="517">
        <f t="shared" si="372"/>
        <v>3163.58</v>
      </c>
      <c r="AU198" s="5027"/>
      <c r="AV198" s="610"/>
      <c r="AW198" s="4997"/>
      <c r="AX198" s="517">
        <f t="shared" si="373"/>
        <v>3163.58</v>
      </c>
      <c r="AY198" s="5027"/>
      <c r="AZ198" s="610"/>
      <c r="BA198" s="4994"/>
      <c r="BB198" s="611">
        <f t="shared" si="374"/>
        <v>0</v>
      </c>
      <c r="BC198" s="5000">
        <f t="shared" si="363"/>
        <v>0</v>
      </c>
      <c r="BD198" s="1287">
        <f t="shared" si="364"/>
        <v>0</v>
      </c>
      <c r="BE198" s="4997"/>
      <c r="BF198" s="517">
        <f t="shared" si="375"/>
        <v>3163.58</v>
      </c>
      <c r="BG198" s="1726"/>
      <c r="BH198" s="1726"/>
      <c r="BI198" s="1726"/>
      <c r="BJ198" s="1726"/>
      <c r="BK198" s="1726"/>
      <c r="BL198" s="1726"/>
      <c r="BM198" s="1726"/>
      <c r="BN198" s="1726"/>
      <c r="BO198" s="1726"/>
      <c r="BP198" s="1726"/>
      <c r="BQ198" s="1726"/>
      <c r="BR198" s="1726"/>
      <c r="BS198" s="1726"/>
      <c r="BT198" s="1726"/>
      <c r="BU198" s="1726"/>
      <c r="BV198" s="1726"/>
      <c r="BW198" s="1726"/>
      <c r="BX198" s="1726"/>
      <c r="BY198" s="1726"/>
      <c r="BZ198" s="1726"/>
      <c r="CA198" s="1726"/>
      <c r="CB198" s="1726"/>
      <c r="CC198" s="1726"/>
    </row>
    <row r="199" spans="2:81" s="334" customFormat="1" ht="18.75" x14ac:dyDescent="0.25">
      <c r="B199" s="2124" t="s">
        <v>999</v>
      </c>
      <c r="C199" s="2125" t="s">
        <v>53</v>
      </c>
      <c r="D199" s="2127"/>
      <c r="E199" s="5049"/>
      <c r="F199" s="610"/>
      <c r="G199" s="5063"/>
      <c r="H199" s="610"/>
      <c r="I199" s="4997"/>
      <c r="J199" s="517">
        <f t="shared" si="356"/>
        <v>0</v>
      </c>
      <c r="K199" s="5027"/>
      <c r="L199" s="610"/>
      <c r="M199" s="4994"/>
      <c r="N199" s="611">
        <f t="shared" si="365"/>
        <v>0</v>
      </c>
      <c r="O199" s="5027"/>
      <c r="P199" s="610"/>
      <c r="Q199" s="4997"/>
      <c r="R199" s="517">
        <f t="shared" si="358"/>
        <v>0</v>
      </c>
      <c r="S199" s="5027"/>
      <c r="T199" s="610"/>
      <c r="U199" s="4997"/>
      <c r="V199" s="517">
        <f t="shared" si="359"/>
        <v>0</v>
      </c>
      <c r="W199" s="5027"/>
      <c r="X199" s="610"/>
      <c r="Y199" s="4994"/>
      <c r="Z199" s="611">
        <f t="shared" si="366"/>
        <v>0</v>
      </c>
      <c r="AA199" s="5000"/>
      <c r="AB199" s="1287">
        <f t="shared" si="367"/>
        <v>0</v>
      </c>
      <c r="AC199" s="5027"/>
      <c r="AD199" s="610"/>
      <c r="AE199" s="4997"/>
      <c r="AF199" s="517">
        <f t="shared" si="368"/>
        <v>0</v>
      </c>
      <c r="AG199" s="5027"/>
      <c r="AH199" s="610"/>
      <c r="AI199" s="4997"/>
      <c r="AJ199" s="517">
        <f t="shared" si="369"/>
        <v>0</v>
      </c>
      <c r="AK199" s="5027"/>
      <c r="AL199" s="610"/>
      <c r="AM199" s="4994"/>
      <c r="AN199" s="611">
        <f t="shared" si="370"/>
        <v>0</v>
      </c>
      <c r="AO199" s="4997"/>
      <c r="AP199" s="517">
        <f t="shared" si="371"/>
        <v>0</v>
      </c>
      <c r="AQ199" s="5027"/>
      <c r="AR199" s="610"/>
      <c r="AS199" s="4997"/>
      <c r="AT199" s="517">
        <f t="shared" si="372"/>
        <v>0</v>
      </c>
      <c r="AU199" s="5027"/>
      <c r="AV199" s="610"/>
      <c r="AW199" s="4997"/>
      <c r="AX199" s="517">
        <f t="shared" si="373"/>
        <v>0</v>
      </c>
      <c r="AY199" s="5027"/>
      <c r="AZ199" s="610"/>
      <c r="BA199" s="4994"/>
      <c r="BB199" s="611">
        <f t="shared" si="374"/>
        <v>0</v>
      </c>
      <c r="BC199" s="5000">
        <f t="shared" si="363"/>
        <v>0</v>
      </c>
      <c r="BD199" s="1287">
        <f t="shared" si="364"/>
        <v>0</v>
      </c>
      <c r="BE199" s="4997"/>
      <c r="BF199" s="517">
        <f t="shared" si="375"/>
        <v>0</v>
      </c>
      <c r="BG199" s="1726"/>
      <c r="BH199" s="1726"/>
      <c r="BI199" s="1726"/>
      <c r="BJ199" s="1726"/>
      <c r="BK199" s="1726"/>
      <c r="BL199" s="1726"/>
      <c r="BM199" s="1726"/>
      <c r="BN199" s="1726"/>
      <c r="BO199" s="1726"/>
      <c r="BP199" s="1726"/>
      <c r="BQ199" s="1726"/>
      <c r="BR199" s="1726"/>
      <c r="BS199" s="1726"/>
      <c r="BT199" s="1726"/>
      <c r="BU199" s="1726"/>
      <c r="BV199" s="1726"/>
      <c r="BW199" s="1726"/>
      <c r="BX199" s="1726"/>
      <c r="BY199" s="1726"/>
      <c r="BZ199" s="1726"/>
      <c r="CA199" s="1726"/>
      <c r="CB199" s="1726"/>
      <c r="CC199" s="1726"/>
    </row>
    <row r="200" spans="2:81" s="874" customFormat="1" ht="18.75" x14ac:dyDescent="0.25">
      <c r="B200" s="2126" t="s">
        <v>848</v>
      </c>
      <c r="C200" s="2058" t="s">
        <v>53</v>
      </c>
      <c r="D200" s="3953"/>
      <c r="E200" s="5049"/>
      <c r="F200" s="610"/>
      <c r="G200" s="5063"/>
      <c r="H200" s="610"/>
      <c r="I200" s="4997"/>
      <c r="J200" s="517">
        <f t="shared" si="356"/>
        <v>0</v>
      </c>
      <c r="K200" s="5027"/>
      <c r="L200" s="610"/>
      <c r="M200" s="4994"/>
      <c r="N200" s="611">
        <f t="shared" si="365"/>
        <v>0</v>
      </c>
      <c r="O200" s="5027"/>
      <c r="P200" s="610"/>
      <c r="Q200" s="4997"/>
      <c r="R200" s="517">
        <f t="shared" si="358"/>
        <v>0</v>
      </c>
      <c r="S200" s="5027"/>
      <c r="T200" s="610"/>
      <c r="U200" s="4997"/>
      <c r="V200" s="517">
        <f t="shared" si="359"/>
        <v>0</v>
      </c>
      <c r="W200" s="5027"/>
      <c r="X200" s="610"/>
      <c r="Y200" s="4994"/>
      <c r="Z200" s="611">
        <f t="shared" si="366"/>
        <v>0</v>
      </c>
      <c r="AA200" s="5000"/>
      <c r="AB200" s="1287">
        <f t="shared" si="367"/>
        <v>0</v>
      </c>
      <c r="AC200" s="5027"/>
      <c r="AD200" s="610">
        <v>0</v>
      </c>
      <c r="AE200" s="4997"/>
      <c r="AF200" s="517">
        <f t="shared" si="368"/>
        <v>0</v>
      </c>
      <c r="AG200" s="5027"/>
      <c r="AH200" s="610"/>
      <c r="AI200" s="4997"/>
      <c r="AJ200" s="517">
        <f t="shared" si="369"/>
        <v>0</v>
      </c>
      <c r="AK200" s="5027"/>
      <c r="AL200" s="610">
        <v>2736.34</v>
      </c>
      <c r="AM200" s="4994"/>
      <c r="AN200" s="611">
        <f t="shared" si="370"/>
        <v>2736.34</v>
      </c>
      <c r="AO200" s="4997"/>
      <c r="AP200" s="517">
        <f t="shared" si="371"/>
        <v>2736.34</v>
      </c>
      <c r="AQ200" s="5027"/>
      <c r="AR200" s="610"/>
      <c r="AS200" s="4997"/>
      <c r="AT200" s="517">
        <f t="shared" si="372"/>
        <v>2736.34</v>
      </c>
      <c r="AU200" s="5027"/>
      <c r="AV200" s="610"/>
      <c r="AW200" s="4997"/>
      <c r="AX200" s="517">
        <f t="shared" si="373"/>
        <v>2736.34</v>
      </c>
      <c r="AY200" s="5027"/>
      <c r="AZ200" s="610"/>
      <c r="BA200" s="4994"/>
      <c r="BB200" s="611">
        <f t="shared" si="374"/>
        <v>0</v>
      </c>
      <c r="BC200" s="5000">
        <f t="shared" si="363"/>
        <v>0</v>
      </c>
      <c r="BD200" s="1287">
        <f t="shared" si="364"/>
        <v>2736.34</v>
      </c>
      <c r="BE200" s="4997"/>
      <c r="BF200" s="517">
        <f t="shared" si="375"/>
        <v>2736.34</v>
      </c>
      <c r="BG200" s="1726"/>
      <c r="BH200" s="1726"/>
      <c r="BI200" s="1726"/>
      <c r="BJ200" s="1726"/>
      <c r="BK200" s="1726"/>
      <c r="BL200" s="1726"/>
      <c r="BM200" s="1726"/>
      <c r="BN200" s="1726"/>
      <c r="BO200" s="1726"/>
      <c r="BP200" s="1726"/>
      <c r="BQ200" s="1726"/>
      <c r="BR200" s="1726"/>
      <c r="BS200" s="1726"/>
      <c r="BT200" s="1726"/>
      <c r="BU200" s="1726"/>
      <c r="BV200" s="1726"/>
      <c r="BW200" s="1726"/>
      <c r="BX200" s="1726"/>
      <c r="BY200" s="1726"/>
      <c r="BZ200" s="1726"/>
      <c r="CA200" s="1726"/>
      <c r="CB200" s="1726"/>
      <c r="CC200" s="1726"/>
    </row>
    <row r="201" spans="2:81" s="334" customFormat="1" ht="18.75" x14ac:dyDescent="0.25">
      <c r="B201" s="2124" t="s">
        <v>1413</v>
      </c>
      <c r="C201" s="2125" t="s">
        <v>53</v>
      </c>
      <c r="D201" s="2127"/>
      <c r="E201" s="5049"/>
      <c r="F201" s="610"/>
      <c r="G201" s="5063"/>
      <c r="H201" s="610"/>
      <c r="I201" s="4997"/>
      <c r="J201" s="517">
        <f t="shared" si="356"/>
        <v>0</v>
      </c>
      <c r="K201" s="5027"/>
      <c r="L201" s="610"/>
      <c r="M201" s="4994"/>
      <c r="N201" s="611">
        <f t="shared" si="365"/>
        <v>0</v>
      </c>
      <c r="O201" s="5027"/>
      <c r="P201" s="610"/>
      <c r="Q201" s="4997"/>
      <c r="R201" s="517">
        <f t="shared" si="358"/>
        <v>0</v>
      </c>
      <c r="S201" s="5027"/>
      <c r="T201" s="610"/>
      <c r="U201" s="4997"/>
      <c r="V201" s="517">
        <f t="shared" si="359"/>
        <v>0</v>
      </c>
      <c r="W201" s="5027"/>
      <c r="X201" s="610"/>
      <c r="Y201" s="4994"/>
      <c r="Z201" s="611">
        <f t="shared" si="366"/>
        <v>0</v>
      </c>
      <c r="AA201" s="5000"/>
      <c r="AB201" s="1287">
        <f t="shared" si="367"/>
        <v>0</v>
      </c>
      <c r="AC201" s="5027"/>
      <c r="AD201" s="610"/>
      <c r="AE201" s="4997"/>
      <c r="AF201" s="517">
        <f t="shared" si="368"/>
        <v>0</v>
      </c>
      <c r="AG201" s="5027"/>
      <c r="AH201" s="610"/>
      <c r="AI201" s="4997"/>
      <c r="AJ201" s="517">
        <f t="shared" si="369"/>
        <v>0</v>
      </c>
      <c r="AK201" s="5027"/>
      <c r="AL201" s="610"/>
      <c r="AM201" s="4994"/>
      <c r="AN201" s="611">
        <f t="shared" si="370"/>
        <v>0</v>
      </c>
      <c r="AO201" s="4997"/>
      <c r="AP201" s="517">
        <f t="shared" si="371"/>
        <v>0</v>
      </c>
      <c r="AQ201" s="5027"/>
      <c r="AR201" s="610"/>
      <c r="AS201" s="4997"/>
      <c r="AT201" s="517">
        <f t="shared" si="372"/>
        <v>0</v>
      </c>
      <c r="AU201" s="5027"/>
      <c r="AV201" s="610"/>
      <c r="AW201" s="4997"/>
      <c r="AX201" s="517">
        <f t="shared" si="373"/>
        <v>0</v>
      </c>
      <c r="AY201" s="5027"/>
      <c r="AZ201" s="610"/>
      <c r="BA201" s="4994"/>
      <c r="BB201" s="611">
        <f t="shared" si="374"/>
        <v>0</v>
      </c>
      <c r="BC201" s="5000">
        <f t="shared" si="363"/>
        <v>0</v>
      </c>
      <c r="BD201" s="1287">
        <f t="shared" si="364"/>
        <v>0</v>
      </c>
      <c r="BE201" s="4997"/>
      <c r="BF201" s="517">
        <f t="shared" si="375"/>
        <v>0</v>
      </c>
      <c r="BG201" s="1726"/>
      <c r="BH201" s="1726"/>
      <c r="BI201" s="1726"/>
      <c r="BJ201" s="1726"/>
      <c r="BK201" s="1726"/>
      <c r="BL201" s="1726"/>
      <c r="BM201" s="1726"/>
      <c r="BN201" s="1726"/>
      <c r="BO201" s="1726"/>
      <c r="BP201" s="1726"/>
      <c r="BQ201" s="1726"/>
      <c r="BR201" s="1726"/>
      <c r="BS201" s="1726"/>
      <c r="BT201" s="1726"/>
      <c r="BU201" s="1726"/>
      <c r="BV201" s="1726"/>
      <c r="BW201" s="1726"/>
      <c r="BX201" s="1726"/>
      <c r="BY201" s="1726"/>
      <c r="BZ201" s="1726"/>
      <c r="CA201" s="1726"/>
      <c r="CB201" s="1726"/>
      <c r="CC201" s="1726"/>
    </row>
    <row r="202" spans="2:81" s="874" customFormat="1" ht="18.75" x14ac:dyDescent="0.25">
      <c r="B202" s="2128" t="s">
        <v>849</v>
      </c>
      <c r="C202" s="2058" t="s">
        <v>53</v>
      </c>
      <c r="D202" s="3953"/>
      <c r="E202" s="5049"/>
      <c r="F202" s="610"/>
      <c r="G202" s="5063"/>
      <c r="H202" s="610"/>
      <c r="I202" s="4997"/>
      <c r="J202" s="517">
        <f t="shared" si="356"/>
        <v>0</v>
      </c>
      <c r="K202" s="5027"/>
      <c r="L202" s="610">
        <v>1016</v>
      </c>
      <c r="M202" s="4994"/>
      <c r="N202" s="611">
        <f t="shared" si="365"/>
        <v>1016</v>
      </c>
      <c r="O202" s="5027"/>
      <c r="P202" s="610"/>
      <c r="Q202" s="4997"/>
      <c r="R202" s="517">
        <f t="shared" si="358"/>
        <v>1016</v>
      </c>
      <c r="S202" s="5027"/>
      <c r="T202" s="610">
        <v>987.4</v>
      </c>
      <c r="U202" s="4997"/>
      <c r="V202" s="517">
        <f t="shared" si="359"/>
        <v>2003.4</v>
      </c>
      <c r="W202" s="5027"/>
      <c r="X202" s="610">
        <v>1010.18</v>
      </c>
      <c r="Y202" s="4994"/>
      <c r="Z202" s="611">
        <f t="shared" si="366"/>
        <v>1997.58</v>
      </c>
      <c r="AA202" s="5000"/>
      <c r="AB202" s="1287">
        <f t="shared" si="367"/>
        <v>3013.58</v>
      </c>
      <c r="AC202" s="5027"/>
      <c r="AD202" s="610">
        <v>0</v>
      </c>
      <c r="AE202" s="4997"/>
      <c r="AF202" s="517">
        <f t="shared" si="368"/>
        <v>3013.58</v>
      </c>
      <c r="AG202" s="5027"/>
      <c r="AH202" s="610">
        <v>2398.86</v>
      </c>
      <c r="AI202" s="4997"/>
      <c r="AJ202" s="517">
        <f t="shared" si="369"/>
        <v>5412.4400000000005</v>
      </c>
      <c r="AK202" s="5027"/>
      <c r="AL202" s="610"/>
      <c r="AM202" s="4994"/>
      <c r="AN202" s="611">
        <f t="shared" si="370"/>
        <v>2398.86</v>
      </c>
      <c r="AO202" s="4997"/>
      <c r="AP202" s="517">
        <f t="shared" si="371"/>
        <v>5412.4400000000005</v>
      </c>
      <c r="AQ202" s="5027"/>
      <c r="AR202" s="610">
        <v>2272.7199999999998</v>
      </c>
      <c r="AS202" s="4997"/>
      <c r="AT202" s="517">
        <f t="shared" si="372"/>
        <v>7685.16</v>
      </c>
      <c r="AU202" s="5027"/>
      <c r="AV202" s="610">
        <v>987.64</v>
      </c>
      <c r="AW202" s="4997"/>
      <c r="AX202" s="517">
        <f t="shared" si="373"/>
        <v>8672.7999999999993</v>
      </c>
      <c r="AY202" s="5027"/>
      <c r="AZ202" s="610">
        <v>1292.46</v>
      </c>
      <c r="BA202" s="4994"/>
      <c r="BB202" s="611">
        <f t="shared" si="374"/>
        <v>4552.82</v>
      </c>
      <c r="BC202" s="5000">
        <f t="shared" si="363"/>
        <v>0</v>
      </c>
      <c r="BD202" s="1287">
        <f t="shared" si="364"/>
        <v>6951.68</v>
      </c>
      <c r="BE202" s="4997"/>
      <c r="BF202" s="517">
        <f t="shared" si="375"/>
        <v>9965.2599999999984</v>
      </c>
      <c r="BG202" s="1726"/>
      <c r="BH202" s="1726"/>
      <c r="BI202" s="1726"/>
      <c r="BJ202" s="1726"/>
      <c r="BK202" s="1726"/>
      <c r="BL202" s="1726"/>
      <c r="BM202" s="1726"/>
      <c r="BN202" s="1726"/>
      <c r="BO202" s="1726"/>
      <c r="BP202" s="1726"/>
      <c r="BQ202" s="1726"/>
      <c r="BR202" s="1726"/>
      <c r="BS202" s="1726"/>
      <c r="BT202" s="1726"/>
      <c r="BU202" s="1726"/>
      <c r="BV202" s="1726"/>
      <c r="BW202" s="1726"/>
      <c r="BX202" s="1726"/>
      <c r="BY202" s="1726"/>
      <c r="BZ202" s="1726"/>
      <c r="CA202" s="1726"/>
      <c r="CB202" s="1726"/>
      <c r="CC202" s="1726"/>
    </row>
    <row r="203" spans="2:81" s="1726" customFormat="1" ht="18.75" x14ac:dyDescent="0.25">
      <c r="B203" s="2124" t="s">
        <v>1831</v>
      </c>
      <c r="C203" s="2125" t="s">
        <v>53</v>
      </c>
      <c r="D203" s="4039"/>
      <c r="E203" s="5049"/>
      <c r="F203" s="610"/>
      <c r="G203" s="5063"/>
      <c r="H203" s="610"/>
      <c r="I203" s="4997"/>
      <c r="J203" s="517">
        <f t="shared" si="356"/>
        <v>0</v>
      </c>
      <c r="K203" s="5027"/>
      <c r="L203" s="610"/>
      <c r="M203" s="4994"/>
      <c r="N203" s="611"/>
      <c r="O203" s="5027"/>
      <c r="P203" s="610"/>
      <c r="Q203" s="4997"/>
      <c r="R203" s="517"/>
      <c r="S203" s="5027"/>
      <c r="T203" s="610"/>
      <c r="U203" s="4997"/>
      <c r="V203" s="517"/>
      <c r="W203" s="5027"/>
      <c r="X203" s="610"/>
      <c r="Y203" s="4994"/>
      <c r="Z203" s="611"/>
      <c r="AA203" s="5000"/>
      <c r="AB203" s="1287"/>
      <c r="AC203" s="5027"/>
      <c r="AD203" s="610"/>
      <c r="AE203" s="4997"/>
      <c r="AF203" s="517"/>
      <c r="AG203" s="5027"/>
      <c r="AH203" s="610"/>
      <c r="AI203" s="4997"/>
      <c r="AJ203" s="517"/>
      <c r="AK203" s="5027"/>
      <c r="AL203" s="610"/>
      <c r="AM203" s="4994"/>
      <c r="AN203" s="611"/>
      <c r="AO203" s="4997"/>
      <c r="AP203" s="517"/>
      <c r="AQ203" s="5027"/>
      <c r="AR203" s="610"/>
      <c r="AS203" s="4997"/>
      <c r="AT203" s="517"/>
      <c r="AU203" s="5027"/>
      <c r="AV203" s="610"/>
      <c r="AW203" s="4997"/>
      <c r="AX203" s="517"/>
      <c r="AY203" s="5027"/>
      <c r="AZ203" s="610"/>
      <c r="BA203" s="4994"/>
      <c r="BB203" s="611">
        <f t="shared" si="374"/>
        <v>0</v>
      </c>
      <c r="BC203" s="5000"/>
      <c r="BD203" s="1287">
        <f t="shared" si="364"/>
        <v>0</v>
      </c>
      <c r="BE203" s="4997"/>
      <c r="BF203" s="517">
        <f t="shared" si="375"/>
        <v>0</v>
      </c>
    </row>
    <row r="204" spans="2:81" s="1726" customFormat="1" ht="18.75" x14ac:dyDescent="0.25">
      <c r="B204" s="2128" t="s">
        <v>849</v>
      </c>
      <c r="C204" s="2058" t="s">
        <v>53</v>
      </c>
      <c r="D204" s="4039"/>
      <c r="E204" s="5049"/>
      <c r="F204" s="610"/>
      <c r="G204" s="5063"/>
      <c r="H204" s="610"/>
      <c r="I204" s="4997"/>
      <c r="J204" s="517">
        <f t="shared" si="356"/>
        <v>0</v>
      </c>
      <c r="K204" s="5027"/>
      <c r="L204" s="610"/>
      <c r="M204" s="4994"/>
      <c r="N204" s="611"/>
      <c r="O204" s="5027"/>
      <c r="P204" s="610"/>
      <c r="Q204" s="4997"/>
      <c r="R204" s="517"/>
      <c r="S204" s="5027"/>
      <c r="T204" s="610"/>
      <c r="U204" s="4997"/>
      <c r="V204" s="517"/>
      <c r="W204" s="5027"/>
      <c r="X204" s="610"/>
      <c r="Y204" s="4994"/>
      <c r="Z204" s="611"/>
      <c r="AA204" s="5000"/>
      <c r="AB204" s="1287"/>
      <c r="AC204" s="5027"/>
      <c r="AD204" s="610"/>
      <c r="AE204" s="4997"/>
      <c r="AF204" s="517"/>
      <c r="AG204" s="5027"/>
      <c r="AH204" s="610"/>
      <c r="AI204" s="4997"/>
      <c r="AJ204" s="517"/>
      <c r="AK204" s="5027"/>
      <c r="AL204" s="610"/>
      <c r="AM204" s="4994"/>
      <c r="AN204" s="611"/>
      <c r="AO204" s="4997"/>
      <c r="AP204" s="517"/>
      <c r="AQ204" s="5027"/>
      <c r="AR204" s="610"/>
      <c r="AS204" s="4997"/>
      <c r="AT204" s="517"/>
      <c r="AU204" s="5027"/>
      <c r="AV204" s="610">
        <v>189.98000000000002</v>
      </c>
      <c r="AW204" s="4997"/>
      <c r="AX204" s="517">
        <f t="shared" si="373"/>
        <v>189.98000000000002</v>
      </c>
      <c r="AY204" s="5027"/>
      <c r="AZ204" s="610"/>
      <c r="BA204" s="4994"/>
      <c r="BB204" s="611">
        <f t="shared" si="374"/>
        <v>189.98000000000002</v>
      </c>
      <c r="BC204" s="5000"/>
      <c r="BD204" s="1287">
        <f t="shared" si="364"/>
        <v>189.98000000000002</v>
      </c>
      <c r="BE204" s="4997"/>
      <c r="BF204" s="517">
        <f t="shared" si="375"/>
        <v>189.98000000000002</v>
      </c>
    </row>
    <row r="205" spans="2:81" s="1726" customFormat="1" ht="18.75" x14ac:dyDescent="0.25">
      <c r="B205" s="2124" t="s">
        <v>1781</v>
      </c>
      <c r="C205" s="2125" t="s">
        <v>53</v>
      </c>
      <c r="D205" s="3953"/>
      <c r="E205" s="5049"/>
      <c r="F205" s="610"/>
      <c r="G205" s="5063"/>
      <c r="H205" s="610"/>
      <c r="I205" s="4997"/>
      <c r="J205" s="517">
        <f t="shared" si="356"/>
        <v>0</v>
      </c>
      <c r="K205" s="5027"/>
      <c r="L205" s="610"/>
      <c r="M205" s="4994"/>
      <c r="N205" s="611"/>
      <c r="O205" s="5027"/>
      <c r="P205" s="610"/>
      <c r="Q205" s="4997"/>
      <c r="R205" s="517"/>
      <c r="S205" s="5027"/>
      <c r="T205" s="610"/>
      <c r="U205" s="4997"/>
      <c r="V205" s="517"/>
      <c r="W205" s="5027"/>
      <c r="X205" s="610"/>
      <c r="Y205" s="4994"/>
      <c r="Z205" s="611"/>
      <c r="AA205" s="5000"/>
      <c r="AB205" s="1287"/>
      <c r="AC205" s="5027"/>
      <c r="AD205" s="610"/>
      <c r="AE205" s="4997"/>
      <c r="AF205" s="517"/>
      <c r="AG205" s="5027"/>
      <c r="AH205" s="610"/>
      <c r="AI205" s="4997"/>
      <c r="AJ205" s="517"/>
      <c r="AK205" s="5027"/>
      <c r="AL205" s="610"/>
      <c r="AM205" s="4994"/>
      <c r="AN205" s="611"/>
      <c r="AO205" s="4997"/>
      <c r="AP205" s="517">
        <f t="shared" si="371"/>
        <v>0</v>
      </c>
      <c r="AQ205" s="5027"/>
      <c r="AR205" s="610"/>
      <c r="AS205" s="4997"/>
      <c r="AT205" s="517">
        <f t="shared" si="372"/>
        <v>0</v>
      </c>
      <c r="AU205" s="5027"/>
      <c r="AV205" s="610"/>
      <c r="AW205" s="4997"/>
      <c r="AX205" s="517">
        <f t="shared" si="373"/>
        <v>0</v>
      </c>
      <c r="AY205" s="5027"/>
      <c r="AZ205" s="610"/>
      <c r="BA205" s="4994"/>
      <c r="BB205" s="611">
        <f t="shared" si="374"/>
        <v>0</v>
      </c>
      <c r="BC205" s="5000"/>
      <c r="BD205" s="1287">
        <f t="shared" si="364"/>
        <v>0</v>
      </c>
      <c r="BE205" s="4997"/>
      <c r="BF205" s="517">
        <f t="shared" si="375"/>
        <v>0</v>
      </c>
    </row>
    <row r="206" spans="2:81" s="1726" customFormat="1" ht="18.75" x14ac:dyDescent="0.25">
      <c r="B206" s="2126" t="s">
        <v>848</v>
      </c>
      <c r="C206" s="2058" t="s">
        <v>53</v>
      </c>
      <c r="D206" s="3953"/>
      <c r="E206" s="5049"/>
      <c r="F206" s="610"/>
      <c r="G206" s="5063"/>
      <c r="H206" s="610"/>
      <c r="I206" s="4997"/>
      <c r="J206" s="517">
        <f t="shared" si="356"/>
        <v>0</v>
      </c>
      <c r="K206" s="5027"/>
      <c r="L206" s="610"/>
      <c r="M206" s="4994"/>
      <c r="N206" s="611"/>
      <c r="O206" s="5027"/>
      <c r="P206" s="610"/>
      <c r="Q206" s="4997"/>
      <c r="R206" s="517"/>
      <c r="S206" s="5027"/>
      <c r="T206" s="610"/>
      <c r="U206" s="4997"/>
      <c r="V206" s="517"/>
      <c r="W206" s="5027"/>
      <c r="X206" s="610"/>
      <c r="Y206" s="4994"/>
      <c r="Z206" s="611"/>
      <c r="AA206" s="5000"/>
      <c r="AB206" s="1287"/>
      <c r="AC206" s="5027"/>
      <c r="AD206" s="610"/>
      <c r="AE206" s="4997"/>
      <c r="AF206" s="517"/>
      <c r="AG206" s="5027"/>
      <c r="AH206" s="610"/>
      <c r="AI206" s="4997"/>
      <c r="AJ206" s="517"/>
      <c r="AK206" s="5027"/>
      <c r="AL206" s="610"/>
      <c r="AM206" s="4994"/>
      <c r="AN206" s="611"/>
      <c r="AO206" s="4997"/>
      <c r="AP206" s="517">
        <f t="shared" si="371"/>
        <v>0</v>
      </c>
      <c r="AQ206" s="5027"/>
      <c r="AR206" s="610">
        <v>97.210000000000008</v>
      </c>
      <c r="AS206" s="4997"/>
      <c r="AT206" s="517">
        <f t="shared" si="372"/>
        <v>97.210000000000008</v>
      </c>
      <c r="AU206" s="5027"/>
      <c r="AV206" s="610"/>
      <c r="AW206" s="4997"/>
      <c r="AX206" s="517">
        <f t="shared" si="373"/>
        <v>97.210000000000008</v>
      </c>
      <c r="AY206" s="5027"/>
      <c r="AZ206" s="610"/>
      <c r="BA206" s="4994"/>
      <c r="BB206" s="611">
        <f t="shared" si="374"/>
        <v>97.210000000000008</v>
      </c>
      <c r="BC206" s="5000"/>
      <c r="BD206" s="1287">
        <f t="shared" si="364"/>
        <v>97.210000000000008</v>
      </c>
      <c r="BE206" s="4997"/>
      <c r="BF206" s="517">
        <f t="shared" si="375"/>
        <v>97.210000000000008</v>
      </c>
      <c r="BI206" s="4090">
        <f>+BF204+BF202+BF198+BF194+BF191+BF192+BF189+BF187+BF185+BF184+BF179+0</f>
        <v>27155.02</v>
      </c>
    </row>
    <row r="207" spans="2:81" s="334" customFormat="1" ht="18.75" x14ac:dyDescent="0.25">
      <c r="B207" s="2124" t="s">
        <v>1000</v>
      </c>
      <c r="C207" s="2125" t="s">
        <v>53</v>
      </c>
      <c r="D207" s="2127"/>
      <c r="E207" s="5049"/>
      <c r="F207" s="610"/>
      <c r="G207" s="5063"/>
      <c r="H207" s="610"/>
      <c r="I207" s="4997"/>
      <c r="J207" s="517">
        <f t="shared" si="356"/>
        <v>0</v>
      </c>
      <c r="K207" s="5027"/>
      <c r="L207" s="610"/>
      <c r="M207" s="4994"/>
      <c r="N207" s="611">
        <f t="shared" si="365"/>
        <v>0</v>
      </c>
      <c r="O207" s="5027"/>
      <c r="P207" s="610"/>
      <c r="Q207" s="4997"/>
      <c r="R207" s="517">
        <f t="shared" si="358"/>
        <v>0</v>
      </c>
      <c r="S207" s="5027"/>
      <c r="T207" s="610"/>
      <c r="U207" s="4997"/>
      <c r="V207" s="517">
        <f t="shared" si="359"/>
        <v>0</v>
      </c>
      <c r="W207" s="5027"/>
      <c r="X207" s="610"/>
      <c r="Y207" s="4994"/>
      <c r="Z207" s="611">
        <f t="shared" si="366"/>
        <v>0</v>
      </c>
      <c r="AA207" s="5000"/>
      <c r="AB207" s="1287">
        <f t="shared" si="367"/>
        <v>0</v>
      </c>
      <c r="AC207" s="5027"/>
      <c r="AD207" s="610"/>
      <c r="AE207" s="4997"/>
      <c r="AF207" s="517">
        <f t="shared" si="368"/>
        <v>0</v>
      </c>
      <c r="AG207" s="5027"/>
      <c r="AH207" s="610"/>
      <c r="AI207" s="4997"/>
      <c r="AJ207" s="517">
        <f t="shared" si="369"/>
        <v>0</v>
      </c>
      <c r="AK207" s="5027"/>
      <c r="AL207" s="610"/>
      <c r="AM207" s="4994"/>
      <c r="AN207" s="611">
        <f t="shared" si="370"/>
        <v>0</v>
      </c>
      <c r="AO207" s="4997"/>
      <c r="AP207" s="517">
        <f t="shared" si="371"/>
        <v>0</v>
      </c>
      <c r="AQ207" s="5027"/>
      <c r="AR207" s="610"/>
      <c r="AS207" s="4997"/>
      <c r="AT207" s="517">
        <f t="shared" si="372"/>
        <v>0</v>
      </c>
      <c r="AU207" s="5027"/>
      <c r="AV207" s="610"/>
      <c r="AW207" s="4997"/>
      <c r="AX207" s="517">
        <f t="shared" si="373"/>
        <v>0</v>
      </c>
      <c r="AY207" s="5027"/>
      <c r="AZ207" s="610"/>
      <c r="BA207" s="4994"/>
      <c r="BB207" s="611">
        <f t="shared" si="374"/>
        <v>0</v>
      </c>
      <c r="BC207" s="5000">
        <f t="shared" si="363"/>
        <v>0</v>
      </c>
      <c r="BD207" s="1287">
        <f t="shared" si="364"/>
        <v>0</v>
      </c>
      <c r="BE207" s="4997"/>
      <c r="BF207" s="517">
        <f t="shared" si="375"/>
        <v>0</v>
      </c>
      <c r="BG207" s="1726"/>
      <c r="BH207" s="1726"/>
      <c r="BI207" s="1726">
        <f>+BI206/BF215</f>
        <v>0.47218517504833135</v>
      </c>
      <c r="BJ207" s="1726"/>
      <c r="BK207" s="4090">
        <f>+BF215-BI206</f>
        <v>30354.240000000002</v>
      </c>
      <c r="BL207" s="1726"/>
      <c r="BM207" s="1726"/>
      <c r="BN207" s="1726"/>
      <c r="BO207" s="1726"/>
      <c r="BP207" s="1726"/>
      <c r="BQ207" s="1726"/>
      <c r="BR207" s="1726"/>
      <c r="BS207" s="1726"/>
      <c r="BT207" s="1726"/>
      <c r="BU207" s="1726"/>
      <c r="BV207" s="1726"/>
      <c r="BW207" s="1726"/>
      <c r="BX207" s="1726"/>
      <c r="BY207" s="1726"/>
      <c r="BZ207" s="1726"/>
      <c r="CA207" s="1726"/>
      <c r="CB207" s="1726"/>
      <c r="CC207" s="1726"/>
    </row>
    <row r="208" spans="2:81" s="874" customFormat="1" ht="18.75" x14ac:dyDescent="0.25">
      <c r="B208" s="2128" t="s">
        <v>848</v>
      </c>
      <c r="C208" s="2058" t="s">
        <v>53</v>
      </c>
      <c r="D208" s="3953"/>
      <c r="E208" s="5049"/>
      <c r="F208" s="610"/>
      <c r="G208" s="5063"/>
      <c r="H208" s="610"/>
      <c r="I208" s="4997"/>
      <c r="J208" s="517">
        <f t="shared" si="356"/>
        <v>0</v>
      </c>
      <c r="K208" s="5027"/>
      <c r="L208" s="610"/>
      <c r="M208" s="4994"/>
      <c r="N208" s="611">
        <f t="shared" si="365"/>
        <v>0</v>
      </c>
      <c r="O208" s="5027"/>
      <c r="P208" s="610">
        <v>1481.59</v>
      </c>
      <c r="Q208" s="4997"/>
      <c r="R208" s="517">
        <f t="shared" si="358"/>
        <v>1481.59</v>
      </c>
      <c r="S208" s="5027"/>
      <c r="T208" s="610"/>
      <c r="U208" s="4997"/>
      <c r="V208" s="517">
        <f t="shared" si="359"/>
        <v>1481.59</v>
      </c>
      <c r="W208" s="5027"/>
      <c r="X208" s="610"/>
      <c r="Y208" s="4994"/>
      <c r="Z208" s="611">
        <f t="shared" si="366"/>
        <v>1481.59</v>
      </c>
      <c r="AA208" s="5000"/>
      <c r="AB208" s="1287">
        <f t="shared" si="367"/>
        <v>1481.59</v>
      </c>
      <c r="AC208" s="5027"/>
      <c r="AD208" s="610">
        <v>0</v>
      </c>
      <c r="AE208" s="4997"/>
      <c r="AF208" s="517">
        <f t="shared" si="368"/>
        <v>1481.59</v>
      </c>
      <c r="AG208" s="5027"/>
      <c r="AH208" s="610">
        <v>39.119999999999997</v>
      </c>
      <c r="AI208" s="4997"/>
      <c r="AJ208" s="517">
        <f t="shared" si="369"/>
        <v>1520.7099999999998</v>
      </c>
      <c r="AK208" s="5027"/>
      <c r="AL208" s="610">
        <v>443.65</v>
      </c>
      <c r="AM208" s="4994"/>
      <c r="AN208" s="611">
        <f t="shared" si="370"/>
        <v>482.77</v>
      </c>
      <c r="AO208" s="4997"/>
      <c r="AP208" s="517">
        <f t="shared" si="371"/>
        <v>1964.3599999999997</v>
      </c>
      <c r="AQ208" s="5027"/>
      <c r="AR208" s="610"/>
      <c r="AS208" s="4997"/>
      <c r="AT208" s="517">
        <f t="shared" si="372"/>
        <v>1964.3599999999997</v>
      </c>
      <c r="AU208" s="5027"/>
      <c r="AV208" s="610"/>
      <c r="AW208" s="4997"/>
      <c r="AX208" s="517">
        <f t="shared" si="373"/>
        <v>1964.3599999999997</v>
      </c>
      <c r="AY208" s="5027"/>
      <c r="AZ208" s="610"/>
      <c r="BA208" s="4994"/>
      <c r="BB208" s="611">
        <f t="shared" si="374"/>
        <v>0</v>
      </c>
      <c r="BC208" s="5000">
        <f t="shared" si="363"/>
        <v>0</v>
      </c>
      <c r="BD208" s="1287">
        <f t="shared" si="364"/>
        <v>482.77</v>
      </c>
      <c r="BE208" s="4997"/>
      <c r="BF208" s="517">
        <f t="shared" si="375"/>
        <v>1964.3599999999997</v>
      </c>
      <c r="BG208" s="1726"/>
      <c r="BH208" s="1726"/>
      <c r="BI208" s="1726"/>
      <c r="BJ208" s="1726"/>
      <c r="BK208" s="1726">
        <f>+BK207/BF215</f>
        <v>0.52781482495166865</v>
      </c>
      <c r="BL208" s="1726"/>
      <c r="BM208" s="1726"/>
      <c r="BN208" s="1726"/>
      <c r="BO208" s="1726"/>
      <c r="BP208" s="1726"/>
      <c r="BQ208" s="1726"/>
      <c r="BR208" s="1726"/>
      <c r="BS208" s="1726"/>
      <c r="BT208" s="1726"/>
      <c r="BU208" s="1726"/>
      <c r="BV208" s="1726"/>
      <c r="BW208" s="1726"/>
      <c r="BX208" s="1726"/>
      <c r="BY208" s="1726"/>
      <c r="BZ208" s="1726"/>
      <c r="CA208" s="1726"/>
      <c r="CB208" s="1726"/>
      <c r="CC208" s="1726"/>
    </row>
    <row r="209" spans="1:81" s="1726" customFormat="1" ht="18.75" x14ac:dyDescent="0.25">
      <c r="B209" s="2124" t="s">
        <v>1716</v>
      </c>
      <c r="C209" s="2125" t="s">
        <v>53</v>
      </c>
      <c r="D209" s="3953"/>
      <c r="E209" s="5049"/>
      <c r="F209" s="955"/>
      <c r="G209" s="5063"/>
      <c r="H209" s="955"/>
      <c r="I209" s="4997"/>
      <c r="J209" s="517">
        <f t="shared" si="356"/>
        <v>0</v>
      </c>
      <c r="K209" s="5027"/>
      <c r="L209" s="955"/>
      <c r="M209" s="4994"/>
      <c r="N209" s="611"/>
      <c r="O209" s="5027"/>
      <c r="P209" s="955"/>
      <c r="Q209" s="4997"/>
      <c r="R209" s="517"/>
      <c r="S209" s="5027"/>
      <c r="T209" s="955"/>
      <c r="U209" s="4997"/>
      <c r="V209" s="517"/>
      <c r="W209" s="5027"/>
      <c r="X209" s="955"/>
      <c r="Y209" s="4994"/>
      <c r="Z209" s="611"/>
      <c r="AA209" s="5000"/>
      <c r="AB209" s="1287"/>
      <c r="AC209" s="5027"/>
      <c r="AD209" s="955"/>
      <c r="AE209" s="4997"/>
      <c r="AF209" s="517"/>
      <c r="AG209" s="5027"/>
      <c r="AH209" s="955"/>
      <c r="AI209" s="4997"/>
      <c r="AJ209" s="517"/>
      <c r="AK209" s="5027"/>
      <c r="AL209" s="955"/>
      <c r="AM209" s="4994"/>
      <c r="AN209" s="611">
        <f t="shared" si="370"/>
        <v>0</v>
      </c>
      <c r="AO209" s="4997"/>
      <c r="AP209" s="517">
        <f t="shared" si="371"/>
        <v>0</v>
      </c>
      <c r="AQ209" s="5027"/>
      <c r="AR209" s="955"/>
      <c r="AS209" s="4997"/>
      <c r="AT209" s="517">
        <f t="shared" si="372"/>
        <v>0</v>
      </c>
      <c r="AU209" s="5027"/>
      <c r="AV209" s="955"/>
      <c r="AW209" s="4997"/>
      <c r="AX209" s="517">
        <f t="shared" si="373"/>
        <v>0</v>
      </c>
      <c r="AY209" s="5027"/>
      <c r="AZ209" s="955"/>
      <c r="BA209" s="4994"/>
      <c r="BB209" s="611">
        <f t="shared" si="374"/>
        <v>0</v>
      </c>
      <c r="BC209" s="5000"/>
      <c r="BD209" s="1287">
        <f t="shared" si="364"/>
        <v>0</v>
      </c>
      <c r="BE209" s="4997"/>
      <c r="BF209" s="517">
        <f t="shared" si="375"/>
        <v>0</v>
      </c>
      <c r="BI209" s="4090"/>
    </row>
    <row r="210" spans="1:81" s="1726" customFormat="1" ht="18.75" x14ac:dyDescent="0.25">
      <c r="B210" s="2128" t="s">
        <v>848</v>
      </c>
      <c r="C210" s="2058" t="s">
        <v>53</v>
      </c>
      <c r="D210" s="3953"/>
      <c r="E210" s="5049"/>
      <c r="F210" s="955"/>
      <c r="G210" s="5063"/>
      <c r="H210" s="955"/>
      <c r="I210" s="4997"/>
      <c r="J210" s="517">
        <f t="shared" si="356"/>
        <v>0</v>
      </c>
      <c r="K210" s="5027"/>
      <c r="L210" s="955"/>
      <c r="M210" s="4994"/>
      <c r="N210" s="611"/>
      <c r="O210" s="5027"/>
      <c r="P210" s="955"/>
      <c r="Q210" s="4997"/>
      <c r="R210" s="517"/>
      <c r="S210" s="5027"/>
      <c r="T210" s="955"/>
      <c r="U210" s="4997"/>
      <c r="V210" s="517"/>
      <c r="W210" s="5027"/>
      <c r="X210" s="955"/>
      <c r="Y210" s="4994"/>
      <c r="Z210" s="611"/>
      <c r="AA210" s="5000"/>
      <c r="AB210" s="1287"/>
      <c r="AC210" s="5027"/>
      <c r="AD210" s="955"/>
      <c r="AE210" s="4997"/>
      <c r="AF210" s="517"/>
      <c r="AG210" s="5027"/>
      <c r="AH210" s="955"/>
      <c r="AI210" s="4997"/>
      <c r="AJ210" s="517"/>
      <c r="AK210" s="5027"/>
      <c r="AL210" s="955">
        <v>65.459999999999994</v>
      </c>
      <c r="AM210" s="4994"/>
      <c r="AN210" s="611">
        <f t="shared" si="370"/>
        <v>65.459999999999994</v>
      </c>
      <c r="AO210" s="4997"/>
      <c r="AP210" s="517">
        <f t="shared" si="371"/>
        <v>65.459999999999994</v>
      </c>
      <c r="AQ210" s="5027"/>
      <c r="AR210" s="955"/>
      <c r="AS210" s="4997"/>
      <c r="AT210" s="517">
        <f t="shared" si="372"/>
        <v>65.459999999999994</v>
      </c>
      <c r="AU210" s="5027"/>
      <c r="AV210" s="955"/>
      <c r="AW210" s="4997"/>
      <c r="AX210" s="517">
        <f t="shared" si="373"/>
        <v>65.459999999999994</v>
      </c>
      <c r="AY210" s="5027"/>
      <c r="AZ210" s="955"/>
      <c r="BA210" s="4994"/>
      <c r="BB210" s="611">
        <f t="shared" si="374"/>
        <v>0</v>
      </c>
      <c r="BC210" s="5000"/>
      <c r="BD210" s="1287">
        <f t="shared" si="364"/>
        <v>65.459999999999994</v>
      </c>
      <c r="BE210" s="4997"/>
      <c r="BF210" s="517">
        <f t="shared" si="375"/>
        <v>65.459999999999994</v>
      </c>
    </row>
    <row r="211" spans="1:81" s="334" customFormat="1" ht="18.75" x14ac:dyDescent="0.25">
      <c r="B211" s="2124" t="s">
        <v>1036</v>
      </c>
      <c r="C211" s="2125" t="s">
        <v>53</v>
      </c>
      <c r="D211" s="2127"/>
      <c r="E211" s="5049"/>
      <c r="F211" s="955"/>
      <c r="G211" s="5063"/>
      <c r="H211" s="955"/>
      <c r="I211" s="4997"/>
      <c r="J211" s="517">
        <f t="shared" si="356"/>
        <v>0</v>
      </c>
      <c r="K211" s="5027"/>
      <c r="L211" s="955"/>
      <c r="M211" s="4994"/>
      <c r="N211" s="611">
        <f t="shared" si="365"/>
        <v>0</v>
      </c>
      <c r="O211" s="5027"/>
      <c r="P211" s="955"/>
      <c r="Q211" s="4997"/>
      <c r="R211" s="517">
        <f t="shared" si="358"/>
        <v>0</v>
      </c>
      <c r="S211" s="5027"/>
      <c r="T211" s="955"/>
      <c r="U211" s="4997"/>
      <c r="V211" s="517">
        <f t="shared" si="359"/>
        <v>0</v>
      </c>
      <c r="W211" s="5027"/>
      <c r="X211" s="955"/>
      <c r="Y211" s="4994"/>
      <c r="Z211" s="611">
        <f t="shared" si="366"/>
        <v>0</v>
      </c>
      <c r="AA211" s="5000"/>
      <c r="AB211" s="1287">
        <f t="shared" si="367"/>
        <v>0</v>
      </c>
      <c r="AC211" s="5027"/>
      <c r="AD211" s="955"/>
      <c r="AE211" s="4997"/>
      <c r="AF211" s="517">
        <f t="shared" si="368"/>
        <v>0</v>
      </c>
      <c r="AG211" s="5027"/>
      <c r="AH211" s="955"/>
      <c r="AI211" s="4997"/>
      <c r="AJ211" s="517">
        <f t="shared" si="369"/>
        <v>0</v>
      </c>
      <c r="AK211" s="5027"/>
      <c r="AL211" s="955"/>
      <c r="AM211" s="4994"/>
      <c r="AN211" s="611">
        <f t="shared" si="370"/>
        <v>0</v>
      </c>
      <c r="AO211" s="4997"/>
      <c r="AP211" s="517">
        <f t="shared" si="371"/>
        <v>0</v>
      </c>
      <c r="AQ211" s="5027"/>
      <c r="AR211" s="955"/>
      <c r="AS211" s="4997"/>
      <c r="AT211" s="517">
        <f t="shared" si="372"/>
        <v>0</v>
      </c>
      <c r="AU211" s="5027"/>
      <c r="AV211" s="955"/>
      <c r="AW211" s="4997"/>
      <c r="AX211" s="517">
        <f t="shared" si="373"/>
        <v>0</v>
      </c>
      <c r="AY211" s="5027"/>
      <c r="AZ211" s="955"/>
      <c r="BA211" s="4994"/>
      <c r="BB211" s="611">
        <f t="shared" si="374"/>
        <v>0</v>
      </c>
      <c r="BC211" s="5000">
        <f t="shared" si="363"/>
        <v>0</v>
      </c>
      <c r="BD211" s="1287">
        <f t="shared" si="364"/>
        <v>0</v>
      </c>
      <c r="BE211" s="4997"/>
      <c r="BF211" s="517">
        <f t="shared" si="375"/>
        <v>0</v>
      </c>
      <c r="BG211" s="1726"/>
      <c r="BH211" s="1726"/>
      <c r="BI211" s="1726"/>
      <c r="BJ211" s="1726"/>
      <c r="BK211" s="1726"/>
      <c r="BL211" s="1726"/>
      <c r="BM211" s="1726"/>
      <c r="BN211" s="1726"/>
      <c r="BO211" s="1726"/>
      <c r="BP211" s="1726"/>
      <c r="BQ211" s="1726"/>
      <c r="BR211" s="1726"/>
      <c r="BS211" s="1726"/>
      <c r="BT211" s="1726"/>
      <c r="BU211" s="1726"/>
      <c r="BV211" s="1726"/>
      <c r="BW211" s="1726"/>
      <c r="BX211" s="1726"/>
      <c r="BY211" s="1726"/>
      <c r="BZ211" s="1726"/>
      <c r="CA211" s="1726"/>
      <c r="CB211" s="1726"/>
      <c r="CC211" s="1726"/>
    </row>
    <row r="212" spans="1:81" s="944" customFormat="1" ht="18.75" x14ac:dyDescent="0.25">
      <c r="B212" s="2128" t="s">
        <v>848</v>
      </c>
      <c r="C212" s="2058" t="s">
        <v>53</v>
      </c>
      <c r="D212" s="3953"/>
      <c r="E212" s="5049"/>
      <c r="F212" s="955"/>
      <c r="G212" s="5063"/>
      <c r="H212" s="955"/>
      <c r="I212" s="4997"/>
      <c r="J212" s="517">
        <f t="shared" si="356"/>
        <v>0</v>
      </c>
      <c r="K212" s="5027"/>
      <c r="L212" s="955"/>
      <c r="M212" s="4994"/>
      <c r="N212" s="611">
        <f t="shared" si="365"/>
        <v>0</v>
      </c>
      <c r="O212" s="5027"/>
      <c r="P212" s="955"/>
      <c r="Q212" s="4997"/>
      <c r="R212" s="517">
        <f t="shared" si="358"/>
        <v>0</v>
      </c>
      <c r="S212" s="5027"/>
      <c r="T212" s="955"/>
      <c r="U212" s="4997"/>
      <c r="V212" s="517">
        <f t="shared" si="359"/>
        <v>0</v>
      </c>
      <c r="W212" s="5027"/>
      <c r="X212" s="955"/>
      <c r="Y212" s="4994"/>
      <c r="Z212" s="611">
        <f t="shared" si="366"/>
        <v>0</v>
      </c>
      <c r="AA212" s="5000"/>
      <c r="AB212" s="1287">
        <f t="shared" si="367"/>
        <v>0</v>
      </c>
      <c r="AC212" s="5027"/>
      <c r="AD212" s="955">
        <v>0</v>
      </c>
      <c r="AE212" s="4997"/>
      <c r="AF212" s="517">
        <f t="shared" si="368"/>
        <v>0</v>
      </c>
      <c r="AG212" s="5027"/>
      <c r="AH212" s="955"/>
      <c r="AI212" s="4997"/>
      <c r="AJ212" s="517">
        <f t="shared" si="369"/>
        <v>0</v>
      </c>
      <c r="AK212" s="5027"/>
      <c r="AL212" s="955"/>
      <c r="AM212" s="4994"/>
      <c r="AN212" s="611">
        <f t="shared" si="370"/>
        <v>0</v>
      </c>
      <c r="AO212" s="4997"/>
      <c r="AP212" s="517">
        <f t="shared" si="371"/>
        <v>0</v>
      </c>
      <c r="AQ212" s="5027"/>
      <c r="AR212" s="955"/>
      <c r="AS212" s="4997"/>
      <c r="AT212" s="517">
        <f t="shared" si="372"/>
        <v>0</v>
      </c>
      <c r="AU212" s="5027"/>
      <c r="AV212" s="955"/>
      <c r="AW212" s="4997"/>
      <c r="AX212" s="517">
        <f t="shared" si="373"/>
        <v>0</v>
      </c>
      <c r="AY212" s="5027"/>
      <c r="AZ212" s="955"/>
      <c r="BA212" s="4994"/>
      <c r="BB212" s="611">
        <f t="shared" si="374"/>
        <v>0</v>
      </c>
      <c r="BC212" s="5000">
        <f t="shared" si="363"/>
        <v>0</v>
      </c>
      <c r="BD212" s="1287">
        <f t="shared" si="364"/>
        <v>0</v>
      </c>
      <c r="BE212" s="4997"/>
      <c r="BF212" s="517">
        <f t="shared" si="375"/>
        <v>0</v>
      </c>
      <c r="BG212" s="1726"/>
      <c r="BH212" s="1726"/>
      <c r="BI212" s="1726"/>
      <c r="BJ212" s="1726"/>
      <c r="BK212" s="1726"/>
      <c r="BL212" s="1726"/>
      <c r="BM212" s="1726"/>
      <c r="BN212" s="1726"/>
      <c r="BO212" s="1726"/>
      <c r="BP212" s="1726"/>
      <c r="BQ212" s="1726"/>
      <c r="BR212" s="1726"/>
      <c r="BS212" s="1726"/>
      <c r="BT212" s="1726"/>
      <c r="BU212" s="1726"/>
      <c r="BV212" s="1726"/>
      <c r="BW212" s="1726"/>
      <c r="BX212" s="1726"/>
      <c r="BY212" s="1726"/>
      <c r="BZ212" s="1726"/>
      <c r="CA212" s="1726"/>
      <c r="CB212" s="1726"/>
      <c r="CC212" s="1726"/>
    </row>
    <row r="213" spans="1:81" s="334" customFormat="1" ht="18.75" x14ac:dyDescent="0.25">
      <c r="B213" s="2124" t="s">
        <v>1037</v>
      </c>
      <c r="C213" s="2125" t="s">
        <v>53</v>
      </c>
      <c r="D213" s="2127"/>
      <c r="E213" s="5049"/>
      <c r="F213" s="955"/>
      <c r="G213" s="5063"/>
      <c r="H213" s="955"/>
      <c r="I213" s="4997"/>
      <c r="J213" s="517">
        <f t="shared" si="356"/>
        <v>0</v>
      </c>
      <c r="K213" s="5027"/>
      <c r="L213" s="955"/>
      <c r="M213" s="4994"/>
      <c r="N213" s="611">
        <f t="shared" si="365"/>
        <v>0</v>
      </c>
      <c r="O213" s="5027"/>
      <c r="P213" s="955"/>
      <c r="Q213" s="4997"/>
      <c r="R213" s="517">
        <f t="shared" si="358"/>
        <v>0</v>
      </c>
      <c r="S213" s="5027"/>
      <c r="T213" s="955"/>
      <c r="U213" s="4997"/>
      <c r="V213" s="517">
        <f t="shared" si="359"/>
        <v>0</v>
      </c>
      <c r="W213" s="5027"/>
      <c r="X213" s="955"/>
      <c r="Y213" s="4994"/>
      <c r="Z213" s="611">
        <f t="shared" si="366"/>
        <v>0</v>
      </c>
      <c r="AA213" s="5000"/>
      <c r="AB213" s="1287">
        <f t="shared" si="367"/>
        <v>0</v>
      </c>
      <c r="AC213" s="5027"/>
      <c r="AD213" s="955"/>
      <c r="AE213" s="4997"/>
      <c r="AF213" s="517">
        <f t="shared" si="368"/>
        <v>0</v>
      </c>
      <c r="AG213" s="5027"/>
      <c r="AH213" s="955"/>
      <c r="AI213" s="4997"/>
      <c r="AJ213" s="517">
        <f t="shared" si="369"/>
        <v>0</v>
      </c>
      <c r="AK213" s="5027"/>
      <c r="AL213" s="955"/>
      <c r="AM213" s="4994"/>
      <c r="AN213" s="611">
        <f t="shared" si="370"/>
        <v>0</v>
      </c>
      <c r="AO213" s="4997"/>
      <c r="AP213" s="517">
        <f t="shared" si="371"/>
        <v>0</v>
      </c>
      <c r="AQ213" s="5027"/>
      <c r="AR213" s="955"/>
      <c r="AS213" s="4997"/>
      <c r="AT213" s="517">
        <f t="shared" si="372"/>
        <v>0</v>
      </c>
      <c r="AU213" s="5027"/>
      <c r="AV213" s="955"/>
      <c r="AW213" s="4997"/>
      <c r="AX213" s="517">
        <f t="shared" si="373"/>
        <v>0</v>
      </c>
      <c r="AY213" s="5027"/>
      <c r="AZ213" s="955"/>
      <c r="BA213" s="4994"/>
      <c r="BB213" s="611">
        <f t="shared" si="374"/>
        <v>0</v>
      </c>
      <c r="BC213" s="5000">
        <f t="shared" si="363"/>
        <v>0</v>
      </c>
      <c r="BD213" s="1287">
        <f t="shared" si="364"/>
        <v>0</v>
      </c>
      <c r="BE213" s="4997"/>
      <c r="BF213" s="517">
        <f t="shared" si="375"/>
        <v>0</v>
      </c>
      <c r="BG213" s="1726"/>
      <c r="BH213" s="1726"/>
      <c r="BI213" s="1726"/>
      <c r="BJ213" s="1726"/>
      <c r="BK213" s="1726"/>
      <c r="BL213" s="1726"/>
      <c r="BM213" s="1726"/>
      <c r="BN213" s="1726"/>
      <c r="BO213" s="1726"/>
      <c r="BP213" s="1726"/>
      <c r="BQ213" s="1726"/>
      <c r="BR213" s="1726"/>
      <c r="BS213" s="1726"/>
      <c r="BT213" s="1726"/>
      <c r="BU213" s="1726"/>
      <c r="BV213" s="1726"/>
      <c r="BW213" s="1726"/>
      <c r="BX213" s="1726"/>
      <c r="BY213" s="1726"/>
      <c r="BZ213" s="1726"/>
      <c r="CA213" s="1726"/>
      <c r="CB213" s="1726"/>
      <c r="CC213" s="1726"/>
    </row>
    <row r="214" spans="1:81" s="944" customFormat="1" ht="19.5" thickBot="1" x14ac:dyDescent="0.3">
      <c r="B214" s="2128" t="s">
        <v>848</v>
      </c>
      <c r="C214" s="2058" t="s">
        <v>53</v>
      </c>
      <c r="D214" s="3953"/>
      <c r="E214" s="5049"/>
      <c r="F214" s="955"/>
      <c r="G214" s="5063"/>
      <c r="H214" s="955"/>
      <c r="I214" s="4997"/>
      <c r="J214" s="517">
        <f t="shared" si="356"/>
        <v>0</v>
      </c>
      <c r="K214" s="5027"/>
      <c r="L214" s="955"/>
      <c r="M214" s="4994"/>
      <c r="N214" s="611">
        <f t="shared" si="365"/>
        <v>0</v>
      </c>
      <c r="O214" s="5027"/>
      <c r="P214" s="955"/>
      <c r="Q214" s="4997"/>
      <c r="R214" s="517">
        <f t="shared" si="358"/>
        <v>0</v>
      </c>
      <c r="S214" s="5027"/>
      <c r="T214" s="955"/>
      <c r="U214" s="4997"/>
      <c r="V214" s="517">
        <f t="shared" si="359"/>
        <v>0</v>
      </c>
      <c r="W214" s="5027"/>
      <c r="X214" s="955"/>
      <c r="Y214" s="4994"/>
      <c r="Z214" s="611">
        <f t="shared" si="366"/>
        <v>0</v>
      </c>
      <c r="AA214" s="5000"/>
      <c r="AB214" s="1287">
        <f t="shared" si="367"/>
        <v>0</v>
      </c>
      <c r="AC214" s="5027"/>
      <c r="AD214" s="955">
        <v>0</v>
      </c>
      <c r="AE214" s="4997"/>
      <c r="AF214" s="517">
        <f t="shared" si="368"/>
        <v>0</v>
      </c>
      <c r="AG214" s="5027"/>
      <c r="AH214" s="955"/>
      <c r="AI214" s="4997"/>
      <c r="AJ214" s="517">
        <f t="shared" si="369"/>
        <v>0</v>
      </c>
      <c r="AK214" s="5027"/>
      <c r="AL214" s="955"/>
      <c r="AM214" s="4994"/>
      <c r="AN214" s="611">
        <f t="shared" si="370"/>
        <v>0</v>
      </c>
      <c r="AO214" s="4997"/>
      <c r="AP214" s="517">
        <f t="shared" si="371"/>
        <v>0</v>
      </c>
      <c r="AQ214" s="5027"/>
      <c r="AR214" s="955"/>
      <c r="AS214" s="4997"/>
      <c r="AT214" s="517">
        <f t="shared" si="372"/>
        <v>0</v>
      </c>
      <c r="AU214" s="5027"/>
      <c r="AV214" s="955"/>
      <c r="AW214" s="4997"/>
      <c r="AX214" s="517">
        <f t="shared" si="373"/>
        <v>0</v>
      </c>
      <c r="AY214" s="5027"/>
      <c r="AZ214" s="955"/>
      <c r="BA214" s="4994"/>
      <c r="BB214" s="611">
        <f t="shared" si="374"/>
        <v>0</v>
      </c>
      <c r="BC214" s="5000">
        <f t="shared" si="363"/>
        <v>0</v>
      </c>
      <c r="BD214" s="1287">
        <f t="shared" si="364"/>
        <v>0</v>
      </c>
      <c r="BE214" s="4997"/>
      <c r="BF214" s="517">
        <f t="shared" si="375"/>
        <v>0</v>
      </c>
      <c r="BG214" s="1726"/>
      <c r="BH214" s="1726"/>
      <c r="BI214" s="1726"/>
      <c r="BJ214" s="1726"/>
      <c r="BK214" s="1726"/>
      <c r="BL214" s="1726"/>
      <c r="BM214" s="1726"/>
      <c r="BN214" s="1726"/>
      <c r="BO214" s="1726"/>
      <c r="BP214" s="1726"/>
      <c r="BQ214" s="1726"/>
      <c r="BR214" s="1726"/>
      <c r="BS214" s="1726"/>
      <c r="BT214" s="1726"/>
      <c r="BU214" s="1726"/>
      <c r="BV214" s="1726"/>
      <c r="BW214" s="1726"/>
      <c r="BX214" s="1726"/>
      <c r="BY214" s="1726"/>
      <c r="BZ214" s="1726"/>
      <c r="CA214" s="1726"/>
      <c r="CB214" s="1726"/>
      <c r="CC214" s="1726"/>
    </row>
    <row r="215" spans="1:81" s="462" customFormat="1" ht="19.5" thickBot="1" x14ac:dyDescent="0.3">
      <c r="B215" s="2129" t="s">
        <v>2</v>
      </c>
      <c r="C215" s="2058" t="s">
        <v>53</v>
      </c>
      <c r="D215" s="2130">
        <v>60000</v>
      </c>
      <c r="E215" s="5050"/>
      <c r="F215" s="612">
        <f>SUM(F178:F214)</f>
        <v>3672.8199999999997</v>
      </c>
      <c r="G215" s="5064"/>
      <c r="H215" s="612">
        <f>SUM(H178:H214)</f>
        <v>0</v>
      </c>
      <c r="I215" s="4998"/>
      <c r="J215" s="612">
        <f>SUM(J178:J214)</f>
        <v>3672.8199999999997</v>
      </c>
      <c r="K215" s="5028"/>
      <c r="L215" s="612">
        <f>SUM(L178:L214)</f>
        <v>4284.6999999999989</v>
      </c>
      <c r="M215" s="4995"/>
      <c r="N215" s="612">
        <f>SUM(N178:N214)</f>
        <v>7957.5199999999995</v>
      </c>
      <c r="O215" s="5028"/>
      <c r="P215" s="612">
        <f>SUM(P178:P214)</f>
        <v>7573.4</v>
      </c>
      <c r="Q215" s="4998"/>
      <c r="R215" s="612">
        <f>SUM(R178:R214)</f>
        <v>15530.92</v>
      </c>
      <c r="S215" s="5028"/>
      <c r="T215" s="612">
        <f>SUM(T178:T214)</f>
        <v>3012.24</v>
      </c>
      <c r="U215" s="4998"/>
      <c r="V215" s="612">
        <f>SUM(V178:V214)</f>
        <v>18543.16</v>
      </c>
      <c r="W215" s="5028"/>
      <c r="X215" s="612">
        <f>SUM(X178:X214)</f>
        <v>4386.72</v>
      </c>
      <c r="Y215" s="4995"/>
      <c r="Z215" s="612">
        <f>SUM(Z178:Z214)</f>
        <v>14972.359999999999</v>
      </c>
      <c r="AA215" s="5001"/>
      <c r="AB215" s="612">
        <f>SUM(AB178:AB214)</f>
        <v>22929.88</v>
      </c>
      <c r="AC215" s="5028"/>
      <c r="AD215" s="612">
        <f>SUM(AD178:AD214)</f>
        <v>4505.38</v>
      </c>
      <c r="AE215" s="4998"/>
      <c r="AF215" s="612">
        <f>SUM(AF178:AF214)</f>
        <v>27435.260000000006</v>
      </c>
      <c r="AG215" s="5028"/>
      <c r="AH215" s="612">
        <f>SUM(AH178:AH214)</f>
        <v>5381.6500000000005</v>
      </c>
      <c r="AI215" s="4998"/>
      <c r="AJ215" s="612">
        <f>SUM(AJ178:AJ214)</f>
        <v>32816.910000000003</v>
      </c>
      <c r="AK215" s="5028"/>
      <c r="AL215" s="612">
        <f>SUM(AL178:AL214)</f>
        <v>5607.5999999999995</v>
      </c>
      <c r="AM215" s="4995"/>
      <c r="AN215" s="612">
        <f>SUM(AN178:AN214)</f>
        <v>15494.630000000001</v>
      </c>
      <c r="AO215" s="4998"/>
      <c r="AP215" s="612">
        <f>SUM(AP178:AP214)</f>
        <v>38424.51</v>
      </c>
      <c r="AQ215" s="5028"/>
      <c r="AR215" s="612">
        <f>SUM(AR178:AR214)</f>
        <v>3388.7599999999998</v>
      </c>
      <c r="AS215" s="4998"/>
      <c r="AT215" s="612">
        <f>SUM(AT178:AT214)</f>
        <v>41813.269999999997</v>
      </c>
      <c r="AU215" s="5028"/>
      <c r="AV215" s="612">
        <f>SUM(AV178:AV214)</f>
        <v>7669.2200000000012</v>
      </c>
      <c r="AW215" s="4998"/>
      <c r="AX215" s="612">
        <f>SUM(AX178:AX214)</f>
        <v>49482.49</v>
      </c>
      <c r="AY215" s="5028"/>
      <c r="AZ215" s="612">
        <f>SUM(AZ178:AZ214)</f>
        <v>8026.7699999999995</v>
      </c>
      <c r="BA215" s="4995"/>
      <c r="BB215" s="612">
        <f>SUM(BB178:BB214)</f>
        <v>19084.75</v>
      </c>
      <c r="BC215" s="5001">
        <f t="shared" si="363"/>
        <v>0</v>
      </c>
      <c r="BD215" s="612">
        <f>SUM(BD178:BD214)</f>
        <v>34579.380000000005</v>
      </c>
      <c r="BE215" s="4998"/>
      <c r="BF215" s="612">
        <f>SUM(BF178:BF214)</f>
        <v>57509.26</v>
      </c>
      <c r="BG215" s="1726"/>
      <c r="BH215" s="1726"/>
      <c r="BI215" s="1726"/>
      <c r="BJ215" s="1726"/>
      <c r="BK215" s="1726"/>
      <c r="BL215" s="1726"/>
      <c r="BM215" s="1726"/>
      <c r="BN215" s="1726"/>
      <c r="BO215" s="1726"/>
      <c r="BP215" s="1726"/>
      <c r="BQ215" s="1726"/>
      <c r="BR215" s="1726"/>
      <c r="BS215" s="1726"/>
      <c r="BT215" s="1726"/>
      <c r="BU215" s="1726"/>
      <c r="BV215" s="1726"/>
      <c r="BW215" s="1726"/>
      <c r="BX215" s="1726"/>
      <c r="BY215" s="1726"/>
      <c r="BZ215" s="1726"/>
      <c r="CA215" s="1726"/>
      <c r="CB215" s="1726"/>
      <c r="CC215" s="1726"/>
    </row>
    <row r="216" spans="1:81" s="334" customFormat="1" ht="19.5" thickBot="1" x14ac:dyDescent="0.35">
      <c r="B216" s="2131"/>
      <c r="C216" s="894"/>
      <c r="D216" s="2132"/>
      <c r="E216" s="894"/>
      <c r="F216" s="665"/>
      <c r="G216" s="894"/>
      <c r="H216" s="665"/>
      <c r="I216" s="894"/>
      <c r="J216" s="610"/>
      <c r="K216" s="894"/>
      <c r="L216" s="665"/>
      <c r="M216" s="894"/>
      <c r="N216" s="610"/>
      <c r="O216" s="894"/>
      <c r="P216" s="665"/>
      <c r="Q216" s="894"/>
      <c r="R216" s="894"/>
      <c r="S216" s="894"/>
      <c r="T216" s="665"/>
      <c r="U216" s="894"/>
      <c r="V216" s="894"/>
      <c r="W216" s="894"/>
      <c r="X216" s="665"/>
      <c r="Y216" s="894"/>
      <c r="Z216" s="894"/>
      <c r="AA216" s="894"/>
      <c r="AB216" s="894"/>
      <c r="AC216" s="894"/>
      <c r="AD216" s="665"/>
      <c r="AE216" s="894"/>
      <c r="AF216" s="894"/>
      <c r="AG216" s="894"/>
      <c r="AH216" s="665"/>
      <c r="AI216" s="894"/>
      <c r="AJ216" s="894"/>
      <c r="AK216" s="894"/>
      <c r="AL216" s="665"/>
      <c r="AM216" s="894"/>
      <c r="AN216" s="894"/>
      <c r="AO216" s="3452"/>
      <c r="AP216" s="3452"/>
      <c r="AQ216" s="894"/>
      <c r="AR216" s="665"/>
      <c r="AS216" s="894"/>
      <c r="AT216" s="894"/>
      <c r="AU216" s="894"/>
      <c r="AV216" s="665"/>
      <c r="AW216" s="894"/>
      <c r="AX216" s="894"/>
      <c r="AY216" s="894"/>
      <c r="AZ216" s="665"/>
      <c r="BA216" s="894"/>
      <c r="BB216" s="894"/>
      <c r="BC216" s="894"/>
      <c r="BD216" s="894"/>
      <c r="BE216" s="894"/>
      <c r="BF216" s="894"/>
      <c r="BG216" s="1726"/>
      <c r="BH216" s="1726"/>
      <c r="BI216" s="1726"/>
      <c r="BJ216" s="1726"/>
      <c r="BK216" s="1726"/>
      <c r="BL216" s="1726"/>
      <c r="BM216" s="1726"/>
      <c r="BN216" s="1726"/>
      <c r="BO216" s="1726"/>
      <c r="BP216" s="1726"/>
      <c r="BQ216" s="1726"/>
      <c r="BR216" s="1726"/>
      <c r="BS216" s="1726"/>
      <c r="BT216" s="1726"/>
      <c r="BU216" s="1726"/>
      <c r="BV216" s="1726"/>
      <c r="BW216" s="1726"/>
      <c r="BX216" s="1726"/>
      <c r="BY216" s="1726"/>
      <c r="BZ216" s="1726"/>
      <c r="CA216" s="1726"/>
      <c r="CB216" s="1726"/>
      <c r="CC216" s="1726"/>
    </row>
    <row r="217" spans="1:81" s="334" customFormat="1" ht="19.5" thickBot="1" x14ac:dyDescent="0.3">
      <c r="B217" s="2133" t="s">
        <v>352</v>
      </c>
      <c r="C217" s="893"/>
      <c r="D217" s="2134"/>
      <c r="E217" s="641"/>
      <c r="F217" s="640"/>
      <c r="G217" s="2135"/>
      <c r="H217" s="640"/>
      <c r="I217" s="892"/>
      <c r="J217" s="610"/>
      <c r="K217" s="892"/>
      <c r="L217" s="640"/>
      <c r="M217" s="892"/>
      <c r="N217" s="610"/>
      <c r="O217" s="892"/>
      <c r="P217" s="640"/>
      <c r="Q217" s="892"/>
      <c r="R217" s="892"/>
      <c r="S217" s="892"/>
      <c r="T217" s="640"/>
      <c r="U217" s="892"/>
      <c r="V217" s="892"/>
      <c r="W217" s="641"/>
      <c r="X217" s="1196"/>
      <c r="Y217" s="892"/>
      <c r="Z217" s="892"/>
      <c r="AA217" s="892"/>
      <c r="AB217" s="892"/>
      <c r="AC217" s="892"/>
      <c r="AD217" s="640"/>
      <c r="AE217" s="892"/>
      <c r="AF217" s="892"/>
      <c r="AG217" s="892"/>
      <c r="AH217" s="640"/>
      <c r="AI217" s="892"/>
      <c r="AJ217" s="892"/>
      <c r="AK217" s="892"/>
      <c r="AL217" s="640"/>
      <c r="AM217" s="892"/>
      <c r="AN217" s="892"/>
      <c r="AO217" s="3449"/>
      <c r="AP217" s="3449"/>
      <c r="AQ217" s="892"/>
      <c r="AR217" s="640"/>
      <c r="AS217" s="892"/>
      <c r="AT217" s="892"/>
      <c r="AU217" s="892"/>
      <c r="AV217" s="640"/>
      <c r="AW217" s="892"/>
      <c r="AX217" s="892"/>
      <c r="AY217" s="892"/>
      <c r="AZ217" s="640"/>
      <c r="BA217" s="892"/>
      <c r="BB217" s="892"/>
      <c r="BC217" s="892"/>
      <c r="BD217" s="892"/>
      <c r="BE217" s="892"/>
      <c r="BF217" s="892"/>
      <c r="BG217" s="1726"/>
      <c r="BH217" s="1726"/>
      <c r="BI217" s="1726"/>
      <c r="BJ217" s="1726"/>
      <c r="BK217" s="1726"/>
      <c r="BL217" s="1726"/>
      <c r="BM217" s="1726"/>
      <c r="BN217" s="1726"/>
      <c r="BO217" s="1726"/>
      <c r="BP217" s="1726"/>
      <c r="BQ217" s="1726"/>
      <c r="BR217" s="1726"/>
      <c r="BS217" s="1726"/>
      <c r="BT217" s="1726"/>
      <c r="BU217" s="1726"/>
      <c r="BV217" s="1726"/>
      <c r="BW217" s="1726"/>
      <c r="BX217" s="1726"/>
      <c r="BY217" s="1726"/>
      <c r="BZ217" s="1726"/>
      <c r="CA217" s="1726"/>
      <c r="CB217" s="1726"/>
      <c r="CC217" s="1726"/>
    </row>
    <row r="218" spans="1:81" s="874" customFormat="1" ht="18.75" x14ac:dyDescent="0.25">
      <c r="A218" s="334"/>
      <c r="B218" s="646" t="s">
        <v>1127</v>
      </c>
      <c r="C218" s="2136" t="s">
        <v>1147</v>
      </c>
      <c r="D218" s="2137"/>
      <c r="E218" s="2138"/>
      <c r="F218" s="1509">
        <v>315.89999999999998</v>
      </c>
      <c r="G218" s="2139"/>
      <c r="H218" s="1333">
        <v>63.98</v>
      </c>
      <c r="I218" s="2140"/>
      <c r="J218" s="517">
        <f t="shared" si="356"/>
        <v>379.88</v>
      </c>
      <c r="K218" s="2139"/>
      <c r="L218" s="1333">
        <v>44.32</v>
      </c>
      <c r="M218" s="2141"/>
      <c r="N218" s="611">
        <f t="shared" si="365"/>
        <v>424.2</v>
      </c>
      <c r="O218" s="2139"/>
      <c r="P218" s="1333">
        <v>904.65</v>
      </c>
      <c r="Q218" s="2140"/>
      <c r="R218" s="1336">
        <f t="shared" ref="R218:R258" si="376">+N218+P218</f>
        <v>1328.85</v>
      </c>
      <c r="S218" s="2139"/>
      <c r="T218" s="1333">
        <v>68.83</v>
      </c>
      <c r="U218" s="2140"/>
      <c r="V218" s="1793">
        <f t="shared" ref="V218:V258" si="377">+R218+T218</f>
        <v>1397.6799999999998</v>
      </c>
      <c r="W218" s="2139"/>
      <c r="X218" s="617">
        <v>4282.7200000000012</v>
      </c>
      <c r="Y218" s="2141"/>
      <c r="Z218" s="1335">
        <f t="shared" ref="Z218:Z258" si="378">P218+T218+X218</f>
        <v>5256.2000000000007</v>
      </c>
      <c r="AA218" s="2142"/>
      <c r="AB218" s="1334">
        <f t="shared" ref="AB218:AB258" si="379">+V218+X218</f>
        <v>5680.4000000000015</v>
      </c>
      <c r="AC218" s="2139"/>
      <c r="AD218" s="1333">
        <v>974.97</v>
      </c>
      <c r="AE218" s="2140"/>
      <c r="AF218" s="1793">
        <f t="shared" ref="AF218:AF258" si="380">+AB218+AD218</f>
        <v>6655.3700000000017</v>
      </c>
      <c r="AG218" s="2139"/>
      <c r="AH218" s="1333">
        <v>0</v>
      </c>
      <c r="AI218" s="2140"/>
      <c r="AJ218" s="1793">
        <f t="shared" ref="AJ218:AJ258" si="381">+AF218+AH218</f>
        <v>6655.3700000000017</v>
      </c>
      <c r="AK218" s="2139"/>
      <c r="AL218" s="1333"/>
      <c r="AM218" s="2141"/>
      <c r="AN218" s="1335">
        <f t="shared" ref="AN218:AN258" si="382">AD218+AH218+AL218</f>
        <v>974.97</v>
      </c>
      <c r="AO218" s="2140"/>
      <c r="AP218" s="1336">
        <f t="shared" ref="AP218:AP244" si="383">+AJ218+AL218</f>
        <v>6655.3700000000017</v>
      </c>
      <c r="AQ218" s="2139"/>
      <c r="AR218" s="1333"/>
      <c r="AS218" s="2140"/>
      <c r="AT218" s="517">
        <f t="shared" ref="AT218:AT258" si="384">+AP218+AR218</f>
        <v>6655.3700000000017</v>
      </c>
      <c r="AU218" s="2139"/>
      <c r="AV218" s="1333">
        <v>1544.13</v>
      </c>
      <c r="AW218" s="2140"/>
      <c r="AX218" s="517">
        <f t="shared" ref="AX218:AX258" si="385">+AT218+AV218</f>
        <v>8199.5000000000018</v>
      </c>
      <c r="AY218" s="2139"/>
      <c r="AZ218" s="1333">
        <v>123.22</v>
      </c>
      <c r="BA218" s="2141"/>
      <c r="BB218" s="1335">
        <f t="shared" ref="BB218:BB258" si="386">AR218+AV218+AZ218</f>
        <v>1667.3500000000001</v>
      </c>
      <c r="BC218" s="2142"/>
      <c r="BD218" s="1334">
        <f t="shared" ref="BD218:BD265" si="387">+BB218+AN218</f>
        <v>2642.32</v>
      </c>
      <c r="BE218" s="2140"/>
      <c r="BF218" s="517">
        <f t="shared" ref="BF218:BF258" si="388">+AX218+AZ218</f>
        <v>8322.7200000000012</v>
      </c>
      <c r="BG218" s="1726"/>
      <c r="BH218" s="1726"/>
      <c r="BI218" s="1726"/>
      <c r="BJ218" s="1726"/>
      <c r="BK218" s="1726"/>
      <c r="BL218" s="1726"/>
      <c r="BM218" s="1726"/>
      <c r="BN218" s="1726"/>
      <c r="BO218" s="1726"/>
      <c r="BP218" s="1726"/>
      <c r="BQ218" s="1726"/>
      <c r="BR218" s="1726"/>
      <c r="BS218" s="1726"/>
      <c r="BT218" s="1726"/>
      <c r="BU218" s="1726"/>
      <c r="BV218" s="1726"/>
      <c r="BW218" s="1726"/>
      <c r="BX218" s="1726"/>
      <c r="BY218" s="1726"/>
      <c r="BZ218" s="1726"/>
      <c r="CA218" s="1726"/>
      <c r="CB218" s="1726"/>
      <c r="CC218" s="1726"/>
    </row>
    <row r="219" spans="1:81" s="1587" customFormat="1" ht="18.75" x14ac:dyDescent="0.25">
      <c r="A219" s="334"/>
      <c r="B219" s="646" t="s">
        <v>1127</v>
      </c>
      <c r="C219" s="2102" t="s">
        <v>1164</v>
      </c>
      <c r="D219" s="2103"/>
      <c r="E219" s="2138"/>
      <c r="F219" s="1509"/>
      <c r="G219" s="2139"/>
      <c r="H219" s="1333"/>
      <c r="I219" s="2140"/>
      <c r="J219" s="517">
        <f t="shared" si="356"/>
        <v>0</v>
      </c>
      <c r="K219" s="2139"/>
      <c r="L219" s="1333"/>
      <c r="M219" s="2141"/>
      <c r="N219" s="611">
        <f t="shared" si="365"/>
        <v>0</v>
      </c>
      <c r="O219" s="2139"/>
      <c r="P219" s="1333">
        <v>898.31</v>
      </c>
      <c r="Q219" s="2140"/>
      <c r="R219" s="1336">
        <f t="shared" si="376"/>
        <v>898.31</v>
      </c>
      <c r="S219" s="2139"/>
      <c r="T219" s="1333"/>
      <c r="U219" s="2140"/>
      <c r="V219" s="1793">
        <f t="shared" si="377"/>
        <v>898.31</v>
      </c>
      <c r="W219" s="2139"/>
      <c r="X219" s="617"/>
      <c r="Y219" s="2141"/>
      <c r="Z219" s="1335">
        <f t="shared" si="378"/>
        <v>898.31</v>
      </c>
      <c r="AA219" s="2142"/>
      <c r="AB219" s="1334">
        <f t="shared" si="379"/>
        <v>898.31</v>
      </c>
      <c r="AC219" s="2139"/>
      <c r="AD219" s="1333">
        <v>0</v>
      </c>
      <c r="AE219" s="2140"/>
      <c r="AF219" s="1793">
        <f t="shared" si="380"/>
        <v>898.31</v>
      </c>
      <c r="AG219" s="2139"/>
      <c r="AH219" s="1333">
        <v>62.33</v>
      </c>
      <c r="AI219" s="2140"/>
      <c r="AJ219" s="1793">
        <f t="shared" si="381"/>
        <v>960.64</v>
      </c>
      <c r="AK219" s="2139"/>
      <c r="AL219" s="1333"/>
      <c r="AM219" s="2141"/>
      <c r="AN219" s="1335">
        <f t="shared" si="382"/>
        <v>62.33</v>
      </c>
      <c r="AO219" s="2140"/>
      <c r="AP219" s="1336">
        <f t="shared" si="383"/>
        <v>960.64</v>
      </c>
      <c r="AQ219" s="2139"/>
      <c r="AR219" s="1333"/>
      <c r="AS219" s="2140"/>
      <c r="AT219" s="517">
        <f t="shared" si="384"/>
        <v>960.64</v>
      </c>
      <c r="AU219" s="2139"/>
      <c r="AV219" s="1333">
        <v>185.32</v>
      </c>
      <c r="AW219" s="2140"/>
      <c r="AX219" s="517">
        <f t="shared" si="385"/>
        <v>1145.96</v>
      </c>
      <c r="AY219" s="2139"/>
      <c r="AZ219" s="1333"/>
      <c r="BA219" s="2141"/>
      <c r="BB219" s="1335">
        <f t="shared" si="386"/>
        <v>185.32</v>
      </c>
      <c r="BC219" s="2142"/>
      <c r="BD219" s="1334">
        <f t="shared" si="387"/>
        <v>247.64999999999998</v>
      </c>
      <c r="BE219" s="2140"/>
      <c r="BF219" s="517">
        <f t="shared" si="388"/>
        <v>1145.96</v>
      </c>
      <c r="BG219" s="1726"/>
      <c r="BH219" s="1726"/>
      <c r="BI219" s="1726"/>
      <c r="BJ219" s="1726"/>
      <c r="BK219" s="1726"/>
      <c r="BL219" s="1726"/>
      <c r="BM219" s="1726"/>
      <c r="BN219" s="1726"/>
      <c r="BO219" s="1726"/>
      <c r="BP219" s="1726"/>
      <c r="BQ219" s="1726"/>
      <c r="BR219" s="1726"/>
      <c r="BS219" s="1726"/>
      <c r="BT219" s="1726"/>
      <c r="BU219" s="1726"/>
      <c r="BV219" s="1726"/>
      <c r="BW219" s="1726"/>
      <c r="BX219" s="1726"/>
      <c r="BY219" s="1726"/>
      <c r="BZ219" s="1726"/>
      <c r="CA219" s="1726"/>
      <c r="CB219" s="1726"/>
      <c r="CC219" s="1726"/>
    </row>
    <row r="220" spans="1:81" s="1726" customFormat="1" ht="18.75" x14ac:dyDescent="0.25">
      <c r="A220" s="334"/>
      <c r="B220" s="646" t="s">
        <v>1127</v>
      </c>
      <c r="C220" s="2102" t="s">
        <v>1428</v>
      </c>
      <c r="D220" s="2137"/>
      <c r="E220" s="2138"/>
      <c r="F220" s="1509"/>
      <c r="G220" s="2139"/>
      <c r="H220" s="1333"/>
      <c r="I220" s="2140"/>
      <c r="J220" s="517">
        <f t="shared" si="356"/>
        <v>0</v>
      </c>
      <c r="K220" s="2139"/>
      <c r="L220" s="1333"/>
      <c r="M220" s="2141"/>
      <c r="N220" s="611"/>
      <c r="O220" s="2139"/>
      <c r="P220" s="1333"/>
      <c r="Q220" s="2140"/>
      <c r="R220" s="1336"/>
      <c r="S220" s="2139"/>
      <c r="T220" s="1333"/>
      <c r="U220" s="2140"/>
      <c r="V220" s="1793"/>
      <c r="W220" s="2139"/>
      <c r="X220" s="617"/>
      <c r="Y220" s="2141"/>
      <c r="Z220" s="1335"/>
      <c r="AA220" s="2142"/>
      <c r="AB220" s="1334"/>
      <c r="AC220" s="2139"/>
      <c r="AD220" s="1333"/>
      <c r="AE220" s="2140"/>
      <c r="AF220" s="1793"/>
      <c r="AG220" s="2139"/>
      <c r="AH220" s="1333"/>
      <c r="AI220" s="2140"/>
      <c r="AJ220" s="1793"/>
      <c r="AK220" s="2139"/>
      <c r="AL220" s="1333"/>
      <c r="AM220" s="2141"/>
      <c r="AN220" s="1335"/>
      <c r="AO220" s="2140"/>
      <c r="AP220" s="1336"/>
      <c r="AQ220" s="2139"/>
      <c r="AR220" s="1333"/>
      <c r="AS220" s="2140"/>
      <c r="AT220" s="517"/>
      <c r="AU220" s="2139"/>
      <c r="AV220" s="1333">
        <v>439.76</v>
      </c>
      <c r="AW220" s="2140"/>
      <c r="AX220" s="517">
        <f t="shared" si="385"/>
        <v>439.76</v>
      </c>
      <c r="AY220" s="2139"/>
      <c r="AZ220" s="1333"/>
      <c r="BA220" s="2141"/>
      <c r="BB220" s="1335">
        <f t="shared" si="386"/>
        <v>439.76</v>
      </c>
      <c r="BC220" s="2142"/>
      <c r="BD220" s="1334">
        <f t="shared" si="387"/>
        <v>439.76</v>
      </c>
      <c r="BE220" s="2140"/>
      <c r="BF220" s="517">
        <f t="shared" si="388"/>
        <v>439.76</v>
      </c>
    </row>
    <row r="221" spans="1:81" ht="18.75" x14ac:dyDescent="0.25">
      <c r="A221" s="334"/>
      <c r="B221" s="646" t="s">
        <v>1162</v>
      </c>
      <c r="C221" s="2136" t="s">
        <v>1147</v>
      </c>
      <c r="D221" s="2137"/>
      <c r="E221" s="2138"/>
      <c r="F221" s="1509"/>
      <c r="G221" s="2139"/>
      <c r="H221" s="1333">
        <v>3068.92</v>
      </c>
      <c r="I221" s="2140"/>
      <c r="J221" s="517">
        <f t="shared" si="356"/>
        <v>3068.92</v>
      </c>
      <c r="K221" s="2139"/>
      <c r="L221" s="1333">
        <v>308.86</v>
      </c>
      <c r="M221" s="2141"/>
      <c r="N221" s="611">
        <f t="shared" si="365"/>
        <v>3377.78</v>
      </c>
      <c r="O221" s="2139"/>
      <c r="P221" s="1333">
        <v>3619.09</v>
      </c>
      <c r="Q221" s="2140"/>
      <c r="R221" s="1336">
        <f t="shared" si="376"/>
        <v>6996.8700000000008</v>
      </c>
      <c r="S221" s="2139"/>
      <c r="T221" s="1333"/>
      <c r="U221" s="2140"/>
      <c r="V221" s="1793">
        <f t="shared" si="377"/>
        <v>6996.8700000000008</v>
      </c>
      <c r="W221" s="2139"/>
      <c r="X221" s="617"/>
      <c r="Y221" s="2141"/>
      <c r="Z221" s="1335">
        <f t="shared" si="378"/>
        <v>3619.09</v>
      </c>
      <c r="AA221" s="2142"/>
      <c r="AB221" s="1334">
        <f t="shared" si="379"/>
        <v>6996.8700000000008</v>
      </c>
      <c r="AC221" s="2139"/>
      <c r="AD221" s="1333">
        <v>4628.7400000000007</v>
      </c>
      <c r="AE221" s="2140"/>
      <c r="AF221" s="1793">
        <f t="shared" si="380"/>
        <v>11625.61</v>
      </c>
      <c r="AG221" s="2139"/>
      <c r="AH221" s="1333">
        <v>0</v>
      </c>
      <c r="AI221" s="2140"/>
      <c r="AJ221" s="1793">
        <f t="shared" si="381"/>
        <v>11625.61</v>
      </c>
      <c r="AK221" s="2139"/>
      <c r="AL221" s="1333">
        <v>4415.7999999999993</v>
      </c>
      <c r="AM221" s="2141"/>
      <c r="AN221" s="1335">
        <f t="shared" si="382"/>
        <v>9044.5400000000009</v>
      </c>
      <c r="AO221" s="2140"/>
      <c r="AP221" s="1336">
        <f t="shared" si="383"/>
        <v>16041.41</v>
      </c>
      <c r="AQ221" s="2139"/>
      <c r="AR221" s="1333"/>
      <c r="AS221" s="2140"/>
      <c r="AT221" s="517">
        <f t="shared" si="384"/>
        <v>16041.41</v>
      </c>
      <c r="AU221" s="2139"/>
      <c r="AV221" s="1333"/>
      <c r="AW221" s="2140"/>
      <c r="AX221" s="517">
        <f t="shared" si="385"/>
        <v>16041.41</v>
      </c>
      <c r="AY221" s="2139"/>
      <c r="AZ221" s="1333"/>
      <c r="BA221" s="2141"/>
      <c r="BB221" s="1335">
        <f t="shared" si="386"/>
        <v>0</v>
      </c>
      <c r="BC221" s="2142"/>
      <c r="BD221" s="1334">
        <f t="shared" si="387"/>
        <v>9044.5400000000009</v>
      </c>
      <c r="BE221" s="2140"/>
      <c r="BF221" s="517">
        <f t="shared" si="388"/>
        <v>16041.41</v>
      </c>
    </row>
    <row r="222" spans="1:81" s="1726" customFormat="1" ht="18.75" x14ac:dyDescent="0.25">
      <c r="A222" s="334"/>
      <c r="B222" s="646" t="s">
        <v>1162</v>
      </c>
      <c r="C222" s="2102" t="s">
        <v>1717</v>
      </c>
      <c r="D222" s="2137"/>
      <c r="E222" s="2138"/>
      <c r="F222" s="1509"/>
      <c r="G222" s="2139"/>
      <c r="H222" s="1333"/>
      <c r="I222" s="2140"/>
      <c r="J222" s="517">
        <f t="shared" si="356"/>
        <v>0</v>
      </c>
      <c r="K222" s="2139"/>
      <c r="L222" s="1333"/>
      <c r="M222" s="2141"/>
      <c r="N222" s="611"/>
      <c r="O222" s="2139"/>
      <c r="P222" s="1333"/>
      <c r="Q222" s="2140"/>
      <c r="R222" s="1336"/>
      <c r="S222" s="2139"/>
      <c r="T222" s="1333"/>
      <c r="U222" s="2140"/>
      <c r="V222" s="1793"/>
      <c r="W222" s="2139"/>
      <c r="X222" s="617"/>
      <c r="Y222" s="2141"/>
      <c r="Z222" s="1335"/>
      <c r="AA222" s="2142"/>
      <c r="AB222" s="1334"/>
      <c r="AC222" s="2139"/>
      <c r="AD222" s="1333"/>
      <c r="AE222" s="2140"/>
      <c r="AF222" s="1793"/>
      <c r="AG222" s="2139"/>
      <c r="AH222" s="1333"/>
      <c r="AI222" s="2140"/>
      <c r="AJ222" s="1793"/>
      <c r="AK222" s="2139"/>
      <c r="AL222" s="1333">
        <v>1372.8000000000002</v>
      </c>
      <c r="AM222" s="2141"/>
      <c r="AN222" s="1335">
        <f t="shared" si="382"/>
        <v>1372.8000000000002</v>
      </c>
      <c r="AO222" s="2140"/>
      <c r="AP222" s="1336">
        <f t="shared" si="383"/>
        <v>1372.8000000000002</v>
      </c>
      <c r="AQ222" s="2139"/>
      <c r="AR222" s="1333"/>
      <c r="AS222" s="2140"/>
      <c r="AT222" s="517">
        <f t="shared" si="384"/>
        <v>1372.8000000000002</v>
      </c>
      <c r="AU222" s="2139"/>
      <c r="AV222" s="1333"/>
      <c r="AW222" s="2140"/>
      <c r="AX222" s="517">
        <f t="shared" si="385"/>
        <v>1372.8000000000002</v>
      </c>
      <c r="AY222" s="2139"/>
      <c r="AZ222" s="1333"/>
      <c r="BA222" s="2141"/>
      <c r="BB222" s="1335">
        <f t="shared" si="386"/>
        <v>0</v>
      </c>
      <c r="BC222" s="2142"/>
      <c r="BD222" s="1334">
        <f t="shared" si="387"/>
        <v>1372.8000000000002</v>
      </c>
      <c r="BE222" s="2140"/>
      <c r="BF222" s="517">
        <f t="shared" si="388"/>
        <v>1372.8000000000002</v>
      </c>
    </row>
    <row r="223" spans="1:81" s="1384" customFormat="1" ht="18.75" x14ac:dyDescent="0.25">
      <c r="A223" s="334"/>
      <c r="B223" s="646" t="s">
        <v>1162</v>
      </c>
      <c r="C223" s="2102" t="s">
        <v>1428</v>
      </c>
      <c r="D223" s="2103"/>
      <c r="E223" s="2138"/>
      <c r="F223" s="1509"/>
      <c r="G223" s="2139"/>
      <c r="H223" s="1333"/>
      <c r="I223" s="2140"/>
      <c r="J223" s="517">
        <f t="shared" si="356"/>
        <v>0</v>
      </c>
      <c r="K223" s="2139"/>
      <c r="L223" s="1333"/>
      <c r="M223" s="2141"/>
      <c r="N223" s="611">
        <f t="shared" si="365"/>
        <v>0</v>
      </c>
      <c r="O223" s="2139"/>
      <c r="P223" s="1333"/>
      <c r="Q223" s="2140"/>
      <c r="R223" s="1336">
        <f t="shared" si="376"/>
        <v>0</v>
      </c>
      <c r="S223" s="2139"/>
      <c r="T223" s="1333"/>
      <c r="U223" s="2140"/>
      <c r="V223" s="1793">
        <f t="shared" si="377"/>
        <v>0</v>
      </c>
      <c r="W223" s="2139"/>
      <c r="X223" s="617"/>
      <c r="Y223" s="2141"/>
      <c r="Z223" s="1335">
        <f t="shared" si="378"/>
        <v>0</v>
      </c>
      <c r="AA223" s="2142"/>
      <c r="AB223" s="1334">
        <f t="shared" si="379"/>
        <v>0</v>
      </c>
      <c r="AC223" s="2139"/>
      <c r="AD223" s="1333">
        <v>1304.1000000000004</v>
      </c>
      <c r="AE223" s="2140"/>
      <c r="AF223" s="1793">
        <f t="shared" si="380"/>
        <v>1304.1000000000004</v>
      </c>
      <c r="AG223" s="2139"/>
      <c r="AH223" s="1333">
        <v>0</v>
      </c>
      <c r="AI223" s="2140"/>
      <c r="AJ223" s="1793">
        <f t="shared" si="381"/>
        <v>1304.1000000000004</v>
      </c>
      <c r="AK223" s="2139"/>
      <c r="AL223" s="1333">
        <v>0</v>
      </c>
      <c r="AM223" s="2141"/>
      <c r="AN223" s="1335">
        <f t="shared" si="382"/>
        <v>1304.1000000000004</v>
      </c>
      <c r="AO223" s="2140"/>
      <c r="AP223" s="1336">
        <f t="shared" si="383"/>
        <v>1304.1000000000004</v>
      </c>
      <c r="AQ223" s="2139"/>
      <c r="AR223" s="1333"/>
      <c r="AS223" s="2140"/>
      <c r="AT223" s="517">
        <f t="shared" si="384"/>
        <v>1304.1000000000004</v>
      </c>
      <c r="AU223" s="2139"/>
      <c r="AV223" s="1333"/>
      <c r="AW223" s="2140"/>
      <c r="AX223" s="517">
        <f t="shared" si="385"/>
        <v>1304.1000000000004</v>
      </c>
      <c r="AY223" s="2139"/>
      <c r="AZ223" s="1333"/>
      <c r="BA223" s="2141"/>
      <c r="BB223" s="1335">
        <f t="shared" si="386"/>
        <v>0</v>
      </c>
      <c r="BC223" s="2142"/>
      <c r="BD223" s="1334">
        <f t="shared" si="387"/>
        <v>1304.1000000000004</v>
      </c>
      <c r="BE223" s="2140"/>
      <c r="BF223" s="517">
        <f t="shared" si="388"/>
        <v>1304.1000000000004</v>
      </c>
      <c r="BG223" s="1726"/>
      <c r="BH223" s="1726"/>
      <c r="BI223" s="1726"/>
      <c r="BJ223" s="1726"/>
      <c r="BK223" s="1726"/>
      <c r="BL223" s="1726"/>
      <c r="BM223" s="1726"/>
      <c r="BN223" s="1726"/>
      <c r="BO223" s="1726"/>
      <c r="BP223" s="1726"/>
      <c r="BQ223" s="1726"/>
      <c r="BR223" s="1726"/>
      <c r="BS223" s="1726"/>
      <c r="BT223" s="1726"/>
      <c r="BU223" s="1726"/>
      <c r="BV223" s="1726"/>
      <c r="BW223" s="1726"/>
      <c r="BX223" s="1726"/>
      <c r="BY223" s="1726"/>
      <c r="BZ223" s="1726"/>
      <c r="CA223" s="1726"/>
      <c r="CB223" s="1726"/>
      <c r="CC223" s="1726"/>
    </row>
    <row r="224" spans="1:81" s="1726" customFormat="1" ht="18.75" x14ac:dyDescent="0.25">
      <c r="A224" s="334"/>
      <c r="B224" s="646" t="s">
        <v>1162</v>
      </c>
      <c r="C224" s="2136" t="s">
        <v>1428</v>
      </c>
      <c r="D224" s="2137"/>
      <c r="E224" s="2138"/>
      <c r="F224" s="1509"/>
      <c r="G224" s="2139"/>
      <c r="H224" s="1333"/>
      <c r="I224" s="2140"/>
      <c r="J224" s="517">
        <f t="shared" si="356"/>
        <v>0</v>
      </c>
      <c r="K224" s="2139"/>
      <c r="L224" s="1333"/>
      <c r="M224" s="2141"/>
      <c r="N224" s="611">
        <f t="shared" si="365"/>
        <v>0</v>
      </c>
      <c r="O224" s="2139"/>
      <c r="P224" s="1333"/>
      <c r="Q224" s="2140"/>
      <c r="R224" s="1336"/>
      <c r="S224" s="2139"/>
      <c r="T224" s="1333"/>
      <c r="U224" s="2140"/>
      <c r="V224" s="1793"/>
      <c r="W224" s="2139"/>
      <c r="X224" s="617"/>
      <c r="Y224" s="2141"/>
      <c r="Z224" s="1335">
        <f t="shared" si="378"/>
        <v>0</v>
      </c>
      <c r="AA224" s="2142"/>
      <c r="AB224" s="1334"/>
      <c r="AC224" s="2139"/>
      <c r="AD224" s="1333">
        <v>0</v>
      </c>
      <c r="AE224" s="2140"/>
      <c r="AF224" s="1793">
        <f t="shared" si="380"/>
        <v>0</v>
      </c>
      <c r="AG224" s="2139"/>
      <c r="AH224" s="1333">
        <v>0</v>
      </c>
      <c r="AI224" s="2140"/>
      <c r="AJ224" s="1793">
        <f t="shared" si="381"/>
        <v>0</v>
      </c>
      <c r="AK224" s="2139"/>
      <c r="AL224" s="1333">
        <v>0</v>
      </c>
      <c r="AM224" s="2141"/>
      <c r="AN224" s="1335">
        <f t="shared" si="382"/>
        <v>0</v>
      </c>
      <c r="AO224" s="2140"/>
      <c r="AP224" s="1336">
        <f t="shared" si="383"/>
        <v>0</v>
      </c>
      <c r="AQ224" s="2139"/>
      <c r="AR224" s="1333"/>
      <c r="AS224" s="2140"/>
      <c r="AT224" s="517">
        <f t="shared" si="384"/>
        <v>0</v>
      </c>
      <c r="AU224" s="2139"/>
      <c r="AV224" s="1333"/>
      <c r="AW224" s="2140"/>
      <c r="AX224" s="517">
        <f t="shared" si="385"/>
        <v>0</v>
      </c>
      <c r="AY224" s="2139"/>
      <c r="AZ224" s="1333"/>
      <c r="BA224" s="2141"/>
      <c r="BB224" s="1335">
        <f t="shared" si="386"/>
        <v>0</v>
      </c>
      <c r="BC224" s="2142"/>
      <c r="BD224" s="1334">
        <f t="shared" si="387"/>
        <v>0</v>
      </c>
      <c r="BE224" s="2140"/>
      <c r="BF224" s="517">
        <f t="shared" si="388"/>
        <v>0</v>
      </c>
    </row>
    <row r="225" spans="1:81" s="1726" customFormat="1" ht="18.75" x14ac:dyDescent="0.25">
      <c r="A225" s="334"/>
      <c r="B225" s="646" t="s">
        <v>1162</v>
      </c>
      <c r="C225" s="2136" t="s">
        <v>1429</v>
      </c>
      <c r="D225" s="2137"/>
      <c r="E225" s="2138"/>
      <c r="F225" s="1509"/>
      <c r="G225" s="2139"/>
      <c r="H225" s="1333"/>
      <c r="I225" s="2140"/>
      <c r="J225" s="517">
        <f t="shared" si="356"/>
        <v>0</v>
      </c>
      <c r="K225" s="2139"/>
      <c r="L225" s="1333"/>
      <c r="M225" s="2141"/>
      <c r="N225" s="611"/>
      <c r="O225" s="2139"/>
      <c r="P225" s="1333"/>
      <c r="Q225" s="2140"/>
      <c r="R225" s="1336"/>
      <c r="S225" s="2139"/>
      <c r="T225" s="1333"/>
      <c r="U225" s="2140"/>
      <c r="V225" s="1793"/>
      <c r="W225" s="2139"/>
      <c r="X225" s="617"/>
      <c r="Y225" s="2141"/>
      <c r="Z225" s="1335"/>
      <c r="AA225" s="2142"/>
      <c r="AB225" s="1334"/>
      <c r="AC225" s="2139"/>
      <c r="AD225" s="1333"/>
      <c r="AE225" s="2140"/>
      <c r="AF225" s="1793"/>
      <c r="AG225" s="2139"/>
      <c r="AH225" s="1333"/>
      <c r="AI225" s="2140"/>
      <c r="AJ225" s="1793"/>
      <c r="AK225" s="2139"/>
      <c r="AL225" s="1333">
        <v>1053.5</v>
      </c>
      <c r="AM225" s="2141"/>
      <c r="AN225" s="1335">
        <f t="shared" si="382"/>
        <v>1053.5</v>
      </c>
      <c r="AO225" s="2140"/>
      <c r="AP225" s="1336">
        <f t="shared" si="383"/>
        <v>1053.5</v>
      </c>
      <c r="AQ225" s="2139"/>
      <c r="AR225" s="1333"/>
      <c r="AS225" s="2140"/>
      <c r="AT225" s="517">
        <f t="shared" si="384"/>
        <v>1053.5</v>
      </c>
      <c r="AU225" s="2139"/>
      <c r="AV225" s="1333"/>
      <c r="AW225" s="2140"/>
      <c r="AX225" s="517">
        <f t="shared" si="385"/>
        <v>1053.5</v>
      </c>
      <c r="AY225" s="2139"/>
      <c r="AZ225" s="1333"/>
      <c r="BA225" s="2141"/>
      <c r="BB225" s="1335">
        <f t="shared" si="386"/>
        <v>0</v>
      </c>
      <c r="BC225" s="2142"/>
      <c r="BD225" s="1334">
        <f t="shared" si="387"/>
        <v>1053.5</v>
      </c>
      <c r="BE225" s="2140"/>
      <c r="BF225" s="517">
        <f t="shared" si="388"/>
        <v>1053.5</v>
      </c>
    </row>
    <row r="226" spans="1:81" s="1384" customFormat="1" ht="18.75" x14ac:dyDescent="0.25">
      <c r="A226" s="334"/>
      <c r="B226" s="646" t="s">
        <v>1126</v>
      </c>
      <c r="C226" s="2136" t="s">
        <v>1147</v>
      </c>
      <c r="D226" s="2137"/>
      <c r="E226" s="2138"/>
      <c r="F226" s="1509">
        <v>7856.33</v>
      </c>
      <c r="G226" s="2139"/>
      <c r="H226" s="1333"/>
      <c r="I226" s="2140"/>
      <c r="J226" s="517">
        <f t="shared" si="356"/>
        <v>7856.33</v>
      </c>
      <c r="K226" s="2139"/>
      <c r="L226" s="1333">
        <v>9568.42</v>
      </c>
      <c r="M226" s="2141"/>
      <c r="N226" s="611">
        <f t="shared" si="365"/>
        <v>17424.75</v>
      </c>
      <c r="O226" s="2139"/>
      <c r="P226" s="1333">
        <v>3888.28</v>
      </c>
      <c r="Q226" s="2140"/>
      <c r="R226" s="1336">
        <f t="shared" si="376"/>
        <v>21313.03</v>
      </c>
      <c r="S226" s="2139"/>
      <c r="T226" s="1333">
        <v>14918.13</v>
      </c>
      <c r="U226" s="2140"/>
      <c r="V226" s="1793">
        <f t="shared" si="377"/>
        <v>36231.159999999996</v>
      </c>
      <c r="W226" s="2139"/>
      <c r="X226" s="617">
        <v>13960.729999999998</v>
      </c>
      <c r="Y226" s="2141"/>
      <c r="Z226" s="1335">
        <f t="shared" si="378"/>
        <v>32767.14</v>
      </c>
      <c r="AA226" s="2142"/>
      <c r="AB226" s="1334">
        <f t="shared" si="379"/>
        <v>50191.889999999992</v>
      </c>
      <c r="AC226" s="2139"/>
      <c r="AD226" s="1333">
        <v>14787.77</v>
      </c>
      <c r="AE226" s="2140"/>
      <c r="AF226" s="1793">
        <f t="shared" si="380"/>
        <v>64979.659999999989</v>
      </c>
      <c r="AG226" s="2139"/>
      <c r="AH226" s="1333">
        <v>12166.54</v>
      </c>
      <c r="AI226" s="2140"/>
      <c r="AJ226" s="1793">
        <f t="shared" si="381"/>
        <v>77146.199999999983</v>
      </c>
      <c r="AK226" s="2139"/>
      <c r="AL226" s="1333">
        <v>15927.920000000002</v>
      </c>
      <c r="AM226" s="2141"/>
      <c r="AN226" s="1335">
        <f t="shared" si="382"/>
        <v>42882.23</v>
      </c>
      <c r="AO226" s="2140"/>
      <c r="AP226" s="1336">
        <f t="shared" si="383"/>
        <v>93074.119999999981</v>
      </c>
      <c r="AQ226" s="2139"/>
      <c r="AR226" s="1333">
        <v>12459.08</v>
      </c>
      <c r="AS226" s="2140"/>
      <c r="AT226" s="517">
        <f t="shared" si="384"/>
        <v>105533.19999999998</v>
      </c>
      <c r="AU226" s="2139"/>
      <c r="AV226" s="1333">
        <v>10760.690000000002</v>
      </c>
      <c r="AW226" s="2140"/>
      <c r="AX226" s="517">
        <f t="shared" si="385"/>
        <v>116293.88999999998</v>
      </c>
      <c r="AY226" s="2139"/>
      <c r="AZ226" s="1333">
        <v>12666.480000000003</v>
      </c>
      <c r="BA226" s="2141"/>
      <c r="BB226" s="1335">
        <f t="shared" si="386"/>
        <v>35886.250000000007</v>
      </c>
      <c r="BC226" s="2142"/>
      <c r="BD226" s="1334">
        <f t="shared" si="387"/>
        <v>78768.48000000001</v>
      </c>
      <c r="BE226" s="2140"/>
      <c r="BF226" s="517">
        <f t="shared" si="388"/>
        <v>128960.37</v>
      </c>
      <c r="BG226" s="1726"/>
      <c r="BH226" s="1726"/>
      <c r="BI226" s="1726"/>
      <c r="BJ226" s="1726"/>
      <c r="BK226" s="1726"/>
      <c r="BL226" s="1726"/>
      <c r="BM226" s="1726"/>
      <c r="BN226" s="1726"/>
      <c r="BO226" s="1726"/>
      <c r="BP226" s="1726"/>
      <c r="BQ226" s="1726"/>
      <c r="BR226" s="1726"/>
      <c r="BS226" s="1726"/>
      <c r="BT226" s="1726"/>
      <c r="BU226" s="1726"/>
      <c r="BV226" s="1726"/>
      <c r="BW226" s="1726"/>
      <c r="BX226" s="1726"/>
      <c r="BY226" s="1726"/>
      <c r="BZ226" s="1726"/>
      <c r="CA226" s="1726"/>
      <c r="CB226" s="1726"/>
      <c r="CC226" s="1726"/>
    </row>
    <row r="227" spans="1:81" s="1384" customFormat="1" ht="18.75" x14ac:dyDescent="0.25">
      <c r="A227" s="334"/>
      <c r="B227" s="646" t="s">
        <v>1126</v>
      </c>
      <c r="C227" s="2102" t="s">
        <v>1428</v>
      </c>
      <c r="D227" s="2103"/>
      <c r="E227" s="2138"/>
      <c r="F227" s="1509"/>
      <c r="G227" s="2139"/>
      <c r="H227" s="1333"/>
      <c r="I227" s="2140"/>
      <c r="J227" s="517">
        <f t="shared" si="356"/>
        <v>0</v>
      </c>
      <c r="K227" s="2139"/>
      <c r="L227" s="1333">
        <v>2145.34</v>
      </c>
      <c r="M227" s="2141"/>
      <c r="N227" s="611">
        <f t="shared" si="365"/>
        <v>2145.34</v>
      </c>
      <c r="O227" s="2139"/>
      <c r="P227" s="1333">
        <v>2323.62</v>
      </c>
      <c r="Q227" s="2140"/>
      <c r="R227" s="1336">
        <f t="shared" si="376"/>
        <v>4468.96</v>
      </c>
      <c r="S227" s="2139"/>
      <c r="T227" s="1333">
        <v>1809.34</v>
      </c>
      <c r="U227" s="2140"/>
      <c r="V227" s="1793">
        <f t="shared" si="377"/>
        <v>6278.3</v>
      </c>
      <c r="W227" s="2139"/>
      <c r="X227" s="617">
        <v>1189.5399999999997</v>
      </c>
      <c r="Y227" s="2141"/>
      <c r="Z227" s="1335">
        <f t="shared" si="378"/>
        <v>5322.5</v>
      </c>
      <c r="AA227" s="2142"/>
      <c r="AB227" s="1334">
        <f t="shared" si="379"/>
        <v>7467.84</v>
      </c>
      <c r="AC227" s="2139"/>
      <c r="AD227" s="1333">
        <v>0</v>
      </c>
      <c r="AE227" s="2140"/>
      <c r="AF227" s="1793">
        <f t="shared" si="380"/>
        <v>7467.84</v>
      </c>
      <c r="AG227" s="2139"/>
      <c r="AH227" s="1333">
        <v>118.02000000000001</v>
      </c>
      <c r="AI227" s="2140"/>
      <c r="AJ227" s="1793">
        <f t="shared" si="381"/>
        <v>7585.8600000000006</v>
      </c>
      <c r="AK227" s="2139"/>
      <c r="AL227" s="1333">
        <v>998.30000000000007</v>
      </c>
      <c r="AM227" s="2141"/>
      <c r="AN227" s="1335">
        <f t="shared" si="382"/>
        <v>1116.3200000000002</v>
      </c>
      <c r="AO227" s="2140"/>
      <c r="AP227" s="1336">
        <f t="shared" si="383"/>
        <v>8584.16</v>
      </c>
      <c r="AQ227" s="2139"/>
      <c r="AR227" s="1333">
        <v>1010.76</v>
      </c>
      <c r="AS227" s="2140"/>
      <c r="AT227" s="517">
        <f t="shared" si="384"/>
        <v>9594.92</v>
      </c>
      <c r="AU227" s="2139"/>
      <c r="AV227" s="1333">
        <v>928.54</v>
      </c>
      <c r="AW227" s="2140"/>
      <c r="AX227" s="517">
        <f t="shared" si="385"/>
        <v>10523.46</v>
      </c>
      <c r="AY227" s="2139"/>
      <c r="AZ227" s="1333"/>
      <c r="BA227" s="2141"/>
      <c r="BB227" s="1335">
        <f t="shared" si="386"/>
        <v>1939.3</v>
      </c>
      <c r="BC227" s="2142"/>
      <c r="BD227" s="1334">
        <f t="shared" si="387"/>
        <v>3055.62</v>
      </c>
      <c r="BE227" s="2140"/>
      <c r="BF227" s="517">
        <f t="shared" si="388"/>
        <v>10523.46</v>
      </c>
      <c r="BG227" s="1726"/>
      <c r="BH227" s="1726"/>
      <c r="BI227" s="1726"/>
      <c r="BJ227" s="1726"/>
      <c r="BK227" s="1726"/>
      <c r="BL227" s="1726"/>
      <c r="BM227" s="1726"/>
      <c r="BN227" s="1726"/>
      <c r="BO227" s="1726"/>
      <c r="BP227" s="1726"/>
      <c r="BQ227" s="1726"/>
      <c r="BR227" s="1726"/>
      <c r="BS227" s="1726"/>
      <c r="BT227" s="1726"/>
      <c r="BU227" s="1726"/>
      <c r="BV227" s="1726"/>
      <c r="BW227" s="1726"/>
      <c r="BX227" s="1726"/>
      <c r="BY227" s="1726"/>
      <c r="BZ227" s="1726"/>
      <c r="CA227" s="1726"/>
      <c r="CB227" s="1726"/>
      <c r="CC227" s="1726"/>
    </row>
    <row r="228" spans="1:81" s="1384" customFormat="1" ht="18.75" x14ac:dyDescent="0.25">
      <c r="A228" s="334"/>
      <c r="B228" s="646" t="s">
        <v>1126</v>
      </c>
      <c r="C228" s="2102" t="s">
        <v>1164</v>
      </c>
      <c r="D228" s="2103"/>
      <c r="E228" s="2138"/>
      <c r="F228" s="1509">
        <v>1588.58</v>
      </c>
      <c r="G228" s="2139"/>
      <c r="H228" s="1333"/>
      <c r="I228" s="2140"/>
      <c r="J228" s="517">
        <f t="shared" si="356"/>
        <v>1588.58</v>
      </c>
      <c r="K228" s="2139"/>
      <c r="L228" s="1333">
        <v>935.48</v>
      </c>
      <c r="M228" s="2141"/>
      <c r="N228" s="611">
        <f t="shared" si="365"/>
        <v>2524.06</v>
      </c>
      <c r="O228" s="2139"/>
      <c r="P228" s="1333">
        <v>1208.24</v>
      </c>
      <c r="Q228" s="2140"/>
      <c r="R228" s="1336">
        <f t="shared" si="376"/>
        <v>3732.3</v>
      </c>
      <c r="S228" s="2139"/>
      <c r="T228" s="1333">
        <v>2087.96</v>
      </c>
      <c r="U228" s="2140"/>
      <c r="V228" s="1793">
        <f t="shared" si="377"/>
        <v>5820.26</v>
      </c>
      <c r="W228" s="2139"/>
      <c r="X228" s="617">
        <v>1065.78</v>
      </c>
      <c r="Y228" s="2141"/>
      <c r="Z228" s="1335">
        <f t="shared" si="378"/>
        <v>4361.9799999999996</v>
      </c>
      <c r="AA228" s="2142"/>
      <c r="AB228" s="1334">
        <f t="shared" si="379"/>
        <v>6886.04</v>
      </c>
      <c r="AC228" s="2139"/>
      <c r="AD228" s="1333">
        <v>2686.84</v>
      </c>
      <c r="AE228" s="2140"/>
      <c r="AF228" s="1793">
        <f t="shared" si="380"/>
        <v>9572.880000000001</v>
      </c>
      <c r="AG228" s="2139"/>
      <c r="AH228" s="1333">
        <v>3331.6400000000003</v>
      </c>
      <c r="AI228" s="2140"/>
      <c r="AJ228" s="1793">
        <f t="shared" si="381"/>
        <v>12904.52</v>
      </c>
      <c r="AK228" s="2139"/>
      <c r="AL228" s="1333">
        <v>2849.68</v>
      </c>
      <c r="AM228" s="2141"/>
      <c r="AN228" s="1335">
        <f t="shared" si="382"/>
        <v>8868.16</v>
      </c>
      <c r="AO228" s="2140"/>
      <c r="AP228" s="1336">
        <f t="shared" si="383"/>
        <v>15754.2</v>
      </c>
      <c r="AQ228" s="2139"/>
      <c r="AR228" s="1333">
        <v>1883.62</v>
      </c>
      <c r="AS228" s="2140"/>
      <c r="AT228" s="517">
        <f t="shared" si="384"/>
        <v>17637.82</v>
      </c>
      <c r="AU228" s="2139"/>
      <c r="AV228" s="1333">
        <v>1499.1399999999999</v>
      </c>
      <c r="AW228" s="2140"/>
      <c r="AX228" s="517">
        <f t="shared" si="385"/>
        <v>19136.96</v>
      </c>
      <c r="AY228" s="2139"/>
      <c r="AZ228" s="1333">
        <v>1467.83</v>
      </c>
      <c r="BA228" s="2141"/>
      <c r="BB228" s="1335">
        <f t="shared" si="386"/>
        <v>4850.59</v>
      </c>
      <c r="BC228" s="2142"/>
      <c r="BD228" s="1334">
        <f t="shared" si="387"/>
        <v>13718.75</v>
      </c>
      <c r="BE228" s="2140"/>
      <c r="BF228" s="517">
        <f t="shared" si="388"/>
        <v>20604.79</v>
      </c>
      <c r="BG228" s="1726"/>
      <c r="BH228" s="1726"/>
      <c r="BI228" s="1726"/>
      <c r="BJ228" s="1726"/>
      <c r="BK228" s="1726"/>
      <c r="BL228" s="1726"/>
      <c r="BM228" s="1726"/>
      <c r="BN228" s="1726"/>
      <c r="BO228" s="1726"/>
      <c r="BP228" s="1726"/>
      <c r="BQ228" s="1726"/>
      <c r="BR228" s="1726"/>
      <c r="BS228" s="1726"/>
      <c r="BT228" s="1726"/>
      <c r="BU228" s="1726"/>
      <c r="BV228" s="1726"/>
      <c r="BW228" s="1726"/>
      <c r="BX228" s="1726"/>
      <c r="BY228" s="1726"/>
      <c r="BZ228" s="1726"/>
      <c r="CA228" s="1726"/>
      <c r="CB228" s="1726"/>
      <c r="CC228" s="1726"/>
    </row>
    <row r="229" spans="1:81" s="1587" customFormat="1" ht="18.75" x14ac:dyDescent="0.25">
      <c r="A229" s="334"/>
      <c r="B229" s="646" t="s">
        <v>1126</v>
      </c>
      <c r="C229" s="2136" t="s">
        <v>1429</v>
      </c>
      <c r="D229" s="2137"/>
      <c r="E229" s="2138"/>
      <c r="F229" s="1509"/>
      <c r="G229" s="2139"/>
      <c r="H229" s="1333"/>
      <c r="I229" s="2140"/>
      <c r="J229" s="517">
        <f t="shared" si="356"/>
        <v>0</v>
      </c>
      <c r="K229" s="2139"/>
      <c r="L229" s="1333"/>
      <c r="M229" s="2141"/>
      <c r="N229" s="611">
        <f t="shared" si="365"/>
        <v>0</v>
      </c>
      <c r="O229" s="2139"/>
      <c r="P229" s="1333">
        <v>748.4</v>
      </c>
      <c r="Q229" s="2140"/>
      <c r="R229" s="1336">
        <f t="shared" si="376"/>
        <v>748.4</v>
      </c>
      <c r="S229" s="2139"/>
      <c r="T229" s="1333">
        <v>276.45</v>
      </c>
      <c r="U229" s="2140"/>
      <c r="V229" s="1793">
        <f t="shared" si="377"/>
        <v>1024.8499999999999</v>
      </c>
      <c r="W229" s="2139"/>
      <c r="X229" s="617">
        <v>186.07999999999998</v>
      </c>
      <c r="Y229" s="2141"/>
      <c r="Z229" s="1335">
        <f t="shared" si="378"/>
        <v>1210.9299999999998</v>
      </c>
      <c r="AA229" s="2142"/>
      <c r="AB229" s="1334">
        <f t="shared" si="379"/>
        <v>1210.9299999999998</v>
      </c>
      <c r="AC229" s="2139"/>
      <c r="AD229" s="1333">
        <v>0</v>
      </c>
      <c r="AE229" s="2140"/>
      <c r="AF229" s="1793">
        <f t="shared" si="380"/>
        <v>1210.9299999999998</v>
      </c>
      <c r="AG229" s="2139"/>
      <c r="AH229" s="1333">
        <v>506.80000000000007</v>
      </c>
      <c r="AI229" s="2140"/>
      <c r="AJ229" s="1793">
        <f t="shared" si="381"/>
        <v>1717.73</v>
      </c>
      <c r="AK229" s="2139"/>
      <c r="AL229" s="1333">
        <v>118.92</v>
      </c>
      <c r="AM229" s="2141"/>
      <c r="AN229" s="1335">
        <f t="shared" si="382"/>
        <v>625.72</v>
      </c>
      <c r="AO229" s="2140"/>
      <c r="AP229" s="1336">
        <f t="shared" si="383"/>
        <v>1836.65</v>
      </c>
      <c r="AQ229" s="2139"/>
      <c r="AR229" s="1333"/>
      <c r="AS229" s="2140"/>
      <c r="AT229" s="517">
        <f t="shared" si="384"/>
        <v>1836.65</v>
      </c>
      <c r="AU229" s="2139"/>
      <c r="AV229" s="1333"/>
      <c r="AW229" s="2140"/>
      <c r="AX229" s="517">
        <f t="shared" si="385"/>
        <v>1836.65</v>
      </c>
      <c r="AY229" s="2139"/>
      <c r="AZ229" s="1333"/>
      <c r="BA229" s="2141"/>
      <c r="BB229" s="1335">
        <f t="shared" si="386"/>
        <v>0</v>
      </c>
      <c r="BC229" s="2142"/>
      <c r="BD229" s="1334">
        <f t="shared" si="387"/>
        <v>625.72</v>
      </c>
      <c r="BE229" s="2140"/>
      <c r="BF229" s="517">
        <f t="shared" si="388"/>
        <v>1836.65</v>
      </c>
      <c r="BG229" s="1726"/>
      <c r="BH229" s="1726"/>
      <c r="BI229" s="1726"/>
      <c r="BJ229" s="1726"/>
      <c r="BK229" s="1726"/>
      <c r="BL229" s="1726"/>
      <c r="BM229" s="1726"/>
      <c r="BN229" s="1726"/>
      <c r="BO229" s="1726"/>
      <c r="BP229" s="1726"/>
      <c r="BQ229" s="1726"/>
      <c r="BR229" s="1726"/>
      <c r="BS229" s="1726"/>
      <c r="BT229" s="1726"/>
      <c r="BU229" s="1726"/>
      <c r="BV229" s="1726"/>
      <c r="BW229" s="1726"/>
      <c r="BX229" s="1726"/>
      <c r="BY229" s="1726"/>
      <c r="BZ229" s="1726"/>
      <c r="CA229" s="1726"/>
      <c r="CB229" s="1726"/>
      <c r="CC229" s="1726"/>
    </row>
    <row r="230" spans="1:81" s="1726" customFormat="1" ht="18.75" x14ac:dyDescent="0.25">
      <c r="A230" s="334"/>
      <c r="B230" s="646" t="s">
        <v>1126</v>
      </c>
      <c r="C230" s="2136" t="s">
        <v>1890</v>
      </c>
      <c r="D230" s="2137"/>
      <c r="E230" s="2138"/>
      <c r="F230" s="1509"/>
      <c r="G230" s="2139"/>
      <c r="H230" s="1333"/>
      <c r="I230" s="2140"/>
      <c r="J230" s="517">
        <f t="shared" si="356"/>
        <v>0</v>
      </c>
      <c r="K230" s="2139"/>
      <c r="L230" s="1333"/>
      <c r="M230" s="2141"/>
      <c r="N230" s="611"/>
      <c r="O230" s="2139"/>
      <c r="P230" s="1333"/>
      <c r="Q230" s="2140"/>
      <c r="R230" s="1336"/>
      <c r="S230" s="2139"/>
      <c r="T230" s="1333"/>
      <c r="U230" s="2140"/>
      <c r="V230" s="1793"/>
      <c r="W230" s="2139"/>
      <c r="X230" s="617"/>
      <c r="Y230" s="2141"/>
      <c r="Z230" s="1335"/>
      <c r="AA230" s="2142"/>
      <c r="AB230" s="1334"/>
      <c r="AC230" s="2139"/>
      <c r="AD230" s="1333"/>
      <c r="AE230" s="2140"/>
      <c r="AF230" s="1793"/>
      <c r="AG230" s="2139"/>
      <c r="AH230" s="1333"/>
      <c r="AI230" s="2140"/>
      <c r="AJ230" s="1793"/>
      <c r="AK230" s="2139"/>
      <c r="AL230" s="1333">
        <v>1011.5799999999999</v>
      </c>
      <c r="AM230" s="2141"/>
      <c r="AN230" s="1335">
        <f t="shared" si="382"/>
        <v>1011.5799999999999</v>
      </c>
      <c r="AO230" s="2140"/>
      <c r="AP230" s="1336">
        <f t="shared" si="383"/>
        <v>1011.5799999999999</v>
      </c>
      <c r="AQ230" s="2139"/>
      <c r="AR230" s="1333"/>
      <c r="AS230" s="2140"/>
      <c r="AT230" s="517">
        <f t="shared" si="384"/>
        <v>1011.5799999999999</v>
      </c>
      <c r="AU230" s="2139"/>
      <c r="AV230" s="1333"/>
      <c r="AW230" s="2140"/>
      <c r="AX230" s="517">
        <f t="shared" si="385"/>
        <v>1011.5799999999999</v>
      </c>
      <c r="AY230" s="2139"/>
      <c r="AZ230" s="1333"/>
      <c r="BA230" s="2141"/>
      <c r="BB230" s="1335">
        <f t="shared" si="386"/>
        <v>0</v>
      </c>
      <c r="BC230" s="2142"/>
      <c r="BD230" s="1334">
        <f t="shared" si="387"/>
        <v>1011.5799999999999</v>
      </c>
      <c r="BE230" s="2140"/>
      <c r="BF230" s="517">
        <f t="shared" si="388"/>
        <v>1011.5799999999999</v>
      </c>
    </row>
    <row r="231" spans="1:81" s="1508" customFormat="1" ht="18.75" x14ac:dyDescent="0.25">
      <c r="A231" s="334"/>
      <c r="B231" s="646" t="s">
        <v>1328</v>
      </c>
      <c r="C231" s="2102" t="s">
        <v>1428</v>
      </c>
      <c r="D231" s="2103"/>
      <c r="E231" s="2138"/>
      <c r="F231" s="1509">
        <v>619.38</v>
      </c>
      <c r="G231" s="2139"/>
      <c r="H231" s="1333"/>
      <c r="I231" s="2140"/>
      <c r="J231" s="517">
        <f t="shared" si="356"/>
        <v>619.38</v>
      </c>
      <c r="K231" s="2139"/>
      <c r="L231" s="1333"/>
      <c r="M231" s="2141"/>
      <c r="N231" s="611">
        <f t="shared" si="365"/>
        <v>619.38</v>
      </c>
      <c r="O231" s="2139"/>
      <c r="P231" s="1333"/>
      <c r="Q231" s="2140"/>
      <c r="R231" s="1336">
        <f t="shared" si="376"/>
        <v>619.38</v>
      </c>
      <c r="S231" s="2139"/>
      <c r="T231" s="1333"/>
      <c r="U231" s="2140"/>
      <c r="V231" s="1793">
        <f t="shared" si="377"/>
        <v>619.38</v>
      </c>
      <c r="W231" s="2139"/>
      <c r="X231" s="617"/>
      <c r="Y231" s="2141"/>
      <c r="Z231" s="1335">
        <f t="shared" si="378"/>
        <v>0</v>
      </c>
      <c r="AA231" s="2142"/>
      <c r="AB231" s="1334">
        <f t="shared" si="379"/>
        <v>619.38</v>
      </c>
      <c r="AC231" s="2139"/>
      <c r="AD231" s="1333">
        <v>2112.5</v>
      </c>
      <c r="AE231" s="2140"/>
      <c r="AF231" s="1793">
        <f t="shared" si="380"/>
        <v>2731.88</v>
      </c>
      <c r="AG231" s="2139"/>
      <c r="AH231" s="1333">
        <v>0</v>
      </c>
      <c r="AI231" s="2140"/>
      <c r="AJ231" s="1793">
        <f t="shared" si="381"/>
        <v>2731.88</v>
      </c>
      <c r="AK231" s="2139"/>
      <c r="AL231" s="1333"/>
      <c r="AM231" s="2141"/>
      <c r="AN231" s="1335">
        <f t="shared" si="382"/>
        <v>2112.5</v>
      </c>
      <c r="AO231" s="2140"/>
      <c r="AP231" s="1336">
        <f t="shared" si="383"/>
        <v>2731.88</v>
      </c>
      <c r="AQ231" s="2139"/>
      <c r="AR231" s="1333"/>
      <c r="AS231" s="2140"/>
      <c r="AT231" s="517">
        <f t="shared" si="384"/>
        <v>2731.88</v>
      </c>
      <c r="AU231" s="2139"/>
      <c r="AV231" s="1333"/>
      <c r="AW231" s="2140"/>
      <c r="AX231" s="517">
        <f t="shared" si="385"/>
        <v>2731.88</v>
      </c>
      <c r="AY231" s="2139"/>
      <c r="AZ231" s="1333"/>
      <c r="BA231" s="2141"/>
      <c r="BB231" s="1335">
        <f t="shared" si="386"/>
        <v>0</v>
      </c>
      <c r="BC231" s="2142"/>
      <c r="BD231" s="1334">
        <f t="shared" si="387"/>
        <v>2112.5</v>
      </c>
      <c r="BE231" s="2140"/>
      <c r="BF231" s="517">
        <f t="shared" si="388"/>
        <v>2731.88</v>
      </c>
      <c r="BG231" s="1726"/>
      <c r="BH231" s="1726"/>
      <c r="BI231" s="1726"/>
      <c r="BJ231" s="1726"/>
      <c r="BK231" s="1726"/>
      <c r="BL231" s="1726"/>
      <c r="BM231" s="1726"/>
      <c r="BN231" s="1726"/>
      <c r="BO231" s="1726"/>
      <c r="BP231" s="1726"/>
      <c r="BQ231" s="1726"/>
      <c r="BR231" s="1726"/>
      <c r="BS231" s="1726"/>
      <c r="BT231" s="1726"/>
      <c r="BU231" s="1726"/>
      <c r="BV231" s="1726"/>
      <c r="BW231" s="1726"/>
      <c r="BX231" s="1726"/>
      <c r="BY231" s="1726"/>
      <c r="BZ231" s="1726"/>
      <c r="CA231" s="1726"/>
      <c r="CB231" s="1726"/>
      <c r="CC231" s="1726"/>
    </row>
    <row r="232" spans="1:81" s="1508" customFormat="1" ht="18.75" x14ac:dyDescent="0.25">
      <c r="A232" s="334"/>
      <c r="B232" s="646" t="s">
        <v>1328</v>
      </c>
      <c r="C232" s="2102" t="s">
        <v>1147</v>
      </c>
      <c r="D232" s="2103"/>
      <c r="E232" s="2138"/>
      <c r="F232" s="1509">
        <v>1107.8399999999999</v>
      </c>
      <c r="G232" s="2139"/>
      <c r="H232" s="1333"/>
      <c r="I232" s="2140"/>
      <c r="J232" s="517">
        <f t="shared" si="356"/>
        <v>1107.8399999999999</v>
      </c>
      <c r="K232" s="2139"/>
      <c r="L232" s="1333">
        <v>22.7</v>
      </c>
      <c r="M232" s="2141"/>
      <c r="N232" s="611">
        <f t="shared" si="365"/>
        <v>1130.54</v>
      </c>
      <c r="O232" s="2139"/>
      <c r="P232" s="1333"/>
      <c r="Q232" s="2140"/>
      <c r="R232" s="1336">
        <f t="shared" si="376"/>
        <v>1130.54</v>
      </c>
      <c r="S232" s="2139"/>
      <c r="T232" s="1333"/>
      <c r="U232" s="2140"/>
      <c r="V232" s="1793">
        <f t="shared" si="377"/>
        <v>1130.54</v>
      </c>
      <c r="W232" s="2139"/>
      <c r="X232" s="617"/>
      <c r="Y232" s="2141"/>
      <c r="Z232" s="1335">
        <f t="shared" si="378"/>
        <v>0</v>
      </c>
      <c r="AA232" s="2142"/>
      <c r="AB232" s="1334">
        <f t="shared" si="379"/>
        <v>1130.54</v>
      </c>
      <c r="AC232" s="2139"/>
      <c r="AD232" s="1333">
        <v>0</v>
      </c>
      <c r="AE232" s="2140"/>
      <c r="AF232" s="1793">
        <f t="shared" si="380"/>
        <v>1130.54</v>
      </c>
      <c r="AG232" s="2139"/>
      <c r="AH232" s="1333">
        <v>0</v>
      </c>
      <c r="AI232" s="2140"/>
      <c r="AJ232" s="1793">
        <f t="shared" si="381"/>
        <v>1130.54</v>
      </c>
      <c r="AK232" s="2139"/>
      <c r="AL232" s="1333"/>
      <c r="AM232" s="2141"/>
      <c r="AN232" s="1335">
        <f t="shared" si="382"/>
        <v>0</v>
      </c>
      <c r="AO232" s="2140"/>
      <c r="AP232" s="1336">
        <f t="shared" si="383"/>
        <v>1130.54</v>
      </c>
      <c r="AQ232" s="2139"/>
      <c r="AR232" s="1333"/>
      <c r="AS232" s="2140"/>
      <c r="AT232" s="517">
        <f t="shared" si="384"/>
        <v>1130.54</v>
      </c>
      <c r="AU232" s="2139"/>
      <c r="AV232" s="1333"/>
      <c r="AW232" s="2140"/>
      <c r="AX232" s="517">
        <f t="shared" si="385"/>
        <v>1130.54</v>
      </c>
      <c r="AY232" s="2139"/>
      <c r="AZ232" s="1333"/>
      <c r="BA232" s="2141"/>
      <c r="BB232" s="1335">
        <f t="shared" si="386"/>
        <v>0</v>
      </c>
      <c r="BC232" s="2142"/>
      <c r="BD232" s="1334">
        <f t="shared" si="387"/>
        <v>0</v>
      </c>
      <c r="BE232" s="2140"/>
      <c r="BF232" s="517">
        <f t="shared" si="388"/>
        <v>1130.54</v>
      </c>
      <c r="BG232" s="1726"/>
      <c r="BH232" s="1726"/>
      <c r="BI232" s="1726"/>
      <c r="BJ232" s="1726"/>
      <c r="BK232" s="1726"/>
      <c r="BL232" s="1726"/>
      <c r="BM232" s="1726"/>
      <c r="BN232" s="1726"/>
      <c r="BO232" s="1726"/>
      <c r="BP232" s="1726"/>
      <c r="BQ232" s="1726"/>
      <c r="BR232" s="1726"/>
      <c r="BS232" s="1726"/>
      <c r="BT232" s="1726"/>
      <c r="BU232" s="1726"/>
      <c r="BV232" s="1726"/>
      <c r="BW232" s="1726"/>
      <c r="BX232" s="1726"/>
      <c r="BY232" s="1726"/>
      <c r="BZ232" s="1726"/>
      <c r="CA232" s="1726"/>
      <c r="CB232" s="1726"/>
      <c r="CC232" s="1726"/>
    </row>
    <row r="233" spans="1:81" s="1384" customFormat="1" ht="18.75" x14ac:dyDescent="0.25">
      <c r="A233" s="334"/>
      <c r="B233" s="646" t="s">
        <v>1161</v>
      </c>
      <c r="C233" s="2136" t="s">
        <v>1890</v>
      </c>
      <c r="D233" s="2103"/>
      <c r="E233" s="2138"/>
      <c r="F233" s="1509"/>
      <c r="G233" s="2139"/>
      <c r="H233" s="1333"/>
      <c r="I233" s="2140"/>
      <c r="J233" s="517">
        <f t="shared" si="356"/>
        <v>0</v>
      </c>
      <c r="K233" s="2139"/>
      <c r="L233" s="1333"/>
      <c r="M233" s="2141"/>
      <c r="N233" s="611">
        <f t="shared" si="365"/>
        <v>0</v>
      </c>
      <c r="O233" s="2139"/>
      <c r="P233" s="1333"/>
      <c r="Q233" s="2140"/>
      <c r="R233" s="1336">
        <f t="shared" si="376"/>
        <v>0</v>
      </c>
      <c r="S233" s="2139"/>
      <c r="T233" s="1333"/>
      <c r="U233" s="2140"/>
      <c r="V233" s="1793">
        <f t="shared" si="377"/>
        <v>0</v>
      </c>
      <c r="W233" s="2139"/>
      <c r="X233" s="617"/>
      <c r="Y233" s="2141"/>
      <c r="Z233" s="1335">
        <f t="shared" si="378"/>
        <v>0</v>
      </c>
      <c r="AA233" s="2142"/>
      <c r="AB233" s="1334">
        <f t="shared" si="379"/>
        <v>0</v>
      </c>
      <c r="AC233" s="2139"/>
      <c r="AD233" s="1333">
        <v>0</v>
      </c>
      <c r="AE233" s="2140"/>
      <c r="AF233" s="1793">
        <f t="shared" si="380"/>
        <v>0</v>
      </c>
      <c r="AG233" s="2139"/>
      <c r="AH233" s="1333">
        <v>0</v>
      </c>
      <c r="AI233" s="2140"/>
      <c r="AJ233" s="1793">
        <f t="shared" si="381"/>
        <v>0</v>
      </c>
      <c r="AK233" s="2139"/>
      <c r="AL233" s="1333"/>
      <c r="AM233" s="2141"/>
      <c r="AN233" s="1335">
        <f t="shared" si="382"/>
        <v>0</v>
      </c>
      <c r="AO233" s="2140"/>
      <c r="AP233" s="1336">
        <f t="shared" si="383"/>
        <v>0</v>
      </c>
      <c r="AQ233" s="2139"/>
      <c r="AR233" s="1333">
        <v>0</v>
      </c>
      <c r="AS233" s="2140"/>
      <c r="AT233" s="517">
        <f t="shared" si="384"/>
        <v>0</v>
      </c>
      <c r="AU233" s="2139"/>
      <c r="AV233" s="1333"/>
      <c r="AW233" s="2140"/>
      <c r="AX233" s="517">
        <f t="shared" si="385"/>
        <v>0</v>
      </c>
      <c r="AY233" s="2139"/>
      <c r="AZ233" s="1333"/>
      <c r="BA233" s="2141"/>
      <c r="BB233" s="1335">
        <f t="shared" si="386"/>
        <v>0</v>
      </c>
      <c r="BC233" s="2142"/>
      <c r="BD233" s="1334">
        <f t="shared" si="387"/>
        <v>0</v>
      </c>
      <c r="BE233" s="2140"/>
      <c r="BF233" s="517">
        <f t="shared" si="388"/>
        <v>0</v>
      </c>
      <c r="BG233" s="1726"/>
      <c r="BH233" s="1726"/>
      <c r="BI233" s="1726"/>
      <c r="BJ233" s="1726"/>
      <c r="BK233" s="1726"/>
      <c r="BL233" s="1726"/>
      <c r="BM233" s="1726"/>
      <c r="BN233" s="1726"/>
      <c r="BO233" s="1726"/>
      <c r="BP233" s="1726"/>
      <c r="BQ233" s="1726"/>
      <c r="BR233" s="1726"/>
      <c r="BS233" s="1726"/>
      <c r="BT233" s="1726"/>
      <c r="BU233" s="1726"/>
      <c r="BV233" s="1726"/>
      <c r="BW233" s="1726"/>
      <c r="BX233" s="1726"/>
      <c r="BY233" s="1726"/>
      <c r="BZ233" s="1726"/>
      <c r="CA233" s="1726"/>
      <c r="CB233" s="1726"/>
      <c r="CC233" s="1726"/>
    </row>
    <row r="234" spans="1:81" s="1726" customFormat="1" ht="18.75" x14ac:dyDescent="0.25">
      <c r="A234" s="334"/>
      <c r="B234" s="646" t="s">
        <v>1128</v>
      </c>
      <c r="C234" s="2136" t="s">
        <v>1890</v>
      </c>
      <c r="D234" s="2137"/>
      <c r="E234" s="2138"/>
      <c r="F234" s="1509"/>
      <c r="G234" s="2139"/>
      <c r="H234" s="1333"/>
      <c r="I234" s="2140"/>
      <c r="J234" s="517">
        <f t="shared" si="356"/>
        <v>0</v>
      </c>
      <c r="K234" s="2139"/>
      <c r="L234" s="1333"/>
      <c r="M234" s="2141"/>
      <c r="N234" s="611"/>
      <c r="O234" s="2139"/>
      <c r="P234" s="1333"/>
      <c r="Q234" s="2140"/>
      <c r="R234" s="1336"/>
      <c r="S234" s="2139"/>
      <c r="T234" s="1333"/>
      <c r="U234" s="2140"/>
      <c r="V234" s="1793"/>
      <c r="W234" s="2139"/>
      <c r="X234" s="617"/>
      <c r="Y234" s="2141"/>
      <c r="Z234" s="1335"/>
      <c r="AA234" s="2142"/>
      <c r="AB234" s="1334"/>
      <c r="AC234" s="2139"/>
      <c r="AD234" s="1333"/>
      <c r="AE234" s="2140"/>
      <c r="AF234" s="1793"/>
      <c r="AG234" s="2139"/>
      <c r="AH234" s="1333"/>
      <c r="AI234" s="2140"/>
      <c r="AJ234" s="1793"/>
      <c r="AK234" s="2139"/>
      <c r="AL234" s="1333"/>
      <c r="AM234" s="2141"/>
      <c r="AN234" s="1335"/>
      <c r="AO234" s="2140"/>
      <c r="AP234" s="1336">
        <f t="shared" si="383"/>
        <v>0</v>
      </c>
      <c r="AQ234" s="2139"/>
      <c r="AR234" s="1333">
        <v>36.840000000000003</v>
      </c>
      <c r="AS234" s="2140"/>
      <c r="AT234" s="517">
        <f t="shared" si="384"/>
        <v>36.840000000000003</v>
      </c>
      <c r="AU234" s="2139"/>
      <c r="AV234" s="1333"/>
      <c r="AW234" s="2140"/>
      <c r="AX234" s="517">
        <f t="shared" si="385"/>
        <v>36.840000000000003</v>
      </c>
      <c r="AY234" s="2139"/>
      <c r="AZ234" s="1333"/>
      <c r="BA234" s="2141"/>
      <c r="BB234" s="1335">
        <f t="shared" si="386"/>
        <v>36.840000000000003</v>
      </c>
      <c r="BC234" s="2142"/>
      <c r="BD234" s="1334">
        <f t="shared" si="387"/>
        <v>36.840000000000003</v>
      </c>
      <c r="BE234" s="2140"/>
      <c r="BF234" s="517">
        <f t="shared" si="388"/>
        <v>36.840000000000003</v>
      </c>
    </row>
    <row r="235" spans="1:81" s="1384" customFormat="1" ht="18.75" x14ac:dyDescent="0.25">
      <c r="A235" s="334"/>
      <c r="B235" s="646" t="s">
        <v>1128</v>
      </c>
      <c r="C235" s="2136" t="s">
        <v>1147</v>
      </c>
      <c r="D235" s="2137"/>
      <c r="E235" s="2138"/>
      <c r="F235" s="1509">
        <v>2921</v>
      </c>
      <c r="G235" s="2139"/>
      <c r="H235" s="1333"/>
      <c r="I235" s="2140"/>
      <c r="J235" s="517">
        <f t="shared" si="356"/>
        <v>2921</v>
      </c>
      <c r="K235" s="2139"/>
      <c r="L235" s="1333"/>
      <c r="M235" s="2141"/>
      <c r="N235" s="611">
        <f t="shared" si="365"/>
        <v>2921</v>
      </c>
      <c r="O235" s="2139"/>
      <c r="P235" s="1333"/>
      <c r="Q235" s="2140"/>
      <c r="R235" s="1336">
        <f t="shared" si="376"/>
        <v>2921</v>
      </c>
      <c r="S235" s="2139"/>
      <c r="T235" s="1333"/>
      <c r="U235" s="2140"/>
      <c r="V235" s="1793">
        <f t="shared" si="377"/>
        <v>2921</v>
      </c>
      <c r="W235" s="2139"/>
      <c r="X235" s="617"/>
      <c r="Y235" s="2141"/>
      <c r="Z235" s="1335">
        <f t="shared" si="378"/>
        <v>0</v>
      </c>
      <c r="AA235" s="2142"/>
      <c r="AB235" s="1334">
        <f t="shared" si="379"/>
        <v>2921</v>
      </c>
      <c r="AC235" s="2139"/>
      <c r="AD235" s="1333">
        <v>0</v>
      </c>
      <c r="AE235" s="2140"/>
      <c r="AF235" s="1793">
        <f t="shared" si="380"/>
        <v>2921</v>
      </c>
      <c r="AG235" s="2139"/>
      <c r="AH235" s="1333">
        <v>0</v>
      </c>
      <c r="AI235" s="2140"/>
      <c r="AJ235" s="1793">
        <f t="shared" si="381"/>
        <v>2921</v>
      </c>
      <c r="AK235" s="2139"/>
      <c r="AL235" s="1333"/>
      <c r="AM235" s="2141"/>
      <c r="AN235" s="1335">
        <f t="shared" si="382"/>
        <v>0</v>
      </c>
      <c r="AO235" s="2140"/>
      <c r="AP235" s="1336">
        <f t="shared" si="383"/>
        <v>2921</v>
      </c>
      <c r="AQ235" s="2139"/>
      <c r="AR235" s="1333">
        <v>1839.5100000000004</v>
      </c>
      <c r="AS235" s="2140"/>
      <c r="AT235" s="517">
        <f t="shared" si="384"/>
        <v>4760.51</v>
      </c>
      <c r="AU235" s="2139"/>
      <c r="AV235" s="1333">
        <v>3283.3100000000004</v>
      </c>
      <c r="AW235" s="2140"/>
      <c r="AX235" s="517">
        <f t="shared" si="385"/>
        <v>8043.8200000000006</v>
      </c>
      <c r="AY235" s="2139"/>
      <c r="AZ235" s="1333">
        <v>10096.370000000003</v>
      </c>
      <c r="BA235" s="2141"/>
      <c r="BB235" s="1335">
        <f t="shared" si="386"/>
        <v>15219.190000000002</v>
      </c>
      <c r="BC235" s="2142"/>
      <c r="BD235" s="1334">
        <f t="shared" si="387"/>
        <v>15219.190000000002</v>
      </c>
      <c r="BE235" s="2140"/>
      <c r="BF235" s="517">
        <f t="shared" si="388"/>
        <v>18140.190000000002</v>
      </c>
      <c r="BG235" s="1726"/>
      <c r="BH235" s="1726"/>
      <c r="BI235" s="1726"/>
      <c r="BJ235" s="1726"/>
      <c r="BK235" s="1726"/>
      <c r="BL235" s="1726"/>
      <c r="BM235" s="1726"/>
      <c r="BN235" s="1726"/>
      <c r="BO235" s="1726"/>
      <c r="BP235" s="1726"/>
      <c r="BQ235" s="1726"/>
      <c r="BR235" s="1726"/>
      <c r="BS235" s="1726"/>
      <c r="BT235" s="1726"/>
      <c r="BU235" s="1726"/>
      <c r="BV235" s="1726"/>
      <c r="BW235" s="1726"/>
      <c r="BX235" s="1726"/>
      <c r="BY235" s="1726"/>
      <c r="BZ235" s="1726"/>
      <c r="CA235" s="1726"/>
      <c r="CB235" s="1726"/>
      <c r="CC235" s="1726"/>
    </row>
    <row r="236" spans="1:81" s="1726" customFormat="1" ht="18.75" x14ac:dyDescent="0.25">
      <c r="A236" s="334"/>
      <c r="B236" s="646" t="s">
        <v>1128</v>
      </c>
      <c r="C236" s="2102" t="s">
        <v>1163</v>
      </c>
      <c r="D236" s="2137"/>
      <c r="E236" s="2138"/>
      <c r="F236" s="1509"/>
      <c r="G236" s="2139"/>
      <c r="H236" s="1333"/>
      <c r="I236" s="2140"/>
      <c r="J236" s="517">
        <f t="shared" si="356"/>
        <v>0</v>
      </c>
      <c r="K236" s="2139"/>
      <c r="L236" s="1333"/>
      <c r="M236" s="2141"/>
      <c r="N236" s="611"/>
      <c r="O236" s="2139"/>
      <c r="P236" s="1333"/>
      <c r="Q236" s="2140"/>
      <c r="R236" s="1336"/>
      <c r="S236" s="2139"/>
      <c r="T236" s="1333"/>
      <c r="U236" s="2140"/>
      <c r="V236" s="1793"/>
      <c r="W236" s="2139"/>
      <c r="X236" s="617"/>
      <c r="Y236" s="2141"/>
      <c r="Z236" s="1335"/>
      <c r="AA236" s="2142"/>
      <c r="AB236" s="1334"/>
      <c r="AC236" s="2139"/>
      <c r="AD236" s="1333"/>
      <c r="AE236" s="2140"/>
      <c r="AF236" s="1793"/>
      <c r="AG236" s="2139"/>
      <c r="AH236" s="1333"/>
      <c r="AI236" s="2140"/>
      <c r="AJ236" s="1793"/>
      <c r="AK236" s="2139"/>
      <c r="AL236" s="1333"/>
      <c r="AM236" s="2141"/>
      <c r="AN236" s="1335"/>
      <c r="AO236" s="2140"/>
      <c r="AP236" s="1336">
        <f t="shared" si="383"/>
        <v>0</v>
      </c>
      <c r="AQ236" s="2139"/>
      <c r="AR236" s="1333">
        <v>4330.8200000000006</v>
      </c>
      <c r="AS236" s="2140"/>
      <c r="AT236" s="517">
        <f t="shared" si="384"/>
        <v>4330.8200000000006</v>
      </c>
      <c r="AU236" s="2139"/>
      <c r="AV236" s="1333"/>
      <c r="AW236" s="2140"/>
      <c r="AX236" s="517">
        <f t="shared" si="385"/>
        <v>4330.8200000000006</v>
      </c>
      <c r="AY236" s="2139"/>
      <c r="AZ236" s="1333"/>
      <c r="BA236" s="2141"/>
      <c r="BB236" s="1335">
        <f t="shared" si="386"/>
        <v>4330.8200000000006</v>
      </c>
      <c r="BC236" s="2142"/>
      <c r="BD236" s="1334">
        <f t="shared" si="387"/>
        <v>4330.8200000000006</v>
      </c>
      <c r="BE236" s="2140"/>
      <c r="BF236" s="517">
        <f t="shared" si="388"/>
        <v>4330.8200000000006</v>
      </c>
    </row>
    <row r="237" spans="1:81" s="1726" customFormat="1" ht="18.75" x14ac:dyDescent="0.25">
      <c r="A237" s="334"/>
      <c r="B237" s="646" t="s">
        <v>1128</v>
      </c>
      <c r="C237" s="2102" t="s">
        <v>1428</v>
      </c>
      <c r="D237" s="2137"/>
      <c r="E237" s="2138"/>
      <c r="F237" s="1509"/>
      <c r="G237" s="2139"/>
      <c r="H237" s="1333"/>
      <c r="I237" s="2140"/>
      <c r="J237" s="517">
        <f t="shared" si="356"/>
        <v>0</v>
      </c>
      <c r="K237" s="2139"/>
      <c r="L237" s="1333"/>
      <c r="M237" s="2141"/>
      <c r="N237" s="611"/>
      <c r="O237" s="2139"/>
      <c r="P237" s="1333"/>
      <c r="Q237" s="2140"/>
      <c r="R237" s="1336"/>
      <c r="S237" s="2139"/>
      <c r="T237" s="1333"/>
      <c r="U237" s="2140"/>
      <c r="V237" s="1793"/>
      <c r="W237" s="2139"/>
      <c r="X237" s="617"/>
      <c r="Y237" s="2141"/>
      <c r="Z237" s="1335"/>
      <c r="AA237" s="2142"/>
      <c r="AB237" s="1334"/>
      <c r="AC237" s="2139"/>
      <c r="AD237" s="1333"/>
      <c r="AE237" s="2140"/>
      <c r="AF237" s="1793"/>
      <c r="AG237" s="2139"/>
      <c r="AH237" s="1333"/>
      <c r="AI237" s="2140"/>
      <c r="AJ237" s="1793"/>
      <c r="AK237" s="2139"/>
      <c r="AL237" s="1333"/>
      <c r="AM237" s="2141"/>
      <c r="AN237" s="1335"/>
      <c r="AO237" s="2140"/>
      <c r="AP237" s="1336"/>
      <c r="AQ237" s="2139"/>
      <c r="AR237" s="1333"/>
      <c r="AS237" s="2140"/>
      <c r="AT237" s="517"/>
      <c r="AU237" s="2139"/>
      <c r="AV237" s="1333">
        <v>2628.0799999999995</v>
      </c>
      <c r="AW237" s="2140"/>
      <c r="AX237" s="517">
        <f t="shared" si="385"/>
        <v>2628.0799999999995</v>
      </c>
      <c r="AY237" s="2139"/>
      <c r="AZ237" s="1333">
        <v>1962.3900000000006</v>
      </c>
      <c r="BA237" s="2141"/>
      <c r="BB237" s="1335">
        <f t="shared" si="386"/>
        <v>4590.47</v>
      </c>
      <c r="BC237" s="2142"/>
      <c r="BD237" s="1334">
        <f t="shared" si="387"/>
        <v>4590.47</v>
      </c>
      <c r="BE237" s="2140"/>
      <c r="BF237" s="517">
        <f t="shared" si="388"/>
        <v>4590.47</v>
      </c>
    </row>
    <row r="238" spans="1:81" s="1384" customFormat="1" ht="18.75" x14ac:dyDescent="0.25">
      <c r="A238" s="334"/>
      <c r="B238" s="2143" t="s">
        <v>1129</v>
      </c>
      <c r="C238" s="2136" t="s">
        <v>1147</v>
      </c>
      <c r="D238" s="2137"/>
      <c r="E238" s="2144"/>
      <c r="F238" s="1509">
        <v>10028.290000000001</v>
      </c>
      <c r="G238" s="2145"/>
      <c r="H238" s="1333">
        <v>621.52</v>
      </c>
      <c r="I238" s="606"/>
      <c r="J238" s="517">
        <f t="shared" si="356"/>
        <v>10649.810000000001</v>
      </c>
      <c r="K238" s="2145"/>
      <c r="L238" s="1333">
        <v>14027.789999999999</v>
      </c>
      <c r="M238" s="621"/>
      <c r="N238" s="611">
        <f t="shared" si="365"/>
        <v>24677.599999999999</v>
      </c>
      <c r="O238" s="2145"/>
      <c r="P238" s="1333">
        <v>9342.24</v>
      </c>
      <c r="Q238" s="606"/>
      <c r="R238" s="1336">
        <f t="shared" si="376"/>
        <v>34019.839999999997</v>
      </c>
      <c r="S238" s="2145"/>
      <c r="T238" s="1333">
        <v>64</v>
      </c>
      <c r="U238" s="606"/>
      <c r="V238" s="1793">
        <f t="shared" si="377"/>
        <v>34083.839999999997</v>
      </c>
      <c r="W238" s="2145"/>
      <c r="X238" s="617">
        <v>13443.14</v>
      </c>
      <c r="Y238" s="621"/>
      <c r="Z238" s="1335">
        <f t="shared" si="378"/>
        <v>22849.379999999997</v>
      </c>
      <c r="AA238" s="1208"/>
      <c r="AB238" s="1334">
        <f t="shared" si="379"/>
        <v>47526.979999999996</v>
      </c>
      <c r="AC238" s="2145"/>
      <c r="AD238" s="1333">
        <v>1250.44</v>
      </c>
      <c r="AE238" s="606"/>
      <c r="AF238" s="1793">
        <f t="shared" si="380"/>
        <v>48777.42</v>
      </c>
      <c r="AG238" s="2145"/>
      <c r="AH238" s="1333">
        <v>13422.919999999998</v>
      </c>
      <c r="AI238" s="606"/>
      <c r="AJ238" s="1793">
        <f t="shared" si="381"/>
        <v>62200.34</v>
      </c>
      <c r="AK238" s="2145"/>
      <c r="AL238" s="1333">
        <v>11846.599999999997</v>
      </c>
      <c r="AM238" s="621"/>
      <c r="AN238" s="1335">
        <f t="shared" si="382"/>
        <v>26519.959999999995</v>
      </c>
      <c r="AO238" s="606"/>
      <c r="AP238" s="1336">
        <f t="shared" si="383"/>
        <v>74046.939999999988</v>
      </c>
      <c r="AQ238" s="2145"/>
      <c r="AR238" s="1333">
        <v>10077.229999999996</v>
      </c>
      <c r="AS238" s="606"/>
      <c r="AT238" s="517">
        <f t="shared" si="384"/>
        <v>84124.169999999984</v>
      </c>
      <c r="AU238" s="2145"/>
      <c r="AV238" s="1333">
        <v>308.05</v>
      </c>
      <c r="AW238" s="606"/>
      <c r="AX238" s="517">
        <f t="shared" si="385"/>
        <v>84432.219999999987</v>
      </c>
      <c r="AY238" s="2145"/>
      <c r="AZ238" s="1333">
        <v>10681.489999999998</v>
      </c>
      <c r="BA238" s="621"/>
      <c r="BB238" s="1335">
        <f t="shared" si="386"/>
        <v>21066.769999999993</v>
      </c>
      <c r="BC238" s="1208"/>
      <c r="BD238" s="1334">
        <f t="shared" si="387"/>
        <v>47586.729999999989</v>
      </c>
      <c r="BE238" s="606"/>
      <c r="BF238" s="517">
        <f t="shared" si="388"/>
        <v>95113.709999999992</v>
      </c>
      <c r="BG238" s="1726"/>
      <c r="BH238" s="1726"/>
      <c r="BI238" s="1726"/>
      <c r="BJ238" s="1726"/>
      <c r="BK238" s="1726"/>
      <c r="BL238" s="1726"/>
      <c r="BM238" s="1726"/>
      <c r="BN238" s="1726"/>
      <c r="BO238" s="1726"/>
      <c r="BP238" s="1726"/>
      <c r="BQ238" s="1726"/>
      <c r="BR238" s="1726"/>
      <c r="BS238" s="1726"/>
      <c r="BT238" s="1726"/>
      <c r="BU238" s="1726"/>
      <c r="BV238" s="1726"/>
      <c r="BW238" s="1726"/>
      <c r="BX238" s="1726"/>
      <c r="BY238" s="1726"/>
      <c r="BZ238" s="1726"/>
      <c r="CA238" s="1726"/>
      <c r="CB238" s="1726"/>
      <c r="CC238" s="1726"/>
    </row>
    <row r="239" spans="1:81" s="1384" customFormat="1" ht="18.75" x14ac:dyDescent="0.25">
      <c r="A239" s="334"/>
      <c r="B239" s="646" t="s">
        <v>1129</v>
      </c>
      <c r="C239" s="2102" t="s">
        <v>1163</v>
      </c>
      <c r="D239" s="2103"/>
      <c r="E239" s="2138"/>
      <c r="F239" s="1509">
        <v>4734.2299999999996</v>
      </c>
      <c r="G239" s="2139"/>
      <c r="H239" s="1333">
        <v>638.04</v>
      </c>
      <c r="I239" s="2140"/>
      <c r="J239" s="517">
        <f t="shared" si="356"/>
        <v>5372.2699999999995</v>
      </c>
      <c r="K239" s="2139"/>
      <c r="L239" s="1333">
        <v>4668.7599999999993</v>
      </c>
      <c r="M239" s="2141"/>
      <c r="N239" s="611">
        <f t="shared" si="365"/>
        <v>10041.029999999999</v>
      </c>
      <c r="O239" s="2139"/>
      <c r="P239" s="1333">
        <v>3402.1</v>
      </c>
      <c r="Q239" s="2140"/>
      <c r="R239" s="1336">
        <f t="shared" si="376"/>
        <v>13443.13</v>
      </c>
      <c r="S239" s="2139"/>
      <c r="T239" s="1333"/>
      <c r="U239" s="2140"/>
      <c r="V239" s="1793">
        <f t="shared" si="377"/>
        <v>13443.13</v>
      </c>
      <c r="W239" s="2139"/>
      <c r="X239" s="617">
        <v>6380.02</v>
      </c>
      <c r="Y239" s="2141"/>
      <c r="Z239" s="1335">
        <f t="shared" si="378"/>
        <v>9782.1200000000008</v>
      </c>
      <c r="AA239" s="2142"/>
      <c r="AB239" s="1334">
        <f t="shared" si="379"/>
        <v>19823.150000000001</v>
      </c>
      <c r="AC239" s="2139"/>
      <c r="AD239" s="1333">
        <v>884.15</v>
      </c>
      <c r="AE239" s="2140"/>
      <c r="AF239" s="1793">
        <f t="shared" si="380"/>
        <v>20707.300000000003</v>
      </c>
      <c r="AG239" s="2139"/>
      <c r="AH239" s="1333">
        <v>7543.9599999999991</v>
      </c>
      <c r="AI239" s="2140"/>
      <c r="AJ239" s="1793">
        <f t="shared" si="381"/>
        <v>28251.260000000002</v>
      </c>
      <c r="AK239" s="2139"/>
      <c r="AL239" s="1333">
        <v>2258.7199999999998</v>
      </c>
      <c r="AM239" s="2141"/>
      <c r="AN239" s="1335">
        <f t="shared" si="382"/>
        <v>10686.829999999998</v>
      </c>
      <c r="AO239" s="2140"/>
      <c r="AP239" s="1336">
        <f t="shared" si="383"/>
        <v>30509.980000000003</v>
      </c>
      <c r="AQ239" s="2139"/>
      <c r="AR239" s="1333">
        <v>6305.5600000000013</v>
      </c>
      <c r="AS239" s="2140"/>
      <c r="AT239" s="517">
        <f t="shared" si="384"/>
        <v>36815.540000000008</v>
      </c>
      <c r="AU239" s="2139"/>
      <c r="AV239" s="1333">
        <v>2420.7399999999998</v>
      </c>
      <c r="AW239" s="2140"/>
      <c r="AX239" s="517">
        <f t="shared" si="385"/>
        <v>39236.280000000006</v>
      </c>
      <c r="AY239" s="2139"/>
      <c r="AZ239" s="1333">
        <v>9102.9599999999973</v>
      </c>
      <c r="BA239" s="2141"/>
      <c r="BB239" s="1335">
        <f t="shared" si="386"/>
        <v>17829.259999999998</v>
      </c>
      <c r="BC239" s="2142"/>
      <c r="BD239" s="1334">
        <f t="shared" si="387"/>
        <v>28516.089999999997</v>
      </c>
      <c r="BE239" s="2140"/>
      <c r="BF239" s="517">
        <f t="shared" si="388"/>
        <v>48339.240000000005</v>
      </c>
      <c r="BG239" s="1726"/>
      <c r="BH239" s="1726"/>
      <c r="BI239" s="1726"/>
      <c r="BJ239" s="1726"/>
      <c r="BK239" s="1726"/>
      <c r="BL239" s="1726"/>
      <c r="BM239" s="1726"/>
      <c r="BN239" s="1726"/>
      <c r="BO239" s="1726"/>
      <c r="BP239" s="1726"/>
      <c r="BQ239" s="1726"/>
      <c r="BR239" s="1726"/>
      <c r="BS239" s="1726"/>
      <c r="BT239" s="1726"/>
      <c r="BU239" s="1726"/>
      <c r="BV239" s="1726"/>
      <c r="BW239" s="1726"/>
      <c r="BX239" s="1726"/>
      <c r="BY239" s="1726"/>
      <c r="BZ239" s="1726"/>
      <c r="CA239" s="1726"/>
      <c r="CB239" s="1726"/>
      <c r="CC239" s="1726"/>
    </row>
    <row r="240" spans="1:81" s="4515" customFormat="1" ht="18.75" x14ac:dyDescent="0.25">
      <c r="A240" s="334"/>
      <c r="B240" s="646" t="s">
        <v>1129</v>
      </c>
      <c r="C240" s="2102" t="s">
        <v>1863</v>
      </c>
      <c r="D240" s="2103"/>
      <c r="E240" s="2138"/>
      <c r="F240" s="1509"/>
      <c r="G240" s="2139"/>
      <c r="H240" s="1333"/>
      <c r="I240" s="2140"/>
      <c r="J240" s="517"/>
      <c r="K240" s="2139"/>
      <c r="L240" s="1333"/>
      <c r="M240" s="2141"/>
      <c r="N240" s="611"/>
      <c r="O240" s="2139"/>
      <c r="P240" s="1333"/>
      <c r="Q240" s="2140"/>
      <c r="R240" s="1336"/>
      <c r="S240" s="2139"/>
      <c r="T240" s="1333"/>
      <c r="U240" s="2140"/>
      <c r="V240" s="1793"/>
      <c r="W240" s="2139"/>
      <c r="X240" s="617"/>
      <c r="Y240" s="2141"/>
      <c r="Z240" s="1335"/>
      <c r="AA240" s="2142"/>
      <c r="AB240" s="1334"/>
      <c r="AC240" s="2139"/>
      <c r="AD240" s="1333"/>
      <c r="AE240" s="2140"/>
      <c r="AF240" s="1793"/>
      <c r="AG240" s="2139"/>
      <c r="AH240" s="1333"/>
      <c r="AI240" s="2140"/>
      <c r="AJ240" s="1793"/>
      <c r="AK240" s="2139"/>
      <c r="AL240" s="1333"/>
      <c r="AM240" s="2141"/>
      <c r="AN240" s="1335"/>
      <c r="AO240" s="2140"/>
      <c r="AP240" s="1336"/>
      <c r="AQ240" s="2139"/>
      <c r="AR240" s="1333"/>
      <c r="AS240" s="2140"/>
      <c r="AT240" s="517"/>
      <c r="AU240" s="2139"/>
      <c r="AV240" s="1333"/>
      <c r="AW240" s="2140"/>
      <c r="AX240" s="517"/>
      <c r="AY240" s="2139"/>
      <c r="AZ240" s="1333">
        <v>2163.88</v>
      </c>
      <c r="BA240" s="2141"/>
      <c r="BB240" s="1335">
        <f t="shared" si="386"/>
        <v>2163.88</v>
      </c>
      <c r="BC240" s="2142"/>
      <c r="BD240" s="1334">
        <f t="shared" si="387"/>
        <v>2163.88</v>
      </c>
      <c r="BE240" s="2140"/>
      <c r="BF240" s="517">
        <f t="shared" si="388"/>
        <v>2163.88</v>
      </c>
    </row>
    <row r="241" spans="1:81" s="1384" customFormat="1" ht="18.75" x14ac:dyDescent="0.25">
      <c r="A241" s="334"/>
      <c r="B241" s="646" t="s">
        <v>1129</v>
      </c>
      <c r="C241" s="2102" t="s">
        <v>1428</v>
      </c>
      <c r="D241" s="2103"/>
      <c r="E241" s="2138"/>
      <c r="F241" s="1509"/>
      <c r="G241" s="2139"/>
      <c r="H241" s="1333"/>
      <c r="I241" s="2140"/>
      <c r="J241" s="517">
        <f t="shared" si="356"/>
        <v>0</v>
      </c>
      <c r="K241" s="2139"/>
      <c r="L241" s="1333">
        <v>956.55</v>
      </c>
      <c r="M241" s="2141"/>
      <c r="N241" s="611">
        <f t="shared" si="365"/>
        <v>956.55</v>
      </c>
      <c r="O241" s="2139"/>
      <c r="P241" s="1333">
        <v>1139.68</v>
      </c>
      <c r="Q241" s="2140"/>
      <c r="R241" s="1336">
        <f t="shared" si="376"/>
        <v>2096.23</v>
      </c>
      <c r="S241" s="2139"/>
      <c r="T241" s="1333">
        <v>32.86</v>
      </c>
      <c r="U241" s="2140"/>
      <c r="V241" s="1793">
        <f t="shared" si="377"/>
        <v>2129.09</v>
      </c>
      <c r="W241" s="2139"/>
      <c r="X241" s="617">
        <v>939.67999999999984</v>
      </c>
      <c r="Y241" s="2141"/>
      <c r="Z241" s="1335">
        <f t="shared" si="378"/>
        <v>2112.2199999999998</v>
      </c>
      <c r="AA241" s="2142"/>
      <c r="AB241" s="1334">
        <f t="shared" si="379"/>
        <v>3068.77</v>
      </c>
      <c r="AC241" s="2139"/>
      <c r="AD241" s="1333">
        <v>251.26</v>
      </c>
      <c r="AE241" s="2140"/>
      <c r="AF241" s="1793">
        <f t="shared" si="380"/>
        <v>3320.0299999999997</v>
      </c>
      <c r="AG241" s="2139"/>
      <c r="AH241" s="1333">
        <v>0</v>
      </c>
      <c r="AI241" s="2140"/>
      <c r="AJ241" s="1793">
        <f t="shared" si="381"/>
        <v>3320.0299999999997</v>
      </c>
      <c r="AK241" s="2139"/>
      <c r="AL241" s="1333"/>
      <c r="AM241" s="2141"/>
      <c r="AN241" s="1335">
        <f t="shared" si="382"/>
        <v>251.26</v>
      </c>
      <c r="AO241" s="2140"/>
      <c r="AP241" s="1336">
        <f t="shared" si="383"/>
        <v>3320.0299999999997</v>
      </c>
      <c r="AQ241" s="2139"/>
      <c r="AR241" s="1333">
        <v>1204.68</v>
      </c>
      <c r="AS241" s="2140"/>
      <c r="AT241" s="517">
        <f t="shared" si="384"/>
        <v>4524.71</v>
      </c>
      <c r="AU241" s="2139"/>
      <c r="AV241" s="1333">
        <v>37.21</v>
      </c>
      <c r="AW241" s="2140"/>
      <c r="AX241" s="517">
        <f t="shared" si="385"/>
        <v>4561.92</v>
      </c>
      <c r="AY241" s="2139"/>
      <c r="AZ241" s="1333">
        <v>851.4</v>
      </c>
      <c r="BA241" s="2141"/>
      <c r="BB241" s="1335">
        <f t="shared" si="386"/>
        <v>2093.29</v>
      </c>
      <c r="BC241" s="2142"/>
      <c r="BD241" s="1334">
        <f t="shared" si="387"/>
        <v>2344.5500000000002</v>
      </c>
      <c r="BE241" s="2140"/>
      <c r="BF241" s="517">
        <f t="shared" si="388"/>
        <v>5413.32</v>
      </c>
      <c r="BG241" s="1726"/>
      <c r="BH241" s="1726"/>
      <c r="BI241" s="1726"/>
      <c r="BJ241" s="1726"/>
      <c r="BK241" s="1726"/>
      <c r="BL241" s="1726"/>
      <c r="BM241" s="1726"/>
      <c r="BN241" s="1726"/>
      <c r="BO241" s="1726"/>
      <c r="BP241" s="1726"/>
      <c r="BQ241" s="1726"/>
      <c r="BR241" s="1726"/>
      <c r="BS241" s="1726"/>
      <c r="BT241" s="1726"/>
      <c r="BU241" s="1726"/>
      <c r="BV241" s="1726"/>
      <c r="BW241" s="1726"/>
      <c r="BX241" s="1726"/>
      <c r="BY241" s="1726"/>
      <c r="BZ241" s="1726"/>
      <c r="CA241" s="1726"/>
      <c r="CB241" s="1726"/>
      <c r="CC241" s="1726"/>
    </row>
    <row r="242" spans="1:81" s="1384" customFormat="1" ht="18.75" x14ac:dyDescent="0.25">
      <c r="A242" s="334"/>
      <c r="B242" s="646" t="s">
        <v>1129</v>
      </c>
      <c r="C242" s="2102" t="s">
        <v>1164</v>
      </c>
      <c r="D242" s="2103"/>
      <c r="E242" s="2138"/>
      <c r="F242" s="1509">
        <v>1186.1199999999999</v>
      </c>
      <c r="G242" s="2139"/>
      <c r="H242" s="1333">
        <v>746.96</v>
      </c>
      <c r="I242" s="2140"/>
      <c r="J242" s="517">
        <f t="shared" si="356"/>
        <v>1933.08</v>
      </c>
      <c r="K242" s="2139"/>
      <c r="L242" s="1333">
        <v>2588.4900000000007</v>
      </c>
      <c r="M242" s="2141"/>
      <c r="N242" s="611">
        <f t="shared" si="365"/>
        <v>4521.5700000000006</v>
      </c>
      <c r="O242" s="2139"/>
      <c r="P242" s="1333">
        <v>2071.02</v>
      </c>
      <c r="Q242" s="2140"/>
      <c r="R242" s="1336">
        <f t="shared" si="376"/>
        <v>6592.59</v>
      </c>
      <c r="S242" s="2139"/>
      <c r="T242" s="1333">
        <v>64</v>
      </c>
      <c r="U242" s="2140"/>
      <c r="V242" s="1793">
        <f t="shared" si="377"/>
        <v>6656.59</v>
      </c>
      <c r="W242" s="2139"/>
      <c r="X242" s="617">
        <v>3222.7200000000003</v>
      </c>
      <c r="Y242" s="2141"/>
      <c r="Z242" s="1335">
        <f t="shared" si="378"/>
        <v>5357.74</v>
      </c>
      <c r="AA242" s="2142"/>
      <c r="AB242" s="1334">
        <f t="shared" si="379"/>
        <v>9879.3100000000013</v>
      </c>
      <c r="AC242" s="2139"/>
      <c r="AD242" s="1333">
        <v>0</v>
      </c>
      <c r="AE242" s="2140"/>
      <c r="AF242" s="1793">
        <f t="shared" si="380"/>
        <v>9879.3100000000013</v>
      </c>
      <c r="AG242" s="2139"/>
      <c r="AH242" s="1333">
        <v>2305.56</v>
      </c>
      <c r="AI242" s="2140"/>
      <c r="AJ242" s="1793">
        <f t="shared" si="381"/>
        <v>12184.87</v>
      </c>
      <c r="AK242" s="2139"/>
      <c r="AL242" s="1333">
        <v>65.300000000000011</v>
      </c>
      <c r="AM242" s="2141"/>
      <c r="AN242" s="1335">
        <f t="shared" si="382"/>
        <v>2370.86</v>
      </c>
      <c r="AO242" s="2140"/>
      <c r="AP242" s="1336">
        <f t="shared" si="383"/>
        <v>12250.17</v>
      </c>
      <c r="AQ242" s="2139"/>
      <c r="AR242" s="1333">
        <v>4817.66</v>
      </c>
      <c r="AS242" s="2140"/>
      <c r="AT242" s="517">
        <f t="shared" si="384"/>
        <v>17067.830000000002</v>
      </c>
      <c r="AU242" s="2139"/>
      <c r="AV242" s="1333">
        <v>19.89</v>
      </c>
      <c r="AW242" s="2140"/>
      <c r="AX242" s="517">
        <f t="shared" si="385"/>
        <v>17087.72</v>
      </c>
      <c r="AY242" s="2139"/>
      <c r="AZ242" s="1333">
        <v>2434.46</v>
      </c>
      <c r="BA242" s="2141"/>
      <c r="BB242" s="1335">
        <f t="shared" si="386"/>
        <v>7272.01</v>
      </c>
      <c r="BC242" s="2142"/>
      <c r="BD242" s="1334">
        <f t="shared" si="387"/>
        <v>9642.8700000000008</v>
      </c>
      <c r="BE242" s="2140"/>
      <c r="BF242" s="517">
        <f t="shared" si="388"/>
        <v>19522.18</v>
      </c>
      <c r="BG242" s="1726"/>
      <c r="BH242" s="1726"/>
      <c r="BI242" s="1726"/>
      <c r="BJ242" s="1726"/>
      <c r="BK242" s="1726"/>
      <c r="BL242" s="1726"/>
      <c r="BM242" s="1726"/>
      <c r="BN242" s="1726"/>
      <c r="BO242" s="1726"/>
      <c r="BP242" s="1726"/>
      <c r="BQ242" s="1726"/>
      <c r="BR242" s="1726"/>
      <c r="BS242" s="1726"/>
      <c r="BT242" s="1726"/>
      <c r="BU242" s="1726"/>
      <c r="BV242" s="1726"/>
      <c r="BW242" s="1726"/>
      <c r="BX242" s="1726"/>
      <c r="BY242" s="1726"/>
      <c r="BZ242" s="1726"/>
      <c r="CA242" s="1726"/>
      <c r="CB242" s="1726"/>
      <c r="CC242" s="1726"/>
    </row>
    <row r="243" spans="1:81" s="1587" customFormat="1" ht="18.75" x14ac:dyDescent="0.25">
      <c r="A243" s="334"/>
      <c r="B243" s="646" t="s">
        <v>1129</v>
      </c>
      <c r="C243" s="2136" t="s">
        <v>1429</v>
      </c>
      <c r="D243" s="2137"/>
      <c r="E243" s="2138"/>
      <c r="F243" s="1509"/>
      <c r="G243" s="2139"/>
      <c r="H243" s="1333"/>
      <c r="I243" s="2140"/>
      <c r="J243" s="517">
        <f t="shared" si="356"/>
        <v>0</v>
      </c>
      <c r="K243" s="2139"/>
      <c r="L243" s="1333"/>
      <c r="M243" s="2141"/>
      <c r="N243" s="611">
        <f t="shared" si="365"/>
        <v>0</v>
      </c>
      <c r="O243" s="2139"/>
      <c r="P243" s="1333">
        <v>1006.86</v>
      </c>
      <c r="Q243" s="2140"/>
      <c r="R243" s="1336">
        <f t="shared" si="376"/>
        <v>1006.86</v>
      </c>
      <c r="S243" s="2139"/>
      <c r="T243" s="1333"/>
      <c r="U243" s="2140"/>
      <c r="V243" s="1793">
        <f t="shared" si="377"/>
        <v>1006.86</v>
      </c>
      <c r="W243" s="2139"/>
      <c r="X243" s="617"/>
      <c r="Y243" s="2141"/>
      <c r="Z243" s="1335">
        <f t="shared" si="378"/>
        <v>1006.86</v>
      </c>
      <c r="AA243" s="2142"/>
      <c r="AB243" s="1334">
        <f t="shared" si="379"/>
        <v>1006.86</v>
      </c>
      <c r="AC243" s="2139"/>
      <c r="AD243" s="1333">
        <v>0</v>
      </c>
      <c r="AE243" s="2140"/>
      <c r="AF243" s="1793">
        <f t="shared" si="380"/>
        <v>1006.86</v>
      </c>
      <c r="AG243" s="2139"/>
      <c r="AH243" s="1333">
        <v>995.78</v>
      </c>
      <c r="AI243" s="2140"/>
      <c r="AJ243" s="1793">
        <f t="shared" si="381"/>
        <v>2002.6399999999999</v>
      </c>
      <c r="AK243" s="2139"/>
      <c r="AL243" s="1333"/>
      <c r="AM243" s="2141"/>
      <c r="AN243" s="1335">
        <f t="shared" si="382"/>
        <v>995.78</v>
      </c>
      <c r="AO243" s="2140"/>
      <c r="AP243" s="1336">
        <f t="shared" si="383"/>
        <v>2002.6399999999999</v>
      </c>
      <c r="AQ243" s="2139"/>
      <c r="AR243" s="1333">
        <v>0</v>
      </c>
      <c r="AS243" s="2140"/>
      <c r="AT243" s="517">
        <f t="shared" si="384"/>
        <v>2002.6399999999999</v>
      </c>
      <c r="AU243" s="2139"/>
      <c r="AV243" s="1333"/>
      <c r="AW243" s="2140"/>
      <c r="AX243" s="517">
        <f t="shared" si="385"/>
        <v>2002.6399999999999</v>
      </c>
      <c r="AY243" s="2139"/>
      <c r="AZ243" s="1333"/>
      <c r="BA243" s="2141"/>
      <c r="BB243" s="1335">
        <f t="shared" si="386"/>
        <v>0</v>
      </c>
      <c r="BC243" s="2142"/>
      <c r="BD243" s="1334">
        <f t="shared" si="387"/>
        <v>995.78</v>
      </c>
      <c r="BE243" s="2140"/>
      <c r="BF243" s="517">
        <f t="shared" si="388"/>
        <v>2002.6399999999999</v>
      </c>
      <c r="BG243" s="1726"/>
      <c r="BH243" s="1726"/>
      <c r="BI243" s="1726"/>
      <c r="BJ243" s="1726"/>
      <c r="BK243" s="1726"/>
      <c r="BL243" s="1726"/>
      <c r="BM243" s="1726"/>
      <c r="BN243" s="1726"/>
      <c r="BO243" s="1726"/>
      <c r="BP243" s="1726"/>
      <c r="BQ243" s="1726"/>
      <c r="BR243" s="1726"/>
      <c r="BS243" s="1726"/>
      <c r="BT243" s="1726"/>
      <c r="BU243" s="1726"/>
      <c r="BV243" s="1726"/>
      <c r="BW243" s="1726"/>
      <c r="BX243" s="1726"/>
      <c r="BY243" s="1726"/>
      <c r="BZ243" s="1726"/>
      <c r="CA243" s="1726"/>
      <c r="CB243" s="1726"/>
      <c r="CC243" s="1726"/>
    </row>
    <row r="244" spans="1:81" s="1726" customFormat="1" ht="18.75" x14ac:dyDescent="0.25">
      <c r="A244" s="334"/>
      <c r="B244" s="646" t="s">
        <v>1129</v>
      </c>
      <c r="C244" s="2136" t="s">
        <v>1890</v>
      </c>
      <c r="D244" s="2137"/>
      <c r="E244" s="2138"/>
      <c r="F244" s="1509"/>
      <c r="G244" s="2139"/>
      <c r="H244" s="1333"/>
      <c r="I244" s="2140"/>
      <c r="J244" s="517">
        <f t="shared" si="356"/>
        <v>0</v>
      </c>
      <c r="K244" s="2139"/>
      <c r="L244" s="1333"/>
      <c r="M244" s="2141"/>
      <c r="N244" s="611"/>
      <c r="O244" s="2139"/>
      <c r="P244" s="1333"/>
      <c r="Q244" s="2140"/>
      <c r="R244" s="1336"/>
      <c r="S244" s="2139"/>
      <c r="T244" s="1333"/>
      <c r="U244" s="2140"/>
      <c r="V244" s="1793"/>
      <c r="W244" s="2139"/>
      <c r="X244" s="617"/>
      <c r="Y244" s="2141"/>
      <c r="Z244" s="1335"/>
      <c r="AA244" s="2142"/>
      <c r="AB244" s="1334"/>
      <c r="AC244" s="2139"/>
      <c r="AD244" s="1333"/>
      <c r="AE244" s="2140"/>
      <c r="AF244" s="1793"/>
      <c r="AG244" s="2139"/>
      <c r="AH244" s="1333"/>
      <c r="AI244" s="2140"/>
      <c r="AJ244" s="1793"/>
      <c r="AK244" s="2139"/>
      <c r="AL244" s="1333"/>
      <c r="AM244" s="2141"/>
      <c r="AN244" s="1335"/>
      <c r="AO244" s="2140"/>
      <c r="AP244" s="1336">
        <f t="shared" si="383"/>
        <v>0</v>
      </c>
      <c r="AQ244" s="2139"/>
      <c r="AR244" s="1333">
        <v>996.42000000000007</v>
      </c>
      <c r="AS244" s="2140"/>
      <c r="AT244" s="517">
        <f t="shared" si="384"/>
        <v>996.42000000000007</v>
      </c>
      <c r="AU244" s="2139"/>
      <c r="AV244" s="1333"/>
      <c r="AW244" s="2140"/>
      <c r="AX244" s="517">
        <f t="shared" si="385"/>
        <v>996.42000000000007</v>
      </c>
      <c r="AY244" s="2139"/>
      <c r="AZ244" s="1333"/>
      <c r="BA244" s="2141"/>
      <c r="BB244" s="1335">
        <f t="shared" si="386"/>
        <v>996.42000000000007</v>
      </c>
      <c r="BC244" s="2142"/>
      <c r="BD244" s="1334">
        <f t="shared" si="387"/>
        <v>996.42000000000007</v>
      </c>
      <c r="BE244" s="2140"/>
      <c r="BF244" s="517">
        <f t="shared" si="388"/>
        <v>996.42000000000007</v>
      </c>
    </row>
    <row r="245" spans="1:81" ht="18.75" x14ac:dyDescent="0.25">
      <c r="A245" s="334"/>
      <c r="B245" s="646" t="s">
        <v>1130</v>
      </c>
      <c r="C245" s="2136" t="s">
        <v>1147</v>
      </c>
      <c r="D245" s="2137"/>
      <c r="E245" s="2138"/>
      <c r="F245" s="1509">
        <v>964.3</v>
      </c>
      <c r="G245" s="2139"/>
      <c r="H245" s="1333">
        <v>5783.44</v>
      </c>
      <c r="I245" s="2140"/>
      <c r="J245" s="517">
        <f t="shared" si="356"/>
        <v>6747.74</v>
      </c>
      <c r="K245" s="2139"/>
      <c r="L245" s="1333">
        <v>7325.4399999999969</v>
      </c>
      <c r="M245" s="2141"/>
      <c r="N245" s="611">
        <f t="shared" si="365"/>
        <v>14073.179999999997</v>
      </c>
      <c r="O245" s="2139"/>
      <c r="P245" s="1333">
        <v>7634.92</v>
      </c>
      <c r="Q245" s="2140"/>
      <c r="R245" s="1336">
        <f t="shared" si="376"/>
        <v>21708.1</v>
      </c>
      <c r="S245" s="2139"/>
      <c r="T245" s="1333">
        <v>8009.29</v>
      </c>
      <c r="U245" s="2140"/>
      <c r="V245" s="1793">
        <f t="shared" si="377"/>
        <v>29717.39</v>
      </c>
      <c r="W245" s="2139"/>
      <c r="X245" s="617"/>
      <c r="Y245" s="2141"/>
      <c r="Z245" s="1335">
        <f t="shared" si="378"/>
        <v>15644.21</v>
      </c>
      <c r="AA245" s="2142"/>
      <c r="AB245" s="1334">
        <f t="shared" si="379"/>
        <v>29717.39</v>
      </c>
      <c r="AC245" s="2139"/>
      <c r="AD245" s="1333">
        <v>5695.659999999998</v>
      </c>
      <c r="AE245" s="2140"/>
      <c r="AF245" s="1793">
        <f t="shared" si="380"/>
        <v>35413.049999999996</v>
      </c>
      <c r="AG245" s="2139"/>
      <c r="AH245" s="1333">
        <v>0</v>
      </c>
      <c r="AI245" s="2140"/>
      <c r="AJ245" s="1793">
        <f t="shared" si="381"/>
        <v>35413.049999999996</v>
      </c>
      <c r="AK245" s="2139"/>
      <c r="AL245" s="1333">
        <v>11910.919999999995</v>
      </c>
      <c r="AM245" s="2141"/>
      <c r="AN245" s="1335">
        <f t="shared" si="382"/>
        <v>17606.579999999994</v>
      </c>
      <c r="AO245" s="2140"/>
      <c r="AP245" s="1336">
        <f t="shared" ref="AP245:AP258" si="389">+AJ245+AL245</f>
        <v>47323.969999999987</v>
      </c>
      <c r="AQ245" s="2139"/>
      <c r="AR245" s="1333">
        <v>8198.1200000000026</v>
      </c>
      <c r="AS245" s="2140"/>
      <c r="AT245" s="517">
        <f t="shared" si="384"/>
        <v>55522.089999999989</v>
      </c>
      <c r="AU245" s="2139"/>
      <c r="AV245" s="1333">
        <v>9811.149999999996</v>
      </c>
      <c r="AW245" s="2140"/>
      <c r="AX245" s="517">
        <f t="shared" si="385"/>
        <v>65333.239999999983</v>
      </c>
      <c r="AY245" s="2139"/>
      <c r="AZ245" s="1333">
        <v>8445.7300000000014</v>
      </c>
      <c r="BA245" s="2141"/>
      <c r="BB245" s="1335">
        <f t="shared" si="386"/>
        <v>26455</v>
      </c>
      <c r="BC245" s="2142"/>
      <c r="BD245" s="1334">
        <f t="shared" si="387"/>
        <v>44061.579999999994</v>
      </c>
      <c r="BE245" s="2140"/>
      <c r="BF245" s="517">
        <f t="shared" si="388"/>
        <v>73778.969999999987</v>
      </c>
    </row>
    <row r="246" spans="1:81" s="204" customFormat="1" ht="18.75" x14ac:dyDescent="0.25">
      <c r="A246" s="334"/>
      <c r="B246" s="646" t="s">
        <v>1130</v>
      </c>
      <c r="C246" s="2102" t="s">
        <v>1163</v>
      </c>
      <c r="D246" s="2103"/>
      <c r="E246" s="2138"/>
      <c r="F246" s="1509">
        <v>294.33999999999997</v>
      </c>
      <c r="G246" s="2139"/>
      <c r="H246" s="1333">
        <v>4643.87</v>
      </c>
      <c r="I246" s="2140"/>
      <c r="J246" s="517">
        <f t="shared" si="356"/>
        <v>4938.21</v>
      </c>
      <c r="K246" s="2139"/>
      <c r="L246" s="1333">
        <v>2945.8399999999997</v>
      </c>
      <c r="M246" s="2141"/>
      <c r="N246" s="611">
        <f t="shared" si="365"/>
        <v>7884.0499999999993</v>
      </c>
      <c r="O246" s="2139"/>
      <c r="P246" s="1333">
        <v>504.9</v>
      </c>
      <c r="Q246" s="2140"/>
      <c r="R246" s="1336">
        <f t="shared" si="376"/>
        <v>8388.9499999999989</v>
      </c>
      <c r="S246" s="2139"/>
      <c r="T246" s="1333">
        <v>3804.91</v>
      </c>
      <c r="U246" s="2140"/>
      <c r="V246" s="1793">
        <f t="shared" si="377"/>
        <v>12193.859999999999</v>
      </c>
      <c r="W246" s="2139"/>
      <c r="X246" s="617">
        <v>3054.1100000000006</v>
      </c>
      <c r="Y246" s="2141"/>
      <c r="Z246" s="1335">
        <f t="shared" si="378"/>
        <v>7363.92</v>
      </c>
      <c r="AA246" s="2142"/>
      <c r="AB246" s="1334">
        <f t="shared" si="379"/>
        <v>15247.97</v>
      </c>
      <c r="AC246" s="2139"/>
      <c r="AD246" s="1333">
        <v>5110.17</v>
      </c>
      <c r="AE246" s="2140"/>
      <c r="AF246" s="1793">
        <f t="shared" si="380"/>
        <v>20358.14</v>
      </c>
      <c r="AG246" s="2139"/>
      <c r="AH246" s="1333">
        <v>0</v>
      </c>
      <c r="AI246" s="2140"/>
      <c r="AJ246" s="1793">
        <f t="shared" si="381"/>
        <v>20358.14</v>
      </c>
      <c r="AK246" s="2139"/>
      <c r="AL246" s="1333">
        <v>3702.82</v>
      </c>
      <c r="AM246" s="2141"/>
      <c r="AN246" s="1335">
        <f t="shared" si="382"/>
        <v>8812.99</v>
      </c>
      <c r="AO246" s="2140"/>
      <c r="AP246" s="1336">
        <f t="shared" si="389"/>
        <v>24060.959999999999</v>
      </c>
      <c r="AQ246" s="2139"/>
      <c r="AR246" s="1333">
        <v>6930.74</v>
      </c>
      <c r="AS246" s="2140"/>
      <c r="AT246" s="517">
        <f t="shared" si="384"/>
        <v>30991.699999999997</v>
      </c>
      <c r="AU246" s="2139"/>
      <c r="AV246" s="1333">
        <v>1832.42</v>
      </c>
      <c r="AW246" s="2140"/>
      <c r="AX246" s="517">
        <f t="shared" si="385"/>
        <v>32824.119999999995</v>
      </c>
      <c r="AY246" s="2139"/>
      <c r="AZ246" s="1333">
        <v>2840.3900000000003</v>
      </c>
      <c r="BA246" s="2141"/>
      <c r="BB246" s="1335">
        <f t="shared" si="386"/>
        <v>11603.55</v>
      </c>
      <c r="BC246" s="2142"/>
      <c r="BD246" s="1334">
        <f t="shared" si="387"/>
        <v>20416.54</v>
      </c>
      <c r="BE246" s="2140"/>
      <c r="BF246" s="517">
        <f t="shared" si="388"/>
        <v>35664.509999999995</v>
      </c>
      <c r="BG246" s="1726"/>
      <c r="BH246" s="1726"/>
      <c r="BI246" s="1726"/>
      <c r="BJ246" s="1726"/>
      <c r="BK246" s="1726"/>
      <c r="BL246" s="1726"/>
      <c r="BM246" s="1726"/>
      <c r="BN246" s="1726"/>
      <c r="BO246" s="1726"/>
      <c r="BP246" s="1726"/>
      <c r="BQ246" s="1726"/>
      <c r="BR246" s="1726"/>
      <c r="BS246" s="1726"/>
      <c r="BT246" s="1726"/>
      <c r="BU246" s="1726"/>
      <c r="BV246" s="1726"/>
      <c r="BW246" s="1726"/>
      <c r="BX246" s="1726"/>
      <c r="BY246" s="1726"/>
      <c r="BZ246" s="1726"/>
      <c r="CA246" s="1726"/>
      <c r="CB246" s="1726"/>
      <c r="CC246" s="1726"/>
    </row>
    <row r="247" spans="1:81" ht="18.75" x14ac:dyDescent="0.25">
      <c r="A247" s="334"/>
      <c r="B247" s="646" t="s">
        <v>1130</v>
      </c>
      <c r="C247" s="2102" t="s">
        <v>1164</v>
      </c>
      <c r="D247" s="2103"/>
      <c r="E247" s="2138"/>
      <c r="F247" s="1509">
        <v>441.3</v>
      </c>
      <c r="G247" s="2139"/>
      <c r="H247" s="1333">
        <v>1253.3599999999999</v>
      </c>
      <c r="I247" s="2140"/>
      <c r="J247" s="517">
        <f t="shared" si="356"/>
        <v>1694.6599999999999</v>
      </c>
      <c r="K247" s="2139"/>
      <c r="L247" s="1333">
        <v>573.54999999999995</v>
      </c>
      <c r="M247" s="2141"/>
      <c r="N247" s="611">
        <f t="shared" si="365"/>
        <v>2268.21</v>
      </c>
      <c r="O247" s="2139"/>
      <c r="P247" s="1333">
        <v>1203.4000000000001</v>
      </c>
      <c r="Q247" s="2140"/>
      <c r="R247" s="1336">
        <f t="shared" si="376"/>
        <v>3471.61</v>
      </c>
      <c r="S247" s="2139"/>
      <c r="T247" s="1333">
        <v>3211.65</v>
      </c>
      <c r="U247" s="2140"/>
      <c r="V247" s="1793">
        <f t="shared" si="377"/>
        <v>6683.26</v>
      </c>
      <c r="W247" s="2139"/>
      <c r="X247" s="617">
        <v>30.6</v>
      </c>
      <c r="Y247" s="2141"/>
      <c r="Z247" s="1335">
        <f t="shared" si="378"/>
        <v>4445.6500000000005</v>
      </c>
      <c r="AA247" s="2142"/>
      <c r="AB247" s="1334">
        <f t="shared" si="379"/>
        <v>6713.8600000000006</v>
      </c>
      <c r="AC247" s="2139"/>
      <c r="AD247" s="1333">
        <v>7097.6099999999979</v>
      </c>
      <c r="AE247" s="2140"/>
      <c r="AF247" s="1793">
        <f t="shared" si="380"/>
        <v>13811.469999999998</v>
      </c>
      <c r="AG247" s="2139"/>
      <c r="AH247" s="1333">
        <v>0</v>
      </c>
      <c r="AI247" s="2140"/>
      <c r="AJ247" s="1793">
        <f t="shared" si="381"/>
        <v>13811.469999999998</v>
      </c>
      <c r="AK247" s="2139"/>
      <c r="AL247" s="1333">
        <v>2228.6</v>
      </c>
      <c r="AM247" s="2141"/>
      <c r="AN247" s="1335">
        <f t="shared" si="382"/>
        <v>9326.2099999999973</v>
      </c>
      <c r="AO247" s="2140"/>
      <c r="AP247" s="1336">
        <f t="shared" si="389"/>
        <v>16040.069999999998</v>
      </c>
      <c r="AQ247" s="2139"/>
      <c r="AR247" s="1333">
        <v>6567.2799999999988</v>
      </c>
      <c r="AS247" s="2140"/>
      <c r="AT247" s="517">
        <f t="shared" si="384"/>
        <v>22607.35</v>
      </c>
      <c r="AU247" s="2139"/>
      <c r="AV247" s="1333">
        <v>20.350000000000001</v>
      </c>
      <c r="AW247" s="2140"/>
      <c r="AX247" s="517">
        <f t="shared" si="385"/>
        <v>22627.699999999997</v>
      </c>
      <c r="AY247" s="2139"/>
      <c r="AZ247" s="1333">
        <v>1339.9600000000003</v>
      </c>
      <c r="BA247" s="2141"/>
      <c r="BB247" s="1335">
        <f t="shared" si="386"/>
        <v>7927.5899999999992</v>
      </c>
      <c r="BC247" s="2142"/>
      <c r="BD247" s="1334">
        <f t="shared" si="387"/>
        <v>17253.799999999996</v>
      </c>
      <c r="BE247" s="2140"/>
      <c r="BF247" s="517">
        <f t="shared" si="388"/>
        <v>23967.659999999996</v>
      </c>
    </row>
    <row r="248" spans="1:81" s="4515" customFormat="1" ht="18.75" x14ac:dyDescent="0.25">
      <c r="A248" s="334"/>
      <c r="B248" s="646" t="s">
        <v>1130</v>
      </c>
      <c r="C248" s="2102" t="s">
        <v>1863</v>
      </c>
      <c r="D248" s="2103"/>
      <c r="E248" s="2138"/>
      <c r="F248" s="1509"/>
      <c r="G248" s="2139"/>
      <c r="H248" s="1333"/>
      <c r="I248" s="2140"/>
      <c r="J248" s="517"/>
      <c r="K248" s="2139"/>
      <c r="L248" s="1333"/>
      <c r="M248" s="2141"/>
      <c r="N248" s="611"/>
      <c r="O248" s="2139"/>
      <c r="P248" s="1333"/>
      <c r="Q248" s="2140"/>
      <c r="R248" s="1336"/>
      <c r="S248" s="2139"/>
      <c r="T248" s="1333"/>
      <c r="U248" s="2140"/>
      <c r="V248" s="1793"/>
      <c r="W248" s="2139"/>
      <c r="X248" s="617"/>
      <c r="Y248" s="2141"/>
      <c r="Z248" s="1335"/>
      <c r="AA248" s="2142"/>
      <c r="AB248" s="1334"/>
      <c r="AC248" s="2139"/>
      <c r="AD248" s="1333"/>
      <c r="AE248" s="2140"/>
      <c r="AF248" s="1793"/>
      <c r="AG248" s="2139"/>
      <c r="AH248" s="1333"/>
      <c r="AI248" s="2140"/>
      <c r="AJ248" s="1793"/>
      <c r="AK248" s="2139"/>
      <c r="AL248" s="1333"/>
      <c r="AM248" s="2141"/>
      <c r="AN248" s="1335"/>
      <c r="AO248" s="2140"/>
      <c r="AP248" s="1336"/>
      <c r="AQ248" s="2139"/>
      <c r="AR248" s="1333"/>
      <c r="AS248" s="2140"/>
      <c r="AT248" s="517"/>
      <c r="AU248" s="2139"/>
      <c r="AV248" s="1333"/>
      <c r="AW248" s="2140"/>
      <c r="AX248" s="517"/>
      <c r="AY248" s="2139"/>
      <c r="AZ248" s="1333">
        <v>2112.3799999999997</v>
      </c>
      <c r="BA248" s="2141"/>
      <c r="BB248" s="1335">
        <f t="shared" si="386"/>
        <v>2112.3799999999997</v>
      </c>
      <c r="BC248" s="2142"/>
      <c r="BD248" s="1334">
        <f t="shared" si="387"/>
        <v>2112.3799999999997</v>
      </c>
      <c r="BE248" s="2140"/>
      <c r="BF248" s="517">
        <f t="shared" si="388"/>
        <v>2112.3799999999997</v>
      </c>
    </row>
    <row r="249" spans="1:81" s="570" customFormat="1" ht="18.75" x14ac:dyDescent="0.25">
      <c r="A249" s="334"/>
      <c r="B249" s="646" t="s">
        <v>1130</v>
      </c>
      <c r="C249" s="2102" t="s">
        <v>1428</v>
      </c>
      <c r="D249" s="2103"/>
      <c r="E249" s="2138"/>
      <c r="F249" s="1509"/>
      <c r="G249" s="2139"/>
      <c r="H249" s="1333"/>
      <c r="I249" s="2140"/>
      <c r="J249" s="517">
        <f t="shared" si="356"/>
        <v>0</v>
      </c>
      <c r="K249" s="2139"/>
      <c r="L249" s="1333">
        <v>36.69</v>
      </c>
      <c r="M249" s="2141"/>
      <c r="N249" s="611">
        <f t="shared" si="365"/>
        <v>36.69</v>
      </c>
      <c r="O249" s="2139"/>
      <c r="P249" s="1333">
        <v>1084.83</v>
      </c>
      <c r="Q249" s="2140"/>
      <c r="R249" s="1336">
        <f t="shared" si="376"/>
        <v>1121.52</v>
      </c>
      <c r="S249" s="2139"/>
      <c r="T249" s="1333">
        <v>1039.5999999999999</v>
      </c>
      <c r="U249" s="2140"/>
      <c r="V249" s="1793">
        <f t="shared" si="377"/>
        <v>2161.12</v>
      </c>
      <c r="W249" s="2139"/>
      <c r="X249" s="617"/>
      <c r="Y249" s="2141"/>
      <c r="Z249" s="1335">
        <f t="shared" si="378"/>
        <v>2124.4299999999998</v>
      </c>
      <c r="AA249" s="2142"/>
      <c r="AB249" s="1334">
        <f t="shared" si="379"/>
        <v>2161.12</v>
      </c>
      <c r="AC249" s="2139"/>
      <c r="AD249" s="1333">
        <v>0</v>
      </c>
      <c r="AE249" s="2140"/>
      <c r="AF249" s="1793">
        <f t="shared" si="380"/>
        <v>2161.12</v>
      </c>
      <c r="AG249" s="2139"/>
      <c r="AH249" s="1333">
        <v>0</v>
      </c>
      <c r="AI249" s="2140"/>
      <c r="AJ249" s="1793">
        <f t="shared" si="381"/>
        <v>2161.12</v>
      </c>
      <c r="AK249" s="2139"/>
      <c r="AL249" s="1333">
        <v>614.48</v>
      </c>
      <c r="AM249" s="2141"/>
      <c r="AN249" s="1335">
        <f t="shared" si="382"/>
        <v>614.48</v>
      </c>
      <c r="AO249" s="2140"/>
      <c r="AP249" s="1336">
        <f t="shared" si="389"/>
        <v>2775.6</v>
      </c>
      <c r="AQ249" s="2139"/>
      <c r="AR249" s="1333"/>
      <c r="AS249" s="2140"/>
      <c r="AT249" s="517">
        <f t="shared" si="384"/>
        <v>2775.6</v>
      </c>
      <c r="AU249" s="2139"/>
      <c r="AV249" s="1333"/>
      <c r="AW249" s="2140"/>
      <c r="AX249" s="517">
        <f t="shared" si="385"/>
        <v>2775.6</v>
      </c>
      <c r="AY249" s="2139"/>
      <c r="AZ249" s="1333"/>
      <c r="BA249" s="2141"/>
      <c r="BB249" s="1335">
        <f t="shared" si="386"/>
        <v>0</v>
      </c>
      <c r="BC249" s="2142"/>
      <c r="BD249" s="1334">
        <f t="shared" si="387"/>
        <v>614.48</v>
      </c>
      <c r="BE249" s="2140"/>
      <c r="BF249" s="517">
        <f t="shared" si="388"/>
        <v>2775.6</v>
      </c>
      <c r="BG249" s="1726"/>
      <c r="BH249" s="1726"/>
      <c r="BI249" s="1726"/>
      <c r="BJ249" s="1726"/>
      <c r="BK249" s="1726"/>
      <c r="BL249" s="1726"/>
      <c r="BM249" s="1726"/>
      <c r="BN249" s="1726"/>
      <c r="BO249" s="1726"/>
      <c r="BP249" s="1726"/>
      <c r="BQ249" s="1726"/>
      <c r="BR249" s="1726"/>
      <c r="BS249" s="1726"/>
      <c r="BT249" s="1726"/>
      <c r="BU249" s="1726"/>
      <c r="BV249" s="1726"/>
      <c r="BW249" s="1726"/>
      <c r="BX249" s="1726"/>
      <c r="BY249" s="1726"/>
      <c r="BZ249" s="1726"/>
      <c r="CA249" s="1726"/>
      <c r="CB249" s="1726"/>
      <c r="CC249" s="1726"/>
    </row>
    <row r="250" spans="1:81" s="1726" customFormat="1" ht="18.75" x14ac:dyDescent="0.25">
      <c r="A250" s="334"/>
      <c r="B250" s="646" t="s">
        <v>1130</v>
      </c>
      <c r="C250" s="2102" t="s">
        <v>1429</v>
      </c>
      <c r="D250" s="2137"/>
      <c r="E250" s="2138"/>
      <c r="F250" s="1509"/>
      <c r="G250" s="2139"/>
      <c r="H250" s="1333"/>
      <c r="I250" s="2140"/>
      <c r="J250" s="517">
        <f t="shared" si="356"/>
        <v>0</v>
      </c>
      <c r="K250" s="2139"/>
      <c r="L250" s="1333"/>
      <c r="M250" s="2141"/>
      <c r="N250" s="611"/>
      <c r="O250" s="2139"/>
      <c r="P250" s="1333"/>
      <c r="Q250" s="2140"/>
      <c r="R250" s="1336"/>
      <c r="S250" s="2139"/>
      <c r="T250" s="1333"/>
      <c r="U250" s="2140"/>
      <c r="V250" s="1793"/>
      <c r="W250" s="2139"/>
      <c r="X250" s="617"/>
      <c r="Y250" s="2141"/>
      <c r="Z250" s="1335"/>
      <c r="AA250" s="2142"/>
      <c r="AB250" s="1334"/>
      <c r="AC250" s="2139"/>
      <c r="AD250" s="1333"/>
      <c r="AE250" s="2140"/>
      <c r="AF250" s="1793"/>
      <c r="AG250" s="2139"/>
      <c r="AH250" s="1333"/>
      <c r="AI250" s="2140"/>
      <c r="AJ250" s="1793"/>
      <c r="AK250" s="2139"/>
      <c r="AL250" s="1333">
        <v>1088.04</v>
      </c>
      <c r="AM250" s="2141"/>
      <c r="AN250" s="1335">
        <f t="shared" si="382"/>
        <v>1088.04</v>
      </c>
      <c r="AO250" s="2140"/>
      <c r="AP250" s="1336">
        <f t="shared" si="389"/>
        <v>1088.04</v>
      </c>
      <c r="AQ250" s="2139"/>
      <c r="AR250" s="1333"/>
      <c r="AS250" s="2140"/>
      <c r="AT250" s="517">
        <f t="shared" si="384"/>
        <v>1088.04</v>
      </c>
      <c r="AU250" s="2139"/>
      <c r="AV250" s="1333"/>
      <c r="AW250" s="2140"/>
      <c r="AX250" s="517">
        <f t="shared" si="385"/>
        <v>1088.04</v>
      </c>
      <c r="AY250" s="2139"/>
      <c r="AZ250" s="1333"/>
      <c r="BA250" s="2141"/>
      <c r="BB250" s="1335">
        <f t="shared" si="386"/>
        <v>0</v>
      </c>
      <c r="BC250" s="2142"/>
      <c r="BD250" s="1334">
        <f t="shared" si="387"/>
        <v>1088.04</v>
      </c>
      <c r="BE250" s="2140"/>
      <c r="BF250" s="517">
        <f t="shared" si="388"/>
        <v>1088.04</v>
      </c>
    </row>
    <row r="251" spans="1:81" ht="18.75" x14ac:dyDescent="0.25">
      <c r="A251" s="334"/>
      <c r="B251" s="646" t="s">
        <v>1131</v>
      </c>
      <c r="C251" s="2136" t="s">
        <v>1147</v>
      </c>
      <c r="D251" s="2137"/>
      <c r="E251" s="2138"/>
      <c r="F251" s="1509">
        <v>1175.99</v>
      </c>
      <c r="G251" s="2139"/>
      <c r="H251" s="1333">
        <v>2535.6999999999998</v>
      </c>
      <c r="I251" s="2140"/>
      <c r="J251" s="517">
        <f t="shared" si="356"/>
        <v>3711.6899999999996</v>
      </c>
      <c r="K251" s="2139"/>
      <c r="L251" s="1333">
        <v>33.729999999999997</v>
      </c>
      <c r="M251" s="2141"/>
      <c r="N251" s="611">
        <f t="shared" si="365"/>
        <v>3745.4199999999996</v>
      </c>
      <c r="O251" s="2139"/>
      <c r="P251" s="1333">
        <v>5155.21</v>
      </c>
      <c r="Q251" s="2140"/>
      <c r="R251" s="1336">
        <f t="shared" si="376"/>
        <v>8900.6299999999992</v>
      </c>
      <c r="S251" s="2139"/>
      <c r="T251" s="1333">
        <v>6761.75</v>
      </c>
      <c r="U251" s="2140"/>
      <c r="V251" s="1793">
        <f t="shared" si="377"/>
        <v>15662.38</v>
      </c>
      <c r="W251" s="2139"/>
      <c r="X251" s="617">
        <v>414.53</v>
      </c>
      <c r="Y251" s="2141"/>
      <c r="Z251" s="1335">
        <f t="shared" si="378"/>
        <v>12331.49</v>
      </c>
      <c r="AA251" s="2142"/>
      <c r="AB251" s="1334">
        <f t="shared" si="379"/>
        <v>16076.91</v>
      </c>
      <c r="AC251" s="2139"/>
      <c r="AD251" s="1333">
        <v>62.94</v>
      </c>
      <c r="AE251" s="2140"/>
      <c r="AF251" s="1793">
        <f t="shared" si="380"/>
        <v>16139.85</v>
      </c>
      <c r="AG251" s="2139"/>
      <c r="AH251" s="1333">
        <v>63.75</v>
      </c>
      <c r="AI251" s="2140"/>
      <c r="AJ251" s="1793">
        <f t="shared" si="381"/>
        <v>16203.6</v>
      </c>
      <c r="AK251" s="2139"/>
      <c r="AL251" s="1333">
        <v>5622.7799999999988</v>
      </c>
      <c r="AM251" s="2141"/>
      <c r="AN251" s="1335">
        <f t="shared" si="382"/>
        <v>5749.4699999999984</v>
      </c>
      <c r="AO251" s="2140"/>
      <c r="AP251" s="1336">
        <f t="shared" si="389"/>
        <v>21826.379999999997</v>
      </c>
      <c r="AQ251" s="2139"/>
      <c r="AR251" s="1333"/>
      <c r="AS251" s="2140"/>
      <c r="AT251" s="517">
        <f t="shared" si="384"/>
        <v>21826.379999999997</v>
      </c>
      <c r="AU251" s="2139"/>
      <c r="AV251" s="1333">
        <v>2410.13</v>
      </c>
      <c r="AW251" s="2140"/>
      <c r="AX251" s="517">
        <f t="shared" si="385"/>
        <v>24236.51</v>
      </c>
      <c r="AY251" s="2139"/>
      <c r="AZ251" s="1333">
        <v>385.1</v>
      </c>
      <c r="BA251" s="2141"/>
      <c r="BB251" s="1335">
        <f t="shared" si="386"/>
        <v>2795.23</v>
      </c>
      <c r="BC251" s="2142"/>
      <c r="BD251" s="1334">
        <f t="shared" si="387"/>
        <v>8544.6999999999989</v>
      </c>
      <c r="BE251" s="2140"/>
      <c r="BF251" s="517">
        <f t="shared" si="388"/>
        <v>24621.609999999997</v>
      </c>
    </row>
    <row r="252" spans="1:81" ht="18.75" x14ac:dyDescent="0.25">
      <c r="A252" s="334"/>
      <c r="B252" s="646" t="s">
        <v>1131</v>
      </c>
      <c r="C252" s="2102" t="s">
        <v>1164</v>
      </c>
      <c r="D252" s="2103"/>
      <c r="E252" s="2138"/>
      <c r="F252" s="1509"/>
      <c r="G252" s="2139"/>
      <c r="H252" s="1333">
        <v>1544.13</v>
      </c>
      <c r="I252" s="2140"/>
      <c r="J252" s="517">
        <f t="shared" si="356"/>
        <v>1544.13</v>
      </c>
      <c r="K252" s="2139"/>
      <c r="L252" s="1333"/>
      <c r="M252" s="2141"/>
      <c r="N252" s="611">
        <f t="shared" si="365"/>
        <v>1544.13</v>
      </c>
      <c r="O252" s="2139"/>
      <c r="P252" s="1333">
        <v>1690.78</v>
      </c>
      <c r="Q252" s="2140"/>
      <c r="R252" s="1336">
        <f t="shared" si="376"/>
        <v>3234.91</v>
      </c>
      <c r="S252" s="2139"/>
      <c r="T252" s="1333">
        <v>551.4</v>
      </c>
      <c r="U252" s="2140"/>
      <c r="V252" s="1793">
        <f t="shared" si="377"/>
        <v>3786.31</v>
      </c>
      <c r="W252" s="2139"/>
      <c r="X252" s="617">
        <v>134.85999999999999</v>
      </c>
      <c r="Y252" s="2141"/>
      <c r="Z252" s="1335">
        <f t="shared" si="378"/>
        <v>2377.04</v>
      </c>
      <c r="AA252" s="2142"/>
      <c r="AB252" s="1334">
        <f t="shared" si="379"/>
        <v>3921.17</v>
      </c>
      <c r="AC252" s="2139"/>
      <c r="AD252" s="1333">
        <v>6601.7899999999991</v>
      </c>
      <c r="AE252" s="2140"/>
      <c r="AF252" s="1793">
        <f t="shared" si="380"/>
        <v>10522.96</v>
      </c>
      <c r="AG252" s="2139"/>
      <c r="AH252" s="1333">
        <v>0</v>
      </c>
      <c r="AI252" s="2140"/>
      <c r="AJ252" s="1793">
        <f t="shared" si="381"/>
        <v>10522.96</v>
      </c>
      <c r="AK252" s="2139"/>
      <c r="AL252" s="1333">
        <v>3266.9799999999996</v>
      </c>
      <c r="AM252" s="2141"/>
      <c r="AN252" s="1335">
        <f t="shared" si="382"/>
        <v>9868.7699999999986</v>
      </c>
      <c r="AO252" s="2140"/>
      <c r="AP252" s="1336">
        <f t="shared" si="389"/>
        <v>13789.939999999999</v>
      </c>
      <c r="AQ252" s="2139"/>
      <c r="AR252" s="1333"/>
      <c r="AS252" s="2140"/>
      <c r="AT252" s="517">
        <f t="shared" si="384"/>
        <v>13789.939999999999</v>
      </c>
      <c r="AU252" s="2139"/>
      <c r="AV252" s="1333">
        <v>446.35999999999996</v>
      </c>
      <c r="AW252" s="2140"/>
      <c r="AX252" s="517">
        <f t="shared" si="385"/>
        <v>14236.3</v>
      </c>
      <c r="AY252" s="2139"/>
      <c r="AZ252" s="1333"/>
      <c r="BA252" s="2141"/>
      <c r="BB252" s="1335">
        <f t="shared" si="386"/>
        <v>446.35999999999996</v>
      </c>
      <c r="BC252" s="2142"/>
      <c r="BD252" s="1334">
        <f t="shared" si="387"/>
        <v>10315.129999999999</v>
      </c>
      <c r="BE252" s="2140"/>
      <c r="BF252" s="517">
        <f t="shared" si="388"/>
        <v>14236.3</v>
      </c>
    </row>
    <row r="253" spans="1:81" s="204" customFormat="1" ht="18.75" x14ac:dyDescent="0.25">
      <c r="A253" s="334"/>
      <c r="B253" s="646" t="s">
        <v>1131</v>
      </c>
      <c r="C253" s="2102" t="s">
        <v>1163</v>
      </c>
      <c r="D253" s="2103"/>
      <c r="E253" s="2138"/>
      <c r="F253" s="1509">
        <v>1812.01</v>
      </c>
      <c r="G253" s="2139"/>
      <c r="H253" s="1333">
        <v>7924.12</v>
      </c>
      <c r="I253" s="2140"/>
      <c r="J253" s="517">
        <f t="shared" si="356"/>
        <v>9736.1299999999992</v>
      </c>
      <c r="K253" s="2139"/>
      <c r="L253" s="1333"/>
      <c r="M253" s="2141"/>
      <c r="N253" s="611">
        <f t="shared" si="365"/>
        <v>9736.1299999999992</v>
      </c>
      <c r="O253" s="2139"/>
      <c r="P253" s="1333">
        <v>3208.95</v>
      </c>
      <c r="Q253" s="2140"/>
      <c r="R253" s="1336">
        <f t="shared" si="376"/>
        <v>12945.079999999998</v>
      </c>
      <c r="S253" s="2139"/>
      <c r="T253" s="1333">
        <v>3832.46</v>
      </c>
      <c r="U253" s="2140"/>
      <c r="V253" s="1793">
        <f t="shared" si="377"/>
        <v>16777.539999999997</v>
      </c>
      <c r="W253" s="2139"/>
      <c r="X253" s="617"/>
      <c r="Y253" s="2141"/>
      <c r="Z253" s="1335">
        <f t="shared" si="378"/>
        <v>7041.41</v>
      </c>
      <c r="AA253" s="2142"/>
      <c r="AB253" s="1334">
        <f t="shared" si="379"/>
        <v>16777.539999999997</v>
      </c>
      <c r="AC253" s="2139"/>
      <c r="AD253" s="1333">
        <v>5475.3700000000008</v>
      </c>
      <c r="AE253" s="2140"/>
      <c r="AF253" s="1793">
        <f t="shared" si="380"/>
        <v>22252.909999999996</v>
      </c>
      <c r="AG253" s="2139"/>
      <c r="AH253" s="1333">
        <v>3615.4700000000003</v>
      </c>
      <c r="AI253" s="2140"/>
      <c r="AJ253" s="1793">
        <f t="shared" si="381"/>
        <v>25868.379999999997</v>
      </c>
      <c r="AK253" s="2139"/>
      <c r="AL253" s="1333">
        <v>5150.4499999999989</v>
      </c>
      <c r="AM253" s="2141"/>
      <c r="AN253" s="1335">
        <f t="shared" si="382"/>
        <v>14241.289999999999</v>
      </c>
      <c r="AO253" s="2140"/>
      <c r="AP253" s="1336">
        <f t="shared" si="389"/>
        <v>31018.829999999994</v>
      </c>
      <c r="AQ253" s="2139"/>
      <c r="AR253" s="1333"/>
      <c r="AS253" s="2140"/>
      <c r="AT253" s="517">
        <f t="shared" si="384"/>
        <v>31018.829999999994</v>
      </c>
      <c r="AU253" s="2139"/>
      <c r="AV253" s="1333">
        <v>6543.5600000000031</v>
      </c>
      <c r="AW253" s="2140"/>
      <c r="AX253" s="517">
        <f t="shared" si="385"/>
        <v>37562.39</v>
      </c>
      <c r="AY253" s="2139"/>
      <c r="AZ253" s="1333">
        <v>987.66000000000008</v>
      </c>
      <c r="BA253" s="2141"/>
      <c r="BB253" s="1335">
        <f t="shared" si="386"/>
        <v>7531.220000000003</v>
      </c>
      <c r="BC253" s="2142"/>
      <c r="BD253" s="1334">
        <f t="shared" si="387"/>
        <v>21772.510000000002</v>
      </c>
      <c r="BE253" s="2140"/>
      <c r="BF253" s="517">
        <f t="shared" si="388"/>
        <v>38550.050000000003</v>
      </c>
      <c r="BG253" s="1726"/>
      <c r="BH253" s="1726"/>
      <c r="BI253" s="1726"/>
      <c r="BJ253" s="1726"/>
      <c r="BK253" s="1726"/>
      <c r="BL253" s="1726"/>
      <c r="BM253" s="1726"/>
      <c r="BN253" s="1726"/>
      <c r="BO253" s="1726"/>
      <c r="BP253" s="1726"/>
      <c r="BQ253" s="1726"/>
      <c r="BR253" s="1726"/>
      <c r="BS253" s="1726"/>
      <c r="BT253" s="1726"/>
      <c r="BU253" s="1726"/>
      <c r="BV253" s="1726"/>
      <c r="BW253" s="1726"/>
      <c r="BX253" s="1726"/>
      <c r="BY253" s="1726"/>
      <c r="BZ253" s="1726"/>
      <c r="CA253" s="1726"/>
      <c r="CB253" s="1726"/>
      <c r="CC253" s="1726"/>
    </row>
    <row r="254" spans="1:81" s="204" customFormat="1" ht="18.75" x14ac:dyDescent="0.25">
      <c r="A254" s="334"/>
      <c r="B254" s="646" t="s">
        <v>1131</v>
      </c>
      <c r="C254" s="2102" t="s">
        <v>1863</v>
      </c>
      <c r="D254" s="2103"/>
      <c r="E254" s="2138"/>
      <c r="F254" s="1509"/>
      <c r="G254" s="2139"/>
      <c r="H254" s="1333"/>
      <c r="I254" s="2140"/>
      <c r="J254" s="517"/>
      <c r="K254" s="2139"/>
      <c r="L254" s="1333"/>
      <c r="M254" s="2141"/>
      <c r="N254" s="611"/>
      <c r="O254" s="2139"/>
      <c r="P254" s="1333"/>
      <c r="Q254" s="2140"/>
      <c r="R254" s="1336"/>
      <c r="S254" s="2139"/>
      <c r="T254" s="1333"/>
      <c r="U254" s="2140"/>
      <c r="V254" s="1793"/>
      <c r="W254" s="2139"/>
      <c r="X254" s="617"/>
      <c r="Y254" s="2141"/>
      <c r="Z254" s="1335"/>
      <c r="AA254" s="2142"/>
      <c r="AB254" s="1334"/>
      <c r="AC254" s="2139"/>
      <c r="AD254" s="1333"/>
      <c r="AE254" s="2140"/>
      <c r="AF254" s="1793"/>
      <c r="AG254" s="2139"/>
      <c r="AH254" s="1333"/>
      <c r="AI254" s="2140"/>
      <c r="AJ254" s="1793"/>
      <c r="AK254" s="2139"/>
      <c r="AL254" s="1333"/>
      <c r="AM254" s="2141"/>
      <c r="AN254" s="1335"/>
      <c r="AO254" s="2140"/>
      <c r="AP254" s="1336"/>
      <c r="AQ254" s="2139"/>
      <c r="AR254" s="1333"/>
      <c r="AS254" s="2140"/>
      <c r="AT254" s="517"/>
      <c r="AU254" s="2139"/>
      <c r="AV254" s="1333"/>
      <c r="AW254" s="2140"/>
      <c r="AX254" s="517"/>
      <c r="AY254" s="2139"/>
      <c r="AZ254" s="1333">
        <v>3475.25</v>
      </c>
      <c r="BA254" s="2141"/>
      <c r="BB254" s="1335">
        <f t="shared" si="386"/>
        <v>3475.25</v>
      </c>
      <c r="BC254" s="2142"/>
      <c r="BD254" s="1334">
        <f t="shared" si="387"/>
        <v>3475.25</v>
      </c>
      <c r="BE254" s="2140"/>
      <c r="BF254" s="517">
        <f t="shared" si="388"/>
        <v>3475.25</v>
      </c>
      <c r="BG254" s="4515"/>
      <c r="BH254" s="4515"/>
      <c r="BI254" s="4515"/>
      <c r="BJ254" s="4515"/>
      <c r="BK254" s="4515"/>
      <c r="BL254" s="4515"/>
      <c r="BM254" s="4515"/>
      <c r="BN254" s="4515"/>
      <c r="BO254" s="4515"/>
      <c r="BP254" s="4515"/>
      <c r="BQ254" s="4515"/>
      <c r="BR254" s="4515"/>
      <c r="BS254" s="4515"/>
      <c r="BT254" s="4515"/>
      <c r="BU254" s="4515"/>
      <c r="BV254" s="4515"/>
      <c r="BW254" s="4515"/>
      <c r="BX254" s="4515"/>
      <c r="BY254" s="4515"/>
      <c r="BZ254" s="4515"/>
      <c r="CA254" s="4515"/>
      <c r="CB254" s="4515"/>
      <c r="CC254" s="4515"/>
    </row>
    <row r="255" spans="1:81" s="204" customFormat="1" ht="18.75" x14ac:dyDescent="0.25">
      <c r="A255" s="334"/>
      <c r="B255" s="646" t="s">
        <v>1131</v>
      </c>
      <c r="C255" s="2102" t="s">
        <v>1428</v>
      </c>
      <c r="D255" s="2103"/>
      <c r="E255" s="2138"/>
      <c r="F255" s="1509"/>
      <c r="G255" s="2139"/>
      <c r="H255" s="1333"/>
      <c r="I255" s="2140"/>
      <c r="J255" s="517">
        <f t="shared" si="356"/>
        <v>0</v>
      </c>
      <c r="K255" s="2139"/>
      <c r="L255" s="1333"/>
      <c r="M255" s="2141"/>
      <c r="N255" s="611">
        <f t="shared" si="365"/>
        <v>0</v>
      </c>
      <c r="O255" s="2139"/>
      <c r="P255" s="1333">
        <v>1194.49</v>
      </c>
      <c r="Q255" s="2140"/>
      <c r="R255" s="1336">
        <f t="shared" si="376"/>
        <v>1194.49</v>
      </c>
      <c r="S255" s="2139"/>
      <c r="T255" s="1333"/>
      <c r="U255" s="2140"/>
      <c r="V255" s="1793">
        <f t="shared" si="377"/>
        <v>1194.49</v>
      </c>
      <c r="W255" s="2139"/>
      <c r="X255" s="617">
        <v>1061.48</v>
      </c>
      <c r="Y255" s="2141"/>
      <c r="Z255" s="1335">
        <f t="shared" si="378"/>
        <v>2255.9700000000003</v>
      </c>
      <c r="AA255" s="2142"/>
      <c r="AB255" s="1334">
        <f t="shared" si="379"/>
        <v>2255.9700000000003</v>
      </c>
      <c r="AC255" s="2139"/>
      <c r="AD255" s="1333">
        <v>0</v>
      </c>
      <c r="AE255" s="2140"/>
      <c r="AF255" s="1793">
        <f t="shared" si="380"/>
        <v>2255.9700000000003</v>
      </c>
      <c r="AG255" s="2139"/>
      <c r="AH255" s="1333">
        <v>0</v>
      </c>
      <c r="AI255" s="2140"/>
      <c r="AJ255" s="1793">
        <f t="shared" si="381"/>
        <v>2255.9700000000003</v>
      </c>
      <c r="AK255" s="2139"/>
      <c r="AL255" s="1333"/>
      <c r="AM255" s="2141"/>
      <c r="AN255" s="1335">
        <f t="shared" si="382"/>
        <v>0</v>
      </c>
      <c r="AO255" s="2140"/>
      <c r="AP255" s="1336">
        <f t="shared" si="389"/>
        <v>2255.9700000000003</v>
      </c>
      <c r="AQ255" s="2139"/>
      <c r="AR255" s="1333"/>
      <c r="AS255" s="2140"/>
      <c r="AT255" s="517">
        <f t="shared" si="384"/>
        <v>2255.9700000000003</v>
      </c>
      <c r="AU255" s="2139"/>
      <c r="AV255" s="1333"/>
      <c r="AW255" s="2140"/>
      <c r="AX255" s="517">
        <f t="shared" si="385"/>
        <v>2255.9700000000003</v>
      </c>
      <c r="AY255" s="2139"/>
      <c r="AZ255" s="1333"/>
      <c r="BA255" s="2141"/>
      <c r="BB255" s="1335">
        <f t="shared" si="386"/>
        <v>0</v>
      </c>
      <c r="BC255" s="2142"/>
      <c r="BD255" s="1334">
        <f t="shared" si="387"/>
        <v>0</v>
      </c>
      <c r="BE255" s="2140"/>
      <c r="BF255" s="517">
        <f t="shared" si="388"/>
        <v>2255.9700000000003</v>
      </c>
      <c r="BG255" s="1726"/>
      <c r="BH255" s="1726"/>
      <c r="BI255" s="1726"/>
      <c r="BJ255" s="1726"/>
      <c r="BK255" s="1726"/>
      <c r="BL255" s="1726"/>
      <c r="BM255" s="1726"/>
      <c r="BN255" s="1726"/>
      <c r="BO255" s="1726"/>
      <c r="BP255" s="1726"/>
      <c r="BQ255" s="1726"/>
      <c r="BR255" s="1726"/>
      <c r="BS255" s="1726"/>
      <c r="BT255" s="1726"/>
      <c r="BU255" s="1726"/>
      <c r="BV255" s="1726"/>
      <c r="BW255" s="1726"/>
      <c r="BX255" s="1726"/>
      <c r="BY255" s="1726"/>
      <c r="BZ255" s="1726"/>
      <c r="CA255" s="1726"/>
      <c r="CB255" s="1726"/>
      <c r="CC255" s="1726"/>
    </row>
    <row r="256" spans="1:81" ht="18.75" x14ac:dyDescent="0.25">
      <c r="A256" s="334"/>
      <c r="B256" s="646" t="s">
        <v>1132</v>
      </c>
      <c r="C256" s="2136" t="s">
        <v>1147</v>
      </c>
      <c r="D256" s="2137"/>
      <c r="E256" s="2138"/>
      <c r="F256" s="1509"/>
      <c r="G256" s="2139"/>
      <c r="H256" s="1333"/>
      <c r="I256" s="2140"/>
      <c r="J256" s="517">
        <f t="shared" si="356"/>
        <v>0</v>
      </c>
      <c r="K256" s="2139"/>
      <c r="L256" s="1333"/>
      <c r="M256" s="2141"/>
      <c r="N256" s="611">
        <f t="shared" si="365"/>
        <v>0</v>
      </c>
      <c r="O256" s="2139"/>
      <c r="P256" s="1333"/>
      <c r="Q256" s="2140"/>
      <c r="R256" s="1336">
        <f t="shared" si="376"/>
        <v>0</v>
      </c>
      <c r="S256" s="2139"/>
      <c r="T256" s="1333"/>
      <c r="U256" s="2140"/>
      <c r="V256" s="1793">
        <f t="shared" si="377"/>
        <v>0</v>
      </c>
      <c r="W256" s="2139"/>
      <c r="X256" s="617"/>
      <c r="Y256" s="2141"/>
      <c r="Z256" s="1335">
        <f t="shared" si="378"/>
        <v>0</v>
      </c>
      <c r="AA256" s="2142"/>
      <c r="AB256" s="1334">
        <f t="shared" si="379"/>
        <v>0</v>
      </c>
      <c r="AC256" s="2139"/>
      <c r="AD256" s="1333">
        <v>0</v>
      </c>
      <c r="AE256" s="2140"/>
      <c r="AF256" s="1793">
        <f t="shared" si="380"/>
        <v>0</v>
      </c>
      <c r="AG256" s="2139"/>
      <c r="AH256" s="1333">
        <v>0</v>
      </c>
      <c r="AI256" s="2140"/>
      <c r="AJ256" s="1793">
        <f t="shared" si="381"/>
        <v>0</v>
      </c>
      <c r="AK256" s="2139"/>
      <c r="AL256" s="1333"/>
      <c r="AM256" s="2141"/>
      <c r="AN256" s="1335">
        <f t="shared" si="382"/>
        <v>0</v>
      </c>
      <c r="AO256" s="2140"/>
      <c r="AP256" s="1336">
        <f t="shared" si="389"/>
        <v>0</v>
      </c>
      <c r="AQ256" s="2139"/>
      <c r="AR256" s="1333"/>
      <c r="AS256" s="2140"/>
      <c r="AT256" s="517">
        <f t="shared" si="384"/>
        <v>0</v>
      </c>
      <c r="AU256" s="2139"/>
      <c r="AV256" s="1333"/>
      <c r="AW256" s="2140"/>
      <c r="AX256" s="517">
        <f t="shared" si="385"/>
        <v>0</v>
      </c>
      <c r="AY256" s="2139"/>
      <c r="AZ256" s="1333"/>
      <c r="BA256" s="2141"/>
      <c r="BB256" s="1335">
        <f t="shared" si="386"/>
        <v>0</v>
      </c>
      <c r="BC256" s="2142"/>
      <c r="BD256" s="1334">
        <f t="shared" si="387"/>
        <v>0</v>
      </c>
      <c r="BE256" s="2140"/>
      <c r="BF256" s="517">
        <f t="shared" si="388"/>
        <v>0</v>
      </c>
    </row>
    <row r="257" spans="1:81" s="874" customFormat="1" ht="18.75" x14ac:dyDescent="0.25">
      <c r="A257" s="334"/>
      <c r="B257" s="646" t="s">
        <v>1132</v>
      </c>
      <c r="C257" s="2102" t="s">
        <v>1164</v>
      </c>
      <c r="D257" s="2103"/>
      <c r="E257" s="2138"/>
      <c r="F257" s="1509"/>
      <c r="G257" s="2139"/>
      <c r="H257" s="1333">
        <v>924.44</v>
      </c>
      <c r="I257" s="2140"/>
      <c r="J257" s="517">
        <f t="shared" si="356"/>
        <v>924.44</v>
      </c>
      <c r="K257" s="2139"/>
      <c r="L257" s="1333">
        <v>979.75</v>
      </c>
      <c r="M257" s="2141"/>
      <c r="N257" s="611">
        <f t="shared" si="365"/>
        <v>1904.19</v>
      </c>
      <c r="O257" s="2139"/>
      <c r="P257" s="1333"/>
      <c r="Q257" s="2140"/>
      <c r="R257" s="1336">
        <f t="shared" si="376"/>
        <v>1904.19</v>
      </c>
      <c r="S257" s="2139"/>
      <c r="T257" s="1333"/>
      <c r="U257" s="2140"/>
      <c r="V257" s="1793">
        <f t="shared" si="377"/>
        <v>1904.19</v>
      </c>
      <c r="W257" s="2139"/>
      <c r="X257" s="617"/>
      <c r="Y257" s="2141"/>
      <c r="Z257" s="1335">
        <f t="shared" si="378"/>
        <v>0</v>
      </c>
      <c r="AA257" s="2142"/>
      <c r="AB257" s="1334">
        <f t="shared" si="379"/>
        <v>1904.19</v>
      </c>
      <c r="AC257" s="2139"/>
      <c r="AD257" s="1333">
        <v>0</v>
      </c>
      <c r="AE257" s="2140"/>
      <c r="AF257" s="1793">
        <f t="shared" si="380"/>
        <v>1904.19</v>
      </c>
      <c r="AG257" s="2139"/>
      <c r="AH257" s="1333">
        <v>0</v>
      </c>
      <c r="AI257" s="2140"/>
      <c r="AJ257" s="1793">
        <f t="shared" si="381"/>
        <v>1904.19</v>
      </c>
      <c r="AK257" s="2139"/>
      <c r="AL257" s="1333"/>
      <c r="AM257" s="2141"/>
      <c r="AN257" s="1335">
        <f t="shared" si="382"/>
        <v>0</v>
      </c>
      <c r="AO257" s="2140"/>
      <c r="AP257" s="1336">
        <f t="shared" si="389"/>
        <v>1904.19</v>
      </c>
      <c r="AQ257" s="2139"/>
      <c r="AR257" s="1333"/>
      <c r="AS257" s="2140"/>
      <c r="AT257" s="517">
        <f t="shared" si="384"/>
        <v>1904.19</v>
      </c>
      <c r="AU257" s="2139"/>
      <c r="AV257" s="1333"/>
      <c r="AW257" s="2140"/>
      <c r="AX257" s="517">
        <f t="shared" si="385"/>
        <v>1904.19</v>
      </c>
      <c r="AY257" s="2139"/>
      <c r="AZ257" s="1333"/>
      <c r="BA257" s="2141"/>
      <c r="BB257" s="1335">
        <f t="shared" si="386"/>
        <v>0</v>
      </c>
      <c r="BC257" s="2142"/>
      <c r="BD257" s="1334">
        <f t="shared" si="387"/>
        <v>0</v>
      </c>
      <c r="BE257" s="2140"/>
      <c r="BF257" s="517">
        <f t="shared" si="388"/>
        <v>1904.19</v>
      </c>
      <c r="BG257" s="1726"/>
      <c r="BH257" s="1726"/>
      <c r="BI257" s="1726"/>
      <c r="BJ257" s="1726"/>
      <c r="BK257" s="1726"/>
      <c r="BL257" s="1726"/>
      <c r="BM257" s="1726"/>
      <c r="BN257" s="1726"/>
      <c r="BO257" s="1726"/>
      <c r="BP257" s="1726"/>
      <c r="BQ257" s="1726"/>
      <c r="BR257" s="1726"/>
      <c r="BS257" s="1726"/>
      <c r="BT257" s="1726"/>
      <c r="BU257" s="1726"/>
      <c r="BV257" s="1726"/>
      <c r="BW257" s="1726"/>
      <c r="BX257" s="1726"/>
      <c r="BY257" s="1726"/>
      <c r="BZ257" s="1726"/>
      <c r="CA257" s="1726"/>
      <c r="CB257" s="1726"/>
      <c r="CC257" s="1726"/>
    </row>
    <row r="258" spans="1:81" s="874" customFormat="1" ht="18.75" x14ac:dyDescent="0.25">
      <c r="A258" s="334"/>
      <c r="B258" s="2162" t="s">
        <v>1132</v>
      </c>
      <c r="C258" s="4663" t="s">
        <v>1163</v>
      </c>
      <c r="D258" s="4663"/>
      <c r="E258" s="2139"/>
      <c r="F258" s="4664">
        <v>31.03</v>
      </c>
      <c r="G258" s="2139"/>
      <c r="H258" s="617">
        <v>4838.28</v>
      </c>
      <c r="I258" s="2140"/>
      <c r="J258" s="606">
        <f t="shared" si="356"/>
        <v>4869.3099999999995</v>
      </c>
      <c r="K258" s="2139"/>
      <c r="L258" s="617">
        <v>4506.7099999999991</v>
      </c>
      <c r="M258" s="2141"/>
      <c r="N258" s="621">
        <f t="shared" si="365"/>
        <v>9376.0199999999986</v>
      </c>
      <c r="O258" s="2139"/>
      <c r="P258" s="617">
        <v>1671.96</v>
      </c>
      <c r="Q258" s="2140"/>
      <c r="R258" s="606">
        <f t="shared" si="376"/>
        <v>11047.98</v>
      </c>
      <c r="S258" s="2139"/>
      <c r="T258" s="617">
        <v>4277.22</v>
      </c>
      <c r="U258" s="2140"/>
      <c r="V258" s="606">
        <f t="shared" si="377"/>
        <v>15325.2</v>
      </c>
      <c r="W258" s="2139"/>
      <c r="X258" s="617">
        <v>4861.88</v>
      </c>
      <c r="Y258" s="2141"/>
      <c r="Z258" s="621">
        <f t="shared" si="378"/>
        <v>10811.060000000001</v>
      </c>
      <c r="AA258" s="2142"/>
      <c r="AB258" s="1208">
        <f t="shared" si="379"/>
        <v>20187.080000000002</v>
      </c>
      <c r="AC258" s="2139"/>
      <c r="AD258" s="617">
        <v>0</v>
      </c>
      <c r="AE258" s="2140"/>
      <c r="AF258" s="606">
        <f t="shared" si="380"/>
        <v>20187.080000000002</v>
      </c>
      <c r="AG258" s="2139"/>
      <c r="AH258" s="617">
        <v>5232.2999999999993</v>
      </c>
      <c r="AI258" s="2140"/>
      <c r="AJ258" s="606">
        <f t="shared" si="381"/>
        <v>25419.38</v>
      </c>
      <c r="AK258" s="2139"/>
      <c r="AL258" s="617"/>
      <c r="AM258" s="2141"/>
      <c r="AN258" s="621">
        <f t="shared" si="382"/>
        <v>5232.2999999999993</v>
      </c>
      <c r="AO258" s="2140"/>
      <c r="AP258" s="606">
        <f t="shared" si="389"/>
        <v>25419.38</v>
      </c>
      <c r="AQ258" s="2139"/>
      <c r="AR258" s="617"/>
      <c r="AS258" s="2140"/>
      <c r="AT258" s="606">
        <f t="shared" si="384"/>
        <v>25419.38</v>
      </c>
      <c r="AU258" s="2139"/>
      <c r="AV258" s="617">
        <v>1782.6999999999998</v>
      </c>
      <c r="AW258" s="2140"/>
      <c r="AX258" s="606">
        <f t="shared" si="385"/>
        <v>27202.080000000002</v>
      </c>
      <c r="AY258" s="2139"/>
      <c r="AZ258" s="617"/>
      <c r="BA258" s="2141"/>
      <c r="BB258" s="621">
        <f t="shared" si="386"/>
        <v>1782.6999999999998</v>
      </c>
      <c r="BC258" s="2142"/>
      <c r="BD258" s="1208">
        <f t="shared" si="387"/>
        <v>7014.9999999999991</v>
      </c>
      <c r="BE258" s="2140"/>
      <c r="BF258" s="606">
        <f t="shared" si="388"/>
        <v>27202.080000000002</v>
      </c>
      <c r="BG258" s="1726"/>
      <c r="BH258" s="1726"/>
      <c r="BI258" s="1726"/>
      <c r="BJ258" s="1726"/>
      <c r="BK258" s="1726"/>
      <c r="BL258" s="1726"/>
      <c r="BM258" s="1726"/>
      <c r="BN258" s="1726"/>
      <c r="BO258" s="1726"/>
      <c r="BP258" s="1726"/>
      <c r="BQ258" s="1726"/>
      <c r="BR258" s="1726"/>
      <c r="BS258" s="1726"/>
      <c r="BT258" s="1726"/>
      <c r="BU258" s="1726"/>
      <c r="BV258" s="1726"/>
      <c r="BW258" s="1726"/>
      <c r="BX258" s="1726"/>
      <c r="BY258" s="1726"/>
      <c r="BZ258" s="1726"/>
      <c r="CA258" s="1726"/>
      <c r="CB258" s="1726"/>
      <c r="CC258" s="1726"/>
    </row>
    <row r="259" spans="1:81" s="4658" customFormat="1" ht="18.75" x14ac:dyDescent="0.25">
      <c r="A259" s="334"/>
      <c r="B259" s="2162" t="s">
        <v>80</v>
      </c>
      <c r="C259" s="4663"/>
      <c r="D259" s="4663"/>
      <c r="E259" s="2139"/>
      <c r="F259" s="4664">
        <f>+F14</f>
        <v>0</v>
      </c>
      <c r="G259" s="4664">
        <f t="shared" ref="G259:BF259" si="390">+G14</f>
        <v>0</v>
      </c>
      <c r="H259" s="4664">
        <f t="shared" si="390"/>
        <v>0</v>
      </c>
      <c r="I259" s="4664">
        <f t="shared" si="390"/>
        <v>0</v>
      </c>
      <c r="J259" s="4664">
        <f t="shared" si="390"/>
        <v>0</v>
      </c>
      <c r="K259" s="4664">
        <f t="shared" si="390"/>
        <v>0</v>
      </c>
      <c r="L259" s="4664">
        <f t="shared" si="390"/>
        <v>0</v>
      </c>
      <c r="M259" s="4664">
        <f t="shared" si="390"/>
        <v>0</v>
      </c>
      <c r="N259" s="4664">
        <f t="shared" si="390"/>
        <v>0</v>
      </c>
      <c r="O259" s="4664">
        <f t="shared" si="390"/>
        <v>0</v>
      </c>
      <c r="P259" s="4664">
        <f t="shared" si="390"/>
        <v>0</v>
      </c>
      <c r="Q259" s="4664">
        <f t="shared" si="390"/>
        <v>0</v>
      </c>
      <c r="R259" s="4664">
        <f t="shared" si="390"/>
        <v>0</v>
      </c>
      <c r="S259" s="4664">
        <f t="shared" si="390"/>
        <v>0</v>
      </c>
      <c r="T259" s="4664">
        <f t="shared" si="390"/>
        <v>0</v>
      </c>
      <c r="U259" s="4664">
        <f t="shared" si="390"/>
        <v>0</v>
      </c>
      <c r="V259" s="4664">
        <f t="shared" si="390"/>
        <v>0</v>
      </c>
      <c r="W259" s="4664">
        <f t="shared" si="390"/>
        <v>0</v>
      </c>
      <c r="X259" s="4664">
        <f t="shared" si="390"/>
        <v>0</v>
      </c>
      <c r="Y259" s="4664">
        <f t="shared" si="390"/>
        <v>0</v>
      </c>
      <c r="Z259" s="4664">
        <f t="shared" si="390"/>
        <v>0</v>
      </c>
      <c r="AA259" s="4664">
        <f t="shared" si="390"/>
        <v>0</v>
      </c>
      <c r="AB259" s="4664">
        <f t="shared" si="390"/>
        <v>0</v>
      </c>
      <c r="AC259" s="4664">
        <f t="shared" si="390"/>
        <v>0</v>
      </c>
      <c r="AD259" s="4664">
        <f t="shared" si="390"/>
        <v>0</v>
      </c>
      <c r="AE259" s="4664">
        <f t="shared" si="390"/>
        <v>0</v>
      </c>
      <c r="AF259" s="4664">
        <f t="shared" si="390"/>
        <v>0</v>
      </c>
      <c r="AG259" s="4664">
        <f t="shared" si="390"/>
        <v>0</v>
      </c>
      <c r="AH259" s="4664">
        <f t="shared" si="390"/>
        <v>0</v>
      </c>
      <c r="AI259" s="4664">
        <f t="shared" si="390"/>
        <v>0</v>
      </c>
      <c r="AJ259" s="4664">
        <f t="shared" si="390"/>
        <v>0</v>
      </c>
      <c r="AK259" s="4664">
        <f t="shared" si="390"/>
        <v>0</v>
      </c>
      <c r="AL259" s="4664">
        <f t="shared" si="390"/>
        <v>0</v>
      </c>
      <c r="AM259" s="4664">
        <f t="shared" si="390"/>
        <v>0</v>
      </c>
      <c r="AN259" s="4664">
        <f t="shared" si="390"/>
        <v>0</v>
      </c>
      <c r="AO259" s="4664">
        <f t="shared" si="390"/>
        <v>0</v>
      </c>
      <c r="AP259" s="4664">
        <f t="shared" si="390"/>
        <v>0</v>
      </c>
      <c r="AQ259" s="4664">
        <f t="shared" si="390"/>
        <v>0</v>
      </c>
      <c r="AR259" s="4664">
        <f t="shared" si="390"/>
        <v>0</v>
      </c>
      <c r="AS259" s="4664">
        <f t="shared" si="390"/>
        <v>0</v>
      </c>
      <c r="AT259" s="4664">
        <f t="shared" si="390"/>
        <v>0</v>
      </c>
      <c r="AU259" s="4664">
        <f t="shared" si="390"/>
        <v>0</v>
      </c>
      <c r="AV259" s="4664">
        <f t="shared" si="390"/>
        <v>0</v>
      </c>
      <c r="AW259" s="4664">
        <f t="shared" si="390"/>
        <v>0</v>
      </c>
      <c r="AX259" s="4664">
        <f t="shared" si="390"/>
        <v>0</v>
      </c>
      <c r="AY259" s="4664">
        <f t="shared" si="390"/>
        <v>0</v>
      </c>
      <c r="AZ259" s="4664">
        <f t="shared" si="390"/>
        <v>2768.5</v>
      </c>
      <c r="BA259" s="4664">
        <f t="shared" si="390"/>
        <v>0</v>
      </c>
      <c r="BB259" s="4664">
        <f t="shared" si="390"/>
        <v>2768.5</v>
      </c>
      <c r="BC259" s="4664">
        <f t="shared" si="390"/>
        <v>0</v>
      </c>
      <c r="BD259" s="4664">
        <f t="shared" si="390"/>
        <v>2768.5</v>
      </c>
      <c r="BE259" s="4664">
        <f t="shared" si="390"/>
        <v>0</v>
      </c>
      <c r="BF259" s="4664">
        <f t="shared" si="390"/>
        <v>2768.5</v>
      </c>
    </row>
    <row r="260" spans="1:81" ht="18.75" x14ac:dyDescent="0.25">
      <c r="B260" s="2162" t="s">
        <v>1915</v>
      </c>
      <c r="C260" s="486"/>
      <c r="D260" s="486"/>
      <c r="E260" s="2145"/>
      <c r="F260" s="4665">
        <f>+F13</f>
        <v>0</v>
      </c>
      <c r="G260" s="4665">
        <f t="shared" ref="G260:BF260" si="391">+G13</f>
        <v>0</v>
      </c>
      <c r="H260" s="4665">
        <f t="shared" si="391"/>
        <v>0</v>
      </c>
      <c r="I260" s="4665">
        <f t="shared" si="391"/>
        <v>0</v>
      </c>
      <c r="J260" s="4665">
        <f t="shared" si="391"/>
        <v>0</v>
      </c>
      <c r="K260" s="4665">
        <f t="shared" si="391"/>
        <v>0</v>
      </c>
      <c r="L260" s="4665">
        <f t="shared" si="391"/>
        <v>0</v>
      </c>
      <c r="M260" s="4665">
        <f t="shared" si="391"/>
        <v>0</v>
      </c>
      <c r="N260" s="4665">
        <f t="shared" si="391"/>
        <v>0</v>
      </c>
      <c r="O260" s="4665">
        <f t="shared" si="391"/>
        <v>0</v>
      </c>
      <c r="P260" s="4665">
        <f t="shared" si="391"/>
        <v>0</v>
      </c>
      <c r="Q260" s="4665">
        <f t="shared" si="391"/>
        <v>0</v>
      </c>
      <c r="R260" s="4665">
        <f t="shared" si="391"/>
        <v>0</v>
      </c>
      <c r="S260" s="4665">
        <f t="shared" si="391"/>
        <v>0</v>
      </c>
      <c r="T260" s="4665">
        <f t="shared" si="391"/>
        <v>0</v>
      </c>
      <c r="U260" s="4665">
        <f t="shared" si="391"/>
        <v>0</v>
      </c>
      <c r="V260" s="4665">
        <f t="shared" si="391"/>
        <v>0</v>
      </c>
      <c r="W260" s="4665">
        <f t="shared" si="391"/>
        <v>0</v>
      </c>
      <c r="X260" s="4665">
        <f t="shared" si="391"/>
        <v>0</v>
      </c>
      <c r="Y260" s="4665">
        <f t="shared" si="391"/>
        <v>0</v>
      </c>
      <c r="Z260" s="4665">
        <f t="shared" si="391"/>
        <v>0</v>
      </c>
      <c r="AA260" s="4665">
        <f t="shared" si="391"/>
        <v>0</v>
      </c>
      <c r="AB260" s="4665">
        <f t="shared" si="391"/>
        <v>0</v>
      </c>
      <c r="AC260" s="4665">
        <f t="shared" si="391"/>
        <v>0</v>
      </c>
      <c r="AD260" s="4665">
        <f t="shared" si="391"/>
        <v>0</v>
      </c>
      <c r="AE260" s="4665">
        <f t="shared" si="391"/>
        <v>0</v>
      </c>
      <c r="AF260" s="4665">
        <f t="shared" si="391"/>
        <v>0</v>
      </c>
      <c r="AG260" s="4665">
        <f t="shared" si="391"/>
        <v>0</v>
      </c>
      <c r="AH260" s="4665">
        <f t="shared" si="391"/>
        <v>0</v>
      </c>
      <c r="AI260" s="4665">
        <f t="shared" si="391"/>
        <v>0</v>
      </c>
      <c r="AJ260" s="4665">
        <f t="shared" si="391"/>
        <v>0</v>
      </c>
      <c r="AK260" s="4665">
        <f t="shared" si="391"/>
        <v>0</v>
      </c>
      <c r="AL260" s="4665">
        <f t="shared" si="391"/>
        <v>0</v>
      </c>
      <c r="AM260" s="4665">
        <f t="shared" si="391"/>
        <v>0</v>
      </c>
      <c r="AN260" s="4665">
        <f t="shared" si="391"/>
        <v>0</v>
      </c>
      <c r="AO260" s="4665">
        <f t="shared" si="391"/>
        <v>0</v>
      </c>
      <c r="AP260" s="4665">
        <f t="shared" si="391"/>
        <v>0</v>
      </c>
      <c r="AQ260" s="4665">
        <f t="shared" si="391"/>
        <v>0</v>
      </c>
      <c r="AR260" s="4665">
        <f t="shared" si="391"/>
        <v>0</v>
      </c>
      <c r="AS260" s="4665">
        <f t="shared" si="391"/>
        <v>0</v>
      </c>
      <c r="AT260" s="4665">
        <f t="shared" si="391"/>
        <v>0</v>
      </c>
      <c r="AU260" s="4665">
        <f t="shared" si="391"/>
        <v>0</v>
      </c>
      <c r="AV260" s="4665">
        <f t="shared" si="391"/>
        <v>0</v>
      </c>
      <c r="AW260" s="4665">
        <f t="shared" si="391"/>
        <v>0</v>
      </c>
      <c r="AX260" s="4665">
        <f t="shared" si="391"/>
        <v>0</v>
      </c>
      <c r="AY260" s="4665">
        <f t="shared" si="391"/>
        <v>0</v>
      </c>
      <c r="AZ260" s="4665">
        <f t="shared" si="391"/>
        <v>0</v>
      </c>
      <c r="BA260" s="4665">
        <f t="shared" si="391"/>
        <v>0</v>
      </c>
      <c r="BB260" s="4665">
        <f t="shared" si="391"/>
        <v>0</v>
      </c>
      <c r="BC260" s="4665">
        <f t="shared" si="391"/>
        <v>0</v>
      </c>
      <c r="BD260" s="4665">
        <f t="shared" si="391"/>
        <v>0</v>
      </c>
      <c r="BE260" s="4665">
        <f t="shared" si="391"/>
        <v>0</v>
      </c>
      <c r="BF260" s="4665">
        <f t="shared" si="391"/>
        <v>0</v>
      </c>
    </row>
    <row r="261" spans="1:81" s="334" customFormat="1" ht="19.5" thickBot="1" x14ac:dyDescent="0.3">
      <c r="B261" s="4662" t="s">
        <v>97</v>
      </c>
      <c r="C261" s="2165" t="s">
        <v>53</v>
      </c>
      <c r="D261" s="2198">
        <f>+D54</f>
        <v>750000</v>
      </c>
      <c r="E261" s="2147">
        <f>+E18</f>
        <v>44000</v>
      </c>
      <c r="F261" s="632">
        <f>SUM(F218:F260)</f>
        <v>35076.639999999999</v>
      </c>
      <c r="G261" s="2147">
        <f>+G18</f>
        <v>50000</v>
      </c>
      <c r="H261" s="632">
        <f>SUM(H218:H260)</f>
        <v>34586.76</v>
      </c>
      <c r="I261" s="2147">
        <f>+I18</f>
        <v>94000</v>
      </c>
      <c r="J261" s="632">
        <f>SUM(J218:J260)</f>
        <v>69663.399999999994</v>
      </c>
      <c r="K261" s="2147">
        <f>+K18</f>
        <v>65000</v>
      </c>
      <c r="L261" s="632">
        <f>SUM(L218:L260)</f>
        <v>51668.42</v>
      </c>
      <c r="M261" s="2147">
        <f>+M18</f>
        <v>159000</v>
      </c>
      <c r="N261" s="632">
        <f>SUM(N218:N260)</f>
        <v>121331.82000000002</v>
      </c>
      <c r="O261" s="2147">
        <f>+O18</f>
        <v>67000</v>
      </c>
      <c r="P261" s="632">
        <f>SUM(P218:P260)</f>
        <v>53901.93</v>
      </c>
      <c r="Q261" s="2147">
        <f>+Q18</f>
        <v>226000</v>
      </c>
      <c r="R261" s="632">
        <f>SUM(R218:R260)</f>
        <v>175233.74999999997</v>
      </c>
      <c r="S261" s="2147">
        <f>+S18</f>
        <v>67000</v>
      </c>
      <c r="T261" s="632">
        <f>SUM(T218:T260)</f>
        <v>50809.85</v>
      </c>
      <c r="U261" s="2147">
        <f>+U18</f>
        <v>293000</v>
      </c>
      <c r="V261" s="632">
        <f>SUM(V218:V260)</f>
        <v>226043.6</v>
      </c>
      <c r="W261" s="2147">
        <f>+W18</f>
        <v>65000</v>
      </c>
      <c r="X261" s="632">
        <f>SUM(X218:X260)</f>
        <v>54227.869999999995</v>
      </c>
      <c r="Y261" s="2147">
        <f>+Y18</f>
        <v>199000</v>
      </c>
      <c r="Z261" s="632">
        <f>SUM(Z218:Z260)</f>
        <v>158939.65</v>
      </c>
      <c r="AA261" s="2147">
        <f>+AA18</f>
        <v>358000</v>
      </c>
      <c r="AB261" s="632">
        <f>SUM(AB218:AB260)</f>
        <v>280271.47000000003</v>
      </c>
      <c r="AC261" s="2147">
        <f>+AC18</f>
        <v>67000</v>
      </c>
      <c r="AD261" s="632">
        <f>SUM(AD218:AD260)</f>
        <v>58924.310000000005</v>
      </c>
      <c r="AE261" s="2147">
        <f>+AE18</f>
        <v>425000</v>
      </c>
      <c r="AF261" s="632">
        <f>SUM(AF218:AF260)</f>
        <v>339195.77999999985</v>
      </c>
      <c r="AG261" s="2147">
        <f>+AG18</f>
        <v>65000</v>
      </c>
      <c r="AH261" s="632">
        <f>SUM(AH218:AH260)</f>
        <v>49365.069999999992</v>
      </c>
      <c r="AI261" s="2147">
        <f>+AI18</f>
        <v>490000</v>
      </c>
      <c r="AJ261" s="632">
        <f>SUM(AJ218:AJ260)</f>
        <v>388560.85</v>
      </c>
      <c r="AK261" s="2147">
        <f>+AK18</f>
        <v>67000</v>
      </c>
      <c r="AL261" s="632">
        <f>SUM(AL218:AL260)</f>
        <v>75504.189999999988</v>
      </c>
      <c r="AM261" s="2147">
        <f>+AM18</f>
        <v>199000</v>
      </c>
      <c r="AN261" s="632">
        <f>SUM(AN218:AN260)</f>
        <v>183793.56999999998</v>
      </c>
      <c r="AO261" s="2147">
        <f>+AO18</f>
        <v>557000</v>
      </c>
      <c r="AP261" s="632">
        <f>SUM(AP218:AP260)</f>
        <v>464065.03999999992</v>
      </c>
      <c r="AQ261" s="2147">
        <f>+AQ18</f>
        <v>67000</v>
      </c>
      <c r="AR261" s="632">
        <f>SUM(AR218:AR260)</f>
        <v>66658.319999999992</v>
      </c>
      <c r="AS261" s="2147">
        <f>+AS18</f>
        <v>624000</v>
      </c>
      <c r="AT261" s="632">
        <f>SUM(AT218:AT260)</f>
        <v>530723.36</v>
      </c>
      <c r="AU261" s="2147">
        <f>+AU18</f>
        <v>59000</v>
      </c>
      <c r="AV261" s="632">
        <f>SUM(AV218:AV260)</f>
        <v>46901.529999999992</v>
      </c>
      <c r="AW261" s="2147">
        <f>+AW18</f>
        <v>683000</v>
      </c>
      <c r="AX261" s="632">
        <f>SUM(AX218:AX260)</f>
        <v>577624.88999999978</v>
      </c>
      <c r="AY261" s="2147">
        <f>+AY18</f>
        <v>67000</v>
      </c>
      <c r="AZ261" s="632">
        <f>SUM(AZ218:AZ260)</f>
        <v>73905.450000000012</v>
      </c>
      <c r="BA261" s="2147">
        <f>+BA18</f>
        <v>193000</v>
      </c>
      <c r="BB261" s="632">
        <f>SUM(BB218:BB260)</f>
        <v>187465.29999999996</v>
      </c>
      <c r="BC261" s="2147">
        <f>+BC18</f>
        <v>392000</v>
      </c>
      <c r="BD261" s="632">
        <f>SUM(BD218:BD260)</f>
        <v>371258.86999999994</v>
      </c>
      <c r="BE261" s="2147">
        <f>+BE18</f>
        <v>750000</v>
      </c>
      <c r="BF261" s="632">
        <f>SUM(BF218:BF260)</f>
        <v>651530.34</v>
      </c>
      <c r="BG261" s="1726"/>
      <c r="BH261" s="1726"/>
      <c r="BI261" s="1726"/>
      <c r="BJ261" s="1726"/>
      <c r="BK261" s="1726"/>
      <c r="BL261" s="1726"/>
      <c r="BM261" s="1726"/>
      <c r="BN261" s="1726"/>
      <c r="BO261" s="1726"/>
      <c r="BP261" s="1726"/>
      <c r="BQ261" s="1726"/>
      <c r="BR261" s="1726"/>
      <c r="BS261" s="1726"/>
      <c r="BT261" s="1726"/>
      <c r="BU261" s="1726"/>
      <c r="BV261" s="1726"/>
      <c r="BW261" s="1726"/>
      <c r="BX261" s="1726"/>
      <c r="BY261" s="1726"/>
      <c r="BZ261" s="1726"/>
      <c r="CA261" s="1726"/>
      <c r="CB261" s="1726"/>
      <c r="CC261" s="1726"/>
    </row>
    <row r="262" spans="1:81" s="334" customFormat="1" ht="18.75" x14ac:dyDescent="0.3">
      <c r="B262" s="2119" t="s">
        <v>730</v>
      </c>
      <c r="C262" s="2120"/>
      <c r="D262" s="2121"/>
      <c r="E262" s="2122"/>
      <c r="F262" s="607"/>
      <c r="G262" s="2123"/>
      <c r="H262" s="607"/>
      <c r="I262" s="608"/>
      <c r="J262" s="608"/>
      <c r="K262" s="608"/>
      <c r="L262" s="607"/>
      <c r="M262" s="608"/>
      <c r="N262" s="608"/>
      <c r="O262" s="608"/>
      <c r="P262" s="607"/>
      <c r="Q262" s="608"/>
      <c r="R262" s="608"/>
      <c r="S262" s="608"/>
      <c r="T262" s="607"/>
      <c r="U262" s="608"/>
      <c r="V262" s="608"/>
      <c r="W262" s="608"/>
      <c r="X262" s="607"/>
      <c r="Y262" s="608"/>
      <c r="Z262" s="608"/>
      <c r="AA262" s="608"/>
      <c r="AB262" s="608"/>
      <c r="AC262" s="608"/>
      <c r="AD262" s="607"/>
      <c r="AE262" s="608"/>
      <c r="AF262" s="608"/>
      <c r="AG262" s="608"/>
      <c r="AH262" s="607"/>
      <c r="AI262" s="608"/>
      <c r="AJ262" s="608"/>
      <c r="AK262" s="608"/>
      <c r="AL262" s="607"/>
      <c r="AM262" s="608"/>
      <c r="AN262" s="608"/>
      <c r="AO262" s="3450"/>
      <c r="AP262" s="3450"/>
      <c r="AQ262" s="608"/>
      <c r="AR262" s="607"/>
      <c r="AS262" s="608"/>
      <c r="AT262" s="608"/>
      <c r="AU262" s="608"/>
      <c r="AV262" s="607"/>
      <c r="AW262" s="608"/>
      <c r="AX262" s="608"/>
      <c r="AY262" s="608"/>
      <c r="AZ262" s="607"/>
      <c r="BA262" s="608"/>
      <c r="BB262" s="608"/>
      <c r="BC262" s="608"/>
      <c r="BD262" s="608"/>
      <c r="BE262" s="608"/>
      <c r="BF262" s="608"/>
      <c r="BG262" s="1726"/>
      <c r="BH262" s="1726"/>
      <c r="BI262" s="1726"/>
      <c r="BJ262" s="1726"/>
      <c r="BK262" s="1726"/>
      <c r="BL262" s="1726"/>
      <c r="BM262" s="1726"/>
      <c r="BN262" s="1726"/>
      <c r="BO262" s="1726"/>
      <c r="BP262" s="1726"/>
      <c r="BQ262" s="1726"/>
      <c r="BR262" s="1726"/>
      <c r="BS262" s="1726"/>
      <c r="BT262" s="1726"/>
      <c r="BU262" s="1726"/>
      <c r="BV262" s="1726"/>
      <c r="BW262" s="1726"/>
      <c r="BX262" s="1726"/>
      <c r="BY262" s="1726"/>
      <c r="BZ262" s="1726"/>
      <c r="CA262" s="1726"/>
      <c r="CB262" s="1726"/>
      <c r="CC262" s="1726"/>
    </row>
    <row r="263" spans="1:81" s="462" customFormat="1" ht="18.75" x14ac:dyDescent="0.25">
      <c r="B263" s="615" t="s">
        <v>736</v>
      </c>
      <c r="C263" s="2058" t="s">
        <v>53</v>
      </c>
      <c r="D263" s="2070"/>
      <c r="E263" s="5042">
        <v>0</v>
      </c>
      <c r="F263" s="508"/>
      <c r="G263" s="5005">
        <v>0</v>
      </c>
      <c r="H263" s="508"/>
      <c r="I263" s="4951">
        <f>+G263+E263</f>
        <v>0</v>
      </c>
      <c r="J263" s="517">
        <f>+F263+H263</f>
        <v>0</v>
      </c>
      <c r="K263" s="5005">
        <v>2500</v>
      </c>
      <c r="L263" s="508">
        <v>0</v>
      </c>
      <c r="M263" s="4976">
        <f>+K263+I263</f>
        <v>2500</v>
      </c>
      <c r="N263" s="611">
        <f>+J263+L263</f>
        <v>0</v>
      </c>
      <c r="O263" s="5005">
        <v>2500</v>
      </c>
      <c r="P263" s="508">
        <v>0</v>
      </c>
      <c r="Q263" s="4951">
        <f>+O263+M263</f>
        <v>5000</v>
      </c>
      <c r="R263" s="517">
        <f>+N263+P263</f>
        <v>0</v>
      </c>
      <c r="S263" s="5005">
        <v>2500</v>
      </c>
      <c r="T263" s="508">
        <v>0</v>
      </c>
      <c r="U263" s="4951">
        <f>+S263+Q263</f>
        <v>7500</v>
      </c>
      <c r="V263" s="517">
        <f>+R263+T263</f>
        <v>0</v>
      </c>
      <c r="W263" s="5005">
        <v>2500</v>
      </c>
      <c r="X263" s="508">
        <v>0</v>
      </c>
      <c r="Y263" s="4976">
        <f>O263+S263+W263</f>
        <v>7500</v>
      </c>
      <c r="Z263" s="611">
        <f>P263+T263+X263</f>
        <v>0</v>
      </c>
      <c r="AA263" s="4974">
        <f>+W263+U263</f>
        <v>10000</v>
      </c>
      <c r="AB263" s="1287">
        <f>+V263+X263</f>
        <v>0</v>
      </c>
      <c r="AC263" s="5005">
        <v>2500</v>
      </c>
      <c r="AD263" s="508">
        <v>0</v>
      </c>
      <c r="AE263" s="4951">
        <f>+AC263+AA263</f>
        <v>12500</v>
      </c>
      <c r="AF263" s="517">
        <f>+AB263+AD263</f>
        <v>0</v>
      </c>
      <c r="AG263" s="5005">
        <v>2500</v>
      </c>
      <c r="AH263" s="508">
        <v>0</v>
      </c>
      <c r="AI263" s="4951">
        <f>+AG263+AE263</f>
        <v>15000</v>
      </c>
      <c r="AJ263" s="517">
        <f>+AF263+AH263</f>
        <v>0</v>
      </c>
      <c r="AK263" s="5005">
        <v>2500</v>
      </c>
      <c r="AL263" s="508">
        <v>0</v>
      </c>
      <c r="AM263" s="4976">
        <f>AC263+AG263+AK263</f>
        <v>7500</v>
      </c>
      <c r="AN263" s="611">
        <f>AD263+AH263+AL263</f>
        <v>0</v>
      </c>
      <c r="AO263" s="4951">
        <f>+AK263+AI263</f>
        <v>17500</v>
      </c>
      <c r="AP263" s="517">
        <f>+AJ263+AL263</f>
        <v>0</v>
      </c>
      <c r="AQ263" s="5005">
        <v>2500</v>
      </c>
      <c r="AR263" s="508"/>
      <c r="AS263" s="4951">
        <f>+AQ263+AO263</f>
        <v>20000</v>
      </c>
      <c r="AT263" s="517">
        <f t="shared" ref="AT263:AT265" si="392">+AP263+AR263</f>
        <v>0</v>
      </c>
      <c r="AU263" s="5005">
        <v>2500</v>
      </c>
      <c r="AV263" s="508">
        <v>0</v>
      </c>
      <c r="AW263" s="4951">
        <f>+AU263+AS263</f>
        <v>22500</v>
      </c>
      <c r="AX263" s="517">
        <f t="shared" ref="AX263:AX265" si="393">+AT263+AV263</f>
        <v>0</v>
      </c>
      <c r="AY263" s="5005">
        <v>2500</v>
      </c>
      <c r="AZ263" s="508"/>
      <c r="BA263" s="4976">
        <f>AQ263+AU263+AY263</f>
        <v>7500</v>
      </c>
      <c r="BB263" s="611">
        <f>AR263+AV263+AZ263</f>
        <v>0</v>
      </c>
      <c r="BC263" s="4974"/>
      <c r="BD263" s="1334">
        <f t="shared" si="387"/>
        <v>0</v>
      </c>
      <c r="BE263" s="4951">
        <f>+AY263+AW263</f>
        <v>25000</v>
      </c>
      <c r="BF263" s="517">
        <f t="shared" ref="BF263:BF265" si="394">+AX263+AZ263</f>
        <v>0</v>
      </c>
      <c r="BG263" s="1726"/>
      <c r="BH263" s="1726"/>
      <c r="BI263" s="1726"/>
      <c r="BJ263" s="1726"/>
      <c r="BK263" s="1726"/>
      <c r="BL263" s="1726"/>
      <c r="BM263" s="1726"/>
      <c r="BN263" s="1726"/>
      <c r="BO263" s="1726"/>
      <c r="BP263" s="1726"/>
      <c r="BQ263" s="1726"/>
      <c r="BR263" s="1726"/>
      <c r="BS263" s="1726"/>
      <c r="BT263" s="1726"/>
      <c r="BU263" s="1726"/>
      <c r="BV263" s="1726"/>
      <c r="BW263" s="1726"/>
      <c r="BX263" s="1726"/>
      <c r="BY263" s="1726"/>
      <c r="BZ263" s="1726"/>
      <c r="CA263" s="1726"/>
      <c r="CB263" s="1726"/>
      <c r="CC263" s="1726"/>
    </row>
    <row r="264" spans="1:81" s="1726" customFormat="1" ht="18.75" x14ac:dyDescent="0.25">
      <c r="B264" s="615" t="s">
        <v>1718</v>
      </c>
      <c r="C264" s="2058" t="s">
        <v>53</v>
      </c>
      <c r="D264" s="2059"/>
      <c r="E264" s="5042"/>
      <c r="F264" s="508"/>
      <c r="G264" s="5005"/>
      <c r="H264" s="508"/>
      <c r="I264" s="4951"/>
      <c r="J264" s="517">
        <f t="shared" ref="J264:J265" si="395">+F264+H264</f>
        <v>0</v>
      </c>
      <c r="K264" s="5005"/>
      <c r="L264" s="508"/>
      <c r="M264" s="4976"/>
      <c r="N264" s="611">
        <f t="shared" ref="N264:N265" si="396">+J264+L264</f>
        <v>0</v>
      </c>
      <c r="O264" s="5005"/>
      <c r="P264" s="508"/>
      <c r="Q264" s="4951"/>
      <c r="R264" s="517"/>
      <c r="S264" s="5005"/>
      <c r="T264" s="508"/>
      <c r="U264" s="4951"/>
      <c r="V264" s="517"/>
      <c r="W264" s="5005"/>
      <c r="X264" s="508"/>
      <c r="Y264" s="4976"/>
      <c r="Z264" s="611"/>
      <c r="AA264" s="4974"/>
      <c r="AB264" s="1287"/>
      <c r="AC264" s="5005"/>
      <c r="AD264" s="508"/>
      <c r="AE264" s="4951"/>
      <c r="AF264" s="517"/>
      <c r="AG264" s="5005"/>
      <c r="AH264" s="508"/>
      <c r="AI264" s="4951"/>
      <c r="AJ264" s="517"/>
      <c r="AK264" s="5005"/>
      <c r="AL264" s="508">
        <v>1659.2900000000004</v>
      </c>
      <c r="AM264" s="4976"/>
      <c r="AN264" s="611">
        <f t="shared" ref="AN264:AN265" si="397">AD264+AH264+AL264</f>
        <v>1659.2900000000004</v>
      </c>
      <c r="AO264" s="4951"/>
      <c r="AP264" s="517">
        <f t="shared" ref="AP264:AP265" si="398">+AJ264+AL264</f>
        <v>1659.2900000000004</v>
      </c>
      <c r="AQ264" s="5005"/>
      <c r="AR264" s="508">
        <v>814.33</v>
      </c>
      <c r="AS264" s="4951"/>
      <c r="AT264" s="517">
        <f t="shared" si="392"/>
        <v>2473.6200000000003</v>
      </c>
      <c r="AU264" s="5005"/>
      <c r="AV264" s="508">
        <v>0</v>
      </c>
      <c r="AW264" s="4951"/>
      <c r="AX264" s="517">
        <f t="shared" si="393"/>
        <v>2473.6200000000003</v>
      </c>
      <c r="AY264" s="5005"/>
      <c r="AZ264" s="508"/>
      <c r="BA264" s="4976"/>
      <c r="BB264" s="611">
        <f t="shared" ref="BB264:BB265" si="399">AR264+AV264+AZ264</f>
        <v>814.33</v>
      </c>
      <c r="BC264" s="4974"/>
      <c r="BD264" s="1334">
        <f t="shared" si="387"/>
        <v>2473.6200000000003</v>
      </c>
      <c r="BE264" s="4951"/>
      <c r="BF264" s="517">
        <f t="shared" si="394"/>
        <v>2473.6200000000003</v>
      </c>
    </row>
    <row r="265" spans="1:81" s="1726" customFormat="1" ht="19.5" thickBot="1" x14ac:dyDescent="0.3">
      <c r="B265" s="615" t="s">
        <v>1719</v>
      </c>
      <c r="C265" s="2058" t="s">
        <v>53</v>
      </c>
      <c r="D265" s="2059"/>
      <c r="E265" s="5042"/>
      <c r="F265" s="508"/>
      <c r="G265" s="5005"/>
      <c r="H265" s="508"/>
      <c r="I265" s="4951"/>
      <c r="J265" s="517">
        <f t="shared" si="395"/>
        <v>0</v>
      </c>
      <c r="K265" s="5005"/>
      <c r="L265" s="508"/>
      <c r="M265" s="4976"/>
      <c r="N265" s="611">
        <f t="shared" si="396"/>
        <v>0</v>
      </c>
      <c r="O265" s="5005"/>
      <c r="P265" s="508"/>
      <c r="Q265" s="4951"/>
      <c r="R265" s="517"/>
      <c r="S265" s="5005"/>
      <c r="T265" s="508"/>
      <c r="U265" s="4951"/>
      <c r="V265" s="517"/>
      <c r="W265" s="5005"/>
      <c r="X265" s="508"/>
      <c r="Y265" s="4976"/>
      <c r="Z265" s="611"/>
      <c r="AA265" s="4974"/>
      <c r="AB265" s="1287"/>
      <c r="AC265" s="5005"/>
      <c r="AD265" s="508"/>
      <c r="AE265" s="4951"/>
      <c r="AF265" s="517"/>
      <c r="AG265" s="5005"/>
      <c r="AH265" s="508"/>
      <c r="AI265" s="4951"/>
      <c r="AJ265" s="517"/>
      <c r="AK265" s="5005"/>
      <c r="AL265" s="508">
        <v>153.06</v>
      </c>
      <c r="AM265" s="4976"/>
      <c r="AN265" s="611">
        <f t="shared" si="397"/>
        <v>153.06</v>
      </c>
      <c r="AO265" s="4951"/>
      <c r="AP265" s="517">
        <f t="shared" si="398"/>
        <v>153.06</v>
      </c>
      <c r="AQ265" s="5005"/>
      <c r="AR265" s="508">
        <v>162.54</v>
      </c>
      <c r="AS265" s="4951"/>
      <c r="AT265" s="517">
        <f t="shared" si="392"/>
        <v>315.60000000000002</v>
      </c>
      <c r="AU265" s="5005"/>
      <c r="AV265" s="508">
        <v>0</v>
      </c>
      <c r="AW265" s="4951"/>
      <c r="AX265" s="517">
        <f t="shared" si="393"/>
        <v>315.60000000000002</v>
      </c>
      <c r="AY265" s="5005"/>
      <c r="AZ265" s="508"/>
      <c r="BA265" s="4976"/>
      <c r="BB265" s="611">
        <f t="shared" si="399"/>
        <v>162.54</v>
      </c>
      <c r="BC265" s="4974"/>
      <c r="BD265" s="1334">
        <f t="shared" si="387"/>
        <v>315.60000000000002</v>
      </c>
      <c r="BE265" s="4951"/>
      <c r="BF265" s="517">
        <f t="shared" si="394"/>
        <v>315.60000000000002</v>
      </c>
    </row>
    <row r="266" spans="1:81" s="334" customFormat="1" ht="19.5" thickBot="1" x14ac:dyDescent="0.35">
      <c r="B266" s="2149" t="s">
        <v>2</v>
      </c>
      <c r="C266" s="2150" t="s">
        <v>53</v>
      </c>
      <c r="D266" s="2117">
        <v>25000</v>
      </c>
      <c r="E266" s="5043"/>
      <c r="F266" s="613">
        <f>+F263+F264+F265</f>
        <v>0</v>
      </c>
      <c r="G266" s="5006"/>
      <c r="H266" s="613">
        <f>+H263+H264+H265</f>
        <v>0</v>
      </c>
      <c r="I266" s="4967"/>
      <c r="J266" s="613">
        <f>+J263+J264+J265</f>
        <v>0</v>
      </c>
      <c r="K266" s="5006"/>
      <c r="L266" s="613">
        <f>+L263+L264+L265</f>
        <v>0</v>
      </c>
      <c r="M266" s="4977"/>
      <c r="N266" s="613">
        <f>+N263+N264+N265</f>
        <v>0</v>
      </c>
      <c r="O266" s="5006"/>
      <c r="P266" s="613">
        <f>SUM(P263:P265)</f>
        <v>0</v>
      </c>
      <c r="Q266" s="4967"/>
      <c r="R266" s="613">
        <f>SUM(R263:R265)</f>
        <v>0</v>
      </c>
      <c r="S266" s="5006"/>
      <c r="T266" s="613">
        <f>SUM(T263:T265)</f>
        <v>0</v>
      </c>
      <c r="U266" s="4967"/>
      <c r="V266" s="613">
        <f>SUM(V263:V265)</f>
        <v>0</v>
      </c>
      <c r="W266" s="5006"/>
      <c r="X266" s="613">
        <f>SUM(X263:X265)</f>
        <v>0</v>
      </c>
      <c r="Y266" s="4977"/>
      <c r="Z266" s="613">
        <f>SUM(Z263:Z265)</f>
        <v>0</v>
      </c>
      <c r="AA266" s="4989"/>
      <c r="AB266" s="613">
        <f>SUM(AB263:AB265)</f>
        <v>0</v>
      </c>
      <c r="AC266" s="5006"/>
      <c r="AD266" s="613">
        <f>SUM(AD263:AD265)</f>
        <v>0</v>
      </c>
      <c r="AE266" s="4967"/>
      <c r="AF266" s="613">
        <f>SUM(AF263:AF265)</f>
        <v>0</v>
      </c>
      <c r="AG266" s="5006"/>
      <c r="AH266" s="613">
        <f>SUM(AH263:AH265)</f>
        <v>0</v>
      </c>
      <c r="AI266" s="4967"/>
      <c r="AJ266" s="613">
        <f>SUM(AJ263:AJ265)</f>
        <v>0</v>
      </c>
      <c r="AK266" s="5006"/>
      <c r="AL266" s="613">
        <f>SUM(AL263:AL265)</f>
        <v>1812.3500000000004</v>
      </c>
      <c r="AM266" s="4977"/>
      <c r="AN266" s="613">
        <f>SUM(AN263:AN265)</f>
        <v>1812.3500000000004</v>
      </c>
      <c r="AO266" s="4967"/>
      <c r="AP266" s="613">
        <f>SUM(AP263:AP265)</f>
        <v>1812.3500000000004</v>
      </c>
      <c r="AQ266" s="5006"/>
      <c r="AR266" s="613">
        <f>SUM(AR263:AR265)</f>
        <v>976.87</v>
      </c>
      <c r="AS266" s="4967"/>
      <c r="AT266" s="613">
        <f>SUM(AT263:AT265)</f>
        <v>2789.2200000000003</v>
      </c>
      <c r="AU266" s="5006"/>
      <c r="AV266" s="613">
        <f>SUM(AV263:AV265)</f>
        <v>0</v>
      </c>
      <c r="AW266" s="4967"/>
      <c r="AX266" s="613">
        <f>SUM(AX263:AX265)</f>
        <v>2789.2200000000003</v>
      </c>
      <c r="AY266" s="5006"/>
      <c r="AZ266" s="613">
        <f>SUM(AZ263:AZ265)</f>
        <v>0</v>
      </c>
      <c r="BA266" s="4977"/>
      <c r="BB266" s="613">
        <f>SUM(BB263:BB265)</f>
        <v>976.87</v>
      </c>
      <c r="BC266" s="4989"/>
      <c r="BD266" s="613">
        <f>SUM(BD263:BD265)</f>
        <v>2789.2200000000003</v>
      </c>
      <c r="BE266" s="4967"/>
      <c r="BF266" s="613">
        <f>SUM(BF263:BF265)</f>
        <v>2789.2200000000003</v>
      </c>
    </row>
    <row r="267" spans="1:81" s="334" customFormat="1" ht="19.5" thickBot="1" x14ac:dyDescent="0.35">
      <c r="B267" s="2131"/>
      <c r="C267" s="894"/>
      <c r="D267" s="2132"/>
      <c r="E267" s="894"/>
      <c r="F267" s="665"/>
      <c r="G267" s="894"/>
      <c r="H267" s="665"/>
      <c r="I267" s="608"/>
      <c r="J267" s="665"/>
      <c r="K267" s="608"/>
      <c r="L267" s="665"/>
      <c r="M267" s="608"/>
      <c r="N267" s="665"/>
      <c r="O267" s="608"/>
      <c r="P267" s="665"/>
      <c r="Q267" s="608"/>
      <c r="R267" s="665"/>
      <c r="S267" s="608"/>
      <c r="T267" s="665"/>
      <c r="U267" s="608"/>
      <c r="V267" s="665"/>
      <c r="W267" s="608"/>
      <c r="X267" s="665"/>
      <c r="Y267" s="608"/>
      <c r="Z267" s="665"/>
      <c r="AA267" s="608"/>
      <c r="AB267" s="665"/>
      <c r="AC267" s="608"/>
      <c r="AD267" s="665"/>
      <c r="AE267" s="608"/>
      <c r="AF267" s="665"/>
      <c r="AG267" s="608"/>
      <c r="AH267" s="665"/>
      <c r="AI267" s="608"/>
      <c r="AJ267" s="665"/>
      <c r="AK267" s="608"/>
      <c r="AL267" s="665"/>
      <c r="AM267" s="608"/>
      <c r="AN267" s="665"/>
      <c r="AO267" s="3450"/>
      <c r="AP267" s="3453"/>
      <c r="AQ267" s="608"/>
      <c r="AR267" s="665"/>
      <c r="AS267" s="608"/>
      <c r="AT267" s="665"/>
      <c r="AU267" s="608"/>
      <c r="AV267" s="665"/>
      <c r="AW267" s="608"/>
      <c r="AX267" s="665"/>
      <c r="AY267" s="608"/>
      <c r="AZ267" s="665"/>
      <c r="BA267" s="608"/>
      <c r="BB267" s="665"/>
      <c r="BC267" s="608"/>
      <c r="BD267" s="665"/>
      <c r="BE267" s="608"/>
      <c r="BF267" s="665"/>
      <c r="BG267" s="1726"/>
      <c r="BH267" s="1726"/>
      <c r="BI267" s="1726"/>
      <c r="BJ267" s="1726"/>
      <c r="BK267" s="1726"/>
      <c r="BL267" s="1726"/>
      <c r="BM267" s="1726"/>
      <c r="BN267" s="1726"/>
      <c r="BO267" s="1726"/>
      <c r="BP267" s="1726"/>
      <c r="BQ267" s="1726"/>
      <c r="BR267" s="1726"/>
      <c r="BS267" s="1726"/>
      <c r="BT267" s="1726"/>
      <c r="BU267" s="1726"/>
      <c r="BV267" s="1726"/>
      <c r="BW267" s="1726"/>
      <c r="BX267" s="1726"/>
      <c r="BY267" s="1726"/>
      <c r="BZ267" s="1726"/>
      <c r="CA267" s="1726"/>
      <c r="CB267" s="1726"/>
      <c r="CC267" s="1726"/>
    </row>
    <row r="268" spans="1:81" s="334" customFormat="1" ht="19.5" thickBot="1" x14ac:dyDescent="0.3">
      <c r="B268" s="2133" t="s">
        <v>353</v>
      </c>
      <c r="C268" s="893" t="s">
        <v>1892</v>
      </c>
      <c r="D268" s="2151"/>
      <c r="E268" s="893"/>
      <c r="F268" s="640"/>
      <c r="G268" s="2135"/>
      <c r="H268" s="640"/>
      <c r="I268" s="893"/>
      <c r="J268" s="893"/>
      <c r="K268" s="893"/>
      <c r="L268" s="640"/>
      <c r="M268" s="893"/>
      <c r="N268" s="893"/>
      <c r="O268" s="893"/>
      <c r="P268" s="640"/>
      <c r="Q268" s="893"/>
      <c r="R268" s="893"/>
      <c r="S268" s="893"/>
      <c r="T268" s="640"/>
      <c r="U268" s="893"/>
      <c r="V268" s="893"/>
      <c r="W268" s="893"/>
      <c r="X268" s="640"/>
      <c r="Y268" s="893"/>
      <c r="Z268" s="893"/>
      <c r="AA268" s="893"/>
      <c r="AB268" s="893"/>
      <c r="AC268" s="893"/>
      <c r="AD268" s="640"/>
      <c r="AE268" s="893"/>
      <c r="AF268" s="893"/>
      <c r="AG268" s="893"/>
      <c r="AH268" s="640"/>
      <c r="AI268" s="893"/>
      <c r="AJ268" s="893"/>
      <c r="AK268" s="893"/>
      <c r="AL268" s="640"/>
      <c r="AM268" s="893"/>
      <c r="AN268" s="893"/>
      <c r="AO268" s="3454"/>
      <c r="AP268" s="3454"/>
      <c r="AQ268" s="893"/>
      <c r="AR268" s="640"/>
      <c r="AS268" s="893"/>
      <c r="AT268" s="640"/>
      <c r="AU268" s="893"/>
      <c r="AV268" s="640"/>
      <c r="AW268" s="893"/>
      <c r="AX268" s="640"/>
      <c r="AY268" s="893"/>
      <c r="AZ268" s="640"/>
      <c r="BA268" s="893"/>
      <c r="BB268" s="893"/>
      <c r="BC268" s="893"/>
      <c r="BD268" s="893"/>
      <c r="BE268" s="893"/>
      <c r="BF268" s="640"/>
      <c r="BG268" s="1726"/>
      <c r="BH268" s="1726"/>
      <c r="BI268" s="1726"/>
      <c r="BJ268" s="1726"/>
      <c r="BK268" s="1726"/>
      <c r="BL268" s="1726"/>
      <c r="BM268" s="1726"/>
      <c r="BN268" s="1726"/>
      <c r="BO268" s="1726"/>
      <c r="BP268" s="1726"/>
      <c r="BQ268" s="1726"/>
      <c r="BR268" s="1726"/>
      <c r="BS268" s="1726"/>
      <c r="BT268" s="1726"/>
      <c r="BU268" s="1726"/>
      <c r="BV268" s="1726"/>
      <c r="BW268" s="1726"/>
      <c r="BX268" s="1726"/>
      <c r="BY268" s="1726"/>
      <c r="BZ268" s="1726"/>
      <c r="CA268" s="1726"/>
      <c r="CB268" s="1726"/>
      <c r="CC268" s="1726"/>
    </row>
    <row r="269" spans="1:81" ht="19.5" thickBot="1" x14ac:dyDescent="0.35">
      <c r="A269" s="1337"/>
      <c r="B269" s="2152" t="s">
        <v>1001</v>
      </c>
      <c r="C269" s="2153" t="s">
        <v>1201</v>
      </c>
      <c r="D269" s="2154"/>
      <c r="E269" s="3924"/>
      <c r="F269" s="507">
        <v>30.78</v>
      </c>
      <c r="G269" s="3924"/>
      <c r="H269" s="507"/>
      <c r="I269" s="3927"/>
      <c r="J269" s="3928">
        <f>+F269+H269</f>
        <v>30.78</v>
      </c>
      <c r="K269" s="2155"/>
      <c r="L269" s="507">
        <v>40.959999999999994</v>
      </c>
      <c r="M269" s="3941"/>
      <c r="N269" s="3931">
        <f>+J269+L269</f>
        <v>71.739999999999995</v>
      </c>
      <c r="O269" s="2155"/>
      <c r="P269" s="507"/>
      <c r="Q269" s="3927"/>
      <c r="R269" s="3928">
        <f>+N269+P269</f>
        <v>71.739999999999995</v>
      </c>
      <c r="S269" s="2155"/>
      <c r="T269" s="507">
        <v>0</v>
      </c>
      <c r="U269" s="3927"/>
      <c r="V269" s="3928">
        <f>+R269+T269</f>
        <v>71.739999999999995</v>
      </c>
      <c r="W269" s="2155"/>
      <c r="X269" s="507"/>
      <c r="Y269" s="3941"/>
      <c r="Z269" s="3931">
        <f>P269+T269+X269</f>
        <v>0</v>
      </c>
      <c r="AA269" s="3947"/>
      <c r="AB269" s="3944">
        <f>+V269+X269</f>
        <v>71.739999999999995</v>
      </c>
      <c r="AC269" s="2155"/>
      <c r="AD269" s="507">
        <v>0</v>
      </c>
      <c r="AE269" s="3927"/>
      <c r="AF269" s="3928">
        <f>+AB269+AD269</f>
        <v>71.739999999999995</v>
      </c>
      <c r="AG269" s="2155"/>
      <c r="AH269" s="507"/>
      <c r="AI269" s="3927"/>
      <c r="AJ269" s="3928">
        <f>+AF269+AH269</f>
        <v>71.739999999999995</v>
      </c>
      <c r="AK269" s="2155"/>
      <c r="AL269" s="507"/>
      <c r="AM269" s="3941"/>
      <c r="AN269" s="3931">
        <f>AD269+AH269+AL269</f>
        <v>0</v>
      </c>
      <c r="AO269" s="3927"/>
      <c r="AP269" s="3928">
        <f>+AJ269+AL269</f>
        <v>71.739999999999995</v>
      </c>
      <c r="AQ269" s="2155"/>
      <c r="AR269" s="507"/>
      <c r="AS269" s="3927"/>
      <c r="AT269" s="517">
        <f t="shared" ref="AT269:AT318" si="400">+AP269+AR269</f>
        <v>71.739999999999995</v>
      </c>
      <c r="AU269" s="2155"/>
      <c r="AV269" s="507">
        <v>0</v>
      </c>
      <c r="AW269" s="3998"/>
      <c r="AX269" s="517">
        <f t="shared" ref="AX269:AX318" si="401">+AT269+AV269</f>
        <v>71.739999999999995</v>
      </c>
      <c r="AY269" s="2155"/>
      <c r="AZ269" s="507">
        <v>379.40000000000003</v>
      </c>
      <c r="BA269" s="4138"/>
      <c r="BB269" s="4135">
        <f>AR269+AV269+AZ269</f>
        <v>379.40000000000003</v>
      </c>
      <c r="BC269" s="4143"/>
      <c r="BD269" s="4140">
        <f t="shared" ref="BD269:BD331" si="402">+BB269+AN269</f>
        <v>379.40000000000003</v>
      </c>
      <c r="BE269" s="4129"/>
      <c r="BF269" s="517">
        <f>+AX269+AZ269</f>
        <v>451.14000000000004</v>
      </c>
    </row>
    <row r="270" spans="1:81" s="874" customFormat="1" ht="18.75" x14ac:dyDescent="0.3">
      <c r="A270" s="1337"/>
      <c r="B270" s="2152" t="s">
        <v>1002</v>
      </c>
      <c r="C270" s="2153" t="s">
        <v>1202</v>
      </c>
      <c r="D270" s="2154"/>
      <c r="E270" s="3921"/>
      <c r="F270" s="507"/>
      <c r="G270" s="3924"/>
      <c r="H270" s="507"/>
      <c r="I270" s="2156"/>
      <c r="J270" s="3928">
        <f t="shared" ref="J270:J317" si="403">+F270+H270</f>
        <v>0</v>
      </c>
      <c r="K270" s="2157"/>
      <c r="L270" s="507">
        <v>39.450000000000003</v>
      </c>
      <c r="M270" s="2158"/>
      <c r="N270" s="3931">
        <f t="shared" ref="N270:N317" si="404">+J270+L270</f>
        <v>39.450000000000003</v>
      </c>
      <c r="O270" s="2157"/>
      <c r="P270" s="507">
        <v>21.76</v>
      </c>
      <c r="Q270" s="2156"/>
      <c r="R270" s="3928">
        <f t="shared" ref="R270:R317" si="405">+N270+P270</f>
        <v>61.210000000000008</v>
      </c>
      <c r="S270" s="2157"/>
      <c r="T270" s="507">
        <v>0</v>
      </c>
      <c r="U270" s="2156"/>
      <c r="V270" s="3928">
        <f t="shared" ref="V270:V317" si="406">+R270+T270</f>
        <v>61.210000000000008</v>
      </c>
      <c r="W270" s="2157"/>
      <c r="X270" s="507"/>
      <c r="Y270" s="2158"/>
      <c r="Z270" s="3931">
        <f t="shared" ref="Z270:Z317" si="407">P270+T270+X270</f>
        <v>21.76</v>
      </c>
      <c r="AA270" s="2159"/>
      <c r="AB270" s="3944">
        <f t="shared" ref="AB270:AB317" si="408">+V270+X270</f>
        <v>61.210000000000008</v>
      </c>
      <c r="AC270" s="2157"/>
      <c r="AD270" s="507">
        <v>0</v>
      </c>
      <c r="AE270" s="2156"/>
      <c r="AF270" s="3928">
        <f t="shared" ref="AF270:AF317" si="409">+AB270+AD270</f>
        <v>61.210000000000008</v>
      </c>
      <c r="AG270" s="2157"/>
      <c r="AH270" s="507"/>
      <c r="AI270" s="2156"/>
      <c r="AJ270" s="3928">
        <f t="shared" ref="AJ270:AJ318" si="410">+AF270+AH270</f>
        <v>61.210000000000008</v>
      </c>
      <c r="AK270" s="2157"/>
      <c r="AL270" s="507"/>
      <c r="AM270" s="2158"/>
      <c r="AN270" s="3931">
        <f t="shared" ref="AN270:AN316" si="411">AD270+AH270+AL270</f>
        <v>0</v>
      </c>
      <c r="AO270" s="2156"/>
      <c r="AP270" s="3928">
        <f t="shared" ref="AP270:AP312" si="412">+AJ270+AL270</f>
        <v>61.210000000000008</v>
      </c>
      <c r="AQ270" s="2157"/>
      <c r="AR270" s="507">
        <v>7.05</v>
      </c>
      <c r="AS270" s="2156"/>
      <c r="AT270" s="517">
        <f t="shared" si="400"/>
        <v>68.260000000000005</v>
      </c>
      <c r="AU270" s="2157"/>
      <c r="AV270" s="507">
        <v>0</v>
      </c>
      <c r="AW270" s="2156"/>
      <c r="AX270" s="517">
        <f t="shared" si="401"/>
        <v>68.260000000000005</v>
      </c>
      <c r="AY270" s="2157"/>
      <c r="AZ270" s="507">
        <v>126.34</v>
      </c>
      <c r="BA270" s="2158"/>
      <c r="BB270" s="4540">
        <f t="shared" ref="BB270:BB317" si="413">AR270+AV270+AZ270</f>
        <v>133.39000000000001</v>
      </c>
      <c r="BC270" s="2159"/>
      <c r="BD270" s="4543">
        <f t="shared" si="402"/>
        <v>133.39000000000001</v>
      </c>
      <c r="BE270" s="2156"/>
      <c r="BF270" s="517">
        <f t="shared" ref="BF270:BF318" si="414">+AX270+AZ270</f>
        <v>194.60000000000002</v>
      </c>
      <c r="BG270" s="1726"/>
      <c r="BH270" s="1726"/>
      <c r="BI270" s="1726"/>
      <c r="BJ270" s="1726"/>
      <c r="BK270" s="1726"/>
      <c r="BL270" s="1726"/>
      <c r="BM270" s="1726"/>
      <c r="BN270" s="1726"/>
      <c r="BO270" s="1726"/>
      <c r="BP270" s="1726"/>
      <c r="BQ270" s="1726"/>
      <c r="BR270" s="1726"/>
      <c r="BS270" s="1726"/>
      <c r="BT270" s="1726"/>
      <c r="BU270" s="1726"/>
      <c r="BV270" s="1726"/>
      <c r="BW270" s="1726"/>
      <c r="BX270" s="1726"/>
      <c r="BY270" s="1726"/>
      <c r="BZ270" s="1726"/>
      <c r="CA270" s="1726"/>
      <c r="CB270" s="1726"/>
      <c r="CC270" s="1726"/>
    </row>
    <row r="271" spans="1:81" s="1502" customFormat="1" ht="18.75" x14ac:dyDescent="0.3">
      <c r="B271" s="2152" t="s">
        <v>1318</v>
      </c>
      <c r="C271" s="2153" t="s">
        <v>1201</v>
      </c>
      <c r="D271" s="2154"/>
      <c r="E271" s="3921"/>
      <c r="F271" s="507">
        <v>59.85</v>
      </c>
      <c r="G271" s="3923"/>
      <c r="H271" s="507"/>
      <c r="I271" s="3926"/>
      <c r="J271" s="3928">
        <f t="shared" si="403"/>
        <v>59.85</v>
      </c>
      <c r="K271" s="2160"/>
      <c r="L271" s="507"/>
      <c r="M271" s="3938"/>
      <c r="N271" s="3931">
        <f t="shared" si="404"/>
        <v>59.85</v>
      </c>
      <c r="O271" s="2160"/>
      <c r="P271" s="507"/>
      <c r="Q271" s="3926"/>
      <c r="R271" s="3928">
        <f t="shared" si="405"/>
        <v>59.85</v>
      </c>
      <c r="S271" s="2160"/>
      <c r="T271" s="507">
        <v>113.18</v>
      </c>
      <c r="U271" s="3926"/>
      <c r="V271" s="3928">
        <f t="shared" si="406"/>
        <v>173.03</v>
      </c>
      <c r="W271" s="2160"/>
      <c r="X271" s="507"/>
      <c r="Y271" s="3938"/>
      <c r="Z271" s="3931">
        <f t="shared" si="407"/>
        <v>113.18</v>
      </c>
      <c r="AA271" s="3946"/>
      <c r="AB271" s="3944">
        <f t="shared" si="408"/>
        <v>173.03</v>
      </c>
      <c r="AC271" s="2160"/>
      <c r="AD271" s="507">
        <v>0</v>
      </c>
      <c r="AE271" s="3926"/>
      <c r="AF271" s="3928">
        <f t="shared" si="409"/>
        <v>173.03</v>
      </c>
      <c r="AG271" s="2160"/>
      <c r="AH271" s="507"/>
      <c r="AI271" s="3926"/>
      <c r="AJ271" s="3928">
        <f t="shared" si="410"/>
        <v>173.03</v>
      </c>
      <c r="AK271" s="2160"/>
      <c r="AL271" s="507"/>
      <c r="AM271" s="3938"/>
      <c r="AN271" s="3931">
        <f t="shared" si="411"/>
        <v>0</v>
      </c>
      <c r="AO271" s="3926"/>
      <c r="AP271" s="3928">
        <f t="shared" si="412"/>
        <v>173.03</v>
      </c>
      <c r="AQ271" s="2160"/>
      <c r="AR271" s="507">
        <v>17.28</v>
      </c>
      <c r="AS271" s="3926"/>
      <c r="AT271" s="517">
        <f t="shared" si="400"/>
        <v>190.31</v>
      </c>
      <c r="AU271" s="2160"/>
      <c r="AV271" s="507">
        <v>36.68</v>
      </c>
      <c r="AW271" s="3997"/>
      <c r="AX271" s="517">
        <f t="shared" si="401"/>
        <v>226.99</v>
      </c>
      <c r="AY271" s="2160"/>
      <c r="AZ271" s="507"/>
      <c r="BA271" s="4136"/>
      <c r="BB271" s="4540">
        <f t="shared" si="413"/>
        <v>53.96</v>
      </c>
      <c r="BC271" s="4142"/>
      <c r="BD271" s="4543">
        <f t="shared" si="402"/>
        <v>53.96</v>
      </c>
      <c r="BE271" s="4128"/>
      <c r="BF271" s="517">
        <f t="shared" si="414"/>
        <v>226.99</v>
      </c>
      <c r="BG271" s="1726"/>
      <c r="BH271" s="1726"/>
      <c r="BI271" s="1726"/>
      <c r="BJ271" s="1726"/>
      <c r="BK271" s="1726"/>
      <c r="BL271" s="1726"/>
      <c r="BM271" s="1726"/>
      <c r="BN271" s="1726"/>
      <c r="BO271" s="1726"/>
      <c r="BP271" s="1726"/>
      <c r="BQ271" s="1726"/>
      <c r="BR271" s="1726"/>
      <c r="BS271" s="1726"/>
      <c r="BT271" s="1726"/>
      <c r="BU271" s="1726"/>
      <c r="BV271" s="1726"/>
      <c r="BW271" s="1726"/>
      <c r="BX271" s="1726"/>
      <c r="BY271" s="1726"/>
      <c r="BZ271" s="1726"/>
      <c r="CA271" s="1726"/>
      <c r="CB271" s="1726"/>
      <c r="CC271" s="1726"/>
    </row>
    <row r="272" spans="1:81" s="1502" customFormat="1" ht="18.75" x14ac:dyDescent="0.3">
      <c r="B272" s="2152" t="s">
        <v>1001</v>
      </c>
      <c r="C272" s="2153" t="s">
        <v>1202</v>
      </c>
      <c r="D272" s="2154"/>
      <c r="E272" s="3921"/>
      <c r="F272" s="507"/>
      <c r="G272" s="3923"/>
      <c r="H272" s="507"/>
      <c r="I272" s="3926"/>
      <c r="J272" s="3928">
        <f t="shared" si="403"/>
        <v>0</v>
      </c>
      <c r="K272" s="2160"/>
      <c r="L272" s="507"/>
      <c r="M272" s="3938"/>
      <c r="N272" s="3931">
        <f t="shared" si="404"/>
        <v>0</v>
      </c>
      <c r="O272" s="2160"/>
      <c r="P272" s="507"/>
      <c r="Q272" s="3926"/>
      <c r="R272" s="3928">
        <f t="shared" si="405"/>
        <v>0</v>
      </c>
      <c r="S272" s="2160"/>
      <c r="T272" s="507">
        <v>0</v>
      </c>
      <c r="U272" s="3926"/>
      <c r="V272" s="3928">
        <f t="shared" si="406"/>
        <v>0</v>
      </c>
      <c r="W272" s="2160"/>
      <c r="X272" s="507"/>
      <c r="Y272" s="3938"/>
      <c r="Z272" s="3931">
        <f t="shared" si="407"/>
        <v>0</v>
      </c>
      <c r="AA272" s="3946"/>
      <c r="AB272" s="3944">
        <f t="shared" si="408"/>
        <v>0</v>
      </c>
      <c r="AC272" s="2160"/>
      <c r="AD272" s="507">
        <v>0</v>
      </c>
      <c r="AE272" s="3926"/>
      <c r="AF272" s="3928">
        <f t="shared" si="409"/>
        <v>0</v>
      </c>
      <c r="AG272" s="2160"/>
      <c r="AH272" s="507"/>
      <c r="AI272" s="3926"/>
      <c r="AJ272" s="3928">
        <f t="shared" si="410"/>
        <v>0</v>
      </c>
      <c r="AK272" s="2160"/>
      <c r="AL272" s="507"/>
      <c r="AM272" s="3938"/>
      <c r="AN272" s="3931">
        <f t="shared" si="411"/>
        <v>0</v>
      </c>
      <c r="AO272" s="3926"/>
      <c r="AP272" s="3928">
        <f t="shared" si="412"/>
        <v>0</v>
      </c>
      <c r="AQ272" s="2160"/>
      <c r="AR272" s="507"/>
      <c r="AS272" s="3926"/>
      <c r="AT272" s="517">
        <f t="shared" si="400"/>
        <v>0</v>
      </c>
      <c r="AU272" s="2160"/>
      <c r="AV272" s="507"/>
      <c r="AW272" s="3997"/>
      <c r="AX272" s="517">
        <f t="shared" si="401"/>
        <v>0</v>
      </c>
      <c r="AY272" s="2160"/>
      <c r="AZ272" s="507"/>
      <c r="BA272" s="4136"/>
      <c r="BB272" s="4540">
        <f t="shared" si="413"/>
        <v>0</v>
      </c>
      <c r="BC272" s="4142"/>
      <c r="BD272" s="4543">
        <f t="shared" si="402"/>
        <v>0</v>
      </c>
      <c r="BE272" s="4128"/>
      <c r="BF272" s="517">
        <f t="shared" si="414"/>
        <v>0</v>
      </c>
      <c r="BG272" s="1726"/>
      <c r="BH272" s="1726"/>
      <c r="BI272" s="1726"/>
      <c r="BJ272" s="1726"/>
      <c r="BK272" s="1726"/>
      <c r="BL272" s="1726"/>
      <c r="BM272" s="1726"/>
      <c r="BN272" s="1726"/>
      <c r="BO272" s="1726"/>
      <c r="BP272" s="1726"/>
      <c r="BQ272" s="1726"/>
      <c r="BR272" s="1726"/>
      <c r="BS272" s="1726"/>
      <c r="BT272" s="1726"/>
      <c r="BU272" s="1726"/>
      <c r="BV272" s="1726"/>
      <c r="BW272" s="1726"/>
      <c r="BX272" s="1726"/>
      <c r="BY272" s="1726"/>
      <c r="BZ272" s="1726"/>
      <c r="CA272" s="1726"/>
      <c r="CB272" s="1726"/>
      <c r="CC272" s="1726"/>
    </row>
    <row r="273" spans="1:81" s="4515" customFormat="1" ht="18.75" x14ac:dyDescent="0.3">
      <c r="B273" s="2152" t="s">
        <v>1865</v>
      </c>
      <c r="C273" s="2153" t="s">
        <v>1202</v>
      </c>
      <c r="D273" s="2154"/>
      <c r="E273" s="4519"/>
      <c r="F273" s="507"/>
      <c r="G273" s="4517"/>
      <c r="H273" s="507"/>
      <c r="I273" s="4516"/>
      <c r="J273" s="4518"/>
      <c r="K273" s="2160"/>
      <c r="L273" s="507"/>
      <c r="M273" s="4521"/>
      <c r="N273" s="4520"/>
      <c r="O273" s="2160"/>
      <c r="P273" s="507"/>
      <c r="Q273" s="4516"/>
      <c r="R273" s="4518"/>
      <c r="S273" s="2160"/>
      <c r="T273" s="507"/>
      <c r="U273" s="4516"/>
      <c r="V273" s="4518"/>
      <c r="W273" s="2160"/>
      <c r="X273" s="507"/>
      <c r="Y273" s="4521"/>
      <c r="Z273" s="4520"/>
      <c r="AA273" s="4523"/>
      <c r="AB273" s="4522"/>
      <c r="AC273" s="2160"/>
      <c r="AD273" s="507"/>
      <c r="AE273" s="4516"/>
      <c r="AF273" s="4518"/>
      <c r="AG273" s="2160"/>
      <c r="AH273" s="507"/>
      <c r="AI273" s="4516"/>
      <c r="AJ273" s="4518"/>
      <c r="AK273" s="2160"/>
      <c r="AL273" s="507"/>
      <c r="AM273" s="4521"/>
      <c r="AN273" s="4520"/>
      <c r="AO273" s="4516"/>
      <c r="AP273" s="4518"/>
      <c r="AQ273" s="2160"/>
      <c r="AR273" s="507"/>
      <c r="AS273" s="4516"/>
      <c r="AT273" s="517"/>
      <c r="AU273" s="2160"/>
      <c r="AV273" s="507"/>
      <c r="AW273" s="4516"/>
      <c r="AX273" s="517"/>
      <c r="AY273" s="2160"/>
      <c r="AZ273" s="507">
        <v>92.72</v>
      </c>
      <c r="BA273" s="4521"/>
      <c r="BB273" s="4540">
        <f t="shared" si="413"/>
        <v>92.72</v>
      </c>
      <c r="BC273" s="4523"/>
      <c r="BD273" s="4543">
        <f t="shared" si="402"/>
        <v>92.72</v>
      </c>
      <c r="BE273" s="4516"/>
      <c r="BF273" s="517">
        <f t="shared" si="414"/>
        <v>92.72</v>
      </c>
    </row>
    <row r="274" spans="1:81" s="1726" customFormat="1" ht="18.75" x14ac:dyDescent="0.3">
      <c r="B274" s="2152" t="s">
        <v>1782</v>
      </c>
      <c r="C274" s="2153" t="s">
        <v>1783</v>
      </c>
      <c r="D274" s="2154"/>
      <c r="E274" s="3921"/>
      <c r="F274" s="507"/>
      <c r="G274" s="3923"/>
      <c r="H274" s="507"/>
      <c r="I274" s="3926"/>
      <c r="J274" s="3928"/>
      <c r="K274" s="2160"/>
      <c r="L274" s="507"/>
      <c r="M274" s="3938"/>
      <c r="N274" s="3931"/>
      <c r="O274" s="2160"/>
      <c r="P274" s="507"/>
      <c r="Q274" s="3926"/>
      <c r="R274" s="3928"/>
      <c r="S274" s="2160"/>
      <c r="T274" s="507"/>
      <c r="U274" s="3926"/>
      <c r="V274" s="3928"/>
      <c r="W274" s="2160"/>
      <c r="X274" s="507"/>
      <c r="Y274" s="3938"/>
      <c r="Z274" s="3931"/>
      <c r="AA274" s="3946"/>
      <c r="AB274" s="3944"/>
      <c r="AC274" s="2160"/>
      <c r="AD274" s="507"/>
      <c r="AE274" s="3926"/>
      <c r="AF274" s="3928"/>
      <c r="AG274" s="2160"/>
      <c r="AH274" s="507"/>
      <c r="AI274" s="3926"/>
      <c r="AJ274" s="3928"/>
      <c r="AK274" s="2160"/>
      <c r="AL274" s="507"/>
      <c r="AM274" s="3938"/>
      <c r="AN274" s="3931"/>
      <c r="AO274" s="3926"/>
      <c r="AP274" s="3928">
        <f t="shared" si="412"/>
        <v>0</v>
      </c>
      <c r="AQ274" s="2160"/>
      <c r="AR274" s="507">
        <v>440.86</v>
      </c>
      <c r="AS274" s="3926"/>
      <c r="AT274" s="517">
        <f t="shared" si="400"/>
        <v>440.86</v>
      </c>
      <c r="AU274" s="2160"/>
      <c r="AV274" s="507">
        <v>82.83</v>
      </c>
      <c r="AW274" s="3997"/>
      <c r="AX274" s="517">
        <f t="shared" si="401"/>
        <v>523.69000000000005</v>
      </c>
      <c r="AY274" s="2160"/>
      <c r="AZ274" s="507">
        <v>1745.19</v>
      </c>
      <c r="BA274" s="4136"/>
      <c r="BB274" s="4540">
        <f t="shared" si="413"/>
        <v>2268.88</v>
      </c>
      <c r="BC274" s="4142"/>
      <c r="BD274" s="4543">
        <f t="shared" si="402"/>
        <v>2268.88</v>
      </c>
      <c r="BE274" s="4128"/>
      <c r="BF274" s="517">
        <f t="shared" si="414"/>
        <v>2268.88</v>
      </c>
    </row>
    <row r="275" spans="1:81" ht="18.75" x14ac:dyDescent="0.25">
      <c r="A275" s="468"/>
      <c r="B275" s="646" t="s">
        <v>1165</v>
      </c>
      <c r="C275" s="2153" t="s">
        <v>1181</v>
      </c>
      <c r="D275" s="2154"/>
      <c r="E275" s="2161"/>
      <c r="F275" s="507"/>
      <c r="G275" s="5039"/>
      <c r="H275" s="507"/>
      <c r="I275" s="4957"/>
      <c r="J275" s="3928">
        <f t="shared" si="403"/>
        <v>0</v>
      </c>
      <c r="K275" s="5004"/>
      <c r="L275" s="507"/>
      <c r="M275" s="4953"/>
      <c r="N275" s="3931">
        <f t="shared" si="404"/>
        <v>0</v>
      </c>
      <c r="O275" s="5004"/>
      <c r="P275" s="507"/>
      <c r="Q275" s="4957"/>
      <c r="R275" s="3928">
        <f t="shared" si="405"/>
        <v>0</v>
      </c>
      <c r="S275" s="5004"/>
      <c r="T275" s="507">
        <v>0</v>
      </c>
      <c r="U275" s="4957"/>
      <c r="V275" s="3928">
        <f t="shared" si="406"/>
        <v>0</v>
      </c>
      <c r="W275" s="5004"/>
      <c r="X275" s="507"/>
      <c r="Y275" s="4953"/>
      <c r="Z275" s="3931">
        <f t="shared" si="407"/>
        <v>0</v>
      </c>
      <c r="AA275" s="4972"/>
      <c r="AB275" s="3944">
        <f t="shared" si="408"/>
        <v>0</v>
      </c>
      <c r="AC275" s="5004"/>
      <c r="AD275" s="507">
        <v>0</v>
      </c>
      <c r="AE275" s="4957"/>
      <c r="AF275" s="3928">
        <f t="shared" si="409"/>
        <v>0</v>
      </c>
      <c r="AG275" s="5004"/>
      <c r="AH275" s="507"/>
      <c r="AI275" s="4957"/>
      <c r="AJ275" s="3928">
        <f t="shared" si="410"/>
        <v>0</v>
      </c>
      <c r="AK275" s="5004"/>
      <c r="AL275" s="507"/>
      <c r="AM275" s="4953"/>
      <c r="AN275" s="3931">
        <f t="shared" si="411"/>
        <v>0</v>
      </c>
      <c r="AO275" s="4957"/>
      <c r="AP275" s="3928">
        <f t="shared" si="412"/>
        <v>0</v>
      </c>
      <c r="AQ275" s="5004"/>
      <c r="AR275" s="507"/>
      <c r="AS275" s="4957"/>
      <c r="AT275" s="517">
        <f t="shared" si="400"/>
        <v>0</v>
      </c>
      <c r="AU275" s="5004"/>
      <c r="AV275" s="507">
        <v>118.76</v>
      </c>
      <c r="AW275" s="4957"/>
      <c r="AX275" s="517">
        <f t="shared" si="401"/>
        <v>118.76</v>
      </c>
      <c r="AY275" s="5004"/>
      <c r="AZ275" s="507"/>
      <c r="BA275" s="4953"/>
      <c r="BB275" s="4540">
        <f t="shared" si="413"/>
        <v>118.76</v>
      </c>
      <c r="BC275" s="4972"/>
      <c r="BD275" s="4543">
        <f t="shared" si="402"/>
        <v>118.76</v>
      </c>
      <c r="BE275" s="4957"/>
      <c r="BF275" s="517">
        <f t="shared" si="414"/>
        <v>118.76</v>
      </c>
    </row>
    <row r="276" spans="1:81" s="1502" customFormat="1" ht="18.75" x14ac:dyDescent="0.25">
      <c r="A276" s="468"/>
      <c r="B276" s="646" t="s">
        <v>1165</v>
      </c>
      <c r="C276" s="2153" t="s">
        <v>1316</v>
      </c>
      <c r="D276" s="2154"/>
      <c r="E276" s="2161"/>
      <c r="F276" s="507"/>
      <c r="G276" s="5039"/>
      <c r="H276" s="507"/>
      <c r="I276" s="4957"/>
      <c r="J276" s="3928">
        <f t="shared" si="403"/>
        <v>0</v>
      </c>
      <c r="K276" s="5004"/>
      <c r="L276" s="507"/>
      <c r="M276" s="4953"/>
      <c r="N276" s="3931">
        <f t="shared" si="404"/>
        <v>0</v>
      </c>
      <c r="O276" s="5004"/>
      <c r="P276" s="507"/>
      <c r="Q276" s="4957"/>
      <c r="R276" s="3928">
        <f t="shared" si="405"/>
        <v>0</v>
      </c>
      <c r="S276" s="5004"/>
      <c r="T276" s="507">
        <v>0</v>
      </c>
      <c r="U276" s="4957"/>
      <c r="V276" s="3928">
        <f t="shared" si="406"/>
        <v>0</v>
      </c>
      <c r="W276" s="5004"/>
      <c r="X276" s="507"/>
      <c r="Y276" s="4953"/>
      <c r="Z276" s="3931">
        <f t="shared" si="407"/>
        <v>0</v>
      </c>
      <c r="AA276" s="4972"/>
      <c r="AB276" s="3944">
        <f t="shared" si="408"/>
        <v>0</v>
      </c>
      <c r="AC276" s="5004"/>
      <c r="AD276" s="507">
        <v>0</v>
      </c>
      <c r="AE276" s="4957"/>
      <c r="AF276" s="3928">
        <f t="shared" si="409"/>
        <v>0</v>
      </c>
      <c r="AG276" s="5004"/>
      <c r="AH276" s="507"/>
      <c r="AI276" s="4957"/>
      <c r="AJ276" s="3928">
        <f t="shared" si="410"/>
        <v>0</v>
      </c>
      <c r="AK276" s="5004"/>
      <c r="AL276" s="507"/>
      <c r="AM276" s="4953"/>
      <c r="AN276" s="3931">
        <f t="shared" si="411"/>
        <v>0</v>
      </c>
      <c r="AO276" s="4957"/>
      <c r="AP276" s="3928">
        <f t="shared" si="412"/>
        <v>0</v>
      </c>
      <c r="AQ276" s="5004"/>
      <c r="AR276" s="507"/>
      <c r="AS276" s="4957"/>
      <c r="AT276" s="517">
        <f t="shared" si="400"/>
        <v>0</v>
      </c>
      <c r="AU276" s="5004"/>
      <c r="AV276" s="507"/>
      <c r="AW276" s="4957"/>
      <c r="AX276" s="517">
        <f t="shared" si="401"/>
        <v>0</v>
      </c>
      <c r="AY276" s="5004"/>
      <c r="AZ276" s="507"/>
      <c r="BA276" s="4953"/>
      <c r="BB276" s="4540">
        <f t="shared" si="413"/>
        <v>0</v>
      </c>
      <c r="BC276" s="4972"/>
      <c r="BD276" s="4543">
        <f t="shared" si="402"/>
        <v>0</v>
      </c>
      <c r="BE276" s="4957"/>
      <c r="BF276" s="517">
        <f t="shared" si="414"/>
        <v>0</v>
      </c>
      <c r="BG276" s="1726"/>
      <c r="BH276" s="1726"/>
      <c r="BI276" s="1726"/>
      <c r="BJ276" s="1726"/>
      <c r="BK276" s="1726"/>
      <c r="BL276" s="1726"/>
      <c r="BM276" s="1726"/>
      <c r="BN276" s="1726"/>
      <c r="BO276" s="1726"/>
      <c r="BP276" s="1726"/>
      <c r="BQ276" s="1726"/>
      <c r="BR276" s="1726"/>
      <c r="BS276" s="1726"/>
      <c r="BT276" s="1726"/>
      <c r="BU276" s="1726"/>
      <c r="BV276" s="1726"/>
      <c r="BW276" s="1726"/>
      <c r="BX276" s="1726"/>
      <c r="BY276" s="1726"/>
      <c r="BZ276" s="1726"/>
      <c r="CA276" s="1726"/>
      <c r="CB276" s="1726"/>
      <c r="CC276" s="1726"/>
    </row>
    <row r="277" spans="1:81" ht="18.75" x14ac:dyDescent="0.25">
      <c r="A277" s="468"/>
      <c r="B277" s="646" t="s">
        <v>1166</v>
      </c>
      <c r="C277" s="2153" t="s">
        <v>1182</v>
      </c>
      <c r="D277" s="2154"/>
      <c r="E277" s="2161"/>
      <c r="F277" s="507">
        <v>3489.88</v>
      </c>
      <c r="G277" s="5039"/>
      <c r="H277" s="507">
        <v>171.69</v>
      </c>
      <c r="I277" s="4957"/>
      <c r="J277" s="3928">
        <f t="shared" si="403"/>
        <v>3661.57</v>
      </c>
      <c r="K277" s="5004"/>
      <c r="L277" s="507"/>
      <c r="M277" s="4953"/>
      <c r="N277" s="3931">
        <f t="shared" si="404"/>
        <v>3661.57</v>
      </c>
      <c r="O277" s="5004"/>
      <c r="P277" s="507"/>
      <c r="Q277" s="4957"/>
      <c r="R277" s="3928">
        <f t="shared" si="405"/>
        <v>3661.57</v>
      </c>
      <c r="S277" s="5004"/>
      <c r="T277" s="507">
        <v>751.84</v>
      </c>
      <c r="U277" s="4957"/>
      <c r="V277" s="3928">
        <f t="shared" si="406"/>
        <v>4413.41</v>
      </c>
      <c r="W277" s="5004"/>
      <c r="X277" s="507">
        <v>211.3</v>
      </c>
      <c r="Y277" s="4953"/>
      <c r="Z277" s="3931">
        <f t="shared" si="407"/>
        <v>963.1400000000001</v>
      </c>
      <c r="AA277" s="4972"/>
      <c r="AB277" s="3944">
        <f t="shared" si="408"/>
        <v>4624.71</v>
      </c>
      <c r="AC277" s="5004"/>
      <c r="AD277" s="507">
        <v>1875.8200000000002</v>
      </c>
      <c r="AE277" s="4957"/>
      <c r="AF277" s="3928">
        <f t="shared" si="409"/>
        <v>6500.5300000000007</v>
      </c>
      <c r="AG277" s="5004"/>
      <c r="AH277" s="507">
        <v>2759.38</v>
      </c>
      <c r="AI277" s="4957"/>
      <c r="AJ277" s="3928">
        <f t="shared" si="410"/>
        <v>9259.91</v>
      </c>
      <c r="AK277" s="5004"/>
      <c r="AL277" s="507">
        <v>3312.09</v>
      </c>
      <c r="AM277" s="4953"/>
      <c r="AN277" s="3931">
        <f t="shared" si="411"/>
        <v>7947.2900000000009</v>
      </c>
      <c r="AO277" s="4957"/>
      <c r="AP277" s="3928">
        <f t="shared" si="412"/>
        <v>12572</v>
      </c>
      <c r="AQ277" s="5004"/>
      <c r="AR277" s="507">
        <v>56.96</v>
      </c>
      <c r="AS277" s="4957"/>
      <c r="AT277" s="517">
        <f t="shared" si="400"/>
        <v>12628.96</v>
      </c>
      <c r="AU277" s="5004"/>
      <c r="AV277" s="507">
        <f>3185.52+40.19</f>
        <v>3225.71</v>
      </c>
      <c r="AW277" s="4957"/>
      <c r="AX277" s="517">
        <f t="shared" si="401"/>
        <v>15854.669999999998</v>
      </c>
      <c r="AY277" s="5004"/>
      <c r="AZ277" s="507">
        <v>4887.01</v>
      </c>
      <c r="BA277" s="4953"/>
      <c r="BB277" s="4540">
        <f t="shared" si="413"/>
        <v>8169.68</v>
      </c>
      <c r="BC277" s="4972"/>
      <c r="BD277" s="4543">
        <f t="shared" si="402"/>
        <v>16116.970000000001</v>
      </c>
      <c r="BE277" s="4957"/>
      <c r="BF277" s="517">
        <f t="shared" si="414"/>
        <v>20741.68</v>
      </c>
    </row>
    <row r="278" spans="1:81" s="1559" customFormat="1" ht="18.75" x14ac:dyDescent="0.25">
      <c r="A278" s="468"/>
      <c r="B278" s="646" t="s">
        <v>1166</v>
      </c>
      <c r="C278" s="2153" t="s">
        <v>1692</v>
      </c>
      <c r="D278" s="2154"/>
      <c r="E278" s="2161"/>
      <c r="F278" s="507"/>
      <c r="G278" s="5039"/>
      <c r="H278" s="507"/>
      <c r="I278" s="4957"/>
      <c r="J278" s="3928"/>
      <c r="K278" s="5004"/>
      <c r="L278" s="507">
        <v>197.32</v>
      </c>
      <c r="M278" s="4953"/>
      <c r="N278" s="3931">
        <f t="shared" si="404"/>
        <v>197.32</v>
      </c>
      <c r="O278" s="5004"/>
      <c r="P278" s="507">
        <v>244.9</v>
      </c>
      <c r="Q278" s="4957"/>
      <c r="R278" s="3928">
        <f t="shared" si="405"/>
        <v>442.22</v>
      </c>
      <c r="S278" s="5004"/>
      <c r="T278" s="507">
        <v>0</v>
      </c>
      <c r="U278" s="4957"/>
      <c r="V278" s="3928">
        <f t="shared" si="406"/>
        <v>442.22</v>
      </c>
      <c r="W278" s="5004"/>
      <c r="X278" s="507"/>
      <c r="Y278" s="4953"/>
      <c r="Z278" s="3931">
        <f t="shared" si="407"/>
        <v>244.9</v>
      </c>
      <c r="AA278" s="4972"/>
      <c r="AB278" s="3944">
        <f t="shared" si="408"/>
        <v>442.22</v>
      </c>
      <c r="AC278" s="5004"/>
      <c r="AD278" s="507">
        <v>843.54</v>
      </c>
      <c r="AE278" s="4957"/>
      <c r="AF278" s="3928">
        <f t="shared" si="409"/>
        <v>1285.76</v>
      </c>
      <c r="AG278" s="5004"/>
      <c r="AH278" s="507">
        <v>130.44</v>
      </c>
      <c r="AI278" s="4957"/>
      <c r="AJ278" s="3928">
        <f t="shared" si="410"/>
        <v>1416.2</v>
      </c>
      <c r="AK278" s="5004"/>
      <c r="AL278" s="507">
        <v>509.66</v>
      </c>
      <c r="AM278" s="4953"/>
      <c r="AN278" s="3931">
        <f t="shared" si="411"/>
        <v>1483.64</v>
      </c>
      <c r="AO278" s="4957"/>
      <c r="AP278" s="3928">
        <f t="shared" si="412"/>
        <v>1925.8600000000001</v>
      </c>
      <c r="AQ278" s="5004"/>
      <c r="AR278" s="507"/>
      <c r="AS278" s="4957"/>
      <c r="AT278" s="517">
        <f t="shared" si="400"/>
        <v>1925.8600000000001</v>
      </c>
      <c r="AU278" s="5004"/>
      <c r="AV278" s="507"/>
      <c r="AW278" s="4957"/>
      <c r="AX278" s="517">
        <f t="shared" si="401"/>
        <v>1925.8600000000001</v>
      </c>
      <c r="AY278" s="5004"/>
      <c r="AZ278" s="507">
        <v>1803.3899999999999</v>
      </c>
      <c r="BA278" s="4953"/>
      <c r="BB278" s="4540">
        <f t="shared" si="413"/>
        <v>1803.3899999999999</v>
      </c>
      <c r="BC278" s="4972"/>
      <c r="BD278" s="4543">
        <f t="shared" si="402"/>
        <v>3287.0299999999997</v>
      </c>
      <c r="BE278" s="4957"/>
      <c r="BF278" s="517">
        <f t="shared" si="414"/>
        <v>3729.25</v>
      </c>
      <c r="BG278" s="1726"/>
      <c r="BH278" s="1726"/>
      <c r="BI278" s="1726"/>
      <c r="BJ278" s="1726"/>
      <c r="BK278" s="1726"/>
      <c r="BL278" s="1726"/>
      <c r="BM278" s="1726"/>
      <c r="BN278" s="1726"/>
      <c r="BO278" s="1726"/>
      <c r="BP278" s="1726"/>
      <c r="BQ278" s="1726"/>
      <c r="BR278" s="1726"/>
      <c r="BS278" s="1726"/>
      <c r="BT278" s="1726"/>
      <c r="BU278" s="1726"/>
      <c r="BV278" s="1726"/>
      <c r="BW278" s="1726"/>
      <c r="BX278" s="1726"/>
      <c r="BY278" s="1726"/>
      <c r="BZ278" s="1726"/>
      <c r="CA278" s="1726"/>
      <c r="CB278" s="1726"/>
      <c r="CC278" s="1726"/>
    </row>
    <row r="279" spans="1:81" ht="18.75" x14ac:dyDescent="0.25">
      <c r="A279" s="468"/>
      <c r="B279" s="646" t="s">
        <v>1166</v>
      </c>
      <c r="C279" s="2153" t="s">
        <v>1410</v>
      </c>
      <c r="D279" s="2154"/>
      <c r="E279" s="2161"/>
      <c r="F279" s="507">
        <v>61.66</v>
      </c>
      <c r="G279" s="5039"/>
      <c r="H279" s="507">
        <v>433.38</v>
      </c>
      <c r="I279" s="4957"/>
      <c r="J279" s="3928">
        <f t="shared" si="403"/>
        <v>495.03999999999996</v>
      </c>
      <c r="K279" s="5004"/>
      <c r="L279" s="507">
        <v>1616.65</v>
      </c>
      <c r="M279" s="4953"/>
      <c r="N279" s="3931">
        <f t="shared" si="404"/>
        <v>2111.69</v>
      </c>
      <c r="O279" s="5004"/>
      <c r="P279" s="507">
        <v>3432.8</v>
      </c>
      <c r="Q279" s="4957"/>
      <c r="R279" s="3928">
        <f t="shared" si="405"/>
        <v>5544.49</v>
      </c>
      <c r="S279" s="5004"/>
      <c r="T279" s="507">
        <v>1825.5</v>
      </c>
      <c r="U279" s="4957"/>
      <c r="V279" s="3928">
        <f t="shared" si="406"/>
        <v>7369.99</v>
      </c>
      <c r="W279" s="5004"/>
      <c r="X279" s="507">
        <v>901.87000000000012</v>
      </c>
      <c r="Y279" s="4953"/>
      <c r="Z279" s="3931">
        <f t="shared" si="407"/>
        <v>6160.17</v>
      </c>
      <c r="AA279" s="4972"/>
      <c r="AB279" s="3944">
        <f t="shared" si="408"/>
        <v>8271.86</v>
      </c>
      <c r="AC279" s="5004"/>
      <c r="AD279" s="507">
        <v>1872.42</v>
      </c>
      <c r="AE279" s="4957"/>
      <c r="AF279" s="3928">
        <f t="shared" si="409"/>
        <v>10144.280000000001</v>
      </c>
      <c r="AG279" s="5004"/>
      <c r="AH279" s="507"/>
      <c r="AI279" s="4957"/>
      <c r="AJ279" s="3928">
        <f t="shared" si="410"/>
        <v>10144.280000000001</v>
      </c>
      <c r="AK279" s="5004"/>
      <c r="AL279" s="507"/>
      <c r="AM279" s="4953"/>
      <c r="AN279" s="3931">
        <f t="shared" si="411"/>
        <v>1872.42</v>
      </c>
      <c r="AO279" s="4957"/>
      <c r="AP279" s="3928">
        <f t="shared" si="412"/>
        <v>10144.280000000001</v>
      </c>
      <c r="AQ279" s="5004"/>
      <c r="AR279" s="507"/>
      <c r="AS279" s="4957"/>
      <c r="AT279" s="517">
        <f t="shared" si="400"/>
        <v>10144.280000000001</v>
      </c>
      <c r="AU279" s="5004"/>
      <c r="AV279" s="507"/>
      <c r="AW279" s="4957"/>
      <c r="AX279" s="517">
        <f t="shared" si="401"/>
        <v>10144.280000000001</v>
      </c>
      <c r="AY279" s="5004"/>
      <c r="AZ279" s="507">
        <v>122.08</v>
      </c>
      <c r="BA279" s="4953"/>
      <c r="BB279" s="4540">
        <f t="shared" si="413"/>
        <v>122.08</v>
      </c>
      <c r="BC279" s="4972"/>
      <c r="BD279" s="4543">
        <f t="shared" si="402"/>
        <v>1994.5</v>
      </c>
      <c r="BE279" s="4957"/>
      <c r="BF279" s="517">
        <f t="shared" si="414"/>
        <v>10266.36</v>
      </c>
    </row>
    <row r="280" spans="1:81" s="1726" customFormat="1" ht="18.75" x14ac:dyDescent="0.25">
      <c r="A280" s="468"/>
      <c r="B280" s="646" t="s">
        <v>1166</v>
      </c>
      <c r="C280" s="2153" t="s">
        <v>1183</v>
      </c>
      <c r="D280" s="2154"/>
      <c r="E280" s="2161"/>
      <c r="F280" s="507"/>
      <c r="G280" s="5039"/>
      <c r="H280" s="507"/>
      <c r="I280" s="4957"/>
      <c r="J280" s="3928"/>
      <c r="K280" s="5004"/>
      <c r="L280" s="507"/>
      <c r="M280" s="4953"/>
      <c r="N280" s="3931">
        <f t="shared" si="404"/>
        <v>0</v>
      </c>
      <c r="O280" s="5004"/>
      <c r="P280" s="507"/>
      <c r="Q280" s="4957"/>
      <c r="R280" s="3928"/>
      <c r="S280" s="5004"/>
      <c r="T280" s="507"/>
      <c r="U280" s="4957"/>
      <c r="V280" s="3928"/>
      <c r="W280" s="5004"/>
      <c r="X280" s="507"/>
      <c r="Y280" s="4953"/>
      <c r="Z280" s="3931"/>
      <c r="AA280" s="4972"/>
      <c r="AB280" s="3944"/>
      <c r="AC280" s="5004"/>
      <c r="AD280" s="507"/>
      <c r="AE280" s="4957"/>
      <c r="AF280" s="3928"/>
      <c r="AG280" s="5004"/>
      <c r="AH280" s="507">
        <v>32.549999999999997</v>
      </c>
      <c r="AI280" s="4957"/>
      <c r="AJ280" s="3928">
        <f t="shared" si="410"/>
        <v>32.549999999999997</v>
      </c>
      <c r="AK280" s="5004"/>
      <c r="AL280" s="507"/>
      <c r="AM280" s="4953"/>
      <c r="AN280" s="3931">
        <f t="shared" si="411"/>
        <v>32.549999999999997</v>
      </c>
      <c r="AO280" s="4957"/>
      <c r="AP280" s="3928">
        <f t="shared" si="412"/>
        <v>32.549999999999997</v>
      </c>
      <c r="AQ280" s="5004"/>
      <c r="AR280" s="507"/>
      <c r="AS280" s="4957"/>
      <c r="AT280" s="517">
        <f t="shared" si="400"/>
        <v>32.549999999999997</v>
      </c>
      <c r="AU280" s="5004"/>
      <c r="AV280" s="507">
        <v>166.07</v>
      </c>
      <c r="AW280" s="4957"/>
      <c r="AX280" s="517">
        <f t="shared" si="401"/>
        <v>198.62</v>
      </c>
      <c r="AY280" s="5004"/>
      <c r="AZ280" s="507">
        <v>562.27</v>
      </c>
      <c r="BA280" s="4953"/>
      <c r="BB280" s="4540">
        <f t="shared" si="413"/>
        <v>728.33999999999992</v>
      </c>
      <c r="BC280" s="4972"/>
      <c r="BD280" s="4543">
        <f t="shared" si="402"/>
        <v>760.88999999999987</v>
      </c>
      <c r="BE280" s="4957"/>
      <c r="BF280" s="517">
        <f t="shared" si="414"/>
        <v>760.89</v>
      </c>
    </row>
    <row r="281" spans="1:81" s="1726" customFormat="1" ht="18.75" x14ac:dyDescent="0.25">
      <c r="A281" s="468"/>
      <c r="B281" s="2162" t="s">
        <v>1166</v>
      </c>
      <c r="C281" s="2153" t="s">
        <v>1184</v>
      </c>
      <c r="D281" s="2154"/>
      <c r="E281" s="2161"/>
      <c r="F281" s="507"/>
      <c r="G281" s="5039"/>
      <c r="H281" s="507"/>
      <c r="I281" s="4957"/>
      <c r="J281" s="3928"/>
      <c r="K281" s="5004"/>
      <c r="L281" s="507"/>
      <c r="M281" s="4953"/>
      <c r="N281" s="3931"/>
      <c r="O281" s="5004"/>
      <c r="P281" s="507"/>
      <c r="Q281" s="4957"/>
      <c r="R281" s="3928"/>
      <c r="S281" s="5004"/>
      <c r="T281" s="507"/>
      <c r="U281" s="4957"/>
      <c r="V281" s="3928"/>
      <c r="W281" s="5004"/>
      <c r="X281" s="507"/>
      <c r="Y281" s="4953"/>
      <c r="Z281" s="3931"/>
      <c r="AA281" s="4972"/>
      <c r="AB281" s="3944"/>
      <c r="AC281" s="5004"/>
      <c r="AD281" s="507"/>
      <c r="AE281" s="4957"/>
      <c r="AF281" s="3928"/>
      <c r="AG281" s="5004"/>
      <c r="AH281" s="507"/>
      <c r="AI281" s="4957"/>
      <c r="AJ281" s="3928">
        <f t="shared" si="410"/>
        <v>0</v>
      </c>
      <c r="AK281" s="5004"/>
      <c r="AL281" s="507">
        <v>183.4</v>
      </c>
      <c r="AM281" s="4953"/>
      <c r="AN281" s="3931">
        <f t="shared" si="411"/>
        <v>183.4</v>
      </c>
      <c r="AO281" s="4957"/>
      <c r="AP281" s="3928">
        <f t="shared" si="412"/>
        <v>183.4</v>
      </c>
      <c r="AQ281" s="5004"/>
      <c r="AR281" s="507"/>
      <c r="AS281" s="4957"/>
      <c r="AT281" s="517">
        <f t="shared" si="400"/>
        <v>183.4</v>
      </c>
      <c r="AU281" s="5004"/>
      <c r="AV281" s="507"/>
      <c r="AW281" s="4957"/>
      <c r="AX281" s="517">
        <f t="shared" si="401"/>
        <v>183.4</v>
      </c>
      <c r="AY281" s="5004"/>
      <c r="AZ281" s="507"/>
      <c r="BA281" s="4953"/>
      <c r="BB281" s="4540">
        <f t="shared" si="413"/>
        <v>0</v>
      </c>
      <c r="BC281" s="4972"/>
      <c r="BD281" s="4543">
        <f t="shared" si="402"/>
        <v>183.4</v>
      </c>
      <c r="BE281" s="4957"/>
      <c r="BF281" s="517">
        <f t="shared" si="414"/>
        <v>183.4</v>
      </c>
    </row>
    <row r="282" spans="1:81" ht="18.75" x14ac:dyDescent="0.25">
      <c r="A282" s="468"/>
      <c r="B282" s="2162" t="s">
        <v>1167</v>
      </c>
      <c r="C282" s="2153" t="s">
        <v>1184</v>
      </c>
      <c r="D282" s="2154"/>
      <c r="E282" s="2161"/>
      <c r="F282" s="507">
        <v>190.62</v>
      </c>
      <c r="G282" s="5041"/>
      <c r="H282" s="507"/>
      <c r="I282" s="4968"/>
      <c r="J282" s="3928">
        <f t="shared" si="403"/>
        <v>190.62</v>
      </c>
      <c r="K282" s="5029"/>
      <c r="L282" s="507"/>
      <c r="M282" s="4978"/>
      <c r="N282" s="3931">
        <f t="shared" si="404"/>
        <v>190.62</v>
      </c>
      <c r="O282" s="5029"/>
      <c r="P282" s="507"/>
      <c r="Q282" s="4968"/>
      <c r="R282" s="3928">
        <f t="shared" si="405"/>
        <v>190.62</v>
      </c>
      <c r="S282" s="5029"/>
      <c r="T282" s="507">
        <v>0</v>
      </c>
      <c r="U282" s="4968"/>
      <c r="V282" s="3928">
        <f t="shared" si="406"/>
        <v>190.62</v>
      </c>
      <c r="W282" s="5029"/>
      <c r="X282" s="507"/>
      <c r="Y282" s="4978"/>
      <c r="Z282" s="3931">
        <f t="shared" si="407"/>
        <v>0</v>
      </c>
      <c r="AA282" s="4973"/>
      <c r="AB282" s="3944">
        <f t="shared" si="408"/>
        <v>190.62</v>
      </c>
      <c r="AC282" s="5029"/>
      <c r="AD282" s="507">
        <v>379.17999999999995</v>
      </c>
      <c r="AE282" s="4968"/>
      <c r="AF282" s="3928">
        <f t="shared" si="409"/>
        <v>569.79999999999995</v>
      </c>
      <c r="AG282" s="5029"/>
      <c r="AH282" s="507">
        <v>63.52</v>
      </c>
      <c r="AI282" s="4968"/>
      <c r="AJ282" s="3928">
        <f t="shared" si="410"/>
        <v>633.31999999999994</v>
      </c>
      <c r="AK282" s="5029"/>
      <c r="AL282" s="507"/>
      <c r="AM282" s="4978"/>
      <c r="AN282" s="3931">
        <f t="shared" si="411"/>
        <v>442.69999999999993</v>
      </c>
      <c r="AO282" s="4968"/>
      <c r="AP282" s="3928">
        <f t="shared" si="412"/>
        <v>633.31999999999994</v>
      </c>
      <c r="AQ282" s="5029"/>
      <c r="AR282" s="507"/>
      <c r="AS282" s="4968"/>
      <c r="AT282" s="517">
        <f t="shared" si="400"/>
        <v>633.31999999999994</v>
      </c>
      <c r="AU282" s="5029"/>
      <c r="AV282" s="507"/>
      <c r="AW282" s="4968"/>
      <c r="AX282" s="517">
        <f t="shared" si="401"/>
        <v>633.31999999999994</v>
      </c>
      <c r="AY282" s="5029"/>
      <c r="AZ282" s="507"/>
      <c r="BA282" s="4978"/>
      <c r="BB282" s="4540">
        <f t="shared" si="413"/>
        <v>0</v>
      </c>
      <c r="BC282" s="4973"/>
      <c r="BD282" s="4543">
        <f t="shared" si="402"/>
        <v>442.69999999999993</v>
      </c>
      <c r="BE282" s="4968"/>
      <c r="BF282" s="517">
        <f t="shared" si="414"/>
        <v>633.31999999999994</v>
      </c>
    </row>
    <row r="283" spans="1:81" ht="18.75" x14ac:dyDescent="0.25">
      <c r="A283" s="468"/>
      <c r="B283" s="2143" t="s">
        <v>1168</v>
      </c>
      <c r="C283" s="2153" t="s">
        <v>1185</v>
      </c>
      <c r="D283" s="2154"/>
      <c r="E283" s="3921"/>
      <c r="F283" s="507">
        <v>62.74</v>
      </c>
      <c r="G283" s="3935"/>
      <c r="H283" s="507"/>
      <c r="I283" s="3927"/>
      <c r="J283" s="3928">
        <f t="shared" si="403"/>
        <v>62.74</v>
      </c>
      <c r="K283" s="3923"/>
      <c r="L283" s="507"/>
      <c r="M283" s="3941"/>
      <c r="N283" s="3931">
        <f t="shared" si="404"/>
        <v>62.74</v>
      </c>
      <c r="O283" s="3923"/>
      <c r="P283" s="507">
        <v>431.79</v>
      </c>
      <c r="Q283" s="3927"/>
      <c r="R283" s="3928">
        <f t="shared" si="405"/>
        <v>494.53000000000003</v>
      </c>
      <c r="S283" s="3923"/>
      <c r="T283" s="507">
        <v>790.55</v>
      </c>
      <c r="U283" s="3927"/>
      <c r="V283" s="3928">
        <f t="shared" si="406"/>
        <v>1285.08</v>
      </c>
      <c r="W283" s="3923"/>
      <c r="X283" s="507">
        <v>31.38</v>
      </c>
      <c r="Y283" s="3941"/>
      <c r="Z283" s="3931">
        <f t="shared" si="407"/>
        <v>1253.72</v>
      </c>
      <c r="AA283" s="3947"/>
      <c r="AB283" s="3944">
        <f t="shared" si="408"/>
        <v>1316.46</v>
      </c>
      <c r="AC283" s="3923"/>
      <c r="AD283" s="507">
        <v>0</v>
      </c>
      <c r="AE283" s="3927"/>
      <c r="AF283" s="3928">
        <f t="shared" si="409"/>
        <v>1316.46</v>
      </c>
      <c r="AG283" s="3923"/>
      <c r="AH283" s="507"/>
      <c r="AI283" s="3927"/>
      <c r="AJ283" s="3928">
        <f t="shared" si="410"/>
        <v>1316.46</v>
      </c>
      <c r="AK283" s="3923"/>
      <c r="AL283" s="507"/>
      <c r="AM283" s="3941"/>
      <c r="AN283" s="3931">
        <f t="shared" si="411"/>
        <v>0</v>
      </c>
      <c r="AO283" s="3927"/>
      <c r="AP283" s="3928">
        <f t="shared" si="412"/>
        <v>1316.46</v>
      </c>
      <c r="AQ283" s="3923"/>
      <c r="AR283" s="507"/>
      <c r="AS283" s="3927"/>
      <c r="AT283" s="517">
        <f t="shared" si="400"/>
        <v>1316.46</v>
      </c>
      <c r="AU283" s="4001"/>
      <c r="AV283" s="507"/>
      <c r="AW283" s="3998"/>
      <c r="AX283" s="517">
        <f t="shared" si="401"/>
        <v>1316.46</v>
      </c>
      <c r="AY283" s="4133"/>
      <c r="AZ283" s="507"/>
      <c r="BA283" s="4138"/>
      <c r="BB283" s="4540">
        <f t="shared" si="413"/>
        <v>0</v>
      </c>
      <c r="BC283" s="4143"/>
      <c r="BD283" s="4543">
        <f t="shared" si="402"/>
        <v>0</v>
      </c>
      <c r="BE283" s="4129"/>
      <c r="BF283" s="517">
        <f t="shared" si="414"/>
        <v>1316.46</v>
      </c>
    </row>
    <row r="284" spans="1:81" s="1726" customFormat="1" ht="18.75" x14ac:dyDescent="0.25">
      <c r="A284" s="468"/>
      <c r="B284" s="2143" t="s">
        <v>1169</v>
      </c>
      <c r="C284" s="2153" t="s">
        <v>1185</v>
      </c>
      <c r="D284" s="2154"/>
      <c r="E284" s="3921"/>
      <c r="F284" s="507"/>
      <c r="G284" s="3935"/>
      <c r="H284" s="507"/>
      <c r="I284" s="3927"/>
      <c r="J284" s="3928"/>
      <c r="K284" s="3923"/>
      <c r="L284" s="507"/>
      <c r="M284" s="3941"/>
      <c r="N284" s="3931"/>
      <c r="O284" s="3923"/>
      <c r="P284" s="507"/>
      <c r="Q284" s="3927"/>
      <c r="R284" s="3928"/>
      <c r="S284" s="3923"/>
      <c r="T284" s="507"/>
      <c r="U284" s="3927"/>
      <c r="V284" s="3928"/>
      <c r="W284" s="3923"/>
      <c r="X284" s="507"/>
      <c r="Y284" s="3941"/>
      <c r="Z284" s="3931"/>
      <c r="AA284" s="3947"/>
      <c r="AB284" s="3944"/>
      <c r="AC284" s="3923"/>
      <c r="AD284" s="507"/>
      <c r="AE284" s="3927"/>
      <c r="AF284" s="3928"/>
      <c r="AG284" s="3923"/>
      <c r="AH284" s="507"/>
      <c r="AI284" s="3927"/>
      <c r="AJ284" s="3928"/>
      <c r="AK284" s="3923"/>
      <c r="AL284" s="507">
        <v>2374.3900000000003</v>
      </c>
      <c r="AM284" s="3941"/>
      <c r="AN284" s="3931">
        <f t="shared" si="411"/>
        <v>2374.3900000000003</v>
      </c>
      <c r="AO284" s="3927"/>
      <c r="AP284" s="3928">
        <f t="shared" si="412"/>
        <v>2374.3900000000003</v>
      </c>
      <c r="AQ284" s="3923"/>
      <c r="AR284" s="507">
        <v>120.94999999999999</v>
      </c>
      <c r="AS284" s="3927"/>
      <c r="AT284" s="517">
        <f t="shared" si="400"/>
        <v>2495.34</v>
      </c>
      <c r="AU284" s="4001"/>
      <c r="AV284" s="507">
        <f>714.52+242.03</f>
        <v>956.55</v>
      </c>
      <c r="AW284" s="3998"/>
      <c r="AX284" s="517">
        <f t="shared" si="401"/>
        <v>3451.8900000000003</v>
      </c>
      <c r="AY284" s="4133"/>
      <c r="AZ284" s="507">
        <v>1989.25</v>
      </c>
      <c r="BA284" s="4138"/>
      <c r="BB284" s="4540">
        <f t="shared" si="413"/>
        <v>3066.75</v>
      </c>
      <c r="BC284" s="4143"/>
      <c r="BD284" s="4543">
        <f t="shared" si="402"/>
        <v>5441.14</v>
      </c>
      <c r="BE284" s="4129"/>
      <c r="BF284" s="517">
        <f t="shared" si="414"/>
        <v>5441.14</v>
      </c>
    </row>
    <row r="285" spans="1:81" s="1559" customFormat="1" ht="18.75" x14ac:dyDescent="0.25">
      <c r="A285" s="468"/>
      <c r="B285" s="2143" t="s">
        <v>1169</v>
      </c>
      <c r="C285" s="2153" t="s">
        <v>1409</v>
      </c>
      <c r="D285" s="2154"/>
      <c r="E285" s="3921"/>
      <c r="F285" s="507"/>
      <c r="G285" s="3935"/>
      <c r="H285" s="507"/>
      <c r="I285" s="3927"/>
      <c r="J285" s="3928"/>
      <c r="K285" s="3923"/>
      <c r="L285" s="507">
        <v>717.02</v>
      </c>
      <c r="M285" s="3941"/>
      <c r="N285" s="3931">
        <f t="shared" si="404"/>
        <v>717.02</v>
      </c>
      <c r="O285" s="3923"/>
      <c r="P285" s="507">
        <v>856.93</v>
      </c>
      <c r="Q285" s="3927"/>
      <c r="R285" s="3928">
        <f t="shared" si="405"/>
        <v>1573.9499999999998</v>
      </c>
      <c r="S285" s="3923"/>
      <c r="T285" s="507">
        <v>252.36</v>
      </c>
      <c r="U285" s="3927"/>
      <c r="V285" s="3928">
        <f t="shared" si="406"/>
        <v>1826.31</v>
      </c>
      <c r="W285" s="3923"/>
      <c r="X285" s="507">
        <v>258.98</v>
      </c>
      <c r="Y285" s="3941"/>
      <c r="Z285" s="3931">
        <f t="shared" si="407"/>
        <v>1368.27</v>
      </c>
      <c r="AA285" s="3947"/>
      <c r="AB285" s="3944">
        <f t="shared" si="408"/>
        <v>2085.29</v>
      </c>
      <c r="AC285" s="3923"/>
      <c r="AD285" s="507">
        <v>0</v>
      </c>
      <c r="AE285" s="3927"/>
      <c r="AF285" s="3928">
        <f t="shared" si="409"/>
        <v>2085.29</v>
      </c>
      <c r="AG285" s="3923"/>
      <c r="AH285" s="507"/>
      <c r="AI285" s="3927"/>
      <c r="AJ285" s="3928">
        <f t="shared" si="410"/>
        <v>2085.29</v>
      </c>
      <c r="AK285" s="3923"/>
      <c r="AL285" s="507"/>
      <c r="AM285" s="3941"/>
      <c r="AN285" s="3931">
        <f t="shared" si="411"/>
        <v>0</v>
      </c>
      <c r="AO285" s="3927"/>
      <c r="AP285" s="3928">
        <f t="shared" si="412"/>
        <v>2085.29</v>
      </c>
      <c r="AQ285" s="3923"/>
      <c r="AR285" s="507"/>
      <c r="AS285" s="3927"/>
      <c r="AT285" s="517">
        <f t="shared" si="400"/>
        <v>2085.29</v>
      </c>
      <c r="AU285" s="4001"/>
      <c r="AV285" s="507"/>
      <c r="AW285" s="3998"/>
      <c r="AX285" s="517">
        <f t="shared" si="401"/>
        <v>2085.29</v>
      </c>
      <c r="AY285" s="4133"/>
      <c r="AZ285" s="507">
        <v>569.13000000000011</v>
      </c>
      <c r="BA285" s="4138"/>
      <c r="BB285" s="4540">
        <f t="shared" si="413"/>
        <v>569.13000000000011</v>
      </c>
      <c r="BC285" s="4143"/>
      <c r="BD285" s="4543">
        <f t="shared" si="402"/>
        <v>569.13000000000011</v>
      </c>
      <c r="BE285" s="4129"/>
      <c r="BF285" s="517">
        <f t="shared" si="414"/>
        <v>2654.42</v>
      </c>
      <c r="BG285" s="1726"/>
      <c r="BH285" s="1726"/>
      <c r="BI285" s="1726"/>
      <c r="BJ285" s="1726"/>
      <c r="BK285" s="1726"/>
      <c r="BL285" s="1726"/>
      <c r="BM285" s="1726"/>
      <c r="BN285" s="1726"/>
      <c r="BO285" s="1726"/>
      <c r="BP285" s="1726"/>
      <c r="BQ285" s="1726"/>
      <c r="BR285" s="1726"/>
      <c r="BS285" s="1726"/>
      <c r="BT285" s="1726"/>
      <c r="BU285" s="1726"/>
      <c r="BV285" s="1726"/>
      <c r="BW285" s="1726"/>
      <c r="BX285" s="1726"/>
      <c r="BY285" s="1726"/>
      <c r="BZ285" s="1726"/>
      <c r="CA285" s="1726"/>
      <c r="CB285" s="1726"/>
      <c r="CC285" s="1726"/>
    </row>
    <row r="286" spans="1:81" ht="18.75" x14ac:dyDescent="0.25">
      <c r="A286" s="468"/>
      <c r="B286" s="646" t="s">
        <v>1169</v>
      </c>
      <c r="C286" s="2153" t="s">
        <v>1186</v>
      </c>
      <c r="D286" s="2154"/>
      <c r="E286" s="2161"/>
      <c r="F286" s="507"/>
      <c r="G286" s="5040"/>
      <c r="H286" s="507">
        <v>478.54</v>
      </c>
      <c r="I286" s="4969"/>
      <c r="J286" s="3928">
        <f t="shared" si="403"/>
        <v>478.54</v>
      </c>
      <c r="K286" s="5030"/>
      <c r="L286" s="507"/>
      <c r="M286" s="4979"/>
      <c r="N286" s="3931">
        <f t="shared" si="404"/>
        <v>478.54</v>
      </c>
      <c r="O286" s="5030"/>
      <c r="P286" s="507"/>
      <c r="Q286" s="4969"/>
      <c r="R286" s="3928">
        <f t="shared" si="405"/>
        <v>478.54</v>
      </c>
      <c r="S286" s="5030"/>
      <c r="T286" s="507">
        <v>2340.2800000000002</v>
      </c>
      <c r="U286" s="4969"/>
      <c r="V286" s="3928">
        <f t="shared" si="406"/>
        <v>2818.82</v>
      </c>
      <c r="W286" s="5030"/>
      <c r="X286" s="507"/>
      <c r="Y286" s="4979"/>
      <c r="Z286" s="3931">
        <f t="shared" si="407"/>
        <v>2340.2800000000002</v>
      </c>
      <c r="AA286" s="4988"/>
      <c r="AB286" s="3944">
        <f t="shared" si="408"/>
        <v>2818.82</v>
      </c>
      <c r="AC286" s="5030"/>
      <c r="AD286" s="507">
        <v>0</v>
      </c>
      <c r="AE286" s="4969"/>
      <c r="AF286" s="3928">
        <f t="shared" si="409"/>
        <v>2818.82</v>
      </c>
      <c r="AG286" s="5030"/>
      <c r="AH286" s="507">
        <v>4428.0199999999995</v>
      </c>
      <c r="AI286" s="4969"/>
      <c r="AJ286" s="3928">
        <f t="shared" si="410"/>
        <v>7246.84</v>
      </c>
      <c r="AK286" s="5030"/>
      <c r="AL286" s="507">
        <v>7336.27</v>
      </c>
      <c r="AM286" s="4979"/>
      <c r="AN286" s="3931">
        <f t="shared" si="411"/>
        <v>11764.29</v>
      </c>
      <c r="AO286" s="4969"/>
      <c r="AP286" s="3928">
        <f t="shared" si="412"/>
        <v>14583.11</v>
      </c>
      <c r="AQ286" s="5030"/>
      <c r="AR286" s="507">
        <v>3040.4700000000003</v>
      </c>
      <c r="AS286" s="4969"/>
      <c r="AT286" s="517">
        <f t="shared" si="400"/>
        <v>17623.580000000002</v>
      </c>
      <c r="AU286" s="5030"/>
      <c r="AV286" s="507">
        <v>3344.6099999999997</v>
      </c>
      <c r="AW286" s="4969"/>
      <c r="AX286" s="517">
        <f t="shared" si="401"/>
        <v>20968.190000000002</v>
      </c>
      <c r="AY286" s="5030"/>
      <c r="AZ286" s="507">
        <v>5359.4299999999994</v>
      </c>
      <c r="BA286" s="4979"/>
      <c r="BB286" s="4540">
        <f t="shared" si="413"/>
        <v>11744.509999999998</v>
      </c>
      <c r="BC286" s="4988"/>
      <c r="BD286" s="4543">
        <f t="shared" si="402"/>
        <v>23508.799999999999</v>
      </c>
      <c r="BE286" s="4969"/>
      <c r="BF286" s="517">
        <f t="shared" si="414"/>
        <v>26327.620000000003</v>
      </c>
    </row>
    <row r="287" spans="1:81" s="1502" customFormat="1" ht="18.75" x14ac:dyDescent="0.25">
      <c r="A287" s="468"/>
      <c r="B287" s="646" t="s">
        <v>1169</v>
      </c>
      <c r="C287" s="2153" t="s">
        <v>1317</v>
      </c>
      <c r="D287" s="2154"/>
      <c r="E287" s="2161"/>
      <c r="F287" s="507"/>
      <c r="G287" s="5039"/>
      <c r="H287" s="507"/>
      <c r="I287" s="4969"/>
      <c r="J287" s="3928">
        <f t="shared" si="403"/>
        <v>0</v>
      </c>
      <c r="K287" s="5004"/>
      <c r="L287" s="507"/>
      <c r="M287" s="4979"/>
      <c r="N287" s="3931">
        <f t="shared" si="404"/>
        <v>0</v>
      </c>
      <c r="O287" s="5004"/>
      <c r="P287" s="507"/>
      <c r="Q287" s="4969"/>
      <c r="R287" s="3928">
        <f t="shared" si="405"/>
        <v>0</v>
      </c>
      <c r="S287" s="5004"/>
      <c r="T287" s="507">
        <v>0</v>
      </c>
      <c r="U287" s="4969"/>
      <c r="V287" s="3928">
        <f t="shared" si="406"/>
        <v>0</v>
      </c>
      <c r="W287" s="5004"/>
      <c r="X287" s="507"/>
      <c r="Y287" s="4979"/>
      <c r="Z287" s="3931">
        <f t="shared" si="407"/>
        <v>0</v>
      </c>
      <c r="AA287" s="4988"/>
      <c r="AB287" s="3944">
        <f t="shared" si="408"/>
        <v>0</v>
      </c>
      <c r="AC287" s="5004"/>
      <c r="AD287" s="507">
        <v>0</v>
      </c>
      <c r="AE287" s="4969"/>
      <c r="AF287" s="3928">
        <f t="shared" si="409"/>
        <v>0</v>
      </c>
      <c r="AG287" s="5004"/>
      <c r="AH287" s="507"/>
      <c r="AI287" s="4969"/>
      <c r="AJ287" s="3928">
        <f t="shared" si="410"/>
        <v>0</v>
      </c>
      <c r="AK287" s="5004"/>
      <c r="AL287" s="507"/>
      <c r="AM287" s="4979"/>
      <c r="AN287" s="3931">
        <f t="shared" si="411"/>
        <v>0</v>
      </c>
      <c r="AO287" s="4969"/>
      <c r="AP287" s="3928">
        <f t="shared" si="412"/>
        <v>0</v>
      </c>
      <c r="AQ287" s="5004"/>
      <c r="AR287" s="507"/>
      <c r="AS287" s="4969"/>
      <c r="AT287" s="517">
        <f t="shared" si="400"/>
        <v>0</v>
      </c>
      <c r="AU287" s="5004"/>
      <c r="AV287" s="507"/>
      <c r="AW287" s="4969"/>
      <c r="AX287" s="517">
        <f t="shared" si="401"/>
        <v>0</v>
      </c>
      <c r="AY287" s="5004"/>
      <c r="AZ287" s="507"/>
      <c r="BA287" s="4979"/>
      <c r="BB287" s="4540">
        <f t="shared" si="413"/>
        <v>0</v>
      </c>
      <c r="BC287" s="4988"/>
      <c r="BD287" s="4543">
        <f t="shared" si="402"/>
        <v>0</v>
      </c>
      <c r="BE287" s="4969"/>
      <c r="BF287" s="517">
        <f t="shared" si="414"/>
        <v>0</v>
      </c>
      <c r="BG287" s="1726"/>
      <c r="BH287" s="1726"/>
      <c r="BI287" s="1726"/>
      <c r="BJ287" s="1726"/>
      <c r="BK287" s="1726"/>
      <c r="BL287" s="1726"/>
      <c r="BM287" s="1726"/>
      <c r="BN287" s="1726"/>
      <c r="BO287" s="1726"/>
      <c r="BP287" s="1726"/>
      <c r="BQ287" s="1726"/>
      <c r="BR287" s="1726"/>
      <c r="BS287" s="1726"/>
      <c r="BT287" s="1726"/>
      <c r="BU287" s="1726"/>
      <c r="BV287" s="1726"/>
      <c r="BW287" s="1726"/>
      <c r="BX287" s="1726"/>
      <c r="BY287" s="1726"/>
      <c r="BZ287" s="1726"/>
      <c r="CA287" s="1726"/>
      <c r="CB287" s="1726"/>
      <c r="CC287" s="1726"/>
    </row>
    <row r="288" spans="1:81" ht="18.75" x14ac:dyDescent="0.25">
      <c r="A288" s="468"/>
      <c r="B288" s="646" t="s">
        <v>1169</v>
      </c>
      <c r="C288" s="2153" t="s">
        <v>1187</v>
      </c>
      <c r="D288" s="2154"/>
      <c r="E288" s="2161"/>
      <c r="F288" s="507">
        <v>19.75</v>
      </c>
      <c r="G288" s="5039"/>
      <c r="H288" s="507"/>
      <c r="I288" s="4969"/>
      <c r="J288" s="3928">
        <f t="shared" si="403"/>
        <v>19.75</v>
      </c>
      <c r="K288" s="5004"/>
      <c r="L288" s="507">
        <v>3497.5600000000004</v>
      </c>
      <c r="M288" s="4979"/>
      <c r="N288" s="3931">
        <f t="shared" si="404"/>
        <v>3517.3100000000004</v>
      </c>
      <c r="O288" s="5004"/>
      <c r="P288" s="507">
        <v>3009.97</v>
      </c>
      <c r="Q288" s="4969"/>
      <c r="R288" s="3928">
        <f t="shared" si="405"/>
        <v>6527.2800000000007</v>
      </c>
      <c r="S288" s="5004"/>
      <c r="T288" s="507">
        <v>1263.06</v>
      </c>
      <c r="U288" s="4969"/>
      <c r="V288" s="3928">
        <f t="shared" si="406"/>
        <v>7790.34</v>
      </c>
      <c r="W288" s="5004"/>
      <c r="X288" s="507">
        <v>182.51000000000002</v>
      </c>
      <c r="Y288" s="4979"/>
      <c r="Z288" s="3931">
        <f t="shared" si="407"/>
        <v>4455.54</v>
      </c>
      <c r="AA288" s="4988"/>
      <c r="AB288" s="3944">
        <f t="shared" si="408"/>
        <v>7972.85</v>
      </c>
      <c r="AC288" s="5004"/>
      <c r="AD288" s="507">
        <v>0</v>
      </c>
      <c r="AE288" s="4969"/>
      <c r="AF288" s="3928">
        <f t="shared" si="409"/>
        <v>7972.85</v>
      </c>
      <c r="AG288" s="5004"/>
      <c r="AH288" s="507"/>
      <c r="AI288" s="4969"/>
      <c r="AJ288" s="3928">
        <f t="shared" si="410"/>
        <v>7972.85</v>
      </c>
      <c r="AK288" s="5004"/>
      <c r="AL288" s="507">
        <v>863.45</v>
      </c>
      <c r="AM288" s="4979"/>
      <c r="AN288" s="3931">
        <f t="shared" si="411"/>
        <v>863.45</v>
      </c>
      <c r="AO288" s="4969"/>
      <c r="AP288" s="3928">
        <f t="shared" si="412"/>
        <v>8836.3000000000011</v>
      </c>
      <c r="AQ288" s="5004"/>
      <c r="AR288" s="507"/>
      <c r="AS288" s="4969"/>
      <c r="AT288" s="517">
        <f t="shared" si="400"/>
        <v>8836.3000000000011</v>
      </c>
      <c r="AU288" s="5004"/>
      <c r="AV288" s="507">
        <v>897.78</v>
      </c>
      <c r="AW288" s="4969"/>
      <c r="AX288" s="517">
        <f t="shared" si="401"/>
        <v>9734.0800000000017</v>
      </c>
      <c r="AY288" s="5004"/>
      <c r="AZ288" s="507">
        <v>1640.27</v>
      </c>
      <c r="BA288" s="4979"/>
      <c r="BB288" s="4540">
        <f t="shared" si="413"/>
        <v>2538.0500000000002</v>
      </c>
      <c r="BC288" s="4988"/>
      <c r="BD288" s="4543">
        <f t="shared" si="402"/>
        <v>3401.5</v>
      </c>
      <c r="BE288" s="4969"/>
      <c r="BF288" s="517">
        <f t="shared" si="414"/>
        <v>11374.350000000002</v>
      </c>
    </row>
    <row r="289" spans="1:81" ht="18.75" x14ac:dyDescent="0.25">
      <c r="A289" s="468"/>
      <c r="B289" s="646" t="s">
        <v>1170</v>
      </c>
      <c r="C289" s="2153" t="s">
        <v>1188</v>
      </c>
      <c r="D289" s="2154"/>
      <c r="E289" s="2161"/>
      <c r="F289" s="507"/>
      <c r="G289" s="5041"/>
      <c r="H289" s="507"/>
      <c r="I289" s="4969"/>
      <c r="J289" s="3928">
        <f t="shared" si="403"/>
        <v>0</v>
      </c>
      <c r="K289" s="5029"/>
      <c r="L289" s="507"/>
      <c r="M289" s="4979"/>
      <c r="N289" s="3931">
        <f t="shared" si="404"/>
        <v>0</v>
      </c>
      <c r="O289" s="5029"/>
      <c r="P289" s="507"/>
      <c r="Q289" s="4969"/>
      <c r="R289" s="3928">
        <f t="shared" si="405"/>
        <v>0</v>
      </c>
      <c r="S289" s="5029"/>
      <c r="T289" s="507">
        <v>0</v>
      </c>
      <c r="U289" s="4969"/>
      <c r="V289" s="3928">
        <f t="shared" si="406"/>
        <v>0</v>
      </c>
      <c r="W289" s="5029"/>
      <c r="X289" s="507">
        <v>1292.22</v>
      </c>
      <c r="Y289" s="4979"/>
      <c r="Z289" s="3931">
        <f t="shared" si="407"/>
        <v>1292.22</v>
      </c>
      <c r="AA289" s="4988"/>
      <c r="AB289" s="3944">
        <f t="shared" si="408"/>
        <v>1292.22</v>
      </c>
      <c r="AC289" s="5029"/>
      <c r="AD289" s="507">
        <v>4307.829999999999</v>
      </c>
      <c r="AE289" s="4969"/>
      <c r="AF289" s="3928">
        <f t="shared" si="409"/>
        <v>5600.0499999999993</v>
      </c>
      <c r="AG289" s="5029"/>
      <c r="AH289" s="507"/>
      <c r="AI289" s="4969"/>
      <c r="AJ289" s="3928">
        <f t="shared" si="410"/>
        <v>5600.0499999999993</v>
      </c>
      <c r="AK289" s="5029"/>
      <c r="AL289" s="507"/>
      <c r="AM289" s="4979"/>
      <c r="AN289" s="3931">
        <f t="shared" si="411"/>
        <v>4307.829999999999</v>
      </c>
      <c r="AO289" s="4969"/>
      <c r="AP289" s="3928">
        <f t="shared" si="412"/>
        <v>5600.0499999999993</v>
      </c>
      <c r="AQ289" s="5029"/>
      <c r="AR289" s="507">
        <v>4757.6200000000008</v>
      </c>
      <c r="AS289" s="4969"/>
      <c r="AT289" s="517">
        <f t="shared" si="400"/>
        <v>10357.67</v>
      </c>
      <c r="AU289" s="5029"/>
      <c r="AV289" s="507">
        <v>74.63</v>
      </c>
      <c r="AW289" s="4969"/>
      <c r="AX289" s="517">
        <f t="shared" si="401"/>
        <v>10432.299999999999</v>
      </c>
      <c r="AY289" s="5029"/>
      <c r="AZ289" s="507">
        <v>3738.4199999999996</v>
      </c>
      <c r="BA289" s="4979"/>
      <c r="BB289" s="4540">
        <f t="shared" si="413"/>
        <v>8570.67</v>
      </c>
      <c r="BC289" s="4988"/>
      <c r="BD289" s="4543">
        <f t="shared" si="402"/>
        <v>12878.5</v>
      </c>
      <c r="BE289" s="4969"/>
      <c r="BF289" s="517">
        <f t="shared" si="414"/>
        <v>14170.72</v>
      </c>
    </row>
    <row r="290" spans="1:81" ht="18.75" x14ac:dyDescent="0.25">
      <c r="A290" s="468"/>
      <c r="B290" s="646" t="s">
        <v>1170</v>
      </c>
      <c r="C290" s="2153" t="s">
        <v>1189</v>
      </c>
      <c r="D290" s="2154"/>
      <c r="E290" s="2161"/>
      <c r="F290" s="507">
        <v>23.36</v>
      </c>
      <c r="G290" s="5040"/>
      <c r="H290" s="507"/>
      <c r="I290" s="4957"/>
      <c r="J290" s="3928">
        <f t="shared" si="403"/>
        <v>23.36</v>
      </c>
      <c r="K290" s="5030"/>
      <c r="L290" s="507"/>
      <c r="M290" s="4953"/>
      <c r="N290" s="3931">
        <f t="shared" si="404"/>
        <v>23.36</v>
      </c>
      <c r="O290" s="5030"/>
      <c r="P290" s="507">
        <v>3625.13</v>
      </c>
      <c r="Q290" s="4957"/>
      <c r="R290" s="3928">
        <f t="shared" si="405"/>
        <v>3648.4900000000002</v>
      </c>
      <c r="S290" s="5030"/>
      <c r="T290" s="507">
        <v>430</v>
      </c>
      <c r="U290" s="4957"/>
      <c r="V290" s="3928">
        <f t="shared" si="406"/>
        <v>4078.4900000000002</v>
      </c>
      <c r="W290" s="5030"/>
      <c r="X290" s="507"/>
      <c r="Y290" s="4953"/>
      <c r="Z290" s="3931">
        <f t="shared" si="407"/>
        <v>4055.13</v>
      </c>
      <c r="AA290" s="4972"/>
      <c r="AB290" s="3944">
        <f t="shared" si="408"/>
        <v>4078.4900000000002</v>
      </c>
      <c r="AC290" s="5030"/>
      <c r="AD290" s="507">
        <v>409.54999999999995</v>
      </c>
      <c r="AE290" s="4957"/>
      <c r="AF290" s="3928">
        <f t="shared" si="409"/>
        <v>4488.04</v>
      </c>
      <c r="AG290" s="5030"/>
      <c r="AH290" s="507"/>
      <c r="AI290" s="4957"/>
      <c r="AJ290" s="3928">
        <f t="shared" si="410"/>
        <v>4488.04</v>
      </c>
      <c r="AK290" s="5030"/>
      <c r="AL290" s="507"/>
      <c r="AM290" s="4953"/>
      <c r="AN290" s="3931">
        <f t="shared" si="411"/>
        <v>409.54999999999995</v>
      </c>
      <c r="AO290" s="4957"/>
      <c r="AP290" s="3928">
        <f t="shared" si="412"/>
        <v>4488.04</v>
      </c>
      <c r="AQ290" s="5030"/>
      <c r="AR290" s="507">
        <v>53.24</v>
      </c>
      <c r="AS290" s="4957"/>
      <c r="AT290" s="517">
        <f t="shared" si="400"/>
        <v>4541.28</v>
      </c>
      <c r="AU290" s="5030"/>
      <c r="AV290" s="507"/>
      <c r="AW290" s="4957"/>
      <c r="AX290" s="517">
        <f t="shared" si="401"/>
        <v>4541.28</v>
      </c>
      <c r="AY290" s="5030"/>
      <c r="AZ290" s="507"/>
      <c r="BA290" s="4953"/>
      <c r="BB290" s="4540">
        <f t="shared" si="413"/>
        <v>53.24</v>
      </c>
      <c r="BC290" s="4972"/>
      <c r="BD290" s="4543">
        <f t="shared" si="402"/>
        <v>462.78999999999996</v>
      </c>
      <c r="BE290" s="4957"/>
      <c r="BF290" s="517">
        <f t="shared" si="414"/>
        <v>4541.28</v>
      </c>
    </row>
    <row r="291" spans="1:81" s="1726" customFormat="1" ht="18.75" x14ac:dyDescent="0.25">
      <c r="A291" s="468"/>
      <c r="B291" s="646" t="s">
        <v>1170</v>
      </c>
      <c r="C291" s="2153" t="s">
        <v>1218</v>
      </c>
      <c r="D291" s="2154"/>
      <c r="E291" s="2161"/>
      <c r="F291" s="507"/>
      <c r="G291" s="5039"/>
      <c r="H291" s="507"/>
      <c r="I291" s="4957"/>
      <c r="J291" s="3928"/>
      <c r="K291" s="5004"/>
      <c r="L291" s="507"/>
      <c r="M291" s="4953"/>
      <c r="N291" s="3931"/>
      <c r="O291" s="5004"/>
      <c r="P291" s="507"/>
      <c r="Q291" s="4957"/>
      <c r="R291" s="3928"/>
      <c r="S291" s="5004"/>
      <c r="T291" s="507"/>
      <c r="U291" s="4957"/>
      <c r="V291" s="3928"/>
      <c r="W291" s="5004"/>
      <c r="X291" s="507"/>
      <c r="Y291" s="4953"/>
      <c r="Z291" s="3931"/>
      <c r="AA291" s="4972"/>
      <c r="AB291" s="3944"/>
      <c r="AC291" s="5004"/>
      <c r="AD291" s="507"/>
      <c r="AE291" s="4957"/>
      <c r="AF291" s="3928"/>
      <c r="AG291" s="5004"/>
      <c r="AH291" s="507"/>
      <c r="AI291" s="4957"/>
      <c r="AJ291" s="3928"/>
      <c r="AK291" s="5004"/>
      <c r="AL291" s="507"/>
      <c r="AM291" s="4953"/>
      <c r="AN291" s="3931"/>
      <c r="AO291" s="4957"/>
      <c r="AP291" s="3928">
        <f t="shared" si="412"/>
        <v>0</v>
      </c>
      <c r="AQ291" s="5004"/>
      <c r="AR291" s="507">
        <v>1063.25</v>
      </c>
      <c r="AS291" s="4957"/>
      <c r="AT291" s="517">
        <f t="shared" si="400"/>
        <v>1063.25</v>
      </c>
      <c r="AU291" s="5004"/>
      <c r="AV291" s="507"/>
      <c r="AW291" s="4957"/>
      <c r="AX291" s="517">
        <f t="shared" si="401"/>
        <v>1063.25</v>
      </c>
      <c r="AY291" s="5004"/>
      <c r="AZ291" s="507"/>
      <c r="BA291" s="4953"/>
      <c r="BB291" s="4540">
        <f t="shared" si="413"/>
        <v>1063.25</v>
      </c>
      <c r="BC291" s="4972"/>
      <c r="BD291" s="4543">
        <f t="shared" si="402"/>
        <v>1063.25</v>
      </c>
      <c r="BE291" s="4957"/>
      <c r="BF291" s="517">
        <f t="shared" si="414"/>
        <v>1063.25</v>
      </c>
    </row>
    <row r="292" spans="1:81" ht="18.75" x14ac:dyDescent="0.25">
      <c r="A292" s="468"/>
      <c r="B292" s="646" t="s">
        <v>1171</v>
      </c>
      <c r="C292" s="2153" t="s">
        <v>1190</v>
      </c>
      <c r="D292" s="2154"/>
      <c r="E292" s="2161"/>
      <c r="F292" s="507"/>
      <c r="G292" s="5039"/>
      <c r="H292" s="507"/>
      <c r="I292" s="4957"/>
      <c r="J292" s="3928">
        <f t="shared" si="403"/>
        <v>0</v>
      </c>
      <c r="K292" s="5004"/>
      <c r="L292" s="507"/>
      <c r="M292" s="4953"/>
      <c r="N292" s="3931">
        <f t="shared" si="404"/>
        <v>0</v>
      </c>
      <c r="O292" s="5004"/>
      <c r="P292" s="507"/>
      <c r="Q292" s="4957"/>
      <c r="R292" s="3928">
        <f t="shared" si="405"/>
        <v>0</v>
      </c>
      <c r="S292" s="5004"/>
      <c r="T292" s="507">
        <v>0</v>
      </c>
      <c r="U292" s="4957"/>
      <c r="V292" s="3928">
        <f t="shared" si="406"/>
        <v>0</v>
      </c>
      <c r="W292" s="5004"/>
      <c r="X292" s="507">
        <v>421.27</v>
      </c>
      <c r="Y292" s="4953"/>
      <c r="Z292" s="3931">
        <f t="shared" si="407"/>
        <v>421.27</v>
      </c>
      <c r="AA292" s="4972"/>
      <c r="AB292" s="3944">
        <f t="shared" si="408"/>
        <v>421.27</v>
      </c>
      <c r="AC292" s="5004"/>
      <c r="AD292" s="507">
        <v>149</v>
      </c>
      <c r="AE292" s="4957"/>
      <c r="AF292" s="3928">
        <f t="shared" si="409"/>
        <v>570.27</v>
      </c>
      <c r="AG292" s="5004"/>
      <c r="AH292" s="507"/>
      <c r="AI292" s="4957"/>
      <c r="AJ292" s="3928">
        <f t="shared" si="410"/>
        <v>570.27</v>
      </c>
      <c r="AK292" s="5004"/>
      <c r="AL292" s="507"/>
      <c r="AM292" s="4953"/>
      <c r="AN292" s="3931">
        <f t="shared" si="411"/>
        <v>149</v>
      </c>
      <c r="AO292" s="4957"/>
      <c r="AP292" s="3928">
        <f t="shared" si="412"/>
        <v>570.27</v>
      </c>
      <c r="AQ292" s="5004"/>
      <c r="AR292" s="507"/>
      <c r="AS292" s="4957"/>
      <c r="AT292" s="517">
        <f t="shared" si="400"/>
        <v>570.27</v>
      </c>
      <c r="AU292" s="5004"/>
      <c r="AV292" s="507"/>
      <c r="AW292" s="4957"/>
      <c r="AX292" s="517">
        <f t="shared" si="401"/>
        <v>570.27</v>
      </c>
      <c r="AY292" s="5004"/>
      <c r="AZ292" s="507"/>
      <c r="BA292" s="4953"/>
      <c r="BB292" s="4540">
        <f t="shared" si="413"/>
        <v>0</v>
      </c>
      <c r="BC292" s="4972"/>
      <c r="BD292" s="4543">
        <f t="shared" si="402"/>
        <v>149</v>
      </c>
      <c r="BE292" s="4957"/>
      <c r="BF292" s="517">
        <f t="shared" si="414"/>
        <v>570.27</v>
      </c>
    </row>
    <row r="293" spans="1:81" s="1342" customFormat="1" ht="18.75" x14ac:dyDescent="0.25">
      <c r="A293" s="468"/>
      <c r="B293" s="646" t="s">
        <v>1171</v>
      </c>
      <c r="C293" s="2153" t="s">
        <v>1218</v>
      </c>
      <c r="D293" s="2154"/>
      <c r="E293" s="2161"/>
      <c r="F293" s="507"/>
      <c r="G293" s="5039"/>
      <c r="H293" s="507"/>
      <c r="I293" s="4957"/>
      <c r="J293" s="3928">
        <f t="shared" si="403"/>
        <v>0</v>
      </c>
      <c r="K293" s="5004"/>
      <c r="L293" s="507"/>
      <c r="M293" s="4953"/>
      <c r="N293" s="3931">
        <f t="shared" si="404"/>
        <v>0</v>
      </c>
      <c r="O293" s="5004"/>
      <c r="P293" s="507"/>
      <c r="Q293" s="4957"/>
      <c r="R293" s="3928">
        <f t="shared" si="405"/>
        <v>0</v>
      </c>
      <c r="S293" s="5004"/>
      <c r="T293" s="507">
        <v>0</v>
      </c>
      <c r="U293" s="4957"/>
      <c r="V293" s="3928">
        <f t="shared" si="406"/>
        <v>0</v>
      </c>
      <c r="W293" s="5004"/>
      <c r="X293" s="507"/>
      <c r="Y293" s="4953"/>
      <c r="Z293" s="3931">
        <f t="shared" si="407"/>
        <v>0</v>
      </c>
      <c r="AA293" s="4972"/>
      <c r="AB293" s="3944">
        <f t="shared" si="408"/>
        <v>0</v>
      </c>
      <c r="AC293" s="5004"/>
      <c r="AD293" s="507">
        <v>0</v>
      </c>
      <c r="AE293" s="4957"/>
      <c r="AF293" s="3928">
        <f t="shared" si="409"/>
        <v>0</v>
      </c>
      <c r="AG293" s="5004"/>
      <c r="AH293" s="507"/>
      <c r="AI293" s="4957"/>
      <c r="AJ293" s="3928">
        <f t="shared" si="410"/>
        <v>0</v>
      </c>
      <c r="AK293" s="5004"/>
      <c r="AL293" s="507"/>
      <c r="AM293" s="4953"/>
      <c r="AN293" s="3931">
        <f t="shared" si="411"/>
        <v>0</v>
      </c>
      <c r="AO293" s="4957"/>
      <c r="AP293" s="3928">
        <f t="shared" si="412"/>
        <v>0</v>
      </c>
      <c r="AQ293" s="5004"/>
      <c r="AR293" s="507"/>
      <c r="AS293" s="4957"/>
      <c r="AT293" s="517">
        <f t="shared" si="400"/>
        <v>0</v>
      </c>
      <c r="AU293" s="5004"/>
      <c r="AV293" s="507"/>
      <c r="AW293" s="4957"/>
      <c r="AX293" s="517">
        <f t="shared" si="401"/>
        <v>0</v>
      </c>
      <c r="AY293" s="5004"/>
      <c r="AZ293" s="507"/>
      <c r="BA293" s="4953"/>
      <c r="BB293" s="4540">
        <f t="shared" si="413"/>
        <v>0</v>
      </c>
      <c r="BC293" s="4972"/>
      <c r="BD293" s="4543">
        <f t="shared" si="402"/>
        <v>0</v>
      </c>
      <c r="BE293" s="4957"/>
      <c r="BF293" s="517">
        <f t="shared" si="414"/>
        <v>0</v>
      </c>
      <c r="BG293" s="1726"/>
      <c r="BH293" s="1726"/>
      <c r="BI293" s="1726"/>
      <c r="BJ293" s="1726"/>
      <c r="BK293" s="1726"/>
      <c r="BL293" s="1726"/>
      <c r="BM293" s="1726"/>
      <c r="BN293" s="1726"/>
      <c r="BO293" s="1726"/>
      <c r="BP293" s="1726"/>
      <c r="BQ293" s="1726"/>
      <c r="BR293" s="1726"/>
      <c r="BS293" s="1726"/>
      <c r="BT293" s="1726"/>
      <c r="BU293" s="1726"/>
      <c r="BV293" s="1726"/>
      <c r="BW293" s="1726"/>
      <c r="BX293" s="1726"/>
      <c r="BY293" s="1726"/>
      <c r="BZ293" s="1726"/>
      <c r="CA293" s="1726"/>
      <c r="CB293" s="1726"/>
      <c r="CC293" s="1726"/>
    </row>
    <row r="294" spans="1:81" ht="18.75" x14ac:dyDescent="0.25">
      <c r="A294" s="468"/>
      <c r="B294" s="646" t="s">
        <v>1170</v>
      </c>
      <c r="C294" s="2153" t="s">
        <v>1191</v>
      </c>
      <c r="D294" s="2154"/>
      <c r="E294" s="2161"/>
      <c r="F294" s="507"/>
      <c r="G294" s="5039"/>
      <c r="H294" s="507"/>
      <c r="I294" s="4957"/>
      <c r="J294" s="3928">
        <f t="shared" si="403"/>
        <v>0</v>
      </c>
      <c r="K294" s="5004"/>
      <c r="L294" s="507"/>
      <c r="M294" s="4953"/>
      <c r="N294" s="3931">
        <f t="shared" si="404"/>
        <v>0</v>
      </c>
      <c r="O294" s="5004"/>
      <c r="P294" s="507"/>
      <c r="Q294" s="4957"/>
      <c r="R294" s="3928">
        <f t="shared" si="405"/>
        <v>0</v>
      </c>
      <c r="S294" s="5004"/>
      <c r="T294" s="507">
        <v>0</v>
      </c>
      <c r="U294" s="4957"/>
      <c r="V294" s="3928">
        <f t="shared" si="406"/>
        <v>0</v>
      </c>
      <c r="W294" s="5004"/>
      <c r="X294" s="507"/>
      <c r="Y294" s="4953"/>
      <c r="Z294" s="3931">
        <f t="shared" si="407"/>
        <v>0</v>
      </c>
      <c r="AA294" s="4972"/>
      <c r="AB294" s="3944">
        <f t="shared" si="408"/>
        <v>0</v>
      </c>
      <c r="AC294" s="5004"/>
      <c r="AD294" s="507">
        <v>0</v>
      </c>
      <c r="AE294" s="4957"/>
      <c r="AF294" s="3928">
        <f t="shared" si="409"/>
        <v>0</v>
      </c>
      <c r="AG294" s="5004"/>
      <c r="AH294" s="507"/>
      <c r="AI294" s="4957"/>
      <c r="AJ294" s="3928">
        <f t="shared" si="410"/>
        <v>0</v>
      </c>
      <c r="AK294" s="5004"/>
      <c r="AL294" s="507"/>
      <c r="AM294" s="4953"/>
      <c r="AN294" s="3931">
        <f t="shared" si="411"/>
        <v>0</v>
      </c>
      <c r="AO294" s="4957"/>
      <c r="AP294" s="3928">
        <f t="shared" si="412"/>
        <v>0</v>
      </c>
      <c r="AQ294" s="5004"/>
      <c r="AR294" s="507"/>
      <c r="AS294" s="4957"/>
      <c r="AT294" s="517">
        <f t="shared" si="400"/>
        <v>0</v>
      </c>
      <c r="AU294" s="5004"/>
      <c r="AV294" s="507"/>
      <c r="AW294" s="4957"/>
      <c r="AX294" s="517">
        <f t="shared" si="401"/>
        <v>0</v>
      </c>
      <c r="AY294" s="5004"/>
      <c r="AZ294" s="507"/>
      <c r="BA294" s="4953"/>
      <c r="BB294" s="4540">
        <f t="shared" si="413"/>
        <v>0</v>
      </c>
      <c r="BC294" s="4972"/>
      <c r="BD294" s="4543">
        <f t="shared" si="402"/>
        <v>0</v>
      </c>
      <c r="BE294" s="4957"/>
      <c r="BF294" s="517">
        <f t="shared" si="414"/>
        <v>0</v>
      </c>
    </row>
    <row r="295" spans="1:81" ht="18.75" x14ac:dyDescent="0.25">
      <c r="A295" s="468"/>
      <c r="B295" s="646" t="s">
        <v>1172</v>
      </c>
      <c r="C295" s="2153" t="s">
        <v>1192</v>
      </c>
      <c r="D295" s="2154"/>
      <c r="E295" s="2161"/>
      <c r="F295" s="507">
        <v>2382.6799999999998</v>
      </c>
      <c r="G295" s="5041"/>
      <c r="H295" s="507"/>
      <c r="I295" s="4968"/>
      <c r="J295" s="3928">
        <f t="shared" si="403"/>
        <v>2382.6799999999998</v>
      </c>
      <c r="K295" s="5029"/>
      <c r="L295" s="507"/>
      <c r="M295" s="4978"/>
      <c r="N295" s="3931">
        <f t="shared" si="404"/>
        <v>2382.6799999999998</v>
      </c>
      <c r="O295" s="5029"/>
      <c r="P295" s="507"/>
      <c r="Q295" s="4968"/>
      <c r="R295" s="3928">
        <f t="shared" si="405"/>
        <v>2382.6799999999998</v>
      </c>
      <c r="S295" s="5029"/>
      <c r="T295" s="507">
        <v>4062.73</v>
      </c>
      <c r="U295" s="4968"/>
      <c r="V295" s="3928">
        <f t="shared" si="406"/>
        <v>6445.41</v>
      </c>
      <c r="W295" s="5029"/>
      <c r="X295" s="507"/>
      <c r="Y295" s="4978"/>
      <c r="Z295" s="3931">
        <f t="shared" si="407"/>
        <v>4062.73</v>
      </c>
      <c r="AA295" s="4973"/>
      <c r="AB295" s="3944">
        <f t="shared" si="408"/>
        <v>6445.41</v>
      </c>
      <c r="AC295" s="5029"/>
      <c r="AD295" s="507">
        <v>3972.83</v>
      </c>
      <c r="AE295" s="4968"/>
      <c r="AF295" s="3928">
        <f t="shared" si="409"/>
        <v>10418.24</v>
      </c>
      <c r="AG295" s="5029"/>
      <c r="AH295" s="507"/>
      <c r="AI295" s="4968"/>
      <c r="AJ295" s="3928">
        <f t="shared" si="410"/>
        <v>10418.24</v>
      </c>
      <c r="AK295" s="5029"/>
      <c r="AL295" s="507">
        <v>5411.15</v>
      </c>
      <c r="AM295" s="4978"/>
      <c r="AN295" s="3931">
        <f t="shared" si="411"/>
        <v>9383.98</v>
      </c>
      <c r="AO295" s="4968"/>
      <c r="AP295" s="3928">
        <f t="shared" si="412"/>
        <v>15829.39</v>
      </c>
      <c r="AQ295" s="5029"/>
      <c r="AR295" s="507">
        <v>483.31</v>
      </c>
      <c r="AS295" s="4968"/>
      <c r="AT295" s="517">
        <f t="shared" si="400"/>
        <v>16312.699999999999</v>
      </c>
      <c r="AU295" s="5029"/>
      <c r="AV295" s="507">
        <f>4125.5+160.07</f>
        <v>4285.57</v>
      </c>
      <c r="AW295" s="4968"/>
      <c r="AX295" s="517">
        <f t="shared" si="401"/>
        <v>20598.269999999997</v>
      </c>
      <c r="AY295" s="5029"/>
      <c r="AZ295" s="507">
        <v>798.22</v>
      </c>
      <c r="BA295" s="4978"/>
      <c r="BB295" s="4540">
        <f t="shared" si="413"/>
        <v>5567.1</v>
      </c>
      <c r="BC295" s="4973"/>
      <c r="BD295" s="4543">
        <f t="shared" si="402"/>
        <v>14951.08</v>
      </c>
      <c r="BE295" s="4968"/>
      <c r="BF295" s="517">
        <f t="shared" si="414"/>
        <v>21396.489999999998</v>
      </c>
    </row>
    <row r="296" spans="1:81" s="1384" customFormat="1" ht="18.75" x14ac:dyDescent="0.25">
      <c r="A296" s="468"/>
      <c r="B296" s="646" t="s">
        <v>1172</v>
      </c>
      <c r="C296" s="2153" t="s">
        <v>1228</v>
      </c>
      <c r="D296" s="2154"/>
      <c r="E296" s="2161"/>
      <c r="F296" s="507">
        <v>374.76</v>
      </c>
      <c r="G296" s="3935"/>
      <c r="H296" s="507"/>
      <c r="I296" s="3927"/>
      <c r="J296" s="3928">
        <f t="shared" si="403"/>
        <v>374.76</v>
      </c>
      <c r="K296" s="3924"/>
      <c r="L296" s="507"/>
      <c r="M296" s="3941"/>
      <c r="N296" s="3931">
        <f t="shared" si="404"/>
        <v>374.76</v>
      </c>
      <c r="O296" s="3924"/>
      <c r="P296" s="507"/>
      <c r="Q296" s="3927"/>
      <c r="R296" s="3928">
        <f t="shared" si="405"/>
        <v>374.76</v>
      </c>
      <c r="S296" s="3924"/>
      <c r="T296" s="507">
        <v>3805.12</v>
      </c>
      <c r="U296" s="3927"/>
      <c r="V296" s="3928">
        <f t="shared" si="406"/>
        <v>4179.88</v>
      </c>
      <c r="W296" s="3924"/>
      <c r="X296" s="507">
        <v>127.5</v>
      </c>
      <c r="Y296" s="3941"/>
      <c r="Z296" s="3931">
        <f t="shared" si="407"/>
        <v>3932.62</v>
      </c>
      <c r="AA296" s="3947"/>
      <c r="AB296" s="3944">
        <f t="shared" si="408"/>
        <v>4307.38</v>
      </c>
      <c r="AC296" s="3924"/>
      <c r="AD296" s="507">
        <v>1629.69</v>
      </c>
      <c r="AE296" s="3927"/>
      <c r="AF296" s="3928">
        <f t="shared" si="409"/>
        <v>5937.07</v>
      </c>
      <c r="AG296" s="3924"/>
      <c r="AH296" s="507"/>
      <c r="AI296" s="3927"/>
      <c r="AJ296" s="3928">
        <f t="shared" si="410"/>
        <v>5937.07</v>
      </c>
      <c r="AK296" s="3924"/>
      <c r="AL296" s="507"/>
      <c r="AM296" s="3941"/>
      <c r="AN296" s="3931">
        <f t="shared" si="411"/>
        <v>1629.69</v>
      </c>
      <c r="AO296" s="3927"/>
      <c r="AP296" s="3928">
        <f t="shared" si="412"/>
        <v>5937.07</v>
      </c>
      <c r="AQ296" s="3924"/>
      <c r="AR296" s="507"/>
      <c r="AS296" s="3927"/>
      <c r="AT296" s="517">
        <f t="shared" si="400"/>
        <v>5937.07</v>
      </c>
      <c r="AU296" s="4003"/>
      <c r="AV296" s="507">
        <v>358.56999999999994</v>
      </c>
      <c r="AW296" s="3998"/>
      <c r="AX296" s="517">
        <f t="shared" si="401"/>
        <v>6295.6399999999994</v>
      </c>
      <c r="AY296" s="4134"/>
      <c r="AZ296" s="507">
        <v>248.86</v>
      </c>
      <c r="BA296" s="4138"/>
      <c r="BB296" s="4540">
        <f t="shared" si="413"/>
        <v>607.42999999999995</v>
      </c>
      <c r="BC296" s="4143"/>
      <c r="BD296" s="4543">
        <f t="shared" si="402"/>
        <v>2237.12</v>
      </c>
      <c r="BE296" s="4129"/>
      <c r="BF296" s="517">
        <f t="shared" si="414"/>
        <v>6544.4999999999991</v>
      </c>
      <c r="BG296" s="1726"/>
      <c r="BH296" s="1726"/>
      <c r="BI296" s="1726"/>
      <c r="BJ296" s="1726"/>
      <c r="BK296" s="1726"/>
      <c r="BL296" s="1726"/>
      <c r="BM296" s="1726"/>
      <c r="BN296" s="1726"/>
      <c r="BO296" s="1726"/>
      <c r="BP296" s="1726"/>
      <c r="BQ296" s="1726"/>
      <c r="BR296" s="1726"/>
      <c r="BS296" s="1726"/>
      <c r="BT296" s="1726"/>
      <c r="BU296" s="1726"/>
      <c r="BV296" s="1726"/>
      <c r="BW296" s="1726"/>
      <c r="BX296" s="1726"/>
      <c r="BY296" s="1726"/>
      <c r="BZ296" s="1726"/>
      <c r="CA296" s="1726"/>
      <c r="CB296" s="1726"/>
      <c r="CC296" s="1726"/>
    </row>
    <row r="297" spans="1:81" ht="18.75" x14ac:dyDescent="0.25">
      <c r="A297" s="468"/>
      <c r="B297" s="646" t="s">
        <v>1173</v>
      </c>
      <c r="C297" s="2153" t="s">
        <v>1193</v>
      </c>
      <c r="D297" s="2154"/>
      <c r="E297" s="2161"/>
      <c r="F297" s="507">
        <v>62.84</v>
      </c>
      <c r="G297" s="5039"/>
      <c r="H297" s="507"/>
      <c r="I297" s="4969"/>
      <c r="J297" s="3928">
        <f t="shared" si="403"/>
        <v>62.84</v>
      </c>
      <c r="K297" s="5031"/>
      <c r="L297" s="507"/>
      <c r="M297" s="4979"/>
      <c r="N297" s="3931">
        <f t="shared" si="404"/>
        <v>62.84</v>
      </c>
      <c r="O297" s="5031"/>
      <c r="P297" s="507"/>
      <c r="Q297" s="4969"/>
      <c r="R297" s="3928">
        <f t="shared" si="405"/>
        <v>62.84</v>
      </c>
      <c r="S297" s="5031"/>
      <c r="T297" s="507">
        <v>0</v>
      </c>
      <c r="U297" s="4969"/>
      <c r="V297" s="3928">
        <f t="shared" si="406"/>
        <v>62.84</v>
      </c>
      <c r="W297" s="5031"/>
      <c r="X297" s="507"/>
      <c r="Y297" s="4979"/>
      <c r="Z297" s="3931">
        <f t="shared" si="407"/>
        <v>0</v>
      </c>
      <c r="AA297" s="4988"/>
      <c r="AB297" s="3944">
        <f t="shared" si="408"/>
        <v>62.84</v>
      </c>
      <c r="AC297" s="5031"/>
      <c r="AD297" s="507">
        <v>0</v>
      </c>
      <c r="AE297" s="4969"/>
      <c r="AF297" s="3928">
        <f t="shared" si="409"/>
        <v>62.84</v>
      </c>
      <c r="AG297" s="5031"/>
      <c r="AH297" s="507"/>
      <c r="AI297" s="4969"/>
      <c r="AJ297" s="3928">
        <f t="shared" si="410"/>
        <v>62.84</v>
      </c>
      <c r="AK297" s="5031"/>
      <c r="AL297" s="507"/>
      <c r="AM297" s="4979"/>
      <c r="AN297" s="3931">
        <f t="shared" si="411"/>
        <v>0</v>
      </c>
      <c r="AO297" s="4969"/>
      <c r="AP297" s="3928">
        <f t="shared" si="412"/>
        <v>62.84</v>
      </c>
      <c r="AQ297" s="5031"/>
      <c r="AR297" s="507"/>
      <c r="AS297" s="4969"/>
      <c r="AT297" s="517">
        <f t="shared" si="400"/>
        <v>62.84</v>
      </c>
      <c r="AU297" s="5031"/>
      <c r="AV297" s="507"/>
      <c r="AW297" s="4969"/>
      <c r="AX297" s="517">
        <f t="shared" si="401"/>
        <v>62.84</v>
      </c>
      <c r="AY297" s="5031"/>
      <c r="AZ297" s="507"/>
      <c r="BA297" s="4979"/>
      <c r="BB297" s="4540">
        <f t="shared" si="413"/>
        <v>0</v>
      </c>
      <c r="BC297" s="4988"/>
      <c r="BD297" s="4543">
        <f t="shared" si="402"/>
        <v>0</v>
      </c>
      <c r="BE297" s="4969"/>
      <c r="BF297" s="517">
        <f t="shared" si="414"/>
        <v>62.84</v>
      </c>
    </row>
    <row r="298" spans="1:81" s="570" customFormat="1" ht="18.75" x14ac:dyDescent="0.25">
      <c r="A298" s="468"/>
      <c r="B298" s="646" t="s">
        <v>1198</v>
      </c>
      <c r="C298" s="2153" t="s">
        <v>1197</v>
      </c>
      <c r="D298" s="2154"/>
      <c r="E298" s="2161"/>
      <c r="F298" s="507"/>
      <c r="G298" s="5039"/>
      <c r="H298" s="507">
        <v>54.11</v>
      </c>
      <c r="I298" s="4969"/>
      <c r="J298" s="3928">
        <f t="shared" si="403"/>
        <v>54.11</v>
      </c>
      <c r="K298" s="5031"/>
      <c r="L298" s="507"/>
      <c r="M298" s="4979"/>
      <c r="N298" s="3931">
        <f t="shared" si="404"/>
        <v>54.11</v>
      </c>
      <c r="O298" s="5031"/>
      <c r="P298" s="507"/>
      <c r="Q298" s="4969"/>
      <c r="R298" s="3928">
        <f t="shared" si="405"/>
        <v>54.11</v>
      </c>
      <c r="S298" s="5031"/>
      <c r="T298" s="507">
        <v>0</v>
      </c>
      <c r="U298" s="4969"/>
      <c r="V298" s="3928">
        <f t="shared" si="406"/>
        <v>54.11</v>
      </c>
      <c r="W298" s="5031"/>
      <c r="X298" s="507"/>
      <c r="Y298" s="4979"/>
      <c r="Z298" s="3931">
        <f t="shared" si="407"/>
        <v>0</v>
      </c>
      <c r="AA298" s="4988"/>
      <c r="AB298" s="3944">
        <f t="shared" si="408"/>
        <v>54.11</v>
      </c>
      <c r="AC298" s="5031"/>
      <c r="AD298" s="507">
        <v>0</v>
      </c>
      <c r="AE298" s="4969"/>
      <c r="AF298" s="3928">
        <f t="shared" si="409"/>
        <v>54.11</v>
      </c>
      <c r="AG298" s="5031"/>
      <c r="AH298" s="507"/>
      <c r="AI298" s="4969"/>
      <c r="AJ298" s="3928">
        <f t="shared" si="410"/>
        <v>54.11</v>
      </c>
      <c r="AK298" s="5031"/>
      <c r="AL298" s="507"/>
      <c r="AM298" s="4979"/>
      <c r="AN298" s="3931">
        <f t="shared" si="411"/>
        <v>0</v>
      </c>
      <c r="AO298" s="4969"/>
      <c r="AP298" s="3928">
        <f t="shared" si="412"/>
        <v>54.11</v>
      </c>
      <c r="AQ298" s="5031"/>
      <c r="AR298" s="507"/>
      <c r="AS298" s="4969"/>
      <c r="AT298" s="517">
        <f t="shared" si="400"/>
        <v>54.11</v>
      </c>
      <c r="AU298" s="5031"/>
      <c r="AV298" s="507"/>
      <c r="AW298" s="4969"/>
      <c r="AX298" s="517">
        <f t="shared" si="401"/>
        <v>54.11</v>
      </c>
      <c r="AY298" s="5031"/>
      <c r="AZ298" s="507"/>
      <c r="BA298" s="4979"/>
      <c r="BB298" s="4540">
        <f t="shared" si="413"/>
        <v>0</v>
      </c>
      <c r="BC298" s="4988"/>
      <c r="BD298" s="4543">
        <f t="shared" si="402"/>
        <v>0</v>
      </c>
      <c r="BE298" s="4969"/>
      <c r="BF298" s="517">
        <f t="shared" si="414"/>
        <v>54.11</v>
      </c>
      <c r="BG298" s="1726"/>
      <c r="BH298" s="1726"/>
      <c r="BI298" s="1726"/>
      <c r="BJ298" s="1726"/>
      <c r="BK298" s="1726"/>
      <c r="BL298" s="1726"/>
      <c r="BM298" s="1726"/>
      <c r="BN298" s="1726"/>
      <c r="BO298" s="1726"/>
      <c r="BP298" s="1726"/>
      <c r="BQ298" s="1726"/>
      <c r="BR298" s="1726"/>
      <c r="BS298" s="1726"/>
      <c r="BT298" s="1726"/>
      <c r="BU298" s="1726"/>
      <c r="BV298" s="1726"/>
      <c r="BW298" s="1726"/>
      <c r="BX298" s="1726"/>
      <c r="BY298" s="1726"/>
      <c r="BZ298" s="1726"/>
      <c r="CA298" s="1726"/>
      <c r="CB298" s="1726"/>
      <c r="CC298" s="1726"/>
    </row>
    <row r="299" spans="1:81" s="4515" customFormat="1" ht="18.75" x14ac:dyDescent="0.25">
      <c r="A299" s="468"/>
      <c r="B299" s="646" t="s">
        <v>1172</v>
      </c>
      <c r="C299" s="2153" t="s">
        <v>1864</v>
      </c>
      <c r="D299" s="2154"/>
      <c r="E299" s="2161"/>
      <c r="F299" s="507"/>
      <c r="G299" s="5039"/>
      <c r="H299" s="507"/>
      <c r="I299" s="4969"/>
      <c r="J299" s="4518"/>
      <c r="K299" s="5031"/>
      <c r="L299" s="507"/>
      <c r="M299" s="4979"/>
      <c r="N299" s="4520"/>
      <c r="O299" s="5031"/>
      <c r="P299" s="507"/>
      <c r="Q299" s="4969"/>
      <c r="R299" s="4518"/>
      <c r="S299" s="5031"/>
      <c r="T299" s="507"/>
      <c r="U299" s="4969"/>
      <c r="V299" s="4518"/>
      <c r="W299" s="5031"/>
      <c r="X299" s="507"/>
      <c r="Y299" s="4979"/>
      <c r="Z299" s="4520"/>
      <c r="AA299" s="4988"/>
      <c r="AB299" s="4522"/>
      <c r="AC299" s="5031"/>
      <c r="AD299" s="507"/>
      <c r="AE299" s="4969"/>
      <c r="AF299" s="4518"/>
      <c r="AG299" s="5031"/>
      <c r="AH299" s="507"/>
      <c r="AI299" s="4969"/>
      <c r="AJ299" s="4518"/>
      <c r="AK299" s="5031"/>
      <c r="AL299" s="507"/>
      <c r="AM299" s="4979"/>
      <c r="AN299" s="4520"/>
      <c r="AO299" s="4969"/>
      <c r="AP299" s="4518"/>
      <c r="AQ299" s="5031"/>
      <c r="AR299" s="507"/>
      <c r="AS299" s="4969"/>
      <c r="AT299" s="517"/>
      <c r="AU299" s="5031"/>
      <c r="AV299" s="507"/>
      <c r="AW299" s="4969"/>
      <c r="AX299" s="517"/>
      <c r="AY299" s="5031"/>
      <c r="AZ299" s="507">
        <v>61.82</v>
      </c>
      <c r="BA299" s="4979"/>
      <c r="BB299" s="4540">
        <f t="shared" si="413"/>
        <v>61.82</v>
      </c>
      <c r="BC299" s="4988"/>
      <c r="BD299" s="4543">
        <f t="shared" si="402"/>
        <v>61.82</v>
      </c>
      <c r="BE299" s="4969"/>
      <c r="BF299" s="517">
        <f t="shared" si="414"/>
        <v>61.82</v>
      </c>
    </row>
    <row r="300" spans="1:81" ht="18.75" x14ac:dyDescent="0.25">
      <c r="A300" s="468"/>
      <c r="B300" s="646" t="s">
        <v>1174</v>
      </c>
      <c r="C300" s="2153" t="s">
        <v>1194</v>
      </c>
      <c r="D300" s="2154"/>
      <c r="E300" s="2161"/>
      <c r="F300" s="507"/>
      <c r="G300" s="5041"/>
      <c r="H300" s="507"/>
      <c r="I300" s="4969"/>
      <c r="J300" s="3928">
        <f t="shared" si="403"/>
        <v>0</v>
      </c>
      <c r="K300" s="5031"/>
      <c r="L300" s="507"/>
      <c r="M300" s="4979"/>
      <c r="N300" s="3931">
        <f t="shared" si="404"/>
        <v>0</v>
      </c>
      <c r="O300" s="5031"/>
      <c r="P300" s="507">
        <v>2013.27</v>
      </c>
      <c r="Q300" s="4969"/>
      <c r="R300" s="3928">
        <f t="shared" si="405"/>
        <v>2013.27</v>
      </c>
      <c r="S300" s="5031"/>
      <c r="T300" s="507">
        <v>41.04</v>
      </c>
      <c r="U300" s="4969"/>
      <c r="V300" s="3928">
        <f t="shared" si="406"/>
        <v>2054.31</v>
      </c>
      <c r="W300" s="5031"/>
      <c r="X300" s="507">
        <v>3084.4500000000003</v>
      </c>
      <c r="Y300" s="4979"/>
      <c r="Z300" s="3931">
        <f t="shared" si="407"/>
        <v>5138.76</v>
      </c>
      <c r="AA300" s="4988"/>
      <c r="AB300" s="3944">
        <f t="shared" si="408"/>
        <v>5138.76</v>
      </c>
      <c r="AC300" s="5031"/>
      <c r="AD300" s="507">
        <v>806.98</v>
      </c>
      <c r="AE300" s="4969"/>
      <c r="AF300" s="3928">
        <f t="shared" si="409"/>
        <v>5945.74</v>
      </c>
      <c r="AG300" s="5031"/>
      <c r="AH300" s="507">
        <v>4302.3700000000008</v>
      </c>
      <c r="AI300" s="4969"/>
      <c r="AJ300" s="3928">
        <f t="shared" si="410"/>
        <v>10248.11</v>
      </c>
      <c r="AK300" s="5031"/>
      <c r="AL300" s="507">
        <v>928.08</v>
      </c>
      <c r="AM300" s="4979"/>
      <c r="AN300" s="3931">
        <f t="shared" si="411"/>
        <v>6037.43</v>
      </c>
      <c r="AO300" s="4969"/>
      <c r="AP300" s="3928">
        <f t="shared" si="412"/>
        <v>11176.19</v>
      </c>
      <c r="AQ300" s="5031"/>
      <c r="AR300" s="507">
        <v>4834.1600000000017</v>
      </c>
      <c r="AS300" s="4969"/>
      <c r="AT300" s="517">
        <f t="shared" si="400"/>
        <v>16010.350000000002</v>
      </c>
      <c r="AU300" s="5031"/>
      <c r="AV300" s="507">
        <v>79.139999999999986</v>
      </c>
      <c r="AW300" s="4969"/>
      <c r="AX300" s="517">
        <f t="shared" si="401"/>
        <v>16089.490000000002</v>
      </c>
      <c r="AY300" s="5031"/>
      <c r="AZ300" s="507">
        <v>1324.67</v>
      </c>
      <c r="BA300" s="4979"/>
      <c r="BB300" s="4540">
        <f t="shared" si="413"/>
        <v>6237.9700000000021</v>
      </c>
      <c r="BC300" s="4988"/>
      <c r="BD300" s="4543">
        <f t="shared" si="402"/>
        <v>12275.400000000001</v>
      </c>
      <c r="BE300" s="4969"/>
      <c r="BF300" s="517">
        <f t="shared" si="414"/>
        <v>17414.160000000003</v>
      </c>
    </row>
    <row r="301" spans="1:81" s="1342" customFormat="1" ht="18.75" x14ac:dyDescent="0.25">
      <c r="A301" s="468"/>
      <c r="B301" s="646" t="s">
        <v>1174</v>
      </c>
      <c r="C301" s="2153" t="s">
        <v>1219</v>
      </c>
      <c r="D301" s="2154"/>
      <c r="E301" s="2161"/>
      <c r="F301" s="507">
        <v>21.07</v>
      </c>
      <c r="G301" s="3936"/>
      <c r="H301" s="507"/>
      <c r="I301" s="3927"/>
      <c r="J301" s="3928">
        <f t="shared" si="403"/>
        <v>21.07</v>
      </c>
      <c r="K301" s="3924"/>
      <c r="L301" s="507"/>
      <c r="M301" s="3941"/>
      <c r="N301" s="3931">
        <f t="shared" si="404"/>
        <v>21.07</v>
      </c>
      <c r="O301" s="3924"/>
      <c r="P301" s="507">
        <v>5528.64</v>
      </c>
      <c r="Q301" s="3927"/>
      <c r="R301" s="3928">
        <f t="shared" si="405"/>
        <v>5549.71</v>
      </c>
      <c r="S301" s="3924"/>
      <c r="T301" s="507">
        <v>93.76</v>
      </c>
      <c r="U301" s="3927"/>
      <c r="V301" s="3928">
        <f t="shared" si="406"/>
        <v>5643.47</v>
      </c>
      <c r="W301" s="3924"/>
      <c r="X301" s="507">
        <v>973.67000000000007</v>
      </c>
      <c r="Y301" s="3941"/>
      <c r="Z301" s="3931">
        <f t="shared" si="407"/>
        <v>6596.0700000000006</v>
      </c>
      <c r="AA301" s="3947"/>
      <c r="AB301" s="3944">
        <f t="shared" si="408"/>
        <v>6617.14</v>
      </c>
      <c r="AC301" s="3924"/>
      <c r="AD301" s="507">
        <v>62.62</v>
      </c>
      <c r="AE301" s="3927"/>
      <c r="AF301" s="3928">
        <f t="shared" si="409"/>
        <v>6679.76</v>
      </c>
      <c r="AG301" s="3924"/>
      <c r="AH301" s="507">
        <v>1019.0099999999999</v>
      </c>
      <c r="AI301" s="3927"/>
      <c r="AJ301" s="3928">
        <f t="shared" si="410"/>
        <v>7698.77</v>
      </c>
      <c r="AK301" s="3924"/>
      <c r="AL301" s="507">
        <v>212.78</v>
      </c>
      <c r="AM301" s="3941"/>
      <c r="AN301" s="3931">
        <f t="shared" si="411"/>
        <v>1294.4099999999999</v>
      </c>
      <c r="AO301" s="3927"/>
      <c r="AP301" s="3928">
        <f t="shared" si="412"/>
        <v>7911.55</v>
      </c>
      <c r="AQ301" s="3924"/>
      <c r="AR301" s="507">
        <v>1253.1599999999999</v>
      </c>
      <c r="AS301" s="3927"/>
      <c r="AT301" s="517">
        <f t="shared" si="400"/>
        <v>9164.7099999999991</v>
      </c>
      <c r="AU301" s="4003"/>
      <c r="AV301" s="507">
        <f>1294.57+124.16</f>
        <v>1418.73</v>
      </c>
      <c r="AW301" s="3998"/>
      <c r="AX301" s="517">
        <f t="shared" si="401"/>
        <v>10583.439999999999</v>
      </c>
      <c r="AY301" s="4134"/>
      <c r="AZ301" s="507">
        <v>50.04</v>
      </c>
      <c r="BA301" s="4138"/>
      <c r="BB301" s="4540">
        <f t="shared" si="413"/>
        <v>2721.93</v>
      </c>
      <c r="BC301" s="4143"/>
      <c r="BD301" s="4543">
        <f t="shared" si="402"/>
        <v>4016.3399999999997</v>
      </c>
      <c r="BE301" s="4129"/>
      <c r="BF301" s="517">
        <f t="shared" si="414"/>
        <v>10633.48</v>
      </c>
      <c r="BG301" s="1726"/>
      <c r="BH301" s="1726"/>
      <c r="BI301" s="1726"/>
      <c r="BJ301" s="1726"/>
      <c r="BK301" s="1726"/>
      <c r="BL301" s="1726"/>
      <c r="BM301" s="1726"/>
      <c r="BN301" s="1726"/>
      <c r="BO301" s="1726"/>
      <c r="BP301" s="1726"/>
      <c r="BQ301" s="1726"/>
      <c r="BR301" s="1726"/>
      <c r="BS301" s="1726"/>
      <c r="BT301" s="1726"/>
      <c r="BU301" s="1726"/>
      <c r="BV301" s="1726"/>
      <c r="BW301" s="1726"/>
      <c r="BX301" s="1726"/>
      <c r="BY301" s="1726"/>
      <c r="BZ301" s="1726"/>
      <c r="CA301" s="1726"/>
      <c r="CB301" s="1726"/>
      <c r="CC301" s="1726"/>
    </row>
    <row r="302" spans="1:81" ht="18.75" x14ac:dyDescent="0.25">
      <c r="A302" s="468"/>
      <c r="B302" s="646" t="s">
        <v>1175</v>
      </c>
      <c r="C302" s="2153" t="s">
        <v>1195</v>
      </c>
      <c r="D302" s="2154"/>
      <c r="E302" s="2161"/>
      <c r="F302" s="507"/>
      <c r="G302" s="3936"/>
      <c r="H302" s="507"/>
      <c r="I302" s="3927"/>
      <c r="J302" s="3928">
        <f t="shared" si="403"/>
        <v>0</v>
      </c>
      <c r="K302" s="3924"/>
      <c r="L302" s="507"/>
      <c r="M302" s="3941"/>
      <c r="N302" s="3931">
        <f t="shared" si="404"/>
        <v>0</v>
      </c>
      <c r="O302" s="3924"/>
      <c r="P302" s="507"/>
      <c r="Q302" s="3927"/>
      <c r="R302" s="3928">
        <f t="shared" si="405"/>
        <v>0</v>
      </c>
      <c r="S302" s="3924"/>
      <c r="T302" s="507">
        <v>0</v>
      </c>
      <c r="U302" s="3927"/>
      <c r="V302" s="3928">
        <f t="shared" si="406"/>
        <v>0</v>
      </c>
      <c r="W302" s="3924"/>
      <c r="X302" s="507"/>
      <c r="Y302" s="3941"/>
      <c r="Z302" s="3931">
        <f t="shared" si="407"/>
        <v>0</v>
      </c>
      <c r="AA302" s="3947"/>
      <c r="AB302" s="3944">
        <f t="shared" si="408"/>
        <v>0</v>
      </c>
      <c r="AC302" s="3924"/>
      <c r="AD302" s="507">
        <v>0</v>
      </c>
      <c r="AE302" s="3927"/>
      <c r="AF302" s="3928">
        <f t="shared" si="409"/>
        <v>0</v>
      </c>
      <c r="AG302" s="3924"/>
      <c r="AH302" s="507">
        <v>390.25</v>
      </c>
      <c r="AI302" s="3927"/>
      <c r="AJ302" s="3928">
        <f t="shared" si="410"/>
        <v>390.25</v>
      </c>
      <c r="AK302" s="3924"/>
      <c r="AL302" s="507">
        <v>490.15000000000003</v>
      </c>
      <c r="AM302" s="3941"/>
      <c r="AN302" s="3931">
        <f t="shared" si="411"/>
        <v>880.40000000000009</v>
      </c>
      <c r="AO302" s="3927"/>
      <c r="AP302" s="3928">
        <f t="shared" si="412"/>
        <v>880.40000000000009</v>
      </c>
      <c r="AQ302" s="3924"/>
      <c r="AR302" s="507">
        <v>61.62</v>
      </c>
      <c r="AS302" s="3927"/>
      <c r="AT302" s="517">
        <f t="shared" si="400"/>
        <v>942.0200000000001</v>
      </c>
      <c r="AU302" s="4003"/>
      <c r="AV302" s="507">
        <v>4629.4399999999996</v>
      </c>
      <c r="AW302" s="3998"/>
      <c r="AX302" s="517">
        <f t="shared" si="401"/>
        <v>5571.46</v>
      </c>
      <c r="AY302" s="4134"/>
      <c r="AZ302" s="507"/>
      <c r="BA302" s="4138"/>
      <c r="BB302" s="4540">
        <f t="shared" si="413"/>
        <v>4691.0599999999995</v>
      </c>
      <c r="BC302" s="4143"/>
      <c r="BD302" s="4543">
        <f t="shared" si="402"/>
        <v>5571.4599999999991</v>
      </c>
      <c r="BE302" s="4129"/>
      <c r="BF302" s="517">
        <f t="shared" si="414"/>
        <v>5571.46</v>
      </c>
    </row>
    <row r="303" spans="1:81" s="570" customFormat="1" ht="18.75" x14ac:dyDescent="0.25">
      <c r="A303" s="468"/>
      <c r="B303" s="646" t="s">
        <v>1196</v>
      </c>
      <c r="C303" s="2153" t="s">
        <v>1895</v>
      </c>
      <c r="D303" s="2154"/>
      <c r="E303" s="3921"/>
      <c r="F303" s="507"/>
      <c r="G303" s="3923"/>
      <c r="H303" s="507"/>
      <c r="I303" s="3926"/>
      <c r="J303" s="3928">
        <f t="shared" si="403"/>
        <v>0</v>
      </c>
      <c r="K303" s="3923"/>
      <c r="L303" s="507"/>
      <c r="M303" s="3938"/>
      <c r="N303" s="3931">
        <f t="shared" si="404"/>
        <v>0</v>
      </c>
      <c r="O303" s="3923"/>
      <c r="P303" s="507"/>
      <c r="Q303" s="3926"/>
      <c r="R303" s="3928">
        <f t="shared" si="405"/>
        <v>0</v>
      </c>
      <c r="S303" s="3923"/>
      <c r="T303" s="507">
        <v>0</v>
      </c>
      <c r="U303" s="3926"/>
      <c r="V303" s="3928">
        <f t="shared" si="406"/>
        <v>0</v>
      </c>
      <c r="W303" s="3923"/>
      <c r="X303" s="507"/>
      <c r="Y303" s="3938"/>
      <c r="Z303" s="3931">
        <f t="shared" si="407"/>
        <v>0</v>
      </c>
      <c r="AA303" s="3946"/>
      <c r="AB303" s="3944">
        <f t="shared" si="408"/>
        <v>0</v>
      </c>
      <c r="AC303" s="3923"/>
      <c r="AD303" s="507">
        <v>0</v>
      </c>
      <c r="AE303" s="3926"/>
      <c r="AF303" s="3928">
        <f t="shared" si="409"/>
        <v>0</v>
      </c>
      <c r="AG303" s="3923"/>
      <c r="AH303" s="507"/>
      <c r="AI303" s="3926"/>
      <c r="AJ303" s="3928">
        <f t="shared" si="410"/>
        <v>0</v>
      </c>
      <c r="AK303" s="3923"/>
      <c r="AL303" s="507"/>
      <c r="AM303" s="3938"/>
      <c r="AN303" s="3931">
        <f t="shared" si="411"/>
        <v>0</v>
      </c>
      <c r="AO303" s="3926"/>
      <c r="AP303" s="3928">
        <f t="shared" si="412"/>
        <v>0</v>
      </c>
      <c r="AQ303" s="3923"/>
      <c r="AR303" s="507">
        <v>52.269999999999996</v>
      </c>
      <c r="AS303" s="3926"/>
      <c r="AT303" s="517">
        <f t="shared" si="400"/>
        <v>52.269999999999996</v>
      </c>
      <c r="AU303" s="4001"/>
      <c r="AV303" s="507">
        <v>30.97</v>
      </c>
      <c r="AW303" s="3997"/>
      <c r="AX303" s="517">
        <f t="shared" si="401"/>
        <v>83.24</v>
      </c>
      <c r="AY303" s="4133"/>
      <c r="AZ303" s="507">
        <v>91.300000000000011</v>
      </c>
      <c r="BA303" s="4136"/>
      <c r="BB303" s="4540">
        <f t="shared" si="413"/>
        <v>174.54000000000002</v>
      </c>
      <c r="BC303" s="4142"/>
      <c r="BD303" s="4543">
        <f t="shared" si="402"/>
        <v>174.54000000000002</v>
      </c>
      <c r="BE303" s="4128"/>
      <c r="BF303" s="517">
        <f t="shared" si="414"/>
        <v>174.54000000000002</v>
      </c>
      <c r="BG303" s="1726"/>
      <c r="BH303" s="1726"/>
      <c r="BI303" s="1726"/>
      <c r="BJ303" s="1726"/>
      <c r="BK303" s="1726"/>
      <c r="BL303" s="1726"/>
      <c r="BM303" s="1726"/>
      <c r="BN303" s="1726"/>
      <c r="BO303" s="1726"/>
      <c r="BP303" s="1726"/>
      <c r="BQ303" s="1726"/>
      <c r="BR303" s="1726"/>
      <c r="BS303" s="1726"/>
      <c r="BT303" s="1726"/>
      <c r="BU303" s="1726"/>
      <c r="BV303" s="1726"/>
      <c r="BW303" s="1726"/>
      <c r="BX303" s="1726"/>
      <c r="BY303" s="1726"/>
      <c r="BZ303" s="1726"/>
      <c r="CA303" s="1726"/>
      <c r="CB303" s="1726"/>
      <c r="CC303" s="1726"/>
    </row>
    <row r="304" spans="1:81" ht="18.75" x14ac:dyDescent="0.25">
      <c r="A304" s="468"/>
      <c r="B304" s="646" t="s">
        <v>1200</v>
      </c>
      <c r="C304" s="2136" t="s">
        <v>1199</v>
      </c>
      <c r="D304" s="2154"/>
      <c r="E304" s="2161"/>
      <c r="F304" s="507">
        <v>126.62</v>
      </c>
      <c r="G304" s="5040"/>
      <c r="H304" s="507"/>
      <c r="I304" s="4956"/>
      <c r="J304" s="3928">
        <f t="shared" si="403"/>
        <v>126.62</v>
      </c>
      <c r="K304" s="5030"/>
      <c r="L304" s="507">
        <v>32.520000000000003</v>
      </c>
      <c r="M304" s="4952"/>
      <c r="N304" s="3931">
        <f t="shared" si="404"/>
        <v>159.14000000000001</v>
      </c>
      <c r="O304" s="5030"/>
      <c r="P304" s="507">
        <v>12.76</v>
      </c>
      <c r="Q304" s="4956"/>
      <c r="R304" s="3928">
        <f t="shared" si="405"/>
        <v>171.9</v>
      </c>
      <c r="S304" s="5030"/>
      <c r="T304" s="507">
        <v>0</v>
      </c>
      <c r="U304" s="4956"/>
      <c r="V304" s="3928">
        <f t="shared" si="406"/>
        <v>171.9</v>
      </c>
      <c r="W304" s="5030"/>
      <c r="X304" s="507"/>
      <c r="Y304" s="4952"/>
      <c r="Z304" s="3931">
        <f t="shared" si="407"/>
        <v>12.76</v>
      </c>
      <c r="AA304" s="4971"/>
      <c r="AB304" s="3944">
        <f t="shared" si="408"/>
        <v>171.9</v>
      </c>
      <c r="AC304" s="5030"/>
      <c r="AD304" s="507">
        <v>431.76</v>
      </c>
      <c r="AE304" s="4956"/>
      <c r="AF304" s="3928">
        <f t="shared" si="409"/>
        <v>603.66</v>
      </c>
      <c r="AG304" s="5030"/>
      <c r="AH304" s="507"/>
      <c r="AI304" s="4956"/>
      <c r="AJ304" s="3928">
        <f t="shared" si="410"/>
        <v>603.66</v>
      </c>
      <c r="AK304" s="5030"/>
      <c r="AL304" s="507"/>
      <c r="AM304" s="4952"/>
      <c r="AN304" s="3931">
        <f t="shared" si="411"/>
        <v>431.76</v>
      </c>
      <c r="AO304" s="4956"/>
      <c r="AP304" s="3928">
        <f t="shared" si="412"/>
        <v>603.66</v>
      </c>
      <c r="AQ304" s="5030"/>
      <c r="AR304" s="507">
        <v>12.53</v>
      </c>
      <c r="AS304" s="4956"/>
      <c r="AT304" s="517">
        <f t="shared" si="400"/>
        <v>616.18999999999994</v>
      </c>
      <c r="AU304" s="5030"/>
      <c r="AV304" s="507">
        <v>30.94</v>
      </c>
      <c r="AW304" s="4956"/>
      <c r="AX304" s="517">
        <f t="shared" si="401"/>
        <v>647.13</v>
      </c>
      <c r="AY304" s="5030"/>
      <c r="AZ304" s="507"/>
      <c r="BA304" s="4952"/>
      <c r="BB304" s="4540">
        <f t="shared" si="413"/>
        <v>43.47</v>
      </c>
      <c r="BC304" s="4971"/>
      <c r="BD304" s="4543">
        <f t="shared" si="402"/>
        <v>475.23</v>
      </c>
      <c r="BE304" s="4956"/>
      <c r="BF304" s="517">
        <f t="shared" si="414"/>
        <v>647.13</v>
      </c>
    </row>
    <row r="305" spans="1:81" s="1485" customFormat="1" ht="18.75" x14ac:dyDescent="0.25">
      <c r="A305" s="468"/>
      <c r="B305" s="646" t="s">
        <v>1303</v>
      </c>
      <c r="C305" s="2153" t="s">
        <v>1202</v>
      </c>
      <c r="D305" s="2154"/>
      <c r="E305" s="2161"/>
      <c r="F305" s="507">
        <v>2159.73</v>
      </c>
      <c r="G305" s="5039"/>
      <c r="H305" s="507">
        <v>1387.74</v>
      </c>
      <c r="I305" s="4957"/>
      <c r="J305" s="3928">
        <f t="shared" si="403"/>
        <v>3547.4700000000003</v>
      </c>
      <c r="K305" s="5004"/>
      <c r="L305" s="507">
        <v>1609.73</v>
      </c>
      <c r="M305" s="4953"/>
      <c r="N305" s="3931">
        <f t="shared" si="404"/>
        <v>5157.2000000000007</v>
      </c>
      <c r="O305" s="5004"/>
      <c r="P305" s="507">
        <v>3253.67</v>
      </c>
      <c r="Q305" s="4957"/>
      <c r="R305" s="3928">
        <f t="shared" si="405"/>
        <v>8410.8700000000008</v>
      </c>
      <c r="S305" s="5004"/>
      <c r="T305" s="507">
        <v>3247.4</v>
      </c>
      <c r="U305" s="4957"/>
      <c r="V305" s="3928">
        <f t="shared" si="406"/>
        <v>11658.27</v>
      </c>
      <c r="W305" s="5004"/>
      <c r="X305" s="507">
        <v>1414.28</v>
      </c>
      <c r="Y305" s="4953"/>
      <c r="Z305" s="3931">
        <f t="shared" si="407"/>
        <v>7915.3499999999995</v>
      </c>
      <c r="AA305" s="4972"/>
      <c r="AB305" s="3944">
        <f t="shared" si="408"/>
        <v>13072.550000000001</v>
      </c>
      <c r="AC305" s="5004"/>
      <c r="AD305" s="507">
        <v>4001.2000000000003</v>
      </c>
      <c r="AE305" s="4957"/>
      <c r="AF305" s="3928">
        <f t="shared" si="409"/>
        <v>17073.75</v>
      </c>
      <c r="AG305" s="5004"/>
      <c r="AH305" s="507">
        <v>3002.02</v>
      </c>
      <c r="AI305" s="4957"/>
      <c r="AJ305" s="3928">
        <f t="shared" si="410"/>
        <v>20075.77</v>
      </c>
      <c r="AK305" s="5004"/>
      <c r="AL305" s="507">
        <v>5087.32</v>
      </c>
      <c r="AM305" s="4953"/>
      <c r="AN305" s="3931">
        <f t="shared" si="411"/>
        <v>12090.54</v>
      </c>
      <c r="AO305" s="4957"/>
      <c r="AP305" s="3928">
        <f t="shared" si="412"/>
        <v>25163.09</v>
      </c>
      <c r="AQ305" s="5004"/>
      <c r="AR305" s="507">
        <v>169.68</v>
      </c>
      <c r="AS305" s="4957"/>
      <c r="AT305" s="517">
        <f t="shared" si="400"/>
        <v>25332.77</v>
      </c>
      <c r="AU305" s="5004"/>
      <c r="AV305" s="507">
        <f>2733.03+30.37</f>
        <v>2763.4</v>
      </c>
      <c r="AW305" s="4957"/>
      <c r="AX305" s="517">
        <f t="shared" si="401"/>
        <v>28096.170000000002</v>
      </c>
      <c r="AY305" s="5004"/>
      <c r="AZ305" s="507"/>
      <c r="BA305" s="4953"/>
      <c r="BB305" s="4540">
        <f t="shared" si="413"/>
        <v>2933.08</v>
      </c>
      <c r="BC305" s="4972"/>
      <c r="BD305" s="4543">
        <f t="shared" si="402"/>
        <v>15023.62</v>
      </c>
      <c r="BE305" s="4957"/>
      <c r="BF305" s="517">
        <f t="shared" si="414"/>
        <v>28096.170000000002</v>
      </c>
      <c r="BG305" s="1726"/>
      <c r="BH305" s="1726"/>
      <c r="BI305" s="1726"/>
      <c r="BJ305" s="1726"/>
      <c r="BK305" s="1726"/>
      <c r="BL305" s="1726"/>
      <c r="BM305" s="1726"/>
      <c r="BN305" s="1726"/>
      <c r="BO305" s="1726"/>
      <c r="BP305" s="1726"/>
      <c r="BQ305" s="1726"/>
      <c r="BR305" s="1726"/>
      <c r="BS305" s="1726"/>
      <c r="BT305" s="1726"/>
      <c r="BU305" s="1726"/>
      <c r="BV305" s="1726"/>
      <c r="BW305" s="1726"/>
      <c r="BX305" s="1726"/>
      <c r="BY305" s="1726"/>
      <c r="BZ305" s="1726"/>
      <c r="CA305" s="1726"/>
      <c r="CB305" s="1726"/>
      <c r="CC305" s="1726"/>
    </row>
    <row r="306" spans="1:81" s="1587" customFormat="1" ht="18.75" x14ac:dyDescent="0.25">
      <c r="A306" s="468"/>
      <c r="B306" s="646" t="s">
        <v>1303</v>
      </c>
      <c r="C306" s="2153" t="s">
        <v>1430</v>
      </c>
      <c r="D306" s="2154"/>
      <c r="E306" s="2161"/>
      <c r="F306" s="507"/>
      <c r="G306" s="5039"/>
      <c r="H306" s="507"/>
      <c r="I306" s="4957"/>
      <c r="J306" s="3928"/>
      <c r="K306" s="5004"/>
      <c r="L306" s="507"/>
      <c r="M306" s="4953"/>
      <c r="N306" s="3931">
        <f t="shared" si="404"/>
        <v>0</v>
      </c>
      <c r="O306" s="5004"/>
      <c r="P306" s="507">
        <v>301.27999999999997</v>
      </c>
      <c r="Q306" s="4957"/>
      <c r="R306" s="3928">
        <f t="shared" si="405"/>
        <v>301.27999999999997</v>
      </c>
      <c r="S306" s="5004"/>
      <c r="T306" s="507">
        <v>0</v>
      </c>
      <c r="U306" s="4957"/>
      <c r="V306" s="3928">
        <f t="shared" si="406"/>
        <v>301.27999999999997</v>
      </c>
      <c r="W306" s="5004"/>
      <c r="X306" s="507"/>
      <c r="Y306" s="4953"/>
      <c r="Z306" s="3931">
        <f t="shared" si="407"/>
        <v>301.27999999999997</v>
      </c>
      <c r="AA306" s="4972"/>
      <c r="AB306" s="3944">
        <f t="shared" si="408"/>
        <v>301.27999999999997</v>
      </c>
      <c r="AC306" s="5004"/>
      <c r="AD306" s="507">
        <v>505.26000000000005</v>
      </c>
      <c r="AE306" s="4957"/>
      <c r="AF306" s="3928">
        <f t="shared" si="409"/>
        <v>806.54</v>
      </c>
      <c r="AG306" s="5004"/>
      <c r="AH306" s="507">
        <v>622.36</v>
      </c>
      <c r="AI306" s="4957"/>
      <c r="AJ306" s="3928">
        <f t="shared" si="410"/>
        <v>1428.9</v>
      </c>
      <c r="AK306" s="5004"/>
      <c r="AL306" s="507"/>
      <c r="AM306" s="4953"/>
      <c r="AN306" s="3931">
        <f t="shared" si="411"/>
        <v>1127.6200000000001</v>
      </c>
      <c r="AO306" s="4957"/>
      <c r="AP306" s="3928">
        <f t="shared" si="412"/>
        <v>1428.9</v>
      </c>
      <c r="AQ306" s="5004"/>
      <c r="AR306" s="507"/>
      <c r="AS306" s="4957"/>
      <c r="AT306" s="517">
        <f t="shared" si="400"/>
        <v>1428.9</v>
      </c>
      <c r="AU306" s="5004"/>
      <c r="AV306" s="507"/>
      <c r="AW306" s="4957"/>
      <c r="AX306" s="517">
        <f t="shared" si="401"/>
        <v>1428.9</v>
      </c>
      <c r="AY306" s="5004"/>
      <c r="AZ306" s="507"/>
      <c r="BA306" s="4953"/>
      <c r="BB306" s="4540">
        <f t="shared" si="413"/>
        <v>0</v>
      </c>
      <c r="BC306" s="4972"/>
      <c r="BD306" s="4543">
        <f t="shared" si="402"/>
        <v>1127.6200000000001</v>
      </c>
      <c r="BE306" s="4957"/>
      <c r="BF306" s="517">
        <f t="shared" si="414"/>
        <v>1428.9</v>
      </c>
      <c r="BG306" s="1726"/>
      <c r="BH306" s="1726"/>
      <c r="BI306" s="1726"/>
      <c r="BJ306" s="1726"/>
      <c r="BK306" s="1726"/>
      <c r="BL306" s="1726"/>
      <c r="BM306" s="1726"/>
      <c r="BN306" s="1726"/>
      <c r="BO306" s="1726"/>
      <c r="BP306" s="1726"/>
      <c r="BQ306" s="1726"/>
      <c r="BR306" s="1726"/>
      <c r="BS306" s="1726"/>
      <c r="BT306" s="1726"/>
      <c r="BU306" s="1726"/>
      <c r="BV306" s="1726"/>
      <c r="BW306" s="1726"/>
      <c r="BX306" s="1726"/>
      <c r="BY306" s="1726"/>
      <c r="BZ306" s="1726"/>
      <c r="CA306" s="1726"/>
      <c r="CB306" s="1726"/>
      <c r="CC306" s="1726"/>
    </row>
    <row r="307" spans="1:81" s="1726" customFormat="1" ht="18.75" x14ac:dyDescent="0.25">
      <c r="A307" s="468"/>
      <c r="B307" s="646" t="s">
        <v>1303</v>
      </c>
      <c r="C307" s="2153" t="s">
        <v>1201</v>
      </c>
      <c r="D307" s="2154"/>
      <c r="E307" s="2161"/>
      <c r="F307" s="507"/>
      <c r="G307" s="5039"/>
      <c r="H307" s="507"/>
      <c r="I307" s="4957"/>
      <c r="J307" s="3928"/>
      <c r="K307" s="5004"/>
      <c r="L307" s="507"/>
      <c r="M307" s="4953"/>
      <c r="N307" s="3931"/>
      <c r="O307" s="5004"/>
      <c r="P307" s="507"/>
      <c r="Q307" s="4957"/>
      <c r="R307" s="3928"/>
      <c r="S307" s="5004"/>
      <c r="T307" s="507"/>
      <c r="U307" s="4957"/>
      <c r="V307" s="3928"/>
      <c r="W307" s="5004"/>
      <c r="X307" s="507"/>
      <c r="Y307" s="4953"/>
      <c r="Z307" s="3931"/>
      <c r="AA307" s="4972"/>
      <c r="AB307" s="3944"/>
      <c r="AC307" s="5004"/>
      <c r="AD307" s="507"/>
      <c r="AE307" s="4957"/>
      <c r="AF307" s="3928"/>
      <c r="AG307" s="5004"/>
      <c r="AH307" s="507"/>
      <c r="AI307" s="4957"/>
      <c r="AJ307" s="3928"/>
      <c r="AK307" s="5004"/>
      <c r="AL307" s="507"/>
      <c r="AM307" s="4953"/>
      <c r="AN307" s="3931"/>
      <c r="AO307" s="4957"/>
      <c r="AP307" s="3928">
        <f t="shared" si="412"/>
        <v>0</v>
      </c>
      <c r="AQ307" s="5004"/>
      <c r="AR307" s="507"/>
      <c r="AS307" s="4957"/>
      <c r="AT307" s="517">
        <f t="shared" si="400"/>
        <v>0</v>
      </c>
      <c r="AU307" s="5004"/>
      <c r="AV307" s="507"/>
      <c r="AW307" s="4957"/>
      <c r="AX307" s="517">
        <f t="shared" si="401"/>
        <v>0</v>
      </c>
      <c r="AY307" s="5004"/>
      <c r="AZ307" s="507"/>
      <c r="BA307" s="4953"/>
      <c r="BB307" s="4540">
        <f t="shared" si="413"/>
        <v>0</v>
      </c>
      <c r="BC307" s="4972"/>
      <c r="BD307" s="4543">
        <f t="shared" si="402"/>
        <v>0</v>
      </c>
      <c r="BE307" s="4957"/>
      <c r="BF307" s="517">
        <f t="shared" si="414"/>
        <v>0</v>
      </c>
    </row>
    <row r="308" spans="1:81" s="1726" customFormat="1" ht="18.75" x14ac:dyDescent="0.25">
      <c r="A308" s="468"/>
      <c r="B308" s="646" t="s">
        <v>1593</v>
      </c>
      <c r="C308" s="2153" t="s">
        <v>1202</v>
      </c>
      <c r="D308" s="2154"/>
      <c r="E308" s="2161"/>
      <c r="F308" s="507"/>
      <c r="G308" s="5039"/>
      <c r="H308" s="507"/>
      <c r="I308" s="4957"/>
      <c r="J308" s="3928"/>
      <c r="K308" s="5004"/>
      <c r="L308" s="507"/>
      <c r="M308" s="4953"/>
      <c r="N308" s="3931">
        <f t="shared" si="404"/>
        <v>0</v>
      </c>
      <c r="O308" s="5004"/>
      <c r="P308" s="507"/>
      <c r="Q308" s="4957"/>
      <c r="R308" s="3928"/>
      <c r="S308" s="5004"/>
      <c r="T308" s="507"/>
      <c r="U308" s="4957"/>
      <c r="V308" s="3928"/>
      <c r="W308" s="5004"/>
      <c r="X308" s="507">
        <v>372.27</v>
      </c>
      <c r="Y308" s="4953"/>
      <c r="Z308" s="3931">
        <f t="shared" si="407"/>
        <v>372.27</v>
      </c>
      <c r="AA308" s="4972"/>
      <c r="AB308" s="3944">
        <f t="shared" si="408"/>
        <v>372.27</v>
      </c>
      <c r="AC308" s="5004"/>
      <c r="AD308" s="507">
        <v>73.44</v>
      </c>
      <c r="AE308" s="4957"/>
      <c r="AF308" s="3928">
        <f t="shared" si="409"/>
        <v>445.71</v>
      </c>
      <c r="AG308" s="5004"/>
      <c r="AH308" s="507">
        <v>4392.3</v>
      </c>
      <c r="AI308" s="4957"/>
      <c r="AJ308" s="3928">
        <f t="shared" si="410"/>
        <v>4838.01</v>
      </c>
      <c r="AK308" s="5004"/>
      <c r="AL308" s="507">
        <v>1723.5799999999997</v>
      </c>
      <c r="AM308" s="4953"/>
      <c r="AN308" s="3931">
        <f t="shared" si="411"/>
        <v>6189.32</v>
      </c>
      <c r="AO308" s="4957"/>
      <c r="AP308" s="3928">
        <f t="shared" si="412"/>
        <v>6561.59</v>
      </c>
      <c r="AQ308" s="5004"/>
      <c r="AR308" s="507">
        <v>4504.119999999999</v>
      </c>
      <c r="AS308" s="4957"/>
      <c r="AT308" s="517">
        <f t="shared" si="400"/>
        <v>11065.71</v>
      </c>
      <c r="AU308" s="5004"/>
      <c r="AV308" s="507">
        <v>264.02999999999997</v>
      </c>
      <c r="AW308" s="4957"/>
      <c r="AX308" s="517">
        <f t="shared" si="401"/>
        <v>11329.74</v>
      </c>
      <c r="AY308" s="5004"/>
      <c r="AZ308" s="507">
        <v>2186.88</v>
      </c>
      <c r="BA308" s="4953"/>
      <c r="BB308" s="4540">
        <f t="shared" si="413"/>
        <v>6955.0299999999988</v>
      </c>
      <c r="BC308" s="4972"/>
      <c r="BD308" s="4543">
        <f t="shared" si="402"/>
        <v>13144.349999999999</v>
      </c>
      <c r="BE308" s="4957"/>
      <c r="BF308" s="517">
        <f t="shared" si="414"/>
        <v>13516.619999999999</v>
      </c>
    </row>
    <row r="309" spans="1:81" s="4515" customFormat="1" ht="18.75" x14ac:dyDescent="0.25">
      <c r="A309" s="468"/>
      <c r="B309" s="646" t="s">
        <v>1593</v>
      </c>
      <c r="C309" s="2153" t="s">
        <v>1430</v>
      </c>
      <c r="D309" s="2154"/>
      <c r="E309" s="2161"/>
      <c r="F309" s="507"/>
      <c r="G309" s="5039"/>
      <c r="H309" s="507"/>
      <c r="I309" s="4957"/>
      <c r="J309" s="4518"/>
      <c r="K309" s="5004"/>
      <c r="L309" s="507"/>
      <c r="M309" s="4953"/>
      <c r="N309" s="4520"/>
      <c r="O309" s="5004"/>
      <c r="P309" s="507"/>
      <c r="Q309" s="4957"/>
      <c r="R309" s="4518"/>
      <c r="S309" s="5004"/>
      <c r="T309" s="507"/>
      <c r="U309" s="4957"/>
      <c r="V309" s="4518"/>
      <c r="W309" s="5004"/>
      <c r="X309" s="507"/>
      <c r="Y309" s="4953"/>
      <c r="Z309" s="4520"/>
      <c r="AA309" s="4972"/>
      <c r="AB309" s="4522"/>
      <c r="AC309" s="5004"/>
      <c r="AD309" s="507"/>
      <c r="AE309" s="4957"/>
      <c r="AF309" s="4518"/>
      <c r="AG309" s="5004"/>
      <c r="AH309" s="507"/>
      <c r="AI309" s="4957"/>
      <c r="AJ309" s="4518"/>
      <c r="AK309" s="5004"/>
      <c r="AL309" s="507"/>
      <c r="AM309" s="4953"/>
      <c r="AN309" s="4520"/>
      <c r="AO309" s="4957"/>
      <c r="AP309" s="4518"/>
      <c r="AQ309" s="5004"/>
      <c r="AR309" s="507"/>
      <c r="AS309" s="4957"/>
      <c r="AT309" s="517"/>
      <c r="AU309" s="5004"/>
      <c r="AV309" s="507"/>
      <c r="AW309" s="4957"/>
      <c r="AX309" s="517"/>
      <c r="AY309" s="5004"/>
      <c r="AZ309" s="507">
        <v>632.82000000000005</v>
      </c>
      <c r="BA309" s="4953"/>
      <c r="BB309" s="4540">
        <f t="shared" si="413"/>
        <v>632.82000000000005</v>
      </c>
      <c r="BC309" s="4972"/>
      <c r="BD309" s="4543">
        <f t="shared" si="402"/>
        <v>632.82000000000005</v>
      </c>
      <c r="BE309" s="4957"/>
      <c r="BF309" s="517">
        <f t="shared" si="414"/>
        <v>632.82000000000005</v>
      </c>
    </row>
    <row r="310" spans="1:81" ht="18.75" x14ac:dyDescent="0.25">
      <c r="A310" s="468"/>
      <c r="B310" s="646" t="s">
        <v>1176</v>
      </c>
      <c r="C310" s="2153" t="s">
        <v>1201</v>
      </c>
      <c r="D310" s="2154"/>
      <c r="E310" s="2161"/>
      <c r="F310" s="507"/>
      <c r="G310" s="5041"/>
      <c r="H310" s="507"/>
      <c r="I310" s="4968"/>
      <c r="J310" s="3928">
        <f t="shared" si="403"/>
        <v>0</v>
      </c>
      <c r="K310" s="5029"/>
      <c r="L310" s="507"/>
      <c r="M310" s="4978"/>
      <c r="N310" s="3931">
        <f t="shared" si="404"/>
        <v>0</v>
      </c>
      <c r="O310" s="5029"/>
      <c r="P310" s="507"/>
      <c r="Q310" s="4968"/>
      <c r="R310" s="3928">
        <f t="shared" si="405"/>
        <v>0</v>
      </c>
      <c r="S310" s="5029"/>
      <c r="T310" s="507">
        <v>0</v>
      </c>
      <c r="U310" s="4968"/>
      <c r="V310" s="3928">
        <f t="shared" si="406"/>
        <v>0</v>
      </c>
      <c r="W310" s="5029"/>
      <c r="X310" s="507"/>
      <c r="Y310" s="4978"/>
      <c r="Z310" s="3931">
        <f t="shared" si="407"/>
        <v>0</v>
      </c>
      <c r="AA310" s="4973"/>
      <c r="AB310" s="3944">
        <f t="shared" si="408"/>
        <v>0</v>
      </c>
      <c r="AC310" s="5029"/>
      <c r="AD310" s="507">
        <v>0</v>
      </c>
      <c r="AE310" s="4968"/>
      <c r="AF310" s="3928">
        <f t="shared" si="409"/>
        <v>0</v>
      </c>
      <c r="AG310" s="5029"/>
      <c r="AH310" s="507"/>
      <c r="AI310" s="4968"/>
      <c r="AJ310" s="3928">
        <f t="shared" si="410"/>
        <v>0</v>
      </c>
      <c r="AK310" s="5029"/>
      <c r="AL310" s="507"/>
      <c r="AM310" s="4978"/>
      <c r="AN310" s="3931">
        <f t="shared" si="411"/>
        <v>0</v>
      </c>
      <c r="AO310" s="4968"/>
      <c r="AP310" s="3928">
        <f t="shared" si="412"/>
        <v>0</v>
      </c>
      <c r="AQ310" s="5029"/>
      <c r="AR310" s="507"/>
      <c r="AS310" s="4968"/>
      <c r="AT310" s="517">
        <f t="shared" si="400"/>
        <v>0</v>
      </c>
      <c r="AU310" s="5029"/>
      <c r="AV310" s="507"/>
      <c r="AW310" s="4968"/>
      <c r="AX310" s="517">
        <f t="shared" si="401"/>
        <v>0</v>
      </c>
      <c r="AY310" s="5029"/>
      <c r="AZ310" s="507"/>
      <c r="BA310" s="4978"/>
      <c r="BB310" s="4540">
        <f t="shared" si="413"/>
        <v>0</v>
      </c>
      <c r="BC310" s="4973"/>
      <c r="BD310" s="4543">
        <f t="shared" si="402"/>
        <v>0</v>
      </c>
      <c r="BE310" s="4968"/>
      <c r="BF310" s="517">
        <f t="shared" si="414"/>
        <v>0</v>
      </c>
    </row>
    <row r="311" spans="1:81" s="1726" customFormat="1" ht="18.75" x14ac:dyDescent="0.25">
      <c r="A311" s="468"/>
      <c r="B311" s="646" t="s">
        <v>1176</v>
      </c>
      <c r="C311" s="2153" t="s">
        <v>1202</v>
      </c>
      <c r="D311" s="2154"/>
      <c r="E311" s="2161"/>
      <c r="F311" s="507"/>
      <c r="G311" s="4032"/>
      <c r="H311" s="507"/>
      <c r="I311" s="4034"/>
      <c r="J311" s="4036"/>
      <c r="K311" s="4032"/>
      <c r="L311" s="507"/>
      <c r="M311" s="4033"/>
      <c r="N311" s="4035"/>
      <c r="O311" s="4032"/>
      <c r="P311" s="507"/>
      <c r="Q311" s="4034"/>
      <c r="R311" s="4036"/>
      <c r="S311" s="4032"/>
      <c r="T311" s="507"/>
      <c r="U311" s="4034"/>
      <c r="V311" s="4036"/>
      <c r="W311" s="4032"/>
      <c r="X311" s="507"/>
      <c r="Y311" s="4033"/>
      <c r="Z311" s="4035"/>
      <c r="AA311" s="4037"/>
      <c r="AB311" s="4038"/>
      <c r="AC311" s="4032"/>
      <c r="AD311" s="507"/>
      <c r="AE311" s="4034"/>
      <c r="AF311" s="4036"/>
      <c r="AG311" s="4032"/>
      <c r="AH311" s="507"/>
      <c r="AI311" s="4034"/>
      <c r="AJ311" s="4036"/>
      <c r="AK311" s="4032"/>
      <c r="AL311" s="507"/>
      <c r="AM311" s="4033"/>
      <c r="AN311" s="4035"/>
      <c r="AO311" s="4034"/>
      <c r="AP311" s="4036"/>
      <c r="AQ311" s="4032"/>
      <c r="AR311" s="507"/>
      <c r="AS311" s="4034"/>
      <c r="AT311" s="517"/>
      <c r="AU311" s="4032"/>
      <c r="AV311" s="507">
        <v>839.61999999999989</v>
      </c>
      <c r="AW311" s="4034"/>
      <c r="AX311" s="517">
        <f t="shared" si="401"/>
        <v>839.61999999999989</v>
      </c>
      <c r="AY311" s="4134"/>
      <c r="AZ311" s="507">
        <v>56.72</v>
      </c>
      <c r="BA311" s="4138"/>
      <c r="BB311" s="4540">
        <f t="shared" si="413"/>
        <v>896.33999999999992</v>
      </c>
      <c r="BC311" s="4143"/>
      <c r="BD311" s="4543">
        <f t="shared" si="402"/>
        <v>896.33999999999992</v>
      </c>
      <c r="BE311" s="4129"/>
      <c r="BF311" s="517">
        <f t="shared" si="414"/>
        <v>896.33999999999992</v>
      </c>
    </row>
    <row r="312" spans="1:81" s="727" customFormat="1" ht="18.75" x14ac:dyDescent="0.25">
      <c r="A312" s="468"/>
      <c r="B312" s="646" t="s">
        <v>1177</v>
      </c>
      <c r="C312" s="2153" t="s">
        <v>1201</v>
      </c>
      <c r="D312" s="2154"/>
      <c r="E312" s="3921"/>
      <c r="F312" s="507"/>
      <c r="G312" s="3924"/>
      <c r="H312" s="507"/>
      <c r="I312" s="3927"/>
      <c r="J312" s="3928">
        <f t="shared" si="403"/>
        <v>0</v>
      </c>
      <c r="K312" s="3924"/>
      <c r="L312" s="507"/>
      <c r="M312" s="3941"/>
      <c r="N312" s="3931">
        <f t="shared" si="404"/>
        <v>0</v>
      </c>
      <c r="O312" s="3924"/>
      <c r="P312" s="507"/>
      <c r="Q312" s="3927"/>
      <c r="R312" s="3928">
        <f t="shared" si="405"/>
        <v>0</v>
      </c>
      <c r="S312" s="3924"/>
      <c r="T312" s="507">
        <v>0</v>
      </c>
      <c r="U312" s="3927"/>
      <c r="V312" s="3928">
        <f t="shared" si="406"/>
        <v>0</v>
      </c>
      <c r="W312" s="3924"/>
      <c r="X312" s="507"/>
      <c r="Y312" s="3941"/>
      <c r="Z312" s="3931">
        <f t="shared" si="407"/>
        <v>0</v>
      </c>
      <c r="AA312" s="3947"/>
      <c r="AB312" s="3944">
        <f t="shared" si="408"/>
        <v>0</v>
      </c>
      <c r="AC312" s="3924"/>
      <c r="AD312" s="507">
        <v>0</v>
      </c>
      <c r="AE312" s="3927"/>
      <c r="AF312" s="3928">
        <f t="shared" si="409"/>
        <v>0</v>
      </c>
      <c r="AG312" s="3924"/>
      <c r="AH312" s="507"/>
      <c r="AI312" s="3927"/>
      <c r="AJ312" s="3928">
        <f t="shared" si="410"/>
        <v>0</v>
      </c>
      <c r="AK312" s="3924"/>
      <c r="AL312" s="507"/>
      <c r="AM312" s="3941"/>
      <c r="AN312" s="3931">
        <f t="shared" si="411"/>
        <v>0</v>
      </c>
      <c r="AO312" s="3927"/>
      <c r="AP312" s="3928">
        <f t="shared" si="412"/>
        <v>0</v>
      </c>
      <c r="AQ312" s="3924"/>
      <c r="AR312" s="507"/>
      <c r="AS312" s="3927"/>
      <c r="AT312" s="517">
        <f t="shared" si="400"/>
        <v>0</v>
      </c>
      <c r="AU312" s="4003"/>
      <c r="AV312" s="507"/>
      <c r="AW312" s="3998"/>
      <c r="AX312" s="517">
        <f t="shared" si="401"/>
        <v>0</v>
      </c>
      <c r="AY312" s="4134"/>
      <c r="AZ312" s="507"/>
      <c r="BA312" s="4138"/>
      <c r="BB312" s="4540">
        <f t="shared" si="413"/>
        <v>0</v>
      </c>
      <c r="BC312" s="4143"/>
      <c r="BD312" s="4543">
        <f t="shared" si="402"/>
        <v>0</v>
      </c>
      <c r="BE312" s="4129"/>
      <c r="BF312" s="517">
        <f t="shared" si="414"/>
        <v>0</v>
      </c>
      <c r="BG312" s="1726"/>
      <c r="BH312" s="1726"/>
      <c r="BI312" s="1726"/>
      <c r="BJ312" s="1726"/>
      <c r="BK312" s="1726"/>
      <c r="BL312" s="1726"/>
      <c r="BM312" s="1726"/>
      <c r="BN312" s="1726"/>
      <c r="BO312" s="1726"/>
      <c r="BP312" s="1726"/>
      <c r="BQ312" s="1726"/>
      <c r="BR312" s="1726"/>
      <c r="BS312" s="1726"/>
      <c r="BT312" s="1726"/>
      <c r="BU312" s="1726"/>
      <c r="BV312" s="1726"/>
      <c r="BW312" s="1726"/>
      <c r="BX312" s="1726"/>
      <c r="BY312" s="1726"/>
      <c r="BZ312" s="1726"/>
      <c r="CA312" s="1726"/>
      <c r="CB312" s="1726"/>
      <c r="CC312" s="1726"/>
    </row>
    <row r="313" spans="1:81" s="874" customFormat="1" ht="18.75" x14ac:dyDescent="0.25">
      <c r="A313" s="468"/>
      <c r="B313" s="615" t="s">
        <v>1178</v>
      </c>
      <c r="C313" s="2153" t="s">
        <v>1201</v>
      </c>
      <c r="D313" s="2154"/>
      <c r="E313" s="2161"/>
      <c r="F313" s="507"/>
      <c r="G313" s="5039"/>
      <c r="H313" s="507"/>
      <c r="I313" s="4957"/>
      <c r="J313" s="3928">
        <f t="shared" si="403"/>
        <v>0</v>
      </c>
      <c r="K313" s="5004"/>
      <c r="L313" s="507"/>
      <c r="M313" s="4953"/>
      <c r="N313" s="3931">
        <f t="shared" si="404"/>
        <v>0</v>
      </c>
      <c r="O313" s="5004"/>
      <c r="P313" s="507"/>
      <c r="Q313" s="4957"/>
      <c r="R313" s="3928">
        <f t="shared" si="405"/>
        <v>0</v>
      </c>
      <c r="S313" s="5004"/>
      <c r="T313" s="507">
        <v>0</v>
      </c>
      <c r="U313" s="4957"/>
      <c r="V313" s="3928">
        <f t="shared" si="406"/>
        <v>0</v>
      </c>
      <c r="W313" s="5004"/>
      <c r="X313" s="507"/>
      <c r="Y313" s="4953"/>
      <c r="Z313" s="3931">
        <f t="shared" si="407"/>
        <v>0</v>
      </c>
      <c r="AA313" s="4972"/>
      <c r="AB313" s="3944">
        <f t="shared" si="408"/>
        <v>0</v>
      </c>
      <c r="AC313" s="5004"/>
      <c r="AD313" s="507">
        <v>0</v>
      </c>
      <c r="AE313" s="4957"/>
      <c r="AF313" s="3928">
        <f t="shared" si="409"/>
        <v>0</v>
      </c>
      <c r="AG313" s="5004"/>
      <c r="AH313" s="507"/>
      <c r="AI313" s="4957"/>
      <c r="AJ313" s="3928">
        <f t="shared" si="410"/>
        <v>0</v>
      </c>
      <c r="AK313" s="5004"/>
      <c r="AL313" s="507"/>
      <c r="AM313" s="4953"/>
      <c r="AN313" s="3931">
        <f t="shared" si="411"/>
        <v>0</v>
      </c>
      <c r="AO313" s="4957"/>
      <c r="AP313" s="3928">
        <f t="shared" ref="AP313:AP317" si="415">+AJ313+AL313</f>
        <v>0</v>
      </c>
      <c r="AQ313" s="5004"/>
      <c r="AR313" s="507"/>
      <c r="AS313" s="4957"/>
      <c r="AT313" s="517">
        <f t="shared" si="400"/>
        <v>0</v>
      </c>
      <c r="AU313" s="5004"/>
      <c r="AV313" s="507"/>
      <c r="AW313" s="4957"/>
      <c r="AX313" s="517">
        <f t="shared" si="401"/>
        <v>0</v>
      </c>
      <c r="AY313" s="5004"/>
      <c r="AZ313" s="507"/>
      <c r="BA313" s="4953"/>
      <c r="BB313" s="4540">
        <f t="shared" si="413"/>
        <v>0</v>
      </c>
      <c r="BC313" s="4972"/>
      <c r="BD313" s="4543">
        <f t="shared" si="402"/>
        <v>0</v>
      </c>
      <c r="BE313" s="4957"/>
      <c r="BF313" s="517">
        <f t="shared" si="414"/>
        <v>0</v>
      </c>
      <c r="BG313" s="1726"/>
      <c r="BH313" s="1726"/>
      <c r="BI313" s="1726"/>
      <c r="BJ313" s="1726"/>
      <c r="BK313" s="1726"/>
      <c r="BL313" s="1726"/>
      <c r="BM313" s="1726"/>
      <c r="BN313" s="1726"/>
      <c r="BO313" s="1726"/>
      <c r="BP313" s="1726"/>
      <c r="BQ313" s="1726"/>
      <c r="BR313" s="1726"/>
      <c r="BS313" s="1726"/>
      <c r="BT313" s="1726"/>
      <c r="BU313" s="1726"/>
      <c r="BV313" s="1726"/>
      <c r="BW313" s="1726"/>
      <c r="BX313" s="1726"/>
      <c r="BY313" s="1726"/>
      <c r="BZ313" s="1726"/>
      <c r="CA313" s="1726"/>
      <c r="CB313" s="1726"/>
      <c r="CC313" s="1726"/>
    </row>
    <row r="314" spans="1:81" ht="18.75" x14ac:dyDescent="0.25">
      <c r="A314" s="468"/>
      <c r="B314" s="615" t="s">
        <v>1179</v>
      </c>
      <c r="C314" s="2153" t="s">
        <v>1201</v>
      </c>
      <c r="D314" s="2154"/>
      <c r="E314" s="2161"/>
      <c r="F314" s="507"/>
      <c r="G314" s="5039"/>
      <c r="H314" s="507"/>
      <c r="I314" s="4957"/>
      <c r="J314" s="3928">
        <f t="shared" si="403"/>
        <v>0</v>
      </c>
      <c r="K314" s="5004"/>
      <c r="L314" s="507"/>
      <c r="M314" s="4953"/>
      <c r="N314" s="3931">
        <f t="shared" si="404"/>
        <v>0</v>
      </c>
      <c r="O314" s="5004"/>
      <c r="P314" s="507"/>
      <c r="Q314" s="4957"/>
      <c r="R314" s="3928">
        <f t="shared" si="405"/>
        <v>0</v>
      </c>
      <c r="S314" s="5004"/>
      <c r="T314" s="507">
        <v>0</v>
      </c>
      <c r="U314" s="4957"/>
      <c r="V314" s="3928">
        <f t="shared" si="406"/>
        <v>0</v>
      </c>
      <c r="W314" s="5004"/>
      <c r="X314" s="507"/>
      <c r="Y314" s="4953"/>
      <c r="Z314" s="3931">
        <f t="shared" si="407"/>
        <v>0</v>
      </c>
      <c r="AA314" s="4972"/>
      <c r="AB314" s="3944">
        <f t="shared" si="408"/>
        <v>0</v>
      </c>
      <c r="AC314" s="5004"/>
      <c r="AD314" s="507">
        <v>0</v>
      </c>
      <c r="AE314" s="4957"/>
      <c r="AF314" s="3928">
        <f t="shared" si="409"/>
        <v>0</v>
      </c>
      <c r="AG314" s="5004"/>
      <c r="AH314" s="507"/>
      <c r="AI314" s="4957"/>
      <c r="AJ314" s="3928">
        <f t="shared" si="410"/>
        <v>0</v>
      </c>
      <c r="AK314" s="5004"/>
      <c r="AL314" s="507"/>
      <c r="AM314" s="4953"/>
      <c r="AN314" s="3931">
        <f t="shared" si="411"/>
        <v>0</v>
      </c>
      <c r="AO314" s="4957"/>
      <c r="AP314" s="3928">
        <f t="shared" si="415"/>
        <v>0</v>
      </c>
      <c r="AQ314" s="5004"/>
      <c r="AR314" s="507"/>
      <c r="AS314" s="4957"/>
      <c r="AT314" s="517">
        <f t="shared" si="400"/>
        <v>0</v>
      </c>
      <c r="AU314" s="5004"/>
      <c r="AV314" s="507"/>
      <c r="AW314" s="4957"/>
      <c r="AX314" s="517">
        <f t="shared" si="401"/>
        <v>0</v>
      </c>
      <c r="AY314" s="5004"/>
      <c r="AZ314" s="507">
        <v>60.66</v>
      </c>
      <c r="BA314" s="4953"/>
      <c r="BB314" s="4540">
        <f t="shared" si="413"/>
        <v>60.66</v>
      </c>
      <c r="BC314" s="4972"/>
      <c r="BD314" s="4543">
        <f t="shared" si="402"/>
        <v>60.66</v>
      </c>
      <c r="BE314" s="4957"/>
      <c r="BF314" s="517">
        <f t="shared" si="414"/>
        <v>60.66</v>
      </c>
    </row>
    <row r="315" spans="1:81" s="1342" customFormat="1" ht="18.75" x14ac:dyDescent="0.25">
      <c r="A315" s="468"/>
      <c r="B315" s="615" t="s">
        <v>1180</v>
      </c>
      <c r="C315" s="2153" t="s">
        <v>1201</v>
      </c>
      <c r="D315" s="2154"/>
      <c r="E315" s="2161"/>
      <c r="F315" s="507"/>
      <c r="G315" s="5039"/>
      <c r="H315" s="507"/>
      <c r="I315" s="4957"/>
      <c r="J315" s="3928">
        <f t="shared" si="403"/>
        <v>0</v>
      </c>
      <c r="K315" s="5004"/>
      <c r="L315" s="507"/>
      <c r="M315" s="4953"/>
      <c r="N315" s="3931">
        <f t="shared" si="404"/>
        <v>0</v>
      </c>
      <c r="O315" s="5004"/>
      <c r="P315" s="507"/>
      <c r="Q315" s="4957"/>
      <c r="R315" s="3928">
        <f t="shared" si="405"/>
        <v>0</v>
      </c>
      <c r="S315" s="5004"/>
      <c r="T315" s="507">
        <v>0</v>
      </c>
      <c r="U315" s="4957"/>
      <c r="V315" s="3928">
        <f t="shared" si="406"/>
        <v>0</v>
      </c>
      <c r="W315" s="5004"/>
      <c r="X315" s="507"/>
      <c r="Y315" s="4953"/>
      <c r="Z315" s="3931">
        <f t="shared" si="407"/>
        <v>0</v>
      </c>
      <c r="AA315" s="4972"/>
      <c r="AB315" s="3944">
        <f t="shared" si="408"/>
        <v>0</v>
      </c>
      <c r="AC315" s="5004"/>
      <c r="AD315" s="507">
        <v>0</v>
      </c>
      <c r="AE315" s="4957"/>
      <c r="AF315" s="3928">
        <f t="shared" si="409"/>
        <v>0</v>
      </c>
      <c r="AG315" s="5004"/>
      <c r="AH315" s="507"/>
      <c r="AI315" s="4957"/>
      <c r="AJ315" s="3928">
        <f t="shared" si="410"/>
        <v>0</v>
      </c>
      <c r="AK315" s="5004"/>
      <c r="AL315" s="507"/>
      <c r="AM315" s="4953"/>
      <c r="AN315" s="3931">
        <f t="shared" si="411"/>
        <v>0</v>
      </c>
      <c r="AO315" s="4957"/>
      <c r="AP315" s="3928">
        <f t="shared" si="415"/>
        <v>0</v>
      </c>
      <c r="AQ315" s="5004"/>
      <c r="AR315" s="507"/>
      <c r="AS315" s="4957"/>
      <c r="AT315" s="517">
        <f t="shared" si="400"/>
        <v>0</v>
      </c>
      <c r="AU315" s="5004"/>
      <c r="AV315" s="507"/>
      <c r="AW315" s="4957"/>
      <c r="AX315" s="517">
        <f t="shared" si="401"/>
        <v>0</v>
      </c>
      <c r="AY315" s="5004"/>
      <c r="AZ315" s="507"/>
      <c r="BA315" s="4953"/>
      <c r="BB315" s="4540">
        <f t="shared" si="413"/>
        <v>0</v>
      </c>
      <c r="BC315" s="4972"/>
      <c r="BD315" s="4543">
        <f t="shared" si="402"/>
        <v>0</v>
      </c>
      <c r="BE315" s="4957"/>
      <c r="BF315" s="517">
        <f t="shared" si="414"/>
        <v>0</v>
      </c>
      <c r="BG315" s="1726"/>
      <c r="BH315" s="1726"/>
      <c r="BI315" s="1726"/>
      <c r="BJ315" s="1726"/>
      <c r="BK315" s="1726"/>
      <c r="BL315" s="1726"/>
      <c r="BM315" s="1726"/>
      <c r="BN315" s="1726"/>
      <c r="BO315" s="1726"/>
      <c r="BP315" s="1726"/>
      <c r="BQ315" s="1726"/>
      <c r="BR315" s="1726"/>
      <c r="BS315" s="1726"/>
      <c r="BT315" s="1726"/>
      <c r="BU315" s="1726"/>
      <c r="BV315" s="1726"/>
      <c r="BW315" s="1726"/>
      <c r="BX315" s="1726"/>
      <c r="BY315" s="1726"/>
      <c r="BZ315" s="1726"/>
      <c r="CA315" s="1726"/>
      <c r="CB315" s="1726"/>
      <c r="CC315" s="1726"/>
    </row>
    <row r="316" spans="1:81" s="1485" customFormat="1" ht="18.75" x14ac:dyDescent="0.25">
      <c r="A316" s="468"/>
      <c r="B316" s="615" t="s">
        <v>1302</v>
      </c>
      <c r="C316" s="2153" t="s">
        <v>1202</v>
      </c>
      <c r="D316" s="2154"/>
      <c r="E316" s="2161"/>
      <c r="F316" s="507"/>
      <c r="G316" s="5039"/>
      <c r="H316" s="507"/>
      <c r="I316" s="4957"/>
      <c r="J316" s="3928">
        <f t="shared" si="403"/>
        <v>0</v>
      </c>
      <c r="K316" s="5004"/>
      <c r="L316" s="507"/>
      <c r="M316" s="4953"/>
      <c r="N316" s="3931">
        <f t="shared" si="404"/>
        <v>0</v>
      </c>
      <c r="O316" s="5004"/>
      <c r="P316" s="507"/>
      <c r="Q316" s="4957"/>
      <c r="R316" s="3928">
        <f t="shared" si="405"/>
        <v>0</v>
      </c>
      <c r="S316" s="5004"/>
      <c r="T316" s="507">
        <v>0</v>
      </c>
      <c r="U316" s="4957"/>
      <c r="V316" s="3928">
        <f t="shared" si="406"/>
        <v>0</v>
      </c>
      <c r="W316" s="5004"/>
      <c r="X316" s="507"/>
      <c r="Y316" s="4953"/>
      <c r="Z316" s="3931">
        <f t="shared" si="407"/>
        <v>0</v>
      </c>
      <c r="AA316" s="4972"/>
      <c r="AB316" s="3944">
        <f t="shared" si="408"/>
        <v>0</v>
      </c>
      <c r="AC316" s="5004"/>
      <c r="AD316" s="507">
        <v>0</v>
      </c>
      <c r="AE316" s="4957"/>
      <c r="AF316" s="3928">
        <f t="shared" si="409"/>
        <v>0</v>
      </c>
      <c r="AG316" s="5004"/>
      <c r="AH316" s="507"/>
      <c r="AI316" s="4957"/>
      <c r="AJ316" s="3928">
        <f t="shared" si="410"/>
        <v>0</v>
      </c>
      <c r="AK316" s="5004"/>
      <c r="AL316" s="507"/>
      <c r="AM316" s="4953"/>
      <c r="AN316" s="3931">
        <f t="shared" si="411"/>
        <v>0</v>
      </c>
      <c r="AO316" s="4957"/>
      <c r="AP316" s="3928">
        <f t="shared" si="415"/>
        <v>0</v>
      </c>
      <c r="AQ316" s="5004"/>
      <c r="AR316" s="507"/>
      <c r="AS316" s="4957"/>
      <c r="AT316" s="517">
        <f t="shared" si="400"/>
        <v>0</v>
      </c>
      <c r="AU316" s="5004"/>
      <c r="AV316" s="507"/>
      <c r="AW316" s="4957"/>
      <c r="AX316" s="517">
        <f t="shared" si="401"/>
        <v>0</v>
      </c>
      <c r="AY316" s="5004"/>
      <c r="AZ316" s="507"/>
      <c r="BA316" s="4953"/>
      <c r="BB316" s="4540">
        <f t="shared" si="413"/>
        <v>0</v>
      </c>
      <c r="BC316" s="4972"/>
      <c r="BD316" s="4543">
        <f t="shared" si="402"/>
        <v>0</v>
      </c>
      <c r="BE316" s="4957"/>
      <c r="BF316" s="517">
        <f t="shared" si="414"/>
        <v>0</v>
      </c>
      <c r="BG316" s="1726"/>
      <c r="BH316" s="1726"/>
      <c r="BI316" s="1726"/>
      <c r="BJ316" s="1726"/>
      <c r="BK316" s="1726"/>
      <c r="BL316" s="1726"/>
      <c r="BM316" s="1726"/>
      <c r="BN316" s="1726"/>
      <c r="BO316" s="1726"/>
      <c r="BP316" s="1726"/>
      <c r="BQ316" s="1726"/>
      <c r="BR316" s="1726"/>
      <c r="BS316" s="1726"/>
      <c r="BT316" s="1726"/>
      <c r="BU316" s="1726"/>
      <c r="BV316" s="1726"/>
      <c r="BW316" s="1726"/>
      <c r="BX316" s="1726"/>
      <c r="BY316" s="1726"/>
      <c r="BZ316" s="1726"/>
      <c r="CA316" s="1726"/>
      <c r="CB316" s="1726"/>
      <c r="CC316" s="1726"/>
    </row>
    <row r="317" spans="1:81" ht="18.75" x14ac:dyDescent="0.25">
      <c r="A317" s="468"/>
      <c r="B317" s="615" t="s">
        <v>1180</v>
      </c>
      <c r="C317" s="2153" t="s">
        <v>1202</v>
      </c>
      <c r="D317" s="2154"/>
      <c r="E317" s="2161"/>
      <c r="F317" s="507"/>
      <c r="G317" s="5039"/>
      <c r="H317" s="507"/>
      <c r="I317" s="4957"/>
      <c r="J317" s="3928">
        <f t="shared" si="403"/>
        <v>0</v>
      </c>
      <c r="K317" s="5004"/>
      <c r="L317" s="507"/>
      <c r="M317" s="4953"/>
      <c r="N317" s="3931">
        <f t="shared" si="404"/>
        <v>0</v>
      </c>
      <c r="O317" s="5004"/>
      <c r="P317" s="507"/>
      <c r="Q317" s="4957"/>
      <c r="R317" s="3928">
        <f t="shared" si="405"/>
        <v>0</v>
      </c>
      <c r="S317" s="5004"/>
      <c r="T317" s="507">
        <v>0</v>
      </c>
      <c r="U317" s="4957"/>
      <c r="V317" s="3928">
        <f t="shared" si="406"/>
        <v>0</v>
      </c>
      <c r="W317" s="5004"/>
      <c r="X317" s="507"/>
      <c r="Y317" s="4953"/>
      <c r="Z317" s="3931">
        <f t="shared" si="407"/>
        <v>0</v>
      </c>
      <c r="AA317" s="4972"/>
      <c r="AB317" s="3944">
        <f t="shared" si="408"/>
        <v>0</v>
      </c>
      <c r="AC317" s="5004"/>
      <c r="AD317" s="507">
        <v>0</v>
      </c>
      <c r="AE317" s="4957"/>
      <c r="AF317" s="3928">
        <f t="shared" si="409"/>
        <v>0</v>
      </c>
      <c r="AG317" s="5004"/>
      <c r="AH317" s="507"/>
      <c r="AI317" s="4957"/>
      <c r="AJ317" s="3928">
        <f t="shared" si="410"/>
        <v>0</v>
      </c>
      <c r="AK317" s="5004"/>
      <c r="AL317" s="507"/>
      <c r="AM317" s="4953"/>
      <c r="AN317" s="3931">
        <f t="shared" ref="AN317" si="416">AD317+AH317+AL317</f>
        <v>0</v>
      </c>
      <c r="AO317" s="4957"/>
      <c r="AP317" s="3928">
        <f t="shared" si="415"/>
        <v>0</v>
      </c>
      <c r="AQ317" s="5004"/>
      <c r="AR317" s="507"/>
      <c r="AS317" s="4957"/>
      <c r="AT317" s="517">
        <f t="shared" si="400"/>
        <v>0</v>
      </c>
      <c r="AU317" s="5004"/>
      <c r="AV317" s="507"/>
      <c r="AW317" s="4957"/>
      <c r="AX317" s="517">
        <f t="shared" si="401"/>
        <v>0</v>
      </c>
      <c r="AY317" s="5004"/>
      <c r="AZ317" s="507"/>
      <c r="BA317" s="4953"/>
      <c r="BB317" s="4540">
        <f t="shared" si="413"/>
        <v>0</v>
      </c>
      <c r="BC317" s="4972"/>
      <c r="BD317" s="4543">
        <f t="shared" si="402"/>
        <v>0</v>
      </c>
      <c r="BE317" s="4957"/>
      <c r="BF317" s="517">
        <f t="shared" si="414"/>
        <v>0</v>
      </c>
    </row>
    <row r="318" spans="1:81" s="1081" customFormat="1" ht="19.5" thickBot="1" x14ac:dyDescent="0.35">
      <c r="A318" s="1550"/>
      <c r="B318" s="2162" t="s">
        <v>612</v>
      </c>
      <c r="C318" s="2125"/>
      <c r="D318" s="2114"/>
      <c r="E318" s="2157"/>
      <c r="F318" s="2163"/>
      <c r="G318" s="2163"/>
      <c r="H318" s="2163"/>
      <c r="I318" s="2163"/>
      <c r="J318" s="2163">
        <f>+J20</f>
        <v>0</v>
      </c>
      <c r="K318" s="2163"/>
      <c r="L318" s="2163"/>
      <c r="M318" s="2163"/>
      <c r="N318" s="1001">
        <f t="shared" ref="N318" si="417">+J318+L318</f>
        <v>0</v>
      </c>
      <c r="O318" s="2163"/>
      <c r="P318" s="2163">
        <f>+P20</f>
        <v>0</v>
      </c>
      <c r="Q318" s="2163"/>
      <c r="R318" s="1001">
        <f t="shared" ref="R318:R351" si="418">+N318+P318</f>
        <v>0</v>
      </c>
      <c r="S318" s="2163"/>
      <c r="T318" s="2163">
        <f>+T20</f>
        <v>0</v>
      </c>
      <c r="U318" s="2163"/>
      <c r="V318" s="1001">
        <f t="shared" ref="V318" si="419">+R318+T318</f>
        <v>0</v>
      </c>
      <c r="W318" s="2163"/>
      <c r="X318" s="2163">
        <f>+X20</f>
        <v>0</v>
      </c>
      <c r="Y318" s="2163"/>
      <c r="Z318" s="2163">
        <f>+Z20</f>
        <v>0</v>
      </c>
      <c r="AA318" s="2163"/>
      <c r="AB318" s="2163">
        <f>+AB20</f>
        <v>0</v>
      </c>
      <c r="AC318" s="2163"/>
      <c r="AD318" s="2163">
        <f>+AD20</f>
        <v>0</v>
      </c>
      <c r="AE318" s="2163"/>
      <c r="AF318" s="1001">
        <f t="shared" ref="AF318" si="420">+AB318+AD318</f>
        <v>0</v>
      </c>
      <c r="AG318" s="2163"/>
      <c r="AH318" s="2163">
        <f>+AH20</f>
        <v>0</v>
      </c>
      <c r="AI318" s="2163"/>
      <c r="AJ318" s="1001">
        <f t="shared" si="410"/>
        <v>0</v>
      </c>
      <c r="AK318" s="2163"/>
      <c r="AL318" s="2163">
        <f>+AL20</f>
        <v>0</v>
      </c>
      <c r="AM318" s="2163"/>
      <c r="AN318" s="2163">
        <f>+AN20</f>
        <v>0</v>
      </c>
      <c r="AO318" s="3455"/>
      <c r="AP318" s="3455">
        <f>+AP20</f>
        <v>0</v>
      </c>
      <c r="AQ318" s="2163"/>
      <c r="AR318" s="2163">
        <f>+AR20</f>
        <v>0</v>
      </c>
      <c r="AS318" s="2163"/>
      <c r="AT318" s="517">
        <f t="shared" si="400"/>
        <v>0</v>
      </c>
      <c r="AU318" s="2163"/>
      <c r="AV318" s="2163">
        <f>+AV20</f>
        <v>0</v>
      </c>
      <c r="AW318" s="3455"/>
      <c r="AX318" s="517">
        <f t="shared" si="401"/>
        <v>0</v>
      </c>
      <c r="AY318" s="2163"/>
      <c r="AZ318" s="2163">
        <f>+AZ20</f>
        <v>0</v>
      </c>
      <c r="BA318" s="2163"/>
      <c r="BB318" s="2163">
        <f>+BB20</f>
        <v>0</v>
      </c>
      <c r="BC318" s="2163"/>
      <c r="BD318" s="2163">
        <f t="shared" si="402"/>
        <v>0</v>
      </c>
      <c r="BE318" s="3455"/>
      <c r="BF318" s="517">
        <f t="shared" si="414"/>
        <v>0</v>
      </c>
      <c r="BG318" s="1726"/>
      <c r="BH318" s="1726"/>
      <c r="BI318" s="1726"/>
      <c r="BJ318" s="1726"/>
      <c r="BK318" s="1726"/>
      <c r="BL318" s="1726"/>
      <c r="BM318" s="1726"/>
      <c r="BN318" s="1726"/>
      <c r="BO318" s="1726"/>
      <c r="BP318" s="1726"/>
      <c r="BQ318" s="1726"/>
      <c r="BR318" s="1726"/>
      <c r="BS318" s="1726"/>
      <c r="BT318" s="1726"/>
      <c r="BU318" s="1726"/>
      <c r="BV318" s="1726"/>
      <c r="BW318" s="1726"/>
      <c r="BX318" s="1726"/>
      <c r="BY318" s="1726"/>
      <c r="BZ318" s="1726"/>
      <c r="CA318" s="1726"/>
      <c r="CB318" s="1726"/>
      <c r="CC318" s="1726"/>
    </row>
    <row r="319" spans="1:81" s="334" customFormat="1" ht="19.5" thickBot="1" x14ac:dyDescent="0.3">
      <c r="B319" s="2164" t="s">
        <v>135</v>
      </c>
      <c r="C319" s="2165" t="s">
        <v>53</v>
      </c>
      <c r="D319" s="2117">
        <f>+D58</f>
        <v>450000</v>
      </c>
      <c r="E319" s="2147">
        <f>+E24</f>
        <v>10000</v>
      </c>
      <c r="F319" s="632">
        <f>SUM(F269:F318)</f>
        <v>9066.34</v>
      </c>
      <c r="G319" s="2147">
        <f>+G24</f>
        <v>0</v>
      </c>
      <c r="H319" s="632">
        <f>SUM(H269:H318)</f>
        <v>2525.46</v>
      </c>
      <c r="I319" s="2147">
        <f>+I24</f>
        <v>10000</v>
      </c>
      <c r="J319" s="632">
        <f>SUM(J269:J318)</f>
        <v>11591.8</v>
      </c>
      <c r="K319" s="2147">
        <f>+K24</f>
        <v>40000</v>
      </c>
      <c r="L319" s="632">
        <f>SUM(L269:L318)</f>
        <v>7751.2100000000009</v>
      </c>
      <c r="M319" s="2147">
        <f>+M24</f>
        <v>50000</v>
      </c>
      <c r="N319" s="632">
        <f>SUM(N269:N318)</f>
        <v>19343.010000000002</v>
      </c>
      <c r="O319" s="2147">
        <f>+O24</f>
        <v>40000</v>
      </c>
      <c r="P319" s="632">
        <f>SUM(P269:P318)</f>
        <v>22732.899999999994</v>
      </c>
      <c r="Q319" s="2147">
        <f>+Q24</f>
        <v>90000</v>
      </c>
      <c r="R319" s="632">
        <f>SUM(R269:R318)</f>
        <v>42075.91</v>
      </c>
      <c r="S319" s="2147">
        <f>+S24</f>
        <v>45000</v>
      </c>
      <c r="T319" s="632">
        <f>SUM(T269:T318)</f>
        <v>19016.82</v>
      </c>
      <c r="U319" s="2147">
        <f>+U24</f>
        <v>135000</v>
      </c>
      <c r="V319" s="632">
        <f>SUM(V269:V318)</f>
        <v>61092.729999999996</v>
      </c>
      <c r="W319" s="2147">
        <f>+W24</f>
        <v>45000</v>
      </c>
      <c r="X319" s="632">
        <f>SUM(X269:X318)</f>
        <v>9271.7000000000007</v>
      </c>
      <c r="Y319" s="2147">
        <f>+Y24</f>
        <v>130000</v>
      </c>
      <c r="Z319" s="632">
        <f>SUM(Z269:Z318)</f>
        <v>51021.42</v>
      </c>
      <c r="AA319" s="2147">
        <f>+AA24</f>
        <v>180000</v>
      </c>
      <c r="AB319" s="632">
        <f>SUM(AB269:AB318)</f>
        <v>70364.429999999993</v>
      </c>
      <c r="AC319" s="2147">
        <f>+AC24</f>
        <v>45000</v>
      </c>
      <c r="AD319" s="632">
        <f>SUM(AD269:AD318)</f>
        <v>21321.119999999999</v>
      </c>
      <c r="AE319" s="2147">
        <f>+AE24</f>
        <v>225000</v>
      </c>
      <c r="AF319" s="632">
        <f>SUM(AF269:AF318)</f>
        <v>91685.55</v>
      </c>
      <c r="AG319" s="2147">
        <f>+AG24</f>
        <v>45000</v>
      </c>
      <c r="AH319" s="632">
        <f>SUM(AH269:AH318)</f>
        <v>21142.22</v>
      </c>
      <c r="AI319" s="2147">
        <f>+AI24</f>
        <v>270000</v>
      </c>
      <c r="AJ319" s="632">
        <f>SUM(AJ269:AJ318)</f>
        <v>112827.76999999999</v>
      </c>
      <c r="AK319" s="2147">
        <f>+AK24</f>
        <v>45000</v>
      </c>
      <c r="AL319" s="632">
        <f>SUM(AL269:AL318)</f>
        <v>28432.320000000003</v>
      </c>
      <c r="AM319" s="2147">
        <f>+AM24</f>
        <v>135000</v>
      </c>
      <c r="AN319" s="632">
        <f>SUM(AN269:AN318)</f>
        <v>70895.66</v>
      </c>
      <c r="AO319" s="2147">
        <f>+AO24</f>
        <v>315000</v>
      </c>
      <c r="AP319" s="632">
        <f>SUM(AP269:AP318)</f>
        <v>141260.09</v>
      </c>
      <c r="AQ319" s="2147">
        <f>+AQ24</f>
        <v>45000</v>
      </c>
      <c r="AR319" s="632">
        <f>SUM(AR269:AR318)</f>
        <v>20928.530000000002</v>
      </c>
      <c r="AS319" s="2147">
        <f>+AS24</f>
        <v>360000</v>
      </c>
      <c r="AT319" s="632">
        <f>SUM(AT269:AT318)</f>
        <v>162188.62</v>
      </c>
      <c r="AU319" s="2147">
        <f>+AU24</f>
        <v>45000</v>
      </c>
      <c r="AV319" s="632">
        <f>SUM(AV269:AV318)</f>
        <v>23604.029999999995</v>
      </c>
      <c r="AW319" s="2147">
        <f>+AW24</f>
        <v>405000</v>
      </c>
      <c r="AX319" s="632">
        <f>SUM(AX269:AX318)</f>
        <v>185792.64999999997</v>
      </c>
      <c r="AY319" s="2147">
        <f>+AY24</f>
        <v>45000</v>
      </c>
      <c r="AZ319" s="632">
        <f>SUM(AZ269:AZ318)</f>
        <v>28526.890000000003</v>
      </c>
      <c r="BA319" s="2147">
        <f>+BA24</f>
        <v>135000</v>
      </c>
      <c r="BB319" s="632">
        <f>SUM(BB269:BB318)</f>
        <v>73059.450000000012</v>
      </c>
      <c r="BC319" s="2147">
        <f>+BC24</f>
        <v>270000</v>
      </c>
      <c r="BD319" s="632">
        <f>SUM(BD269:BD318)</f>
        <v>143955.10999999999</v>
      </c>
      <c r="BE319" s="2147">
        <f>+BE24</f>
        <v>450000</v>
      </c>
      <c r="BF319" s="632">
        <f>SUM(BF269:BF318)</f>
        <v>214319.54000000004</v>
      </c>
      <c r="BG319" s="1726"/>
      <c r="BH319" s="1726"/>
      <c r="BI319" s="1726"/>
      <c r="BJ319" s="1726"/>
      <c r="BK319" s="1726"/>
      <c r="BL319" s="1726"/>
      <c r="BM319" s="1726"/>
      <c r="BN319" s="1726"/>
      <c r="BO319" s="1726"/>
      <c r="BP319" s="1726"/>
      <c r="BQ319" s="1726"/>
      <c r="BR319" s="1726"/>
      <c r="BS319" s="1726"/>
      <c r="BT319" s="1726"/>
      <c r="BU319" s="1726"/>
      <c r="BV319" s="1726"/>
      <c r="BW319" s="1726"/>
      <c r="BX319" s="1726"/>
      <c r="BY319" s="1726"/>
      <c r="BZ319" s="1726"/>
      <c r="CA319" s="1726"/>
      <c r="CB319" s="1726"/>
      <c r="CC319" s="1726"/>
    </row>
    <row r="320" spans="1:81" s="334" customFormat="1" ht="18.75" x14ac:dyDescent="0.3">
      <c r="B320" s="2119" t="s">
        <v>814</v>
      </c>
      <c r="C320" s="2120"/>
      <c r="D320" s="2121"/>
      <c r="E320" s="2122"/>
      <c r="F320" s="728"/>
      <c r="G320" s="2123"/>
      <c r="H320" s="728"/>
      <c r="I320" s="608"/>
      <c r="J320" s="728"/>
      <c r="K320" s="608"/>
      <c r="L320" s="728"/>
      <c r="M320" s="608"/>
      <c r="N320" s="728"/>
      <c r="O320" s="608"/>
      <c r="P320" s="728"/>
      <c r="Q320" s="608"/>
      <c r="R320" s="1001"/>
      <c r="S320" s="608"/>
      <c r="T320" s="728"/>
      <c r="U320" s="608"/>
      <c r="V320" s="1001"/>
      <c r="W320" s="608"/>
      <c r="X320" s="728"/>
      <c r="Y320" s="608"/>
      <c r="Z320" s="728"/>
      <c r="AA320" s="608"/>
      <c r="AB320" s="728"/>
      <c r="AC320" s="608"/>
      <c r="AD320" s="728"/>
      <c r="AE320" s="608"/>
      <c r="AF320" s="1001"/>
      <c r="AG320" s="608"/>
      <c r="AH320" s="728"/>
      <c r="AI320" s="608"/>
      <c r="AJ320" s="1001"/>
      <c r="AK320" s="608"/>
      <c r="AL320" s="728"/>
      <c r="AM320" s="608"/>
      <c r="AN320" s="728"/>
      <c r="AO320" s="3450"/>
      <c r="AP320" s="3451"/>
      <c r="AQ320" s="608"/>
      <c r="AR320" s="728"/>
      <c r="AS320" s="608"/>
      <c r="AT320" s="728"/>
      <c r="AU320" s="608"/>
      <c r="AV320" s="728"/>
      <c r="AW320" s="608"/>
      <c r="AX320" s="728"/>
      <c r="AY320" s="608"/>
      <c r="AZ320" s="728"/>
      <c r="BA320" s="608"/>
      <c r="BB320" s="728"/>
      <c r="BC320" s="608"/>
      <c r="BD320" s="728"/>
      <c r="BE320" s="608"/>
      <c r="BF320" s="728"/>
      <c r="BG320" s="1726"/>
      <c r="BH320" s="1726"/>
      <c r="BI320" s="1726"/>
      <c r="BJ320" s="1726"/>
      <c r="BK320" s="1726"/>
      <c r="BL320" s="1726"/>
      <c r="BM320" s="1726"/>
      <c r="BN320" s="1726"/>
      <c r="BO320" s="1726"/>
      <c r="BP320" s="1726"/>
      <c r="BQ320" s="1726"/>
      <c r="BR320" s="1726"/>
      <c r="BS320" s="1726"/>
      <c r="BT320" s="1726"/>
      <c r="BU320" s="1726"/>
      <c r="BV320" s="1726"/>
      <c r="BW320" s="1726"/>
      <c r="BX320" s="1726"/>
      <c r="BY320" s="1726"/>
      <c r="BZ320" s="1726"/>
      <c r="CA320" s="1726"/>
      <c r="CB320" s="1726"/>
      <c r="CC320" s="1726"/>
    </row>
    <row r="321" spans="2:81" s="334" customFormat="1" ht="18.75" x14ac:dyDescent="0.25">
      <c r="B321" s="615" t="s">
        <v>1828</v>
      </c>
      <c r="C321" s="2058" t="s">
        <v>53</v>
      </c>
      <c r="D321" s="2070"/>
      <c r="E321" s="5042"/>
      <c r="F321" s="508"/>
      <c r="G321" s="5044">
        <v>0</v>
      </c>
      <c r="H321" s="511">
        <v>67.739999999999995</v>
      </c>
      <c r="I321" s="4951">
        <f>+G321+E321</f>
        <v>0</v>
      </c>
      <c r="J321" s="517">
        <f>+F321+H321</f>
        <v>67.739999999999995</v>
      </c>
      <c r="K321" s="5005">
        <v>1000</v>
      </c>
      <c r="L321" s="508"/>
      <c r="M321" s="4976">
        <f>+K321+I321</f>
        <v>1000</v>
      </c>
      <c r="N321" s="611">
        <f>+J321+L321</f>
        <v>67.739999999999995</v>
      </c>
      <c r="O321" s="5005">
        <v>1000</v>
      </c>
      <c r="P321" s="508">
        <v>31.77</v>
      </c>
      <c r="Q321" s="4951">
        <f>+O321+M321</f>
        <v>2000</v>
      </c>
      <c r="R321" s="3928">
        <f t="shared" si="418"/>
        <v>99.509999999999991</v>
      </c>
      <c r="S321" s="5005">
        <v>1000</v>
      </c>
      <c r="T321" s="508">
        <v>0</v>
      </c>
      <c r="U321" s="4951">
        <f>+S321+Q321</f>
        <v>3000</v>
      </c>
      <c r="V321" s="3928">
        <f t="shared" ref="V321:V331" si="421">+R321+T321</f>
        <v>99.509999999999991</v>
      </c>
      <c r="W321" s="5005">
        <v>1000</v>
      </c>
      <c r="X321" s="508">
        <v>553.02</v>
      </c>
      <c r="Y321" s="4976">
        <f>+W321+S321+O321</f>
        <v>3000</v>
      </c>
      <c r="Z321" s="3931">
        <f t="shared" ref="Z321:Z331" si="422">P321+T321+X321</f>
        <v>584.79</v>
      </c>
      <c r="AA321" s="4974">
        <f>+W321+U321</f>
        <v>4000</v>
      </c>
      <c r="AB321" s="1287">
        <f>+V321+X321</f>
        <v>652.53</v>
      </c>
      <c r="AC321" s="5005">
        <v>1000</v>
      </c>
      <c r="AD321" s="508">
        <v>99.509999999999991</v>
      </c>
      <c r="AE321" s="4951">
        <f>+AC321+AA321</f>
        <v>5000</v>
      </c>
      <c r="AF321" s="3928">
        <f t="shared" ref="AF321:AF331" si="423">+AB321+AD321</f>
        <v>752.04</v>
      </c>
      <c r="AG321" s="5005">
        <v>1000</v>
      </c>
      <c r="AH321" s="508">
        <v>32.549999999999997</v>
      </c>
      <c r="AI321" s="4951">
        <f>+AG321+AE321</f>
        <v>6000</v>
      </c>
      <c r="AJ321" s="3928">
        <f t="shared" ref="AJ321:AJ331" si="424">+AF321+AH321</f>
        <v>784.58999999999992</v>
      </c>
      <c r="AK321" s="5005">
        <v>1000</v>
      </c>
      <c r="AL321" s="508">
        <v>123.28999999999999</v>
      </c>
      <c r="AM321" s="4976">
        <f>+AK321+AG321+AC321</f>
        <v>3000</v>
      </c>
      <c r="AN321" s="3931">
        <f t="shared" ref="AN321:AN331" si="425">AD321+AH321+AL321</f>
        <v>255.35</v>
      </c>
      <c r="AO321" s="4951">
        <f>+AK321+AI321</f>
        <v>7000</v>
      </c>
      <c r="AP321" s="517">
        <f>+AJ321+AL321</f>
        <v>907.87999999999988</v>
      </c>
      <c r="AQ321" s="5005">
        <v>1000</v>
      </c>
      <c r="AR321" s="508">
        <v>0</v>
      </c>
      <c r="AS321" s="4951">
        <f>+AQ321+AO321</f>
        <v>8000</v>
      </c>
      <c r="AT321" s="517">
        <f t="shared" ref="AT321:AT331" si="426">+AP321+AR321</f>
        <v>907.87999999999988</v>
      </c>
      <c r="AU321" s="5005">
        <v>1000</v>
      </c>
      <c r="AV321" s="508">
        <v>118.76</v>
      </c>
      <c r="AW321" s="4951">
        <f>+AU321+AS321</f>
        <v>9000</v>
      </c>
      <c r="AX321" s="517">
        <f t="shared" ref="AX321:AX331" si="427">+AT321+AV321</f>
        <v>1026.6399999999999</v>
      </c>
      <c r="AY321" s="5005">
        <v>1000</v>
      </c>
      <c r="AZ321" s="508">
        <v>81</v>
      </c>
      <c r="BA321" s="4976">
        <f>+AY321+AU321+AQ321</f>
        <v>3000</v>
      </c>
      <c r="BB321" s="4135">
        <f>AR321+AV321+AZ321</f>
        <v>199.76</v>
      </c>
      <c r="BC321" s="4974">
        <f t="shared" ref="BC321:BC332" si="428">+BA321+AM321</f>
        <v>6000</v>
      </c>
      <c r="BD321" s="1287">
        <f t="shared" si="402"/>
        <v>455.11</v>
      </c>
      <c r="BE321" s="4951">
        <f>+AY321+AW321</f>
        <v>10000</v>
      </c>
      <c r="BF321" s="517">
        <f t="shared" ref="BF321:BF331" si="429">+AX321+AZ321</f>
        <v>1107.6399999999999</v>
      </c>
      <c r="BG321" s="1726"/>
      <c r="BH321" s="1726"/>
      <c r="BI321" s="1726"/>
      <c r="BJ321" s="1726"/>
      <c r="BK321" s="1726"/>
      <c r="BL321" s="1726"/>
      <c r="BM321" s="1726"/>
      <c r="BN321" s="1726"/>
      <c r="BO321" s="1726"/>
      <c r="BP321" s="1726"/>
      <c r="BQ321" s="1726"/>
      <c r="BR321" s="1726"/>
      <c r="BS321" s="1726"/>
      <c r="BT321" s="1726"/>
      <c r="BU321" s="1726"/>
      <c r="BV321" s="1726"/>
      <c r="BW321" s="1726"/>
      <c r="BX321" s="1726"/>
      <c r="BY321" s="1726"/>
      <c r="BZ321" s="1726"/>
      <c r="CA321" s="1726"/>
      <c r="CB321" s="1726"/>
      <c r="CC321" s="1726"/>
    </row>
    <row r="322" spans="2:81" s="334" customFormat="1" ht="18.75" x14ac:dyDescent="0.25">
      <c r="B322" s="615" t="s">
        <v>1829</v>
      </c>
      <c r="C322" s="2058" t="s">
        <v>53</v>
      </c>
      <c r="D322" s="2070"/>
      <c r="E322" s="5042"/>
      <c r="F322" s="508"/>
      <c r="G322" s="5045"/>
      <c r="H322" s="511"/>
      <c r="I322" s="4951"/>
      <c r="J322" s="517"/>
      <c r="K322" s="5005"/>
      <c r="L322" s="508"/>
      <c r="M322" s="4976"/>
      <c r="N322" s="611"/>
      <c r="O322" s="5005"/>
      <c r="P322" s="508"/>
      <c r="Q322" s="4951"/>
      <c r="R322" s="4036"/>
      <c r="S322" s="5005"/>
      <c r="T322" s="508"/>
      <c r="U322" s="4951"/>
      <c r="V322" s="4036"/>
      <c r="W322" s="5005"/>
      <c r="X322" s="508"/>
      <c r="Y322" s="4976"/>
      <c r="Z322" s="4035"/>
      <c r="AA322" s="4974"/>
      <c r="AB322" s="1287"/>
      <c r="AC322" s="5005"/>
      <c r="AD322" s="508"/>
      <c r="AE322" s="4951"/>
      <c r="AF322" s="4036"/>
      <c r="AG322" s="5005"/>
      <c r="AH322" s="508"/>
      <c r="AI322" s="4951"/>
      <c r="AJ322" s="4036"/>
      <c r="AK322" s="5005"/>
      <c r="AL322" s="508"/>
      <c r="AM322" s="4976"/>
      <c r="AN322" s="4035"/>
      <c r="AO322" s="4951"/>
      <c r="AP322" s="517"/>
      <c r="AQ322" s="5005"/>
      <c r="AR322" s="508"/>
      <c r="AS322" s="4951"/>
      <c r="AT322" s="517"/>
      <c r="AU322" s="5005"/>
      <c r="AV322" s="508">
        <v>40.19</v>
      </c>
      <c r="AW322" s="4951"/>
      <c r="AX322" s="517">
        <f t="shared" si="427"/>
        <v>40.19</v>
      </c>
      <c r="AY322" s="5005"/>
      <c r="AZ322" s="508">
        <v>119</v>
      </c>
      <c r="BA322" s="4976"/>
      <c r="BB322" s="4540">
        <f t="shared" ref="BB322:BB331" si="430">AR322+AV322+AZ322</f>
        <v>159.19</v>
      </c>
      <c r="BC322" s="4974"/>
      <c r="BD322" s="1287">
        <f t="shared" si="402"/>
        <v>159.19</v>
      </c>
      <c r="BE322" s="4951"/>
      <c r="BF322" s="517">
        <f t="shared" si="429"/>
        <v>159.19</v>
      </c>
      <c r="BG322" s="1726"/>
      <c r="BH322" s="1726"/>
      <c r="BI322" s="1726"/>
      <c r="BJ322" s="1726"/>
      <c r="BK322" s="1726"/>
      <c r="BL322" s="1726"/>
      <c r="BM322" s="1726"/>
      <c r="BN322" s="1726"/>
      <c r="BO322" s="1726"/>
      <c r="BP322" s="1726"/>
      <c r="BQ322" s="1726"/>
      <c r="BR322" s="1726"/>
      <c r="BS322" s="1726"/>
      <c r="BT322" s="1726"/>
      <c r="BU322" s="1726"/>
      <c r="BV322" s="1726"/>
      <c r="BW322" s="1726"/>
      <c r="BX322" s="1726"/>
      <c r="BY322" s="1726"/>
      <c r="BZ322" s="1726"/>
      <c r="CA322" s="1726"/>
      <c r="CB322" s="1726"/>
      <c r="CC322" s="1726"/>
    </row>
    <row r="323" spans="2:81" s="334" customFormat="1" ht="18.75" x14ac:dyDescent="0.25">
      <c r="B323" s="615" t="s">
        <v>1827</v>
      </c>
      <c r="C323" s="2058" t="s">
        <v>53</v>
      </c>
      <c r="D323" s="2070"/>
      <c r="E323" s="5042"/>
      <c r="F323" s="508"/>
      <c r="G323" s="5045"/>
      <c r="H323" s="511"/>
      <c r="I323" s="4951"/>
      <c r="J323" s="517"/>
      <c r="K323" s="5005"/>
      <c r="L323" s="508"/>
      <c r="M323" s="4976"/>
      <c r="N323" s="611"/>
      <c r="O323" s="5005"/>
      <c r="P323" s="508"/>
      <c r="Q323" s="4951"/>
      <c r="R323" s="4036"/>
      <c r="S323" s="5005"/>
      <c r="T323" s="508"/>
      <c r="U323" s="4951"/>
      <c r="V323" s="4036"/>
      <c r="W323" s="5005"/>
      <c r="X323" s="508"/>
      <c r="Y323" s="4976"/>
      <c r="Z323" s="4035"/>
      <c r="AA323" s="4974"/>
      <c r="AB323" s="1287"/>
      <c r="AC323" s="5005"/>
      <c r="AD323" s="508"/>
      <c r="AE323" s="4951"/>
      <c r="AF323" s="4036"/>
      <c r="AG323" s="5005"/>
      <c r="AH323" s="508"/>
      <c r="AI323" s="4951"/>
      <c r="AJ323" s="4036"/>
      <c r="AK323" s="5005"/>
      <c r="AL323" s="508"/>
      <c r="AM323" s="4976"/>
      <c r="AN323" s="4035"/>
      <c r="AO323" s="4951"/>
      <c r="AP323" s="517"/>
      <c r="AQ323" s="5005"/>
      <c r="AR323" s="508"/>
      <c r="AS323" s="4951"/>
      <c r="AT323" s="517"/>
      <c r="AU323" s="5005"/>
      <c r="AV323" s="508">
        <v>242.03</v>
      </c>
      <c r="AW323" s="4951"/>
      <c r="AX323" s="517">
        <f t="shared" si="427"/>
        <v>242.03</v>
      </c>
      <c r="AY323" s="5005"/>
      <c r="AZ323" s="508"/>
      <c r="BA323" s="4976"/>
      <c r="BB323" s="4540">
        <f t="shared" si="430"/>
        <v>242.03</v>
      </c>
      <c r="BC323" s="4974"/>
      <c r="BD323" s="1287">
        <f t="shared" si="402"/>
        <v>242.03</v>
      </c>
      <c r="BE323" s="4951"/>
      <c r="BF323" s="517">
        <f t="shared" si="429"/>
        <v>242.03</v>
      </c>
      <c r="BG323" s="1726"/>
      <c r="BH323" s="1726"/>
      <c r="BI323" s="1726"/>
      <c r="BJ323" s="1726"/>
      <c r="BK323" s="1726"/>
      <c r="BL323" s="1726"/>
      <c r="BM323" s="1726"/>
      <c r="BN323" s="1726"/>
      <c r="BO323" s="1726"/>
      <c r="BP323" s="1726"/>
      <c r="BQ323" s="1726"/>
      <c r="BR323" s="1726"/>
      <c r="BS323" s="1726"/>
      <c r="BT323" s="1726"/>
      <c r="BU323" s="1726"/>
      <c r="BV323" s="1726"/>
      <c r="BW323" s="1726"/>
      <c r="BX323" s="1726"/>
      <c r="BY323" s="1726"/>
      <c r="BZ323" s="1726"/>
      <c r="CA323" s="1726"/>
      <c r="CB323" s="1726"/>
      <c r="CC323" s="1726"/>
    </row>
    <row r="324" spans="2:81" s="334" customFormat="1" ht="18.75" x14ac:dyDescent="0.25">
      <c r="B324" s="615" t="s">
        <v>1391</v>
      </c>
      <c r="C324" s="2058" t="s">
        <v>53</v>
      </c>
      <c r="D324" s="2070"/>
      <c r="E324" s="5042"/>
      <c r="F324" s="508"/>
      <c r="G324" s="5045"/>
      <c r="H324" s="511">
        <v>64.94</v>
      </c>
      <c r="I324" s="4951"/>
      <c r="J324" s="517">
        <f>+F324+H324</f>
        <v>64.94</v>
      </c>
      <c r="K324" s="5005"/>
      <c r="L324" s="508"/>
      <c r="M324" s="4976"/>
      <c r="N324" s="611">
        <f t="shared" ref="N324:N331" si="431">+J324+L324</f>
        <v>64.94</v>
      </c>
      <c r="O324" s="5005"/>
      <c r="P324" s="508">
        <v>0</v>
      </c>
      <c r="Q324" s="4951"/>
      <c r="R324" s="3928">
        <f t="shared" si="418"/>
        <v>64.94</v>
      </c>
      <c r="S324" s="5005"/>
      <c r="T324" s="508">
        <v>0</v>
      </c>
      <c r="U324" s="4951"/>
      <c r="V324" s="3928">
        <f t="shared" si="421"/>
        <v>64.94</v>
      </c>
      <c r="W324" s="5005"/>
      <c r="X324" s="508">
        <v>184.34</v>
      </c>
      <c r="Y324" s="4976"/>
      <c r="Z324" s="3931">
        <f t="shared" si="422"/>
        <v>184.34</v>
      </c>
      <c r="AA324" s="4974"/>
      <c r="AB324" s="1287">
        <f t="shared" ref="AB324:AB331" si="432">+V324+X324</f>
        <v>249.28</v>
      </c>
      <c r="AC324" s="5005"/>
      <c r="AD324" s="508">
        <v>0</v>
      </c>
      <c r="AE324" s="4951"/>
      <c r="AF324" s="3928">
        <f t="shared" si="423"/>
        <v>249.28</v>
      </c>
      <c r="AG324" s="5005"/>
      <c r="AH324" s="508">
        <v>65.039999999999992</v>
      </c>
      <c r="AI324" s="4951"/>
      <c r="AJ324" s="3928">
        <f t="shared" si="424"/>
        <v>314.32</v>
      </c>
      <c r="AK324" s="5005"/>
      <c r="AL324" s="508">
        <v>89.71</v>
      </c>
      <c r="AM324" s="4976"/>
      <c r="AN324" s="3931">
        <f t="shared" si="425"/>
        <v>154.75</v>
      </c>
      <c r="AO324" s="4951"/>
      <c r="AP324" s="517">
        <f t="shared" ref="AP324:AP331" si="433">+AJ324+AL324</f>
        <v>404.03</v>
      </c>
      <c r="AQ324" s="5005"/>
      <c r="AR324" s="508">
        <v>0</v>
      </c>
      <c r="AS324" s="4951"/>
      <c r="AT324" s="517">
        <f t="shared" si="426"/>
        <v>404.03</v>
      </c>
      <c r="AU324" s="5005"/>
      <c r="AV324" s="508">
        <v>30.37</v>
      </c>
      <c r="AW324" s="4951"/>
      <c r="AX324" s="517">
        <f t="shared" si="427"/>
        <v>434.4</v>
      </c>
      <c r="AY324" s="5005"/>
      <c r="AZ324" s="508"/>
      <c r="BA324" s="4976"/>
      <c r="BB324" s="4540">
        <f t="shared" si="430"/>
        <v>30.37</v>
      </c>
      <c r="BC324" s="4974">
        <f t="shared" si="428"/>
        <v>0</v>
      </c>
      <c r="BD324" s="1287">
        <f t="shared" si="402"/>
        <v>185.12</v>
      </c>
      <c r="BE324" s="4951"/>
      <c r="BF324" s="517">
        <f t="shared" si="429"/>
        <v>434.4</v>
      </c>
      <c r="BG324" s="1726"/>
      <c r="BH324" s="1726"/>
      <c r="BI324" s="1726"/>
      <c r="BJ324" s="1726"/>
      <c r="BK324" s="1726"/>
      <c r="BL324" s="1726"/>
      <c r="BM324" s="1726"/>
      <c r="BN324" s="1726"/>
      <c r="BO324" s="1726"/>
      <c r="BP324" s="1726"/>
      <c r="BQ324" s="1726"/>
      <c r="BR324" s="1726"/>
      <c r="BS324" s="1726"/>
      <c r="BT324" s="1726"/>
      <c r="BU324" s="1726"/>
      <c r="BV324" s="1726"/>
      <c r="BW324" s="1726"/>
      <c r="BX324" s="1726"/>
      <c r="BY324" s="1726"/>
      <c r="BZ324" s="1726"/>
      <c r="CA324" s="1726"/>
      <c r="CB324" s="1726"/>
      <c r="CC324" s="1726"/>
    </row>
    <row r="325" spans="2:81" s="334" customFormat="1" ht="18.75" x14ac:dyDescent="0.25">
      <c r="B325" s="615" t="s">
        <v>1784</v>
      </c>
      <c r="C325" s="2058" t="s">
        <v>53</v>
      </c>
      <c r="D325" s="2070"/>
      <c r="E325" s="5042"/>
      <c r="F325" s="508"/>
      <c r="G325" s="5045"/>
      <c r="H325" s="511"/>
      <c r="I325" s="4951"/>
      <c r="J325" s="517"/>
      <c r="K325" s="5005"/>
      <c r="L325" s="508"/>
      <c r="M325" s="4976"/>
      <c r="N325" s="611"/>
      <c r="O325" s="5005"/>
      <c r="P325" s="508"/>
      <c r="Q325" s="4951"/>
      <c r="R325" s="3928"/>
      <c r="S325" s="5005"/>
      <c r="T325" s="508"/>
      <c r="U325" s="4951"/>
      <c r="V325" s="3928"/>
      <c r="W325" s="5005"/>
      <c r="X325" s="508"/>
      <c r="Y325" s="4976"/>
      <c r="Z325" s="3931"/>
      <c r="AA325" s="4974"/>
      <c r="AB325" s="1287"/>
      <c r="AC325" s="5005"/>
      <c r="AD325" s="508"/>
      <c r="AE325" s="4951"/>
      <c r="AF325" s="3928"/>
      <c r="AG325" s="5005"/>
      <c r="AH325" s="508"/>
      <c r="AI325" s="4951"/>
      <c r="AJ325" s="3928"/>
      <c r="AK325" s="5005"/>
      <c r="AL325" s="508"/>
      <c r="AM325" s="4976"/>
      <c r="AN325" s="3931"/>
      <c r="AO325" s="4951"/>
      <c r="AP325" s="517"/>
      <c r="AQ325" s="5005"/>
      <c r="AR325" s="508">
        <v>186.56</v>
      </c>
      <c r="AS325" s="4951"/>
      <c r="AT325" s="517">
        <f t="shared" si="426"/>
        <v>186.56</v>
      </c>
      <c r="AU325" s="5005"/>
      <c r="AV325" s="508"/>
      <c r="AW325" s="4951"/>
      <c r="AX325" s="517">
        <f t="shared" si="427"/>
        <v>186.56</v>
      </c>
      <c r="AY325" s="5005"/>
      <c r="AZ325" s="508">
        <v>160</v>
      </c>
      <c r="BA325" s="4976"/>
      <c r="BB325" s="4540">
        <f t="shared" si="430"/>
        <v>346.56</v>
      </c>
      <c r="BC325" s="4974"/>
      <c r="BD325" s="1287">
        <f t="shared" si="402"/>
        <v>346.56</v>
      </c>
      <c r="BE325" s="4951"/>
      <c r="BF325" s="517">
        <f t="shared" si="429"/>
        <v>346.56</v>
      </c>
      <c r="BG325" s="1726"/>
      <c r="BH325" s="1726"/>
      <c r="BI325" s="1726"/>
      <c r="BJ325" s="1726"/>
      <c r="BK325" s="1726"/>
      <c r="BL325" s="1726"/>
      <c r="BM325" s="1726"/>
      <c r="BN325" s="1726"/>
      <c r="BO325" s="1726"/>
      <c r="BP325" s="1726"/>
      <c r="BQ325" s="1726"/>
      <c r="BR325" s="1726"/>
      <c r="BS325" s="1726"/>
      <c r="BT325" s="1726"/>
      <c r="BU325" s="1726"/>
      <c r="BV325" s="1726"/>
      <c r="BW325" s="1726"/>
      <c r="BX325" s="1726"/>
      <c r="BY325" s="1726"/>
      <c r="BZ325" s="1726"/>
      <c r="CA325" s="1726"/>
      <c r="CB325" s="1726"/>
      <c r="CC325" s="1726"/>
    </row>
    <row r="326" spans="2:81" s="334" customFormat="1" ht="18.75" x14ac:dyDescent="0.25">
      <c r="B326" s="615" t="s">
        <v>1392</v>
      </c>
      <c r="C326" s="2058" t="s">
        <v>53</v>
      </c>
      <c r="D326" s="2070"/>
      <c r="E326" s="5042"/>
      <c r="F326" s="508"/>
      <c r="G326" s="5045"/>
      <c r="H326" s="511">
        <v>54.11</v>
      </c>
      <c r="I326" s="4951"/>
      <c r="J326" s="517">
        <f t="shared" ref="J326:J331" si="434">+F326+H326</f>
        <v>54.11</v>
      </c>
      <c r="K326" s="5005"/>
      <c r="L326" s="508"/>
      <c r="M326" s="4976"/>
      <c r="N326" s="611">
        <f t="shared" si="431"/>
        <v>54.11</v>
      </c>
      <c r="O326" s="5005"/>
      <c r="P326" s="508">
        <v>0</v>
      </c>
      <c r="Q326" s="4951"/>
      <c r="R326" s="3928">
        <f t="shared" si="418"/>
        <v>54.11</v>
      </c>
      <c r="S326" s="5005"/>
      <c r="T326" s="508">
        <v>0</v>
      </c>
      <c r="U326" s="4951"/>
      <c r="V326" s="3928">
        <f t="shared" si="421"/>
        <v>54.11</v>
      </c>
      <c r="W326" s="5005"/>
      <c r="X326" s="508"/>
      <c r="Y326" s="4976"/>
      <c r="Z326" s="3931">
        <f t="shared" si="422"/>
        <v>0</v>
      </c>
      <c r="AA326" s="4974"/>
      <c r="AB326" s="1287">
        <f t="shared" si="432"/>
        <v>54.11</v>
      </c>
      <c r="AC326" s="5005"/>
      <c r="AD326" s="508">
        <v>0</v>
      </c>
      <c r="AE326" s="4951"/>
      <c r="AF326" s="3928">
        <f t="shared" si="423"/>
        <v>54.11</v>
      </c>
      <c r="AG326" s="5005"/>
      <c r="AH326" s="508"/>
      <c r="AI326" s="4951"/>
      <c r="AJ326" s="3928">
        <f t="shared" si="424"/>
        <v>54.11</v>
      </c>
      <c r="AK326" s="5005"/>
      <c r="AL326" s="508">
        <v>0</v>
      </c>
      <c r="AM326" s="4976"/>
      <c r="AN326" s="3931">
        <f t="shared" si="425"/>
        <v>0</v>
      </c>
      <c r="AO326" s="4951"/>
      <c r="AP326" s="517">
        <f t="shared" si="433"/>
        <v>54.11</v>
      </c>
      <c r="AQ326" s="5005"/>
      <c r="AR326" s="508">
        <v>30.07</v>
      </c>
      <c r="AS326" s="4951"/>
      <c r="AT326" s="517">
        <f t="shared" si="426"/>
        <v>84.18</v>
      </c>
      <c r="AU326" s="5005"/>
      <c r="AV326" s="508"/>
      <c r="AW326" s="4951"/>
      <c r="AX326" s="517">
        <f t="shared" si="427"/>
        <v>84.18</v>
      </c>
      <c r="AY326" s="5005"/>
      <c r="AZ326" s="508"/>
      <c r="BA326" s="4976"/>
      <c r="BB326" s="4540">
        <f t="shared" si="430"/>
        <v>30.07</v>
      </c>
      <c r="BC326" s="4974">
        <f t="shared" si="428"/>
        <v>0</v>
      </c>
      <c r="BD326" s="1287">
        <f t="shared" si="402"/>
        <v>30.07</v>
      </c>
      <c r="BE326" s="4951"/>
      <c r="BF326" s="517">
        <f t="shared" si="429"/>
        <v>84.18</v>
      </c>
      <c r="BG326" s="1726"/>
      <c r="BH326" s="1726"/>
      <c r="BI326" s="1726"/>
      <c r="BJ326" s="1726"/>
      <c r="BK326" s="1726"/>
      <c r="BL326" s="1726"/>
      <c r="BM326" s="1726"/>
      <c r="BN326" s="1726"/>
      <c r="BO326" s="1726"/>
      <c r="BP326" s="1726"/>
      <c r="BQ326" s="1726"/>
      <c r="BR326" s="1726"/>
      <c r="BS326" s="1726"/>
      <c r="BT326" s="1726"/>
      <c r="BU326" s="1726"/>
      <c r="BV326" s="1726"/>
      <c r="BW326" s="1726"/>
      <c r="BX326" s="1726"/>
      <c r="BY326" s="1726"/>
      <c r="BZ326" s="1726"/>
      <c r="CA326" s="1726"/>
      <c r="CB326" s="1726"/>
      <c r="CC326" s="1726"/>
    </row>
    <row r="327" spans="2:81" s="334" customFormat="1" ht="18.75" x14ac:dyDescent="0.25">
      <c r="B327" s="615" t="s">
        <v>1411</v>
      </c>
      <c r="C327" s="2058" t="s">
        <v>53</v>
      </c>
      <c r="D327" s="2070"/>
      <c r="E327" s="5042"/>
      <c r="F327" s="508"/>
      <c r="G327" s="5045"/>
      <c r="H327" s="511"/>
      <c r="I327" s="4951"/>
      <c r="J327" s="517"/>
      <c r="K327" s="5005"/>
      <c r="L327" s="508">
        <v>62.650000000000006</v>
      </c>
      <c r="M327" s="4976"/>
      <c r="N327" s="611">
        <f t="shared" si="431"/>
        <v>62.650000000000006</v>
      </c>
      <c r="O327" s="5005"/>
      <c r="P327" s="508">
        <v>185.04</v>
      </c>
      <c r="Q327" s="4951"/>
      <c r="R327" s="3928">
        <f t="shared" si="418"/>
        <v>247.69</v>
      </c>
      <c r="S327" s="5005"/>
      <c r="T327" s="508">
        <v>0</v>
      </c>
      <c r="U327" s="4951"/>
      <c r="V327" s="3928">
        <f t="shared" si="421"/>
        <v>247.69</v>
      </c>
      <c r="W327" s="5005"/>
      <c r="X327" s="508">
        <v>123.42</v>
      </c>
      <c r="Y327" s="4976"/>
      <c r="Z327" s="3931">
        <f t="shared" si="422"/>
        <v>308.45999999999998</v>
      </c>
      <c r="AA327" s="4974"/>
      <c r="AB327" s="1287">
        <f t="shared" si="432"/>
        <v>371.11</v>
      </c>
      <c r="AC327" s="5005"/>
      <c r="AD327" s="508">
        <v>0</v>
      </c>
      <c r="AE327" s="4951"/>
      <c r="AF327" s="3928">
        <f t="shared" si="423"/>
        <v>371.11</v>
      </c>
      <c r="AG327" s="5005"/>
      <c r="AH327" s="508"/>
      <c r="AI327" s="4951"/>
      <c r="AJ327" s="3928">
        <f t="shared" si="424"/>
        <v>371.11</v>
      </c>
      <c r="AK327" s="5005"/>
      <c r="AL327" s="508">
        <v>0</v>
      </c>
      <c r="AM327" s="4976"/>
      <c r="AN327" s="3931">
        <f t="shared" si="425"/>
        <v>0</v>
      </c>
      <c r="AO327" s="4951"/>
      <c r="AP327" s="517">
        <f t="shared" si="433"/>
        <v>371.11</v>
      </c>
      <c r="AQ327" s="5005"/>
      <c r="AR327" s="508"/>
      <c r="AS327" s="4951"/>
      <c r="AT327" s="517">
        <f t="shared" si="426"/>
        <v>371.11</v>
      </c>
      <c r="AU327" s="5005"/>
      <c r="AV327" s="508"/>
      <c r="AW327" s="4951"/>
      <c r="AX327" s="517">
        <f t="shared" si="427"/>
        <v>371.11</v>
      </c>
      <c r="AY327" s="5005"/>
      <c r="AZ327" s="508"/>
      <c r="BA327" s="4976"/>
      <c r="BB327" s="4540">
        <f t="shared" si="430"/>
        <v>0</v>
      </c>
      <c r="BC327" s="4974"/>
      <c r="BD327" s="1287">
        <f t="shared" si="402"/>
        <v>0</v>
      </c>
      <c r="BE327" s="4951"/>
      <c r="BF327" s="517">
        <f t="shared" si="429"/>
        <v>371.11</v>
      </c>
      <c r="BG327" s="1726"/>
      <c r="BH327" s="1726"/>
      <c r="BI327" s="1726"/>
      <c r="BJ327" s="1726"/>
      <c r="BK327" s="1726"/>
      <c r="BL327" s="1726"/>
      <c r="BM327" s="1726"/>
      <c r="BN327" s="1726"/>
      <c r="BO327" s="1726"/>
      <c r="BP327" s="1726"/>
      <c r="BQ327" s="1726"/>
      <c r="BR327" s="1726"/>
      <c r="BS327" s="1726"/>
      <c r="BT327" s="1726"/>
      <c r="BU327" s="1726"/>
      <c r="BV327" s="1726"/>
      <c r="BW327" s="1726"/>
      <c r="BX327" s="1726"/>
      <c r="BY327" s="1726"/>
      <c r="BZ327" s="1726"/>
      <c r="CA327" s="1726"/>
      <c r="CB327" s="1726"/>
      <c r="CC327" s="1726"/>
    </row>
    <row r="328" spans="2:81" s="334" customFormat="1" ht="18.75" x14ac:dyDescent="0.25">
      <c r="B328" s="615" t="s">
        <v>1720</v>
      </c>
      <c r="C328" s="2058" t="s">
        <v>53</v>
      </c>
      <c r="D328" s="2070"/>
      <c r="E328" s="5042"/>
      <c r="F328" s="508"/>
      <c r="G328" s="5045"/>
      <c r="H328" s="511"/>
      <c r="I328" s="4951"/>
      <c r="J328" s="517"/>
      <c r="K328" s="5005"/>
      <c r="L328" s="508"/>
      <c r="M328" s="4976"/>
      <c r="N328" s="611"/>
      <c r="O328" s="5005"/>
      <c r="P328" s="508"/>
      <c r="Q328" s="4951"/>
      <c r="R328" s="3928"/>
      <c r="S328" s="5005"/>
      <c r="T328" s="508"/>
      <c r="U328" s="4951"/>
      <c r="V328" s="3928"/>
      <c r="W328" s="5005"/>
      <c r="X328" s="508"/>
      <c r="Y328" s="4976"/>
      <c r="Z328" s="3931"/>
      <c r="AA328" s="4974"/>
      <c r="AB328" s="1287"/>
      <c r="AC328" s="5005"/>
      <c r="AD328" s="508"/>
      <c r="AE328" s="4951"/>
      <c r="AF328" s="3928"/>
      <c r="AG328" s="5005"/>
      <c r="AH328" s="508"/>
      <c r="AI328" s="4951"/>
      <c r="AJ328" s="3928"/>
      <c r="AK328" s="5005"/>
      <c r="AL328" s="508">
        <v>124.75999999999999</v>
      </c>
      <c r="AM328" s="4976"/>
      <c r="AN328" s="3931">
        <f t="shared" si="425"/>
        <v>124.75999999999999</v>
      </c>
      <c r="AO328" s="4951"/>
      <c r="AP328" s="517">
        <f t="shared" si="433"/>
        <v>124.75999999999999</v>
      </c>
      <c r="AQ328" s="5005"/>
      <c r="AR328" s="508"/>
      <c r="AS328" s="4951"/>
      <c r="AT328" s="517">
        <f t="shared" si="426"/>
        <v>124.75999999999999</v>
      </c>
      <c r="AU328" s="5005"/>
      <c r="AV328" s="508"/>
      <c r="AW328" s="4951"/>
      <c r="AX328" s="517">
        <f t="shared" si="427"/>
        <v>124.75999999999999</v>
      </c>
      <c r="AY328" s="5005"/>
      <c r="AZ328" s="508"/>
      <c r="BA328" s="4976"/>
      <c r="BB328" s="4540">
        <f t="shared" si="430"/>
        <v>0</v>
      </c>
      <c r="BC328" s="4974"/>
      <c r="BD328" s="1287">
        <f t="shared" si="402"/>
        <v>124.75999999999999</v>
      </c>
      <c r="BE328" s="4951"/>
      <c r="BF328" s="517">
        <f t="shared" si="429"/>
        <v>124.75999999999999</v>
      </c>
      <c r="BG328" s="1726"/>
      <c r="BH328" s="1726"/>
      <c r="BI328" s="1726"/>
      <c r="BJ328" s="1726"/>
      <c r="BK328" s="1726"/>
      <c r="BL328" s="1726"/>
      <c r="BM328" s="1726"/>
      <c r="BN328" s="1726"/>
      <c r="BO328" s="1726"/>
      <c r="BP328" s="1726"/>
      <c r="BQ328" s="1726"/>
      <c r="BR328" s="1726"/>
      <c r="BS328" s="1726"/>
      <c r="BT328" s="1726"/>
      <c r="BU328" s="1726"/>
      <c r="BV328" s="1726"/>
      <c r="BW328" s="1726"/>
      <c r="BX328" s="1726"/>
      <c r="BY328" s="1726"/>
      <c r="BZ328" s="1726"/>
      <c r="CA328" s="1726"/>
      <c r="CB328" s="1726"/>
      <c r="CC328" s="1726"/>
    </row>
    <row r="329" spans="2:81" s="334" customFormat="1" ht="18.75" x14ac:dyDescent="0.25">
      <c r="B329" s="615" t="s">
        <v>878</v>
      </c>
      <c r="C329" s="2058" t="s">
        <v>53</v>
      </c>
      <c r="D329" s="2070"/>
      <c r="E329" s="5042"/>
      <c r="F329" s="508"/>
      <c r="G329" s="5045"/>
      <c r="H329" s="511"/>
      <c r="I329" s="4951"/>
      <c r="J329" s="517">
        <f t="shared" si="434"/>
        <v>0</v>
      </c>
      <c r="K329" s="5005"/>
      <c r="L329" s="508"/>
      <c r="M329" s="4976"/>
      <c r="N329" s="611">
        <f t="shared" si="431"/>
        <v>0</v>
      </c>
      <c r="O329" s="5005"/>
      <c r="P329" s="508">
        <v>0</v>
      </c>
      <c r="Q329" s="4951"/>
      <c r="R329" s="3928">
        <f t="shared" si="418"/>
        <v>0</v>
      </c>
      <c r="S329" s="5005"/>
      <c r="T329" s="508">
        <v>0</v>
      </c>
      <c r="U329" s="4951"/>
      <c r="V329" s="3928">
        <f t="shared" si="421"/>
        <v>0</v>
      </c>
      <c r="W329" s="5005"/>
      <c r="X329" s="508">
        <v>0</v>
      </c>
      <c r="Y329" s="4976"/>
      <c r="Z329" s="3931">
        <f t="shared" si="422"/>
        <v>0</v>
      </c>
      <c r="AA329" s="4974"/>
      <c r="AB329" s="1287">
        <f t="shared" si="432"/>
        <v>0</v>
      </c>
      <c r="AC329" s="5005"/>
      <c r="AD329" s="508">
        <v>0</v>
      </c>
      <c r="AE329" s="4951"/>
      <c r="AF329" s="3928">
        <f t="shared" si="423"/>
        <v>0</v>
      </c>
      <c r="AG329" s="5005"/>
      <c r="AH329" s="508"/>
      <c r="AI329" s="4951"/>
      <c r="AJ329" s="3928">
        <f t="shared" si="424"/>
        <v>0</v>
      </c>
      <c r="AK329" s="5005"/>
      <c r="AL329" s="508">
        <v>0</v>
      </c>
      <c r="AM329" s="4976"/>
      <c r="AN329" s="3931">
        <f t="shared" si="425"/>
        <v>0</v>
      </c>
      <c r="AO329" s="4951"/>
      <c r="AP329" s="517">
        <f t="shared" si="433"/>
        <v>0</v>
      </c>
      <c r="AQ329" s="5005"/>
      <c r="AR329" s="508">
        <v>0</v>
      </c>
      <c r="AS329" s="4951"/>
      <c r="AT329" s="517">
        <f t="shared" si="426"/>
        <v>0</v>
      </c>
      <c r="AU329" s="5005"/>
      <c r="AV329" s="508">
        <v>160.07</v>
      </c>
      <c r="AW329" s="4951"/>
      <c r="AX329" s="517">
        <f t="shared" si="427"/>
        <v>160.07</v>
      </c>
      <c r="AY329" s="5005"/>
      <c r="AZ329" s="508"/>
      <c r="BA329" s="4976"/>
      <c r="BB329" s="4540">
        <f t="shared" si="430"/>
        <v>160.07</v>
      </c>
      <c r="BC329" s="4974">
        <f t="shared" si="428"/>
        <v>0</v>
      </c>
      <c r="BD329" s="1287">
        <f t="shared" si="402"/>
        <v>160.07</v>
      </c>
      <c r="BE329" s="4951"/>
      <c r="BF329" s="517">
        <f t="shared" si="429"/>
        <v>160.07</v>
      </c>
      <c r="BG329" s="1726"/>
      <c r="BH329" s="1726"/>
      <c r="BI329" s="1726"/>
      <c r="BJ329" s="1726"/>
      <c r="BK329" s="1726"/>
      <c r="BL329" s="1726"/>
      <c r="BM329" s="1726"/>
      <c r="BN329" s="1726"/>
      <c r="BO329" s="1726"/>
      <c r="BP329" s="1726"/>
      <c r="BQ329" s="1726"/>
      <c r="BR329" s="1726"/>
      <c r="BS329" s="1726"/>
      <c r="BT329" s="1726"/>
      <c r="BU329" s="1726"/>
      <c r="BV329" s="1726"/>
      <c r="BW329" s="1726"/>
      <c r="BX329" s="1726"/>
      <c r="BY329" s="1726"/>
      <c r="BZ329" s="1726"/>
      <c r="CA329" s="1726"/>
      <c r="CB329" s="1726"/>
      <c r="CC329" s="1726"/>
    </row>
    <row r="330" spans="2:81" s="334" customFormat="1" ht="18.75" x14ac:dyDescent="0.25">
      <c r="B330" s="615" t="s">
        <v>1826</v>
      </c>
      <c r="C330" s="2058" t="s">
        <v>53</v>
      </c>
      <c r="D330" s="2070"/>
      <c r="E330" s="5042"/>
      <c r="F330" s="508"/>
      <c r="G330" s="5045"/>
      <c r="H330" s="511"/>
      <c r="I330" s="4951"/>
      <c r="J330" s="517"/>
      <c r="K330" s="5005"/>
      <c r="L330" s="508"/>
      <c r="M330" s="4976"/>
      <c r="N330" s="611"/>
      <c r="O330" s="5005"/>
      <c r="P330" s="508"/>
      <c r="Q330" s="4951"/>
      <c r="R330" s="4036"/>
      <c r="S330" s="5005"/>
      <c r="T330" s="508"/>
      <c r="U330" s="4951"/>
      <c r="V330" s="4036"/>
      <c r="W330" s="5005"/>
      <c r="X330" s="508"/>
      <c r="Y330" s="4976"/>
      <c r="Z330" s="4035"/>
      <c r="AA330" s="4974"/>
      <c r="AB330" s="1287"/>
      <c r="AC330" s="5005"/>
      <c r="AD330" s="508"/>
      <c r="AE330" s="4951"/>
      <c r="AF330" s="4036"/>
      <c r="AG330" s="5005"/>
      <c r="AH330" s="508"/>
      <c r="AI330" s="4951"/>
      <c r="AJ330" s="4036"/>
      <c r="AK330" s="5005"/>
      <c r="AL330" s="508"/>
      <c r="AM330" s="4976"/>
      <c r="AN330" s="4035"/>
      <c r="AO330" s="4951"/>
      <c r="AP330" s="517"/>
      <c r="AQ330" s="5005"/>
      <c r="AR330" s="508"/>
      <c r="AS330" s="4951"/>
      <c r="AT330" s="517"/>
      <c r="AU330" s="5005"/>
      <c r="AV330" s="508">
        <v>79.139999999999986</v>
      </c>
      <c r="AW330" s="4951"/>
      <c r="AX330" s="517">
        <f t="shared" si="427"/>
        <v>79.139999999999986</v>
      </c>
      <c r="AY330" s="5005"/>
      <c r="AZ330" s="508"/>
      <c r="BA330" s="4976"/>
      <c r="BB330" s="4540">
        <f t="shared" si="430"/>
        <v>79.139999999999986</v>
      </c>
      <c r="BC330" s="4974"/>
      <c r="BD330" s="1287">
        <f t="shared" si="402"/>
        <v>79.139999999999986</v>
      </c>
      <c r="BE330" s="4951"/>
      <c r="BF330" s="517">
        <f t="shared" si="429"/>
        <v>79.139999999999986</v>
      </c>
      <c r="BG330" s="1726"/>
      <c r="BH330" s="1726"/>
      <c r="BI330" s="1726"/>
      <c r="BJ330" s="1726"/>
      <c r="BK330" s="1726"/>
      <c r="BL330" s="1726"/>
      <c r="BM330" s="1726"/>
      <c r="BN330" s="1726"/>
      <c r="BO330" s="1726"/>
      <c r="BP330" s="1726"/>
      <c r="BQ330" s="1726"/>
      <c r="BR330" s="1726"/>
      <c r="BS330" s="1726"/>
      <c r="BT330" s="1726"/>
      <c r="BU330" s="1726"/>
      <c r="BV330" s="1726"/>
      <c r="BW330" s="1726"/>
      <c r="BX330" s="1726"/>
      <c r="BY330" s="1726"/>
      <c r="BZ330" s="1726"/>
      <c r="CA330" s="1726"/>
      <c r="CB330" s="1726"/>
      <c r="CC330" s="1726"/>
    </row>
    <row r="331" spans="2:81" s="334" customFormat="1" ht="18.75" x14ac:dyDescent="0.25">
      <c r="B331" s="615" t="s">
        <v>815</v>
      </c>
      <c r="C331" s="2058" t="s">
        <v>53</v>
      </c>
      <c r="D331" s="2070"/>
      <c r="E331" s="5042"/>
      <c r="F331" s="508"/>
      <c r="G331" s="5045"/>
      <c r="H331" s="511"/>
      <c r="I331" s="4951"/>
      <c r="J331" s="517">
        <f t="shared" si="434"/>
        <v>0</v>
      </c>
      <c r="K331" s="5005"/>
      <c r="L331" s="508"/>
      <c r="M331" s="4976"/>
      <c r="N331" s="611">
        <f t="shared" si="431"/>
        <v>0</v>
      </c>
      <c r="O331" s="5005"/>
      <c r="P331" s="508">
        <v>0</v>
      </c>
      <c r="Q331" s="4951"/>
      <c r="R331" s="3928">
        <f t="shared" si="418"/>
        <v>0</v>
      </c>
      <c r="S331" s="5005"/>
      <c r="T331" s="508">
        <v>0</v>
      </c>
      <c r="U331" s="4951"/>
      <c r="V331" s="3928">
        <f t="shared" si="421"/>
        <v>0</v>
      </c>
      <c r="W331" s="5005"/>
      <c r="X331" s="508">
        <v>0</v>
      </c>
      <c r="Y331" s="4976"/>
      <c r="Z331" s="3931">
        <f t="shared" si="422"/>
        <v>0</v>
      </c>
      <c r="AA331" s="4974"/>
      <c r="AB331" s="1287">
        <f t="shared" si="432"/>
        <v>0</v>
      </c>
      <c r="AC331" s="5005"/>
      <c r="AD331" s="508">
        <v>0</v>
      </c>
      <c r="AE331" s="4951"/>
      <c r="AF331" s="3928">
        <f t="shared" si="423"/>
        <v>0</v>
      </c>
      <c r="AG331" s="5005"/>
      <c r="AH331" s="508">
        <v>30.03</v>
      </c>
      <c r="AI331" s="4951"/>
      <c r="AJ331" s="3928">
        <f t="shared" si="424"/>
        <v>30.03</v>
      </c>
      <c r="AK331" s="5005"/>
      <c r="AL331" s="508">
        <v>0</v>
      </c>
      <c r="AM331" s="4976"/>
      <c r="AN331" s="3931">
        <f t="shared" si="425"/>
        <v>30.03</v>
      </c>
      <c r="AO331" s="4951"/>
      <c r="AP331" s="517">
        <f t="shared" si="433"/>
        <v>30.03</v>
      </c>
      <c r="AQ331" s="5005"/>
      <c r="AR331" s="508">
        <v>28.6</v>
      </c>
      <c r="AS331" s="4951"/>
      <c r="AT331" s="517">
        <f t="shared" si="426"/>
        <v>58.63</v>
      </c>
      <c r="AU331" s="5005"/>
      <c r="AV331" s="508">
        <v>124.16</v>
      </c>
      <c r="AW331" s="4951"/>
      <c r="AX331" s="517">
        <f t="shared" si="427"/>
        <v>182.79</v>
      </c>
      <c r="AY331" s="5005"/>
      <c r="AZ331" s="508"/>
      <c r="BA331" s="4976"/>
      <c r="BB331" s="4540">
        <f t="shared" si="430"/>
        <v>152.76</v>
      </c>
      <c r="BC331" s="4974">
        <f t="shared" si="428"/>
        <v>0</v>
      </c>
      <c r="BD331" s="1287">
        <f t="shared" si="402"/>
        <v>182.79</v>
      </c>
      <c r="BE331" s="4951"/>
      <c r="BF331" s="517">
        <f t="shared" si="429"/>
        <v>182.79</v>
      </c>
      <c r="BG331" s="1726"/>
      <c r="BH331" s="1726"/>
      <c r="BI331" s="1726"/>
      <c r="BJ331" s="1726"/>
      <c r="BK331" s="1726"/>
      <c r="BL331" s="1726"/>
      <c r="BM331" s="1726"/>
      <c r="BN331" s="1726"/>
      <c r="BO331" s="1726"/>
      <c r="BP331" s="1726"/>
      <c r="BQ331" s="1726"/>
      <c r="BR331" s="1726"/>
      <c r="BS331" s="1726"/>
      <c r="BT331" s="1726"/>
      <c r="BU331" s="1726"/>
      <c r="BV331" s="1726"/>
      <c r="BW331" s="1726"/>
      <c r="BX331" s="1726"/>
      <c r="BY331" s="1726"/>
      <c r="BZ331" s="1726"/>
      <c r="CA331" s="1726"/>
      <c r="CB331" s="1726"/>
      <c r="CC331" s="1726"/>
    </row>
    <row r="332" spans="2:81" s="334" customFormat="1" ht="19.5" thickBot="1" x14ac:dyDescent="0.35">
      <c r="B332" s="2149" t="s">
        <v>2</v>
      </c>
      <c r="C332" s="2150" t="s">
        <v>53</v>
      </c>
      <c r="D332" s="2166">
        <v>10000</v>
      </c>
      <c r="E332" s="5043"/>
      <c r="F332" s="613">
        <f>SUM(F321:F331)</f>
        <v>0</v>
      </c>
      <c r="G332" s="5046"/>
      <c r="H332" s="613">
        <f>SUM(H321:H331)</f>
        <v>186.79000000000002</v>
      </c>
      <c r="I332" s="4951"/>
      <c r="J332" s="613">
        <f>SUM(J321:J331)</f>
        <v>186.79000000000002</v>
      </c>
      <c r="K332" s="5006"/>
      <c r="L332" s="613">
        <f>SUM(L321:L331)</f>
        <v>62.650000000000006</v>
      </c>
      <c r="M332" s="4976"/>
      <c r="N332" s="613">
        <f>SUM(N321:N331)</f>
        <v>249.44000000000003</v>
      </c>
      <c r="O332" s="5006"/>
      <c r="P332" s="613">
        <f>SUM(P321:P331)</f>
        <v>216.81</v>
      </c>
      <c r="Q332" s="4951"/>
      <c r="R332" s="613">
        <f>SUM(R321:R331)</f>
        <v>466.25</v>
      </c>
      <c r="S332" s="5006"/>
      <c r="T332" s="613">
        <f>SUM(T321:T331)</f>
        <v>0</v>
      </c>
      <c r="U332" s="4951"/>
      <c r="V332" s="613">
        <f>SUM(V321:V331)</f>
        <v>466.25</v>
      </c>
      <c r="W332" s="5006"/>
      <c r="X332" s="613">
        <f>SUM(X321:X331)</f>
        <v>860.78</v>
      </c>
      <c r="Y332" s="4976"/>
      <c r="Z332" s="613">
        <f>SUM(Z321:Z331)</f>
        <v>1077.5899999999999</v>
      </c>
      <c r="AA332" s="4974"/>
      <c r="AB332" s="613">
        <f>SUM(AB321:AB331)</f>
        <v>1327.03</v>
      </c>
      <c r="AC332" s="5006"/>
      <c r="AD332" s="613">
        <f>SUM(AD321:AD331)</f>
        <v>99.509999999999991</v>
      </c>
      <c r="AE332" s="4951"/>
      <c r="AF332" s="613">
        <f>SUM(AF321:AF331)</f>
        <v>1426.54</v>
      </c>
      <c r="AG332" s="5006"/>
      <c r="AH332" s="613">
        <f>SUM(AH321:AH331)</f>
        <v>127.61999999999999</v>
      </c>
      <c r="AI332" s="4951"/>
      <c r="AJ332" s="613">
        <f>SUM(AJ321:AJ331)</f>
        <v>1554.1599999999996</v>
      </c>
      <c r="AK332" s="5006"/>
      <c r="AL332" s="613">
        <f>SUM(AL321:AL331)</f>
        <v>337.76</v>
      </c>
      <c r="AM332" s="4976"/>
      <c r="AN332" s="613">
        <f>SUM(AN321:AN331)</f>
        <v>564.89</v>
      </c>
      <c r="AO332" s="4951"/>
      <c r="AP332" s="613">
        <f>SUM(AP321:AP331)</f>
        <v>1891.9199999999996</v>
      </c>
      <c r="AQ332" s="5006"/>
      <c r="AR332" s="613">
        <f>SUM(AR321:AR331)</f>
        <v>245.23</v>
      </c>
      <c r="AS332" s="4951"/>
      <c r="AT332" s="613">
        <f>SUM(AT321:AT331)</f>
        <v>2137.1499999999996</v>
      </c>
      <c r="AU332" s="5006"/>
      <c r="AV332" s="613">
        <f>SUM(AV321:AV331)</f>
        <v>794.72</v>
      </c>
      <c r="AW332" s="4951"/>
      <c r="AX332" s="613">
        <f>SUM(AX321:AX331)</f>
        <v>2931.87</v>
      </c>
      <c r="AY332" s="5006"/>
      <c r="AZ332" s="613">
        <f>SUM(AZ321:AZ331)</f>
        <v>360</v>
      </c>
      <c r="BA332" s="4976"/>
      <c r="BB332" s="613">
        <f>SUM(BB321:BB331)</f>
        <v>1399.95</v>
      </c>
      <c r="BC332" s="4974">
        <f t="shared" si="428"/>
        <v>0</v>
      </c>
      <c r="BD332" s="613">
        <f>SUM(BD321:BD331)</f>
        <v>1964.8399999999997</v>
      </c>
      <c r="BE332" s="4951"/>
      <c r="BF332" s="613">
        <f>SUM(BF321:BF331)</f>
        <v>3291.87</v>
      </c>
      <c r="BG332" s="1726"/>
      <c r="BH332" s="1726"/>
      <c r="BI332" s="1726"/>
      <c r="BJ332" s="1726"/>
      <c r="BK332" s="1726"/>
      <c r="BL332" s="1726"/>
      <c r="BM332" s="1726"/>
      <c r="BN332" s="1726"/>
      <c r="BO332" s="1726"/>
      <c r="BP332" s="1726"/>
      <c r="BQ332" s="1726"/>
      <c r="BR332" s="1726"/>
      <c r="BS332" s="1726"/>
      <c r="BT332" s="1726"/>
      <c r="BU332" s="1726"/>
      <c r="BV332" s="1726"/>
      <c r="BW332" s="1726"/>
      <c r="BX332" s="1726"/>
      <c r="BY332" s="1726"/>
      <c r="BZ332" s="1726"/>
      <c r="CA332" s="1726"/>
      <c r="CB332" s="1726"/>
      <c r="CC332" s="1726"/>
    </row>
    <row r="333" spans="2:81" s="334" customFormat="1" ht="19.5" thickBot="1" x14ac:dyDescent="0.3">
      <c r="B333" s="2167"/>
      <c r="C333" s="3954"/>
      <c r="D333" s="2117"/>
      <c r="E333" s="649"/>
      <c r="F333" s="649"/>
      <c r="G333" s="2168"/>
      <c r="H333" s="649"/>
      <c r="I333" s="2169"/>
      <c r="J333" s="649"/>
      <c r="K333" s="649"/>
      <c r="L333" s="649"/>
      <c r="M333" s="2169"/>
      <c r="N333" s="649"/>
      <c r="O333" s="649"/>
      <c r="P333" s="649"/>
      <c r="Q333" s="2169"/>
      <c r="R333" s="1001"/>
      <c r="S333" s="649"/>
      <c r="T333" s="649"/>
      <c r="U333" s="2169"/>
      <c r="V333" s="1001"/>
      <c r="W333" s="649"/>
      <c r="X333" s="649"/>
      <c r="Y333" s="2169"/>
      <c r="Z333" s="649"/>
      <c r="AA333" s="2169"/>
      <c r="AB333" s="649"/>
      <c r="AC333" s="649"/>
      <c r="AD333" s="649"/>
      <c r="AE333" s="2169"/>
      <c r="AF333" s="1001"/>
      <c r="AG333" s="649"/>
      <c r="AH333" s="649"/>
      <c r="AI333" s="2169"/>
      <c r="AJ333" s="1001"/>
      <c r="AK333" s="649"/>
      <c r="AL333" s="649"/>
      <c r="AM333" s="2169"/>
      <c r="AN333" s="649"/>
      <c r="AO333" s="2169"/>
      <c r="AP333" s="649"/>
      <c r="AQ333" s="649"/>
      <c r="AR333" s="649"/>
      <c r="AS333" s="2169"/>
      <c r="AT333" s="649"/>
      <c r="AU333" s="649"/>
      <c r="AV333" s="649"/>
      <c r="AW333" s="2169"/>
      <c r="AX333" s="649"/>
      <c r="AY333" s="649"/>
      <c r="AZ333" s="649"/>
      <c r="BA333" s="2169"/>
      <c r="BB333" s="649"/>
      <c r="BC333" s="2169"/>
      <c r="BD333" s="649"/>
      <c r="BE333" s="2169"/>
      <c r="BF333" s="649"/>
    </row>
    <row r="334" spans="2:81" s="334" customFormat="1" ht="19.5" thickBot="1" x14ac:dyDescent="0.3">
      <c r="B334" s="2135" t="s">
        <v>592</v>
      </c>
      <c r="C334" s="893"/>
      <c r="D334" s="2151"/>
      <c r="E334" s="893"/>
      <c r="F334" s="3421"/>
      <c r="G334" s="3421"/>
      <c r="H334" s="3421"/>
      <c r="I334" s="3421"/>
      <c r="J334" s="3421"/>
      <c r="K334" s="3421"/>
      <c r="L334" s="3421"/>
      <c r="M334" s="3421"/>
      <c r="N334" s="3421"/>
      <c r="O334" s="3421"/>
      <c r="P334" s="3421"/>
      <c r="Q334" s="3421"/>
      <c r="R334" s="3421"/>
      <c r="S334" s="3421"/>
      <c r="T334" s="3421"/>
      <c r="U334" s="3421"/>
      <c r="V334" s="3421"/>
      <c r="W334" s="3421"/>
      <c r="X334" s="3421"/>
      <c r="Y334" s="3421"/>
      <c r="Z334" s="3421"/>
      <c r="AA334" s="3421"/>
      <c r="AB334" s="3421"/>
      <c r="AC334" s="3421"/>
      <c r="AD334" s="3421"/>
      <c r="AE334" s="3421"/>
      <c r="AF334" s="3421"/>
      <c r="AG334" s="3421"/>
      <c r="AH334" s="3421"/>
      <c r="AI334" s="3421"/>
      <c r="AJ334" s="3421"/>
      <c r="AK334" s="3421"/>
      <c r="AL334" s="3421"/>
      <c r="AM334" s="893"/>
      <c r="AN334" s="893"/>
      <c r="AO334" s="3421"/>
      <c r="AP334" s="3421"/>
      <c r="AQ334" s="893"/>
      <c r="AR334" s="893"/>
      <c r="AS334" s="893"/>
      <c r="AT334" s="893"/>
      <c r="AU334" s="893"/>
      <c r="AV334" s="893"/>
      <c r="AW334" s="893"/>
      <c r="AX334" s="893"/>
      <c r="AY334" s="893"/>
      <c r="AZ334" s="893"/>
      <c r="BA334" s="893"/>
      <c r="BB334" s="893"/>
      <c r="BC334" s="3421"/>
      <c r="BD334" s="3421"/>
      <c r="BE334" s="893"/>
      <c r="BF334" s="893"/>
    </row>
    <row r="335" spans="2:81" s="334" customFormat="1" ht="18.75" x14ac:dyDescent="0.25">
      <c r="B335" s="895" t="s">
        <v>593</v>
      </c>
      <c r="C335" s="892"/>
      <c r="D335" s="2067"/>
      <c r="E335" s="892"/>
      <c r="F335" s="891"/>
      <c r="G335" s="891"/>
      <c r="H335" s="891"/>
      <c r="I335" s="891"/>
      <c r="J335" s="891"/>
      <c r="K335" s="891"/>
      <c r="L335" s="891"/>
      <c r="M335" s="891"/>
      <c r="N335" s="891"/>
      <c r="O335" s="891"/>
      <c r="P335" s="891"/>
      <c r="Q335" s="891"/>
      <c r="R335" s="891"/>
      <c r="S335" s="891"/>
      <c r="T335" s="891"/>
      <c r="U335" s="891"/>
      <c r="V335" s="891"/>
      <c r="W335" s="891"/>
      <c r="X335" s="891"/>
      <c r="Y335" s="891"/>
      <c r="Z335" s="891"/>
      <c r="AA335" s="891"/>
      <c r="AB335" s="891"/>
      <c r="AC335" s="891"/>
      <c r="AD335" s="891"/>
      <c r="AE335" s="891"/>
      <c r="AF335" s="891"/>
      <c r="AG335" s="891"/>
      <c r="AH335" s="891"/>
      <c r="AI335" s="891"/>
      <c r="AJ335" s="891"/>
      <c r="AK335" s="891"/>
      <c r="AL335" s="891"/>
      <c r="AM335" s="892"/>
      <c r="AN335" s="892"/>
      <c r="AO335" s="891"/>
      <c r="AP335" s="891"/>
      <c r="AQ335" s="892"/>
      <c r="AR335" s="892"/>
      <c r="AS335" s="892"/>
      <c r="AT335" s="892"/>
      <c r="AU335" s="892"/>
      <c r="AV335" s="892"/>
      <c r="AW335" s="892"/>
      <c r="AX335" s="892"/>
      <c r="AY335" s="892"/>
      <c r="AZ335" s="892"/>
      <c r="BA335" s="892"/>
      <c r="BB335" s="892"/>
      <c r="BC335" s="891"/>
      <c r="BD335" s="891"/>
      <c r="BE335" s="892"/>
      <c r="BF335" s="892"/>
    </row>
    <row r="336" spans="2:81" s="334" customFormat="1" ht="18.75" x14ac:dyDescent="0.25">
      <c r="B336" s="897" t="s">
        <v>134</v>
      </c>
      <c r="C336" s="849"/>
      <c r="D336" s="2057"/>
      <c r="E336" s="849"/>
      <c r="F336" s="3419"/>
      <c r="G336" s="3419"/>
      <c r="H336" s="3419"/>
      <c r="I336" s="3419"/>
      <c r="J336" s="3419"/>
      <c r="K336" s="3419"/>
      <c r="L336" s="3419"/>
      <c r="M336" s="3419"/>
      <c r="N336" s="3419"/>
      <c r="O336" s="3419"/>
      <c r="P336" s="3419"/>
      <c r="Q336" s="3419"/>
      <c r="R336" s="3419"/>
      <c r="S336" s="3419"/>
      <c r="T336" s="3419"/>
      <c r="U336" s="3419"/>
      <c r="V336" s="3419"/>
      <c r="W336" s="3419"/>
      <c r="X336" s="3419"/>
      <c r="Y336" s="3419"/>
      <c r="Z336" s="3419"/>
      <c r="AA336" s="3419"/>
      <c r="AB336" s="3419"/>
      <c r="AC336" s="3419"/>
      <c r="AD336" s="3419"/>
      <c r="AE336" s="3419"/>
      <c r="AF336" s="3419"/>
      <c r="AG336" s="3419"/>
      <c r="AH336" s="3419"/>
      <c r="AI336" s="3419"/>
      <c r="AJ336" s="3419"/>
      <c r="AK336" s="3419"/>
      <c r="AL336" s="3419"/>
      <c r="AM336" s="849"/>
      <c r="AN336" s="849"/>
      <c r="AO336" s="3419"/>
      <c r="AP336" s="3419"/>
      <c r="AQ336" s="849"/>
      <c r="AR336" s="849"/>
      <c r="AS336" s="849"/>
      <c r="AT336" s="849"/>
      <c r="AU336" s="849"/>
      <c r="AV336" s="849"/>
      <c r="AW336" s="849"/>
      <c r="AX336" s="849"/>
      <c r="AY336" s="849"/>
      <c r="AZ336" s="849"/>
      <c r="BA336" s="849"/>
      <c r="BB336" s="849"/>
      <c r="BC336" s="3419"/>
      <c r="BD336" s="3419"/>
      <c r="BE336" s="849"/>
      <c r="BF336" s="849"/>
    </row>
    <row r="337" spans="2:81" ht="18.75" x14ac:dyDescent="0.25">
      <c r="B337" s="2170" t="s">
        <v>786</v>
      </c>
      <c r="C337" s="2058" t="s">
        <v>53</v>
      </c>
      <c r="D337" s="2059"/>
      <c r="E337" s="5007"/>
      <c r="F337" s="508"/>
      <c r="G337" s="5036"/>
      <c r="H337" s="508"/>
      <c r="I337" s="4956"/>
      <c r="J337" s="517">
        <f t="shared" ref="J337:J383" si="435">+F337+H337</f>
        <v>0</v>
      </c>
      <c r="K337" s="5007"/>
      <c r="L337" s="508"/>
      <c r="M337" s="4952"/>
      <c r="N337" s="611">
        <f t="shared" ref="N337:N383" si="436">+J337+L337</f>
        <v>0</v>
      </c>
      <c r="O337" s="5007"/>
      <c r="P337" s="508"/>
      <c r="Q337" s="4956"/>
      <c r="R337" s="3928">
        <f t="shared" si="418"/>
        <v>0</v>
      </c>
      <c r="S337" s="5007"/>
      <c r="T337" s="508"/>
      <c r="U337" s="4956"/>
      <c r="V337" s="3928">
        <f t="shared" ref="V337:V383" si="437">+R337+T337</f>
        <v>0</v>
      </c>
      <c r="W337" s="5007"/>
      <c r="X337" s="508"/>
      <c r="Y337" s="4952"/>
      <c r="Z337" s="611">
        <f>P337+T337+X337</f>
        <v>0</v>
      </c>
      <c r="AA337" s="4971"/>
      <c r="AB337" s="1287">
        <f t="shared" ref="AB337:AB383" si="438">+V337+X337</f>
        <v>0</v>
      </c>
      <c r="AC337" s="5007"/>
      <c r="AD337" s="508"/>
      <c r="AE337" s="4956"/>
      <c r="AF337" s="3928">
        <f t="shared" ref="AF337:AF383" si="439">+AB337+AD337</f>
        <v>0</v>
      </c>
      <c r="AG337" s="5007"/>
      <c r="AH337" s="508"/>
      <c r="AI337" s="4956"/>
      <c r="AJ337" s="3928">
        <f>+AF337+AH337</f>
        <v>0</v>
      </c>
      <c r="AK337" s="5007"/>
      <c r="AL337" s="508"/>
      <c r="AM337" s="4952"/>
      <c r="AN337" s="611">
        <f>AD337+AH337+AL337</f>
        <v>0</v>
      </c>
      <c r="AO337" s="4956"/>
      <c r="AP337" s="517">
        <f t="shared" ref="AP337:AP383" si="440">+AJ337+AL337</f>
        <v>0</v>
      </c>
      <c r="AQ337" s="5007"/>
      <c r="AR337" s="508"/>
      <c r="AS337" s="4956"/>
      <c r="AT337" s="517">
        <f t="shared" ref="AT337:AT383" si="441">+AP337+AR337</f>
        <v>0</v>
      </c>
      <c r="AU337" s="5007"/>
      <c r="AV337" s="508"/>
      <c r="AW337" s="4956"/>
      <c r="AX337" s="517">
        <f t="shared" ref="AX337:AX383" si="442">+AT337+AV337</f>
        <v>0</v>
      </c>
      <c r="AY337" s="5007"/>
      <c r="AZ337" s="610"/>
      <c r="BA337" s="4952"/>
      <c r="BB337" s="611">
        <f>AR337+AV337+AZ337</f>
        <v>0</v>
      </c>
      <c r="BC337" s="4971">
        <f t="shared" ref="BC337:BD387" si="443">+BA337+AM337</f>
        <v>0</v>
      </c>
      <c r="BD337" s="1287">
        <f t="shared" si="443"/>
        <v>0</v>
      </c>
      <c r="BE337" s="4956"/>
      <c r="BF337" s="517">
        <f t="shared" ref="BF337:BF383" si="444">+AX337+AZ337</f>
        <v>0</v>
      </c>
    </row>
    <row r="338" spans="2:81" ht="18.75" x14ac:dyDescent="0.25">
      <c r="B338" s="2128" t="s">
        <v>850</v>
      </c>
      <c r="C338" s="2058" t="s">
        <v>53</v>
      </c>
      <c r="D338" s="3953"/>
      <c r="E338" s="5008"/>
      <c r="F338" s="508"/>
      <c r="G338" s="5037"/>
      <c r="H338" s="508"/>
      <c r="I338" s="4957"/>
      <c r="J338" s="517">
        <f t="shared" si="435"/>
        <v>0</v>
      </c>
      <c r="K338" s="5008"/>
      <c r="L338" s="508"/>
      <c r="M338" s="4953"/>
      <c r="N338" s="611">
        <f t="shared" si="436"/>
        <v>0</v>
      </c>
      <c r="O338" s="5008"/>
      <c r="P338" s="508"/>
      <c r="Q338" s="4957"/>
      <c r="R338" s="3928">
        <f t="shared" si="418"/>
        <v>0</v>
      </c>
      <c r="S338" s="5008"/>
      <c r="T338" s="508"/>
      <c r="U338" s="4957"/>
      <c r="V338" s="3928">
        <f t="shared" si="437"/>
        <v>0</v>
      </c>
      <c r="W338" s="5008"/>
      <c r="X338" s="508"/>
      <c r="Y338" s="4953"/>
      <c r="Z338" s="611">
        <f t="shared" ref="Z338:Z383" si="445">P338+T338+X338</f>
        <v>0</v>
      </c>
      <c r="AA338" s="4972"/>
      <c r="AB338" s="1287">
        <f t="shared" si="438"/>
        <v>0</v>
      </c>
      <c r="AC338" s="5008"/>
      <c r="AD338" s="508">
        <v>0</v>
      </c>
      <c r="AE338" s="4957"/>
      <c r="AF338" s="3928">
        <f t="shared" si="439"/>
        <v>0</v>
      </c>
      <c r="AG338" s="5008"/>
      <c r="AH338" s="508"/>
      <c r="AI338" s="4957"/>
      <c r="AJ338" s="3928">
        <f t="shared" ref="AJ338:AJ383" si="446">+AF338+AH338</f>
        <v>0</v>
      </c>
      <c r="AK338" s="5008"/>
      <c r="AL338" s="508"/>
      <c r="AM338" s="4953"/>
      <c r="AN338" s="611">
        <f t="shared" ref="AN338:AN361" si="447">AD338+AH338+AL338</f>
        <v>0</v>
      </c>
      <c r="AO338" s="4957"/>
      <c r="AP338" s="517">
        <f t="shared" si="440"/>
        <v>0</v>
      </c>
      <c r="AQ338" s="5008"/>
      <c r="AR338" s="508"/>
      <c r="AS338" s="4957"/>
      <c r="AT338" s="517">
        <f t="shared" si="441"/>
        <v>0</v>
      </c>
      <c r="AU338" s="5008"/>
      <c r="AV338" s="508"/>
      <c r="AW338" s="4957"/>
      <c r="AX338" s="517">
        <f t="shared" si="442"/>
        <v>0</v>
      </c>
      <c r="AY338" s="5008"/>
      <c r="AZ338" s="610"/>
      <c r="BA338" s="4953"/>
      <c r="BB338" s="611">
        <f t="shared" ref="BB338:BB383" si="448">AR338+AV338+AZ338</f>
        <v>0</v>
      </c>
      <c r="BC338" s="4972">
        <f t="shared" si="443"/>
        <v>0</v>
      </c>
      <c r="BD338" s="1287">
        <f t="shared" si="443"/>
        <v>0</v>
      </c>
      <c r="BE338" s="4957"/>
      <c r="BF338" s="517">
        <f t="shared" si="444"/>
        <v>0</v>
      </c>
    </row>
    <row r="339" spans="2:81" s="727" customFormat="1" ht="18.75" x14ac:dyDescent="0.25">
      <c r="B339" s="2128" t="s">
        <v>879</v>
      </c>
      <c r="C339" s="2058" t="s">
        <v>53</v>
      </c>
      <c r="D339" s="3953"/>
      <c r="E339" s="5008"/>
      <c r="F339" s="508"/>
      <c r="G339" s="5037"/>
      <c r="H339" s="508">
        <v>13668.22</v>
      </c>
      <c r="I339" s="4957"/>
      <c r="J339" s="517">
        <f t="shared" si="435"/>
        <v>13668.22</v>
      </c>
      <c r="K339" s="5008"/>
      <c r="L339" s="508">
        <v>27649.079999999998</v>
      </c>
      <c r="M339" s="4953"/>
      <c r="N339" s="611">
        <f t="shared" si="436"/>
        <v>41317.299999999996</v>
      </c>
      <c r="O339" s="5008"/>
      <c r="P339" s="508">
        <v>3867.0599999999995</v>
      </c>
      <c r="Q339" s="4957"/>
      <c r="R339" s="3928">
        <f t="shared" si="418"/>
        <v>45184.359999999993</v>
      </c>
      <c r="S339" s="5008"/>
      <c r="T339" s="508">
        <v>8308.3399999999983</v>
      </c>
      <c r="U339" s="4957"/>
      <c r="V339" s="3928">
        <f t="shared" si="437"/>
        <v>53492.69999999999</v>
      </c>
      <c r="W339" s="5008"/>
      <c r="X339" s="508">
        <v>14830.6</v>
      </c>
      <c r="Y339" s="4953"/>
      <c r="Z339" s="611">
        <f t="shared" si="445"/>
        <v>27006</v>
      </c>
      <c r="AA339" s="4972"/>
      <c r="AB339" s="1287">
        <f t="shared" si="438"/>
        <v>68323.299999999988</v>
      </c>
      <c r="AC339" s="5008"/>
      <c r="AD339" s="508">
        <v>959.08</v>
      </c>
      <c r="AE339" s="4957"/>
      <c r="AF339" s="3928">
        <f t="shared" si="439"/>
        <v>69282.37999999999</v>
      </c>
      <c r="AG339" s="5008"/>
      <c r="AH339" s="508">
        <v>19294.5</v>
      </c>
      <c r="AI339" s="4957"/>
      <c r="AJ339" s="3928">
        <f t="shared" si="446"/>
        <v>88576.87999999999</v>
      </c>
      <c r="AK339" s="5008"/>
      <c r="AL339" s="508">
        <v>12678.519999999999</v>
      </c>
      <c r="AM339" s="4953"/>
      <c r="AN339" s="611">
        <f t="shared" si="447"/>
        <v>32932.1</v>
      </c>
      <c r="AO339" s="4957"/>
      <c r="AP339" s="517">
        <f t="shared" si="440"/>
        <v>101255.4</v>
      </c>
      <c r="AQ339" s="5008"/>
      <c r="AR339" s="508">
        <v>10746.380000000001</v>
      </c>
      <c r="AS339" s="4957"/>
      <c r="AT339" s="517">
        <f t="shared" si="441"/>
        <v>112001.78</v>
      </c>
      <c r="AU339" s="5008"/>
      <c r="AV339" s="508">
        <v>28951.379999999994</v>
      </c>
      <c r="AW339" s="4957"/>
      <c r="AX339" s="517">
        <f t="shared" si="442"/>
        <v>140953.16</v>
      </c>
      <c r="AY339" s="5008"/>
      <c r="AZ339" s="610">
        <v>10325.439999999995</v>
      </c>
      <c r="BA339" s="4953"/>
      <c r="BB339" s="611">
        <f t="shared" si="448"/>
        <v>50023.19999999999</v>
      </c>
      <c r="BC339" s="4972">
        <f t="shared" si="443"/>
        <v>0</v>
      </c>
      <c r="BD339" s="1287">
        <f t="shared" si="443"/>
        <v>82955.299999999988</v>
      </c>
      <c r="BE339" s="4957"/>
      <c r="BF339" s="517">
        <f t="shared" si="444"/>
        <v>151278.6</v>
      </c>
      <c r="BG339" s="1726"/>
      <c r="BH339" s="1726"/>
      <c r="BI339" s="1726"/>
      <c r="BJ339" s="1726"/>
      <c r="BK339" s="1726"/>
      <c r="BL339" s="1726"/>
      <c r="BM339" s="1726"/>
      <c r="BN339" s="1726"/>
      <c r="BO339" s="1726"/>
      <c r="BP339" s="1726"/>
      <c r="BQ339" s="1726"/>
      <c r="BR339" s="1726"/>
      <c r="BS339" s="1726"/>
      <c r="BT339" s="1726"/>
      <c r="BU339" s="1726"/>
      <c r="BV339" s="1726"/>
      <c r="BW339" s="1726"/>
      <c r="BX339" s="1726"/>
      <c r="BY339" s="1726"/>
      <c r="BZ339" s="1726"/>
      <c r="CA339" s="1726"/>
      <c r="CB339" s="1726"/>
      <c r="CC339" s="1726"/>
    </row>
    <row r="340" spans="2:81" s="944" customFormat="1" ht="18.75" x14ac:dyDescent="0.25">
      <c r="B340" s="2128" t="s">
        <v>1040</v>
      </c>
      <c r="C340" s="2058" t="s">
        <v>53</v>
      </c>
      <c r="D340" s="3953"/>
      <c r="E340" s="5008"/>
      <c r="F340" s="508"/>
      <c r="G340" s="5037"/>
      <c r="H340" s="508"/>
      <c r="I340" s="4957"/>
      <c r="J340" s="517">
        <f t="shared" si="435"/>
        <v>0</v>
      </c>
      <c r="K340" s="5008"/>
      <c r="L340" s="508"/>
      <c r="M340" s="4953"/>
      <c r="N340" s="611">
        <f t="shared" si="436"/>
        <v>0</v>
      </c>
      <c r="O340" s="5008"/>
      <c r="P340" s="508"/>
      <c r="Q340" s="4957"/>
      <c r="R340" s="3928">
        <f t="shared" si="418"/>
        <v>0</v>
      </c>
      <c r="S340" s="5008"/>
      <c r="T340" s="508"/>
      <c r="U340" s="4957"/>
      <c r="V340" s="3928">
        <f t="shared" si="437"/>
        <v>0</v>
      </c>
      <c r="W340" s="5008"/>
      <c r="X340" s="508"/>
      <c r="Y340" s="4953"/>
      <c r="Z340" s="611">
        <f t="shared" si="445"/>
        <v>0</v>
      </c>
      <c r="AA340" s="4972"/>
      <c r="AB340" s="1287">
        <f t="shared" si="438"/>
        <v>0</v>
      </c>
      <c r="AC340" s="5008"/>
      <c r="AD340" s="508">
        <v>0</v>
      </c>
      <c r="AE340" s="4957"/>
      <c r="AF340" s="3928">
        <f t="shared" si="439"/>
        <v>0</v>
      </c>
      <c r="AG340" s="5008"/>
      <c r="AH340" s="508"/>
      <c r="AI340" s="4957"/>
      <c r="AJ340" s="3928">
        <f t="shared" si="446"/>
        <v>0</v>
      </c>
      <c r="AK340" s="5008"/>
      <c r="AL340" s="508"/>
      <c r="AM340" s="4953"/>
      <c r="AN340" s="611">
        <f t="shared" si="447"/>
        <v>0</v>
      </c>
      <c r="AO340" s="4957"/>
      <c r="AP340" s="517">
        <f t="shared" si="440"/>
        <v>0</v>
      </c>
      <c r="AQ340" s="5008"/>
      <c r="AR340" s="508"/>
      <c r="AS340" s="4957"/>
      <c r="AT340" s="517">
        <f t="shared" si="441"/>
        <v>0</v>
      </c>
      <c r="AU340" s="5008"/>
      <c r="AV340" s="508"/>
      <c r="AW340" s="4957"/>
      <c r="AX340" s="517">
        <f t="shared" si="442"/>
        <v>0</v>
      </c>
      <c r="AY340" s="5008"/>
      <c r="AZ340" s="610"/>
      <c r="BA340" s="4953"/>
      <c r="BB340" s="611">
        <f t="shared" si="448"/>
        <v>0</v>
      </c>
      <c r="BC340" s="4972">
        <f t="shared" si="443"/>
        <v>0</v>
      </c>
      <c r="BD340" s="1287">
        <f t="shared" si="443"/>
        <v>0</v>
      </c>
      <c r="BE340" s="4957"/>
      <c r="BF340" s="517">
        <f t="shared" si="444"/>
        <v>0</v>
      </c>
      <c r="BG340" s="1726"/>
      <c r="BH340" s="1726"/>
      <c r="BI340" s="1726"/>
      <c r="BJ340" s="1726"/>
      <c r="BK340" s="1726"/>
      <c r="BL340" s="1726"/>
      <c r="BM340" s="1726"/>
      <c r="BN340" s="1726"/>
      <c r="BO340" s="1726"/>
      <c r="BP340" s="1726"/>
      <c r="BQ340" s="1726"/>
      <c r="BR340" s="1726"/>
      <c r="BS340" s="1726"/>
      <c r="BT340" s="1726"/>
      <c r="BU340" s="1726"/>
      <c r="BV340" s="1726"/>
      <c r="BW340" s="1726"/>
      <c r="BX340" s="1726"/>
      <c r="BY340" s="1726"/>
      <c r="BZ340" s="1726"/>
      <c r="CA340" s="1726"/>
      <c r="CB340" s="1726"/>
      <c r="CC340" s="1726"/>
    </row>
    <row r="341" spans="2:81" s="875" customFormat="1" ht="18.75" x14ac:dyDescent="0.25">
      <c r="B341" s="2128" t="s">
        <v>1005</v>
      </c>
      <c r="C341" s="2058" t="s">
        <v>53</v>
      </c>
      <c r="D341" s="3953"/>
      <c r="E341" s="5008"/>
      <c r="F341" s="508"/>
      <c r="G341" s="5037"/>
      <c r="H341" s="508"/>
      <c r="I341" s="4957"/>
      <c r="J341" s="517">
        <f t="shared" si="435"/>
        <v>0</v>
      </c>
      <c r="K341" s="5008"/>
      <c r="L341" s="508"/>
      <c r="M341" s="4953"/>
      <c r="N341" s="611">
        <f t="shared" si="436"/>
        <v>0</v>
      </c>
      <c r="O341" s="5008"/>
      <c r="P341" s="508"/>
      <c r="Q341" s="4957"/>
      <c r="R341" s="3928">
        <f t="shared" si="418"/>
        <v>0</v>
      </c>
      <c r="S341" s="5008"/>
      <c r="T341" s="508"/>
      <c r="U341" s="4957"/>
      <c r="V341" s="3928">
        <f t="shared" si="437"/>
        <v>0</v>
      </c>
      <c r="W341" s="5008"/>
      <c r="X341" s="508"/>
      <c r="Y341" s="4953"/>
      <c r="Z341" s="611">
        <f t="shared" si="445"/>
        <v>0</v>
      </c>
      <c r="AA341" s="4972"/>
      <c r="AB341" s="1287">
        <f t="shared" si="438"/>
        <v>0</v>
      </c>
      <c r="AC341" s="5008"/>
      <c r="AD341" s="508">
        <v>0</v>
      </c>
      <c r="AE341" s="4957"/>
      <c r="AF341" s="3928">
        <f t="shared" si="439"/>
        <v>0</v>
      </c>
      <c r="AG341" s="5008"/>
      <c r="AH341" s="508"/>
      <c r="AI341" s="4957"/>
      <c r="AJ341" s="3928">
        <f t="shared" si="446"/>
        <v>0</v>
      </c>
      <c r="AK341" s="5008"/>
      <c r="AL341" s="508"/>
      <c r="AM341" s="4953"/>
      <c r="AN341" s="611">
        <f t="shared" si="447"/>
        <v>0</v>
      </c>
      <c r="AO341" s="4957"/>
      <c r="AP341" s="517">
        <f t="shared" si="440"/>
        <v>0</v>
      </c>
      <c r="AQ341" s="5008"/>
      <c r="AR341" s="508"/>
      <c r="AS341" s="4957"/>
      <c r="AT341" s="517">
        <f t="shared" si="441"/>
        <v>0</v>
      </c>
      <c r="AU341" s="5008"/>
      <c r="AV341" s="508"/>
      <c r="AW341" s="4957"/>
      <c r="AX341" s="517">
        <f t="shared" si="442"/>
        <v>0</v>
      </c>
      <c r="AY341" s="5008"/>
      <c r="AZ341" s="610"/>
      <c r="BA341" s="4953"/>
      <c r="BB341" s="611">
        <f t="shared" si="448"/>
        <v>0</v>
      </c>
      <c r="BC341" s="4972">
        <f t="shared" si="443"/>
        <v>0</v>
      </c>
      <c r="BD341" s="1287">
        <f t="shared" si="443"/>
        <v>0</v>
      </c>
      <c r="BE341" s="4957"/>
      <c r="BF341" s="517">
        <f t="shared" si="444"/>
        <v>0</v>
      </c>
      <c r="BG341" s="1726"/>
      <c r="BH341" s="1726"/>
      <c r="BI341" s="1726"/>
      <c r="BJ341" s="1726"/>
      <c r="BK341" s="1726"/>
      <c r="BL341" s="1726"/>
      <c r="BM341" s="1726"/>
      <c r="BN341" s="1726"/>
      <c r="BO341" s="1726"/>
      <c r="BP341" s="1726"/>
      <c r="BQ341" s="1726"/>
      <c r="BR341" s="1726"/>
      <c r="BS341" s="1726"/>
      <c r="BT341" s="1726"/>
      <c r="BU341" s="1726"/>
      <c r="BV341" s="1726"/>
      <c r="BW341" s="1726"/>
      <c r="BX341" s="1726"/>
      <c r="BY341" s="1726"/>
      <c r="BZ341" s="1726"/>
      <c r="CA341" s="1726"/>
      <c r="CB341" s="1726"/>
      <c r="CC341" s="1726"/>
    </row>
    <row r="342" spans="2:81" s="1503" customFormat="1" ht="18.75" x14ac:dyDescent="0.25">
      <c r="B342" s="2128" t="s">
        <v>1319</v>
      </c>
      <c r="C342" s="2058" t="s">
        <v>53</v>
      </c>
      <c r="D342" s="3953"/>
      <c r="E342" s="5008"/>
      <c r="F342" s="508">
        <v>15571.98</v>
      </c>
      <c r="G342" s="5037"/>
      <c r="H342" s="508"/>
      <c r="I342" s="4957"/>
      <c r="J342" s="517">
        <f t="shared" si="435"/>
        <v>15571.98</v>
      </c>
      <c r="K342" s="5008"/>
      <c r="L342" s="508"/>
      <c r="M342" s="4953"/>
      <c r="N342" s="611">
        <f t="shared" si="436"/>
        <v>15571.98</v>
      </c>
      <c r="O342" s="5008"/>
      <c r="P342" s="508"/>
      <c r="Q342" s="4957"/>
      <c r="R342" s="3928">
        <f t="shared" si="418"/>
        <v>15571.98</v>
      </c>
      <c r="S342" s="5008"/>
      <c r="T342" s="508"/>
      <c r="U342" s="4957"/>
      <c r="V342" s="3928">
        <f t="shared" si="437"/>
        <v>15571.98</v>
      </c>
      <c r="W342" s="5008"/>
      <c r="X342" s="508"/>
      <c r="Y342" s="4953"/>
      <c r="Z342" s="611">
        <f t="shared" si="445"/>
        <v>0</v>
      </c>
      <c r="AA342" s="4972"/>
      <c r="AB342" s="1287">
        <f t="shared" si="438"/>
        <v>15571.98</v>
      </c>
      <c r="AC342" s="5008"/>
      <c r="AD342" s="508">
        <v>0</v>
      </c>
      <c r="AE342" s="4957"/>
      <c r="AF342" s="3928">
        <f t="shared" si="439"/>
        <v>15571.98</v>
      </c>
      <c r="AG342" s="5008"/>
      <c r="AH342" s="508"/>
      <c r="AI342" s="4957"/>
      <c r="AJ342" s="3928">
        <f t="shared" si="446"/>
        <v>15571.98</v>
      </c>
      <c r="AK342" s="5008"/>
      <c r="AL342" s="508"/>
      <c r="AM342" s="4953"/>
      <c r="AN342" s="611">
        <f t="shared" si="447"/>
        <v>0</v>
      </c>
      <c r="AO342" s="4957"/>
      <c r="AP342" s="517">
        <f t="shared" si="440"/>
        <v>15571.98</v>
      </c>
      <c r="AQ342" s="5008"/>
      <c r="AR342" s="508"/>
      <c r="AS342" s="4957"/>
      <c r="AT342" s="517">
        <f t="shared" si="441"/>
        <v>15571.98</v>
      </c>
      <c r="AU342" s="5008"/>
      <c r="AV342" s="508"/>
      <c r="AW342" s="4957"/>
      <c r="AX342" s="517">
        <f t="shared" si="442"/>
        <v>15571.98</v>
      </c>
      <c r="AY342" s="5008"/>
      <c r="AZ342" s="610"/>
      <c r="BA342" s="4953"/>
      <c r="BB342" s="611">
        <f t="shared" si="448"/>
        <v>0</v>
      </c>
      <c r="BC342" s="4972"/>
      <c r="BD342" s="1287">
        <f t="shared" si="443"/>
        <v>0</v>
      </c>
      <c r="BE342" s="4957"/>
      <c r="BF342" s="517">
        <f t="shared" si="444"/>
        <v>15571.98</v>
      </c>
      <c r="BG342" s="1726"/>
      <c r="BH342" s="1726"/>
      <c r="BI342" s="1726"/>
      <c r="BJ342" s="1726"/>
      <c r="BK342" s="1726"/>
      <c r="BL342" s="1726"/>
      <c r="BM342" s="1726"/>
      <c r="BN342" s="1726"/>
      <c r="BO342" s="1726"/>
      <c r="BP342" s="1726"/>
      <c r="BQ342" s="1726"/>
      <c r="BR342" s="1726"/>
      <c r="BS342" s="1726"/>
      <c r="BT342" s="1726"/>
      <c r="BU342" s="1726"/>
      <c r="BV342" s="1726"/>
      <c r="BW342" s="1726"/>
      <c r="BX342" s="1726"/>
      <c r="BY342" s="1726"/>
      <c r="BZ342" s="1726"/>
      <c r="CA342" s="1726"/>
      <c r="CB342" s="1726"/>
      <c r="CC342" s="1726"/>
    </row>
    <row r="343" spans="2:81" s="1503" customFormat="1" ht="18.75" x14ac:dyDescent="0.25">
      <c r="B343" s="2128" t="s">
        <v>1320</v>
      </c>
      <c r="C343" s="2058" t="s">
        <v>53</v>
      </c>
      <c r="D343" s="3953"/>
      <c r="E343" s="5008"/>
      <c r="F343" s="508"/>
      <c r="G343" s="5037"/>
      <c r="H343" s="508"/>
      <c r="I343" s="4957"/>
      <c r="J343" s="517">
        <f t="shared" si="435"/>
        <v>0</v>
      </c>
      <c r="K343" s="5008"/>
      <c r="L343" s="508"/>
      <c r="M343" s="4953"/>
      <c r="N343" s="611">
        <f t="shared" si="436"/>
        <v>0</v>
      </c>
      <c r="O343" s="5008"/>
      <c r="P343" s="508"/>
      <c r="Q343" s="4957"/>
      <c r="R343" s="3928">
        <f t="shared" si="418"/>
        <v>0</v>
      </c>
      <c r="S343" s="5008"/>
      <c r="T343" s="508"/>
      <c r="U343" s="4957"/>
      <c r="V343" s="3928">
        <f t="shared" si="437"/>
        <v>0</v>
      </c>
      <c r="W343" s="5008"/>
      <c r="X343" s="508"/>
      <c r="Y343" s="4953"/>
      <c r="Z343" s="611">
        <f t="shared" si="445"/>
        <v>0</v>
      </c>
      <c r="AA343" s="4972"/>
      <c r="AB343" s="1287">
        <f t="shared" si="438"/>
        <v>0</v>
      </c>
      <c r="AC343" s="5008"/>
      <c r="AD343" s="508">
        <v>0</v>
      </c>
      <c r="AE343" s="4957"/>
      <c r="AF343" s="3928">
        <f t="shared" si="439"/>
        <v>0</v>
      </c>
      <c r="AG343" s="5008"/>
      <c r="AH343" s="508"/>
      <c r="AI343" s="4957"/>
      <c r="AJ343" s="3928">
        <f t="shared" si="446"/>
        <v>0</v>
      </c>
      <c r="AK343" s="5008"/>
      <c r="AL343" s="508"/>
      <c r="AM343" s="4953"/>
      <c r="AN343" s="611">
        <f t="shared" si="447"/>
        <v>0</v>
      </c>
      <c r="AO343" s="4957"/>
      <c r="AP343" s="517">
        <f t="shared" si="440"/>
        <v>0</v>
      </c>
      <c r="AQ343" s="5008"/>
      <c r="AR343" s="508">
        <v>0</v>
      </c>
      <c r="AS343" s="4957"/>
      <c r="AT343" s="517">
        <f t="shared" si="441"/>
        <v>0</v>
      </c>
      <c r="AU343" s="5008"/>
      <c r="AV343" s="508"/>
      <c r="AW343" s="4957"/>
      <c r="AX343" s="517">
        <f t="shared" si="442"/>
        <v>0</v>
      </c>
      <c r="AY343" s="5008"/>
      <c r="AZ343" s="610"/>
      <c r="BA343" s="4953"/>
      <c r="BB343" s="611">
        <f t="shared" si="448"/>
        <v>0</v>
      </c>
      <c r="BC343" s="4972"/>
      <c r="BD343" s="1287">
        <f t="shared" si="443"/>
        <v>0</v>
      </c>
      <c r="BE343" s="4957"/>
      <c r="BF343" s="517">
        <f t="shared" si="444"/>
        <v>0</v>
      </c>
      <c r="BG343" s="1726"/>
      <c r="BH343" s="1726"/>
      <c r="BI343" s="1726"/>
      <c r="BJ343" s="1726"/>
      <c r="BK343" s="1726"/>
      <c r="BL343" s="1726"/>
      <c r="BM343" s="1726"/>
      <c r="BN343" s="1726"/>
      <c r="BO343" s="1726"/>
      <c r="BP343" s="1726"/>
      <c r="BQ343" s="1726"/>
      <c r="BR343" s="1726"/>
      <c r="BS343" s="1726"/>
      <c r="BT343" s="1726"/>
      <c r="BU343" s="1726"/>
      <c r="BV343" s="1726"/>
      <c r="BW343" s="1726"/>
      <c r="BX343" s="1726"/>
      <c r="BY343" s="1726"/>
      <c r="BZ343" s="1726"/>
      <c r="CA343" s="1726"/>
      <c r="CB343" s="1726"/>
      <c r="CC343" s="1726"/>
    </row>
    <row r="344" spans="2:81" s="570" customFormat="1" ht="18.75" x14ac:dyDescent="0.25">
      <c r="B344" s="2128" t="s">
        <v>851</v>
      </c>
      <c r="C344" s="2058" t="s">
        <v>53</v>
      </c>
      <c r="D344" s="3953"/>
      <c r="E344" s="5008"/>
      <c r="F344" s="508"/>
      <c r="G344" s="5037"/>
      <c r="H344" s="508"/>
      <c r="I344" s="4957"/>
      <c r="J344" s="517">
        <f t="shared" si="435"/>
        <v>0</v>
      </c>
      <c r="K344" s="5008"/>
      <c r="L344" s="508"/>
      <c r="M344" s="4953"/>
      <c r="N344" s="611">
        <f t="shared" si="436"/>
        <v>0</v>
      </c>
      <c r="O344" s="5008"/>
      <c r="P344" s="508"/>
      <c r="Q344" s="4957"/>
      <c r="R344" s="3928">
        <f t="shared" si="418"/>
        <v>0</v>
      </c>
      <c r="S344" s="5008"/>
      <c r="T344" s="508"/>
      <c r="U344" s="4957"/>
      <c r="V344" s="3928">
        <f t="shared" si="437"/>
        <v>0</v>
      </c>
      <c r="W344" s="5008"/>
      <c r="X344" s="508"/>
      <c r="Y344" s="4953"/>
      <c r="Z344" s="611">
        <f t="shared" si="445"/>
        <v>0</v>
      </c>
      <c r="AA344" s="4972"/>
      <c r="AB344" s="1287">
        <f t="shared" si="438"/>
        <v>0</v>
      </c>
      <c r="AC344" s="5008"/>
      <c r="AD344" s="508">
        <v>0</v>
      </c>
      <c r="AE344" s="4957"/>
      <c r="AF344" s="3928">
        <f t="shared" si="439"/>
        <v>0</v>
      </c>
      <c r="AG344" s="5008"/>
      <c r="AH344" s="508"/>
      <c r="AI344" s="4957"/>
      <c r="AJ344" s="3928">
        <f t="shared" si="446"/>
        <v>0</v>
      </c>
      <c r="AK344" s="5008"/>
      <c r="AL344" s="508"/>
      <c r="AM344" s="4953"/>
      <c r="AN344" s="611">
        <f t="shared" si="447"/>
        <v>0</v>
      </c>
      <c r="AO344" s="4957"/>
      <c r="AP344" s="517">
        <f t="shared" si="440"/>
        <v>0</v>
      </c>
      <c r="AQ344" s="5008"/>
      <c r="AR344" s="508"/>
      <c r="AS344" s="4957"/>
      <c r="AT344" s="517">
        <f t="shared" si="441"/>
        <v>0</v>
      </c>
      <c r="AU344" s="5008"/>
      <c r="AV344" s="508"/>
      <c r="AW344" s="4957"/>
      <c r="AX344" s="517">
        <f t="shared" si="442"/>
        <v>0</v>
      </c>
      <c r="AY344" s="5008"/>
      <c r="AZ344" s="610"/>
      <c r="BA344" s="4953"/>
      <c r="BB344" s="611">
        <f t="shared" si="448"/>
        <v>0</v>
      </c>
      <c r="BC344" s="4972">
        <f t="shared" si="443"/>
        <v>0</v>
      </c>
      <c r="BD344" s="1287">
        <f t="shared" si="443"/>
        <v>0</v>
      </c>
      <c r="BE344" s="4957"/>
      <c r="BF344" s="517">
        <f t="shared" si="444"/>
        <v>0</v>
      </c>
      <c r="BG344" s="1726"/>
      <c r="BH344" s="1726"/>
      <c r="BI344" s="1726">
        <v>197220</v>
      </c>
      <c r="BJ344" s="1726"/>
      <c r="BK344" s="1726"/>
      <c r="BL344" s="1726"/>
      <c r="BM344" s="1726"/>
      <c r="BN344" s="1726"/>
      <c r="BO344" s="1726"/>
      <c r="BP344" s="1726"/>
      <c r="BQ344" s="1726"/>
      <c r="BR344" s="1726"/>
      <c r="BS344" s="1726"/>
      <c r="BT344" s="1726"/>
      <c r="BU344" s="1726"/>
      <c r="BV344" s="1726"/>
      <c r="BW344" s="1726"/>
      <c r="BX344" s="1726"/>
      <c r="BY344" s="1726"/>
      <c r="BZ344" s="1726"/>
      <c r="CA344" s="1726"/>
      <c r="CB344" s="1726"/>
      <c r="CC344" s="1726"/>
    </row>
    <row r="345" spans="2:81" s="1107" customFormat="1" ht="18.75" x14ac:dyDescent="0.25">
      <c r="B345" s="2170" t="s">
        <v>1543</v>
      </c>
      <c r="C345" s="2058" t="s">
        <v>53</v>
      </c>
      <c r="D345" s="3953"/>
      <c r="E345" s="5008"/>
      <c r="F345" s="508"/>
      <c r="G345" s="5037"/>
      <c r="H345" s="508"/>
      <c r="I345" s="4957"/>
      <c r="J345" s="517">
        <f t="shared" si="435"/>
        <v>0</v>
      </c>
      <c r="K345" s="5008"/>
      <c r="L345" s="508"/>
      <c r="M345" s="4953"/>
      <c r="N345" s="611">
        <f t="shared" si="436"/>
        <v>0</v>
      </c>
      <c r="O345" s="5008"/>
      <c r="P345" s="508"/>
      <c r="Q345" s="4957"/>
      <c r="R345" s="3928">
        <f t="shared" si="418"/>
        <v>0</v>
      </c>
      <c r="S345" s="5008"/>
      <c r="T345" s="508"/>
      <c r="U345" s="4957"/>
      <c r="V345" s="3928">
        <f t="shared" si="437"/>
        <v>0</v>
      </c>
      <c r="W345" s="5008"/>
      <c r="X345" s="508"/>
      <c r="Y345" s="4953"/>
      <c r="Z345" s="611">
        <f t="shared" si="445"/>
        <v>0</v>
      </c>
      <c r="AA345" s="4972"/>
      <c r="AB345" s="1287">
        <f t="shared" si="438"/>
        <v>0</v>
      </c>
      <c r="AC345" s="5008"/>
      <c r="AD345" s="508"/>
      <c r="AE345" s="4957"/>
      <c r="AF345" s="3928">
        <f t="shared" si="439"/>
        <v>0</v>
      </c>
      <c r="AG345" s="5008"/>
      <c r="AH345" s="508"/>
      <c r="AI345" s="4957"/>
      <c r="AJ345" s="3928">
        <f t="shared" si="446"/>
        <v>0</v>
      </c>
      <c r="AK345" s="5008"/>
      <c r="AL345" s="508"/>
      <c r="AM345" s="4953"/>
      <c r="AN345" s="611">
        <f t="shared" si="447"/>
        <v>0</v>
      </c>
      <c r="AO345" s="4957"/>
      <c r="AP345" s="517">
        <f t="shared" si="440"/>
        <v>0</v>
      </c>
      <c r="AQ345" s="5008"/>
      <c r="AR345" s="508"/>
      <c r="AS345" s="4957"/>
      <c r="AT345" s="517">
        <f t="shared" si="441"/>
        <v>0</v>
      </c>
      <c r="AU345" s="5008"/>
      <c r="AV345" s="508"/>
      <c r="AW345" s="4957"/>
      <c r="AX345" s="517">
        <f t="shared" si="442"/>
        <v>0</v>
      </c>
      <c r="AY345" s="5008"/>
      <c r="AZ345" s="610"/>
      <c r="BA345" s="4953"/>
      <c r="BB345" s="611">
        <f t="shared" si="448"/>
        <v>0</v>
      </c>
      <c r="BC345" s="4972">
        <f t="shared" si="443"/>
        <v>0</v>
      </c>
      <c r="BD345" s="1287">
        <f t="shared" si="443"/>
        <v>0</v>
      </c>
      <c r="BE345" s="4957"/>
      <c r="BF345" s="517">
        <f t="shared" si="444"/>
        <v>0</v>
      </c>
      <c r="BG345" s="1726"/>
      <c r="BH345" s="1726"/>
      <c r="BI345" s="1726">
        <v>67333</v>
      </c>
      <c r="BJ345" s="1726"/>
      <c r="BK345" s="1726"/>
      <c r="BL345" s="1726"/>
      <c r="BM345" s="1726"/>
      <c r="BN345" s="1726"/>
      <c r="BO345" s="1726"/>
      <c r="BP345" s="1726"/>
      <c r="BQ345" s="1726"/>
      <c r="BR345" s="1726"/>
      <c r="BS345" s="1726"/>
      <c r="BT345" s="1726"/>
      <c r="BU345" s="1726"/>
      <c r="BV345" s="1726"/>
      <c r="BW345" s="1726"/>
      <c r="BX345" s="1726"/>
      <c r="BY345" s="1726"/>
      <c r="BZ345" s="1726"/>
      <c r="CA345" s="1726"/>
      <c r="CB345" s="1726"/>
      <c r="CC345" s="1726"/>
    </row>
    <row r="346" spans="2:81" s="1107" customFormat="1" ht="18.75" x14ac:dyDescent="0.25">
      <c r="B346" s="2128" t="s">
        <v>1544</v>
      </c>
      <c r="C346" s="2058" t="s">
        <v>53</v>
      </c>
      <c r="D346" s="3953"/>
      <c r="E346" s="5008"/>
      <c r="F346" s="508"/>
      <c r="G346" s="5037"/>
      <c r="H346" s="508"/>
      <c r="I346" s="4957"/>
      <c r="J346" s="517">
        <f t="shared" si="435"/>
        <v>0</v>
      </c>
      <c r="K346" s="5008"/>
      <c r="L346" s="508"/>
      <c r="M346" s="4953"/>
      <c r="N346" s="611">
        <f t="shared" si="436"/>
        <v>0</v>
      </c>
      <c r="O346" s="5008"/>
      <c r="P346" s="508"/>
      <c r="Q346" s="4957"/>
      <c r="R346" s="3928">
        <f t="shared" si="418"/>
        <v>0</v>
      </c>
      <c r="S346" s="5008"/>
      <c r="T346" s="508">
        <v>17882.280000000002</v>
      </c>
      <c r="U346" s="4957"/>
      <c r="V346" s="3928">
        <f t="shared" si="437"/>
        <v>17882.280000000002</v>
      </c>
      <c r="W346" s="5008"/>
      <c r="X346" s="508"/>
      <c r="Y346" s="4953"/>
      <c r="Z346" s="611">
        <f t="shared" si="445"/>
        <v>17882.280000000002</v>
      </c>
      <c r="AA346" s="4972"/>
      <c r="AB346" s="1287">
        <f t="shared" si="438"/>
        <v>17882.280000000002</v>
      </c>
      <c r="AC346" s="5008"/>
      <c r="AD346" s="508">
        <v>0</v>
      </c>
      <c r="AE346" s="4957"/>
      <c r="AF346" s="3928">
        <f t="shared" si="439"/>
        <v>17882.280000000002</v>
      </c>
      <c r="AG346" s="5008"/>
      <c r="AH346" s="508"/>
      <c r="AI346" s="4957"/>
      <c r="AJ346" s="3928">
        <f t="shared" si="446"/>
        <v>17882.280000000002</v>
      </c>
      <c r="AK346" s="5008"/>
      <c r="AL346" s="508"/>
      <c r="AM346" s="4953"/>
      <c r="AN346" s="611">
        <f t="shared" si="447"/>
        <v>0</v>
      </c>
      <c r="AO346" s="4957"/>
      <c r="AP346" s="517">
        <f t="shared" si="440"/>
        <v>17882.280000000002</v>
      </c>
      <c r="AQ346" s="5008"/>
      <c r="AR346" s="508"/>
      <c r="AS346" s="4957"/>
      <c r="AT346" s="517">
        <f t="shared" si="441"/>
        <v>17882.280000000002</v>
      </c>
      <c r="AU346" s="5008"/>
      <c r="AV346" s="508"/>
      <c r="AW346" s="4957"/>
      <c r="AX346" s="517">
        <f t="shared" si="442"/>
        <v>17882.280000000002</v>
      </c>
      <c r="AY346" s="5008"/>
      <c r="AZ346" s="610"/>
      <c r="BA346" s="4953"/>
      <c r="BB346" s="611">
        <f t="shared" si="448"/>
        <v>0</v>
      </c>
      <c r="BC346" s="4972">
        <f t="shared" si="443"/>
        <v>0</v>
      </c>
      <c r="BD346" s="1287">
        <f t="shared" si="443"/>
        <v>0</v>
      </c>
      <c r="BE346" s="4957"/>
      <c r="BF346" s="517">
        <f t="shared" si="444"/>
        <v>17882.280000000002</v>
      </c>
      <c r="BG346" s="1726"/>
      <c r="BH346" s="1726"/>
      <c r="BI346" s="1726">
        <f>SUM(BI344:BI345)</f>
        <v>264553</v>
      </c>
      <c r="BJ346" s="1726"/>
      <c r="BK346" s="1726"/>
      <c r="BL346" s="1726"/>
      <c r="BM346" s="1726"/>
      <c r="BN346" s="1726"/>
      <c r="BO346" s="1726"/>
      <c r="BP346" s="1726"/>
      <c r="BQ346" s="1726"/>
      <c r="BR346" s="1726"/>
      <c r="BS346" s="1726"/>
      <c r="BT346" s="1726"/>
      <c r="BU346" s="1726"/>
      <c r="BV346" s="1726"/>
      <c r="BW346" s="1726"/>
      <c r="BX346" s="1726"/>
      <c r="BY346" s="1726"/>
      <c r="BZ346" s="1726"/>
      <c r="CA346" s="1726"/>
      <c r="CB346" s="1726"/>
      <c r="CC346" s="1726"/>
    </row>
    <row r="347" spans="2:81" s="1588" customFormat="1" ht="18.75" x14ac:dyDescent="0.25">
      <c r="B347" s="2170" t="s">
        <v>1431</v>
      </c>
      <c r="C347" s="2058"/>
      <c r="D347" s="3953"/>
      <c r="E347" s="5008"/>
      <c r="F347" s="508"/>
      <c r="G347" s="5037"/>
      <c r="H347" s="508"/>
      <c r="I347" s="4957"/>
      <c r="J347" s="517"/>
      <c r="K347" s="5008"/>
      <c r="L347" s="508"/>
      <c r="M347" s="4953"/>
      <c r="N347" s="611">
        <f t="shared" si="436"/>
        <v>0</v>
      </c>
      <c r="O347" s="5008"/>
      <c r="P347" s="508"/>
      <c r="Q347" s="4957"/>
      <c r="R347" s="3928">
        <f t="shared" si="418"/>
        <v>0</v>
      </c>
      <c r="S347" s="5008"/>
      <c r="T347" s="508"/>
      <c r="U347" s="4957"/>
      <c r="V347" s="3928">
        <f t="shared" si="437"/>
        <v>0</v>
      </c>
      <c r="W347" s="5008"/>
      <c r="X347" s="508"/>
      <c r="Y347" s="4953"/>
      <c r="Z347" s="611">
        <f t="shared" si="445"/>
        <v>0</v>
      </c>
      <c r="AA347" s="4972"/>
      <c r="AB347" s="1287">
        <f t="shared" si="438"/>
        <v>0</v>
      </c>
      <c r="AC347" s="5008"/>
      <c r="AD347" s="508"/>
      <c r="AE347" s="4957"/>
      <c r="AF347" s="3928">
        <f t="shared" si="439"/>
        <v>0</v>
      </c>
      <c r="AG347" s="5008"/>
      <c r="AH347" s="508"/>
      <c r="AI347" s="4957"/>
      <c r="AJ347" s="3928">
        <f t="shared" si="446"/>
        <v>0</v>
      </c>
      <c r="AK347" s="5008"/>
      <c r="AL347" s="508"/>
      <c r="AM347" s="4953"/>
      <c r="AN347" s="611">
        <f t="shared" si="447"/>
        <v>0</v>
      </c>
      <c r="AO347" s="4957"/>
      <c r="AP347" s="517">
        <f t="shared" si="440"/>
        <v>0</v>
      </c>
      <c r="AQ347" s="5008"/>
      <c r="AR347" s="508"/>
      <c r="AS347" s="4957"/>
      <c r="AT347" s="517">
        <f t="shared" si="441"/>
        <v>0</v>
      </c>
      <c r="AU347" s="5008"/>
      <c r="AV347" s="508"/>
      <c r="AW347" s="4957"/>
      <c r="AX347" s="517">
        <f t="shared" si="442"/>
        <v>0</v>
      </c>
      <c r="AY347" s="5008"/>
      <c r="AZ347" s="610"/>
      <c r="BA347" s="4953"/>
      <c r="BB347" s="611">
        <f t="shared" si="448"/>
        <v>0</v>
      </c>
      <c r="BC347" s="4972"/>
      <c r="BD347" s="1287">
        <f t="shared" si="443"/>
        <v>0</v>
      </c>
      <c r="BE347" s="4957"/>
      <c r="BF347" s="517">
        <f t="shared" si="444"/>
        <v>0</v>
      </c>
      <c r="BG347" s="1726"/>
      <c r="BH347" s="1726"/>
      <c r="BI347" s="1726"/>
      <c r="BJ347" s="1726"/>
      <c r="BK347" s="1726"/>
      <c r="BL347" s="1726"/>
      <c r="BM347" s="1726"/>
      <c r="BN347" s="1726"/>
      <c r="BO347" s="1726"/>
      <c r="BP347" s="1726"/>
      <c r="BQ347" s="1726"/>
      <c r="BR347" s="1726"/>
      <c r="BS347" s="1726"/>
      <c r="BT347" s="1726"/>
      <c r="BU347" s="1726"/>
      <c r="BV347" s="1726"/>
      <c r="BW347" s="1726"/>
      <c r="BX347" s="1726"/>
      <c r="BY347" s="1726"/>
      <c r="BZ347" s="1726"/>
      <c r="CA347" s="1726"/>
      <c r="CB347" s="1726"/>
      <c r="CC347" s="1726"/>
    </row>
    <row r="348" spans="2:81" s="1588" customFormat="1" ht="18.75" x14ac:dyDescent="0.25">
      <c r="B348" s="2128" t="s">
        <v>1321</v>
      </c>
      <c r="C348" s="2058" t="s">
        <v>53</v>
      </c>
      <c r="D348" s="3953"/>
      <c r="E348" s="5008"/>
      <c r="F348" s="508"/>
      <c r="G348" s="5037"/>
      <c r="H348" s="508"/>
      <c r="I348" s="4957"/>
      <c r="J348" s="517"/>
      <c r="K348" s="5008"/>
      <c r="L348" s="508"/>
      <c r="M348" s="4953"/>
      <c r="N348" s="611">
        <f t="shared" si="436"/>
        <v>0</v>
      </c>
      <c r="O348" s="5008"/>
      <c r="P348" s="508">
        <v>19193.499999999996</v>
      </c>
      <c r="Q348" s="4957"/>
      <c r="R348" s="3928">
        <f t="shared" si="418"/>
        <v>19193.499999999996</v>
      </c>
      <c r="S348" s="5008"/>
      <c r="T348" s="508"/>
      <c r="U348" s="4957"/>
      <c r="V348" s="3928">
        <f t="shared" si="437"/>
        <v>19193.499999999996</v>
      </c>
      <c r="W348" s="5008"/>
      <c r="X348" s="508"/>
      <c r="Y348" s="4953"/>
      <c r="Z348" s="611">
        <f t="shared" si="445"/>
        <v>19193.499999999996</v>
      </c>
      <c r="AA348" s="4972"/>
      <c r="AB348" s="1287">
        <f t="shared" si="438"/>
        <v>19193.499999999996</v>
      </c>
      <c r="AC348" s="5008"/>
      <c r="AD348" s="508">
        <v>0</v>
      </c>
      <c r="AE348" s="4957"/>
      <c r="AF348" s="3928">
        <f t="shared" si="439"/>
        <v>19193.499999999996</v>
      </c>
      <c r="AG348" s="5008"/>
      <c r="AH348" s="508"/>
      <c r="AI348" s="4957"/>
      <c r="AJ348" s="3928">
        <f t="shared" si="446"/>
        <v>19193.499999999996</v>
      </c>
      <c r="AK348" s="5008"/>
      <c r="AL348" s="508"/>
      <c r="AM348" s="4953"/>
      <c r="AN348" s="611">
        <f t="shared" si="447"/>
        <v>0</v>
      </c>
      <c r="AO348" s="4957"/>
      <c r="AP348" s="517">
        <f t="shared" si="440"/>
        <v>19193.499999999996</v>
      </c>
      <c r="AQ348" s="5008"/>
      <c r="AR348" s="508">
        <v>18138.3</v>
      </c>
      <c r="AS348" s="4957"/>
      <c r="AT348" s="517">
        <f t="shared" si="441"/>
        <v>37331.799999999996</v>
      </c>
      <c r="AU348" s="5008"/>
      <c r="AV348" s="508"/>
      <c r="AW348" s="4957"/>
      <c r="AX348" s="517">
        <f t="shared" si="442"/>
        <v>37331.799999999996</v>
      </c>
      <c r="AY348" s="5008"/>
      <c r="AZ348" s="610"/>
      <c r="BA348" s="4953"/>
      <c r="BB348" s="611">
        <f t="shared" si="448"/>
        <v>18138.3</v>
      </c>
      <c r="BC348" s="4972"/>
      <c r="BD348" s="1287">
        <f t="shared" si="443"/>
        <v>18138.3</v>
      </c>
      <c r="BE348" s="4957"/>
      <c r="BF348" s="517">
        <f t="shared" si="444"/>
        <v>37331.799999999996</v>
      </c>
      <c r="BG348" s="1726"/>
      <c r="BH348" s="1726"/>
      <c r="BI348" s="1726">
        <v>234765.52999999997</v>
      </c>
      <c r="BJ348" s="1726"/>
      <c r="BK348" s="1726"/>
      <c r="BL348" s="1726"/>
      <c r="BM348" s="1726"/>
      <c r="BN348" s="1726"/>
      <c r="BO348" s="1726"/>
      <c r="BP348" s="1726"/>
      <c r="BQ348" s="1726"/>
      <c r="BR348" s="1726"/>
      <c r="BS348" s="1726"/>
      <c r="BT348" s="1726"/>
      <c r="BU348" s="1726"/>
      <c r="BV348" s="1726"/>
      <c r="BW348" s="1726"/>
      <c r="BX348" s="1726"/>
      <c r="BY348" s="1726"/>
      <c r="BZ348" s="1726"/>
      <c r="CA348" s="1726"/>
      <c r="CB348" s="1726"/>
      <c r="CC348" s="1726"/>
    </row>
    <row r="349" spans="2:81" s="944" customFormat="1" ht="18.75" x14ac:dyDescent="0.25">
      <c r="B349" s="2170" t="s">
        <v>1039</v>
      </c>
      <c r="C349" s="2058" t="s">
        <v>53</v>
      </c>
      <c r="D349" s="3953"/>
      <c r="E349" s="5008"/>
      <c r="F349" s="508"/>
      <c r="G349" s="5037"/>
      <c r="H349" s="508"/>
      <c r="I349" s="4957"/>
      <c r="J349" s="517">
        <f t="shared" si="435"/>
        <v>0</v>
      </c>
      <c r="K349" s="5008"/>
      <c r="L349" s="508"/>
      <c r="M349" s="4953"/>
      <c r="N349" s="611">
        <f t="shared" si="436"/>
        <v>0</v>
      </c>
      <c r="O349" s="5008"/>
      <c r="P349" s="508"/>
      <c r="Q349" s="4957"/>
      <c r="R349" s="3928">
        <f t="shared" si="418"/>
        <v>0</v>
      </c>
      <c r="S349" s="5008"/>
      <c r="T349" s="508"/>
      <c r="U349" s="4957"/>
      <c r="V349" s="3928">
        <f t="shared" si="437"/>
        <v>0</v>
      </c>
      <c r="W349" s="5008"/>
      <c r="X349" s="508"/>
      <c r="Y349" s="4953"/>
      <c r="Z349" s="611">
        <f t="shared" si="445"/>
        <v>0</v>
      </c>
      <c r="AA349" s="4972"/>
      <c r="AB349" s="1287">
        <f t="shared" si="438"/>
        <v>0</v>
      </c>
      <c r="AC349" s="5008"/>
      <c r="AD349" s="508"/>
      <c r="AE349" s="4957"/>
      <c r="AF349" s="3928">
        <f t="shared" si="439"/>
        <v>0</v>
      </c>
      <c r="AG349" s="5008"/>
      <c r="AH349" s="508"/>
      <c r="AI349" s="4957"/>
      <c r="AJ349" s="3928">
        <f t="shared" si="446"/>
        <v>0</v>
      </c>
      <c r="AK349" s="5008"/>
      <c r="AL349" s="508"/>
      <c r="AM349" s="4953"/>
      <c r="AN349" s="611">
        <f t="shared" si="447"/>
        <v>0</v>
      </c>
      <c r="AO349" s="4957"/>
      <c r="AP349" s="517">
        <f t="shared" si="440"/>
        <v>0</v>
      </c>
      <c r="AQ349" s="5008"/>
      <c r="AR349" s="508"/>
      <c r="AS349" s="4957"/>
      <c r="AT349" s="517">
        <f t="shared" si="441"/>
        <v>0</v>
      </c>
      <c r="AU349" s="5008"/>
      <c r="AV349" s="508"/>
      <c r="AW349" s="4957"/>
      <c r="AX349" s="517">
        <f t="shared" si="442"/>
        <v>0</v>
      </c>
      <c r="AY349" s="5008"/>
      <c r="AZ349" s="610"/>
      <c r="BA349" s="4953"/>
      <c r="BB349" s="611">
        <f t="shared" si="448"/>
        <v>0</v>
      </c>
      <c r="BC349" s="4972">
        <f t="shared" si="443"/>
        <v>0</v>
      </c>
      <c r="BD349" s="1287">
        <f t="shared" si="443"/>
        <v>0</v>
      </c>
      <c r="BE349" s="4957"/>
      <c r="BF349" s="517">
        <f t="shared" si="444"/>
        <v>0</v>
      </c>
      <c r="BG349" s="1726"/>
      <c r="BH349" s="1726"/>
      <c r="BI349" s="1726"/>
      <c r="BJ349" s="1726"/>
      <c r="BK349" s="1726"/>
      <c r="BL349" s="1726"/>
      <c r="BM349" s="1726"/>
      <c r="BN349" s="1726"/>
      <c r="BO349" s="1726"/>
      <c r="BP349" s="1726"/>
      <c r="BQ349" s="1726"/>
      <c r="BR349" s="1726"/>
      <c r="BS349" s="1726"/>
      <c r="BT349" s="1726"/>
      <c r="BU349" s="1726"/>
      <c r="BV349" s="1726"/>
      <c r="BW349" s="1726"/>
      <c r="BX349" s="1726"/>
      <c r="BY349" s="1726"/>
      <c r="BZ349" s="1726"/>
      <c r="CA349" s="1726"/>
      <c r="CB349" s="1726"/>
      <c r="CC349" s="1726"/>
    </row>
    <row r="350" spans="2:81" s="944" customFormat="1" ht="18.75" x14ac:dyDescent="0.25">
      <c r="B350" s="2128" t="s">
        <v>851</v>
      </c>
      <c r="C350" s="2058" t="s">
        <v>53</v>
      </c>
      <c r="D350" s="3953"/>
      <c r="E350" s="5008"/>
      <c r="F350" s="508"/>
      <c r="G350" s="5037"/>
      <c r="H350" s="508"/>
      <c r="I350" s="4957"/>
      <c r="J350" s="517">
        <f t="shared" si="435"/>
        <v>0</v>
      </c>
      <c r="K350" s="5008"/>
      <c r="L350" s="508"/>
      <c r="M350" s="4953"/>
      <c r="N350" s="611">
        <f t="shared" si="436"/>
        <v>0</v>
      </c>
      <c r="O350" s="5008"/>
      <c r="P350" s="508"/>
      <c r="Q350" s="4957"/>
      <c r="R350" s="3928">
        <f t="shared" si="418"/>
        <v>0</v>
      </c>
      <c r="S350" s="5008"/>
      <c r="T350" s="508"/>
      <c r="U350" s="4957"/>
      <c r="V350" s="3928">
        <f t="shared" si="437"/>
        <v>0</v>
      </c>
      <c r="W350" s="5008"/>
      <c r="X350" s="508"/>
      <c r="Y350" s="4953"/>
      <c r="Z350" s="611">
        <f t="shared" si="445"/>
        <v>0</v>
      </c>
      <c r="AA350" s="4972"/>
      <c r="AB350" s="1287">
        <f t="shared" si="438"/>
        <v>0</v>
      </c>
      <c r="AC350" s="5008"/>
      <c r="AD350" s="508">
        <v>0</v>
      </c>
      <c r="AE350" s="4957"/>
      <c r="AF350" s="3928">
        <f t="shared" si="439"/>
        <v>0</v>
      </c>
      <c r="AG350" s="5008"/>
      <c r="AH350" s="508"/>
      <c r="AI350" s="4957"/>
      <c r="AJ350" s="3928">
        <f t="shared" si="446"/>
        <v>0</v>
      </c>
      <c r="AK350" s="5008"/>
      <c r="AL350" s="508"/>
      <c r="AM350" s="4953"/>
      <c r="AN350" s="611">
        <f t="shared" si="447"/>
        <v>0</v>
      </c>
      <c r="AO350" s="4957"/>
      <c r="AP350" s="517">
        <f t="shared" si="440"/>
        <v>0</v>
      </c>
      <c r="AQ350" s="5008"/>
      <c r="AR350" s="508"/>
      <c r="AS350" s="4957"/>
      <c r="AT350" s="517">
        <f t="shared" si="441"/>
        <v>0</v>
      </c>
      <c r="AU350" s="5008"/>
      <c r="AV350" s="508"/>
      <c r="AW350" s="4957"/>
      <c r="AX350" s="517">
        <f t="shared" si="442"/>
        <v>0</v>
      </c>
      <c r="AY350" s="5008"/>
      <c r="AZ350" s="610"/>
      <c r="BA350" s="4953"/>
      <c r="BB350" s="611">
        <f t="shared" si="448"/>
        <v>0</v>
      </c>
      <c r="BC350" s="4972">
        <f t="shared" si="443"/>
        <v>0</v>
      </c>
      <c r="BD350" s="1287">
        <f t="shared" si="443"/>
        <v>0</v>
      </c>
      <c r="BE350" s="4957"/>
      <c r="BF350" s="517">
        <f t="shared" si="444"/>
        <v>0</v>
      </c>
      <c r="BG350" s="1726"/>
      <c r="BH350" s="1726"/>
      <c r="BI350" s="1726"/>
      <c r="BJ350" s="1726"/>
      <c r="BK350" s="1726"/>
      <c r="BL350" s="1726"/>
      <c r="BM350" s="1726"/>
      <c r="BN350" s="1726"/>
      <c r="BO350" s="1726"/>
      <c r="BP350" s="1726"/>
      <c r="BQ350" s="1726"/>
      <c r="BR350" s="1726"/>
      <c r="BS350" s="1726"/>
      <c r="BT350" s="1726"/>
      <c r="BU350" s="1726"/>
      <c r="BV350" s="1726"/>
      <c r="BW350" s="1726"/>
      <c r="BX350" s="1726"/>
      <c r="BY350" s="1726"/>
      <c r="BZ350" s="1726"/>
      <c r="CA350" s="1726"/>
      <c r="CB350" s="1726"/>
      <c r="CC350" s="1726"/>
    </row>
    <row r="351" spans="2:81" s="570" customFormat="1" ht="18.75" x14ac:dyDescent="0.25">
      <c r="B351" s="2170" t="s">
        <v>1414</v>
      </c>
      <c r="C351" s="2058" t="s">
        <v>53</v>
      </c>
      <c r="D351" s="3953"/>
      <c r="E351" s="5008"/>
      <c r="F351" s="508"/>
      <c r="G351" s="5037"/>
      <c r="H351" s="508"/>
      <c r="I351" s="4957"/>
      <c r="J351" s="517">
        <f t="shared" si="435"/>
        <v>0</v>
      </c>
      <c r="K351" s="5008"/>
      <c r="L351" s="508"/>
      <c r="M351" s="4953"/>
      <c r="N351" s="611">
        <f t="shared" si="436"/>
        <v>0</v>
      </c>
      <c r="O351" s="5008"/>
      <c r="P351" s="508"/>
      <c r="Q351" s="4957"/>
      <c r="R351" s="3928">
        <f t="shared" si="418"/>
        <v>0</v>
      </c>
      <c r="S351" s="5008"/>
      <c r="T351" s="508"/>
      <c r="U351" s="4957"/>
      <c r="V351" s="3928">
        <f t="shared" si="437"/>
        <v>0</v>
      </c>
      <c r="W351" s="5008"/>
      <c r="X351" s="508"/>
      <c r="Y351" s="4953"/>
      <c r="Z351" s="611">
        <f t="shared" si="445"/>
        <v>0</v>
      </c>
      <c r="AA351" s="4972"/>
      <c r="AB351" s="1287">
        <f t="shared" si="438"/>
        <v>0</v>
      </c>
      <c r="AC351" s="5008"/>
      <c r="AD351" s="508"/>
      <c r="AE351" s="4957"/>
      <c r="AF351" s="3928">
        <f t="shared" si="439"/>
        <v>0</v>
      </c>
      <c r="AG351" s="5008"/>
      <c r="AH351" s="508"/>
      <c r="AI351" s="4957"/>
      <c r="AJ351" s="3928">
        <f t="shared" si="446"/>
        <v>0</v>
      </c>
      <c r="AK351" s="5008"/>
      <c r="AL351" s="508"/>
      <c r="AM351" s="4953"/>
      <c r="AN351" s="611">
        <f t="shared" si="447"/>
        <v>0</v>
      </c>
      <c r="AO351" s="4957"/>
      <c r="AP351" s="517">
        <f t="shared" si="440"/>
        <v>0</v>
      </c>
      <c r="AQ351" s="5008"/>
      <c r="AR351" s="508"/>
      <c r="AS351" s="4957"/>
      <c r="AT351" s="517">
        <f t="shared" si="441"/>
        <v>0</v>
      </c>
      <c r="AU351" s="5008"/>
      <c r="AV351" s="508"/>
      <c r="AW351" s="4957"/>
      <c r="AX351" s="517">
        <f t="shared" si="442"/>
        <v>0</v>
      </c>
      <c r="AY351" s="5008"/>
      <c r="AZ351" s="610"/>
      <c r="BA351" s="4953"/>
      <c r="BB351" s="611">
        <f t="shared" si="448"/>
        <v>0</v>
      </c>
      <c r="BC351" s="4972">
        <f t="shared" si="443"/>
        <v>0</v>
      </c>
      <c r="BD351" s="1287">
        <f t="shared" si="443"/>
        <v>0</v>
      </c>
      <c r="BE351" s="4957"/>
      <c r="BF351" s="517">
        <f t="shared" si="444"/>
        <v>0</v>
      </c>
      <c r="BG351" s="1726"/>
      <c r="BH351" s="1726"/>
      <c r="BI351" s="1726">
        <f>+BI346-BI348</f>
        <v>29787.47000000003</v>
      </c>
      <c r="BJ351" s="1726"/>
      <c r="BK351" s="1726"/>
      <c r="BL351" s="1726"/>
      <c r="BM351" s="1726"/>
      <c r="BN351" s="1726"/>
      <c r="BO351" s="1726"/>
      <c r="BP351" s="1726"/>
      <c r="BQ351" s="1726"/>
      <c r="BR351" s="1726"/>
      <c r="BS351" s="1726"/>
      <c r="BT351" s="1726"/>
      <c r="BU351" s="1726"/>
      <c r="BV351" s="1726"/>
      <c r="BW351" s="1726"/>
      <c r="BX351" s="1726"/>
      <c r="BY351" s="1726"/>
      <c r="BZ351" s="1726"/>
      <c r="CA351" s="1726"/>
      <c r="CB351" s="1726"/>
      <c r="CC351" s="1726"/>
    </row>
    <row r="352" spans="2:81" ht="18.75" x14ac:dyDescent="0.25">
      <c r="B352" s="2128" t="s">
        <v>1320</v>
      </c>
      <c r="C352" s="2063" t="s">
        <v>53</v>
      </c>
      <c r="D352" s="3953"/>
      <c r="E352" s="5008"/>
      <c r="F352" s="508"/>
      <c r="G352" s="5037"/>
      <c r="H352" s="508"/>
      <c r="I352" s="4957"/>
      <c r="J352" s="517">
        <f t="shared" si="435"/>
        <v>0</v>
      </c>
      <c r="K352" s="5008"/>
      <c r="L352" s="508">
        <v>8214.8799999999937</v>
      </c>
      <c r="M352" s="4953"/>
      <c r="N352" s="611">
        <f t="shared" si="436"/>
        <v>8214.8799999999937</v>
      </c>
      <c r="O352" s="5008"/>
      <c r="P352" s="508">
        <v>11319.699999999999</v>
      </c>
      <c r="Q352" s="4957"/>
      <c r="R352" s="3928">
        <f t="shared" ref="R352:R383" si="449">+N352+P352</f>
        <v>19534.579999999994</v>
      </c>
      <c r="S352" s="5008"/>
      <c r="T352" s="508"/>
      <c r="U352" s="4957"/>
      <c r="V352" s="3928">
        <f t="shared" si="437"/>
        <v>19534.579999999994</v>
      </c>
      <c r="W352" s="5008"/>
      <c r="X352" s="508"/>
      <c r="Y352" s="4953"/>
      <c r="Z352" s="611">
        <f t="shared" si="445"/>
        <v>11319.699999999999</v>
      </c>
      <c r="AA352" s="4972"/>
      <c r="AB352" s="1287">
        <f t="shared" si="438"/>
        <v>19534.579999999994</v>
      </c>
      <c r="AC352" s="5008"/>
      <c r="AD352" s="508">
        <v>0</v>
      </c>
      <c r="AE352" s="4957"/>
      <c r="AF352" s="3928">
        <f t="shared" si="439"/>
        <v>19534.579999999994</v>
      </c>
      <c r="AG352" s="5008"/>
      <c r="AH352" s="508"/>
      <c r="AI352" s="4957"/>
      <c r="AJ352" s="3928">
        <f t="shared" si="446"/>
        <v>19534.579999999994</v>
      </c>
      <c r="AK352" s="5008"/>
      <c r="AL352" s="508"/>
      <c r="AM352" s="4953"/>
      <c r="AN352" s="611">
        <f t="shared" si="447"/>
        <v>0</v>
      </c>
      <c r="AO352" s="4957"/>
      <c r="AP352" s="517">
        <f t="shared" si="440"/>
        <v>19534.579999999994</v>
      </c>
      <c r="AQ352" s="5008"/>
      <c r="AR352" s="508"/>
      <c r="AS352" s="4957"/>
      <c r="AT352" s="517">
        <f t="shared" si="441"/>
        <v>19534.579999999994</v>
      </c>
      <c r="AU352" s="5008"/>
      <c r="AV352" s="508"/>
      <c r="AW352" s="4957"/>
      <c r="AX352" s="517">
        <f t="shared" si="442"/>
        <v>19534.579999999994</v>
      </c>
      <c r="AY352" s="5008"/>
      <c r="AZ352" s="610"/>
      <c r="BA352" s="4953"/>
      <c r="BB352" s="611">
        <f t="shared" si="448"/>
        <v>0</v>
      </c>
      <c r="BC352" s="4972">
        <f t="shared" si="443"/>
        <v>0</v>
      </c>
      <c r="BD352" s="1287">
        <f t="shared" si="443"/>
        <v>0</v>
      </c>
      <c r="BE352" s="4957"/>
      <c r="BF352" s="517">
        <f t="shared" si="444"/>
        <v>19534.579999999994</v>
      </c>
    </row>
    <row r="353" spans="1:81" ht="18.75" x14ac:dyDescent="0.25">
      <c r="B353" s="2170" t="s">
        <v>1594</v>
      </c>
      <c r="C353" s="2058" t="s">
        <v>53</v>
      </c>
      <c r="D353" s="3953"/>
      <c r="E353" s="5008"/>
      <c r="F353" s="508"/>
      <c r="G353" s="5037"/>
      <c r="H353" s="508"/>
      <c r="I353" s="4957"/>
      <c r="J353" s="517">
        <f t="shared" si="435"/>
        <v>0</v>
      </c>
      <c r="K353" s="5008"/>
      <c r="L353" s="508"/>
      <c r="M353" s="4953"/>
      <c r="N353" s="611">
        <f t="shared" si="436"/>
        <v>0</v>
      </c>
      <c r="O353" s="5008"/>
      <c r="P353" s="508"/>
      <c r="Q353" s="4957"/>
      <c r="R353" s="3928">
        <f t="shared" si="449"/>
        <v>0</v>
      </c>
      <c r="S353" s="5008"/>
      <c r="T353" s="508"/>
      <c r="U353" s="4957"/>
      <c r="V353" s="3928">
        <f t="shared" si="437"/>
        <v>0</v>
      </c>
      <c r="W353" s="5008"/>
      <c r="X353" s="508"/>
      <c r="Y353" s="4953"/>
      <c r="Z353" s="611">
        <f t="shared" si="445"/>
        <v>0</v>
      </c>
      <c r="AA353" s="4972"/>
      <c r="AB353" s="1287">
        <f t="shared" si="438"/>
        <v>0</v>
      </c>
      <c r="AC353" s="5008"/>
      <c r="AD353" s="508"/>
      <c r="AE353" s="4957"/>
      <c r="AF353" s="3928">
        <f t="shared" si="439"/>
        <v>0</v>
      </c>
      <c r="AG353" s="5008"/>
      <c r="AH353" s="508"/>
      <c r="AI353" s="4957"/>
      <c r="AJ353" s="3928">
        <f t="shared" si="446"/>
        <v>0</v>
      </c>
      <c r="AK353" s="5008"/>
      <c r="AL353" s="508"/>
      <c r="AM353" s="4953"/>
      <c r="AN353" s="611">
        <f t="shared" si="447"/>
        <v>0</v>
      </c>
      <c r="AO353" s="4957"/>
      <c r="AP353" s="517">
        <f t="shared" si="440"/>
        <v>0</v>
      </c>
      <c r="AQ353" s="5008"/>
      <c r="AR353" s="508"/>
      <c r="AS353" s="4957"/>
      <c r="AT353" s="517">
        <f t="shared" si="441"/>
        <v>0</v>
      </c>
      <c r="AU353" s="5008"/>
      <c r="AV353" s="508"/>
      <c r="AW353" s="4957"/>
      <c r="AX353" s="517">
        <f t="shared" si="442"/>
        <v>0</v>
      </c>
      <c r="AY353" s="5008"/>
      <c r="AZ353" s="610"/>
      <c r="BA353" s="4953"/>
      <c r="BB353" s="611">
        <f t="shared" si="448"/>
        <v>0</v>
      </c>
      <c r="BC353" s="4972">
        <f t="shared" si="443"/>
        <v>0</v>
      </c>
      <c r="BD353" s="1287">
        <f t="shared" si="443"/>
        <v>0</v>
      </c>
      <c r="BE353" s="4957"/>
      <c r="BF353" s="517">
        <f t="shared" si="444"/>
        <v>0</v>
      </c>
    </row>
    <row r="354" spans="1:81" s="1726" customFormat="1" ht="18.75" x14ac:dyDescent="0.25">
      <c r="B354" s="2128" t="s">
        <v>1595</v>
      </c>
      <c r="C354" s="2063" t="s">
        <v>53</v>
      </c>
      <c r="D354" s="3953"/>
      <c r="E354" s="5008"/>
      <c r="F354" s="508"/>
      <c r="G354" s="5037"/>
      <c r="H354" s="508"/>
      <c r="I354" s="4957"/>
      <c r="J354" s="517"/>
      <c r="K354" s="5008"/>
      <c r="L354" s="508"/>
      <c r="M354" s="4953"/>
      <c r="N354" s="611">
        <f t="shared" si="436"/>
        <v>0</v>
      </c>
      <c r="O354" s="5008"/>
      <c r="P354" s="508"/>
      <c r="Q354" s="4957"/>
      <c r="R354" s="3928"/>
      <c r="S354" s="5008"/>
      <c r="T354" s="508"/>
      <c r="U354" s="4957"/>
      <c r="V354" s="3928"/>
      <c r="W354" s="5008"/>
      <c r="X354" s="508">
        <v>18348.16</v>
      </c>
      <c r="Y354" s="4953"/>
      <c r="Z354" s="611">
        <f t="shared" si="445"/>
        <v>18348.16</v>
      </c>
      <c r="AA354" s="4972"/>
      <c r="AB354" s="1287">
        <f t="shared" si="438"/>
        <v>18348.16</v>
      </c>
      <c r="AC354" s="5008"/>
      <c r="AD354" s="508">
        <v>0</v>
      </c>
      <c r="AE354" s="4957"/>
      <c r="AF354" s="3928">
        <f t="shared" si="439"/>
        <v>18348.16</v>
      </c>
      <c r="AG354" s="5008"/>
      <c r="AH354" s="508"/>
      <c r="AI354" s="4957"/>
      <c r="AJ354" s="3928">
        <f t="shared" si="446"/>
        <v>18348.16</v>
      </c>
      <c r="AK354" s="5008"/>
      <c r="AL354" s="508"/>
      <c r="AM354" s="4953"/>
      <c r="AN354" s="611">
        <f t="shared" si="447"/>
        <v>0</v>
      </c>
      <c r="AO354" s="4957"/>
      <c r="AP354" s="517">
        <f t="shared" si="440"/>
        <v>18348.16</v>
      </c>
      <c r="AQ354" s="5008"/>
      <c r="AR354" s="508"/>
      <c r="AS354" s="4957"/>
      <c r="AT354" s="517">
        <f t="shared" si="441"/>
        <v>18348.16</v>
      </c>
      <c r="AU354" s="5008"/>
      <c r="AV354" s="508"/>
      <c r="AW354" s="4957"/>
      <c r="AX354" s="517">
        <f t="shared" si="442"/>
        <v>18348.16</v>
      </c>
      <c r="AY354" s="5008"/>
      <c r="AZ354" s="610"/>
      <c r="BA354" s="4953"/>
      <c r="BB354" s="611">
        <f t="shared" si="448"/>
        <v>0</v>
      </c>
      <c r="BC354" s="4972"/>
      <c r="BD354" s="1287">
        <f t="shared" si="443"/>
        <v>0</v>
      </c>
      <c r="BE354" s="4957"/>
      <c r="BF354" s="517">
        <f t="shared" si="444"/>
        <v>18348.16</v>
      </c>
    </row>
    <row r="355" spans="1:81" s="1726" customFormat="1" ht="18.75" x14ac:dyDescent="0.25">
      <c r="B355" s="2170" t="s">
        <v>1644</v>
      </c>
      <c r="C355" s="2063"/>
      <c r="D355" s="3953"/>
      <c r="E355" s="5008"/>
      <c r="F355" s="508"/>
      <c r="G355" s="5037"/>
      <c r="H355" s="508"/>
      <c r="I355" s="4957"/>
      <c r="J355" s="517"/>
      <c r="K355" s="5008"/>
      <c r="L355" s="508"/>
      <c r="M355" s="4953"/>
      <c r="N355" s="611">
        <f t="shared" si="436"/>
        <v>0</v>
      </c>
      <c r="O355" s="5008"/>
      <c r="P355" s="508"/>
      <c r="Q355" s="4957"/>
      <c r="R355" s="3928"/>
      <c r="S355" s="5008"/>
      <c r="T355" s="508"/>
      <c r="U355" s="4957"/>
      <c r="V355" s="3928"/>
      <c r="W355" s="5008"/>
      <c r="X355" s="508"/>
      <c r="Y355" s="4953"/>
      <c r="Z355" s="611"/>
      <c r="AA355" s="4972"/>
      <c r="AB355" s="1287"/>
      <c r="AC355" s="5008"/>
      <c r="AD355" s="508"/>
      <c r="AE355" s="4957"/>
      <c r="AF355" s="3928">
        <f t="shared" si="439"/>
        <v>0</v>
      </c>
      <c r="AG355" s="5008"/>
      <c r="AH355" s="508"/>
      <c r="AI355" s="4957"/>
      <c r="AJ355" s="3928">
        <f t="shared" si="446"/>
        <v>0</v>
      </c>
      <c r="AK355" s="5008"/>
      <c r="AL355" s="508"/>
      <c r="AM355" s="4953"/>
      <c r="AN355" s="611">
        <f t="shared" si="447"/>
        <v>0</v>
      </c>
      <c r="AO355" s="4957"/>
      <c r="AP355" s="517">
        <f t="shared" si="440"/>
        <v>0</v>
      </c>
      <c r="AQ355" s="5008"/>
      <c r="AR355" s="508"/>
      <c r="AS355" s="4957"/>
      <c r="AT355" s="517">
        <f t="shared" si="441"/>
        <v>0</v>
      </c>
      <c r="AU355" s="5008"/>
      <c r="AV355" s="508"/>
      <c r="AW355" s="4957"/>
      <c r="AX355" s="517">
        <f t="shared" si="442"/>
        <v>0</v>
      </c>
      <c r="AY355" s="5008"/>
      <c r="AZ355" s="610"/>
      <c r="BA355" s="4953"/>
      <c r="BB355" s="611">
        <f t="shared" si="448"/>
        <v>0</v>
      </c>
      <c r="BC355" s="4972"/>
      <c r="BD355" s="1287">
        <f t="shared" si="443"/>
        <v>0</v>
      </c>
      <c r="BE355" s="4957"/>
      <c r="BF355" s="517">
        <f t="shared" si="444"/>
        <v>0</v>
      </c>
    </row>
    <row r="356" spans="1:81" s="1726" customFormat="1" ht="18.75" x14ac:dyDescent="0.25">
      <c r="B356" s="2128" t="s">
        <v>1645</v>
      </c>
      <c r="C356" s="2063" t="s">
        <v>53</v>
      </c>
      <c r="D356" s="3953"/>
      <c r="E356" s="5008"/>
      <c r="F356" s="508"/>
      <c r="G356" s="5037"/>
      <c r="H356" s="508"/>
      <c r="I356" s="4957"/>
      <c r="J356" s="517"/>
      <c r="K356" s="5008"/>
      <c r="L356" s="508"/>
      <c r="M356" s="4953"/>
      <c r="N356" s="611">
        <f t="shared" si="436"/>
        <v>0</v>
      </c>
      <c r="O356" s="5008"/>
      <c r="P356" s="508"/>
      <c r="Q356" s="4957"/>
      <c r="R356" s="3928"/>
      <c r="S356" s="5008"/>
      <c r="T356" s="508"/>
      <c r="U356" s="4957"/>
      <c r="V356" s="3928"/>
      <c r="W356" s="5008"/>
      <c r="X356" s="508"/>
      <c r="Y356" s="4953"/>
      <c r="Z356" s="611"/>
      <c r="AA356" s="4972"/>
      <c r="AB356" s="1287"/>
      <c r="AC356" s="5008"/>
      <c r="AD356" s="508">
        <v>18113.04</v>
      </c>
      <c r="AE356" s="4957"/>
      <c r="AF356" s="3928">
        <f t="shared" si="439"/>
        <v>18113.04</v>
      </c>
      <c r="AG356" s="5008"/>
      <c r="AH356" s="508"/>
      <c r="AI356" s="4957"/>
      <c r="AJ356" s="3928">
        <f t="shared" si="446"/>
        <v>18113.04</v>
      </c>
      <c r="AK356" s="5008"/>
      <c r="AL356" s="508"/>
      <c r="AM356" s="4953"/>
      <c r="AN356" s="611">
        <f t="shared" si="447"/>
        <v>18113.04</v>
      </c>
      <c r="AO356" s="4957"/>
      <c r="AP356" s="517">
        <f t="shared" si="440"/>
        <v>18113.04</v>
      </c>
      <c r="AQ356" s="5008"/>
      <c r="AR356" s="508"/>
      <c r="AS356" s="4957"/>
      <c r="AT356" s="517">
        <f t="shared" si="441"/>
        <v>18113.04</v>
      </c>
      <c r="AU356" s="5008"/>
      <c r="AV356" s="508"/>
      <c r="AW356" s="4957"/>
      <c r="AX356" s="517">
        <f t="shared" si="442"/>
        <v>18113.04</v>
      </c>
      <c r="AY356" s="5008"/>
      <c r="AZ356" s="610"/>
      <c r="BA356" s="4953"/>
      <c r="BB356" s="611">
        <f t="shared" si="448"/>
        <v>0</v>
      </c>
      <c r="BC356" s="4972"/>
      <c r="BD356" s="1287">
        <f t="shared" si="443"/>
        <v>18113.04</v>
      </c>
      <c r="BE356" s="4957"/>
      <c r="BF356" s="517">
        <f t="shared" si="444"/>
        <v>18113.04</v>
      </c>
    </row>
    <row r="357" spans="1:81" s="1726" customFormat="1" ht="19.5" thickBot="1" x14ac:dyDescent="0.3">
      <c r="B357" s="3932"/>
      <c r="C357" s="2058"/>
      <c r="D357" s="3953"/>
      <c r="E357" s="5008"/>
      <c r="F357" s="508"/>
      <c r="G357" s="5037"/>
      <c r="H357" s="508"/>
      <c r="I357" s="4957"/>
      <c r="J357" s="517"/>
      <c r="K357" s="5008"/>
      <c r="L357" s="508"/>
      <c r="M357" s="4953"/>
      <c r="N357" s="611">
        <f t="shared" si="436"/>
        <v>0</v>
      </c>
      <c r="O357" s="5008"/>
      <c r="P357" s="508"/>
      <c r="Q357" s="4957"/>
      <c r="R357" s="3928"/>
      <c r="S357" s="5008"/>
      <c r="T357" s="508"/>
      <c r="U357" s="4957"/>
      <c r="V357" s="3928"/>
      <c r="W357" s="5008"/>
      <c r="X357" s="508"/>
      <c r="Y357" s="4953"/>
      <c r="Z357" s="611"/>
      <c r="AA357" s="4972"/>
      <c r="AB357" s="1287"/>
      <c r="AC357" s="5008"/>
      <c r="AD357" s="508"/>
      <c r="AE357" s="4957"/>
      <c r="AF357" s="3928">
        <f t="shared" si="439"/>
        <v>0</v>
      </c>
      <c r="AG357" s="5008"/>
      <c r="AH357" s="508"/>
      <c r="AI357" s="4957"/>
      <c r="AJ357" s="3928">
        <f t="shared" si="446"/>
        <v>0</v>
      </c>
      <c r="AK357" s="5008"/>
      <c r="AL357" s="508"/>
      <c r="AM357" s="4953"/>
      <c r="AN357" s="611">
        <f t="shared" si="447"/>
        <v>0</v>
      </c>
      <c r="AO357" s="4957"/>
      <c r="AP357" s="517">
        <f t="shared" si="440"/>
        <v>0</v>
      </c>
      <c r="AQ357" s="5008"/>
      <c r="AR357" s="508"/>
      <c r="AS357" s="4957"/>
      <c r="AT357" s="517">
        <f t="shared" si="441"/>
        <v>0</v>
      </c>
      <c r="AU357" s="5008"/>
      <c r="AV357" s="508"/>
      <c r="AW357" s="4957"/>
      <c r="AX357" s="517">
        <f t="shared" si="442"/>
        <v>0</v>
      </c>
      <c r="AY357" s="5008"/>
      <c r="AZ357" s="610"/>
      <c r="BA357" s="4953"/>
      <c r="BB357" s="611">
        <f t="shared" si="448"/>
        <v>0</v>
      </c>
      <c r="BC357" s="4972"/>
      <c r="BD357" s="1287">
        <f t="shared" si="443"/>
        <v>0</v>
      </c>
      <c r="BE357" s="4957"/>
      <c r="BF357" s="517">
        <f t="shared" si="444"/>
        <v>0</v>
      </c>
    </row>
    <row r="358" spans="1:81" s="1726" customFormat="1" ht="19.5" thickBot="1" x14ac:dyDescent="0.3">
      <c r="B358" s="3932"/>
      <c r="C358" s="2058" t="s">
        <v>53</v>
      </c>
      <c r="D358" s="3953"/>
      <c r="E358" s="5008"/>
      <c r="F358" s="508"/>
      <c r="G358" s="5037"/>
      <c r="H358" s="508"/>
      <c r="I358" s="4957"/>
      <c r="J358" s="517"/>
      <c r="K358" s="5008"/>
      <c r="L358" s="508"/>
      <c r="M358" s="4953"/>
      <c r="N358" s="611">
        <f t="shared" si="436"/>
        <v>0</v>
      </c>
      <c r="O358" s="5008"/>
      <c r="P358" s="508"/>
      <c r="Q358" s="4957"/>
      <c r="R358" s="3928"/>
      <c r="S358" s="5008"/>
      <c r="T358" s="508"/>
      <c r="U358" s="4957"/>
      <c r="V358" s="3928"/>
      <c r="W358" s="5008"/>
      <c r="X358" s="508"/>
      <c r="Y358" s="4953"/>
      <c r="Z358" s="611">
        <f t="shared" si="445"/>
        <v>0</v>
      </c>
      <c r="AA358" s="4972"/>
      <c r="AB358" s="1287">
        <f t="shared" si="438"/>
        <v>0</v>
      </c>
      <c r="AC358" s="5008"/>
      <c r="AD358" s="508"/>
      <c r="AE358" s="4957"/>
      <c r="AF358" s="3928">
        <f t="shared" si="439"/>
        <v>0</v>
      </c>
      <c r="AG358" s="5008"/>
      <c r="AH358" s="508"/>
      <c r="AI358" s="4957"/>
      <c r="AJ358" s="3928">
        <f t="shared" si="446"/>
        <v>0</v>
      </c>
      <c r="AK358" s="5008"/>
      <c r="AL358" s="508"/>
      <c r="AM358" s="4953"/>
      <c r="AN358" s="611">
        <f t="shared" si="447"/>
        <v>0</v>
      </c>
      <c r="AO358" s="4957"/>
      <c r="AP358" s="517">
        <f t="shared" si="440"/>
        <v>0</v>
      </c>
      <c r="AQ358" s="5008"/>
      <c r="AR358" s="508"/>
      <c r="AS358" s="4957"/>
      <c r="AT358" s="517">
        <f t="shared" si="441"/>
        <v>0</v>
      </c>
      <c r="AU358" s="5008"/>
      <c r="AV358" s="508"/>
      <c r="AW358" s="4957"/>
      <c r="AX358" s="517">
        <f t="shared" si="442"/>
        <v>0</v>
      </c>
      <c r="AY358" s="5008"/>
      <c r="AZ358" s="610"/>
      <c r="BA358" s="4953"/>
      <c r="BB358" s="611">
        <f t="shared" si="448"/>
        <v>0</v>
      </c>
      <c r="BC358" s="4972"/>
      <c r="BD358" s="1287">
        <f t="shared" si="443"/>
        <v>0</v>
      </c>
      <c r="BE358" s="4957"/>
      <c r="BF358" s="517">
        <f t="shared" si="444"/>
        <v>0</v>
      </c>
    </row>
    <row r="359" spans="1:81" ht="19.5" thickBot="1" x14ac:dyDescent="0.3">
      <c r="B359" s="2171" t="s">
        <v>1305</v>
      </c>
      <c r="C359" s="2172" t="s">
        <v>53</v>
      </c>
      <c r="D359" s="2127"/>
      <c r="E359" s="5008"/>
      <c r="F359" s="508"/>
      <c r="G359" s="5037"/>
      <c r="H359" s="508">
        <v>5711.9</v>
      </c>
      <c r="I359" s="4957"/>
      <c r="J359" s="517">
        <f t="shared" si="435"/>
        <v>5711.9</v>
      </c>
      <c r="K359" s="5008"/>
      <c r="L359" s="508"/>
      <c r="M359" s="4953"/>
      <c r="N359" s="611">
        <f t="shared" si="436"/>
        <v>5711.9</v>
      </c>
      <c r="O359" s="5008"/>
      <c r="P359" s="508">
        <v>2863.6799999999994</v>
      </c>
      <c r="Q359" s="4957"/>
      <c r="R359" s="3928">
        <f t="shared" si="449"/>
        <v>8575.5799999999981</v>
      </c>
      <c r="S359" s="5008"/>
      <c r="T359" s="508">
        <v>8333.58</v>
      </c>
      <c r="U359" s="4957"/>
      <c r="V359" s="3928">
        <f t="shared" si="437"/>
        <v>16909.159999999996</v>
      </c>
      <c r="W359" s="5008"/>
      <c r="X359" s="508">
        <v>5479.1599999999971</v>
      </c>
      <c r="Y359" s="4953"/>
      <c r="Z359" s="611">
        <f t="shared" si="445"/>
        <v>16676.419999999995</v>
      </c>
      <c r="AA359" s="4972"/>
      <c r="AB359" s="1287">
        <f t="shared" si="438"/>
        <v>22388.319999999992</v>
      </c>
      <c r="AC359" s="5008"/>
      <c r="AD359" s="508">
        <v>11475.779999999999</v>
      </c>
      <c r="AE359" s="4957"/>
      <c r="AF359" s="3928">
        <f t="shared" si="439"/>
        <v>33864.099999999991</v>
      </c>
      <c r="AG359" s="5008"/>
      <c r="AH359" s="508">
        <v>2870.48</v>
      </c>
      <c r="AI359" s="4957"/>
      <c r="AJ359" s="3928">
        <f t="shared" si="446"/>
        <v>36734.579999999994</v>
      </c>
      <c r="AK359" s="5008"/>
      <c r="AL359" s="508">
        <v>10720.04</v>
      </c>
      <c r="AM359" s="4953"/>
      <c r="AN359" s="611">
        <f t="shared" si="447"/>
        <v>25066.3</v>
      </c>
      <c r="AO359" s="4957"/>
      <c r="AP359" s="517">
        <f t="shared" si="440"/>
        <v>47454.619999999995</v>
      </c>
      <c r="AQ359" s="5008"/>
      <c r="AR359" s="508">
        <v>3419.2200000000003</v>
      </c>
      <c r="AS359" s="4957"/>
      <c r="AT359" s="517">
        <f t="shared" si="441"/>
        <v>50873.84</v>
      </c>
      <c r="AU359" s="5008"/>
      <c r="AV359" s="508">
        <v>8500.7799999999988</v>
      </c>
      <c r="AW359" s="4957"/>
      <c r="AX359" s="517">
        <f t="shared" si="442"/>
        <v>59374.619999999995</v>
      </c>
      <c r="AY359" s="5008"/>
      <c r="AZ359" s="610">
        <v>7580</v>
      </c>
      <c r="BA359" s="4953"/>
      <c r="BB359" s="611">
        <f t="shared" si="448"/>
        <v>19500</v>
      </c>
      <c r="BC359" s="4972">
        <f t="shared" si="443"/>
        <v>0</v>
      </c>
      <c r="BD359" s="1287">
        <f t="shared" si="443"/>
        <v>44566.3</v>
      </c>
      <c r="BE359" s="4957"/>
      <c r="BF359" s="517">
        <f t="shared" si="444"/>
        <v>66954.62</v>
      </c>
    </row>
    <row r="360" spans="1:81" s="462" customFormat="1" ht="19.5" thickBot="1" x14ac:dyDescent="0.3">
      <c r="B360" s="2171" t="s">
        <v>739</v>
      </c>
      <c r="C360" s="2172" t="s">
        <v>53</v>
      </c>
      <c r="D360" s="2127"/>
      <c r="E360" s="5008"/>
      <c r="F360" s="508">
        <v>1463.55</v>
      </c>
      <c r="G360" s="5037"/>
      <c r="H360" s="508">
        <v>1867.87</v>
      </c>
      <c r="I360" s="4958"/>
      <c r="J360" s="517">
        <f t="shared" si="435"/>
        <v>3331.42</v>
      </c>
      <c r="K360" s="5008"/>
      <c r="L360" s="508">
        <v>669.17</v>
      </c>
      <c r="M360" s="4954"/>
      <c r="N360" s="611">
        <f t="shared" si="436"/>
        <v>4000.59</v>
      </c>
      <c r="O360" s="5008"/>
      <c r="P360" s="508">
        <v>1876.6999999999998</v>
      </c>
      <c r="Q360" s="4958"/>
      <c r="R360" s="3928">
        <f t="shared" si="449"/>
        <v>5877.29</v>
      </c>
      <c r="S360" s="5008"/>
      <c r="T360" s="508">
        <v>2996.7000000000003</v>
      </c>
      <c r="U360" s="4958"/>
      <c r="V360" s="3928">
        <f t="shared" si="437"/>
        <v>8873.99</v>
      </c>
      <c r="W360" s="5008"/>
      <c r="X360" s="508">
        <v>1378.8400000000001</v>
      </c>
      <c r="Y360" s="4954"/>
      <c r="Z360" s="611">
        <f t="shared" si="445"/>
        <v>6252.24</v>
      </c>
      <c r="AA360" s="5002"/>
      <c r="AB360" s="1287">
        <f t="shared" si="438"/>
        <v>10252.83</v>
      </c>
      <c r="AC360" s="5008"/>
      <c r="AD360" s="508">
        <v>2360.3099999999995</v>
      </c>
      <c r="AE360" s="4958"/>
      <c r="AF360" s="3928">
        <f t="shared" si="439"/>
        <v>12613.14</v>
      </c>
      <c r="AG360" s="5008"/>
      <c r="AH360" s="508">
        <v>1583.6499999999999</v>
      </c>
      <c r="AI360" s="4958"/>
      <c r="AJ360" s="3928">
        <f t="shared" si="446"/>
        <v>14196.789999999999</v>
      </c>
      <c r="AK360" s="5008"/>
      <c r="AL360" s="508">
        <v>998.26</v>
      </c>
      <c r="AM360" s="4954"/>
      <c r="AN360" s="611">
        <f t="shared" si="447"/>
        <v>4942.2199999999993</v>
      </c>
      <c r="AO360" s="4958"/>
      <c r="AP360" s="517">
        <f t="shared" si="440"/>
        <v>15195.05</v>
      </c>
      <c r="AQ360" s="5008"/>
      <c r="AR360" s="508">
        <v>0</v>
      </c>
      <c r="AS360" s="4958"/>
      <c r="AT360" s="517">
        <f t="shared" si="441"/>
        <v>15195.05</v>
      </c>
      <c r="AU360" s="5008"/>
      <c r="AV360" s="508">
        <v>1826.9400000000003</v>
      </c>
      <c r="AW360" s="4958"/>
      <c r="AX360" s="517">
        <f t="shared" si="442"/>
        <v>17021.989999999998</v>
      </c>
      <c r="AY360" s="5008"/>
      <c r="AZ360" s="610">
        <v>6015</v>
      </c>
      <c r="BA360" s="4954"/>
      <c r="BB360" s="611">
        <f t="shared" si="448"/>
        <v>7841.9400000000005</v>
      </c>
      <c r="BC360" s="5002">
        <f t="shared" si="443"/>
        <v>0</v>
      </c>
      <c r="BD360" s="1287">
        <f t="shared" si="443"/>
        <v>12784.16</v>
      </c>
      <c r="BE360" s="4958"/>
      <c r="BF360" s="517">
        <f t="shared" si="444"/>
        <v>23036.989999999998</v>
      </c>
      <c r="BG360" s="1726"/>
      <c r="BH360" s="1726"/>
      <c r="BI360" s="1726"/>
      <c r="BJ360" s="1726"/>
      <c r="BK360" s="1726"/>
      <c r="BL360" s="1726"/>
      <c r="BM360" s="1726"/>
      <c r="BN360" s="1726"/>
      <c r="BO360" s="1726"/>
      <c r="BP360" s="1726"/>
      <c r="BQ360" s="1726"/>
      <c r="BR360" s="1726"/>
      <c r="BS360" s="1726"/>
      <c r="BT360" s="1726"/>
      <c r="BU360" s="1726"/>
      <c r="BV360" s="1726"/>
      <c r="BW360" s="1726"/>
      <c r="BX360" s="1726"/>
      <c r="BY360" s="1726"/>
      <c r="BZ360" s="1726"/>
      <c r="CA360" s="1726"/>
      <c r="CB360" s="1726"/>
      <c r="CC360" s="1726"/>
    </row>
    <row r="361" spans="1:81" s="334" customFormat="1" ht="18.75" x14ac:dyDescent="0.25">
      <c r="A361" s="1726"/>
      <c r="B361" s="1625" t="s">
        <v>674</v>
      </c>
      <c r="C361" s="2173"/>
      <c r="D361" s="2127"/>
      <c r="E361" s="5008"/>
      <c r="F361" s="610"/>
      <c r="G361" s="5037"/>
      <c r="H361" s="610"/>
      <c r="I361" s="4958"/>
      <c r="J361" s="517">
        <f t="shared" si="435"/>
        <v>0</v>
      </c>
      <c r="K361" s="5008"/>
      <c r="L361" s="610"/>
      <c r="M361" s="4954"/>
      <c r="N361" s="611">
        <f t="shared" si="436"/>
        <v>0</v>
      </c>
      <c r="O361" s="5008"/>
      <c r="P361" s="610"/>
      <c r="Q361" s="4958"/>
      <c r="R361" s="3928">
        <f t="shared" si="449"/>
        <v>0</v>
      </c>
      <c r="S361" s="5008"/>
      <c r="T361" s="610"/>
      <c r="U361" s="4958"/>
      <c r="V361" s="3928">
        <f t="shared" si="437"/>
        <v>0</v>
      </c>
      <c r="W361" s="5008"/>
      <c r="X361" s="610"/>
      <c r="Y361" s="4954"/>
      <c r="Z361" s="611">
        <f t="shared" si="445"/>
        <v>0</v>
      </c>
      <c r="AA361" s="5002"/>
      <c r="AB361" s="1287">
        <f t="shared" si="438"/>
        <v>0</v>
      </c>
      <c r="AC361" s="5008"/>
      <c r="AD361" s="610"/>
      <c r="AE361" s="4958"/>
      <c r="AF361" s="3928">
        <f t="shared" si="439"/>
        <v>0</v>
      </c>
      <c r="AG361" s="5008"/>
      <c r="AH361" s="610"/>
      <c r="AI361" s="4958"/>
      <c r="AJ361" s="3928">
        <f t="shared" si="446"/>
        <v>0</v>
      </c>
      <c r="AK361" s="5008"/>
      <c r="AL361" s="610"/>
      <c r="AM361" s="4954"/>
      <c r="AN361" s="611">
        <f t="shared" si="447"/>
        <v>0</v>
      </c>
      <c r="AO361" s="4958"/>
      <c r="AP361" s="517">
        <f t="shared" si="440"/>
        <v>0</v>
      </c>
      <c r="AQ361" s="5008"/>
      <c r="AR361" s="610"/>
      <c r="AS361" s="4958"/>
      <c r="AT361" s="517">
        <f t="shared" si="441"/>
        <v>0</v>
      </c>
      <c r="AU361" s="5008"/>
      <c r="AV361" s="610"/>
      <c r="AW361" s="4958"/>
      <c r="AX361" s="517">
        <f t="shared" si="442"/>
        <v>0</v>
      </c>
      <c r="AY361" s="5008"/>
      <c r="AZ361" s="610"/>
      <c r="BA361" s="4954"/>
      <c r="BB361" s="611">
        <f t="shared" si="448"/>
        <v>0</v>
      </c>
      <c r="BC361" s="5002">
        <f t="shared" si="443"/>
        <v>0</v>
      </c>
      <c r="BD361" s="1287">
        <f t="shared" si="443"/>
        <v>0</v>
      </c>
      <c r="BE361" s="4958"/>
      <c r="BF361" s="517">
        <f t="shared" si="444"/>
        <v>0</v>
      </c>
      <c r="BG361" s="1726"/>
      <c r="BH361" s="1726"/>
      <c r="BI361" s="1726"/>
      <c r="BJ361" s="1726"/>
      <c r="BK361" s="1726"/>
      <c r="BL361" s="1726"/>
      <c r="BM361" s="1726"/>
      <c r="BN361" s="1726"/>
      <c r="BO361" s="1726"/>
      <c r="BP361" s="1726"/>
      <c r="BQ361" s="1726"/>
      <c r="BR361" s="1726"/>
      <c r="BS361" s="1726"/>
      <c r="BT361" s="1726"/>
      <c r="BU361" s="1726"/>
      <c r="BV361" s="1726"/>
      <c r="BW361" s="1726"/>
      <c r="BX361" s="1726"/>
      <c r="BY361" s="1726"/>
      <c r="BZ361" s="1726"/>
      <c r="CA361" s="1726"/>
      <c r="CB361" s="1726"/>
      <c r="CC361" s="1726"/>
    </row>
    <row r="362" spans="1:81" ht="18.75" x14ac:dyDescent="0.25">
      <c r="A362" s="1726"/>
      <c r="B362" s="597" t="s">
        <v>732</v>
      </c>
      <c r="C362" s="2058" t="s">
        <v>53</v>
      </c>
      <c r="D362" s="3953"/>
      <c r="E362" s="5008"/>
      <c r="F362" s="508">
        <v>1249.6099999999999</v>
      </c>
      <c r="G362" s="5037"/>
      <c r="H362" s="508">
        <v>148.13</v>
      </c>
      <c r="I362" s="4957"/>
      <c r="J362" s="517">
        <f t="shared" si="435"/>
        <v>1397.7399999999998</v>
      </c>
      <c r="K362" s="5008"/>
      <c r="L362" s="508">
        <v>1726.62</v>
      </c>
      <c r="M362" s="4953"/>
      <c r="N362" s="611">
        <f t="shared" si="436"/>
        <v>3124.3599999999997</v>
      </c>
      <c r="O362" s="5008"/>
      <c r="P362" s="508"/>
      <c r="Q362" s="4957"/>
      <c r="R362" s="3928">
        <f t="shared" si="449"/>
        <v>3124.3599999999997</v>
      </c>
      <c r="S362" s="5008"/>
      <c r="T362" s="508"/>
      <c r="U362" s="4957"/>
      <c r="V362" s="3928">
        <f t="shared" si="437"/>
        <v>3124.3599999999997</v>
      </c>
      <c r="W362" s="5008"/>
      <c r="X362" s="508"/>
      <c r="Y362" s="4953"/>
      <c r="Z362" s="611">
        <f t="shared" si="445"/>
        <v>0</v>
      </c>
      <c r="AA362" s="4972"/>
      <c r="AB362" s="1287">
        <f t="shared" si="438"/>
        <v>3124.3599999999997</v>
      </c>
      <c r="AC362" s="5008"/>
      <c r="AD362" s="508">
        <v>2613.6</v>
      </c>
      <c r="AE362" s="4957"/>
      <c r="AF362" s="3928">
        <f t="shared" si="439"/>
        <v>5737.9599999999991</v>
      </c>
      <c r="AG362" s="5008"/>
      <c r="AH362" s="508">
        <v>445.44</v>
      </c>
      <c r="AI362" s="4957"/>
      <c r="AJ362" s="3928">
        <f t="shared" si="446"/>
        <v>6183.3999999999987</v>
      </c>
      <c r="AK362" s="5008"/>
      <c r="AL362" s="508">
        <v>1024.54</v>
      </c>
      <c r="AM362" s="4953"/>
      <c r="AN362" s="611">
        <f t="shared" ref="AN362:AN383" si="450">AD362+AH362+AL362</f>
        <v>4083.58</v>
      </c>
      <c r="AO362" s="4957"/>
      <c r="AP362" s="517">
        <f t="shared" si="440"/>
        <v>7207.9399999999987</v>
      </c>
      <c r="AQ362" s="5008"/>
      <c r="AR362" s="508">
        <v>1076.0800000000002</v>
      </c>
      <c r="AS362" s="4957"/>
      <c r="AT362" s="517">
        <f t="shared" si="441"/>
        <v>8284.0199999999986</v>
      </c>
      <c r="AU362" s="5008"/>
      <c r="AV362" s="508">
        <v>2140.6800000000003</v>
      </c>
      <c r="AW362" s="4957"/>
      <c r="AX362" s="517">
        <f t="shared" si="442"/>
        <v>10424.699999999999</v>
      </c>
      <c r="AY362" s="5008"/>
      <c r="AZ362" s="610">
        <v>1061.48</v>
      </c>
      <c r="BA362" s="4953"/>
      <c r="BB362" s="611">
        <f t="shared" si="448"/>
        <v>4278.24</v>
      </c>
      <c r="BC362" s="4972">
        <f t="shared" si="443"/>
        <v>0</v>
      </c>
      <c r="BD362" s="1287">
        <f t="shared" si="443"/>
        <v>8361.82</v>
      </c>
      <c r="BE362" s="4957"/>
      <c r="BF362" s="517">
        <f t="shared" si="444"/>
        <v>11486.179999999998</v>
      </c>
    </row>
    <row r="363" spans="1:81" ht="18.75" x14ac:dyDescent="0.25">
      <c r="A363" s="1726"/>
      <c r="B363" s="597" t="s">
        <v>594</v>
      </c>
      <c r="C363" s="2058" t="s">
        <v>53</v>
      </c>
      <c r="D363" s="3953"/>
      <c r="E363" s="5008"/>
      <c r="F363" s="508"/>
      <c r="G363" s="5037"/>
      <c r="H363" s="508"/>
      <c r="I363" s="4957"/>
      <c r="J363" s="517">
        <f t="shared" si="435"/>
        <v>0</v>
      </c>
      <c r="K363" s="5008"/>
      <c r="L363" s="508">
        <v>2678.92</v>
      </c>
      <c r="M363" s="4953"/>
      <c r="N363" s="611">
        <f t="shared" si="436"/>
        <v>2678.92</v>
      </c>
      <c r="O363" s="5008"/>
      <c r="P363" s="508">
        <v>1115.78</v>
      </c>
      <c r="Q363" s="4957"/>
      <c r="R363" s="3928">
        <f t="shared" si="449"/>
        <v>3794.7</v>
      </c>
      <c r="S363" s="5008"/>
      <c r="T363" s="508">
        <v>1331.4399999999998</v>
      </c>
      <c r="U363" s="4957"/>
      <c r="V363" s="3928">
        <f t="shared" si="437"/>
        <v>5126.1399999999994</v>
      </c>
      <c r="W363" s="5008"/>
      <c r="X363" s="508">
        <v>1339.56</v>
      </c>
      <c r="Y363" s="4953"/>
      <c r="Z363" s="611">
        <f t="shared" si="445"/>
        <v>3786.7799999999997</v>
      </c>
      <c r="AA363" s="4972"/>
      <c r="AB363" s="1287">
        <f t="shared" si="438"/>
        <v>6465.6999999999989</v>
      </c>
      <c r="AC363" s="5008"/>
      <c r="AD363" s="508">
        <v>826.34</v>
      </c>
      <c r="AE363" s="4957"/>
      <c r="AF363" s="3928">
        <f t="shared" si="439"/>
        <v>7292.0399999999991</v>
      </c>
      <c r="AG363" s="5008"/>
      <c r="AH363" s="508">
        <v>1265.18</v>
      </c>
      <c r="AI363" s="4957"/>
      <c r="AJ363" s="3928">
        <f t="shared" si="446"/>
        <v>8557.2199999999993</v>
      </c>
      <c r="AK363" s="5008"/>
      <c r="AL363" s="508">
        <v>445.76000000000005</v>
      </c>
      <c r="AM363" s="4953"/>
      <c r="AN363" s="611">
        <f t="shared" si="450"/>
        <v>2537.2800000000002</v>
      </c>
      <c r="AO363" s="4957"/>
      <c r="AP363" s="517">
        <f t="shared" si="440"/>
        <v>9002.98</v>
      </c>
      <c r="AQ363" s="5008"/>
      <c r="AR363" s="508">
        <v>759.80000000000018</v>
      </c>
      <c r="AS363" s="4957"/>
      <c r="AT363" s="517">
        <f t="shared" si="441"/>
        <v>9762.7799999999988</v>
      </c>
      <c r="AU363" s="5008"/>
      <c r="AV363" s="508"/>
      <c r="AW363" s="4957"/>
      <c r="AX363" s="517">
        <f t="shared" si="442"/>
        <v>9762.7799999999988</v>
      </c>
      <c r="AY363" s="5008"/>
      <c r="AZ363" s="610"/>
      <c r="BA363" s="4953"/>
      <c r="BB363" s="611">
        <f t="shared" si="448"/>
        <v>759.80000000000018</v>
      </c>
      <c r="BC363" s="4972">
        <f t="shared" si="443"/>
        <v>0</v>
      </c>
      <c r="BD363" s="1287">
        <f t="shared" si="443"/>
        <v>3297.0800000000004</v>
      </c>
      <c r="BE363" s="4957"/>
      <c r="BF363" s="517">
        <f t="shared" si="444"/>
        <v>9762.7799999999988</v>
      </c>
    </row>
    <row r="364" spans="1:81" s="875" customFormat="1" ht="18.75" x14ac:dyDescent="0.25">
      <c r="A364" s="1726"/>
      <c r="B364" s="597" t="s">
        <v>1003</v>
      </c>
      <c r="C364" s="2058" t="s">
        <v>53</v>
      </c>
      <c r="D364" s="3953"/>
      <c r="E364" s="5008"/>
      <c r="F364" s="508"/>
      <c r="G364" s="5037"/>
      <c r="H364" s="508"/>
      <c r="I364" s="4957"/>
      <c r="J364" s="517">
        <f t="shared" si="435"/>
        <v>0</v>
      </c>
      <c r="K364" s="5008"/>
      <c r="L364" s="508"/>
      <c r="M364" s="4953"/>
      <c r="N364" s="611">
        <f t="shared" si="436"/>
        <v>0</v>
      </c>
      <c r="O364" s="5008"/>
      <c r="P364" s="508"/>
      <c r="Q364" s="4957"/>
      <c r="R364" s="3928">
        <f t="shared" si="449"/>
        <v>0</v>
      </c>
      <c r="S364" s="5008"/>
      <c r="T364" s="508"/>
      <c r="U364" s="4957"/>
      <c r="V364" s="3928">
        <f t="shared" si="437"/>
        <v>0</v>
      </c>
      <c r="W364" s="5008"/>
      <c r="X364" s="508"/>
      <c r="Y364" s="4953"/>
      <c r="Z364" s="611">
        <f t="shared" si="445"/>
        <v>0</v>
      </c>
      <c r="AA364" s="4972"/>
      <c r="AB364" s="1287">
        <f t="shared" si="438"/>
        <v>0</v>
      </c>
      <c r="AC364" s="5008"/>
      <c r="AD364" s="508">
        <v>0</v>
      </c>
      <c r="AE364" s="4957"/>
      <c r="AF364" s="3928">
        <f t="shared" si="439"/>
        <v>0</v>
      </c>
      <c r="AG364" s="5008"/>
      <c r="AH364" s="508"/>
      <c r="AI364" s="4957"/>
      <c r="AJ364" s="3928">
        <f t="shared" si="446"/>
        <v>0</v>
      </c>
      <c r="AK364" s="5008"/>
      <c r="AL364" s="508"/>
      <c r="AM364" s="4953"/>
      <c r="AN364" s="611">
        <f t="shared" si="450"/>
        <v>0</v>
      </c>
      <c r="AO364" s="4957"/>
      <c r="AP364" s="517">
        <f t="shared" si="440"/>
        <v>0</v>
      </c>
      <c r="AQ364" s="5008"/>
      <c r="AR364" s="508"/>
      <c r="AS364" s="4957"/>
      <c r="AT364" s="517">
        <f t="shared" si="441"/>
        <v>0</v>
      </c>
      <c r="AU364" s="5008"/>
      <c r="AV364" s="508"/>
      <c r="AW364" s="4957"/>
      <c r="AX364" s="517">
        <f t="shared" si="442"/>
        <v>0</v>
      </c>
      <c r="AY364" s="5008"/>
      <c r="AZ364" s="610"/>
      <c r="BA364" s="4953"/>
      <c r="BB364" s="611">
        <f t="shared" si="448"/>
        <v>0</v>
      </c>
      <c r="BC364" s="4972">
        <f t="shared" si="443"/>
        <v>0</v>
      </c>
      <c r="BD364" s="1287">
        <f t="shared" si="443"/>
        <v>0</v>
      </c>
      <c r="BE364" s="4957"/>
      <c r="BF364" s="517">
        <f t="shared" si="444"/>
        <v>0</v>
      </c>
      <c r="BG364" s="1726"/>
      <c r="BH364" s="1726"/>
      <c r="BI364" s="1726"/>
      <c r="BJ364" s="1726"/>
      <c r="BK364" s="1726"/>
      <c r="BL364" s="1726"/>
      <c r="BM364" s="1726"/>
      <c r="BN364" s="1726"/>
      <c r="BO364" s="1726"/>
      <c r="BP364" s="1726"/>
      <c r="BQ364" s="1726"/>
      <c r="BR364" s="1726"/>
      <c r="BS364" s="1726"/>
      <c r="BT364" s="1726"/>
      <c r="BU364" s="1726"/>
      <c r="BV364" s="1726"/>
      <c r="BW364" s="1726"/>
      <c r="BX364" s="1726"/>
      <c r="BY364" s="1726"/>
      <c r="BZ364" s="1726"/>
      <c r="CA364" s="1726"/>
      <c r="CB364" s="1726"/>
      <c r="CC364" s="1726"/>
    </row>
    <row r="365" spans="1:81" s="1485" customFormat="1" ht="18.75" x14ac:dyDescent="0.25">
      <c r="A365" s="1726"/>
      <c r="B365" s="597" t="s">
        <v>1304</v>
      </c>
      <c r="C365" s="2058" t="s">
        <v>53</v>
      </c>
      <c r="D365" s="3953"/>
      <c r="E365" s="5008"/>
      <c r="F365" s="508"/>
      <c r="G365" s="5037"/>
      <c r="H365" s="508"/>
      <c r="I365" s="4957"/>
      <c r="J365" s="517">
        <f t="shared" si="435"/>
        <v>0</v>
      </c>
      <c r="K365" s="5008"/>
      <c r="L365" s="508"/>
      <c r="M365" s="4953"/>
      <c r="N365" s="611">
        <f t="shared" si="436"/>
        <v>0</v>
      </c>
      <c r="O365" s="5008"/>
      <c r="P365" s="508"/>
      <c r="Q365" s="4957"/>
      <c r="R365" s="3928">
        <f t="shared" si="449"/>
        <v>0</v>
      </c>
      <c r="S365" s="5008"/>
      <c r="T365" s="508"/>
      <c r="U365" s="4957"/>
      <c r="V365" s="3928">
        <f t="shared" si="437"/>
        <v>0</v>
      </c>
      <c r="W365" s="5008"/>
      <c r="X365" s="508"/>
      <c r="Y365" s="4953"/>
      <c r="Z365" s="611">
        <f t="shared" si="445"/>
        <v>0</v>
      </c>
      <c r="AA365" s="4972"/>
      <c r="AB365" s="1287">
        <f t="shared" si="438"/>
        <v>0</v>
      </c>
      <c r="AC365" s="5008"/>
      <c r="AD365" s="508">
        <v>0</v>
      </c>
      <c r="AE365" s="4957"/>
      <c r="AF365" s="3928">
        <f t="shared" si="439"/>
        <v>0</v>
      </c>
      <c r="AG365" s="5008"/>
      <c r="AH365" s="508"/>
      <c r="AI365" s="4957"/>
      <c r="AJ365" s="3928">
        <f t="shared" si="446"/>
        <v>0</v>
      </c>
      <c r="AK365" s="5008"/>
      <c r="AL365" s="508"/>
      <c r="AM365" s="4953"/>
      <c r="AN365" s="611">
        <f t="shared" si="450"/>
        <v>0</v>
      </c>
      <c r="AO365" s="4957"/>
      <c r="AP365" s="517">
        <f t="shared" si="440"/>
        <v>0</v>
      </c>
      <c r="AQ365" s="5008"/>
      <c r="AR365" s="508"/>
      <c r="AS365" s="4957"/>
      <c r="AT365" s="517">
        <f t="shared" si="441"/>
        <v>0</v>
      </c>
      <c r="AU365" s="5008"/>
      <c r="AV365" s="508"/>
      <c r="AW365" s="4957"/>
      <c r="AX365" s="517">
        <f t="shared" si="442"/>
        <v>0</v>
      </c>
      <c r="AY365" s="5008"/>
      <c r="AZ365" s="610"/>
      <c r="BA365" s="4953"/>
      <c r="BB365" s="611">
        <f t="shared" si="448"/>
        <v>0</v>
      </c>
      <c r="BC365" s="4972">
        <f t="shared" si="443"/>
        <v>0</v>
      </c>
      <c r="BD365" s="1287">
        <f t="shared" si="443"/>
        <v>0</v>
      </c>
      <c r="BE365" s="4957"/>
      <c r="BF365" s="517">
        <f t="shared" si="444"/>
        <v>0</v>
      </c>
      <c r="BG365" s="1726"/>
      <c r="BH365" s="1726"/>
      <c r="BI365" s="1726"/>
      <c r="BJ365" s="1726"/>
      <c r="BK365" s="1726"/>
      <c r="BL365" s="1726"/>
      <c r="BM365" s="1726"/>
      <c r="BN365" s="1726"/>
      <c r="BO365" s="1726"/>
      <c r="BP365" s="1726"/>
      <c r="BQ365" s="1726"/>
      <c r="BR365" s="1726"/>
      <c r="BS365" s="1726"/>
      <c r="BT365" s="1726"/>
      <c r="BU365" s="1726"/>
      <c r="BV365" s="1726"/>
      <c r="BW365" s="1726"/>
      <c r="BX365" s="1726"/>
      <c r="BY365" s="1726"/>
      <c r="BZ365" s="1726"/>
      <c r="CA365" s="1726"/>
      <c r="CB365" s="1726"/>
      <c r="CC365" s="1726"/>
    </row>
    <row r="366" spans="1:81" s="727" customFormat="1" ht="18.75" x14ac:dyDescent="0.25">
      <c r="A366" s="1726"/>
      <c r="B366" s="597" t="s">
        <v>880</v>
      </c>
      <c r="C366" s="2058" t="s">
        <v>53</v>
      </c>
      <c r="D366" s="3953"/>
      <c r="E366" s="5008"/>
      <c r="F366" s="508"/>
      <c r="G366" s="5037"/>
      <c r="H366" s="508"/>
      <c r="I366" s="4957"/>
      <c r="J366" s="517">
        <f t="shared" si="435"/>
        <v>0</v>
      </c>
      <c r="K366" s="5008"/>
      <c r="L366" s="508"/>
      <c r="M366" s="4953"/>
      <c r="N366" s="611">
        <f t="shared" si="436"/>
        <v>0</v>
      </c>
      <c r="O366" s="5008"/>
      <c r="P366" s="508">
        <v>1659.3399999999997</v>
      </c>
      <c r="Q366" s="4957"/>
      <c r="R366" s="3928">
        <f t="shared" si="449"/>
        <v>1659.3399999999997</v>
      </c>
      <c r="S366" s="5008"/>
      <c r="T366" s="508"/>
      <c r="U366" s="4957"/>
      <c r="V366" s="3928">
        <f t="shared" si="437"/>
        <v>1659.3399999999997</v>
      </c>
      <c r="W366" s="5008"/>
      <c r="X366" s="508">
        <v>639.44000000000005</v>
      </c>
      <c r="Y366" s="4953"/>
      <c r="Z366" s="611">
        <f t="shared" si="445"/>
        <v>2298.7799999999997</v>
      </c>
      <c r="AA366" s="4972"/>
      <c r="AB366" s="1287">
        <f t="shared" si="438"/>
        <v>2298.7799999999997</v>
      </c>
      <c r="AC366" s="5008"/>
      <c r="AD366" s="508">
        <v>0</v>
      </c>
      <c r="AE366" s="4957"/>
      <c r="AF366" s="3928">
        <f t="shared" si="439"/>
        <v>2298.7799999999997</v>
      </c>
      <c r="AG366" s="5008"/>
      <c r="AH366" s="508">
        <v>318.95999999999998</v>
      </c>
      <c r="AI366" s="4957"/>
      <c r="AJ366" s="3928">
        <f t="shared" si="446"/>
        <v>2617.7399999999998</v>
      </c>
      <c r="AK366" s="5008"/>
      <c r="AL366" s="508">
        <v>1023.5400000000002</v>
      </c>
      <c r="AM366" s="4953"/>
      <c r="AN366" s="611">
        <f t="shared" si="450"/>
        <v>1342.5000000000002</v>
      </c>
      <c r="AO366" s="4957"/>
      <c r="AP366" s="517">
        <f t="shared" si="440"/>
        <v>3641.2799999999997</v>
      </c>
      <c r="AQ366" s="5008"/>
      <c r="AR366" s="508"/>
      <c r="AS366" s="4957"/>
      <c r="AT366" s="517">
        <f t="shared" si="441"/>
        <v>3641.2799999999997</v>
      </c>
      <c r="AU366" s="5008"/>
      <c r="AV366" s="508"/>
      <c r="AW366" s="4957"/>
      <c r="AX366" s="517">
        <f t="shared" si="442"/>
        <v>3641.2799999999997</v>
      </c>
      <c r="AY366" s="5008"/>
      <c r="AZ366" s="610"/>
      <c r="BA366" s="4953"/>
      <c r="BB366" s="611">
        <f t="shared" si="448"/>
        <v>0</v>
      </c>
      <c r="BC366" s="4972">
        <f t="shared" si="443"/>
        <v>0</v>
      </c>
      <c r="BD366" s="1287">
        <f t="shared" si="443"/>
        <v>1342.5000000000002</v>
      </c>
      <c r="BE366" s="4957"/>
      <c r="BF366" s="517">
        <f t="shared" si="444"/>
        <v>3641.2799999999997</v>
      </c>
      <c r="BG366" s="1726"/>
      <c r="BH366" s="1726"/>
      <c r="BI366" s="1726"/>
      <c r="BJ366" s="1726"/>
      <c r="BK366" s="1726"/>
      <c r="BL366" s="1726"/>
      <c r="BM366" s="1726"/>
      <c r="BN366" s="1726"/>
      <c r="BO366" s="1726"/>
      <c r="BP366" s="1726"/>
      <c r="BQ366" s="1726"/>
      <c r="BR366" s="1726"/>
      <c r="BS366" s="1726"/>
      <c r="BT366" s="1726"/>
      <c r="BU366" s="1726"/>
      <c r="BV366" s="1726"/>
      <c r="BW366" s="1726"/>
      <c r="BX366" s="1726"/>
      <c r="BY366" s="1726"/>
      <c r="BZ366" s="1726"/>
      <c r="CA366" s="1726"/>
      <c r="CB366" s="1726"/>
      <c r="CC366" s="1726"/>
    </row>
    <row r="367" spans="1:81" s="1726" customFormat="1" ht="18.75" x14ac:dyDescent="0.25">
      <c r="B367" s="597" t="s">
        <v>1785</v>
      </c>
      <c r="C367" s="2058" t="s">
        <v>53</v>
      </c>
      <c r="D367" s="3953"/>
      <c r="E367" s="5008"/>
      <c r="F367" s="508"/>
      <c r="G367" s="5037"/>
      <c r="H367" s="508"/>
      <c r="I367" s="4957"/>
      <c r="J367" s="517"/>
      <c r="K367" s="5008"/>
      <c r="L367" s="508"/>
      <c r="M367" s="4953"/>
      <c r="N367" s="611"/>
      <c r="O367" s="5008"/>
      <c r="P367" s="508"/>
      <c r="Q367" s="4957"/>
      <c r="R367" s="3928"/>
      <c r="S367" s="5008"/>
      <c r="T367" s="508"/>
      <c r="U367" s="4957"/>
      <c r="V367" s="3928"/>
      <c r="W367" s="5008"/>
      <c r="X367" s="508"/>
      <c r="Y367" s="4953"/>
      <c r="Z367" s="611"/>
      <c r="AA367" s="4972"/>
      <c r="AB367" s="1287"/>
      <c r="AC367" s="5008"/>
      <c r="AD367" s="508"/>
      <c r="AE367" s="4957"/>
      <c r="AF367" s="3928"/>
      <c r="AG367" s="5008"/>
      <c r="AH367" s="508"/>
      <c r="AI367" s="4957"/>
      <c r="AJ367" s="3928"/>
      <c r="AK367" s="5008"/>
      <c r="AL367" s="508"/>
      <c r="AM367" s="4953"/>
      <c r="AN367" s="611"/>
      <c r="AO367" s="4957"/>
      <c r="AP367" s="517">
        <f t="shared" si="440"/>
        <v>0</v>
      </c>
      <c r="AQ367" s="5008"/>
      <c r="AR367" s="508">
        <v>632.56000000000006</v>
      </c>
      <c r="AS367" s="4957"/>
      <c r="AT367" s="517">
        <f t="shared" si="441"/>
        <v>632.56000000000006</v>
      </c>
      <c r="AU367" s="5008"/>
      <c r="AV367" s="508"/>
      <c r="AW367" s="4957"/>
      <c r="AX367" s="517">
        <f t="shared" si="442"/>
        <v>632.56000000000006</v>
      </c>
      <c r="AY367" s="5008"/>
      <c r="AZ367" s="610"/>
      <c r="BA367" s="4953"/>
      <c r="BB367" s="611">
        <f t="shared" si="448"/>
        <v>632.56000000000006</v>
      </c>
      <c r="BC367" s="4972"/>
      <c r="BD367" s="1287">
        <f t="shared" si="443"/>
        <v>632.56000000000006</v>
      </c>
      <c r="BE367" s="4957"/>
      <c r="BF367" s="517">
        <f t="shared" si="444"/>
        <v>632.56000000000006</v>
      </c>
    </row>
    <row r="368" spans="1:81" ht="18.75" x14ac:dyDescent="0.25">
      <c r="A368" s="1726"/>
      <c r="B368" s="597" t="s">
        <v>733</v>
      </c>
      <c r="C368" s="2058" t="s">
        <v>53</v>
      </c>
      <c r="D368" s="3953"/>
      <c r="E368" s="5008"/>
      <c r="F368" s="508"/>
      <c r="G368" s="5037"/>
      <c r="H368" s="508"/>
      <c r="I368" s="4957"/>
      <c r="J368" s="517">
        <f t="shared" si="435"/>
        <v>0</v>
      </c>
      <c r="K368" s="5008"/>
      <c r="L368" s="508"/>
      <c r="M368" s="4953"/>
      <c r="N368" s="611">
        <f t="shared" si="436"/>
        <v>0</v>
      </c>
      <c r="O368" s="5008"/>
      <c r="P368" s="508"/>
      <c r="Q368" s="4957"/>
      <c r="R368" s="3928">
        <f t="shared" si="449"/>
        <v>0</v>
      </c>
      <c r="S368" s="5008"/>
      <c r="T368" s="508"/>
      <c r="U368" s="4957"/>
      <c r="V368" s="3928">
        <f t="shared" si="437"/>
        <v>0</v>
      </c>
      <c r="W368" s="5008"/>
      <c r="X368" s="508">
        <v>0</v>
      </c>
      <c r="Y368" s="4953"/>
      <c r="Z368" s="611">
        <f t="shared" si="445"/>
        <v>0</v>
      </c>
      <c r="AA368" s="4972"/>
      <c r="AB368" s="1287">
        <f t="shared" si="438"/>
        <v>0</v>
      </c>
      <c r="AC368" s="5008"/>
      <c r="AD368" s="508">
        <v>0</v>
      </c>
      <c r="AE368" s="4957"/>
      <c r="AF368" s="3928">
        <f t="shared" si="439"/>
        <v>0</v>
      </c>
      <c r="AG368" s="5008"/>
      <c r="AH368" s="508"/>
      <c r="AI368" s="4957"/>
      <c r="AJ368" s="3928">
        <f t="shared" si="446"/>
        <v>0</v>
      </c>
      <c r="AK368" s="5008"/>
      <c r="AL368" s="508"/>
      <c r="AM368" s="4953"/>
      <c r="AN368" s="611">
        <f t="shared" si="450"/>
        <v>0</v>
      </c>
      <c r="AO368" s="4957"/>
      <c r="AP368" s="517">
        <f t="shared" si="440"/>
        <v>0</v>
      </c>
      <c r="AQ368" s="5008"/>
      <c r="AR368" s="508">
        <v>0</v>
      </c>
      <c r="AS368" s="4957"/>
      <c r="AT368" s="517">
        <f t="shared" si="441"/>
        <v>0</v>
      </c>
      <c r="AU368" s="5008"/>
      <c r="AV368" s="508"/>
      <c r="AW368" s="4957"/>
      <c r="AX368" s="517">
        <f t="shared" si="442"/>
        <v>0</v>
      </c>
      <c r="AY368" s="5008"/>
      <c r="AZ368" s="610"/>
      <c r="BA368" s="4953"/>
      <c r="BB368" s="611">
        <f t="shared" si="448"/>
        <v>0</v>
      </c>
      <c r="BC368" s="4972">
        <f t="shared" si="443"/>
        <v>0</v>
      </c>
      <c r="BD368" s="1287">
        <f t="shared" si="443"/>
        <v>0</v>
      </c>
      <c r="BE368" s="4957"/>
      <c r="BF368" s="517">
        <f t="shared" si="444"/>
        <v>0</v>
      </c>
    </row>
    <row r="369" spans="1:81" ht="18.75" x14ac:dyDescent="0.25">
      <c r="A369" s="1726"/>
      <c r="B369" s="597" t="s">
        <v>1329</v>
      </c>
      <c r="C369" s="2058" t="s">
        <v>53</v>
      </c>
      <c r="D369" s="3953"/>
      <c r="E369" s="5008"/>
      <c r="F369" s="508">
        <v>1704.98</v>
      </c>
      <c r="G369" s="5037"/>
      <c r="H369" s="508">
        <v>1016.32</v>
      </c>
      <c r="I369" s="4957"/>
      <c r="J369" s="517">
        <f t="shared" si="435"/>
        <v>2721.3</v>
      </c>
      <c r="K369" s="5008"/>
      <c r="L369" s="508">
        <v>2589.56</v>
      </c>
      <c r="M369" s="4953"/>
      <c r="N369" s="611">
        <f t="shared" si="436"/>
        <v>5310.8600000000006</v>
      </c>
      <c r="O369" s="5008"/>
      <c r="P369" s="508">
        <v>2276.04</v>
      </c>
      <c r="Q369" s="4957"/>
      <c r="R369" s="3928">
        <f t="shared" si="449"/>
        <v>7586.9000000000005</v>
      </c>
      <c r="S369" s="5008"/>
      <c r="T369" s="508">
        <v>1649.3199999999993</v>
      </c>
      <c r="U369" s="4957"/>
      <c r="V369" s="3928">
        <f t="shared" si="437"/>
        <v>9236.2199999999993</v>
      </c>
      <c r="W369" s="5008"/>
      <c r="X369" s="508">
        <v>3189.08</v>
      </c>
      <c r="Y369" s="4953"/>
      <c r="Z369" s="611">
        <f t="shared" si="445"/>
        <v>7114.4399999999987</v>
      </c>
      <c r="AA369" s="4972"/>
      <c r="AB369" s="1287">
        <f t="shared" si="438"/>
        <v>12425.3</v>
      </c>
      <c r="AC369" s="5008"/>
      <c r="AD369" s="508">
        <v>2707.31</v>
      </c>
      <c r="AE369" s="4957"/>
      <c r="AF369" s="3928">
        <f t="shared" si="439"/>
        <v>15132.609999999999</v>
      </c>
      <c r="AG369" s="5008"/>
      <c r="AH369" s="508">
        <v>509.28</v>
      </c>
      <c r="AI369" s="4957"/>
      <c r="AJ369" s="3928">
        <f t="shared" si="446"/>
        <v>15641.89</v>
      </c>
      <c r="AK369" s="5008"/>
      <c r="AL369" s="508">
        <v>4430.42</v>
      </c>
      <c r="AM369" s="4953"/>
      <c r="AN369" s="611">
        <f t="shared" si="450"/>
        <v>7647.01</v>
      </c>
      <c r="AO369" s="4957"/>
      <c r="AP369" s="517">
        <f t="shared" si="440"/>
        <v>20072.309999999998</v>
      </c>
      <c r="AQ369" s="5008"/>
      <c r="AR369" s="508">
        <v>1572.8899999999999</v>
      </c>
      <c r="AS369" s="4957"/>
      <c r="AT369" s="517">
        <f t="shared" si="441"/>
        <v>21645.199999999997</v>
      </c>
      <c r="AU369" s="5008"/>
      <c r="AV369" s="508">
        <v>4051.2799999999997</v>
      </c>
      <c r="AW369" s="4957"/>
      <c r="AX369" s="517">
        <f t="shared" si="442"/>
        <v>25696.479999999996</v>
      </c>
      <c r="AY369" s="5008"/>
      <c r="AZ369" s="610">
        <v>1850.4899999999998</v>
      </c>
      <c r="BA369" s="4953"/>
      <c r="BB369" s="611">
        <f t="shared" si="448"/>
        <v>7474.66</v>
      </c>
      <c r="BC369" s="4972">
        <f t="shared" si="443"/>
        <v>0</v>
      </c>
      <c r="BD369" s="1287">
        <f t="shared" si="443"/>
        <v>15121.67</v>
      </c>
      <c r="BE369" s="4957"/>
      <c r="BF369" s="517">
        <f t="shared" si="444"/>
        <v>27546.969999999994</v>
      </c>
    </row>
    <row r="370" spans="1:81" ht="18.75" x14ac:dyDescent="0.25">
      <c r="A370" s="1726"/>
      <c r="B370" s="597" t="s">
        <v>718</v>
      </c>
      <c r="C370" s="2058" t="s">
        <v>53</v>
      </c>
      <c r="D370" s="3953"/>
      <c r="E370" s="5008"/>
      <c r="F370" s="508"/>
      <c r="G370" s="5037"/>
      <c r="H370" s="508">
        <v>2912.53</v>
      </c>
      <c r="I370" s="4957"/>
      <c r="J370" s="517">
        <f t="shared" si="435"/>
        <v>2912.53</v>
      </c>
      <c r="K370" s="5008"/>
      <c r="L370" s="508">
        <v>5184.8500000000013</v>
      </c>
      <c r="M370" s="4953"/>
      <c r="N370" s="611">
        <f t="shared" si="436"/>
        <v>8097.380000000001</v>
      </c>
      <c r="O370" s="5008"/>
      <c r="P370" s="508">
        <v>4597.5999999999995</v>
      </c>
      <c r="Q370" s="4957"/>
      <c r="R370" s="3928">
        <f t="shared" si="449"/>
        <v>12694.98</v>
      </c>
      <c r="S370" s="5008"/>
      <c r="T370" s="508">
        <v>5346.0599999999995</v>
      </c>
      <c r="U370" s="4957"/>
      <c r="V370" s="3928">
        <f t="shared" si="437"/>
        <v>18041.04</v>
      </c>
      <c r="W370" s="5008"/>
      <c r="X370" s="508">
        <v>8156.7200000000012</v>
      </c>
      <c r="Y370" s="4953"/>
      <c r="Z370" s="611">
        <f t="shared" si="445"/>
        <v>18100.38</v>
      </c>
      <c r="AA370" s="4972"/>
      <c r="AB370" s="1287">
        <f t="shared" si="438"/>
        <v>26197.760000000002</v>
      </c>
      <c r="AC370" s="5008"/>
      <c r="AD370" s="508">
        <v>6386.9199999999983</v>
      </c>
      <c r="AE370" s="4957"/>
      <c r="AF370" s="3928">
        <f t="shared" si="439"/>
        <v>32584.68</v>
      </c>
      <c r="AG370" s="5008"/>
      <c r="AH370" s="508">
        <v>14058.61</v>
      </c>
      <c r="AI370" s="4957"/>
      <c r="AJ370" s="3928">
        <f t="shared" si="446"/>
        <v>46643.29</v>
      </c>
      <c r="AK370" s="5008"/>
      <c r="AL370" s="508">
        <v>9897.68</v>
      </c>
      <c r="AM370" s="4953"/>
      <c r="AN370" s="611">
        <f t="shared" si="450"/>
        <v>30343.21</v>
      </c>
      <c r="AO370" s="4957"/>
      <c r="AP370" s="517">
        <f t="shared" si="440"/>
        <v>56540.97</v>
      </c>
      <c r="AQ370" s="5008"/>
      <c r="AR370" s="508">
        <v>6875.87</v>
      </c>
      <c r="AS370" s="4957"/>
      <c r="AT370" s="517">
        <f t="shared" si="441"/>
        <v>63416.840000000004</v>
      </c>
      <c r="AU370" s="5008"/>
      <c r="AV370" s="508">
        <v>2426.5600000000004</v>
      </c>
      <c r="AW370" s="4957"/>
      <c r="AX370" s="517">
        <f t="shared" si="442"/>
        <v>65843.400000000009</v>
      </c>
      <c r="AY370" s="5008"/>
      <c r="AZ370" s="610">
        <v>16388.38</v>
      </c>
      <c r="BA370" s="4953"/>
      <c r="BB370" s="611">
        <f t="shared" si="448"/>
        <v>25690.81</v>
      </c>
      <c r="BC370" s="4972">
        <f t="shared" si="443"/>
        <v>0</v>
      </c>
      <c r="BD370" s="1287">
        <f t="shared" si="443"/>
        <v>56034.020000000004</v>
      </c>
      <c r="BE370" s="4957"/>
      <c r="BF370" s="517">
        <f t="shared" si="444"/>
        <v>82231.780000000013</v>
      </c>
    </row>
    <row r="371" spans="1:81" ht="18.75" x14ac:dyDescent="0.25">
      <c r="A371" s="1726"/>
      <c r="B371" s="597" t="s">
        <v>704</v>
      </c>
      <c r="C371" s="2058" t="s">
        <v>53</v>
      </c>
      <c r="D371" s="3953"/>
      <c r="E371" s="5008"/>
      <c r="F371" s="508"/>
      <c r="G371" s="5037"/>
      <c r="H371" s="508"/>
      <c r="I371" s="4957"/>
      <c r="J371" s="517">
        <f t="shared" si="435"/>
        <v>0</v>
      </c>
      <c r="K371" s="5008"/>
      <c r="L371" s="508"/>
      <c r="M371" s="4953"/>
      <c r="N371" s="611">
        <f t="shared" si="436"/>
        <v>0</v>
      </c>
      <c r="O371" s="5008"/>
      <c r="P371" s="508"/>
      <c r="Q371" s="4957"/>
      <c r="R371" s="3928">
        <f t="shared" si="449"/>
        <v>0</v>
      </c>
      <c r="S371" s="5008"/>
      <c r="T371" s="508"/>
      <c r="U371" s="4957"/>
      <c r="V371" s="3928">
        <f t="shared" si="437"/>
        <v>0</v>
      </c>
      <c r="W371" s="5008"/>
      <c r="X371" s="508">
        <v>0</v>
      </c>
      <c r="Y371" s="4953"/>
      <c r="Z371" s="611">
        <f t="shared" si="445"/>
        <v>0</v>
      </c>
      <c r="AA371" s="4972"/>
      <c r="AB371" s="1287">
        <f t="shared" si="438"/>
        <v>0</v>
      </c>
      <c r="AC371" s="5008"/>
      <c r="AD371" s="508">
        <v>0</v>
      </c>
      <c r="AE371" s="4957"/>
      <c r="AF371" s="3928">
        <f t="shared" si="439"/>
        <v>0</v>
      </c>
      <c r="AG371" s="5008"/>
      <c r="AH371" s="508"/>
      <c r="AI371" s="4957"/>
      <c r="AJ371" s="3928">
        <f t="shared" si="446"/>
        <v>0</v>
      </c>
      <c r="AK371" s="5008"/>
      <c r="AL371" s="508"/>
      <c r="AM371" s="4953"/>
      <c r="AN371" s="611">
        <f t="shared" si="450"/>
        <v>0</v>
      </c>
      <c r="AO371" s="4957"/>
      <c r="AP371" s="517">
        <f t="shared" si="440"/>
        <v>0</v>
      </c>
      <c r="AQ371" s="5008"/>
      <c r="AR371" s="508"/>
      <c r="AS371" s="4957"/>
      <c r="AT371" s="517">
        <f t="shared" si="441"/>
        <v>0</v>
      </c>
      <c r="AU371" s="5008"/>
      <c r="AV371" s="508"/>
      <c r="AW371" s="4957"/>
      <c r="AX371" s="517">
        <f t="shared" si="442"/>
        <v>0</v>
      </c>
      <c r="AY371" s="5008"/>
      <c r="AZ371" s="610"/>
      <c r="BA371" s="4953"/>
      <c r="BB371" s="611">
        <f t="shared" si="448"/>
        <v>0</v>
      </c>
      <c r="BC371" s="4972">
        <f t="shared" si="443"/>
        <v>0</v>
      </c>
      <c r="BD371" s="1287">
        <f t="shared" si="443"/>
        <v>0</v>
      </c>
      <c r="BE371" s="4957"/>
      <c r="BF371" s="517">
        <f t="shared" si="444"/>
        <v>0</v>
      </c>
    </row>
    <row r="372" spans="1:81" ht="18.75" x14ac:dyDescent="0.25">
      <c r="A372" s="1726"/>
      <c r="B372" s="597" t="s">
        <v>705</v>
      </c>
      <c r="C372" s="2058" t="s">
        <v>53</v>
      </c>
      <c r="D372" s="3953"/>
      <c r="E372" s="5008"/>
      <c r="F372" s="508"/>
      <c r="G372" s="5037"/>
      <c r="H372" s="508"/>
      <c r="I372" s="4957"/>
      <c r="J372" s="517">
        <f t="shared" si="435"/>
        <v>0</v>
      </c>
      <c r="K372" s="5008"/>
      <c r="L372" s="508"/>
      <c r="M372" s="4953"/>
      <c r="N372" s="611">
        <f t="shared" si="436"/>
        <v>0</v>
      </c>
      <c r="O372" s="5008"/>
      <c r="P372" s="508"/>
      <c r="Q372" s="4957"/>
      <c r="R372" s="3928">
        <f t="shared" si="449"/>
        <v>0</v>
      </c>
      <c r="S372" s="5008"/>
      <c r="T372" s="508"/>
      <c r="U372" s="4957"/>
      <c r="V372" s="3928">
        <f t="shared" si="437"/>
        <v>0</v>
      </c>
      <c r="W372" s="5008"/>
      <c r="X372" s="508">
        <v>0</v>
      </c>
      <c r="Y372" s="4953"/>
      <c r="Z372" s="611">
        <f t="shared" si="445"/>
        <v>0</v>
      </c>
      <c r="AA372" s="4972"/>
      <c r="AB372" s="1287">
        <f t="shared" si="438"/>
        <v>0</v>
      </c>
      <c r="AC372" s="5008"/>
      <c r="AD372" s="508">
        <v>0</v>
      </c>
      <c r="AE372" s="4957"/>
      <c r="AF372" s="3928">
        <f t="shared" si="439"/>
        <v>0</v>
      </c>
      <c r="AG372" s="5008"/>
      <c r="AH372" s="508"/>
      <c r="AI372" s="4957"/>
      <c r="AJ372" s="3928">
        <f t="shared" si="446"/>
        <v>0</v>
      </c>
      <c r="AK372" s="5008"/>
      <c r="AL372" s="508"/>
      <c r="AM372" s="4953"/>
      <c r="AN372" s="611">
        <f t="shared" si="450"/>
        <v>0</v>
      </c>
      <c r="AO372" s="4957"/>
      <c r="AP372" s="517">
        <f t="shared" si="440"/>
        <v>0</v>
      </c>
      <c r="AQ372" s="5008"/>
      <c r="AR372" s="508"/>
      <c r="AS372" s="4957"/>
      <c r="AT372" s="517">
        <f t="shared" si="441"/>
        <v>0</v>
      </c>
      <c r="AU372" s="5008"/>
      <c r="AV372" s="508"/>
      <c r="AW372" s="4957"/>
      <c r="AX372" s="517">
        <f t="shared" si="442"/>
        <v>0</v>
      </c>
      <c r="AY372" s="5008"/>
      <c r="AZ372" s="610"/>
      <c r="BA372" s="4953"/>
      <c r="BB372" s="611">
        <f t="shared" si="448"/>
        <v>0</v>
      </c>
      <c r="BC372" s="4972">
        <f t="shared" si="443"/>
        <v>0</v>
      </c>
      <c r="BD372" s="1287">
        <f t="shared" si="443"/>
        <v>0</v>
      </c>
      <c r="BE372" s="4957"/>
      <c r="BF372" s="517">
        <f t="shared" si="444"/>
        <v>0</v>
      </c>
    </row>
    <row r="373" spans="1:81" ht="18.75" x14ac:dyDescent="0.25">
      <c r="A373" s="1726"/>
      <c r="B373" s="598" t="s">
        <v>706</v>
      </c>
      <c r="C373" s="2063" t="s">
        <v>53</v>
      </c>
      <c r="D373" s="3953"/>
      <c r="E373" s="5008"/>
      <c r="F373" s="508"/>
      <c r="G373" s="5037"/>
      <c r="H373" s="508"/>
      <c r="I373" s="4957"/>
      <c r="J373" s="517">
        <f t="shared" si="435"/>
        <v>0</v>
      </c>
      <c r="K373" s="5008"/>
      <c r="L373" s="508"/>
      <c r="M373" s="4953"/>
      <c r="N373" s="611">
        <f t="shared" si="436"/>
        <v>0</v>
      </c>
      <c r="O373" s="5008"/>
      <c r="P373" s="508"/>
      <c r="Q373" s="4957"/>
      <c r="R373" s="3928">
        <f t="shared" si="449"/>
        <v>0</v>
      </c>
      <c r="S373" s="5008"/>
      <c r="T373" s="508"/>
      <c r="U373" s="4957"/>
      <c r="V373" s="3928">
        <f t="shared" si="437"/>
        <v>0</v>
      </c>
      <c r="W373" s="5008"/>
      <c r="X373" s="508">
        <v>0</v>
      </c>
      <c r="Y373" s="4953"/>
      <c r="Z373" s="611">
        <f t="shared" si="445"/>
        <v>0</v>
      </c>
      <c r="AA373" s="4972"/>
      <c r="AB373" s="1287">
        <f t="shared" si="438"/>
        <v>0</v>
      </c>
      <c r="AC373" s="5008"/>
      <c r="AD373" s="508">
        <v>954.56</v>
      </c>
      <c r="AE373" s="4957"/>
      <c r="AF373" s="3928">
        <f t="shared" si="439"/>
        <v>954.56</v>
      </c>
      <c r="AG373" s="5008"/>
      <c r="AH373" s="508"/>
      <c r="AI373" s="4957"/>
      <c r="AJ373" s="3928">
        <f t="shared" si="446"/>
        <v>954.56</v>
      </c>
      <c r="AK373" s="5008"/>
      <c r="AL373" s="508">
        <v>108.1</v>
      </c>
      <c r="AM373" s="4953"/>
      <c r="AN373" s="611">
        <f t="shared" si="450"/>
        <v>1062.6599999999999</v>
      </c>
      <c r="AO373" s="4957"/>
      <c r="AP373" s="517">
        <f t="shared" si="440"/>
        <v>1062.6599999999999</v>
      </c>
      <c r="AQ373" s="5008"/>
      <c r="AR373" s="508"/>
      <c r="AS373" s="4957"/>
      <c r="AT373" s="517">
        <f t="shared" si="441"/>
        <v>1062.6599999999999</v>
      </c>
      <c r="AU373" s="5008"/>
      <c r="AV373" s="508"/>
      <c r="AW373" s="4957"/>
      <c r="AX373" s="517">
        <f t="shared" si="442"/>
        <v>1062.6599999999999</v>
      </c>
      <c r="AY373" s="5008"/>
      <c r="AZ373" s="610"/>
      <c r="BA373" s="4953"/>
      <c r="BB373" s="611">
        <f t="shared" si="448"/>
        <v>0</v>
      </c>
      <c r="BC373" s="4972">
        <f t="shared" si="443"/>
        <v>0</v>
      </c>
      <c r="BD373" s="1287">
        <f t="shared" si="443"/>
        <v>1062.6599999999999</v>
      </c>
      <c r="BE373" s="4957"/>
      <c r="BF373" s="517">
        <f t="shared" si="444"/>
        <v>1062.6599999999999</v>
      </c>
    </row>
    <row r="374" spans="1:81" s="462" customFormat="1" ht="18.75" x14ac:dyDescent="0.25">
      <c r="A374" s="1726"/>
      <c r="B374" s="598" t="s">
        <v>1004</v>
      </c>
      <c r="C374" s="2063" t="s">
        <v>53</v>
      </c>
      <c r="D374" s="3953"/>
      <c r="E374" s="5008"/>
      <c r="F374" s="508"/>
      <c r="G374" s="5037"/>
      <c r="H374" s="508"/>
      <c r="I374" s="4957"/>
      <c r="J374" s="517">
        <f t="shared" si="435"/>
        <v>0</v>
      </c>
      <c r="K374" s="5008"/>
      <c r="L374" s="508"/>
      <c r="M374" s="4953"/>
      <c r="N374" s="611">
        <f t="shared" si="436"/>
        <v>0</v>
      </c>
      <c r="O374" s="5008"/>
      <c r="P374" s="508"/>
      <c r="Q374" s="4957"/>
      <c r="R374" s="3928">
        <f t="shared" si="449"/>
        <v>0</v>
      </c>
      <c r="S374" s="5008"/>
      <c r="T374" s="508">
        <v>763.7399999999999</v>
      </c>
      <c r="U374" s="4957"/>
      <c r="V374" s="3928">
        <f t="shared" si="437"/>
        <v>763.7399999999999</v>
      </c>
      <c r="W374" s="5008"/>
      <c r="X374" s="508">
        <v>826.31999999999994</v>
      </c>
      <c r="Y374" s="4953"/>
      <c r="Z374" s="611">
        <f t="shared" si="445"/>
        <v>1590.06</v>
      </c>
      <c r="AA374" s="4972"/>
      <c r="AB374" s="1287">
        <f t="shared" si="438"/>
        <v>1590.06</v>
      </c>
      <c r="AC374" s="5008"/>
      <c r="AD374" s="508">
        <v>382.86</v>
      </c>
      <c r="AE374" s="4957"/>
      <c r="AF374" s="3928">
        <f t="shared" si="439"/>
        <v>1972.92</v>
      </c>
      <c r="AG374" s="5008"/>
      <c r="AH374" s="508"/>
      <c r="AI374" s="4957"/>
      <c r="AJ374" s="3928">
        <f t="shared" si="446"/>
        <v>1972.92</v>
      </c>
      <c r="AK374" s="5008"/>
      <c r="AL374" s="508"/>
      <c r="AM374" s="4953"/>
      <c r="AN374" s="611">
        <f t="shared" si="450"/>
        <v>382.86</v>
      </c>
      <c r="AO374" s="4957"/>
      <c r="AP374" s="517">
        <f t="shared" si="440"/>
        <v>1972.92</v>
      </c>
      <c r="AQ374" s="5008"/>
      <c r="AR374" s="508"/>
      <c r="AS374" s="4957"/>
      <c r="AT374" s="517">
        <f t="shared" si="441"/>
        <v>1972.92</v>
      </c>
      <c r="AU374" s="5008"/>
      <c r="AV374" s="508"/>
      <c r="AW374" s="4957"/>
      <c r="AX374" s="517">
        <f t="shared" si="442"/>
        <v>1972.92</v>
      </c>
      <c r="AY374" s="5008"/>
      <c r="AZ374" s="610"/>
      <c r="BA374" s="4953"/>
      <c r="BB374" s="611">
        <f t="shared" si="448"/>
        <v>0</v>
      </c>
      <c r="BC374" s="4972">
        <f t="shared" si="443"/>
        <v>0</v>
      </c>
      <c r="BD374" s="1287">
        <f t="shared" si="443"/>
        <v>382.86</v>
      </c>
      <c r="BE374" s="4957"/>
      <c r="BF374" s="517">
        <f t="shared" si="444"/>
        <v>1972.92</v>
      </c>
      <c r="BG374" s="1726"/>
      <c r="BH374" s="1726"/>
      <c r="BI374" s="1726"/>
      <c r="BJ374" s="1726"/>
      <c r="BK374" s="1726"/>
      <c r="BL374" s="1726"/>
      <c r="BM374" s="1726"/>
      <c r="BN374" s="1726"/>
      <c r="BO374" s="1726"/>
      <c r="BP374" s="1726"/>
      <c r="BQ374" s="1726"/>
      <c r="BR374" s="1726"/>
      <c r="BS374" s="1726"/>
      <c r="BT374" s="1726"/>
      <c r="BU374" s="1726"/>
      <c r="BV374" s="1726"/>
      <c r="BW374" s="1726"/>
      <c r="BX374" s="1726"/>
      <c r="BY374" s="1726"/>
      <c r="BZ374" s="1726"/>
      <c r="CA374" s="1726"/>
      <c r="CB374" s="1726"/>
      <c r="CC374" s="1726"/>
    </row>
    <row r="375" spans="1:81" s="1726" customFormat="1" ht="18.75" x14ac:dyDescent="0.25">
      <c r="B375" s="598" t="s">
        <v>1721</v>
      </c>
      <c r="C375" s="2063" t="s">
        <v>53</v>
      </c>
      <c r="D375" s="3953"/>
      <c r="E375" s="5008"/>
      <c r="F375" s="508"/>
      <c r="G375" s="5037"/>
      <c r="H375" s="508"/>
      <c r="I375" s="4957"/>
      <c r="J375" s="517"/>
      <c r="K375" s="5008"/>
      <c r="L375" s="508"/>
      <c r="M375" s="4953"/>
      <c r="N375" s="611"/>
      <c r="O375" s="5008"/>
      <c r="P375" s="508"/>
      <c r="Q375" s="4957"/>
      <c r="R375" s="3928"/>
      <c r="S375" s="5008"/>
      <c r="T375" s="508"/>
      <c r="U375" s="4957"/>
      <c r="V375" s="3928"/>
      <c r="W375" s="5008"/>
      <c r="X375" s="508"/>
      <c r="Y375" s="4953"/>
      <c r="Z375" s="611"/>
      <c r="AA375" s="4972"/>
      <c r="AB375" s="1287"/>
      <c r="AC375" s="5008"/>
      <c r="AD375" s="508"/>
      <c r="AE375" s="4957"/>
      <c r="AF375" s="3928"/>
      <c r="AG375" s="5008"/>
      <c r="AH375" s="508"/>
      <c r="AI375" s="4957"/>
      <c r="AJ375" s="3928"/>
      <c r="AK375" s="5008"/>
      <c r="AL375" s="508">
        <v>310.26</v>
      </c>
      <c r="AM375" s="4953"/>
      <c r="AN375" s="611">
        <f t="shared" si="450"/>
        <v>310.26</v>
      </c>
      <c r="AO375" s="4957"/>
      <c r="AP375" s="517">
        <f t="shared" si="440"/>
        <v>310.26</v>
      </c>
      <c r="AQ375" s="5008"/>
      <c r="AR375" s="508">
        <v>595.7600000000001</v>
      </c>
      <c r="AS375" s="4957"/>
      <c r="AT375" s="517">
        <f t="shared" si="441"/>
        <v>906.0200000000001</v>
      </c>
      <c r="AU375" s="5008"/>
      <c r="AV375" s="508"/>
      <c r="AW375" s="4957"/>
      <c r="AX375" s="517">
        <f t="shared" si="442"/>
        <v>906.0200000000001</v>
      </c>
      <c r="AY375" s="5008"/>
      <c r="AZ375" s="610">
        <v>728.3</v>
      </c>
      <c r="BA375" s="4953"/>
      <c r="BB375" s="611">
        <f t="shared" si="448"/>
        <v>1324.06</v>
      </c>
      <c r="BC375" s="4972"/>
      <c r="BD375" s="1287">
        <f t="shared" si="443"/>
        <v>1634.32</v>
      </c>
      <c r="BE375" s="4957"/>
      <c r="BF375" s="517">
        <f t="shared" si="444"/>
        <v>1634.3200000000002</v>
      </c>
    </row>
    <row r="376" spans="1:81" s="1726" customFormat="1" ht="18.75" x14ac:dyDescent="0.25">
      <c r="B376" s="598" t="s">
        <v>1693</v>
      </c>
      <c r="C376" s="2063" t="s">
        <v>53</v>
      </c>
      <c r="D376" s="3953"/>
      <c r="E376" s="5008"/>
      <c r="F376" s="508"/>
      <c r="G376" s="5037"/>
      <c r="H376" s="508"/>
      <c r="I376" s="4957"/>
      <c r="J376" s="517"/>
      <c r="K376" s="5008"/>
      <c r="L376" s="508"/>
      <c r="M376" s="4953"/>
      <c r="N376" s="611">
        <f t="shared" si="436"/>
        <v>0</v>
      </c>
      <c r="O376" s="5008"/>
      <c r="P376" s="508"/>
      <c r="Q376" s="4957"/>
      <c r="R376" s="3928"/>
      <c r="S376" s="5008"/>
      <c r="T376" s="508"/>
      <c r="U376" s="4957"/>
      <c r="V376" s="3928"/>
      <c r="W376" s="5008"/>
      <c r="X376" s="508"/>
      <c r="Y376" s="4953"/>
      <c r="Z376" s="611"/>
      <c r="AA376" s="4972"/>
      <c r="AB376" s="1287"/>
      <c r="AC376" s="5008"/>
      <c r="AD376" s="508"/>
      <c r="AE376" s="4957"/>
      <c r="AF376" s="3928"/>
      <c r="AG376" s="5008"/>
      <c r="AH376" s="508">
        <v>444.43999999999994</v>
      </c>
      <c r="AI376" s="4957"/>
      <c r="AJ376" s="3928">
        <f t="shared" si="446"/>
        <v>444.43999999999994</v>
      </c>
      <c r="AK376" s="5008"/>
      <c r="AL376" s="508"/>
      <c r="AM376" s="4953"/>
      <c r="AN376" s="611">
        <f t="shared" si="450"/>
        <v>444.43999999999994</v>
      </c>
      <c r="AO376" s="4957"/>
      <c r="AP376" s="517">
        <f t="shared" si="440"/>
        <v>444.43999999999994</v>
      </c>
      <c r="AQ376" s="5008"/>
      <c r="AR376" s="508"/>
      <c r="AS376" s="4957"/>
      <c r="AT376" s="517">
        <f t="shared" si="441"/>
        <v>444.43999999999994</v>
      </c>
      <c r="AU376" s="5008"/>
      <c r="AV376" s="508">
        <v>240.89999999999998</v>
      </c>
      <c r="AW376" s="4957"/>
      <c r="AX376" s="517">
        <f t="shared" si="442"/>
        <v>685.33999999999992</v>
      </c>
      <c r="AY376" s="5008"/>
      <c r="AZ376" s="610"/>
      <c r="BA376" s="4953"/>
      <c r="BB376" s="611">
        <f t="shared" si="448"/>
        <v>240.89999999999998</v>
      </c>
      <c r="BC376" s="4972"/>
      <c r="BD376" s="1287">
        <f t="shared" si="443"/>
        <v>685.33999999999992</v>
      </c>
      <c r="BE376" s="4957"/>
      <c r="BF376" s="517">
        <f t="shared" si="444"/>
        <v>685.33999999999992</v>
      </c>
    </row>
    <row r="377" spans="1:81" s="1726" customFormat="1" ht="18.75" x14ac:dyDescent="0.25">
      <c r="B377" s="598" t="s">
        <v>1694</v>
      </c>
      <c r="C377" s="2063" t="s">
        <v>53</v>
      </c>
      <c r="D377" s="3953"/>
      <c r="E377" s="5008"/>
      <c r="F377" s="508"/>
      <c r="G377" s="5037"/>
      <c r="H377" s="508"/>
      <c r="I377" s="4957"/>
      <c r="J377" s="517"/>
      <c r="K377" s="5008"/>
      <c r="L377" s="508"/>
      <c r="M377" s="4953"/>
      <c r="N377" s="611">
        <f t="shared" si="436"/>
        <v>0</v>
      </c>
      <c r="O377" s="5008"/>
      <c r="P377" s="508"/>
      <c r="Q377" s="4957"/>
      <c r="R377" s="3928"/>
      <c r="S377" s="5008"/>
      <c r="T377" s="508"/>
      <c r="U377" s="4957"/>
      <c r="V377" s="3928"/>
      <c r="W377" s="5008"/>
      <c r="X377" s="508"/>
      <c r="Y377" s="4953"/>
      <c r="Z377" s="611"/>
      <c r="AA377" s="4972"/>
      <c r="AB377" s="1287"/>
      <c r="AC377" s="5008"/>
      <c r="AD377" s="508"/>
      <c r="AE377" s="4957"/>
      <c r="AF377" s="3928"/>
      <c r="AG377" s="5008"/>
      <c r="AH377" s="508">
        <v>5591.5199999999995</v>
      </c>
      <c r="AI377" s="4957"/>
      <c r="AJ377" s="3928">
        <f t="shared" si="446"/>
        <v>5591.5199999999995</v>
      </c>
      <c r="AK377" s="5008"/>
      <c r="AL377" s="508">
        <v>5536.579999999999</v>
      </c>
      <c r="AM377" s="4953"/>
      <c r="AN377" s="611">
        <f t="shared" si="450"/>
        <v>11128.099999999999</v>
      </c>
      <c r="AO377" s="4957"/>
      <c r="AP377" s="517">
        <f t="shared" si="440"/>
        <v>11128.099999999999</v>
      </c>
      <c r="AQ377" s="5008"/>
      <c r="AR377" s="508">
        <v>2703.1</v>
      </c>
      <c r="AS377" s="4957"/>
      <c r="AT377" s="517">
        <f t="shared" si="441"/>
        <v>13831.199999999999</v>
      </c>
      <c r="AU377" s="5008"/>
      <c r="AV377" s="508"/>
      <c r="AW377" s="4957"/>
      <c r="AX377" s="517">
        <f t="shared" si="442"/>
        <v>13831.199999999999</v>
      </c>
      <c r="AY377" s="5008"/>
      <c r="AZ377" s="610"/>
      <c r="BA377" s="4953"/>
      <c r="BB377" s="611">
        <f t="shared" si="448"/>
        <v>2703.1</v>
      </c>
      <c r="BC377" s="4972"/>
      <c r="BD377" s="1287">
        <f t="shared" si="443"/>
        <v>13831.199999999999</v>
      </c>
      <c r="BE377" s="4957"/>
      <c r="BF377" s="517">
        <f t="shared" si="444"/>
        <v>13831.199999999999</v>
      </c>
    </row>
    <row r="378" spans="1:81" s="1726" customFormat="1" ht="18.75" x14ac:dyDescent="0.25">
      <c r="B378" s="598" t="s">
        <v>1599</v>
      </c>
      <c r="C378" s="2063" t="s">
        <v>53</v>
      </c>
      <c r="D378" s="3953"/>
      <c r="E378" s="5008"/>
      <c r="F378" s="508"/>
      <c r="G378" s="5037"/>
      <c r="H378" s="508"/>
      <c r="I378" s="4957"/>
      <c r="J378" s="517"/>
      <c r="K378" s="5008"/>
      <c r="L378" s="508"/>
      <c r="M378" s="4953"/>
      <c r="N378" s="611">
        <f t="shared" si="436"/>
        <v>0</v>
      </c>
      <c r="O378" s="5008"/>
      <c r="P378" s="508"/>
      <c r="Q378" s="4957"/>
      <c r="R378" s="3928"/>
      <c r="S378" s="5008"/>
      <c r="T378" s="508"/>
      <c r="U378" s="4957"/>
      <c r="V378" s="3928"/>
      <c r="W378" s="5008"/>
      <c r="X378" s="508">
        <v>4123.0600000000004</v>
      </c>
      <c r="Y378" s="4953"/>
      <c r="Z378" s="611">
        <f t="shared" si="445"/>
        <v>4123.0600000000004</v>
      </c>
      <c r="AA378" s="4972"/>
      <c r="AB378" s="1287">
        <f t="shared" si="438"/>
        <v>4123.0600000000004</v>
      </c>
      <c r="AC378" s="5008"/>
      <c r="AD378" s="508">
        <v>1339.44</v>
      </c>
      <c r="AE378" s="4957"/>
      <c r="AF378" s="3928">
        <f t="shared" si="439"/>
        <v>5462.5</v>
      </c>
      <c r="AG378" s="5008"/>
      <c r="AH378" s="508">
        <v>1205.5800000000002</v>
      </c>
      <c r="AI378" s="4957"/>
      <c r="AJ378" s="3928">
        <f t="shared" si="446"/>
        <v>6668.08</v>
      </c>
      <c r="AK378" s="5008"/>
      <c r="AL378" s="508">
        <v>3125.6800000000003</v>
      </c>
      <c r="AM378" s="4953"/>
      <c r="AN378" s="611">
        <f t="shared" si="450"/>
        <v>5670.7000000000007</v>
      </c>
      <c r="AO378" s="4957"/>
      <c r="AP378" s="517">
        <f t="shared" si="440"/>
        <v>9793.76</v>
      </c>
      <c r="AQ378" s="5008"/>
      <c r="AR378" s="508">
        <v>2465.5000000000005</v>
      </c>
      <c r="AS378" s="4957"/>
      <c r="AT378" s="517">
        <f t="shared" si="441"/>
        <v>12259.26</v>
      </c>
      <c r="AU378" s="5008"/>
      <c r="AV378" s="508">
        <v>3870.0200000000018</v>
      </c>
      <c r="AW378" s="4957"/>
      <c r="AX378" s="517">
        <f t="shared" si="442"/>
        <v>16129.280000000002</v>
      </c>
      <c r="AY378" s="5008"/>
      <c r="AZ378" s="610">
        <v>7516.2200000000012</v>
      </c>
      <c r="BA378" s="4953"/>
      <c r="BB378" s="611">
        <f t="shared" si="448"/>
        <v>13851.740000000003</v>
      </c>
      <c r="BC378" s="4972"/>
      <c r="BD378" s="1287">
        <f t="shared" si="443"/>
        <v>19522.440000000002</v>
      </c>
      <c r="BE378" s="4957"/>
      <c r="BF378" s="517">
        <f t="shared" si="444"/>
        <v>23645.500000000004</v>
      </c>
    </row>
    <row r="379" spans="1:81" s="1726" customFormat="1" ht="18.75" x14ac:dyDescent="0.25">
      <c r="B379" s="598" t="s">
        <v>1598</v>
      </c>
      <c r="C379" s="2063" t="s">
        <v>53</v>
      </c>
      <c r="D379" s="3953"/>
      <c r="E379" s="5008"/>
      <c r="F379" s="508"/>
      <c r="G379" s="5037"/>
      <c r="H379" s="508"/>
      <c r="I379" s="4957"/>
      <c r="J379" s="517"/>
      <c r="K379" s="5008"/>
      <c r="L379" s="508"/>
      <c r="M379" s="4953"/>
      <c r="N379" s="611">
        <f t="shared" si="436"/>
        <v>0</v>
      </c>
      <c r="O379" s="5008"/>
      <c r="P379" s="508"/>
      <c r="Q379" s="4957"/>
      <c r="R379" s="3928"/>
      <c r="S379" s="5008"/>
      <c r="T379" s="508"/>
      <c r="U379" s="4957"/>
      <c r="V379" s="3928"/>
      <c r="W379" s="5008"/>
      <c r="X379" s="508">
        <v>1209.8999999999999</v>
      </c>
      <c r="Y379" s="4953"/>
      <c r="Z379" s="611">
        <f t="shared" si="445"/>
        <v>1209.8999999999999</v>
      </c>
      <c r="AA379" s="4972"/>
      <c r="AB379" s="1287">
        <f t="shared" si="438"/>
        <v>1209.8999999999999</v>
      </c>
      <c r="AC379" s="5008"/>
      <c r="AD379" s="508">
        <v>0</v>
      </c>
      <c r="AE379" s="4957"/>
      <c r="AF379" s="3928">
        <f t="shared" si="439"/>
        <v>1209.8999999999999</v>
      </c>
      <c r="AG379" s="5008"/>
      <c r="AH379" s="508">
        <v>126.94</v>
      </c>
      <c r="AI379" s="4957"/>
      <c r="AJ379" s="3928">
        <f t="shared" si="446"/>
        <v>1336.84</v>
      </c>
      <c r="AK379" s="5008"/>
      <c r="AL379" s="508"/>
      <c r="AM379" s="4953"/>
      <c r="AN379" s="611">
        <f t="shared" si="450"/>
        <v>126.94</v>
      </c>
      <c r="AO379" s="4957"/>
      <c r="AP379" s="517">
        <f t="shared" si="440"/>
        <v>1336.84</v>
      </c>
      <c r="AQ379" s="5008"/>
      <c r="AR379" s="508"/>
      <c r="AS379" s="4957"/>
      <c r="AT379" s="517">
        <f t="shared" si="441"/>
        <v>1336.84</v>
      </c>
      <c r="AU379" s="5008"/>
      <c r="AV379" s="508"/>
      <c r="AW379" s="4957"/>
      <c r="AX379" s="517">
        <f t="shared" si="442"/>
        <v>1336.84</v>
      </c>
      <c r="AY379" s="5008"/>
      <c r="AZ379" s="610"/>
      <c r="BA379" s="4953"/>
      <c r="BB379" s="611">
        <f t="shared" si="448"/>
        <v>0</v>
      </c>
      <c r="BC379" s="4972"/>
      <c r="BD379" s="1287">
        <f t="shared" si="443"/>
        <v>126.94</v>
      </c>
      <c r="BE379" s="4957"/>
      <c r="BF379" s="517">
        <f t="shared" si="444"/>
        <v>1336.84</v>
      </c>
      <c r="BJ379" s="4090">
        <f>+BF377+BF378+BF379+BF376+0</f>
        <v>39498.879999999997</v>
      </c>
    </row>
    <row r="380" spans="1:81" s="1726" customFormat="1" ht="18.75" x14ac:dyDescent="0.25">
      <c r="B380" s="598" t="s">
        <v>1830</v>
      </c>
      <c r="C380" s="2063" t="s">
        <v>53</v>
      </c>
      <c r="D380" s="4039"/>
      <c r="E380" s="5008"/>
      <c r="F380" s="508"/>
      <c r="G380" s="5037"/>
      <c r="H380" s="508"/>
      <c r="I380" s="4957"/>
      <c r="J380" s="517"/>
      <c r="K380" s="5008"/>
      <c r="L380" s="508"/>
      <c r="M380" s="4953"/>
      <c r="N380" s="611"/>
      <c r="O380" s="5008"/>
      <c r="P380" s="508"/>
      <c r="Q380" s="4957"/>
      <c r="R380" s="4036"/>
      <c r="S380" s="5008"/>
      <c r="T380" s="508"/>
      <c r="U380" s="4957"/>
      <c r="V380" s="4036"/>
      <c r="W380" s="5008"/>
      <c r="X380" s="508"/>
      <c r="Y380" s="4953"/>
      <c r="Z380" s="611"/>
      <c r="AA380" s="4972"/>
      <c r="AB380" s="1287"/>
      <c r="AC380" s="5008"/>
      <c r="AD380" s="508"/>
      <c r="AE380" s="4957"/>
      <c r="AF380" s="4036"/>
      <c r="AG380" s="5008"/>
      <c r="AH380" s="508"/>
      <c r="AI380" s="4957"/>
      <c r="AJ380" s="4036"/>
      <c r="AK380" s="5008"/>
      <c r="AL380" s="508"/>
      <c r="AM380" s="4953"/>
      <c r="AN380" s="611"/>
      <c r="AO380" s="4957"/>
      <c r="AP380" s="517"/>
      <c r="AQ380" s="5008"/>
      <c r="AR380" s="508"/>
      <c r="AS380" s="4957"/>
      <c r="AT380" s="517"/>
      <c r="AU380" s="5008"/>
      <c r="AV380" s="508">
        <v>509.28000000000003</v>
      </c>
      <c r="AW380" s="4957"/>
      <c r="AX380" s="517">
        <f t="shared" si="442"/>
        <v>509.28000000000003</v>
      </c>
      <c r="AY380" s="5008"/>
      <c r="AZ380" s="610">
        <v>1780.3200000000002</v>
      </c>
      <c r="BA380" s="4953"/>
      <c r="BB380" s="611">
        <f t="shared" si="448"/>
        <v>2289.6000000000004</v>
      </c>
      <c r="BC380" s="4972"/>
      <c r="BD380" s="1287">
        <f t="shared" si="443"/>
        <v>2289.6000000000004</v>
      </c>
      <c r="BE380" s="4957"/>
      <c r="BF380" s="517">
        <f t="shared" si="444"/>
        <v>2289.6000000000004</v>
      </c>
      <c r="BJ380" s="4090">
        <f>+BF411+0</f>
        <v>1978.12</v>
      </c>
    </row>
    <row r="381" spans="1:81" s="462" customFormat="1" ht="18.75" x14ac:dyDescent="0.25">
      <c r="A381" s="1726"/>
      <c r="B381" s="597" t="s">
        <v>883</v>
      </c>
      <c r="C381" s="2063" t="s">
        <v>53</v>
      </c>
      <c r="D381" s="3953"/>
      <c r="E381" s="5008"/>
      <c r="F381" s="508"/>
      <c r="G381" s="5037"/>
      <c r="H381" s="508"/>
      <c r="I381" s="4957"/>
      <c r="J381" s="517">
        <f t="shared" si="435"/>
        <v>0</v>
      </c>
      <c r="K381" s="5008"/>
      <c r="L381" s="508">
        <v>2655.1000000000004</v>
      </c>
      <c r="M381" s="4953"/>
      <c r="N381" s="611">
        <f t="shared" si="436"/>
        <v>2655.1000000000004</v>
      </c>
      <c r="O381" s="5008"/>
      <c r="P381" s="508">
        <v>2549.06</v>
      </c>
      <c r="Q381" s="4957"/>
      <c r="R381" s="3928">
        <f t="shared" si="449"/>
        <v>5204.16</v>
      </c>
      <c r="S381" s="5008"/>
      <c r="T381" s="508">
        <v>2279.7399999999998</v>
      </c>
      <c r="U381" s="4957"/>
      <c r="V381" s="3928">
        <f t="shared" si="437"/>
        <v>7483.9</v>
      </c>
      <c r="W381" s="5008"/>
      <c r="X381" s="508">
        <v>887.54000000000008</v>
      </c>
      <c r="Y381" s="4953"/>
      <c r="Z381" s="611">
        <f t="shared" si="445"/>
        <v>5716.3399999999992</v>
      </c>
      <c r="AA381" s="4972"/>
      <c r="AB381" s="1287">
        <f t="shared" si="438"/>
        <v>8371.44</v>
      </c>
      <c r="AC381" s="5008"/>
      <c r="AD381" s="508">
        <v>0</v>
      </c>
      <c r="AE381" s="4957"/>
      <c r="AF381" s="3928">
        <f t="shared" si="439"/>
        <v>8371.44</v>
      </c>
      <c r="AG381" s="5008"/>
      <c r="AH381" s="508">
        <v>1016.2800000000001</v>
      </c>
      <c r="AI381" s="4957"/>
      <c r="AJ381" s="3928">
        <f t="shared" si="446"/>
        <v>9387.7200000000012</v>
      </c>
      <c r="AK381" s="5008"/>
      <c r="AL381" s="508"/>
      <c r="AM381" s="4953"/>
      <c r="AN381" s="611">
        <f t="shared" si="450"/>
        <v>1016.2800000000001</v>
      </c>
      <c r="AO381" s="4957"/>
      <c r="AP381" s="517">
        <f t="shared" si="440"/>
        <v>9387.7200000000012</v>
      </c>
      <c r="AQ381" s="5008"/>
      <c r="AR381" s="508">
        <v>1133.26</v>
      </c>
      <c r="AS381" s="4957"/>
      <c r="AT381" s="517">
        <f t="shared" si="441"/>
        <v>10520.980000000001</v>
      </c>
      <c r="AU381" s="5008"/>
      <c r="AV381" s="508"/>
      <c r="AW381" s="4957"/>
      <c r="AX381" s="517">
        <f t="shared" si="442"/>
        <v>10520.980000000001</v>
      </c>
      <c r="AY381" s="5008"/>
      <c r="AZ381" s="610">
        <v>188.98</v>
      </c>
      <c r="BA381" s="4953"/>
      <c r="BB381" s="611">
        <f t="shared" si="448"/>
        <v>1322.24</v>
      </c>
      <c r="BC381" s="4972">
        <f t="shared" si="443"/>
        <v>0</v>
      </c>
      <c r="BD381" s="1287">
        <f t="shared" si="443"/>
        <v>2338.52</v>
      </c>
      <c r="BE381" s="4957"/>
      <c r="BF381" s="517">
        <f t="shared" si="444"/>
        <v>10709.960000000001</v>
      </c>
      <c r="BG381" s="1726"/>
      <c r="BH381" s="1726"/>
      <c r="BI381" s="1726"/>
      <c r="BJ381" s="4090">
        <f>+BJ379+BJ380</f>
        <v>41477</v>
      </c>
      <c r="BK381" s="1726"/>
      <c r="BL381" s="1726"/>
      <c r="BM381" s="1726"/>
      <c r="BN381" s="1726"/>
      <c r="BO381" s="1726"/>
      <c r="BP381" s="1726"/>
      <c r="BQ381" s="1726"/>
      <c r="BR381" s="1726"/>
      <c r="BS381" s="1726"/>
      <c r="BT381" s="1726"/>
      <c r="BU381" s="1726"/>
      <c r="BV381" s="1726"/>
      <c r="BW381" s="1726"/>
      <c r="BX381" s="1726"/>
      <c r="BY381" s="1726"/>
      <c r="BZ381" s="1726"/>
      <c r="CA381" s="1726"/>
      <c r="CB381" s="1726"/>
      <c r="CC381" s="1726"/>
    </row>
    <row r="382" spans="1:81" s="570" customFormat="1" ht="18.75" x14ac:dyDescent="0.25">
      <c r="A382" s="1726"/>
      <c r="B382" s="598" t="s">
        <v>881</v>
      </c>
      <c r="C382" s="2063" t="s">
        <v>53</v>
      </c>
      <c r="D382" s="3953"/>
      <c r="E382" s="5008"/>
      <c r="F382" s="508"/>
      <c r="G382" s="5037"/>
      <c r="H382" s="508">
        <v>2725.04</v>
      </c>
      <c r="I382" s="4957"/>
      <c r="J382" s="517">
        <f t="shared" si="435"/>
        <v>2725.04</v>
      </c>
      <c r="K382" s="5008"/>
      <c r="L382" s="508">
        <v>3549.1099999999997</v>
      </c>
      <c r="M382" s="4953"/>
      <c r="N382" s="611">
        <f t="shared" si="436"/>
        <v>6274.15</v>
      </c>
      <c r="O382" s="5008"/>
      <c r="P382" s="508">
        <v>8830.7899999999972</v>
      </c>
      <c r="Q382" s="4957"/>
      <c r="R382" s="3928">
        <f t="shared" si="449"/>
        <v>15104.939999999997</v>
      </c>
      <c r="S382" s="5008"/>
      <c r="T382" s="508">
        <v>9792.3799999999974</v>
      </c>
      <c r="U382" s="4957"/>
      <c r="V382" s="3928">
        <f t="shared" si="437"/>
        <v>24897.319999999992</v>
      </c>
      <c r="W382" s="5008"/>
      <c r="X382" s="508">
        <v>7375.0200000000013</v>
      </c>
      <c r="Y382" s="4953"/>
      <c r="Z382" s="611">
        <f t="shared" si="445"/>
        <v>25998.189999999995</v>
      </c>
      <c r="AA382" s="4972"/>
      <c r="AB382" s="1287">
        <f t="shared" si="438"/>
        <v>32272.339999999993</v>
      </c>
      <c r="AC382" s="5008"/>
      <c r="AD382" s="508">
        <v>9632.17</v>
      </c>
      <c r="AE382" s="4957"/>
      <c r="AF382" s="3928">
        <f t="shared" si="439"/>
        <v>41904.509999999995</v>
      </c>
      <c r="AG382" s="5008"/>
      <c r="AH382" s="508">
        <v>6654.2999999999965</v>
      </c>
      <c r="AI382" s="4957"/>
      <c r="AJ382" s="3928">
        <f t="shared" si="446"/>
        <v>48558.80999999999</v>
      </c>
      <c r="AK382" s="5008"/>
      <c r="AL382" s="508">
        <v>14974.25999999998</v>
      </c>
      <c r="AM382" s="4953"/>
      <c r="AN382" s="611">
        <f t="shared" si="450"/>
        <v>31260.729999999978</v>
      </c>
      <c r="AO382" s="4957"/>
      <c r="AP382" s="517">
        <f t="shared" si="440"/>
        <v>63533.069999999971</v>
      </c>
      <c r="AQ382" s="5008"/>
      <c r="AR382" s="508">
        <v>3912.7799999999997</v>
      </c>
      <c r="AS382" s="4957"/>
      <c r="AT382" s="517">
        <f t="shared" si="441"/>
        <v>67445.849999999977</v>
      </c>
      <c r="AU382" s="5008"/>
      <c r="AV382" s="508">
        <v>4941.97</v>
      </c>
      <c r="AW382" s="4957"/>
      <c r="AX382" s="517">
        <f t="shared" si="442"/>
        <v>72387.819999999978</v>
      </c>
      <c r="AY382" s="5008"/>
      <c r="AZ382" s="610">
        <v>6206.5000000000009</v>
      </c>
      <c r="BA382" s="4953"/>
      <c r="BB382" s="611">
        <f t="shared" si="448"/>
        <v>15061.25</v>
      </c>
      <c r="BC382" s="4972">
        <f t="shared" si="443"/>
        <v>0</v>
      </c>
      <c r="BD382" s="1287">
        <f t="shared" si="443"/>
        <v>46321.979999999981</v>
      </c>
      <c r="BE382" s="4957"/>
      <c r="BF382" s="517">
        <f t="shared" si="444"/>
        <v>78594.319999999978</v>
      </c>
      <c r="BG382" s="1726"/>
      <c r="BH382" s="1726"/>
      <c r="BI382" s="1726"/>
      <c r="BJ382" s="1726"/>
      <c r="BK382" s="1726"/>
      <c r="BL382" s="1726"/>
      <c r="BM382" s="1726"/>
      <c r="BN382" s="1726"/>
      <c r="BO382" s="1726"/>
      <c r="BP382" s="1726"/>
      <c r="BQ382" s="1726"/>
      <c r="BR382" s="1726"/>
      <c r="BS382" s="1726"/>
      <c r="BT382" s="1726"/>
      <c r="BU382" s="1726"/>
      <c r="BV382" s="1726"/>
      <c r="BW382" s="1726"/>
      <c r="BX382" s="1726"/>
      <c r="BY382" s="1726"/>
      <c r="BZ382" s="1726"/>
      <c r="CA382" s="1726"/>
      <c r="CB382" s="1726"/>
      <c r="CC382" s="1726"/>
    </row>
    <row r="383" spans="1:81" ht="19.5" thickBot="1" x14ac:dyDescent="0.3">
      <c r="A383" s="1726"/>
      <c r="B383" s="598" t="s">
        <v>742</v>
      </c>
      <c r="C383" s="2063" t="s">
        <v>53</v>
      </c>
      <c r="D383" s="3953"/>
      <c r="E383" s="5009"/>
      <c r="F383" s="508"/>
      <c r="G383" s="5038"/>
      <c r="H383" s="508"/>
      <c r="I383" s="4959"/>
      <c r="J383" s="517">
        <f t="shared" si="435"/>
        <v>0</v>
      </c>
      <c r="K383" s="5009"/>
      <c r="L383" s="508"/>
      <c r="M383" s="4955"/>
      <c r="N383" s="611">
        <f t="shared" si="436"/>
        <v>0</v>
      </c>
      <c r="O383" s="5009"/>
      <c r="P383" s="508"/>
      <c r="Q383" s="4959"/>
      <c r="R383" s="3928">
        <f t="shared" si="449"/>
        <v>0</v>
      </c>
      <c r="S383" s="5009"/>
      <c r="T383" s="508"/>
      <c r="U383" s="4959"/>
      <c r="V383" s="3928">
        <f t="shared" si="437"/>
        <v>0</v>
      </c>
      <c r="W383" s="5009"/>
      <c r="X383" s="508">
        <v>0</v>
      </c>
      <c r="Y383" s="4955"/>
      <c r="Z383" s="611">
        <f t="shared" si="445"/>
        <v>0</v>
      </c>
      <c r="AA383" s="5003"/>
      <c r="AB383" s="1287">
        <f t="shared" si="438"/>
        <v>0</v>
      </c>
      <c r="AC383" s="5009"/>
      <c r="AD383" s="508">
        <v>0</v>
      </c>
      <c r="AE383" s="4959"/>
      <c r="AF383" s="3928">
        <f t="shared" si="439"/>
        <v>0</v>
      </c>
      <c r="AG383" s="5009"/>
      <c r="AH383" s="508"/>
      <c r="AI383" s="4959"/>
      <c r="AJ383" s="3928">
        <f t="shared" si="446"/>
        <v>0</v>
      </c>
      <c r="AK383" s="5009"/>
      <c r="AL383" s="508"/>
      <c r="AM383" s="4955"/>
      <c r="AN383" s="611">
        <f t="shared" si="450"/>
        <v>0</v>
      </c>
      <c r="AO383" s="4959"/>
      <c r="AP383" s="517">
        <f t="shared" si="440"/>
        <v>0</v>
      </c>
      <c r="AQ383" s="5009"/>
      <c r="AR383" s="508"/>
      <c r="AS383" s="4959"/>
      <c r="AT383" s="517">
        <f t="shared" si="441"/>
        <v>0</v>
      </c>
      <c r="AU383" s="5009"/>
      <c r="AV383" s="508"/>
      <c r="AW383" s="4959"/>
      <c r="AX383" s="517">
        <f t="shared" si="442"/>
        <v>0</v>
      </c>
      <c r="AY383" s="5009"/>
      <c r="AZ383" s="610"/>
      <c r="BA383" s="4955"/>
      <c r="BB383" s="611">
        <f t="shared" si="448"/>
        <v>0</v>
      </c>
      <c r="BC383" s="5003">
        <f t="shared" si="443"/>
        <v>0</v>
      </c>
      <c r="BD383" s="1287">
        <f t="shared" si="443"/>
        <v>0</v>
      </c>
      <c r="BE383" s="4959"/>
      <c r="BF383" s="517">
        <f t="shared" si="444"/>
        <v>0</v>
      </c>
    </row>
    <row r="384" spans="1:81" s="334" customFormat="1" ht="19.5" thickBot="1" x14ac:dyDescent="0.3">
      <c r="A384" s="1726"/>
      <c r="B384" s="2174" t="s">
        <v>596</v>
      </c>
      <c r="C384" s="2116" t="s">
        <v>53</v>
      </c>
      <c r="D384" s="2117"/>
      <c r="E384" s="2118"/>
      <c r="F384" s="635">
        <f>SUM(F337:F383)</f>
        <v>19990.12</v>
      </c>
      <c r="G384" s="1620"/>
      <c r="H384" s="635">
        <f>SUM(H337:H383)</f>
        <v>28050.01</v>
      </c>
      <c r="I384" s="1620"/>
      <c r="J384" s="635">
        <f>SUM(J337:J383)</f>
        <v>48040.13</v>
      </c>
      <c r="K384" s="2118"/>
      <c r="L384" s="635">
        <f>SUM(L337:L383)</f>
        <v>54917.289999999986</v>
      </c>
      <c r="M384" s="1620"/>
      <c r="N384" s="635">
        <f>SUM(N337:N383)</f>
        <v>102957.41999999998</v>
      </c>
      <c r="O384" s="2118"/>
      <c r="P384" s="635">
        <f>SUM(P337:P383)</f>
        <v>60149.249999999985</v>
      </c>
      <c r="Q384" s="1620"/>
      <c r="R384" s="635">
        <f>SUM(R337:R383)</f>
        <v>163106.66999999998</v>
      </c>
      <c r="S384" s="2118"/>
      <c r="T384" s="635">
        <f>SUM(T337:T383)</f>
        <v>58683.579999999994</v>
      </c>
      <c r="U384" s="1620"/>
      <c r="V384" s="635">
        <f>SUM(V337:V383)</f>
        <v>221790.24999999994</v>
      </c>
      <c r="W384" s="2118"/>
      <c r="X384" s="635">
        <f>SUM(X337:X383)</f>
        <v>67783.399999999994</v>
      </c>
      <c r="Y384" s="1620"/>
      <c r="Z384" s="635">
        <f>SUM(Z337:Z383)</f>
        <v>186616.22999999998</v>
      </c>
      <c r="AA384" s="2006"/>
      <c r="AB384" s="635">
        <f>SUM(AB337:AB383)</f>
        <v>289573.64999999997</v>
      </c>
      <c r="AC384" s="2118"/>
      <c r="AD384" s="635">
        <f>SUM(AD337:AD383)</f>
        <v>57751.409999999989</v>
      </c>
      <c r="AE384" s="1620"/>
      <c r="AF384" s="635">
        <f>SUM(AF337:AF383)</f>
        <v>347325.06</v>
      </c>
      <c r="AG384" s="2118"/>
      <c r="AH384" s="635">
        <f>SUM(AH337:AH383)</f>
        <v>55385.159999999996</v>
      </c>
      <c r="AI384" s="1620"/>
      <c r="AJ384" s="635">
        <f>SUM(AJ337:AJ383)</f>
        <v>402710.22000000003</v>
      </c>
      <c r="AK384" s="2118"/>
      <c r="AL384" s="635">
        <f>SUM(AL337:AL383)</f>
        <v>65273.639999999978</v>
      </c>
      <c r="AM384" s="1620"/>
      <c r="AN384" s="635">
        <f>SUM(AN337:AN383)</f>
        <v>178410.21</v>
      </c>
      <c r="AO384" s="1577"/>
      <c r="AP384" s="635">
        <f>SUM(AP337:AP383)</f>
        <v>467983.85999999987</v>
      </c>
      <c r="AQ384" s="2118"/>
      <c r="AR384" s="635">
        <f>SUM(AR337:AR383)</f>
        <v>54031.500000000007</v>
      </c>
      <c r="AS384" s="1620"/>
      <c r="AT384" s="635">
        <f>SUM(AT337:AT383)</f>
        <v>522015.36</v>
      </c>
      <c r="AU384" s="2118"/>
      <c r="AV384" s="635">
        <f>SUM(AV337:AV383)</f>
        <v>57459.789999999994</v>
      </c>
      <c r="AW384" s="1620"/>
      <c r="AX384" s="635">
        <f>SUM(AX337:AX383)</f>
        <v>579475.15</v>
      </c>
      <c r="AY384" s="2118"/>
      <c r="AZ384" s="635">
        <f>SUM(AZ337:AZ383)</f>
        <v>59641.11</v>
      </c>
      <c r="BA384" s="1620"/>
      <c r="BB384" s="635">
        <f>SUM(BB337:BB383)</f>
        <v>171132.4</v>
      </c>
      <c r="BC384" s="2006"/>
      <c r="BD384" s="635">
        <f>SUM(BD337:BD383)</f>
        <v>349542.61</v>
      </c>
      <c r="BE384" s="1620"/>
      <c r="BF384" s="635">
        <f>SUM(BF337:BF383)</f>
        <v>639116.25999999989</v>
      </c>
      <c r="BG384" s="1726"/>
      <c r="BH384" s="1726"/>
      <c r="BI384" s="1726"/>
      <c r="BJ384" s="1726"/>
      <c r="BK384" s="1726"/>
      <c r="BL384" s="1726"/>
      <c r="BM384" s="1726"/>
      <c r="BN384" s="1726"/>
      <c r="BO384" s="1726"/>
      <c r="BP384" s="1726"/>
      <c r="BQ384" s="1726"/>
      <c r="BR384" s="1726"/>
      <c r="BS384" s="1726"/>
      <c r="BT384" s="1726"/>
      <c r="BU384" s="1726"/>
      <c r="BV384" s="1726"/>
      <c r="BW384" s="1726"/>
      <c r="BX384" s="1726"/>
      <c r="BY384" s="1726"/>
      <c r="BZ384" s="1726"/>
      <c r="CA384" s="1726"/>
      <c r="CB384" s="1726"/>
      <c r="CC384" s="1726"/>
    </row>
    <row r="385" spans="1:81" s="334" customFormat="1" ht="18.75" x14ac:dyDescent="0.25">
      <c r="B385" s="2175" t="s">
        <v>595</v>
      </c>
      <c r="C385" s="641"/>
      <c r="D385" s="2134"/>
      <c r="E385" s="641"/>
      <c r="F385" s="3420"/>
      <c r="G385" s="3420"/>
      <c r="H385" s="3420"/>
      <c r="I385" s="3420"/>
      <c r="J385" s="3420"/>
      <c r="K385" s="3420"/>
      <c r="L385" s="3420"/>
      <c r="M385" s="3420"/>
      <c r="N385" s="3420"/>
      <c r="O385" s="3420"/>
      <c r="P385" s="3420"/>
      <c r="Q385" s="3420"/>
      <c r="R385" s="3420"/>
      <c r="S385" s="3420"/>
      <c r="T385" s="3420"/>
      <c r="U385" s="3420"/>
      <c r="V385" s="3420"/>
      <c r="W385" s="3420"/>
      <c r="X385" s="3420"/>
      <c r="Y385" s="3420"/>
      <c r="Z385" s="3420"/>
      <c r="AA385" s="3420"/>
      <c r="AB385" s="3420"/>
      <c r="AC385" s="3420"/>
      <c r="AD385" s="3420"/>
      <c r="AE385" s="3420"/>
      <c r="AF385" s="3420"/>
      <c r="AG385" s="3420"/>
      <c r="AH385" s="3420"/>
      <c r="AI385" s="3420"/>
      <c r="AJ385" s="3420"/>
      <c r="AK385" s="3420"/>
      <c r="AL385" s="3420"/>
      <c r="AM385" s="641"/>
      <c r="AN385" s="641"/>
      <c r="AO385" s="3420"/>
      <c r="AP385" s="3420"/>
      <c r="AQ385" s="641"/>
      <c r="AR385" s="641"/>
      <c r="AS385" s="641"/>
      <c r="AT385" s="641"/>
      <c r="AU385" s="641"/>
      <c r="AV385" s="641"/>
      <c r="AW385" s="641"/>
      <c r="AX385" s="641"/>
      <c r="AY385" s="641"/>
      <c r="AZ385" s="641"/>
      <c r="BA385" s="641"/>
      <c r="BB385" s="641"/>
      <c r="BC385" s="3420"/>
      <c r="BD385" s="3420"/>
      <c r="BE385" s="641"/>
      <c r="BF385" s="641"/>
    </row>
    <row r="386" spans="1:81" s="334" customFormat="1" ht="18.75" x14ac:dyDescent="0.25">
      <c r="B386" s="2176" t="s">
        <v>1041</v>
      </c>
      <c r="C386" s="2125"/>
      <c r="D386" s="2177"/>
      <c r="E386" s="848"/>
      <c r="F386" s="617"/>
      <c r="G386" s="619"/>
      <c r="H386" s="617"/>
      <c r="I386" s="619"/>
      <c r="J386" s="617"/>
      <c r="K386" s="619"/>
      <c r="L386" s="617"/>
      <c r="M386" s="619"/>
      <c r="N386" s="617">
        <f t="shared" ref="N386:N412" si="451">+J386+L386</f>
        <v>0</v>
      </c>
      <c r="O386" s="619"/>
      <c r="P386" s="617"/>
      <c r="Q386" s="619"/>
      <c r="R386" s="617"/>
      <c r="S386" s="619"/>
      <c r="T386" s="617"/>
      <c r="U386" s="619"/>
      <c r="V386" s="617"/>
      <c r="W386" s="619"/>
      <c r="X386" s="617"/>
      <c r="Y386" s="2178"/>
      <c r="Z386" s="617"/>
      <c r="AA386" s="2179"/>
      <c r="AB386" s="617"/>
      <c r="AC386" s="619"/>
      <c r="AD386" s="617"/>
      <c r="AE386" s="619"/>
      <c r="AF386" s="617"/>
      <c r="AG386" s="619"/>
      <c r="AH386" s="617"/>
      <c r="AI386" s="619"/>
      <c r="AJ386" s="617"/>
      <c r="AK386" s="619"/>
      <c r="AL386" s="617"/>
      <c r="AM386" s="2178"/>
      <c r="AN386" s="617"/>
      <c r="AO386" s="2179"/>
      <c r="AP386" s="617"/>
      <c r="AQ386" s="2179"/>
      <c r="AR386" s="1001"/>
      <c r="AS386" s="2179"/>
      <c r="AT386" s="617"/>
      <c r="AU386" s="2179"/>
      <c r="AV386" s="1001"/>
      <c r="AW386" s="2179"/>
      <c r="AX386" s="617"/>
      <c r="AY386" s="2179"/>
      <c r="AZ386" s="1001"/>
      <c r="BA386" s="2178"/>
      <c r="BB386" s="617"/>
      <c r="BC386" s="2179"/>
      <c r="BD386" s="1287"/>
      <c r="BE386" s="2179"/>
      <c r="BF386" s="617"/>
    </row>
    <row r="387" spans="1:81" s="1107" customFormat="1" ht="18.75" x14ac:dyDescent="0.25">
      <c r="A387" s="1726"/>
      <c r="B387" s="1618" t="s">
        <v>1096</v>
      </c>
      <c r="C387" s="2058" t="s">
        <v>53</v>
      </c>
      <c r="D387" s="2070"/>
      <c r="E387" s="2180"/>
      <c r="F387" s="497"/>
      <c r="G387" s="2181"/>
      <c r="H387" s="497"/>
      <c r="I387" s="2182"/>
      <c r="J387" s="606">
        <f t="shared" ref="J387:J412" si="452">+F387+H387</f>
        <v>0</v>
      </c>
      <c r="K387" s="2181"/>
      <c r="L387" s="497"/>
      <c r="M387" s="2183"/>
      <c r="N387" s="621">
        <f t="shared" si="451"/>
        <v>0</v>
      </c>
      <c r="O387" s="2181"/>
      <c r="P387" s="497"/>
      <c r="Q387" s="2182"/>
      <c r="R387" s="606">
        <f t="shared" ref="R387:R412" si="453">+N387+P387</f>
        <v>0</v>
      </c>
      <c r="S387" s="2181"/>
      <c r="T387" s="497"/>
      <c r="U387" s="2182"/>
      <c r="V387" s="606">
        <f t="shared" ref="V387:V403" si="454">+R387+T387</f>
        <v>0</v>
      </c>
      <c r="W387" s="2181"/>
      <c r="X387" s="497"/>
      <c r="Y387" s="2184"/>
      <c r="Z387" s="621">
        <f t="shared" ref="Z387:Z412" si="455">P387+T387+X387</f>
        <v>0</v>
      </c>
      <c r="AA387" s="2185"/>
      <c r="AB387" s="1208">
        <f t="shared" ref="AB387:AB412" si="456">+V387+X387</f>
        <v>0</v>
      </c>
      <c r="AC387" s="2181"/>
      <c r="AD387" s="497">
        <v>0</v>
      </c>
      <c r="AE387" s="2182"/>
      <c r="AF387" s="606">
        <f t="shared" ref="AF387:AF412" si="457">+AB387+AD387</f>
        <v>0</v>
      </c>
      <c r="AG387" s="2181"/>
      <c r="AH387" s="497"/>
      <c r="AI387" s="2182"/>
      <c r="AJ387" s="3928">
        <f t="shared" ref="AJ387:AJ412" si="458">+AF387+AH387</f>
        <v>0</v>
      </c>
      <c r="AK387" s="2181"/>
      <c r="AL387" s="497"/>
      <c r="AM387" s="2184"/>
      <c r="AN387" s="621">
        <f t="shared" ref="AN387:AN412" si="459">AD387+AH387+AL387</f>
        <v>0</v>
      </c>
      <c r="AO387" s="3456"/>
      <c r="AP387" s="606">
        <f t="shared" ref="AP387:AP412" si="460">+AJ387+AL387</f>
        <v>0</v>
      </c>
      <c r="AQ387" s="3978"/>
      <c r="AR387" s="492"/>
      <c r="AS387" s="3456"/>
      <c r="AT387" s="517">
        <f t="shared" ref="AT387:AT401" si="461">+AP387+AR387</f>
        <v>0</v>
      </c>
      <c r="AU387" s="3978"/>
      <c r="AV387" s="492"/>
      <c r="AW387" s="3456"/>
      <c r="AX387" s="517">
        <f t="shared" ref="AX387:AX401" si="462">+AT387+AV387</f>
        <v>0</v>
      </c>
      <c r="AY387" s="3978"/>
      <c r="AZ387" s="1001"/>
      <c r="BA387" s="2184"/>
      <c r="BB387" s="621">
        <f t="shared" ref="BB387:BB412" si="463">AR387+AV387+AZ387</f>
        <v>0</v>
      </c>
      <c r="BC387" s="2185"/>
      <c r="BD387" s="1287">
        <f t="shared" si="443"/>
        <v>0</v>
      </c>
      <c r="BE387" s="3456"/>
      <c r="BF387" s="517">
        <f t="shared" ref="BF387:BF412" si="464">+AX387+AZ387</f>
        <v>0</v>
      </c>
      <c r="BG387" s="1726"/>
      <c r="BH387" s="1726"/>
      <c r="BI387" s="1726"/>
      <c r="BJ387" s="1726"/>
      <c r="BK387" s="1726"/>
      <c r="BL387" s="1726"/>
      <c r="BM387" s="1726"/>
      <c r="BN387" s="1726"/>
      <c r="BO387" s="1726"/>
      <c r="BP387" s="1726"/>
      <c r="BQ387" s="1726"/>
      <c r="BR387" s="1726"/>
      <c r="BS387" s="1726"/>
      <c r="BT387" s="1726"/>
      <c r="BU387" s="1726"/>
      <c r="BV387" s="1726"/>
      <c r="BW387" s="1726"/>
      <c r="BX387" s="1726"/>
      <c r="BY387" s="1726"/>
      <c r="BZ387" s="1726"/>
      <c r="CA387" s="1726"/>
      <c r="CB387" s="1726"/>
      <c r="CC387" s="1726"/>
    </row>
    <row r="388" spans="1:81" s="1270" customFormat="1" ht="18.75" x14ac:dyDescent="0.25">
      <c r="A388" s="1726"/>
      <c r="B388" s="1618" t="s">
        <v>1114</v>
      </c>
      <c r="C388" s="2058" t="s">
        <v>53</v>
      </c>
      <c r="D388" s="2070"/>
      <c r="E388" s="2180"/>
      <c r="F388" s="497"/>
      <c r="G388" s="2181"/>
      <c r="H388" s="497"/>
      <c r="I388" s="2182"/>
      <c r="J388" s="606">
        <f t="shared" si="452"/>
        <v>0</v>
      </c>
      <c r="K388" s="2181"/>
      <c r="L388" s="497"/>
      <c r="M388" s="2183"/>
      <c r="N388" s="621">
        <f t="shared" si="451"/>
        <v>0</v>
      </c>
      <c r="O388" s="2181"/>
      <c r="P388" s="497"/>
      <c r="Q388" s="2182"/>
      <c r="R388" s="606">
        <f t="shared" si="453"/>
        <v>0</v>
      </c>
      <c r="S388" s="2181"/>
      <c r="T388" s="497"/>
      <c r="U388" s="2182"/>
      <c r="V388" s="606">
        <f t="shared" si="454"/>
        <v>0</v>
      </c>
      <c r="W388" s="2181"/>
      <c r="X388" s="497"/>
      <c r="Y388" s="2184"/>
      <c r="Z388" s="621">
        <f t="shared" si="455"/>
        <v>0</v>
      </c>
      <c r="AA388" s="2185"/>
      <c r="AB388" s="1208">
        <f t="shared" si="456"/>
        <v>0</v>
      </c>
      <c r="AC388" s="2181"/>
      <c r="AD388" s="497">
        <v>0</v>
      </c>
      <c r="AE388" s="2182"/>
      <c r="AF388" s="606">
        <f t="shared" si="457"/>
        <v>0</v>
      </c>
      <c r="AG388" s="2181"/>
      <c r="AH388" s="497"/>
      <c r="AI388" s="2182"/>
      <c r="AJ388" s="3928">
        <f t="shared" si="458"/>
        <v>0</v>
      </c>
      <c r="AK388" s="2181"/>
      <c r="AL388" s="497"/>
      <c r="AM388" s="2184"/>
      <c r="AN388" s="621">
        <f t="shared" si="459"/>
        <v>0</v>
      </c>
      <c r="AO388" s="3456"/>
      <c r="AP388" s="606">
        <f t="shared" si="460"/>
        <v>0</v>
      </c>
      <c r="AQ388" s="3978"/>
      <c r="AR388" s="492"/>
      <c r="AS388" s="3456"/>
      <c r="AT388" s="517">
        <f t="shared" si="461"/>
        <v>0</v>
      </c>
      <c r="AU388" s="3978"/>
      <c r="AV388" s="492"/>
      <c r="AW388" s="3456"/>
      <c r="AX388" s="517">
        <f t="shared" si="462"/>
        <v>0</v>
      </c>
      <c r="AY388" s="3978"/>
      <c r="AZ388" s="1001"/>
      <c r="BA388" s="2184"/>
      <c r="BB388" s="621">
        <f t="shared" si="463"/>
        <v>0</v>
      </c>
      <c r="BC388" s="2185"/>
      <c r="BD388" s="1287">
        <f t="shared" ref="BD388:BD412" si="465">+BB388+AN388</f>
        <v>0</v>
      </c>
      <c r="BE388" s="3456"/>
      <c r="BF388" s="517">
        <f t="shared" si="464"/>
        <v>0</v>
      </c>
      <c r="BG388" s="1726"/>
      <c r="BH388" s="1726"/>
      <c r="BI388" s="1726"/>
      <c r="BJ388" s="1726"/>
      <c r="BK388" s="1726"/>
      <c r="BL388" s="1726"/>
      <c r="BM388" s="1726"/>
      <c r="BN388" s="1726"/>
      <c r="BO388" s="1726"/>
      <c r="BP388" s="1726"/>
      <c r="BQ388" s="1726"/>
      <c r="BR388" s="1726"/>
      <c r="BS388" s="1726"/>
      <c r="BT388" s="1726"/>
      <c r="BU388" s="1726"/>
      <c r="BV388" s="1726"/>
      <c r="BW388" s="1726"/>
      <c r="BX388" s="1726"/>
      <c r="BY388" s="1726"/>
      <c r="BZ388" s="1726"/>
      <c r="CA388" s="1726"/>
      <c r="CB388" s="1726"/>
      <c r="CC388" s="1726"/>
    </row>
    <row r="389" spans="1:81" s="570" customFormat="1" ht="18.75" x14ac:dyDescent="0.25">
      <c r="B389" s="1618" t="s">
        <v>1097</v>
      </c>
      <c r="C389" s="2058" t="s">
        <v>53</v>
      </c>
      <c r="D389" s="2070"/>
      <c r="E389" s="2180"/>
      <c r="F389" s="497"/>
      <c r="G389" s="2181"/>
      <c r="H389" s="497"/>
      <c r="I389" s="2182"/>
      <c r="J389" s="606">
        <f t="shared" si="452"/>
        <v>0</v>
      </c>
      <c r="K389" s="2181"/>
      <c r="L389" s="497"/>
      <c r="M389" s="2183"/>
      <c r="N389" s="621">
        <f t="shared" si="451"/>
        <v>0</v>
      </c>
      <c r="O389" s="2181"/>
      <c r="P389" s="497"/>
      <c r="Q389" s="2182"/>
      <c r="R389" s="606">
        <f t="shared" si="453"/>
        <v>0</v>
      </c>
      <c r="S389" s="2181"/>
      <c r="T389" s="497"/>
      <c r="U389" s="2182"/>
      <c r="V389" s="606">
        <f t="shared" si="454"/>
        <v>0</v>
      </c>
      <c r="W389" s="2181"/>
      <c r="X389" s="497"/>
      <c r="Y389" s="2184"/>
      <c r="Z389" s="621">
        <f t="shared" si="455"/>
        <v>0</v>
      </c>
      <c r="AA389" s="2186"/>
      <c r="AB389" s="1208">
        <f t="shared" si="456"/>
        <v>0</v>
      </c>
      <c r="AC389" s="2181"/>
      <c r="AD389" s="497">
        <v>0</v>
      </c>
      <c r="AE389" s="2182"/>
      <c r="AF389" s="606">
        <f t="shared" si="457"/>
        <v>0</v>
      </c>
      <c r="AG389" s="2181"/>
      <c r="AH389" s="497"/>
      <c r="AI389" s="2182"/>
      <c r="AJ389" s="3928">
        <f t="shared" si="458"/>
        <v>0</v>
      </c>
      <c r="AK389" s="2181"/>
      <c r="AL389" s="497"/>
      <c r="AM389" s="2184"/>
      <c r="AN389" s="621">
        <f t="shared" si="459"/>
        <v>0</v>
      </c>
      <c r="AO389" s="2182"/>
      <c r="AP389" s="606">
        <f t="shared" si="460"/>
        <v>0</v>
      </c>
      <c r="AQ389" s="2181"/>
      <c r="AR389" s="497"/>
      <c r="AS389" s="2182"/>
      <c r="AT389" s="517">
        <f t="shared" si="461"/>
        <v>0</v>
      </c>
      <c r="AU389" s="2181"/>
      <c r="AV389" s="497"/>
      <c r="AW389" s="2182"/>
      <c r="AX389" s="517">
        <f t="shared" si="462"/>
        <v>0</v>
      </c>
      <c r="AY389" s="2181"/>
      <c r="AZ389" s="617"/>
      <c r="BA389" s="2184"/>
      <c r="BB389" s="621">
        <f t="shared" si="463"/>
        <v>0</v>
      </c>
      <c r="BC389" s="2186"/>
      <c r="BD389" s="1287">
        <f t="shared" si="465"/>
        <v>0</v>
      </c>
      <c r="BE389" s="2182"/>
      <c r="BF389" s="517">
        <f t="shared" si="464"/>
        <v>0</v>
      </c>
      <c r="BG389" s="1726"/>
      <c r="BH389" s="1726"/>
      <c r="BI389" s="1726"/>
      <c r="BJ389" s="1726"/>
      <c r="BK389" s="1726"/>
      <c r="BL389" s="1726"/>
      <c r="BM389" s="1726"/>
      <c r="BN389" s="1726"/>
      <c r="BO389" s="1726"/>
      <c r="BP389" s="1726"/>
      <c r="BQ389" s="1726"/>
      <c r="BR389" s="1726"/>
      <c r="BS389" s="1726"/>
      <c r="BT389" s="1726"/>
      <c r="BU389" s="1726"/>
      <c r="BV389" s="1726"/>
      <c r="BW389" s="1726"/>
      <c r="BX389" s="1726"/>
      <c r="BY389" s="1726"/>
      <c r="BZ389" s="1726"/>
      <c r="CA389" s="1726"/>
      <c r="CB389" s="1726"/>
      <c r="CC389" s="1726"/>
    </row>
    <row r="390" spans="1:81" s="944" customFormat="1" ht="18.75" x14ac:dyDescent="0.25">
      <c r="B390" s="2176" t="s">
        <v>1434</v>
      </c>
      <c r="C390" s="2058" t="s">
        <v>53</v>
      </c>
      <c r="D390" s="2070"/>
      <c r="E390" s="848"/>
      <c r="F390" s="617"/>
      <c r="G390" s="619"/>
      <c r="H390" s="617"/>
      <c r="I390" s="2182"/>
      <c r="J390" s="606">
        <f t="shared" si="452"/>
        <v>0</v>
      </c>
      <c r="K390" s="619"/>
      <c r="L390" s="617"/>
      <c r="M390" s="2183"/>
      <c r="N390" s="621">
        <f t="shared" si="451"/>
        <v>0</v>
      </c>
      <c r="O390" s="619"/>
      <c r="P390" s="617"/>
      <c r="Q390" s="2182"/>
      <c r="R390" s="606">
        <f t="shared" si="453"/>
        <v>0</v>
      </c>
      <c r="S390" s="619"/>
      <c r="T390" s="617"/>
      <c r="U390" s="2182"/>
      <c r="V390" s="606">
        <f t="shared" si="454"/>
        <v>0</v>
      </c>
      <c r="W390" s="619"/>
      <c r="X390" s="617"/>
      <c r="Y390" s="2178"/>
      <c r="Z390" s="621">
        <f t="shared" si="455"/>
        <v>0</v>
      </c>
      <c r="AA390" s="619"/>
      <c r="AB390" s="1208">
        <f t="shared" si="456"/>
        <v>0</v>
      </c>
      <c r="AC390" s="619"/>
      <c r="AD390" s="617"/>
      <c r="AE390" s="2182"/>
      <c r="AF390" s="606">
        <f t="shared" si="457"/>
        <v>0</v>
      </c>
      <c r="AG390" s="619"/>
      <c r="AH390" s="617"/>
      <c r="AI390" s="2182"/>
      <c r="AJ390" s="3928">
        <f t="shared" si="458"/>
        <v>0</v>
      </c>
      <c r="AK390" s="619"/>
      <c r="AL390" s="617"/>
      <c r="AM390" s="2184"/>
      <c r="AN390" s="621">
        <f t="shared" si="459"/>
        <v>0</v>
      </c>
      <c r="AO390" s="2182"/>
      <c r="AP390" s="606">
        <f t="shared" si="460"/>
        <v>0</v>
      </c>
      <c r="AQ390" s="619"/>
      <c r="AR390" s="617"/>
      <c r="AS390" s="619"/>
      <c r="AT390" s="517">
        <f t="shared" si="461"/>
        <v>0</v>
      </c>
      <c r="AU390" s="619"/>
      <c r="AV390" s="617"/>
      <c r="AW390" s="2182"/>
      <c r="AX390" s="517">
        <f t="shared" si="462"/>
        <v>0</v>
      </c>
      <c r="AY390" s="619"/>
      <c r="AZ390" s="617"/>
      <c r="BA390" s="2184"/>
      <c r="BB390" s="621">
        <f t="shared" si="463"/>
        <v>0</v>
      </c>
      <c r="BC390" s="619"/>
      <c r="BD390" s="1287">
        <f t="shared" si="465"/>
        <v>0</v>
      </c>
      <c r="BE390" s="2182"/>
      <c r="BF390" s="517">
        <f t="shared" si="464"/>
        <v>0</v>
      </c>
      <c r="BG390" s="1726"/>
      <c r="BH390" s="1726"/>
      <c r="BI390" s="1726"/>
      <c r="BJ390" s="1726"/>
      <c r="BK390" s="1726"/>
      <c r="BL390" s="1726"/>
      <c r="BM390" s="1726"/>
      <c r="BN390" s="1726"/>
      <c r="BO390" s="1726"/>
      <c r="BP390" s="1726"/>
      <c r="BQ390" s="1726"/>
      <c r="BR390" s="1726"/>
      <c r="BS390" s="1726"/>
      <c r="BT390" s="1726"/>
      <c r="BU390" s="1726"/>
      <c r="BV390" s="1726"/>
      <c r="BW390" s="1726"/>
      <c r="BX390" s="1726"/>
      <c r="BY390" s="1726"/>
      <c r="BZ390" s="1726"/>
      <c r="CA390" s="1726"/>
      <c r="CB390" s="1726"/>
      <c r="CC390" s="1726"/>
    </row>
    <row r="391" spans="1:81" s="944" customFormat="1" ht="18.75" x14ac:dyDescent="0.25">
      <c r="B391" s="1618" t="s">
        <v>1546</v>
      </c>
      <c r="C391" s="2058" t="s">
        <v>53</v>
      </c>
      <c r="D391" s="2070"/>
      <c r="E391" s="2180"/>
      <c r="F391" s="497"/>
      <c r="G391" s="2181"/>
      <c r="H391" s="497"/>
      <c r="I391" s="2182"/>
      <c r="J391" s="606">
        <f t="shared" si="452"/>
        <v>0</v>
      </c>
      <c r="K391" s="2181"/>
      <c r="L391" s="497"/>
      <c r="M391" s="2183"/>
      <c r="N391" s="621">
        <f t="shared" si="451"/>
        <v>0</v>
      </c>
      <c r="O391" s="2181"/>
      <c r="P391" s="617"/>
      <c r="Q391" s="2182"/>
      <c r="R391" s="606">
        <f t="shared" si="453"/>
        <v>0</v>
      </c>
      <c r="S391" s="2181"/>
      <c r="T391" s="617">
        <v>5431.94</v>
      </c>
      <c r="U391" s="2182"/>
      <c r="V391" s="606">
        <f t="shared" si="454"/>
        <v>5431.94</v>
      </c>
      <c r="W391" s="2181"/>
      <c r="X391" s="617"/>
      <c r="Y391" s="2184"/>
      <c r="Z391" s="621">
        <f t="shared" si="455"/>
        <v>5431.94</v>
      </c>
      <c r="AA391" s="2186"/>
      <c r="AB391" s="1208">
        <f t="shared" si="456"/>
        <v>5431.94</v>
      </c>
      <c r="AC391" s="2181"/>
      <c r="AD391" s="617">
        <v>0</v>
      </c>
      <c r="AE391" s="2182"/>
      <c r="AF391" s="606">
        <f t="shared" si="457"/>
        <v>5431.94</v>
      </c>
      <c r="AG391" s="2181"/>
      <c r="AH391" s="617"/>
      <c r="AI391" s="2182"/>
      <c r="AJ391" s="3928">
        <f t="shared" si="458"/>
        <v>5431.94</v>
      </c>
      <c r="AK391" s="2181"/>
      <c r="AL391" s="617"/>
      <c r="AM391" s="2184"/>
      <c r="AN391" s="621">
        <f t="shared" si="459"/>
        <v>0</v>
      </c>
      <c r="AO391" s="2182"/>
      <c r="AP391" s="606">
        <f t="shared" si="460"/>
        <v>5431.94</v>
      </c>
      <c r="AQ391" s="2181"/>
      <c r="AR391" s="617"/>
      <c r="AS391" s="2182"/>
      <c r="AT391" s="517">
        <f t="shared" si="461"/>
        <v>5431.94</v>
      </c>
      <c r="AU391" s="2181"/>
      <c r="AV391" s="617"/>
      <c r="AW391" s="2182"/>
      <c r="AX391" s="517">
        <f t="shared" si="462"/>
        <v>5431.94</v>
      </c>
      <c r="AY391" s="2181"/>
      <c r="AZ391" s="617"/>
      <c r="BA391" s="2184"/>
      <c r="BB391" s="621">
        <f t="shared" si="463"/>
        <v>0</v>
      </c>
      <c r="BC391" s="2186"/>
      <c r="BD391" s="1287">
        <f t="shared" si="465"/>
        <v>0</v>
      </c>
      <c r="BE391" s="2182"/>
      <c r="BF391" s="517">
        <f t="shared" si="464"/>
        <v>5431.94</v>
      </c>
      <c r="BG391" s="1726"/>
      <c r="BH391" s="1726"/>
      <c r="BI391" s="1726"/>
      <c r="BJ391" s="1726"/>
      <c r="BK391" s="1726"/>
      <c r="BL391" s="1726"/>
      <c r="BM391" s="1726"/>
      <c r="BN391" s="1726"/>
      <c r="BO391" s="1726"/>
      <c r="BP391" s="1726"/>
      <c r="BQ391" s="1726"/>
      <c r="BR391" s="1726"/>
      <c r="BS391" s="1726"/>
      <c r="BT391" s="1726"/>
      <c r="BU391" s="1726"/>
      <c r="BV391" s="1726"/>
      <c r="BW391" s="1726"/>
      <c r="BX391" s="1726"/>
      <c r="BY391" s="1726"/>
      <c r="BZ391" s="1726"/>
      <c r="CA391" s="1726"/>
      <c r="CB391" s="1726"/>
      <c r="CC391" s="1726"/>
    </row>
    <row r="392" spans="1:81" s="944" customFormat="1" ht="18.75" x14ac:dyDescent="0.25">
      <c r="B392" s="2176" t="s">
        <v>1545</v>
      </c>
      <c r="C392" s="2058" t="s">
        <v>53</v>
      </c>
      <c r="D392" s="2070"/>
      <c r="E392" s="848"/>
      <c r="F392" s="617"/>
      <c r="G392" s="619"/>
      <c r="H392" s="617"/>
      <c r="I392" s="2182"/>
      <c r="J392" s="606">
        <f t="shared" si="452"/>
        <v>0</v>
      </c>
      <c r="K392" s="619"/>
      <c r="L392" s="617"/>
      <c r="M392" s="2183"/>
      <c r="N392" s="621">
        <f t="shared" si="451"/>
        <v>0</v>
      </c>
      <c r="O392" s="619"/>
      <c r="P392" s="617"/>
      <c r="Q392" s="2182"/>
      <c r="R392" s="606">
        <f t="shared" si="453"/>
        <v>0</v>
      </c>
      <c r="S392" s="619"/>
      <c r="T392" s="617"/>
      <c r="U392" s="2182"/>
      <c r="V392" s="606">
        <f t="shared" si="454"/>
        <v>0</v>
      </c>
      <c r="W392" s="619"/>
      <c r="X392" s="617"/>
      <c r="Y392" s="2178"/>
      <c r="Z392" s="621">
        <f t="shared" si="455"/>
        <v>0</v>
      </c>
      <c r="AA392" s="619"/>
      <c r="AB392" s="1208">
        <f t="shared" si="456"/>
        <v>0</v>
      </c>
      <c r="AC392" s="619"/>
      <c r="AD392" s="617"/>
      <c r="AE392" s="2182"/>
      <c r="AF392" s="606">
        <f t="shared" si="457"/>
        <v>0</v>
      </c>
      <c r="AG392" s="619"/>
      <c r="AH392" s="617"/>
      <c r="AI392" s="2182"/>
      <c r="AJ392" s="3928">
        <f t="shared" si="458"/>
        <v>0</v>
      </c>
      <c r="AK392" s="619"/>
      <c r="AL392" s="617"/>
      <c r="AM392" s="2184"/>
      <c r="AN392" s="621">
        <f t="shared" si="459"/>
        <v>0</v>
      </c>
      <c r="AO392" s="2182"/>
      <c r="AP392" s="606">
        <f t="shared" si="460"/>
        <v>0</v>
      </c>
      <c r="AQ392" s="619"/>
      <c r="AR392" s="617"/>
      <c r="AS392" s="619"/>
      <c r="AT392" s="517">
        <f t="shared" si="461"/>
        <v>0</v>
      </c>
      <c r="AU392" s="619"/>
      <c r="AV392" s="617"/>
      <c r="AW392" s="2182"/>
      <c r="AX392" s="517">
        <f t="shared" si="462"/>
        <v>0</v>
      </c>
      <c r="AY392" s="619"/>
      <c r="AZ392" s="617"/>
      <c r="BA392" s="2184"/>
      <c r="BB392" s="621">
        <f t="shared" si="463"/>
        <v>0</v>
      </c>
      <c r="BC392" s="619"/>
      <c r="BD392" s="1287">
        <f t="shared" si="465"/>
        <v>0</v>
      </c>
      <c r="BE392" s="2182"/>
      <c r="BF392" s="517">
        <f t="shared" si="464"/>
        <v>0</v>
      </c>
      <c r="BG392" s="1726"/>
      <c r="BH392" s="1726"/>
      <c r="BI392" s="1726"/>
      <c r="BJ392" s="1726"/>
      <c r="BK392" s="1726"/>
      <c r="BL392" s="1726"/>
      <c r="BM392" s="1726"/>
      <c r="BN392" s="1726"/>
      <c r="BO392" s="1726"/>
      <c r="BP392" s="1726"/>
      <c r="BQ392" s="1726"/>
      <c r="BR392" s="1726"/>
      <c r="BS392" s="1726"/>
      <c r="BT392" s="1726"/>
      <c r="BU392" s="1726"/>
      <c r="BV392" s="1726"/>
      <c r="BW392" s="1726"/>
      <c r="BX392" s="1726"/>
      <c r="BY392" s="1726"/>
      <c r="BZ392" s="1726"/>
      <c r="CA392" s="1726"/>
      <c r="CB392" s="1726"/>
      <c r="CC392" s="1726"/>
    </row>
    <row r="393" spans="1:81" s="944" customFormat="1" ht="18.75" x14ac:dyDescent="0.25">
      <c r="B393" s="1618" t="s">
        <v>1546</v>
      </c>
      <c r="C393" s="2058" t="s">
        <v>53</v>
      </c>
      <c r="D393" s="2070"/>
      <c r="E393" s="2180"/>
      <c r="F393" s="497"/>
      <c r="G393" s="2181"/>
      <c r="H393" s="497"/>
      <c r="I393" s="2182"/>
      <c r="J393" s="606">
        <f t="shared" si="452"/>
        <v>0</v>
      </c>
      <c r="K393" s="2181"/>
      <c r="L393" s="497"/>
      <c r="M393" s="2183"/>
      <c r="N393" s="621">
        <f t="shared" si="451"/>
        <v>0</v>
      </c>
      <c r="O393" s="2181"/>
      <c r="P393" s="617"/>
      <c r="Q393" s="2182"/>
      <c r="R393" s="606">
        <f t="shared" si="453"/>
        <v>0</v>
      </c>
      <c r="S393" s="2181"/>
      <c r="T393" s="617">
        <v>8153.4599999999964</v>
      </c>
      <c r="U393" s="2182"/>
      <c r="V393" s="606">
        <f t="shared" si="454"/>
        <v>8153.4599999999964</v>
      </c>
      <c r="W393" s="2181"/>
      <c r="X393" s="617"/>
      <c r="Y393" s="2184"/>
      <c r="Z393" s="621">
        <f t="shared" si="455"/>
        <v>8153.4599999999964</v>
      </c>
      <c r="AA393" s="2186"/>
      <c r="AB393" s="1208">
        <f t="shared" si="456"/>
        <v>8153.4599999999964</v>
      </c>
      <c r="AC393" s="2181"/>
      <c r="AD393" s="617">
        <v>0</v>
      </c>
      <c r="AE393" s="2182"/>
      <c r="AF393" s="606">
        <f t="shared" si="457"/>
        <v>8153.4599999999964</v>
      </c>
      <c r="AG393" s="2181"/>
      <c r="AH393" s="617"/>
      <c r="AI393" s="2182"/>
      <c r="AJ393" s="3928">
        <f t="shared" si="458"/>
        <v>8153.4599999999964</v>
      </c>
      <c r="AK393" s="2181"/>
      <c r="AL393" s="617"/>
      <c r="AM393" s="2184"/>
      <c r="AN393" s="621">
        <f t="shared" si="459"/>
        <v>0</v>
      </c>
      <c r="AO393" s="2182"/>
      <c r="AP393" s="606">
        <f t="shared" si="460"/>
        <v>8153.4599999999964</v>
      </c>
      <c r="AQ393" s="2181"/>
      <c r="AR393" s="617"/>
      <c r="AS393" s="2182"/>
      <c r="AT393" s="517">
        <f t="shared" si="461"/>
        <v>8153.4599999999964</v>
      </c>
      <c r="AU393" s="2181"/>
      <c r="AV393" s="617"/>
      <c r="AW393" s="2182"/>
      <c r="AX393" s="517">
        <f t="shared" si="462"/>
        <v>8153.4599999999964</v>
      </c>
      <c r="AY393" s="2181"/>
      <c r="AZ393" s="617"/>
      <c r="BA393" s="2184"/>
      <c r="BB393" s="621">
        <f t="shared" si="463"/>
        <v>0</v>
      </c>
      <c r="BC393" s="2186"/>
      <c r="BD393" s="1287">
        <f t="shared" si="465"/>
        <v>0</v>
      </c>
      <c r="BE393" s="2182"/>
      <c r="BF393" s="517">
        <f t="shared" si="464"/>
        <v>8153.4599999999964</v>
      </c>
      <c r="BG393" s="1726"/>
      <c r="BH393" s="1726"/>
      <c r="BI393" s="1726"/>
      <c r="BJ393" s="1726"/>
      <c r="BK393" s="1726"/>
      <c r="BL393" s="1726"/>
      <c r="BM393" s="1726"/>
      <c r="BN393" s="1726"/>
      <c r="BO393" s="1726"/>
      <c r="BP393" s="1726"/>
      <c r="BQ393" s="1726"/>
      <c r="BR393" s="1726"/>
      <c r="BS393" s="1726"/>
      <c r="BT393" s="1726"/>
      <c r="BU393" s="1726"/>
      <c r="BV393" s="1726"/>
      <c r="BW393" s="1726"/>
      <c r="BX393" s="1726"/>
      <c r="BY393" s="1726"/>
      <c r="BZ393" s="1726"/>
      <c r="CA393" s="1726"/>
      <c r="CB393" s="1726"/>
      <c r="CC393" s="1726"/>
    </row>
    <row r="394" spans="1:81" s="1493" customFormat="1" ht="18.75" x14ac:dyDescent="0.25">
      <c r="B394" s="2176" t="s">
        <v>1390</v>
      </c>
      <c r="C394" s="2058" t="s">
        <v>53</v>
      </c>
      <c r="D394" s="2070"/>
      <c r="E394" s="2180"/>
      <c r="F394" s="497"/>
      <c r="G394" s="2181"/>
      <c r="H394" s="497"/>
      <c r="I394" s="2182"/>
      <c r="J394" s="606"/>
      <c r="K394" s="2181"/>
      <c r="L394" s="497"/>
      <c r="M394" s="2183"/>
      <c r="N394" s="621">
        <f t="shared" si="451"/>
        <v>0</v>
      </c>
      <c r="O394" s="2181"/>
      <c r="P394" s="617"/>
      <c r="Q394" s="2182"/>
      <c r="R394" s="606"/>
      <c r="S394" s="2181"/>
      <c r="T394" s="617"/>
      <c r="U394" s="2182"/>
      <c r="V394" s="606">
        <f t="shared" si="454"/>
        <v>0</v>
      </c>
      <c r="W394" s="2181"/>
      <c r="X394" s="617"/>
      <c r="Y394" s="2184"/>
      <c r="Z394" s="621">
        <f t="shared" si="455"/>
        <v>0</v>
      </c>
      <c r="AA394" s="2186"/>
      <c r="AB394" s="1208">
        <f t="shared" si="456"/>
        <v>0</v>
      </c>
      <c r="AC394" s="2181"/>
      <c r="AD394" s="617"/>
      <c r="AE394" s="2182"/>
      <c r="AF394" s="606">
        <f t="shared" si="457"/>
        <v>0</v>
      </c>
      <c r="AG394" s="2181"/>
      <c r="AH394" s="617"/>
      <c r="AI394" s="2182"/>
      <c r="AJ394" s="3928">
        <f t="shared" si="458"/>
        <v>0</v>
      </c>
      <c r="AK394" s="2181"/>
      <c r="AL394" s="617"/>
      <c r="AM394" s="2184"/>
      <c r="AN394" s="621">
        <f t="shared" si="459"/>
        <v>0</v>
      </c>
      <c r="AO394" s="2182"/>
      <c r="AP394" s="606">
        <f t="shared" si="460"/>
        <v>0</v>
      </c>
      <c r="AQ394" s="2181"/>
      <c r="AR394" s="617"/>
      <c r="AS394" s="2182"/>
      <c r="AT394" s="517">
        <f t="shared" si="461"/>
        <v>0</v>
      </c>
      <c r="AU394" s="2181"/>
      <c r="AV394" s="617"/>
      <c r="AW394" s="2182"/>
      <c r="AX394" s="517">
        <f t="shared" si="462"/>
        <v>0</v>
      </c>
      <c r="AY394" s="2181"/>
      <c r="AZ394" s="617"/>
      <c r="BA394" s="2184"/>
      <c r="BB394" s="621">
        <f t="shared" si="463"/>
        <v>0</v>
      </c>
      <c r="BC394" s="2186"/>
      <c r="BD394" s="1287">
        <f t="shared" si="465"/>
        <v>0</v>
      </c>
      <c r="BE394" s="2182"/>
      <c r="BF394" s="517">
        <f t="shared" si="464"/>
        <v>0</v>
      </c>
      <c r="BG394" s="1726"/>
      <c r="BH394" s="1726"/>
      <c r="BI394" s="1726"/>
      <c r="BJ394" s="1726"/>
      <c r="BK394" s="1726"/>
      <c r="BL394" s="1726"/>
      <c r="BM394" s="1726"/>
      <c r="BN394" s="1726"/>
      <c r="BO394" s="1726"/>
      <c r="BP394" s="1726"/>
      <c r="BQ394" s="1726"/>
      <c r="BR394" s="1726"/>
      <c r="BS394" s="1726"/>
      <c r="BT394" s="1726"/>
      <c r="BU394" s="1726"/>
      <c r="BV394" s="1726"/>
      <c r="BW394" s="1726"/>
      <c r="BX394" s="1726"/>
      <c r="BY394" s="1726"/>
      <c r="BZ394" s="1726"/>
      <c r="CA394" s="1726"/>
      <c r="CB394" s="1726"/>
      <c r="CC394" s="1726"/>
    </row>
    <row r="395" spans="1:81" s="1493" customFormat="1" ht="18.75" x14ac:dyDescent="0.25">
      <c r="B395" s="1618" t="s">
        <v>1005</v>
      </c>
      <c r="C395" s="2058" t="s">
        <v>53</v>
      </c>
      <c r="D395" s="2070"/>
      <c r="E395" s="2180"/>
      <c r="F395" s="497"/>
      <c r="G395" s="2181"/>
      <c r="H395" s="497"/>
      <c r="I395" s="2182"/>
      <c r="J395" s="606">
        <f t="shared" si="452"/>
        <v>0</v>
      </c>
      <c r="K395" s="2181"/>
      <c r="L395" s="497"/>
      <c r="M395" s="2183"/>
      <c r="N395" s="621">
        <f t="shared" si="451"/>
        <v>0</v>
      </c>
      <c r="O395" s="2181"/>
      <c r="P395" s="617"/>
      <c r="Q395" s="2182"/>
      <c r="R395" s="606">
        <f t="shared" si="453"/>
        <v>0</v>
      </c>
      <c r="S395" s="2181"/>
      <c r="T395" s="617"/>
      <c r="U395" s="2182"/>
      <c r="V395" s="606">
        <f t="shared" si="454"/>
        <v>0</v>
      </c>
      <c r="W395" s="2181"/>
      <c r="X395" s="617"/>
      <c r="Y395" s="2184"/>
      <c r="Z395" s="621">
        <f t="shared" si="455"/>
        <v>0</v>
      </c>
      <c r="AA395" s="2186"/>
      <c r="AB395" s="1208">
        <f t="shared" si="456"/>
        <v>0</v>
      </c>
      <c r="AC395" s="2181"/>
      <c r="AD395" s="617">
        <v>0</v>
      </c>
      <c r="AE395" s="2182"/>
      <c r="AF395" s="606">
        <f t="shared" si="457"/>
        <v>0</v>
      </c>
      <c r="AG395" s="2181"/>
      <c r="AH395" s="617"/>
      <c r="AI395" s="2182"/>
      <c r="AJ395" s="3928">
        <f t="shared" si="458"/>
        <v>0</v>
      </c>
      <c r="AK395" s="2181"/>
      <c r="AL395" s="617"/>
      <c r="AM395" s="2184"/>
      <c r="AN395" s="621">
        <f t="shared" si="459"/>
        <v>0</v>
      </c>
      <c r="AO395" s="2182"/>
      <c r="AP395" s="606">
        <f t="shared" si="460"/>
        <v>0</v>
      </c>
      <c r="AQ395" s="2181"/>
      <c r="AR395" s="617"/>
      <c r="AS395" s="2182"/>
      <c r="AT395" s="517">
        <f t="shared" si="461"/>
        <v>0</v>
      </c>
      <c r="AU395" s="2181"/>
      <c r="AV395" s="617"/>
      <c r="AW395" s="2182"/>
      <c r="AX395" s="517">
        <f t="shared" si="462"/>
        <v>0</v>
      </c>
      <c r="AY395" s="2181"/>
      <c r="AZ395" s="617"/>
      <c r="BA395" s="2184"/>
      <c r="BB395" s="621">
        <f t="shared" si="463"/>
        <v>0</v>
      </c>
      <c r="BC395" s="2186"/>
      <c r="BD395" s="1287">
        <f t="shared" si="465"/>
        <v>0</v>
      </c>
      <c r="BE395" s="2182"/>
      <c r="BF395" s="517">
        <f t="shared" si="464"/>
        <v>0</v>
      </c>
      <c r="BG395" s="1726"/>
      <c r="BH395" s="1726"/>
      <c r="BI395" s="1726"/>
      <c r="BJ395" s="1726"/>
      <c r="BK395" s="1726"/>
      <c r="BL395" s="1726"/>
      <c r="BM395" s="1726"/>
      <c r="BN395" s="1726"/>
      <c r="BO395" s="1726"/>
      <c r="BP395" s="1726"/>
      <c r="BQ395" s="1726"/>
      <c r="BR395" s="1726"/>
      <c r="BS395" s="1726"/>
      <c r="BT395" s="1726"/>
      <c r="BU395" s="1726"/>
      <c r="BV395" s="1726"/>
      <c r="BW395" s="1726"/>
      <c r="BX395" s="1726"/>
      <c r="BY395" s="1726"/>
      <c r="BZ395" s="1726"/>
      <c r="CA395" s="1726"/>
      <c r="CB395" s="1726"/>
      <c r="CC395" s="1726"/>
    </row>
    <row r="396" spans="1:81" s="1503" customFormat="1" ht="18.75" x14ac:dyDescent="0.25">
      <c r="B396" s="1618" t="s">
        <v>1321</v>
      </c>
      <c r="C396" s="2058" t="s">
        <v>53</v>
      </c>
      <c r="D396" s="2070"/>
      <c r="E396" s="2180"/>
      <c r="F396" s="497"/>
      <c r="G396" s="2181"/>
      <c r="H396" s="497">
        <v>1949.8</v>
      </c>
      <c r="I396" s="2182"/>
      <c r="J396" s="606">
        <f t="shared" si="452"/>
        <v>1949.8</v>
      </c>
      <c r="K396" s="2181"/>
      <c r="L396" s="497">
        <v>17113.960000000003</v>
      </c>
      <c r="M396" s="2183"/>
      <c r="N396" s="621">
        <f t="shared" si="451"/>
        <v>19063.760000000002</v>
      </c>
      <c r="O396" s="2181"/>
      <c r="P396" s="617"/>
      <c r="Q396" s="2182"/>
      <c r="R396" s="606">
        <f t="shared" si="453"/>
        <v>19063.760000000002</v>
      </c>
      <c r="S396" s="2181"/>
      <c r="T396" s="617"/>
      <c r="U396" s="2182"/>
      <c r="V396" s="606">
        <f t="shared" si="454"/>
        <v>19063.760000000002</v>
      </c>
      <c r="W396" s="2181"/>
      <c r="X396" s="617"/>
      <c r="Y396" s="2184"/>
      <c r="Z396" s="621">
        <f t="shared" si="455"/>
        <v>0</v>
      </c>
      <c r="AA396" s="2186"/>
      <c r="AB396" s="1208">
        <f t="shared" si="456"/>
        <v>19063.760000000002</v>
      </c>
      <c r="AC396" s="2181"/>
      <c r="AD396" s="617">
        <v>0</v>
      </c>
      <c r="AE396" s="2182"/>
      <c r="AF396" s="606">
        <f t="shared" si="457"/>
        <v>19063.760000000002</v>
      </c>
      <c r="AG396" s="2181"/>
      <c r="AH396" s="617">
        <v>19236.400000000001</v>
      </c>
      <c r="AI396" s="2182"/>
      <c r="AJ396" s="3928">
        <f t="shared" si="458"/>
        <v>38300.160000000003</v>
      </c>
      <c r="AK396" s="2181"/>
      <c r="AL396" s="617"/>
      <c r="AM396" s="2184"/>
      <c r="AN396" s="621">
        <f t="shared" si="459"/>
        <v>19236.400000000001</v>
      </c>
      <c r="AO396" s="2182"/>
      <c r="AP396" s="606">
        <f t="shared" si="460"/>
        <v>38300.160000000003</v>
      </c>
      <c r="AQ396" s="2181"/>
      <c r="AR396" s="617"/>
      <c r="AS396" s="2182"/>
      <c r="AT396" s="517">
        <f t="shared" si="461"/>
        <v>38300.160000000003</v>
      </c>
      <c r="AU396" s="2181"/>
      <c r="AV396" s="617"/>
      <c r="AW396" s="2182"/>
      <c r="AX396" s="517">
        <f t="shared" si="462"/>
        <v>38300.160000000003</v>
      </c>
      <c r="AY396" s="2181"/>
      <c r="AZ396" s="617"/>
      <c r="BA396" s="2184"/>
      <c r="BB396" s="621">
        <f t="shared" si="463"/>
        <v>0</v>
      </c>
      <c r="BC396" s="2186"/>
      <c r="BD396" s="1287">
        <f t="shared" si="465"/>
        <v>19236.400000000001</v>
      </c>
      <c r="BE396" s="2182"/>
      <c r="BF396" s="517">
        <f t="shared" si="464"/>
        <v>38300.160000000003</v>
      </c>
      <c r="BG396" s="1726"/>
      <c r="BH396" s="1726"/>
      <c r="BI396" s="1726"/>
      <c r="BJ396" s="1726"/>
      <c r="BK396" s="1726"/>
      <c r="BL396" s="1726"/>
      <c r="BM396" s="1726"/>
      <c r="BN396" s="1726"/>
      <c r="BO396" s="1726"/>
      <c r="BP396" s="1726"/>
      <c r="BQ396" s="1726"/>
      <c r="BR396" s="1726"/>
      <c r="BS396" s="1726"/>
      <c r="BT396" s="1726"/>
      <c r="BU396" s="1726"/>
      <c r="BV396" s="1726"/>
      <c r="BW396" s="1726"/>
      <c r="BX396" s="1726"/>
      <c r="BY396" s="1726"/>
      <c r="BZ396" s="1726"/>
      <c r="CA396" s="1726"/>
      <c r="CB396" s="1726"/>
      <c r="CC396" s="1726"/>
    </row>
    <row r="397" spans="1:81" s="1503" customFormat="1" ht="18.75" x14ac:dyDescent="0.25">
      <c r="B397" s="1618" t="s">
        <v>851</v>
      </c>
      <c r="C397" s="2058" t="s">
        <v>53</v>
      </c>
      <c r="D397" s="2070"/>
      <c r="E397" s="2180"/>
      <c r="F397" s="497"/>
      <c r="G397" s="2181"/>
      <c r="H397" s="497"/>
      <c r="I397" s="2182"/>
      <c r="J397" s="606">
        <f t="shared" si="452"/>
        <v>0</v>
      </c>
      <c r="K397" s="2181"/>
      <c r="L397" s="497"/>
      <c r="M397" s="2183"/>
      <c r="N397" s="621">
        <f t="shared" si="451"/>
        <v>0</v>
      </c>
      <c r="O397" s="2181"/>
      <c r="P397" s="617"/>
      <c r="Q397" s="2182"/>
      <c r="R397" s="606">
        <f t="shared" si="453"/>
        <v>0</v>
      </c>
      <c r="S397" s="2181"/>
      <c r="T397" s="617"/>
      <c r="U397" s="2182"/>
      <c r="V397" s="606">
        <f t="shared" si="454"/>
        <v>0</v>
      </c>
      <c r="W397" s="2181"/>
      <c r="X397" s="617"/>
      <c r="Y397" s="2184"/>
      <c r="Z397" s="621">
        <f t="shared" si="455"/>
        <v>0</v>
      </c>
      <c r="AA397" s="2186"/>
      <c r="AB397" s="1208">
        <f t="shared" si="456"/>
        <v>0</v>
      </c>
      <c r="AC397" s="2181"/>
      <c r="AD397" s="617">
        <v>0</v>
      </c>
      <c r="AE397" s="2182"/>
      <c r="AF397" s="606">
        <f t="shared" si="457"/>
        <v>0</v>
      </c>
      <c r="AG397" s="2181"/>
      <c r="AH397" s="617"/>
      <c r="AI397" s="2182"/>
      <c r="AJ397" s="3928">
        <f t="shared" si="458"/>
        <v>0</v>
      </c>
      <c r="AK397" s="2181"/>
      <c r="AL397" s="617"/>
      <c r="AM397" s="2184"/>
      <c r="AN397" s="621">
        <f t="shared" si="459"/>
        <v>0</v>
      </c>
      <c r="AO397" s="2182"/>
      <c r="AP397" s="606">
        <f t="shared" si="460"/>
        <v>0</v>
      </c>
      <c r="AQ397" s="2181"/>
      <c r="AR397" s="617"/>
      <c r="AS397" s="2182"/>
      <c r="AT397" s="517">
        <f t="shared" si="461"/>
        <v>0</v>
      </c>
      <c r="AU397" s="2181"/>
      <c r="AV397" s="617"/>
      <c r="AW397" s="2182"/>
      <c r="AX397" s="517">
        <f t="shared" si="462"/>
        <v>0</v>
      </c>
      <c r="AY397" s="2181"/>
      <c r="AZ397" s="617"/>
      <c r="BA397" s="2184"/>
      <c r="BB397" s="621">
        <f t="shared" si="463"/>
        <v>0</v>
      </c>
      <c r="BC397" s="2186"/>
      <c r="BD397" s="1287">
        <f t="shared" si="465"/>
        <v>0</v>
      </c>
      <c r="BE397" s="2182"/>
      <c r="BF397" s="517">
        <f t="shared" si="464"/>
        <v>0</v>
      </c>
      <c r="BG397" s="1726"/>
      <c r="BH397" s="1726"/>
      <c r="BI397" s="1726"/>
      <c r="BJ397" s="1726"/>
      <c r="BK397" s="1726"/>
      <c r="BL397" s="1726"/>
      <c r="BM397" s="1726"/>
      <c r="BN397" s="1726"/>
      <c r="BO397" s="1726"/>
      <c r="BP397" s="1726"/>
      <c r="BQ397" s="1726"/>
      <c r="BR397" s="1726"/>
      <c r="BS397" s="1726"/>
      <c r="BT397" s="1726"/>
      <c r="BU397" s="1726"/>
      <c r="BV397" s="1726"/>
      <c r="BW397" s="1726"/>
      <c r="BX397" s="1726"/>
      <c r="BY397" s="1726"/>
      <c r="BZ397" s="1726"/>
      <c r="CA397" s="1726"/>
      <c r="CB397" s="1726"/>
      <c r="CC397" s="1726"/>
    </row>
    <row r="398" spans="1:81" s="1726" customFormat="1" ht="19.5" thickBot="1" x14ac:dyDescent="0.3">
      <c r="B398" s="2128" t="s">
        <v>1595</v>
      </c>
      <c r="C398" s="2058" t="s">
        <v>53</v>
      </c>
      <c r="D398" s="2070"/>
      <c r="E398" s="2180"/>
      <c r="F398" s="497"/>
      <c r="G398" s="2181"/>
      <c r="H398" s="497"/>
      <c r="I398" s="2182"/>
      <c r="J398" s="606"/>
      <c r="K398" s="2181"/>
      <c r="L398" s="497"/>
      <c r="M398" s="2183"/>
      <c r="N398" s="621">
        <f t="shared" si="451"/>
        <v>0</v>
      </c>
      <c r="O398" s="2181"/>
      <c r="P398" s="617"/>
      <c r="Q398" s="2182"/>
      <c r="R398" s="606"/>
      <c r="S398" s="2181"/>
      <c r="T398" s="617"/>
      <c r="U398" s="2182"/>
      <c r="V398" s="606"/>
      <c r="W398" s="2181"/>
      <c r="X398" s="617">
        <v>15447.14</v>
      </c>
      <c r="Y398" s="2184"/>
      <c r="Z398" s="621">
        <f t="shared" si="455"/>
        <v>15447.14</v>
      </c>
      <c r="AA398" s="2186"/>
      <c r="AB398" s="1208">
        <f t="shared" si="456"/>
        <v>15447.14</v>
      </c>
      <c r="AC398" s="2181"/>
      <c r="AD398" s="617">
        <v>0</v>
      </c>
      <c r="AE398" s="2182"/>
      <c r="AF398" s="606">
        <f t="shared" si="457"/>
        <v>15447.14</v>
      </c>
      <c r="AG398" s="2181"/>
      <c r="AH398" s="617"/>
      <c r="AI398" s="2182"/>
      <c r="AJ398" s="3928">
        <f t="shared" si="458"/>
        <v>15447.14</v>
      </c>
      <c r="AK398" s="2181"/>
      <c r="AL398" s="617"/>
      <c r="AM398" s="2184"/>
      <c r="AN398" s="621">
        <f t="shared" si="459"/>
        <v>0</v>
      </c>
      <c r="AO398" s="2182"/>
      <c r="AP398" s="606">
        <f t="shared" si="460"/>
        <v>15447.14</v>
      </c>
      <c r="AQ398" s="2181"/>
      <c r="AR398" s="617"/>
      <c r="AS398" s="2182"/>
      <c r="AT398" s="517">
        <f t="shared" si="461"/>
        <v>15447.14</v>
      </c>
      <c r="AU398" s="2181"/>
      <c r="AV398" s="617"/>
      <c r="AW398" s="2182"/>
      <c r="AX398" s="517">
        <f t="shared" si="462"/>
        <v>15447.14</v>
      </c>
      <c r="AY398" s="2181"/>
      <c r="AZ398" s="617"/>
      <c r="BA398" s="2184"/>
      <c r="BB398" s="621">
        <f t="shared" si="463"/>
        <v>0</v>
      </c>
      <c r="BC398" s="2186"/>
      <c r="BD398" s="1287">
        <f t="shared" si="465"/>
        <v>0</v>
      </c>
      <c r="BE398" s="2182"/>
      <c r="BF398" s="517">
        <f t="shared" si="464"/>
        <v>15447.14</v>
      </c>
    </row>
    <row r="399" spans="1:81" s="1726" customFormat="1" ht="19.5" thickBot="1" x14ac:dyDescent="0.3">
      <c r="B399" s="2171" t="s">
        <v>1305</v>
      </c>
      <c r="C399" s="2058" t="s">
        <v>53</v>
      </c>
      <c r="D399" s="2070"/>
      <c r="E399" s="2180"/>
      <c r="F399" s="497"/>
      <c r="G399" s="2181"/>
      <c r="H399" s="497"/>
      <c r="I399" s="2182"/>
      <c r="J399" s="606"/>
      <c r="K399" s="2181"/>
      <c r="L399" s="497"/>
      <c r="M399" s="2183"/>
      <c r="N399" s="621"/>
      <c r="O399" s="2181"/>
      <c r="P399" s="617"/>
      <c r="Q399" s="2182"/>
      <c r="R399" s="606"/>
      <c r="S399" s="2181"/>
      <c r="T399" s="617"/>
      <c r="U399" s="2182"/>
      <c r="V399" s="606"/>
      <c r="W399" s="2181"/>
      <c r="X399" s="617"/>
      <c r="Y399" s="2184"/>
      <c r="Z399" s="621"/>
      <c r="AA399" s="2186"/>
      <c r="AB399" s="1208"/>
      <c r="AC399" s="2181"/>
      <c r="AD399" s="617"/>
      <c r="AE399" s="2182"/>
      <c r="AF399" s="606"/>
      <c r="AG399" s="2181"/>
      <c r="AH399" s="617"/>
      <c r="AI399" s="2182"/>
      <c r="AJ399" s="3928"/>
      <c r="AK399" s="2181"/>
      <c r="AL399" s="617"/>
      <c r="AM399" s="2184"/>
      <c r="AN399" s="621"/>
      <c r="AO399" s="2182"/>
      <c r="AP399" s="606">
        <f t="shared" si="460"/>
        <v>0</v>
      </c>
      <c r="AQ399" s="2181"/>
      <c r="AR399" s="617">
        <v>1923.54</v>
      </c>
      <c r="AS399" s="2182"/>
      <c r="AT399" s="517">
        <f t="shared" si="461"/>
        <v>1923.54</v>
      </c>
      <c r="AU399" s="2181"/>
      <c r="AV399" s="617">
        <v>60.14</v>
      </c>
      <c r="AW399" s="2182"/>
      <c r="AX399" s="517">
        <f t="shared" si="462"/>
        <v>1983.68</v>
      </c>
      <c r="AY399" s="2181"/>
      <c r="AZ399" s="617"/>
      <c r="BA399" s="2184"/>
      <c r="BB399" s="621">
        <f t="shared" si="463"/>
        <v>1983.68</v>
      </c>
      <c r="BC399" s="2186"/>
      <c r="BD399" s="1287">
        <f t="shared" si="465"/>
        <v>1983.68</v>
      </c>
      <c r="BE399" s="2182"/>
      <c r="BF399" s="517">
        <f t="shared" si="464"/>
        <v>1983.68</v>
      </c>
    </row>
    <row r="400" spans="1:81" s="570" customFormat="1" ht="18.75" x14ac:dyDescent="0.25">
      <c r="B400" s="2176" t="s">
        <v>611</v>
      </c>
      <c r="C400" s="2058" t="s">
        <v>53</v>
      </c>
      <c r="D400" s="2070"/>
      <c r="E400" s="2180"/>
      <c r="F400" s="497">
        <v>1493.36</v>
      </c>
      <c r="G400" s="2181"/>
      <c r="H400" s="497">
        <v>2208.8200000000002</v>
      </c>
      <c r="I400" s="2182"/>
      <c r="J400" s="606">
        <f t="shared" si="452"/>
        <v>3702.1800000000003</v>
      </c>
      <c r="K400" s="2181"/>
      <c r="L400" s="497">
        <v>244</v>
      </c>
      <c r="M400" s="2183"/>
      <c r="N400" s="621">
        <f t="shared" si="451"/>
        <v>3946.1800000000003</v>
      </c>
      <c r="O400" s="2181"/>
      <c r="P400" s="497">
        <v>1067.2700000000002</v>
      </c>
      <c r="Q400" s="2182"/>
      <c r="R400" s="606">
        <f t="shared" si="453"/>
        <v>5013.4500000000007</v>
      </c>
      <c r="S400" s="2181"/>
      <c r="T400" s="497">
        <v>279.24</v>
      </c>
      <c r="U400" s="2182"/>
      <c r="V400" s="606">
        <f t="shared" si="454"/>
        <v>5292.6900000000005</v>
      </c>
      <c r="W400" s="2181"/>
      <c r="X400" s="497">
        <v>249.63</v>
      </c>
      <c r="Y400" s="2184"/>
      <c r="Z400" s="621">
        <f t="shared" si="455"/>
        <v>1596.1400000000003</v>
      </c>
      <c r="AA400" s="2186"/>
      <c r="AB400" s="1208">
        <f t="shared" si="456"/>
        <v>5542.3200000000006</v>
      </c>
      <c r="AC400" s="2181"/>
      <c r="AD400" s="497">
        <v>963.93999999999994</v>
      </c>
      <c r="AE400" s="2182"/>
      <c r="AF400" s="606">
        <f t="shared" si="457"/>
        <v>6506.26</v>
      </c>
      <c r="AG400" s="2181"/>
      <c r="AH400" s="497">
        <v>630.67000000000007</v>
      </c>
      <c r="AI400" s="2182"/>
      <c r="AJ400" s="3928">
        <f t="shared" si="458"/>
        <v>7136.93</v>
      </c>
      <c r="AK400" s="2181"/>
      <c r="AL400" s="497">
        <v>1439.7</v>
      </c>
      <c r="AM400" s="2184"/>
      <c r="AN400" s="621">
        <f t="shared" si="459"/>
        <v>3034.3100000000004</v>
      </c>
      <c r="AO400" s="2182"/>
      <c r="AP400" s="606">
        <f t="shared" si="460"/>
        <v>8576.630000000001</v>
      </c>
      <c r="AQ400" s="2181"/>
      <c r="AR400" s="497">
        <v>17.600000000000001</v>
      </c>
      <c r="AS400" s="2182"/>
      <c r="AT400" s="517">
        <f t="shared" si="461"/>
        <v>8594.2300000000014</v>
      </c>
      <c r="AU400" s="2181"/>
      <c r="AV400" s="497">
        <v>249.19999999999996</v>
      </c>
      <c r="AW400" s="2182"/>
      <c r="AX400" s="517">
        <f t="shared" si="462"/>
        <v>8843.4300000000021</v>
      </c>
      <c r="AY400" s="2181"/>
      <c r="AZ400" s="617">
        <v>249</v>
      </c>
      <c r="BA400" s="2184"/>
      <c r="BB400" s="621">
        <f t="shared" si="463"/>
        <v>515.79999999999995</v>
      </c>
      <c r="BC400" s="2186"/>
      <c r="BD400" s="1287">
        <f t="shared" si="465"/>
        <v>3550.1100000000006</v>
      </c>
      <c r="BE400" s="2182"/>
      <c r="BF400" s="517">
        <f t="shared" si="464"/>
        <v>9092.4300000000021</v>
      </c>
      <c r="BG400" s="1726"/>
      <c r="BH400" s="1726"/>
      <c r="BI400" s="1726"/>
      <c r="BJ400" s="1726"/>
      <c r="BK400" s="1726"/>
      <c r="BL400" s="1726"/>
      <c r="BM400" s="1726"/>
      <c r="BN400" s="1726"/>
      <c r="BO400" s="1726"/>
      <c r="BP400" s="1726"/>
      <c r="BQ400" s="1726"/>
      <c r="BR400" s="1726"/>
      <c r="BS400" s="1726"/>
      <c r="BT400" s="1726"/>
      <c r="BU400" s="1726"/>
      <c r="BV400" s="1726"/>
      <c r="BW400" s="1726"/>
      <c r="BX400" s="1726"/>
      <c r="BY400" s="1726"/>
      <c r="BZ400" s="1726"/>
      <c r="CA400" s="1726"/>
      <c r="CB400" s="1726"/>
      <c r="CC400" s="1726"/>
    </row>
    <row r="401" spans="2:81" s="1107" customFormat="1" ht="18.75" x14ac:dyDescent="0.25">
      <c r="B401" s="2176" t="s">
        <v>1094</v>
      </c>
      <c r="C401" s="2058" t="s">
        <v>53</v>
      </c>
      <c r="D401" s="2070"/>
      <c r="E401" s="2180"/>
      <c r="F401" s="497"/>
      <c r="G401" s="2181"/>
      <c r="H401" s="497">
        <v>198.17</v>
      </c>
      <c r="I401" s="2182"/>
      <c r="J401" s="606">
        <f t="shared" si="452"/>
        <v>198.17</v>
      </c>
      <c r="K401" s="2181"/>
      <c r="L401" s="497">
        <v>809.7</v>
      </c>
      <c r="M401" s="2183"/>
      <c r="N401" s="621">
        <f t="shared" si="451"/>
        <v>1007.87</v>
      </c>
      <c r="O401" s="2181"/>
      <c r="P401" s="497">
        <v>0</v>
      </c>
      <c r="Q401" s="2182"/>
      <c r="R401" s="606">
        <f t="shared" si="453"/>
        <v>1007.87</v>
      </c>
      <c r="S401" s="2181"/>
      <c r="T401" s="497"/>
      <c r="U401" s="2182"/>
      <c r="V401" s="606">
        <f t="shared" si="454"/>
        <v>1007.87</v>
      </c>
      <c r="W401" s="2181"/>
      <c r="X401" s="497"/>
      <c r="Y401" s="2184"/>
      <c r="Z401" s="621">
        <f t="shared" si="455"/>
        <v>0</v>
      </c>
      <c r="AA401" s="2186"/>
      <c r="AB401" s="1208">
        <f t="shared" si="456"/>
        <v>1007.87</v>
      </c>
      <c r="AC401" s="2181"/>
      <c r="AD401" s="497">
        <v>0</v>
      </c>
      <c r="AE401" s="2182"/>
      <c r="AF401" s="606">
        <f t="shared" si="457"/>
        <v>1007.87</v>
      </c>
      <c r="AG401" s="2181"/>
      <c r="AH401" s="497"/>
      <c r="AI401" s="2182"/>
      <c r="AJ401" s="3928">
        <f t="shared" si="458"/>
        <v>1007.87</v>
      </c>
      <c r="AK401" s="2181"/>
      <c r="AL401" s="497"/>
      <c r="AM401" s="2184"/>
      <c r="AN401" s="621">
        <f t="shared" si="459"/>
        <v>0</v>
      </c>
      <c r="AO401" s="2182"/>
      <c r="AP401" s="606">
        <f t="shared" si="460"/>
        <v>1007.87</v>
      </c>
      <c r="AQ401" s="2181"/>
      <c r="AR401" s="497"/>
      <c r="AS401" s="2182"/>
      <c r="AT401" s="517">
        <f t="shared" si="461"/>
        <v>1007.87</v>
      </c>
      <c r="AU401" s="2181"/>
      <c r="AV401" s="497">
        <v>0</v>
      </c>
      <c r="AW401" s="2182"/>
      <c r="AX401" s="517">
        <f t="shared" si="462"/>
        <v>1007.87</v>
      </c>
      <c r="AY401" s="2181"/>
      <c r="AZ401" s="617"/>
      <c r="BA401" s="2184"/>
      <c r="BB401" s="621">
        <f t="shared" si="463"/>
        <v>0</v>
      </c>
      <c r="BC401" s="2186"/>
      <c r="BD401" s="1287">
        <f t="shared" si="465"/>
        <v>0</v>
      </c>
      <c r="BE401" s="2182"/>
      <c r="BF401" s="517">
        <f t="shared" si="464"/>
        <v>1007.87</v>
      </c>
      <c r="BG401" s="1726"/>
      <c r="BH401" s="1726"/>
      <c r="BI401" s="1726"/>
      <c r="BJ401" s="1726"/>
      <c r="BK401" s="1726"/>
      <c r="BL401" s="1726"/>
      <c r="BM401" s="1726"/>
      <c r="BN401" s="1726"/>
      <c r="BO401" s="1726"/>
      <c r="BP401" s="1726"/>
      <c r="BQ401" s="1726"/>
      <c r="BR401" s="1726"/>
      <c r="BS401" s="1726"/>
      <c r="BT401" s="1726"/>
      <c r="BU401" s="1726"/>
      <c r="BV401" s="1726"/>
      <c r="BW401" s="1726"/>
      <c r="BX401" s="1726"/>
      <c r="BY401" s="1726"/>
      <c r="BZ401" s="1726"/>
      <c r="CA401" s="1726"/>
      <c r="CB401" s="1726"/>
      <c r="CC401" s="1726"/>
    </row>
    <row r="402" spans="2:81" s="334" customFormat="1" ht="18.75" x14ac:dyDescent="0.25">
      <c r="B402" s="2176" t="s">
        <v>740</v>
      </c>
      <c r="C402" s="2058" t="s">
        <v>53</v>
      </c>
      <c r="D402" s="2070"/>
      <c r="E402" s="2187"/>
      <c r="F402" s="619"/>
      <c r="G402" s="2188"/>
      <c r="H402" s="619"/>
      <c r="I402" s="2182"/>
      <c r="J402" s="606">
        <f t="shared" si="452"/>
        <v>0</v>
      </c>
      <c r="K402" s="2188"/>
      <c r="L402" s="619"/>
      <c r="M402" s="2183"/>
      <c r="N402" s="621">
        <f t="shared" si="451"/>
        <v>0</v>
      </c>
      <c r="O402" s="2188"/>
      <c r="P402" s="619"/>
      <c r="Q402" s="2182"/>
      <c r="R402" s="606">
        <f t="shared" si="453"/>
        <v>0</v>
      </c>
      <c r="S402" s="2188"/>
      <c r="T402" s="619"/>
      <c r="U402" s="2182"/>
      <c r="V402" s="606">
        <f t="shared" si="454"/>
        <v>0</v>
      </c>
      <c r="W402" s="2188"/>
      <c r="X402" s="619"/>
      <c r="Y402" s="2188"/>
      <c r="Z402" s="621">
        <f t="shared" si="455"/>
        <v>0</v>
      </c>
      <c r="AA402" s="2188"/>
      <c r="AB402" s="1208">
        <f t="shared" si="456"/>
        <v>0</v>
      </c>
      <c r="AC402" s="2188"/>
      <c r="AD402" s="619"/>
      <c r="AE402" s="2182"/>
      <c r="AF402" s="606">
        <f t="shared" si="457"/>
        <v>0</v>
      </c>
      <c r="AG402" s="2188"/>
      <c r="AH402" s="619"/>
      <c r="AI402" s="2182"/>
      <c r="AJ402" s="3928">
        <f t="shared" si="458"/>
        <v>0</v>
      </c>
      <c r="AK402" s="2188"/>
      <c r="AL402" s="619"/>
      <c r="AM402" s="2192"/>
      <c r="AN402" s="621">
        <f t="shared" si="459"/>
        <v>0</v>
      </c>
      <c r="AO402" s="2194"/>
      <c r="AP402" s="606">
        <f t="shared" si="460"/>
        <v>0</v>
      </c>
      <c r="AQ402" s="2188"/>
      <c r="AR402" s="619"/>
      <c r="AS402" s="2188"/>
      <c r="AT402" s="619"/>
      <c r="AU402" s="2188"/>
      <c r="AV402" s="619"/>
      <c r="AW402" s="2188"/>
      <c r="AX402" s="619"/>
      <c r="AY402" s="2188"/>
      <c r="AZ402" s="619"/>
      <c r="BA402" s="2192"/>
      <c r="BB402" s="621">
        <f t="shared" si="463"/>
        <v>0</v>
      </c>
      <c r="BC402" s="2188"/>
      <c r="BD402" s="1287">
        <f t="shared" si="465"/>
        <v>0</v>
      </c>
      <c r="BE402" s="2188"/>
      <c r="BF402" s="517">
        <f t="shared" si="464"/>
        <v>0</v>
      </c>
      <c r="BG402" s="1726"/>
      <c r="BH402" s="1726"/>
      <c r="BI402" s="1726"/>
      <c r="BJ402" s="1726"/>
      <c r="BK402" s="1726"/>
      <c r="BL402" s="1726"/>
      <c r="BM402" s="1726"/>
      <c r="BN402" s="1726"/>
      <c r="BO402" s="1726"/>
      <c r="BP402" s="1726"/>
      <c r="BQ402" s="1726"/>
      <c r="BR402" s="1726"/>
      <c r="BS402" s="1726"/>
      <c r="BT402" s="1726"/>
      <c r="BU402" s="1726"/>
      <c r="BV402" s="1726"/>
      <c r="BW402" s="1726"/>
      <c r="BX402" s="1726"/>
      <c r="BY402" s="1726"/>
      <c r="BZ402" s="1726"/>
      <c r="CA402" s="1726"/>
      <c r="CB402" s="1726"/>
      <c r="CC402" s="1726"/>
    </row>
    <row r="403" spans="2:81" ht="18.75" x14ac:dyDescent="0.25">
      <c r="B403" s="2189" t="s">
        <v>718</v>
      </c>
      <c r="C403" s="2058" t="s">
        <v>53</v>
      </c>
      <c r="D403" s="2070"/>
      <c r="E403" s="2190"/>
      <c r="F403" s="497">
        <v>3012.65</v>
      </c>
      <c r="G403" s="2191"/>
      <c r="H403" s="497">
        <v>444.98</v>
      </c>
      <c r="I403" s="2182"/>
      <c r="J403" s="606">
        <f t="shared" si="452"/>
        <v>3457.63</v>
      </c>
      <c r="K403" s="2191"/>
      <c r="L403" s="497"/>
      <c r="M403" s="2183"/>
      <c r="N403" s="621">
        <f t="shared" si="451"/>
        <v>3457.63</v>
      </c>
      <c r="O403" s="2191"/>
      <c r="P403" s="497"/>
      <c r="Q403" s="2182"/>
      <c r="R403" s="606">
        <f t="shared" si="453"/>
        <v>3457.63</v>
      </c>
      <c r="S403" s="2191"/>
      <c r="T403" s="497">
        <v>3903.41</v>
      </c>
      <c r="U403" s="2182"/>
      <c r="V403" s="606">
        <f t="shared" si="454"/>
        <v>7361.04</v>
      </c>
      <c r="W403" s="2191"/>
      <c r="X403" s="497">
        <v>4356.5900000000011</v>
      </c>
      <c r="Y403" s="2192"/>
      <c r="Z403" s="621">
        <f t="shared" si="455"/>
        <v>8260</v>
      </c>
      <c r="AA403" s="2193"/>
      <c r="AB403" s="1208">
        <f t="shared" si="456"/>
        <v>11717.630000000001</v>
      </c>
      <c r="AC403" s="2191"/>
      <c r="AD403" s="497">
        <v>1052.3399999999999</v>
      </c>
      <c r="AE403" s="2182"/>
      <c r="AF403" s="606">
        <f t="shared" si="457"/>
        <v>12769.970000000001</v>
      </c>
      <c r="AG403" s="2191"/>
      <c r="AH403" s="497">
        <v>1054.6199999999999</v>
      </c>
      <c r="AI403" s="2182"/>
      <c r="AJ403" s="3928">
        <f t="shared" si="458"/>
        <v>13824.59</v>
      </c>
      <c r="AK403" s="2191"/>
      <c r="AL403" s="497">
        <v>6481.0300000000007</v>
      </c>
      <c r="AM403" s="2192"/>
      <c r="AN403" s="621">
        <f t="shared" si="459"/>
        <v>8587.9900000000016</v>
      </c>
      <c r="AO403" s="2194"/>
      <c r="AP403" s="606">
        <f t="shared" si="460"/>
        <v>20305.620000000003</v>
      </c>
      <c r="AQ403" s="2191"/>
      <c r="AR403" s="497">
        <v>8121.8999999999978</v>
      </c>
      <c r="AS403" s="2194"/>
      <c r="AT403" s="517">
        <f t="shared" ref="AT403:AT412" si="466">+AP403+AR403</f>
        <v>28427.52</v>
      </c>
      <c r="AU403" s="2191"/>
      <c r="AV403" s="497">
        <v>5094.4500000000007</v>
      </c>
      <c r="AW403" s="2194"/>
      <c r="AX403" s="517">
        <f t="shared" ref="AX403:AX412" si="467">+AT403+AV403</f>
        <v>33521.97</v>
      </c>
      <c r="AY403" s="2191"/>
      <c r="AZ403" s="617">
        <v>6971.6000000000022</v>
      </c>
      <c r="BA403" s="2192"/>
      <c r="BB403" s="621">
        <f t="shared" si="463"/>
        <v>20187.95</v>
      </c>
      <c r="BC403" s="2193"/>
      <c r="BD403" s="1287">
        <f t="shared" si="465"/>
        <v>28775.940000000002</v>
      </c>
      <c r="BE403" s="2194"/>
      <c r="BF403" s="517">
        <f t="shared" si="464"/>
        <v>40493.570000000007</v>
      </c>
    </row>
    <row r="404" spans="2:81" ht="18.75" x14ac:dyDescent="0.25">
      <c r="B404" s="1618" t="s">
        <v>735</v>
      </c>
      <c r="C404" s="2058" t="s">
        <v>53</v>
      </c>
      <c r="D404" s="2070"/>
      <c r="E404" s="2190"/>
      <c r="F404" s="497"/>
      <c r="G404" s="2191"/>
      <c r="H404" s="497"/>
      <c r="I404" s="2182"/>
      <c r="J404" s="606">
        <f t="shared" si="452"/>
        <v>0</v>
      </c>
      <c r="K404" s="2191"/>
      <c r="L404" s="497"/>
      <c r="M404" s="2183"/>
      <c r="N404" s="621">
        <f t="shared" si="451"/>
        <v>0</v>
      </c>
      <c r="O404" s="2191"/>
      <c r="P404" s="497"/>
      <c r="Q404" s="2182"/>
      <c r="R404" s="606">
        <f t="shared" si="453"/>
        <v>0</v>
      </c>
      <c r="S404" s="2191"/>
      <c r="T404" s="497"/>
      <c r="U404" s="2182"/>
      <c r="V404" s="606">
        <f t="shared" ref="V404:V412" si="468">+R404+T404</f>
        <v>0</v>
      </c>
      <c r="W404" s="2191"/>
      <c r="X404" s="497"/>
      <c r="Y404" s="2192"/>
      <c r="Z404" s="621">
        <f t="shared" si="455"/>
        <v>0</v>
      </c>
      <c r="AA404" s="2193"/>
      <c r="AB404" s="1208">
        <f t="shared" si="456"/>
        <v>0</v>
      </c>
      <c r="AC404" s="2191"/>
      <c r="AD404" s="497">
        <v>0</v>
      </c>
      <c r="AE404" s="2182"/>
      <c r="AF404" s="606">
        <f t="shared" si="457"/>
        <v>0</v>
      </c>
      <c r="AG404" s="2191"/>
      <c r="AH404" s="497"/>
      <c r="AI404" s="2182"/>
      <c r="AJ404" s="3928">
        <f t="shared" si="458"/>
        <v>0</v>
      </c>
      <c r="AK404" s="2191"/>
      <c r="AL404" s="497"/>
      <c r="AM404" s="2192"/>
      <c r="AN404" s="621">
        <f t="shared" si="459"/>
        <v>0</v>
      </c>
      <c r="AO404" s="2194"/>
      <c r="AP404" s="606">
        <f t="shared" si="460"/>
        <v>0</v>
      </c>
      <c r="AQ404" s="2191"/>
      <c r="AR404" s="497"/>
      <c r="AS404" s="2194"/>
      <c r="AT404" s="517">
        <f t="shared" si="466"/>
        <v>0</v>
      </c>
      <c r="AU404" s="2191"/>
      <c r="AV404" s="497"/>
      <c r="AW404" s="2194"/>
      <c r="AX404" s="517">
        <f t="shared" si="467"/>
        <v>0</v>
      </c>
      <c r="AY404" s="2191"/>
      <c r="AZ404" s="617"/>
      <c r="BA404" s="2192"/>
      <c r="BB404" s="621">
        <f t="shared" si="463"/>
        <v>0</v>
      </c>
      <c r="BC404" s="2193"/>
      <c r="BD404" s="1287">
        <f t="shared" si="465"/>
        <v>0</v>
      </c>
      <c r="BE404" s="2194"/>
      <c r="BF404" s="517">
        <f t="shared" si="464"/>
        <v>0</v>
      </c>
    </row>
    <row r="405" spans="2:81" ht="18.75" x14ac:dyDescent="0.25">
      <c r="B405" s="2189" t="s">
        <v>734</v>
      </c>
      <c r="C405" s="2058" t="s">
        <v>53</v>
      </c>
      <c r="D405" s="2070"/>
      <c r="E405" s="2190"/>
      <c r="F405" s="497">
        <v>692.2</v>
      </c>
      <c r="G405" s="2191"/>
      <c r="H405" s="497"/>
      <c r="I405" s="2182"/>
      <c r="J405" s="606">
        <f t="shared" si="452"/>
        <v>692.2</v>
      </c>
      <c r="K405" s="2191"/>
      <c r="L405" s="497">
        <v>1644.2</v>
      </c>
      <c r="M405" s="2183"/>
      <c r="N405" s="621">
        <f t="shared" si="451"/>
        <v>2336.4</v>
      </c>
      <c r="O405" s="2191"/>
      <c r="P405" s="497">
        <v>381.08</v>
      </c>
      <c r="Q405" s="2182"/>
      <c r="R405" s="606">
        <f t="shared" si="453"/>
        <v>2717.48</v>
      </c>
      <c r="S405" s="2191"/>
      <c r="T405" s="497">
        <v>188.96</v>
      </c>
      <c r="U405" s="2182"/>
      <c r="V405" s="606">
        <f t="shared" si="468"/>
        <v>2906.44</v>
      </c>
      <c r="W405" s="2191"/>
      <c r="X405" s="497">
        <v>961.56</v>
      </c>
      <c r="Y405" s="2192"/>
      <c r="Z405" s="621">
        <f t="shared" si="455"/>
        <v>1531.6</v>
      </c>
      <c r="AA405" s="2193"/>
      <c r="AB405" s="1208">
        <f t="shared" si="456"/>
        <v>3868</v>
      </c>
      <c r="AC405" s="2191"/>
      <c r="AD405" s="497">
        <v>192.99</v>
      </c>
      <c r="AE405" s="2182"/>
      <c r="AF405" s="606">
        <f t="shared" si="457"/>
        <v>4060.99</v>
      </c>
      <c r="AG405" s="2191"/>
      <c r="AH405" s="497"/>
      <c r="AI405" s="2182"/>
      <c r="AJ405" s="3928">
        <f t="shared" si="458"/>
        <v>4060.99</v>
      </c>
      <c r="AK405" s="2191"/>
      <c r="AL405" s="497">
        <v>875.67999999999984</v>
      </c>
      <c r="AM405" s="2192"/>
      <c r="AN405" s="621">
        <f t="shared" si="459"/>
        <v>1068.6699999999998</v>
      </c>
      <c r="AO405" s="2194"/>
      <c r="AP405" s="606">
        <f t="shared" si="460"/>
        <v>4936.67</v>
      </c>
      <c r="AQ405" s="2191"/>
      <c r="AR405" s="497">
        <v>819.24999999999989</v>
      </c>
      <c r="AS405" s="2194"/>
      <c r="AT405" s="517">
        <f t="shared" si="466"/>
        <v>5755.92</v>
      </c>
      <c r="AU405" s="2191"/>
      <c r="AV405" s="497">
        <v>345.84</v>
      </c>
      <c r="AW405" s="2194"/>
      <c r="AX405" s="517">
        <f t="shared" si="467"/>
        <v>6101.76</v>
      </c>
      <c r="AY405" s="2191"/>
      <c r="AZ405" s="617">
        <v>206.35999999999999</v>
      </c>
      <c r="BA405" s="2192"/>
      <c r="BB405" s="621">
        <f t="shared" si="463"/>
        <v>1371.4499999999998</v>
      </c>
      <c r="BC405" s="2193"/>
      <c r="BD405" s="1287">
        <f t="shared" si="465"/>
        <v>2440.12</v>
      </c>
      <c r="BE405" s="2194"/>
      <c r="BF405" s="517">
        <f t="shared" si="464"/>
        <v>6308.12</v>
      </c>
    </row>
    <row r="406" spans="2:81" ht="18.75" x14ac:dyDescent="0.25">
      <c r="B406" s="2189" t="s">
        <v>607</v>
      </c>
      <c r="C406" s="2058" t="s">
        <v>53</v>
      </c>
      <c r="D406" s="2070"/>
      <c r="E406" s="2190"/>
      <c r="F406" s="497">
        <v>3662.4</v>
      </c>
      <c r="G406" s="2191"/>
      <c r="H406" s="497">
        <v>441.42</v>
      </c>
      <c r="I406" s="2182"/>
      <c r="J406" s="606">
        <f t="shared" si="452"/>
        <v>4103.82</v>
      </c>
      <c r="K406" s="2191"/>
      <c r="L406" s="497">
        <v>2077.1200000000003</v>
      </c>
      <c r="M406" s="2183"/>
      <c r="N406" s="621">
        <f t="shared" si="451"/>
        <v>6180.9400000000005</v>
      </c>
      <c r="O406" s="2191"/>
      <c r="P406" s="497">
        <v>5184.7999999999993</v>
      </c>
      <c r="Q406" s="2194"/>
      <c r="R406" s="606">
        <f t="shared" si="453"/>
        <v>11365.74</v>
      </c>
      <c r="S406" s="2191"/>
      <c r="T406" s="497">
        <v>4689.7400000000025</v>
      </c>
      <c r="U406" s="2194"/>
      <c r="V406" s="606">
        <f t="shared" si="468"/>
        <v>16055.480000000003</v>
      </c>
      <c r="W406" s="2191"/>
      <c r="X406" s="497">
        <v>4499.5599999999986</v>
      </c>
      <c r="Y406" s="2192"/>
      <c r="Z406" s="621">
        <f t="shared" si="455"/>
        <v>14374.099999999999</v>
      </c>
      <c r="AA406" s="2193"/>
      <c r="AB406" s="1208">
        <f t="shared" si="456"/>
        <v>20555.04</v>
      </c>
      <c r="AC406" s="2191"/>
      <c r="AD406" s="497">
        <v>2762.0000000000005</v>
      </c>
      <c r="AE406" s="2194"/>
      <c r="AF406" s="606">
        <f t="shared" si="457"/>
        <v>23317.040000000001</v>
      </c>
      <c r="AG406" s="2191"/>
      <c r="AH406" s="497">
        <v>2146.6000000000004</v>
      </c>
      <c r="AI406" s="2194"/>
      <c r="AJ406" s="3928">
        <f t="shared" si="458"/>
        <v>25463.64</v>
      </c>
      <c r="AK406" s="2191"/>
      <c r="AL406" s="497">
        <v>2015.2</v>
      </c>
      <c r="AM406" s="2192"/>
      <c r="AN406" s="621">
        <f t="shared" si="459"/>
        <v>6923.8</v>
      </c>
      <c r="AO406" s="2194"/>
      <c r="AP406" s="606">
        <f t="shared" si="460"/>
        <v>27478.84</v>
      </c>
      <c r="AQ406" s="2191"/>
      <c r="AR406" s="497">
        <v>4487.4599999999991</v>
      </c>
      <c r="AS406" s="2194"/>
      <c r="AT406" s="517">
        <f t="shared" si="466"/>
        <v>31966.3</v>
      </c>
      <c r="AU406" s="2191"/>
      <c r="AV406" s="497">
        <v>1963.1000000000004</v>
      </c>
      <c r="AW406" s="2194"/>
      <c r="AX406" s="517">
        <f t="shared" si="467"/>
        <v>33929.4</v>
      </c>
      <c r="AY406" s="2191"/>
      <c r="AZ406" s="617">
        <v>4239.0399999999991</v>
      </c>
      <c r="BA406" s="2192"/>
      <c r="BB406" s="621">
        <f t="shared" si="463"/>
        <v>10689.599999999999</v>
      </c>
      <c r="BC406" s="2193"/>
      <c r="BD406" s="1287">
        <f t="shared" si="465"/>
        <v>17613.399999999998</v>
      </c>
      <c r="BE406" s="2194"/>
      <c r="BF406" s="517">
        <f t="shared" si="464"/>
        <v>38168.44</v>
      </c>
    </row>
    <row r="407" spans="2:81" ht="18.75" x14ac:dyDescent="0.25">
      <c r="B407" s="2189" t="s">
        <v>881</v>
      </c>
      <c r="C407" s="2058" t="s">
        <v>53</v>
      </c>
      <c r="D407" s="2070"/>
      <c r="E407" s="2190"/>
      <c r="F407" s="497"/>
      <c r="G407" s="2191"/>
      <c r="H407" s="497">
        <v>4748.34</v>
      </c>
      <c r="I407" s="2194"/>
      <c r="J407" s="606">
        <f t="shared" si="452"/>
        <v>4748.34</v>
      </c>
      <c r="K407" s="2191"/>
      <c r="L407" s="497">
        <v>1077.58</v>
      </c>
      <c r="M407" s="2192"/>
      <c r="N407" s="621">
        <f t="shared" si="451"/>
        <v>5825.92</v>
      </c>
      <c r="O407" s="2191"/>
      <c r="P407" s="497">
        <v>3439.0200000000009</v>
      </c>
      <c r="Q407" s="2194"/>
      <c r="R407" s="606">
        <f t="shared" si="453"/>
        <v>9264.94</v>
      </c>
      <c r="S407" s="2191"/>
      <c r="T407" s="497">
        <v>1585.1399999999999</v>
      </c>
      <c r="U407" s="2194"/>
      <c r="V407" s="606">
        <f t="shared" si="468"/>
        <v>10850.08</v>
      </c>
      <c r="W407" s="2191"/>
      <c r="X407" s="497">
        <v>2601.62</v>
      </c>
      <c r="Y407" s="2192"/>
      <c r="Z407" s="621">
        <f t="shared" si="455"/>
        <v>7625.7800000000007</v>
      </c>
      <c r="AA407" s="2193"/>
      <c r="AB407" s="1208">
        <f t="shared" si="456"/>
        <v>13451.7</v>
      </c>
      <c r="AC407" s="2191"/>
      <c r="AD407" s="497">
        <v>126.92</v>
      </c>
      <c r="AE407" s="2194"/>
      <c r="AF407" s="606">
        <f t="shared" si="457"/>
        <v>13578.62</v>
      </c>
      <c r="AG407" s="2191"/>
      <c r="AH407" s="497">
        <v>126.74</v>
      </c>
      <c r="AI407" s="2194"/>
      <c r="AJ407" s="3928">
        <f t="shared" si="458"/>
        <v>13705.36</v>
      </c>
      <c r="AK407" s="2191"/>
      <c r="AL407" s="497">
        <v>3110.8000000000011</v>
      </c>
      <c r="AM407" s="2192"/>
      <c r="AN407" s="621">
        <f t="shared" si="459"/>
        <v>3364.4600000000009</v>
      </c>
      <c r="AO407" s="2194"/>
      <c r="AP407" s="606">
        <f t="shared" si="460"/>
        <v>16816.160000000003</v>
      </c>
      <c r="AQ407" s="2191"/>
      <c r="AR407" s="497">
        <v>4693.1800000000012</v>
      </c>
      <c r="AS407" s="2194"/>
      <c r="AT407" s="517">
        <f t="shared" si="466"/>
        <v>21509.340000000004</v>
      </c>
      <c r="AU407" s="2191"/>
      <c r="AV407" s="497">
        <v>5472.43</v>
      </c>
      <c r="AW407" s="2194"/>
      <c r="AX407" s="517">
        <f t="shared" si="467"/>
        <v>26981.770000000004</v>
      </c>
      <c r="AY407" s="2191"/>
      <c r="AZ407" s="617">
        <v>2924.5600000000004</v>
      </c>
      <c r="BA407" s="2192"/>
      <c r="BB407" s="621">
        <f t="shared" si="463"/>
        <v>13090.170000000002</v>
      </c>
      <c r="BC407" s="2193"/>
      <c r="BD407" s="1287">
        <f t="shared" si="465"/>
        <v>16454.630000000005</v>
      </c>
      <c r="BE407" s="2194"/>
      <c r="BF407" s="517">
        <f t="shared" si="464"/>
        <v>29906.330000000005</v>
      </c>
    </row>
    <row r="408" spans="2:81" s="570" customFormat="1" ht="18.75" x14ac:dyDescent="0.25">
      <c r="B408" s="2189" t="s">
        <v>882</v>
      </c>
      <c r="C408" s="2058" t="s">
        <v>53</v>
      </c>
      <c r="D408" s="2070"/>
      <c r="E408" s="2190"/>
      <c r="F408" s="497"/>
      <c r="G408" s="2191"/>
      <c r="H408" s="497"/>
      <c r="I408" s="2194"/>
      <c r="J408" s="606">
        <f t="shared" si="452"/>
        <v>0</v>
      </c>
      <c r="K408" s="2191"/>
      <c r="L408" s="497"/>
      <c r="M408" s="2192"/>
      <c r="N408" s="621">
        <f t="shared" si="451"/>
        <v>0</v>
      </c>
      <c r="O408" s="2191"/>
      <c r="P408" s="497"/>
      <c r="Q408" s="2194"/>
      <c r="R408" s="606">
        <f t="shared" si="453"/>
        <v>0</v>
      </c>
      <c r="S408" s="2191"/>
      <c r="T408" s="497"/>
      <c r="U408" s="2194"/>
      <c r="V408" s="606">
        <f t="shared" si="468"/>
        <v>0</v>
      </c>
      <c r="W408" s="2191"/>
      <c r="X408" s="497"/>
      <c r="Y408" s="2192"/>
      <c r="Z408" s="621">
        <f t="shared" si="455"/>
        <v>0</v>
      </c>
      <c r="AA408" s="2193"/>
      <c r="AB408" s="1208">
        <f t="shared" si="456"/>
        <v>0</v>
      </c>
      <c r="AC408" s="2191"/>
      <c r="AD408" s="497">
        <v>0</v>
      </c>
      <c r="AE408" s="2194"/>
      <c r="AF408" s="606">
        <f t="shared" si="457"/>
        <v>0</v>
      </c>
      <c r="AG408" s="2191"/>
      <c r="AH408" s="497"/>
      <c r="AI408" s="2194"/>
      <c r="AJ408" s="3928">
        <f t="shared" si="458"/>
        <v>0</v>
      </c>
      <c r="AK408" s="2191"/>
      <c r="AL408" s="497"/>
      <c r="AM408" s="2192"/>
      <c r="AN408" s="621">
        <f t="shared" si="459"/>
        <v>0</v>
      </c>
      <c r="AO408" s="2194"/>
      <c r="AP408" s="606">
        <f t="shared" si="460"/>
        <v>0</v>
      </c>
      <c r="AQ408" s="2191"/>
      <c r="AR408" s="497"/>
      <c r="AS408" s="2194"/>
      <c r="AT408" s="517">
        <f t="shared" si="466"/>
        <v>0</v>
      </c>
      <c r="AU408" s="2191"/>
      <c r="AV408" s="497"/>
      <c r="AW408" s="2194"/>
      <c r="AX408" s="517">
        <f t="shared" si="467"/>
        <v>0</v>
      </c>
      <c r="AY408" s="2191"/>
      <c r="AZ408" s="617"/>
      <c r="BA408" s="2192"/>
      <c r="BB408" s="621">
        <f t="shared" si="463"/>
        <v>0</v>
      </c>
      <c r="BC408" s="2193"/>
      <c r="BD408" s="1287">
        <f t="shared" si="465"/>
        <v>0</v>
      </c>
      <c r="BE408" s="2194"/>
      <c r="BF408" s="517">
        <f t="shared" si="464"/>
        <v>0</v>
      </c>
      <c r="BG408" s="1726"/>
      <c r="BH408" s="1726"/>
      <c r="BI408" s="1726"/>
      <c r="BJ408" s="1726"/>
      <c r="BK408" s="1726"/>
      <c r="BL408" s="1726"/>
      <c r="BM408" s="1726"/>
      <c r="BN408" s="1726"/>
      <c r="BO408" s="1726"/>
      <c r="BP408" s="1726"/>
      <c r="BQ408" s="1726"/>
      <c r="BR408" s="1726"/>
      <c r="BS408" s="1726"/>
      <c r="BT408" s="1726"/>
      <c r="BU408" s="1726"/>
      <c r="BV408" s="1726"/>
      <c r="BW408" s="1726"/>
      <c r="BX408" s="1726"/>
      <c r="BY408" s="1726"/>
      <c r="BZ408" s="1726"/>
      <c r="CA408" s="1726"/>
      <c r="CB408" s="1726"/>
      <c r="CC408" s="1726"/>
    </row>
    <row r="409" spans="2:81" ht="18.75" x14ac:dyDescent="0.25">
      <c r="B409" s="2189" t="s">
        <v>883</v>
      </c>
      <c r="C409" s="2058" t="s">
        <v>53</v>
      </c>
      <c r="D409" s="2070"/>
      <c r="E409" s="2190"/>
      <c r="F409" s="497">
        <v>120.25</v>
      </c>
      <c r="G409" s="2191"/>
      <c r="H409" s="497"/>
      <c r="I409" s="2194"/>
      <c r="J409" s="606">
        <f t="shared" si="452"/>
        <v>120.25</v>
      </c>
      <c r="K409" s="2191"/>
      <c r="L409" s="497">
        <v>636.4</v>
      </c>
      <c r="M409" s="2192"/>
      <c r="N409" s="621">
        <f t="shared" si="451"/>
        <v>756.65</v>
      </c>
      <c r="O409" s="2191"/>
      <c r="P409" s="497">
        <v>2347.0400000000004</v>
      </c>
      <c r="Q409" s="2194"/>
      <c r="R409" s="606">
        <f t="shared" si="453"/>
        <v>3103.6900000000005</v>
      </c>
      <c r="S409" s="2191"/>
      <c r="T409" s="497"/>
      <c r="U409" s="2194"/>
      <c r="V409" s="606">
        <f t="shared" si="468"/>
        <v>3103.6900000000005</v>
      </c>
      <c r="W409" s="2191"/>
      <c r="X409" s="497"/>
      <c r="Y409" s="2192"/>
      <c r="Z409" s="621">
        <f t="shared" si="455"/>
        <v>2347.0400000000004</v>
      </c>
      <c r="AA409" s="2193"/>
      <c r="AB409" s="1208">
        <f t="shared" si="456"/>
        <v>3103.6900000000005</v>
      </c>
      <c r="AC409" s="2191"/>
      <c r="AD409" s="497">
        <v>190.2</v>
      </c>
      <c r="AE409" s="2194"/>
      <c r="AF409" s="606">
        <f t="shared" si="457"/>
        <v>3293.8900000000003</v>
      </c>
      <c r="AG409" s="2191"/>
      <c r="AH409" s="497"/>
      <c r="AI409" s="2194"/>
      <c r="AJ409" s="3928">
        <f t="shared" si="458"/>
        <v>3293.8900000000003</v>
      </c>
      <c r="AK409" s="2191"/>
      <c r="AL409" s="497">
        <v>698.16</v>
      </c>
      <c r="AM409" s="2192"/>
      <c r="AN409" s="621">
        <f t="shared" si="459"/>
        <v>888.3599999999999</v>
      </c>
      <c r="AO409" s="2194"/>
      <c r="AP409" s="606">
        <f t="shared" si="460"/>
        <v>3992.05</v>
      </c>
      <c r="AQ409" s="2191"/>
      <c r="AR409" s="497">
        <v>2221.7599999999998</v>
      </c>
      <c r="AS409" s="2194"/>
      <c r="AT409" s="517">
        <f t="shared" si="466"/>
        <v>6213.8099999999995</v>
      </c>
      <c r="AU409" s="2191"/>
      <c r="AV409" s="497">
        <v>382.78</v>
      </c>
      <c r="AW409" s="2194"/>
      <c r="AX409" s="517">
        <f t="shared" si="467"/>
        <v>6596.5899999999992</v>
      </c>
      <c r="AY409" s="2191"/>
      <c r="AZ409" s="617">
        <v>700.24</v>
      </c>
      <c r="BA409" s="2192"/>
      <c r="BB409" s="621">
        <f t="shared" si="463"/>
        <v>3304.7799999999997</v>
      </c>
      <c r="BC409" s="2193"/>
      <c r="BD409" s="1287">
        <f t="shared" si="465"/>
        <v>4193.1399999999994</v>
      </c>
      <c r="BE409" s="2194"/>
      <c r="BF409" s="517">
        <f t="shared" si="464"/>
        <v>7296.829999999999</v>
      </c>
    </row>
    <row r="410" spans="2:81" s="944" customFormat="1" ht="18.75" x14ac:dyDescent="0.25">
      <c r="B410" s="2189" t="s">
        <v>1038</v>
      </c>
      <c r="C410" s="2058" t="s">
        <v>53</v>
      </c>
      <c r="D410" s="2070"/>
      <c r="E410" s="2190"/>
      <c r="F410" s="497"/>
      <c r="G410" s="2191"/>
      <c r="H410" s="497"/>
      <c r="I410" s="2194"/>
      <c r="J410" s="606">
        <f t="shared" si="452"/>
        <v>0</v>
      </c>
      <c r="K410" s="2191"/>
      <c r="L410" s="497"/>
      <c r="M410" s="2192"/>
      <c r="N410" s="621">
        <f t="shared" si="451"/>
        <v>0</v>
      </c>
      <c r="O410" s="2191"/>
      <c r="P410" s="497"/>
      <c r="Q410" s="2194"/>
      <c r="R410" s="606">
        <f t="shared" si="453"/>
        <v>0</v>
      </c>
      <c r="S410" s="2191"/>
      <c r="T410" s="497"/>
      <c r="U410" s="2194"/>
      <c r="V410" s="606">
        <f t="shared" si="468"/>
        <v>0</v>
      </c>
      <c r="W410" s="2191"/>
      <c r="X410" s="497"/>
      <c r="Y410" s="2192"/>
      <c r="Z410" s="621">
        <f t="shared" si="455"/>
        <v>0</v>
      </c>
      <c r="AA410" s="2195"/>
      <c r="AB410" s="1208">
        <f t="shared" si="456"/>
        <v>0</v>
      </c>
      <c r="AC410" s="2191"/>
      <c r="AD410" s="497">
        <v>0</v>
      </c>
      <c r="AE410" s="2194"/>
      <c r="AF410" s="606">
        <f t="shared" si="457"/>
        <v>0</v>
      </c>
      <c r="AG410" s="2191"/>
      <c r="AH410" s="497"/>
      <c r="AI410" s="2194"/>
      <c r="AJ410" s="3928">
        <f t="shared" si="458"/>
        <v>0</v>
      </c>
      <c r="AK410" s="2191"/>
      <c r="AL410" s="497"/>
      <c r="AM410" s="2192"/>
      <c r="AN410" s="621">
        <f t="shared" si="459"/>
        <v>0</v>
      </c>
      <c r="AO410" s="3457"/>
      <c r="AP410" s="606">
        <f t="shared" si="460"/>
        <v>0</v>
      </c>
      <c r="AQ410" s="3979"/>
      <c r="AR410" s="495"/>
      <c r="AS410" s="3457"/>
      <c r="AT410" s="517">
        <f t="shared" si="466"/>
        <v>0</v>
      </c>
      <c r="AU410" s="3979"/>
      <c r="AV410" s="495"/>
      <c r="AW410" s="3457"/>
      <c r="AX410" s="517">
        <f t="shared" si="467"/>
        <v>0</v>
      </c>
      <c r="AY410" s="3979"/>
      <c r="AZ410" s="1028"/>
      <c r="BA410" s="2192"/>
      <c r="BB410" s="621">
        <f t="shared" si="463"/>
        <v>0</v>
      </c>
      <c r="BC410" s="2195"/>
      <c r="BD410" s="1287">
        <f t="shared" si="465"/>
        <v>0</v>
      </c>
      <c r="BE410" s="3457"/>
      <c r="BF410" s="517">
        <f t="shared" si="464"/>
        <v>0</v>
      </c>
      <c r="BG410" s="1726"/>
      <c r="BH410" s="1726"/>
      <c r="BI410" s="1726"/>
      <c r="BJ410" s="1726"/>
      <c r="BK410" s="1726"/>
      <c r="BL410" s="1726"/>
      <c r="BM410" s="1726"/>
      <c r="BN410" s="1726"/>
      <c r="BO410" s="1726"/>
      <c r="BP410" s="1726"/>
      <c r="BQ410" s="1726"/>
      <c r="BR410" s="1726"/>
      <c r="BS410" s="1726"/>
      <c r="BT410" s="1726"/>
      <c r="BU410" s="1726"/>
      <c r="BV410" s="1726"/>
      <c r="BW410" s="1726"/>
      <c r="BX410" s="1726"/>
      <c r="BY410" s="1726"/>
      <c r="BZ410" s="1726"/>
      <c r="CA410" s="1726"/>
      <c r="CB410" s="1726"/>
      <c r="CC410" s="1726"/>
    </row>
    <row r="411" spans="2:81" s="1726" customFormat="1" ht="18.75" x14ac:dyDescent="0.25">
      <c r="B411" s="2189" t="s">
        <v>1591</v>
      </c>
      <c r="C411" s="2058" t="s">
        <v>53</v>
      </c>
      <c r="D411" s="2070"/>
      <c r="E411" s="2190"/>
      <c r="F411" s="497"/>
      <c r="G411" s="2191"/>
      <c r="H411" s="497"/>
      <c r="I411" s="2194"/>
      <c r="J411" s="606"/>
      <c r="K411" s="2191"/>
      <c r="L411" s="497"/>
      <c r="M411" s="2192"/>
      <c r="N411" s="621"/>
      <c r="O411" s="2191"/>
      <c r="P411" s="497"/>
      <c r="Q411" s="2194"/>
      <c r="R411" s="606"/>
      <c r="S411" s="2191"/>
      <c r="T411" s="497"/>
      <c r="U411" s="2194"/>
      <c r="V411" s="606"/>
      <c r="W411" s="2191"/>
      <c r="X411" s="497"/>
      <c r="Y411" s="4058"/>
      <c r="Z411" s="621"/>
      <c r="AA411" s="2195"/>
      <c r="AB411" s="1208"/>
      <c r="AC411" s="2191"/>
      <c r="AD411" s="497"/>
      <c r="AE411" s="2194"/>
      <c r="AF411" s="606"/>
      <c r="AG411" s="2191"/>
      <c r="AH411" s="497"/>
      <c r="AI411" s="2194"/>
      <c r="AJ411" s="4036"/>
      <c r="AK411" s="2191"/>
      <c r="AL411" s="497"/>
      <c r="AM411" s="2192"/>
      <c r="AN411" s="621"/>
      <c r="AO411" s="3457"/>
      <c r="AP411" s="606"/>
      <c r="AQ411" s="3979"/>
      <c r="AR411" s="495"/>
      <c r="AS411" s="3457"/>
      <c r="AT411" s="517"/>
      <c r="AU411" s="3979"/>
      <c r="AV411" s="495">
        <v>702.71999999999991</v>
      </c>
      <c r="AW411" s="3457"/>
      <c r="AX411" s="517">
        <f t="shared" si="467"/>
        <v>702.71999999999991</v>
      </c>
      <c r="AY411" s="3979"/>
      <c r="AZ411" s="1028">
        <v>1275.3999999999999</v>
      </c>
      <c r="BA411" s="2192"/>
      <c r="BB411" s="621">
        <f t="shared" si="463"/>
        <v>1978.12</v>
      </c>
      <c r="BC411" s="2195"/>
      <c r="BD411" s="1287">
        <f t="shared" si="465"/>
        <v>1978.12</v>
      </c>
      <c r="BE411" s="3457"/>
      <c r="BF411" s="517">
        <f t="shared" si="464"/>
        <v>1978.12</v>
      </c>
    </row>
    <row r="412" spans="2:81" ht="19.5" thickBot="1" x14ac:dyDescent="0.3">
      <c r="B412" s="2189" t="s">
        <v>742</v>
      </c>
      <c r="C412" s="2058" t="s">
        <v>53</v>
      </c>
      <c r="D412" s="2070"/>
      <c r="E412" s="2190"/>
      <c r="F412" s="497"/>
      <c r="G412" s="2191"/>
      <c r="H412" s="497"/>
      <c r="I412" s="2194"/>
      <c r="J412" s="606">
        <f t="shared" si="452"/>
        <v>0</v>
      </c>
      <c r="K412" s="2191"/>
      <c r="L412" s="497"/>
      <c r="M412" s="2192"/>
      <c r="N412" s="621">
        <f t="shared" si="451"/>
        <v>0</v>
      </c>
      <c r="O412" s="2191"/>
      <c r="P412" s="497"/>
      <c r="Q412" s="2194"/>
      <c r="R412" s="606">
        <f t="shared" si="453"/>
        <v>0</v>
      </c>
      <c r="S412" s="2191"/>
      <c r="T412" s="497"/>
      <c r="U412" s="2194"/>
      <c r="V412" s="606">
        <f t="shared" si="468"/>
        <v>0</v>
      </c>
      <c r="W412" s="2191"/>
      <c r="X412" s="497"/>
      <c r="Y412" s="2196"/>
      <c r="Z412" s="621">
        <f t="shared" si="455"/>
        <v>0</v>
      </c>
      <c r="AA412" s="2197"/>
      <c r="AB412" s="1208">
        <f t="shared" si="456"/>
        <v>0</v>
      </c>
      <c r="AC412" s="2191"/>
      <c r="AD412" s="497">
        <v>0</v>
      </c>
      <c r="AE412" s="2194"/>
      <c r="AF412" s="606">
        <f t="shared" si="457"/>
        <v>0</v>
      </c>
      <c r="AG412" s="2191"/>
      <c r="AH412" s="497"/>
      <c r="AI412" s="2194"/>
      <c r="AJ412" s="3928">
        <f t="shared" si="458"/>
        <v>0</v>
      </c>
      <c r="AK412" s="2191"/>
      <c r="AL412" s="497">
        <v>1703.3999999999999</v>
      </c>
      <c r="AM412" s="2192"/>
      <c r="AN412" s="621">
        <f t="shared" si="459"/>
        <v>1703.3999999999999</v>
      </c>
      <c r="AO412" s="3458"/>
      <c r="AP412" s="606">
        <f t="shared" si="460"/>
        <v>1703.3999999999999</v>
      </c>
      <c r="AQ412" s="2668"/>
      <c r="AR412" s="620"/>
      <c r="AS412" s="3458"/>
      <c r="AT412" s="517">
        <f t="shared" si="466"/>
        <v>1703.3999999999999</v>
      </c>
      <c r="AU412" s="2668"/>
      <c r="AV412" s="620"/>
      <c r="AW412" s="3458"/>
      <c r="AX412" s="517">
        <f t="shared" si="467"/>
        <v>1703.3999999999999</v>
      </c>
      <c r="AY412" s="2668"/>
      <c r="AZ412" s="4575"/>
      <c r="BA412" s="2192"/>
      <c r="BB412" s="621">
        <f t="shared" si="463"/>
        <v>0</v>
      </c>
      <c r="BC412" s="2197"/>
      <c r="BD412" s="1287">
        <f t="shared" si="465"/>
        <v>1703.3999999999999</v>
      </c>
      <c r="BE412" s="3458"/>
      <c r="BF412" s="517">
        <f t="shared" si="464"/>
        <v>1703.3999999999999</v>
      </c>
    </row>
    <row r="413" spans="2:81" s="334" customFormat="1" ht="19.5" thickBot="1" x14ac:dyDescent="0.3">
      <c r="B413" s="2164" t="s">
        <v>597</v>
      </c>
      <c r="C413" s="2165" t="s">
        <v>53</v>
      </c>
      <c r="D413" s="2198"/>
      <c r="E413" s="2199"/>
      <c r="F413" s="632">
        <f>SUM(F386:F412)</f>
        <v>8980.86</v>
      </c>
      <c r="G413" s="632"/>
      <c r="H413" s="632">
        <f>SUM(H386:H412)</f>
        <v>9991.5300000000007</v>
      </c>
      <c r="I413" s="632"/>
      <c r="J413" s="632">
        <f>SUM(J386:J412)</f>
        <v>18972.39</v>
      </c>
      <c r="K413" s="632"/>
      <c r="L413" s="632">
        <f>SUM(L386:L412)</f>
        <v>23602.960000000006</v>
      </c>
      <c r="M413" s="632"/>
      <c r="N413" s="632">
        <f>SUM(N386:N412)</f>
        <v>42575.350000000006</v>
      </c>
      <c r="O413" s="632"/>
      <c r="P413" s="632">
        <f>SUM(P386:P412)</f>
        <v>12419.210000000001</v>
      </c>
      <c r="Q413" s="632"/>
      <c r="R413" s="632">
        <f>SUM(R386:R412)</f>
        <v>54994.560000000005</v>
      </c>
      <c r="S413" s="632"/>
      <c r="T413" s="632">
        <f>SUM(T386:T412)</f>
        <v>24231.889999999996</v>
      </c>
      <c r="U413" s="632"/>
      <c r="V413" s="632">
        <f>SUM(V386:V412)</f>
        <v>79226.450000000012</v>
      </c>
      <c r="W413" s="632"/>
      <c r="X413" s="632">
        <f>SUM(X386:X412)</f>
        <v>28116.1</v>
      </c>
      <c r="Y413" s="632"/>
      <c r="Z413" s="632">
        <f>SUM(Z386:Z412)</f>
        <v>64767.19999999999</v>
      </c>
      <c r="AA413" s="632"/>
      <c r="AB413" s="632">
        <f>SUM(AB386:AB412)</f>
        <v>107342.55</v>
      </c>
      <c r="AC413" s="632"/>
      <c r="AD413" s="632">
        <f>SUM(AD386:AD412)</f>
        <v>5288.39</v>
      </c>
      <c r="AE413" s="632"/>
      <c r="AF413" s="632">
        <f>SUM(AF386:AF412)</f>
        <v>112630.93999999999</v>
      </c>
      <c r="AG413" s="632"/>
      <c r="AH413" s="632">
        <f>SUM(AH386:AH412)</f>
        <v>23195.030000000002</v>
      </c>
      <c r="AI413" s="632"/>
      <c r="AJ413" s="632">
        <f>SUM(AJ386:AJ412)</f>
        <v>135825.97000000003</v>
      </c>
      <c r="AK413" s="632"/>
      <c r="AL413" s="632">
        <f>SUM(AL386:AL412)</f>
        <v>16323.970000000001</v>
      </c>
      <c r="AM413" s="632"/>
      <c r="AN413" s="632">
        <f>SUM(AN386:AN412)</f>
        <v>44807.390000000007</v>
      </c>
      <c r="AO413" s="515"/>
      <c r="AP413" s="632">
        <f>SUM(AP386:AP412)</f>
        <v>152149.93999999997</v>
      </c>
      <c r="AQ413" s="632"/>
      <c r="AR413" s="632">
        <f>SUM(AR386:AR412)</f>
        <v>22284.689999999995</v>
      </c>
      <c r="AS413" s="632"/>
      <c r="AT413" s="632">
        <f>SUM(AT386:AT412)</f>
        <v>174434.62999999998</v>
      </c>
      <c r="AU413" s="632"/>
      <c r="AV413" s="632">
        <f>SUM(AV386:AV412)</f>
        <v>14270.660000000002</v>
      </c>
      <c r="AW413" s="632"/>
      <c r="AX413" s="632">
        <f>SUM(AX386:AX412)</f>
        <v>188705.29</v>
      </c>
      <c r="AY413" s="632"/>
      <c r="AZ413" s="632">
        <f>SUM(AZ386:AZ412)</f>
        <v>16566.2</v>
      </c>
      <c r="BA413" s="632"/>
      <c r="BB413" s="632">
        <f>SUM(BB386:BB412)</f>
        <v>53121.549999999996</v>
      </c>
      <c r="BC413" s="632"/>
      <c r="BD413" s="632">
        <f>SUM(BD386:BD412)</f>
        <v>97928.94</v>
      </c>
      <c r="BE413" s="632"/>
      <c r="BF413" s="632">
        <f>SUM(BF386:BF412)</f>
        <v>205271.49</v>
      </c>
      <c r="BG413" s="1726"/>
      <c r="BH413" s="1726"/>
      <c r="BI413" s="1726"/>
      <c r="BJ413" s="48">
        <f>+AP415-AP401</f>
        <v>619125.92999999982</v>
      </c>
      <c r="BK413" s="1726"/>
      <c r="BL413" s="1726"/>
      <c r="BM413" s="1726"/>
      <c r="BN413" s="1726"/>
      <c r="BO413" s="1726"/>
      <c r="BP413" s="1726"/>
      <c r="BQ413" s="1726"/>
      <c r="BR413" s="1726"/>
      <c r="BS413" s="1726"/>
      <c r="BT413" s="1726"/>
      <c r="BU413" s="1726"/>
      <c r="BV413" s="1726"/>
      <c r="BW413" s="1726"/>
      <c r="BX413" s="1726"/>
      <c r="BY413" s="1726"/>
      <c r="BZ413" s="1726"/>
      <c r="CA413" s="1726"/>
      <c r="CB413" s="1726"/>
      <c r="CC413" s="1726"/>
    </row>
    <row r="414" spans="2:81" s="334" customFormat="1" ht="38.25" thickBot="1" x14ac:dyDescent="0.3">
      <c r="B414" s="2200" t="s">
        <v>794</v>
      </c>
      <c r="C414" s="2165" t="s">
        <v>53</v>
      </c>
      <c r="D414" s="2117">
        <v>10050</v>
      </c>
      <c r="E414" s="2201"/>
      <c r="F414" s="633">
        <f>+F400+F360+F401</f>
        <v>2956.91</v>
      </c>
      <c r="G414" s="2201"/>
      <c r="H414" s="633">
        <f t="shared" ref="H414" si="469">+H400+H360+H401</f>
        <v>4274.8599999999997</v>
      </c>
      <c r="I414" s="2201"/>
      <c r="J414" s="633">
        <f t="shared" ref="J414" si="470">+J400+J360+J401</f>
        <v>7231.77</v>
      </c>
      <c r="K414" s="2201"/>
      <c r="L414" s="633">
        <f t="shared" ref="L414" si="471">+L400+L360+L401</f>
        <v>1722.87</v>
      </c>
      <c r="M414" s="2201"/>
      <c r="N414" s="633">
        <f t="shared" ref="N414" si="472">+N400+N360+N401</f>
        <v>8954.6400000000012</v>
      </c>
      <c r="O414" s="2201"/>
      <c r="P414" s="633">
        <f t="shared" ref="P414" si="473">+P400+P360+P401</f>
        <v>2943.9700000000003</v>
      </c>
      <c r="Q414" s="2201"/>
      <c r="R414" s="633">
        <f t="shared" ref="R414" si="474">+R400+R360+R401</f>
        <v>11898.610000000002</v>
      </c>
      <c r="S414" s="2201"/>
      <c r="T414" s="633">
        <f t="shared" ref="T414" si="475">+T400+T360+T401</f>
        <v>3275.9400000000005</v>
      </c>
      <c r="U414" s="2201"/>
      <c r="V414" s="633">
        <f t="shared" ref="V414" si="476">+V400+V360+V401</f>
        <v>15174.550000000001</v>
      </c>
      <c r="W414" s="2201"/>
      <c r="X414" s="633">
        <f t="shared" ref="X414" si="477">+X400+X360+X401</f>
        <v>1628.4700000000003</v>
      </c>
      <c r="Y414" s="2201"/>
      <c r="Z414" s="633">
        <f t="shared" ref="Z414" si="478">+Z400+Z360+Z401</f>
        <v>7848.38</v>
      </c>
      <c r="AA414" s="2201"/>
      <c r="AB414" s="633">
        <f t="shared" ref="AB414" si="479">+AB400+AB360+AB401</f>
        <v>16803.02</v>
      </c>
      <c r="AC414" s="2201"/>
      <c r="AD414" s="633">
        <f t="shared" ref="AD414" si="480">+AD400+AD360+AD401</f>
        <v>3324.2499999999995</v>
      </c>
      <c r="AE414" s="2201"/>
      <c r="AF414" s="633">
        <f t="shared" ref="AF414" si="481">+AF400+AF360+AF401</f>
        <v>20127.27</v>
      </c>
      <c r="AG414" s="2201"/>
      <c r="AH414" s="633">
        <f t="shared" ref="AH414" si="482">+AH400+AH360+AH401</f>
        <v>2214.3199999999997</v>
      </c>
      <c r="AI414" s="2201"/>
      <c r="AJ414" s="633">
        <f t="shared" ref="AJ414" si="483">+AJ400+AJ360+AJ401</f>
        <v>22341.59</v>
      </c>
      <c r="AK414" s="2201"/>
      <c r="AL414" s="633">
        <f t="shared" ref="AL414" si="484">+AL400+AL360+AL401</f>
        <v>2437.96</v>
      </c>
      <c r="AM414" s="2201"/>
      <c r="AN414" s="633">
        <f t="shared" ref="AN414" si="485">+AN400+AN360+AN401</f>
        <v>7976.53</v>
      </c>
      <c r="AO414" s="2201"/>
      <c r="AP414" s="633">
        <f t="shared" ref="AP414" si="486">+AP400+AP360+AP401</f>
        <v>24779.55</v>
      </c>
      <c r="AQ414" s="2201"/>
      <c r="AR414" s="633">
        <f t="shared" ref="AR414" si="487">+AR400+AR360+AR401</f>
        <v>17.600000000000001</v>
      </c>
      <c r="AS414" s="2201"/>
      <c r="AT414" s="633">
        <f t="shared" ref="AT414" si="488">+AT400+AT360+AT401</f>
        <v>24797.149999999998</v>
      </c>
      <c r="AU414" s="2201"/>
      <c r="AV414" s="633">
        <f t="shared" ref="AV414" si="489">+AV400+AV360+AV401</f>
        <v>2076.1400000000003</v>
      </c>
      <c r="AW414" s="2201"/>
      <c r="AX414" s="633">
        <f t="shared" ref="AX414" si="490">+AX400+AX360+AX401</f>
        <v>26873.289999999997</v>
      </c>
      <c r="AY414" s="2201"/>
      <c r="AZ414" s="633">
        <f t="shared" ref="AZ414" si="491">+AZ400+AZ360+AZ401</f>
        <v>6264</v>
      </c>
      <c r="BA414" s="2201"/>
      <c r="BB414" s="633">
        <f t="shared" ref="BB414" si="492">+BB400+BB360+BB401</f>
        <v>8357.74</v>
      </c>
      <c r="BC414" s="2201"/>
      <c r="BD414" s="633">
        <f t="shared" ref="BD414" si="493">+BD400+BD360+BD401</f>
        <v>16334.27</v>
      </c>
      <c r="BE414" s="2201"/>
      <c r="BF414" s="633">
        <f t="shared" ref="BF414" si="494">+BF400+BF360+BF401</f>
        <v>33137.29</v>
      </c>
      <c r="BG414" s="1726"/>
      <c r="BH414" s="1726"/>
      <c r="BI414" s="1726"/>
      <c r="BJ414" s="1726"/>
      <c r="BK414" s="1726"/>
      <c r="BL414" s="1726"/>
      <c r="BM414" s="1726"/>
      <c r="BN414" s="1726"/>
      <c r="BO414" s="1726"/>
      <c r="BP414" s="1726"/>
      <c r="BQ414" s="1726"/>
      <c r="BR414" s="1726"/>
      <c r="BS414" s="1726"/>
      <c r="BT414" s="1726"/>
      <c r="BU414" s="1726"/>
      <c r="BV414" s="1726"/>
      <c r="BW414" s="1726"/>
      <c r="BX414" s="1726"/>
      <c r="BY414" s="1726"/>
      <c r="BZ414" s="1726"/>
      <c r="CA414" s="1726"/>
      <c r="CB414" s="1726"/>
      <c r="CC414" s="1726"/>
    </row>
    <row r="415" spans="2:81" s="334" customFormat="1" ht="19.5" thickBot="1" x14ac:dyDescent="0.3">
      <c r="B415" s="2202" t="s">
        <v>598</v>
      </c>
      <c r="C415" s="2165" t="s">
        <v>53</v>
      </c>
      <c r="D415" s="2203">
        <v>670000.15090756118</v>
      </c>
      <c r="E415" s="2118">
        <f>+E31</f>
        <v>-1.0140470251940314E-4</v>
      </c>
      <c r="F415" s="634">
        <f>+F413+F384</f>
        <v>28970.98</v>
      </c>
      <c r="G415" s="2118">
        <f>+G31</f>
        <v>0.46042229194426909</v>
      </c>
      <c r="H415" s="634">
        <f t="shared" ref="H415" si="495">+H413+H384</f>
        <v>38041.54</v>
      </c>
      <c r="I415" s="2118">
        <f>+I31</f>
        <v>0.46032088724174969</v>
      </c>
      <c r="J415" s="634">
        <f t="shared" ref="J415" si="496">+J413+J384</f>
        <v>67012.51999999999</v>
      </c>
      <c r="K415" s="2118">
        <f>+K31</f>
        <v>69792.581804310903</v>
      </c>
      <c r="L415" s="634">
        <f t="shared" ref="L415" si="497">+L413+L384</f>
        <v>78520.25</v>
      </c>
      <c r="M415" s="2118">
        <f>+M31</f>
        <v>69793.042125198146</v>
      </c>
      <c r="N415" s="634">
        <f t="shared" ref="N415" si="498">+N413+N384</f>
        <v>145532.76999999999</v>
      </c>
      <c r="O415" s="2118">
        <f>+O31</f>
        <v>71892.089892564109</v>
      </c>
      <c r="P415" s="634">
        <f t="shared" ref="P415" si="499">+P413+P384</f>
        <v>72568.459999999992</v>
      </c>
      <c r="Q415" s="2118">
        <f>+Q31</f>
        <v>141685.13201776225</v>
      </c>
      <c r="R415" s="634">
        <f t="shared" ref="R415" si="500">+R413+R384</f>
        <v>218101.22999999998</v>
      </c>
      <c r="S415" s="2118">
        <f>+S31</f>
        <v>67355.222922719942</v>
      </c>
      <c r="T415" s="634">
        <f t="shared" ref="T415" si="501">+T413+T384</f>
        <v>82915.469999999987</v>
      </c>
      <c r="U415" s="2118">
        <f>+U31</f>
        <v>209040.35494048218</v>
      </c>
      <c r="V415" s="634">
        <f t="shared" ref="V415" si="502">+V413+V384</f>
        <v>301016.69999999995</v>
      </c>
      <c r="W415" s="2118">
        <f>+W31</f>
        <v>65673.36037437286</v>
      </c>
      <c r="X415" s="634">
        <f t="shared" ref="X415" si="503">+X413+X384</f>
        <v>95899.5</v>
      </c>
      <c r="Y415" s="2118">
        <f>+Y31</f>
        <v>204920.67318965693</v>
      </c>
      <c r="Z415" s="634">
        <f t="shared" ref="Z415" si="504">+Z413+Z384</f>
        <v>251383.42999999996</v>
      </c>
      <c r="AA415" s="2118">
        <f>+AA31</f>
        <v>274713.71531485504</v>
      </c>
      <c r="AB415" s="634">
        <f t="shared" ref="AB415" si="505">+AB413+AB384</f>
        <v>396916.19999999995</v>
      </c>
      <c r="AC415" s="2118">
        <f>+AC31</f>
        <v>68643.955317086118</v>
      </c>
      <c r="AD415" s="634">
        <f t="shared" ref="AD415" si="506">+AD413+AD384</f>
        <v>63039.799999999988</v>
      </c>
      <c r="AE415" s="2118">
        <f>+AE31</f>
        <v>343357.67063194118</v>
      </c>
      <c r="AF415" s="634">
        <f t="shared" ref="AF415" si="507">+AF413+AF384</f>
        <v>459956</v>
      </c>
      <c r="AG415" s="2118">
        <f>+AG31</f>
        <v>63673.36037437286</v>
      </c>
      <c r="AH415" s="634">
        <f t="shared" ref="AH415" si="508">+AH413+AH384</f>
        <v>78580.19</v>
      </c>
      <c r="AI415" s="2118">
        <f>+AI31</f>
        <v>407031.03100631404</v>
      </c>
      <c r="AJ415" s="634">
        <f t="shared" ref="AJ415" si="509">+AJ413+AJ384</f>
        <v>538536.19000000006</v>
      </c>
      <c r="AK415" s="2118">
        <f>+AK31</f>
        <v>68969.955317086118</v>
      </c>
      <c r="AL415" s="634">
        <f t="shared" ref="AL415" si="510">+AL413+AL384</f>
        <v>81597.609999999986</v>
      </c>
      <c r="AM415" s="2118">
        <f>+AM31</f>
        <v>201287.2710085451</v>
      </c>
      <c r="AN415" s="634">
        <f t="shared" ref="AN415" si="511">+AN413+AN384</f>
        <v>223217.6</v>
      </c>
      <c r="AO415" s="2118">
        <f>+AO31</f>
        <v>476000.98632340017</v>
      </c>
      <c r="AP415" s="634">
        <f t="shared" ref="AP415" si="512">+AP413+AP384</f>
        <v>620133.79999999981</v>
      </c>
      <c r="AQ415" s="2118">
        <f>+AQ31</f>
        <v>69143.955317086118</v>
      </c>
      <c r="AR415" s="634">
        <f t="shared" ref="AR415" si="513">+AR413+AR384</f>
        <v>76316.19</v>
      </c>
      <c r="AS415" s="2118">
        <f>+AS31</f>
        <v>545144.94164048624</v>
      </c>
      <c r="AT415" s="634">
        <f t="shared" ref="AT415" si="514">+AT413+AT384</f>
        <v>696449.99</v>
      </c>
      <c r="AU415" s="2118">
        <f>+AU31</f>
        <v>55711.253949988895</v>
      </c>
      <c r="AV415" s="634">
        <f t="shared" ref="AV415" si="515">+AV413+AV384</f>
        <v>71730.45</v>
      </c>
      <c r="AW415" s="2118">
        <f>+AW31</f>
        <v>600856.19559047511</v>
      </c>
      <c r="AX415" s="634">
        <f t="shared" ref="AX415" si="516">+AX413+AX384</f>
        <v>768180.44000000006</v>
      </c>
      <c r="AY415" s="2118">
        <f>+AY31</f>
        <v>69143.955317086118</v>
      </c>
      <c r="AZ415" s="634">
        <f>+AZ413+AZ384</f>
        <v>76207.31</v>
      </c>
      <c r="BA415" s="2118">
        <f>+BA31</f>
        <v>193999.16458416113</v>
      </c>
      <c r="BB415" s="634">
        <f t="shared" ref="BB415" si="517">+BB413+BB384</f>
        <v>224253.94999999998</v>
      </c>
      <c r="BC415" s="2118">
        <f>+BC31</f>
        <v>395286.4355927062</v>
      </c>
      <c r="BD415" s="634">
        <f t="shared" ref="BD415" si="518">+BD413+BD384</f>
        <v>447471.55</v>
      </c>
      <c r="BE415" s="2118">
        <f>+BE31</f>
        <v>670000.15090756118</v>
      </c>
      <c r="BF415" s="634">
        <f t="shared" ref="BF415" si="519">+BF413+BF384</f>
        <v>844387.74999999988</v>
      </c>
      <c r="BG415" s="1726"/>
      <c r="BH415" s="1726"/>
      <c r="BI415" s="1726"/>
      <c r="BJ415" s="1726"/>
      <c r="BK415" s="1726"/>
      <c r="BL415" s="1726"/>
      <c r="BM415" s="1726"/>
      <c r="BN415" s="1726"/>
      <c r="BO415" s="1726"/>
      <c r="BP415" s="1726"/>
      <c r="BQ415" s="1726"/>
      <c r="BR415" s="1726"/>
      <c r="BS415" s="1726"/>
      <c r="BT415" s="1726"/>
      <c r="BU415" s="1726"/>
      <c r="BV415" s="1726"/>
      <c r="BW415" s="1726"/>
      <c r="BX415" s="1726"/>
      <c r="BY415" s="1726"/>
      <c r="BZ415" s="1726"/>
      <c r="CA415" s="1726"/>
      <c r="CB415" s="1726"/>
      <c r="CC415" s="1726"/>
    </row>
    <row r="416" spans="2:81" s="334" customFormat="1" ht="18.75" x14ac:dyDescent="0.25">
      <c r="B416" s="895" t="s">
        <v>355</v>
      </c>
      <c r="C416" s="892"/>
      <c r="D416" s="2067"/>
      <c r="E416" s="892"/>
      <c r="F416" s="891"/>
      <c r="G416" s="895"/>
      <c r="H416" s="891"/>
      <c r="I416" s="892"/>
      <c r="J416" s="891"/>
      <c r="K416" s="892"/>
      <c r="L416" s="891"/>
      <c r="M416" s="892"/>
      <c r="N416" s="891"/>
      <c r="O416" s="892"/>
      <c r="P416" s="891"/>
      <c r="Q416" s="892"/>
      <c r="R416" s="891"/>
      <c r="S416" s="892"/>
      <c r="T416" s="891"/>
      <c r="U416" s="892"/>
      <c r="V416" s="891"/>
      <c r="W416" s="892"/>
      <c r="X416" s="891"/>
      <c r="Y416" s="892"/>
      <c r="Z416" s="891"/>
      <c r="AA416" s="892"/>
      <c r="AB416" s="891"/>
      <c r="AC416" s="892"/>
      <c r="AD416" s="891"/>
      <c r="AE416" s="892"/>
      <c r="AF416" s="891"/>
      <c r="AG416" s="892"/>
      <c r="AH416" s="891"/>
      <c r="AI416" s="892"/>
      <c r="AJ416" s="891"/>
      <c r="AK416" s="892"/>
      <c r="AL416" s="891"/>
      <c r="AM416" s="892"/>
      <c r="AN416" s="891"/>
      <c r="AO416" s="892"/>
      <c r="AP416" s="891"/>
      <c r="AQ416" s="892"/>
      <c r="AR416" s="891"/>
      <c r="AS416" s="892"/>
      <c r="AT416" s="891"/>
      <c r="AU416" s="892"/>
      <c r="AV416" s="891"/>
      <c r="AW416" s="892"/>
      <c r="AX416" s="891"/>
      <c r="AY416" s="892"/>
      <c r="AZ416" s="891"/>
      <c r="BA416" s="892"/>
      <c r="BB416" s="891"/>
      <c r="BC416" s="892"/>
      <c r="BD416" s="891"/>
      <c r="BE416" s="892"/>
      <c r="BF416" s="891"/>
    </row>
    <row r="417" spans="2:81" s="334" customFormat="1" ht="18.75" x14ac:dyDescent="0.25">
      <c r="B417" s="2204" t="s">
        <v>356</v>
      </c>
      <c r="C417" s="1304"/>
      <c r="D417" s="2205"/>
      <c r="E417" s="1304"/>
      <c r="F417" s="1304"/>
      <c r="G417" s="2204"/>
      <c r="H417" s="1304"/>
      <c r="I417" s="1304"/>
      <c r="J417" s="1304"/>
      <c r="K417" s="1304"/>
      <c r="L417" s="1304"/>
      <c r="M417" s="1304"/>
      <c r="N417" s="1304"/>
      <c r="O417" s="1304"/>
      <c r="P417" s="1304"/>
      <c r="Q417" s="1304"/>
      <c r="R417" s="1304"/>
      <c r="S417" s="1304"/>
      <c r="T417" s="1304"/>
      <c r="U417" s="1304"/>
      <c r="V417" s="1304"/>
      <c r="W417" s="1304"/>
      <c r="X417" s="1304"/>
      <c r="Y417" s="1304"/>
      <c r="Z417" s="1304"/>
      <c r="AA417" s="1304"/>
      <c r="AB417" s="1304"/>
      <c r="AC417" s="1304"/>
      <c r="AD417" s="1304"/>
      <c r="AE417" s="1304"/>
      <c r="AF417" s="1304"/>
      <c r="AG417" s="1304"/>
      <c r="AH417" s="1304"/>
      <c r="AI417" s="1304"/>
      <c r="AJ417" s="1304"/>
      <c r="AK417" s="1304"/>
      <c r="AL417" s="1304"/>
      <c r="AM417" s="1304"/>
      <c r="AN417" s="1304"/>
      <c r="AO417" s="1304"/>
      <c r="AP417" s="1304"/>
      <c r="AQ417" s="1304"/>
      <c r="AR417" s="1304"/>
      <c r="AS417" s="1304"/>
      <c r="AT417" s="1304"/>
      <c r="AU417" s="1304"/>
      <c r="AV417" s="1304"/>
      <c r="AW417" s="1304"/>
      <c r="AX417" s="1304"/>
      <c r="AY417" s="1304"/>
      <c r="AZ417" s="1304"/>
      <c r="BA417" s="1304"/>
      <c r="BB417" s="1304"/>
      <c r="BC417" s="1304"/>
      <c r="BD417" s="1304"/>
      <c r="BE417" s="1304"/>
      <c r="BF417" s="1304"/>
    </row>
    <row r="418" spans="2:81" ht="18.75" x14ac:dyDescent="0.25">
      <c r="B418" s="598" t="s">
        <v>1006</v>
      </c>
      <c r="C418" s="2058" t="s">
        <v>53</v>
      </c>
      <c r="D418" s="2070"/>
      <c r="E418" s="1848">
        <f>+'Maj Despatch Summ'!E26</f>
        <v>1935</v>
      </c>
      <c r="F418" s="508">
        <f>+'Maj Despatch Summ'!F26</f>
        <v>2848.37</v>
      </c>
      <c r="G418" s="1848">
        <f>+'Maj Despatch Summ'!G26</f>
        <v>11609</v>
      </c>
      <c r="H418" s="508">
        <f>+'Maj Despatch Summ'!H26</f>
        <v>4721.7700000000004</v>
      </c>
      <c r="I418" s="3922">
        <f t="shared" ref="I418:J419" si="520">+E418+G418</f>
        <v>13544</v>
      </c>
      <c r="J418" s="517">
        <f t="shared" si="520"/>
        <v>7570.14</v>
      </c>
      <c r="K418" s="1848">
        <f>+'Maj Despatch Summ'!K26</f>
        <v>774</v>
      </c>
      <c r="L418" s="508">
        <f>+'Maj Despatch Summ'!L26</f>
        <v>1038.3600000000001</v>
      </c>
      <c r="M418" s="3940">
        <f t="shared" ref="M418:M419" si="521">+I418+K418</f>
        <v>14318</v>
      </c>
      <c r="N418" s="611">
        <f t="shared" ref="N418:N419" si="522">+J418+L418</f>
        <v>8608.5</v>
      </c>
      <c r="O418" s="1848">
        <f>+'Maj Despatch Summ'!O26</f>
        <v>773.93075356415477</v>
      </c>
      <c r="P418" s="508">
        <f>+'Maj Despatch Summ'!P26</f>
        <v>1060.74</v>
      </c>
      <c r="Q418" s="3922">
        <f t="shared" ref="Q418:Q419" si="523">+M418+O418</f>
        <v>15091.930753564155</v>
      </c>
      <c r="R418" s="517">
        <f t="shared" ref="R418:R419" si="524">+N418+P418</f>
        <v>9669.24</v>
      </c>
      <c r="S418" s="1848">
        <f>+'Maj Despatch Summ'!S26</f>
        <v>580.44806517311611</v>
      </c>
      <c r="T418" s="508">
        <v>997.9</v>
      </c>
      <c r="U418" s="3922">
        <f t="shared" ref="U418:U419" si="525">+Q418+S418</f>
        <v>15672.37881873727</v>
      </c>
      <c r="V418" s="517">
        <f t="shared" ref="V418:V419" si="526">+R418+T418</f>
        <v>10667.14</v>
      </c>
      <c r="W418" s="1848">
        <f>+'Maj Despatch Summ'!W26</f>
        <v>580.44806517311611</v>
      </c>
      <c r="X418" s="610">
        <v>2037.1499999999999</v>
      </c>
      <c r="Y418" s="3940">
        <f t="shared" ref="Y418:Y419" si="527">O418+S418+W418</f>
        <v>1934.8268839103871</v>
      </c>
      <c r="Z418" s="611">
        <f t="shared" ref="Z418:Z419" si="528">P418+T418+X418</f>
        <v>4095.79</v>
      </c>
      <c r="AA418" s="3948">
        <f t="shared" ref="AA418:AA419" si="529">+U418+W418</f>
        <v>16252.826883910386</v>
      </c>
      <c r="AB418" s="1287">
        <f t="shared" ref="AB418:AB419" si="530">+V418+X418</f>
        <v>12704.289999999999</v>
      </c>
      <c r="AC418" s="1848">
        <f>+'Maj Despatch Summ'!AC26</f>
        <v>580.44806517311611</v>
      </c>
      <c r="AD418" s="508">
        <v>1997.2599999999998</v>
      </c>
      <c r="AE418" s="3922">
        <f t="shared" ref="AE418:AE419" si="531">+AA418+AC418</f>
        <v>16833.274949083501</v>
      </c>
      <c r="AF418" s="517">
        <f t="shared" ref="AF418:AF419" si="532">+AB418+AD418</f>
        <v>14701.55</v>
      </c>
      <c r="AG418" s="1848">
        <f>+'Maj Despatch Summ'!AG26</f>
        <v>580.44806517311611</v>
      </c>
      <c r="AH418" s="508">
        <v>1498.0199999999998</v>
      </c>
      <c r="AI418" s="3922">
        <f t="shared" ref="AI418:AI419" si="533">+AE418+AG418</f>
        <v>17413.723014256619</v>
      </c>
      <c r="AJ418" s="517">
        <f t="shared" ref="AJ418:AJ419" si="534">+AF418+AH418</f>
        <v>16199.57</v>
      </c>
      <c r="AK418" s="1848">
        <f>+'Maj Despatch Summ'!AK26</f>
        <v>580.44806517311611</v>
      </c>
      <c r="AL418" s="508">
        <v>0</v>
      </c>
      <c r="AM418" s="3940">
        <f t="shared" ref="AM418:AM419" si="535">AC418+AG418+AK418</f>
        <v>1741.3441955193484</v>
      </c>
      <c r="AN418" s="611">
        <f t="shared" ref="AN418:AN419" si="536">AD418+AH418+AL418</f>
        <v>3495.2799999999997</v>
      </c>
      <c r="AO418" s="3922">
        <f t="shared" ref="AO418:AO419" si="537">+AI418+AK418</f>
        <v>17994.171079429736</v>
      </c>
      <c r="AP418" s="517">
        <f t="shared" ref="AP418:AP419" si="538">+AJ418+AL418</f>
        <v>16199.57</v>
      </c>
      <c r="AQ418" s="1848">
        <f>+'Maj Despatch Summ'!AQ26</f>
        <v>580.44806517311611</v>
      </c>
      <c r="AR418" s="508">
        <f>+'Maj Despatch Summ'!AR26</f>
        <v>1493.8999999999992</v>
      </c>
      <c r="AS418" s="3922">
        <f t="shared" ref="AS418:AT419" si="539">+AO418+AQ418</f>
        <v>18574.619144602853</v>
      </c>
      <c r="AT418" s="517">
        <f t="shared" si="539"/>
        <v>17693.469999999998</v>
      </c>
      <c r="AU418" s="1848">
        <f>+'Maj Despatch Summ'!AU26</f>
        <v>580.44806517311611</v>
      </c>
      <c r="AV418" s="508">
        <v>999.39000000000021</v>
      </c>
      <c r="AW418" s="3999">
        <f t="shared" ref="AW418:AW419" si="540">+AS418+AU418</f>
        <v>19155.067209775971</v>
      </c>
      <c r="AX418" s="517">
        <f t="shared" ref="AX418:AX419" si="541">+AT418+AV418</f>
        <v>18692.859999999997</v>
      </c>
      <c r="AY418" s="1848">
        <f>+'Maj Despatch Summ'!AY26</f>
        <v>580.44806517311611</v>
      </c>
      <c r="AZ418" s="610">
        <v>1796.38</v>
      </c>
      <c r="BA418" s="4137">
        <f t="shared" ref="BA418:BA419" si="542">AQ418+AU418+AY418</f>
        <v>1741.3441955193484</v>
      </c>
      <c r="BB418" s="611">
        <f t="shared" ref="BB418:BB419" si="543">AR418+AV418+AZ418</f>
        <v>4289.67</v>
      </c>
      <c r="BC418" s="4144">
        <f t="shared" ref="BC418:BC429" si="544">+BA418+AM418</f>
        <v>3482.6883910386969</v>
      </c>
      <c r="BD418" s="1287">
        <f t="shared" ref="BD418:BD429" si="545">+BB418+AN418</f>
        <v>7784.95</v>
      </c>
      <c r="BE418" s="4130">
        <f t="shared" ref="BE418:BE419" si="546">+AW418+AY418</f>
        <v>19735.515274949088</v>
      </c>
      <c r="BF418" s="517">
        <f t="shared" ref="BF418:BF419" si="547">+AX418+AZ418</f>
        <v>20489.239999999998</v>
      </c>
    </row>
    <row r="419" spans="2:81" ht="19.5" thickBot="1" x14ac:dyDescent="0.3">
      <c r="B419" s="598" t="s">
        <v>134</v>
      </c>
      <c r="C419" s="2063" t="s">
        <v>53</v>
      </c>
      <c r="D419" s="2059"/>
      <c r="E419" s="2206">
        <v>0</v>
      </c>
      <c r="F419" s="509">
        <v>0</v>
      </c>
      <c r="G419" s="2206">
        <v>0</v>
      </c>
      <c r="H419" s="509"/>
      <c r="I419" s="3925">
        <f t="shared" si="520"/>
        <v>0</v>
      </c>
      <c r="J419" s="1305">
        <f t="shared" si="520"/>
        <v>0</v>
      </c>
      <c r="K419" s="2206">
        <v>0</v>
      </c>
      <c r="L419" s="509">
        <v>0</v>
      </c>
      <c r="M419" s="3939">
        <f t="shared" si="521"/>
        <v>0</v>
      </c>
      <c r="N419" s="1306">
        <f t="shared" si="522"/>
        <v>0</v>
      </c>
      <c r="O419" s="2206">
        <v>0</v>
      </c>
      <c r="P419" s="509">
        <v>0</v>
      </c>
      <c r="Q419" s="3925">
        <f t="shared" si="523"/>
        <v>0</v>
      </c>
      <c r="R419" s="1305">
        <f t="shared" si="524"/>
        <v>0</v>
      </c>
      <c r="S419" s="2206">
        <v>0</v>
      </c>
      <c r="T419" s="509">
        <v>0</v>
      </c>
      <c r="U419" s="3925">
        <f t="shared" si="525"/>
        <v>0</v>
      </c>
      <c r="V419" s="1305">
        <f t="shared" si="526"/>
        <v>0</v>
      </c>
      <c r="W419" s="2206">
        <v>0</v>
      </c>
      <c r="X419" s="955">
        <v>0</v>
      </c>
      <c r="Y419" s="3940">
        <f t="shared" si="527"/>
        <v>0</v>
      </c>
      <c r="Z419" s="611">
        <f t="shared" si="528"/>
        <v>0</v>
      </c>
      <c r="AA419" s="3945">
        <f t="shared" si="529"/>
        <v>0</v>
      </c>
      <c r="AB419" s="1307">
        <f t="shared" si="530"/>
        <v>0</v>
      </c>
      <c r="AC419" s="2206">
        <v>0</v>
      </c>
      <c r="AD419" s="509">
        <v>0</v>
      </c>
      <c r="AE419" s="3925">
        <f t="shared" si="531"/>
        <v>0</v>
      </c>
      <c r="AF419" s="1305">
        <f t="shared" si="532"/>
        <v>0</v>
      </c>
      <c r="AG419" s="2206">
        <v>0</v>
      </c>
      <c r="AH419" s="509">
        <v>0</v>
      </c>
      <c r="AI419" s="3925">
        <f t="shared" si="533"/>
        <v>0</v>
      </c>
      <c r="AJ419" s="1305">
        <f t="shared" si="534"/>
        <v>0</v>
      </c>
      <c r="AK419" s="2206">
        <v>0</v>
      </c>
      <c r="AL419" s="509">
        <v>0</v>
      </c>
      <c r="AM419" s="3940">
        <f t="shared" si="535"/>
        <v>0</v>
      </c>
      <c r="AN419" s="611">
        <f t="shared" si="536"/>
        <v>0</v>
      </c>
      <c r="AO419" s="3925">
        <f t="shared" si="537"/>
        <v>0</v>
      </c>
      <c r="AP419" s="1305">
        <f t="shared" si="538"/>
        <v>0</v>
      </c>
      <c r="AQ419" s="2206">
        <v>0</v>
      </c>
      <c r="AR419" s="509">
        <v>0</v>
      </c>
      <c r="AS419" s="3925">
        <f t="shared" si="539"/>
        <v>0</v>
      </c>
      <c r="AT419" s="517">
        <f t="shared" si="539"/>
        <v>0</v>
      </c>
      <c r="AU419" s="2206">
        <v>0</v>
      </c>
      <c r="AV419" s="509">
        <v>0</v>
      </c>
      <c r="AW419" s="4000">
        <f t="shared" si="540"/>
        <v>0</v>
      </c>
      <c r="AX419" s="517">
        <f t="shared" si="541"/>
        <v>0</v>
      </c>
      <c r="AY419" s="2206">
        <v>0</v>
      </c>
      <c r="AZ419" s="955">
        <v>0</v>
      </c>
      <c r="BA419" s="4137">
        <f t="shared" si="542"/>
        <v>0</v>
      </c>
      <c r="BB419" s="611">
        <f t="shared" si="543"/>
        <v>0</v>
      </c>
      <c r="BC419" s="4141">
        <f t="shared" si="544"/>
        <v>0</v>
      </c>
      <c r="BD419" s="1307">
        <f t="shared" si="545"/>
        <v>0</v>
      </c>
      <c r="BE419" s="4131">
        <f t="shared" si="546"/>
        <v>0</v>
      </c>
      <c r="BF419" s="517">
        <f t="shared" si="547"/>
        <v>0</v>
      </c>
    </row>
    <row r="420" spans="2:81" ht="19.5" thickBot="1" x14ac:dyDescent="0.3">
      <c r="B420" s="599" t="s">
        <v>2</v>
      </c>
      <c r="C420" s="113" t="s">
        <v>53</v>
      </c>
      <c r="D420" s="2075">
        <v>34535.234215885946</v>
      </c>
      <c r="E420" s="2004">
        <f t="shared" ref="E420:AF420" si="548">SUM(E418:E419)</f>
        <v>1935</v>
      </c>
      <c r="F420" s="323">
        <f t="shared" si="548"/>
        <v>2848.37</v>
      </c>
      <c r="G420" s="2004">
        <f t="shared" ref="G420" si="549">SUM(G418:G419)</f>
        <v>11609</v>
      </c>
      <c r="H420" s="323">
        <f t="shared" si="548"/>
        <v>4721.7700000000004</v>
      </c>
      <c r="I420" s="1577">
        <f t="shared" si="548"/>
        <v>13544</v>
      </c>
      <c r="J420" s="472">
        <f t="shared" si="548"/>
        <v>7570.14</v>
      </c>
      <c r="K420" s="2004">
        <f t="shared" ref="K420" si="550">SUM(K418:K419)</f>
        <v>774</v>
      </c>
      <c r="L420" s="323">
        <f t="shared" si="548"/>
        <v>1038.3600000000001</v>
      </c>
      <c r="M420" s="2005">
        <f t="shared" si="548"/>
        <v>14318</v>
      </c>
      <c r="N420" s="883">
        <f t="shared" si="548"/>
        <v>8608.5</v>
      </c>
      <c r="O420" s="2004">
        <f t="shared" ref="O420" si="551">SUM(O418:O419)</f>
        <v>773.93075356415477</v>
      </c>
      <c r="P420" s="323">
        <f t="shared" si="548"/>
        <v>1060.74</v>
      </c>
      <c r="Q420" s="1577">
        <f t="shared" si="548"/>
        <v>15091.930753564155</v>
      </c>
      <c r="R420" s="472">
        <f t="shared" si="548"/>
        <v>9669.24</v>
      </c>
      <c r="S420" s="2004">
        <f t="shared" ref="S420" si="552">SUM(S418:S419)</f>
        <v>580.44806517311611</v>
      </c>
      <c r="T420" s="323">
        <f t="shared" ref="T420:W420" si="553">SUM(T418:T419)</f>
        <v>997.9</v>
      </c>
      <c r="U420" s="1577">
        <f t="shared" si="553"/>
        <v>15672.37881873727</v>
      </c>
      <c r="V420" s="472">
        <f t="shared" si="553"/>
        <v>10667.14</v>
      </c>
      <c r="W420" s="2004">
        <f t="shared" si="553"/>
        <v>580.44806517311611</v>
      </c>
      <c r="X420" s="635">
        <f t="shared" ref="X420" si="554">SUM(X418:X419)</f>
        <v>2037.1499999999999</v>
      </c>
      <c r="Y420" s="2005">
        <f t="shared" si="548"/>
        <v>1934.8268839103871</v>
      </c>
      <c r="Z420" s="883">
        <f t="shared" si="548"/>
        <v>4095.79</v>
      </c>
      <c r="AA420" s="2006">
        <f t="shared" si="548"/>
        <v>16252.826883910386</v>
      </c>
      <c r="AB420" s="1289">
        <f t="shared" si="548"/>
        <v>12704.289999999999</v>
      </c>
      <c r="AC420" s="2004">
        <f t="shared" ref="AC420" si="555">SUM(AC418:AC419)</f>
        <v>580.44806517311611</v>
      </c>
      <c r="AD420" s="323">
        <f t="shared" si="548"/>
        <v>1997.2599999999998</v>
      </c>
      <c r="AE420" s="1577">
        <f t="shared" si="548"/>
        <v>16833.274949083501</v>
      </c>
      <c r="AF420" s="472">
        <f t="shared" si="548"/>
        <v>14701.55</v>
      </c>
      <c r="AG420" s="2004">
        <f t="shared" ref="AG420" si="556">SUM(AG418:AG419)</f>
        <v>580.44806517311611</v>
      </c>
      <c r="AH420" s="323">
        <f t="shared" ref="AH420:AK420" si="557">SUM(AH418:AH419)</f>
        <v>1498.0199999999998</v>
      </c>
      <c r="AI420" s="1577">
        <f t="shared" si="557"/>
        <v>17413.723014256619</v>
      </c>
      <c r="AJ420" s="472">
        <f t="shared" si="557"/>
        <v>16199.57</v>
      </c>
      <c r="AK420" s="2004">
        <f t="shared" si="557"/>
        <v>580.44806517311611</v>
      </c>
      <c r="AL420" s="323">
        <f t="shared" ref="AL420" si="558">SUM(AL418:AL419)</f>
        <v>0</v>
      </c>
      <c r="AM420" s="2005">
        <f t="shared" ref="AM420:AU420" si="559">SUM(AM418:AM419)</f>
        <v>1741.3441955193484</v>
      </c>
      <c r="AN420" s="883">
        <f t="shared" si="559"/>
        <v>3495.2799999999997</v>
      </c>
      <c r="AO420" s="1577">
        <f t="shared" si="559"/>
        <v>17994.171079429736</v>
      </c>
      <c r="AP420" s="472">
        <f t="shared" si="559"/>
        <v>16199.57</v>
      </c>
      <c r="AQ420" s="2004">
        <f t="shared" si="559"/>
        <v>580.44806517311611</v>
      </c>
      <c r="AR420" s="323">
        <f t="shared" si="559"/>
        <v>1493.8999999999992</v>
      </c>
      <c r="AS420" s="1577">
        <f t="shared" si="559"/>
        <v>18574.619144602853</v>
      </c>
      <c r="AT420" s="472">
        <f t="shared" si="559"/>
        <v>17693.469999999998</v>
      </c>
      <c r="AU420" s="2004">
        <f t="shared" si="559"/>
        <v>580.44806517311611</v>
      </c>
      <c r="AV420" s="323">
        <f t="shared" ref="AV420:AY420" si="560">SUM(AV418:AV419)</f>
        <v>999.39000000000021</v>
      </c>
      <c r="AW420" s="1577">
        <f t="shared" si="560"/>
        <v>19155.067209775971</v>
      </c>
      <c r="AX420" s="472">
        <f t="shared" si="560"/>
        <v>18692.859999999997</v>
      </c>
      <c r="AY420" s="2004">
        <f t="shared" si="560"/>
        <v>580.44806517311611</v>
      </c>
      <c r="AZ420" s="635">
        <f t="shared" ref="AZ420:BB420" si="561">SUM(AZ418:AZ419)</f>
        <v>1796.38</v>
      </c>
      <c r="BA420" s="2005">
        <f t="shared" si="561"/>
        <v>1741.3441955193484</v>
      </c>
      <c r="BB420" s="883">
        <f t="shared" si="561"/>
        <v>4289.67</v>
      </c>
      <c r="BC420" s="2006">
        <f t="shared" si="544"/>
        <v>3482.6883910386969</v>
      </c>
      <c r="BD420" s="1289">
        <f t="shared" si="545"/>
        <v>7784.95</v>
      </c>
      <c r="BE420" s="1577">
        <f>SUM(BE418:BE419)</f>
        <v>19735.515274949088</v>
      </c>
      <c r="BF420" s="472">
        <f>SUM(BF418:BF419)</f>
        <v>20489.239999999998</v>
      </c>
    </row>
    <row r="421" spans="2:81" s="334" customFormat="1" ht="18.75" x14ac:dyDescent="0.25">
      <c r="B421" s="690" t="s">
        <v>357</v>
      </c>
      <c r="C421" s="622"/>
      <c r="D421" s="2056"/>
      <c r="E421" s="622"/>
      <c r="F421" s="622"/>
      <c r="G421" s="622"/>
      <c r="H421" s="622"/>
      <c r="I421" s="622"/>
      <c r="J421" s="622"/>
      <c r="K421" s="622"/>
      <c r="L421" s="622"/>
      <c r="M421" s="622"/>
      <c r="N421" s="622"/>
      <c r="O421" s="622"/>
      <c r="P421" s="622"/>
      <c r="Q421" s="622"/>
      <c r="R421" s="622"/>
      <c r="S421" s="622"/>
      <c r="T421" s="622"/>
      <c r="U421" s="622"/>
      <c r="V421" s="622"/>
      <c r="W421" s="622"/>
      <c r="X421" s="622"/>
      <c r="Y421" s="622"/>
      <c r="Z421" s="622"/>
      <c r="AA421" s="622"/>
      <c r="AB421" s="622"/>
      <c r="AC421" s="622"/>
      <c r="AD421" s="622"/>
      <c r="AE421" s="622"/>
      <c r="AF421" s="622"/>
      <c r="AG421" s="622"/>
      <c r="AH421" s="622"/>
      <c r="AI421" s="622"/>
      <c r="AJ421" s="622"/>
      <c r="AK421" s="622"/>
      <c r="AL421" s="622"/>
      <c r="AM421" s="622"/>
      <c r="AN421" s="622"/>
      <c r="AO421" s="1423"/>
      <c r="AP421" s="1423"/>
      <c r="AQ421" s="622"/>
      <c r="AR421" s="622"/>
      <c r="AS421" s="622"/>
      <c r="AT421" s="622"/>
      <c r="AU421" s="622"/>
      <c r="AV421" s="622"/>
      <c r="AW421" s="622"/>
      <c r="AX421" s="622"/>
      <c r="AY421" s="622"/>
      <c r="AZ421" s="622"/>
      <c r="BA421" s="622"/>
      <c r="BB421" s="622"/>
      <c r="BC421" s="622"/>
      <c r="BD421" s="622"/>
      <c r="BE421" s="622"/>
      <c r="BF421" s="622"/>
      <c r="BG421" s="1726"/>
      <c r="BH421" s="1726"/>
      <c r="BI421" s="1726"/>
      <c r="BJ421" s="1726"/>
      <c r="BK421" s="1726"/>
      <c r="BL421" s="1726"/>
      <c r="BM421" s="1726"/>
      <c r="BN421" s="1726"/>
      <c r="BO421" s="1726"/>
      <c r="BP421" s="1726"/>
      <c r="BQ421" s="1726"/>
      <c r="BR421" s="1726"/>
      <c r="BS421" s="1726"/>
      <c r="BT421" s="1726"/>
      <c r="BU421" s="1726"/>
      <c r="BV421" s="1726"/>
      <c r="BW421" s="1726"/>
      <c r="BX421" s="1726"/>
      <c r="BY421" s="1726"/>
      <c r="BZ421" s="1726"/>
      <c r="CA421" s="1726"/>
      <c r="CB421" s="1726"/>
      <c r="CC421" s="1726"/>
    </row>
    <row r="422" spans="2:81" ht="18.75" x14ac:dyDescent="0.25">
      <c r="B422" s="597" t="s">
        <v>24</v>
      </c>
      <c r="C422" s="2058" t="s">
        <v>53</v>
      </c>
      <c r="D422" s="2059"/>
      <c r="E422" s="5010">
        <f>+E420</f>
        <v>1935</v>
      </c>
      <c r="F422" s="508">
        <v>1975.02</v>
      </c>
      <c r="G422" s="5010">
        <f>+G420</f>
        <v>11609</v>
      </c>
      <c r="H422" s="508">
        <v>1977.08</v>
      </c>
      <c r="I422" s="4964">
        <f>+E422+G422</f>
        <v>13544</v>
      </c>
      <c r="J422" s="517">
        <f>+F422+H422</f>
        <v>3952.1</v>
      </c>
      <c r="K422" s="5010">
        <f>+K420</f>
        <v>774</v>
      </c>
      <c r="L422" s="508">
        <v>0</v>
      </c>
      <c r="M422" s="4962">
        <f>+I422+K422</f>
        <v>14318</v>
      </c>
      <c r="N422" s="611">
        <f>+J422+L422</f>
        <v>3952.1</v>
      </c>
      <c r="O422" s="5010">
        <f>+O420</f>
        <v>773.93075356415477</v>
      </c>
      <c r="P422" s="508">
        <v>0</v>
      </c>
      <c r="Q422" s="4964">
        <f>+M422+O422</f>
        <v>15091.930753564155</v>
      </c>
      <c r="R422" s="517">
        <f>+N422+P422</f>
        <v>3952.1</v>
      </c>
      <c r="S422" s="5010">
        <f>+S420</f>
        <v>580.44806517311611</v>
      </c>
      <c r="T422" s="508">
        <v>997.9</v>
      </c>
      <c r="U422" s="4964">
        <f>+Q422+S422</f>
        <v>15672.37881873727</v>
      </c>
      <c r="V422" s="517">
        <f>+R422+T422</f>
        <v>4950</v>
      </c>
      <c r="W422" s="5010">
        <f>+W420</f>
        <v>580.44806517311611</v>
      </c>
      <c r="X422" s="610">
        <v>0</v>
      </c>
      <c r="Y422" s="4962">
        <f>O422+S422+W422</f>
        <v>1934.8268839103871</v>
      </c>
      <c r="Z422" s="611">
        <f>P422+T422+X422</f>
        <v>997.9</v>
      </c>
      <c r="AA422" s="4960">
        <f>+U422+W422</f>
        <v>16252.826883910386</v>
      </c>
      <c r="AB422" s="1287">
        <f>+V422+X422</f>
        <v>4950</v>
      </c>
      <c r="AC422" s="5010">
        <f>+AC420</f>
        <v>580.44806517311611</v>
      </c>
      <c r="AD422" s="508">
        <v>0</v>
      </c>
      <c r="AE422" s="4964">
        <f>+AA422+AC422</f>
        <v>16833.274949083501</v>
      </c>
      <c r="AF422" s="517">
        <f>+AB422+AD422</f>
        <v>4950</v>
      </c>
      <c r="AG422" s="5010">
        <f>+AG420</f>
        <v>580.44806517311611</v>
      </c>
      <c r="AH422" s="508">
        <v>0</v>
      </c>
      <c r="AI422" s="4964">
        <f>+AE422+AG422</f>
        <v>17413.723014256619</v>
      </c>
      <c r="AJ422" s="517">
        <f>+AF422+AH422</f>
        <v>4950</v>
      </c>
      <c r="AK422" s="5010">
        <f>+AK420</f>
        <v>580.44806517311611</v>
      </c>
      <c r="AL422" s="508">
        <v>0</v>
      </c>
      <c r="AM422" s="4962">
        <f>AC422+AG422+AK422</f>
        <v>1741.3441955193484</v>
      </c>
      <c r="AN422" s="611">
        <f>AD422+AH422+AL422</f>
        <v>0</v>
      </c>
      <c r="AO422" s="4964">
        <f>+AI422+AK422</f>
        <v>17994.171079429736</v>
      </c>
      <c r="AP422" s="517">
        <f>+AJ422+AL422</f>
        <v>4950</v>
      </c>
      <c r="AQ422" s="5010">
        <f>+AQ420</f>
        <v>580.44806517311611</v>
      </c>
      <c r="AR422" s="508">
        <v>0</v>
      </c>
      <c r="AS422" s="4964">
        <f>+AO422+AQ422</f>
        <v>18574.619144602853</v>
      </c>
      <c r="AT422" s="517">
        <f t="shared" ref="AT422:AT423" si="562">+AP422+AR422</f>
        <v>4950</v>
      </c>
      <c r="AU422" s="5010">
        <f>+AU420</f>
        <v>580.44806517311611</v>
      </c>
      <c r="AV422" s="508">
        <v>0</v>
      </c>
      <c r="AW422" s="4964">
        <f>+AS422+AU422</f>
        <v>19155.067209775971</v>
      </c>
      <c r="AX422" s="517">
        <f t="shared" ref="AX422:AX423" si="563">+AT422+AV422</f>
        <v>4950</v>
      </c>
      <c r="AY422" s="5010">
        <f>+AY420</f>
        <v>580.44806517311611</v>
      </c>
      <c r="AZ422" s="610">
        <v>1796.38</v>
      </c>
      <c r="BA422" s="4962">
        <f>AQ422+AU422+AY422</f>
        <v>1741.3441955193484</v>
      </c>
      <c r="BB422" s="611">
        <f>AR422+AV422+AZ422</f>
        <v>1796.38</v>
      </c>
      <c r="BC422" s="4960">
        <f t="shared" si="544"/>
        <v>3482.6883910386969</v>
      </c>
      <c r="BD422" s="1287">
        <f t="shared" si="545"/>
        <v>1796.38</v>
      </c>
      <c r="BE422" s="4964">
        <f>+AW422+AY422</f>
        <v>19735.515274949088</v>
      </c>
      <c r="BF422" s="517">
        <f>+AX422+AZ422</f>
        <v>6746.38</v>
      </c>
    </row>
    <row r="423" spans="2:81" ht="19.5" thickBot="1" x14ac:dyDescent="0.3">
      <c r="B423" s="598" t="s">
        <v>25</v>
      </c>
      <c r="C423" s="2063" t="s">
        <v>53</v>
      </c>
      <c r="D423" s="3953"/>
      <c r="E423" s="5011"/>
      <c r="F423" s="509">
        <v>873.35</v>
      </c>
      <c r="G423" s="5011"/>
      <c r="H423" s="509">
        <v>2744.69</v>
      </c>
      <c r="I423" s="4966"/>
      <c r="J423" s="516">
        <f>+F423+H423</f>
        <v>3618.04</v>
      </c>
      <c r="K423" s="5011"/>
      <c r="L423" s="509">
        <v>1038.3600000000001</v>
      </c>
      <c r="M423" s="4970"/>
      <c r="N423" s="882">
        <f>+J423+L423</f>
        <v>4656.3999999999996</v>
      </c>
      <c r="O423" s="5011"/>
      <c r="P423" s="509">
        <v>1060.74</v>
      </c>
      <c r="Q423" s="4966"/>
      <c r="R423" s="1305">
        <f>+N423+P423</f>
        <v>5717.1399999999994</v>
      </c>
      <c r="S423" s="5011"/>
      <c r="T423" s="509">
        <v>0</v>
      </c>
      <c r="U423" s="4966"/>
      <c r="V423" s="1305">
        <f>+R423+T423</f>
        <v>5717.1399999999994</v>
      </c>
      <c r="W423" s="5011"/>
      <c r="X423" s="955">
        <v>2037.1499999999999</v>
      </c>
      <c r="Y423" s="4970"/>
      <c r="Z423" s="611">
        <f>P423+T423+X423</f>
        <v>3097.89</v>
      </c>
      <c r="AA423" s="4975"/>
      <c r="AB423" s="1288">
        <f>+V423+X423</f>
        <v>7754.2899999999991</v>
      </c>
      <c r="AC423" s="5011"/>
      <c r="AD423" s="509">
        <v>1997.2599999999998</v>
      </c>
      <c r="AE423" s="4966"/>
      <c r="AF423" s="1305">
        <f>+AB423+AD423</f>
        <v>9751.5499999999993</v>
      </c>
      <c r="AG423" s="5011"/>
      <c r="AH423" s="509">
        <v>1498.0199999999998</v>
      </c>
      <c r="AI423" s="4966"/>
      <c r="AJ423" s="516">
        <f>+AF423+AH423</f>
        <v>11249.57</v>
      </c>
      <c r="AK423" s="5011"/>
      <c r="AL423" s="509">
        <v>0</v>
      </c>
      <c r="AM423" s="4970"/>
      <c r="AN423" s="611">
        <f>AD423+AH423+AL423</f>
        <v>3495.2799999999997</v>
      </c>
      <c r="AO423" s="4966"/>
      <c r="AP423" s="516">
        <f>+AJ423+AL423</f>
        <v>11249.57</v>
      </c>
      <c r="AQ423" s="5011"/>
      <c r="AR423" s="509">
        <v>1493.8999999999992</v>
      </c>
      <c r="AS423" s="4966"/>
      <c r="AT423" s="517">
        <f t="shared" si="562"/>
        <v>12743.47</v>
      </c>
      <c r="AU423" s="5011"/>
      <c r="AV423" s="509">
        <v>999.39000000000021</v>
      </c>
      <c r="AW423" s="4966"/>
      <c r="AX423" s="517">
        <f t="shared" si="563"/>
        <v>13742.859999999999</v>
      </c>
      <c r="AY423" s="5011"/>
      <c r="AZ423" s="955">
        <v>0</v>
      </c>
      <c r="BA423" s="4970"/>
      <c r="BB423" s="611">
        <f>AR423+AV423+AZ423</f>
        <v>2493.2899999999995</v>
      </c>
      <c r="BC423" s="4975">
        <f t="shared" si="544"/>
        <v>0</v>
      </c>
      <c r="BD423" s="1288">
        <f t="shared" si="545"/>
        <v>5988.57</v>
      </c>
      <c r="BE423" s="4966"/>
      <c r="BF423" s="517">
        <f>+AX423+AZ423</f>
        <v>13742.859999999999</v>
      </c>
    </row>
    <row r="424" spans="2:81" ht="19.5" thickBot="1" x14ac:dyDescent="0.3">
      <c r="B424" s="599" t="s">
        <v>2</v>
      </c>
      <c r="C424" s="113" t="s">
        <v>53</v>
      </c>
      <c r="D424" s="2075">
        <f>+D420</f>
        <v>34535.234215885946</v>
      </c>
      <c r="E424" s="5012"/>
      <c r="F424" s="323">
        <f>SUM(F422:F423)</f>
        <v>2848.37</v>
      </c>
      <c r="G424" s="5012"/>
      <c r="H424" s="323">
        <f>SUM(H422:H423)</f>
        <v>4721.7700000000004</v>
      </c>
      <c r="I424" s="4965"/>
      <c r="J424" s="472">
        <f>SUM(J422:J423)</f>
        <v>7570.1399999999994</v>
      </c>
      <c r="K424" s="5012"/>
      <c r="L424" s="323">
        <f>SUM(L422:L423)</f>
        <v>1038.3600000000001</v>
      </c>
      <c r="M424" s="4963"/>
      <c r="N424" s="883">
        <f>SUM(N422:N423)</f>
        <v>8608.5</v>
      </c>
      <c r="O424" s="5012"/>
      <c r="P424" s="323">
        <f>SUM(P422:P423)</f>
        <v>1060.74</v>
      </c>
      <c r="Q424" s="4965"/>
      <c r="R424" s="472">
        <f>SUM(R422:R423)</f>
        <v>9669.24</v>
      </c>
      <c r="S424" s="5012"/>
      <c r="T424" s="323">
        <f>SUM(T422:T423)</f>
        <v>997.9</v>
      </c>
      <c r="U424" s="4965"/>
      <c r="V424" s="472">
        <f>SUM(V422:V423)</f>
        <v>10667.14</v>
      </c>
      <c r="W424" s="5012"/>
      <c r="X424" s="635">
        <f>SUM(X422:X423)</f>
        <v>2037.1499999999999</v>
      </c>
      <c r="Y424" s="4963"/>
      <c r="Z424" s="883">
        <f>SUM(Z422:Z423)</f>
        <v>4095.79</v>
      </c>
      <c r="AA424" s="4961"/>
      <c r="AB424" s="1289">
        <f>SUM(AB422:AB423)</f>
        <v>12704.289999999999</v>
      </c>
      <c r="AC424" s="5012"/>
      <c r="AD424" s="323">
        <f>SUM(AD422:AD423)</f>
        <v>1997.2599999999998</v>
      </c>
      <c r="AE424" s="4965"/>
      <c r="AF424" s="472">
        <f>SUM(AF422:AF423)</f>
        <v>14701.55</v>
      </c>
      <c r="AG424" s="5012"/>
      <c r="AH424" s="323">
        <f>SUM(AH422:AH423)</f>
        <v>1498.0199999999998</v>
      </c>
      <c r="AI424" s="4965"/>
      <c r="AJ424" s="472">
        <f>SUM(AJ422:AJ423)</f>
        <v>16199.57</v>
      </c>
      <c r="AK424" s="5012"/>
      <c r="AL424" s="323">
        <f>SUM(AL422:AL423)</f>
        <v>0</v>
      </c>
      <c r="AM424" s="4963"/>
      <c r="AN424" s="883">
        <f>SUM(AN422:AN423)</f>
        <v>3495.2799999999997</v>
      </c>
      <c r="AO424" s="4965"/>
      <c r="AP424" s="472">
        <f>SUM(AP422:AP423)</f>
        <v>16199.57</v>
      </c>
      <c r="AQ424" s="5012"/>
      <c r="AR424" s="323">
        <f>SUM(AR422:AR423)</f>
        <v>1493.8999999999992</v>
      </c>
      <c r="AS424" s="4965"/>
      <c r="AT424" s="472">
        <f>SUM(AT422:AT423)</f>
        <v>17693.47</v>
      </c>
      <c r="AU424" s="5012"/>
      <c r="AV424" s="323">
        <f>SUM(AV422:AV423)</f>
        <v>999.39000000000021</v>
      </c>
      <c r="AW424" s="4965"/>
      <c r="AX424" s="472">
        <f>SUM(AX422:AX423)</f>
        <v>18692.86</v>
      </c>
      <c r="AY424" s="5012"/>
      <c r="AZ424" s="635">
        <f>SUM(AZ422:AZ423)</f>
        <v>1796.38</v>
      </c>
      <c r="BA424" s="4963"/>
      <c r="BB424" s="883">
        <f>SUM(BB422:BB423)</f>
        <v>4289.67</v>
      </c>
      <c r="BC424" s="4961">
        <f t="shared" si="544"/>
        <v>0</v>
      </c>
      <c r="BD424" s="1289">
        <f t="shared" si="545"/>
        <v>7784.95</v>
      </c>
      <c r="BE424" s="4965"/>
      <c r="BF424" s="472">
        <f>SUM(BF422:BF423)</f>
        <v>20489.239999999998</v>
      </c>
    </row>
    <row r="425" spans="2:81" s="334" customFormat="1" ht="18.75" x14ac:dyDescent="0.25">
      <c r="B425" s="690" t="s">
        <v>358</v>
      </c>
      <c r="C425" s="622"/>
      <c r="D425" s="2056"/>
      <c r="E425" s="1308"/>
      <c r="F425" s="1308"/>
      <c r="G425" s="1308"/>
      <c r="H425" s="1308"/>
      <c r="I425" s="1308"/>
      <c r="J425" s="1308"/>
      <c r="K425" s="1308"/>
      <c r="L425" s="1308"/>
      <c r="M425" s="1308"/>
      <c r="N425" s="1308"/>
      <c r="O425" s="1308"/>
      <c r="P425" s="1308"/>
      <c r="Q425" s="1308"/>
      <c r="R425" s="1308"/>
      <c r="S425" s="1308"/>
      <c r="T425" s="1308"/>
      <c r="U425" s="1308"/>
      <c r="V425" s="1308"/>
      <c r="W425" s="1308"/>
      <c r="X425" s="1308"/>
      <c r="Y425" s="1308"/>
      <c r="Z425" s="1308"/>
      <c r="AA425" s="1308"/>
      <c r="AB425" s="1308"/>
      <c r="AC425" s="1308"/>
      <c r="AD425" s="1308"/>
      <c r="AE425" s="1308"/>
      <c r="AF425" s="1308"/>
      <c r="AG425" s="1308"/>
      <c r="AH425" s="1308"/>
      <c r="AI425" s="1308"/>
      <c r="AJ425" s="1308"/>
      <c r="AK425" s="1308"/>
      <c r="AL425" s="1308"/>
      <c r="AM425" s="1308"/>
      <c r="AN425" s="1308"/>
      <c r="AO425" s="3459"/>
      <c r="AP425" s="3459"/>
      <c r="AQ425" s="1308"/>
      <c r="AR425" s="1308"/>
      <c r="AS425" s="1308"/>
      <c r="AT425" s="1308"/>
      <c r="AU425" s="1308"/>
      <c r="AV425" s="1308"/>
      <c r="AW425" s="1308"/>
      <c r="AX425" s="1308"/>
      <c r="AY425" s="1308"/>
      <c r="AZ425" s="1308"/>
      <c r="BA425" s="1308"/>
      <c r="BB425" s="1308"/>
      <c r="BC425" s="1308"/>
      <c r="BD425" s="1308"/>
      <c r="BE425" s="1308"/>
      <c r="BF425" s="1308"/>
      <c r="BG425" s="1726"/>
      <c r="BH425" s="1726"/>
      <c r="BI425" s="1726"/>
      <c r="BJ425" s="1726"/>
      <c r="BK425" s="1726"/>
      <c r="BL425" s="1726"/>
      <c r="BM425" s="1726"/>
      <c r="BN425" s="1726"/>
      <c r="BO425" s="1726"/>
      <c r="BP425" s="1726"/>
      <c r="BQ425" s="1726"/>
      <c r="BR425" s="1726"/>
      <c r="BS425" s="1726"/>
      <c r="BT425" s="1726"/>
      <c r="BU425" s="1726"/>
      <c r="BV425" s="1726"/>
      <c r="BW425" s="1726"/>
      <c r="BX425" s="1726"/>
      <c r="BY425" s="1726"/>
      <c r="BZ425" s="1726"/>
      <c r="CA425" s="1726"/>
      <c r="CB425" s="1726"/>
      <c r="CC425" s="1726"/>
    </row>
    <row r="426" spans="2:81" ht="19.5" thickBot="1" x14ac:dyDescent="0.3">
      <c r="B426" s="597" t="s">
        <v>22</v>
      </c>
      <c r="C426" s="2058" t="s">
        <v>53</v>
      </c>
      <c r="D426" s="2059"/>
      <c r="E426" s="5010">
        <f>+E420</f>
        <v>1935</v>
      </c>
      <c r="F426" s="508">
        <f>+F424</f>
        <v>2848.37</v>
      </c>
      <c r="G426" s="5010">
        <f>+G420</f>
        <v>11609</v>
      </c>
      <c r="H426" s="508">
        <f>+H418</f>
        <v>4721.7700000000004</v>
      </c>
      <c r="I426" s="4964">
        <f>+E426+G426</f>
        <v>13544</v>
      </c>
      <c r="J426" s="517">
        <f>+F426+H426</f>
        <v>7570.14</v>
      </c>
      <c r="K426" s="5010">
        <f>+K420</f>
        <v>774</v>
      </c>
      <c r="L426" s="508">
        <v>1038.3600000000001</v>
      </c>
      <c r="M426" s="4962">
        <f>+I426+K426</f>
        <v>14318</v>
      </c>
      <c r="N426" s="611">
        <f>+J426+L426</f>
        <v>8608.5</v>
      </c>
      <c r="O426" s="5010">
        <f>+O420</f>
        <v>773.93075356415477</v>
      </c>
      <c r="P426" s="508">
        <f>+P424</f>
        <v>1060.74</v>
      </c>
      <c r="Q426" s="4964">
        <f>+M426+O426</f>
        <v>15091.930753564155</v>
      </c>
      <c r="R426" s="517">
        <f>+N426+P426</f>
        <v>9669.24</v>
      </c>
      <c r="S426" s="5010">
        <f>+S420</f>
        <v>580.44806517311611</v>
      </c>
      <c r="T426" s="508">
        <f>+T424</f>
        <v>997.9</v>
      </c>
      <c r="U426" s="4964">
        <f>+Q426+S426</f>
        <v>15672.37881873727</v>
      </c>
      <c r="V426" s="517">
        <f>+R426+T426</f>
        <v>10667.14</v>
      </c>
      <c r="W426" s="5010">
        <f>+W420</f>
        <v>580.44806517311611</v>
      </c>
      <c r="X426" s="610">
        <f>+X424</f>
        <v>2037.1499999999999</v>
      </c>
      <c r="Y426" s="4962">
        <f>O426+S426+W426</f>
        <v>1934.8268839103871</v>
      </c>
      <c r="Z426" s="611">
        <f>P426+T426+X426</f>
        <v>4095.79</v>
      </c>
      <c r="AA426" s="4960">
        <f>+U426+W426</f>
        <v>16252.826883910386</v>
      </c>
      <c r="AB426" s="1287">
        <f>+V426+X426</f>
        <v>12704.289999999999</v>
      </c>
      <c r="AC426" s="5010">
        <f>+AC420</f>
        <v>580.44806517311611</v>
      </c>
      <c r="AD426" s="508">
        <f>+AD424</f>
        <v>1997.2599999999998</v>
      </c>
      <c r="AE426" s="4964">
        <f>+AA426+AC426</f>
        <v>16833.274949083501</v>
      </c>
      <c r="AF426" s="517">
        <f>+AB426+AD426</f>
        <v>14701.55</v>
      </c>
      <c r="AG426" s="5010">
        <f>+AG420</f>
        <v>580.44806517311611</v>
      </c>
      <c r="AH426" s="508">
        <f>+AH424</f>
        <v>1498.0199999999998</v>
      </c>
      <c r="AI426" s="4964">
        <f>+AE426+AG426</f>
        <v>17413.723014256619</v>
      </c>
      <c r="AJ426" s="517">
        <f>+AF426+AH426</f>
        <v>16199.57</v>
      </c>
      <c r="AK426" s="5010">
        <f>+AK420</f>
        <v>580.44806517311611</v>
      </c>
      <c r="AL426" s="508">
        <f>+AL424</f>
        <v>0</v>
      </c>
      <c r="AM426" s="4962">
        <f>AC426+AG426+AK426</f>
        <v>1741.3441955193484</v>
      </c>
      <c r="AN426" s="611">
        <f>AD426+AH426+AL426</f>
        <v>3495.2799999999997</v>
      </c>
      <c r="AO426" s="4964">
        <f>+AI426+AK426</f>
        <v>17994.171079429736</v>
      </c>
      <c r="AP426" s="517">
        <f>+AJ426+AL426</f>
        <v>16199.57</v>
      </c>
      <c r="AQ426" s="5010">
        <f>+AQ420</f>
        <v>580.44806517311611</v>
      </c>
      <c r="AR426" s="508">
        <f>+AR424</f>
        <v>1493.8999999999992</v>
      </c>
      <c r="AS426" s="4964">
        <f>+AO426+AQ426</f>
        <v>18574.619144602853</v>
      </c>
      <c r="AT426" s="517">
        <f t="shared" ref="AT426" si="564">+AP426+AR426</f>
        <v>17693.469999999998</v>
      </c>
      <c r="AU426" s="5010">
        <f>+AU420</f>
        <v>580.44806517311611</v>
      </c>
      <c r="AV426" s="508">
        <f>+AV424</f>
        <v>999.39000000000021</v>
      </c>
      <c r="AW426" s="4964">
        <f>+AS426+AU426</f>
        <v>19155.067209775971</v>
      </c>
      <c r="AX426" s="517">
        <f t="shared" ref="AX426" si="565">+AT426+AV426</f>
        <v>18692.859999999997</v>
      </c>
      <c r="AY426" s="5010">
        <f>+AY420</f>
        <v>580.44806517311611</v>
      </c>
      <c r="AZ426" s="610">
        <f>+AZ424</f>
        <v>1796.38</v>
      </c>
      <c r="BA426" s="4962">
        <f>AQ426+AU426+AY426</f>
        <v>1741.3441955193484</v>
      </c>
      <c r="BB426" s="611">
        <f>AR426+AV426+AZ426</f>
        <v>4289.67</v>
      </c>
      <c r="BC426" s="4960">
        <f t="shared" si="544"/>
        <v>3482.6883910386969</v>
      </c>
      <c r="BD426" s="1287">
        <f t="shared" si="545"/>
        <v>7784.95</v>
      </c>
      <c r="BE426" s="4964">
        <f>+AW426+AY426</f>
        <v>19735.515274949088</v>
      </c>
      <c r="BF426" s="517">
        <f>+AX426+AZ426</f>
        <v>20489.239999999998</v>
      </c>
    </row>
    <row r="427" spans="2:81" ht="19.5" thickBot="1" x14ac:dyDescent="0.3">
      <c r="B427" s="599" t="s">
        <v>2</v>
      </c>
      <c r="C427" s="113" t="s">
        <v>53</v>
      </c>
      <c r="D427" s="2075">
        <f>+D424</f>
        <v>34535.234215885946</v>
      </c>
      <c r="E427" s="5012"/>
      <c r="F427" s="323">
        <f>SUM(F426:F426)</f>
        <v>2848.37</v>
      </c>
      <c r="G427" s="5012"/>
      <c r="H427" s="323">
        <f>SUM(H426:H426)</f>
        <v>4721.7700000000004</v>
      </c>
      <c r="I427" s="4965"/>
      <c r="J427" s="472">
        <f>SUM(J426:J426)</f>
        <v>7570.14</v>
      </c>
      <c r="K427" s="5012"/>
      <c r="L427" s="323">
        <f>SUM(L426:L426)</f>
        <v>1038.3600000000001</v>
      </c>
      <c r="M427" s="4963"/>
      <c r="N427" s="883">
        <f>SUM(N426:N426)</f>
        <v>8608.5</v>
      </c>
      <c r="O427" s="5012"/>
      <c r="P427" s="323">
        <f>SUM(P426:P426)</f>
        <v>1060.74</v>
      </c>
      <c r="Q427" s="4965"/>
      <c r="R427" s="472">
        <f>SUM(R426:R426)</f>
        <v>9669.24</v>
      </c>
      <c r="S427" s="5012"/>
      <c r="T427" s="323">
        <f>SUM(T426:T426)</f>
        <v>997.9</v>
      </c>
      <c r="U427" s="4965"/>
      <c r="V427" s="472">
        <f>SUM(V426:V426)</f>
        <v>10667.14</v>
      </c>
      <c r="W427" s="5012"/>
      <c r="X427" s="635">
        <f>SUM(X426:X426)</f>
        <v>2037.1499999999999</v>
      </c>
      <c r="Y427" s="4963"/>
      <c r="Z427" s="883">
        <f>SUM(Z426:Z426)</f>
        <v>4095.79</v>
      </c>
      <c r="AA427" s="4961"/>
      <c r="AB427" s="1289">
        <f>SUM(AB426:AB426)</f>
        <v>12704.289999999999</v>
      </c>
      <c r="AC427" s="5012"/>
      <c r="AD427" s="323">
        <f>SUM(AD426:AD426)</f>
        <v>1997.2599999999998</v>
      </c>
      <c r="AE427" s="4965"/>
      <c r="AF427" s="472">
        <f>SUM(AF426:AF426)</f>
        <v>14701.55</v>
      </c>
      <c r="AG427" s="5012"/>
      <c r="AH427" s="323">
        <f>SUM(AH426:AH426)</f>
        <v>1498.0199999999998</v>
      </c>
      <c r="AI427" s="4965"/>
      <c r="AJ427" s="472">
        <f>SUM(AJ426:AJ426)</f>
        <v>16199.57</v>
      </c>
      <c r="AK427" s="5012"/>
      <c r="AL427" s="323">
        <f>SUM(AL426:AL426)</f>
        <v>0</v>
      </c>
      <c r="AM427" s="4963"/>
      <c r="AN427" s="883">
        <f>SUM(AN426:AN426)</f>
        <v>3495.2799999999997</v>
      </c>
      <c r="AO427" s="4965"/>
      <c r="AP427" s="472">
        <f>SUM(AP426:AP426)</f>
        <v>16199.57</v>
      </c>
      <c r="AQ427" s="5012"/>
      <c r="AR427" s="323">
        <f>SUM(AR426:AR426)</f>
        <v>1493.8999999999992</v>
      </c>
      <c r="AS427" s="4965"/>
      <c r="AT427" s="472">
        <f>SUM(AT426:AT426)</f>
        <v>17693.469999999998</v>
      </c>
      <c r="AU427" s="5012"/>
      <c r="AV427" s="323">
        <f>SUM(AV426:AV426)</f>
        <v>999.39000000000021</v>
      </c>
      <c r="AW427" s="4965"/>
      <c r="AX427" s="472">
        <f>SUM(AX426:AX426)</f>
        <v>18692.859999999997</v>
      </c>
      <c r="AY427" s="5012"/>
      <c r="AZ427" s="635">
        <f>SUM(AZ426:AZ426)</f>
        <v>1796.38</v>
      </c>
      <c r="BA427" s="4963"/>
      <c r="BB427" s="883">
        <f>SUM(BB426:BB426)</f>
        <v>4289.67</v>
      </c>
      <c r="BC427" s="4961">
        <f t="shared" si="544"/>
        <v>0</v>
      </c>
      <c r="BD427" s="1289">
        <f t="shared" si="545"/>
        <v>7784.95</v>
      </c>
      <c r="BE427" s="4965"/>
      <c r="BF427" s="472">
        <f>SUM(BF426:BF426)</f>
        <v>20489.239999999998</v>
      </c>
    </row>
    <row r="428" spans="2:81" s="647" customFormat="1" ht="19.5" thickBot="1" x14ac:dyDescent="0.35">
      <c r="B428" s="1309" t="s">
        <v>737</v>
      </c>
      <c r="C428" s="2207"/>
      <c r="D428" s="2208"/>
      <c r="E428" s="2209"/>
      <c r="F428" s="1309"/>
      <c r="G428" s="2209"/>
      <c r="H428" s="1309"/>
      <c r="I428" s="1309"/>
      <c r="J428" s="1309"/>
      <c r="K428" s="2209"/>
      <c r="L428" s="1309"/>
      <c r="M428" s="1309"/>
      <c r="N428" s="1309"/>
      <c r="O428" s="2209"/>
      <c r="P428" s="1309"/>
      <c r="Q428" s="1309"/>
      <c r="R428" s="1309"/>
      <c r="S428" s="2209"/>
      <c r="T428" s="1309"/>
      <c r="U428" s="1309"/>
      <c r="V428" s="1309"/>
      <c r="W428" s="2209"/>
      <c r="X428" s="1309"/>
      <c r="Y428" s="1309"/>
      <c r="Z428" s="1309"/>
      <c r="AA428" s="1309"/>
      <c r="AB428" s="1309"/>
      <c r="AC428" s="2209"/>
      <c r="AD428" s="1309"/>
      <c r="AE428" s="1309"/>
      <c r="AF428" s="1309"/>
      <c r="AG428" s="2209"/>
      <c r="AH428" s="1309"/>
      <c r="AI428" s="1309"/>
      <c r="AJ428" s="1309"/>
      <c r="AK428" s="2209"/>
      <c r="AL428" s="1309"/>
      <c r="AM428" s="1309"/>
      <c r="AN428" s="1309"/>
      <c r="AO428" s="3460"/>
      <c r="AP428" s="3460"/>
      <c r="AQ428" s="2209"/>
      <c r="AR428" s="1309"/>
      <c r="AS428" s="1309"/>
      <c r="AT428" s="1309"/>
      <c r="AU428" s="2209"/>
      <c r="AV428" s="1309"/>
      <c r="AW428" s="1309"/>
      <c r="AX428" s="1309"/>
      <c r="AY428" s="2209"/>
      <c r="AZ428" s="1309"/>
      <c r="BA428" s="1309"/>
      <c r="BB428" s="1309"/>
      <c r="BC428" s="1309"/>
      <c r="BD428" s="1309"/>
      <c r="BE428" s="1309"/>
      <c r="BF428" s="1309"/>
      <c r="BG428" s="1726"/>
      <c r="BH428" s="1726"/>
      <c r="BI428" s="1726"/>
      <c r="BJ428" s="1726"/>
      <c r="BK428" s="1726"/>
      <c r="BL428" s="1726"/>
      <c r="BM428" s="1726"/>
      <c r="BN428" s="1726"/>
      <c r="BO428" s="1726"/>
      <c r="BP428" s="1726"/>
      <c r="BQ428" s="1726"/>
      <c r="BR428" s="1726"/>
      <c r="BS428" s="1726"/>
      <c r="BT428" s="1726"/>
      <c r="BU428" s="1726"/>
      <c r="BV428" s="1726"/>
      <c r="BW428" s="1726"/>
      <c r="BX428" s="1726"/>
      <c r="BY428" s="1726"/>
      <c r="BZ428" s="1726"/>
      <c r="CA428" s="1726"/>
      <c r="CB428" s="1726"/>
      <c r="CC428" s="1726"/>
    </row>
    <row r="429" spans="2:81" ht="19.5" thickBot="1" x14ac:dyDescent="0.3">
      <c r="B429" s="2210" t="s">
        <v>163</v>
      </c>
      <c r="C429" s="2058" t="s">
        <v>53</v>
      </c>
      <c r="D429" s="2075">
        <v>2399.04</v>
      </c>
      <c r="E429" s="3921">
        <f>+'Maj Despatch Summ'!E27</f>
        <v>235</v>
      </c>
      <c r="F429" s="508">
        <v>3043.45</v>
      </c>
      <c r="G429" s="4196">
        <f>+'Maj Despatch Summ'!G27</f>
        <v>1411</v>
      </c>
      <c r="H429" s="508">
        <f>+'Maj Despatch Summ'!H27</f>
        <v>1483.44</v>
      </c>
      <c r="I429" s="3922">
        <f>+E429+G429</f>
        <v>1646</v>
      </c>
      <c r="J429" s="517">
        <f t="shared" ref="J429" si="566">+F429+H429</f>
        <v>4526.8899999999994</v>
      </c>
      <c r="K429" s="4196">
        <f>+'Maj Despatch Summ'!K27</f>
        <v>94</v>
      </c>
      <c r="L429" s="508">
        <v>4331.1699999999983</v>
      </c>
      <c r="M429" s="3940">
        <f>+I429+K429</f>
        <v>1740</v>
      </c>
      <c r="N429" s="611">
        <f t="shared" ref="N429" si="567">+J429+L429</f>
        <v>8858.0599999999977</v>
      </c>
      <c r="O429" s="4196">
        <f>+'Maj Despatch Summ'!O27</f>
        <v>94.08</v>
      </c>
      <c r="P429" s="508">
        <v>3852.52</v>
      </c>
      <c r="Q429" s="3922">
        <f>+M429+O429</f>
        <v>1834.08</v>
      </c>
      <c r="R429" s="517">
        <f t="shared" ref="R429" si="568">+N429+P429</f>
        <v>12710.579999999998</v>
      </c>
      <c r="S429" s="4196">
        <f>+'Maj Despatch Summ'!S27</f>
        <v>70.56</v>
      </c>
      <c r="T429" s="508">
        <v>2314.79</v>
      </c>
      <c r="U429" s="3922">
        <f>+Q429+S429</f>
        <v>1904.6399999999999</v>
      </c>
      <c r="V429" s="517">
        <f t="shared" ref="V429" si="569">+R429+T429</f>
        <v>15025.369999999999</v>
      </c>
      <c r="W429" s="4196">
        <f>+'Maj Despatch Summ'!W27</f>
        <v>70.56</v>
      </c>
      <c r="X429" s="610">
        <v>996.19000000000017</v>
      </c>
      <c r="Y429" s="3940">
        <f>O429+S429+W429</f>
        <v>235.2</v>
      </c>
      <c r="Z429" s="611">
        <f>P429+T429+X429</f>
        <v>7163.5</v>
      </c>
      <c r="AA429" s="3948">
        <f>+U429+W429</f>
        <v>1975.1999999999998</v>
      </c>
      <c r="AB429" s="1287">
        <f t="shared" ref="AB429" si="570">+V429+X429</f>
        <v>16021.56</v>
      </c>
      <c r="AC429" s="4196">
        <f>+'Maj Despatch Summ'!AC27</f>
        <v>70.56</v>
      </c>
      <c r="AD429" s="508">
        <v>405.24</v>
      </c>
      <c r="AE429" s="3922">
        <f>+AA429+AC429</f>
        <v>2045.7599999999998</v>
      </c>
      <c r="AF429" s="517">
        <f t="shared" ref="AF429" si="571">+AB429+AD429</f>
        <v>16426.8</v>
      </c>
      <c r="AG429" s="4196">
        <f>+'Maj Despatch Summ'!AG27</f>
        <v>70.56</v>
      </c>
      <c r="AH429" s="508">
        <v>441.81</v>
      </c>
      <c r="AI429" s="3922">
        <f>+AE429+AG429</f>
        <v>2116.3199999999997</v>
      </c>
      <c r="AJ429" s="517">
        <f t="shared" ref="AJ429" si="572">+AF429+AH429</f>
        <v>16868.61</v>
      </c>
      <c r="AK429" s="4196">
        <f>+'Maj Despatch Summ'!AK27</f>
        <v>70.56</v>
      </c>
      <c r="AL429" s="508">
        <v>0</v>
      </c>
      <c r="AM429" s="3940">
        <f>AC429+AG429+AK429</f>
        <v>211.68</v>
      </c>
      <c r="AN429" s="611">
        <f>AD429+AH429+AL429</f>
        <v>847.05</v>
      </c>
      <c r="AO429" s="3922">
        <f>+AI429+AK429</f>
        <v>2186.8799999999997</v>
      </c>
      <c r="AP429" s="517">
        <f t="shared" ref="AP429" si="573">+AJ429+AL429</f>
        <v>16868.61</v>
      </c>
      <c r="AQ429" s="4196">
        <f>+'Maj Despatch Summ'!AQ27</f>
        <v>70.56</v>
      </c>
      <c r="AR429" s="508">
        <v>0</v>
      </c>
      <c r="AS429" s="3922">
        <f>+AO429+AQ429</f>
        <v>2257.4399999999996</v>
      </c>
      <c r="AT429" s="517">
        <f t="shared" ref="AT429" si="574">+AP429+AR429</f>
        <v>16868.61</v>
      </c>
      <c r="AU429" s="4196">
        <f>+'Maj Despatch Summ'!AU27</f>
        <v>70.56</v>
      </c>
      <c r="AV429" s="508">
        <v>0</v>
      </c>
      <c r="AW429" s="3999">
        <f>+AS429+AU429</f>
        <v>2327.9999999999995</v>
      </c>
      <c r="AX429" s="517">
        <f t="shared" ref="AX429" si="575">+AT429+AV429</f>
        <v>16868.61</v>
      </c>
      <c r="AY429" s="4196">
        <f>+'Maj Despatch Summ'!AY27</f>
        <v>70.56</v>
      </c>
      <c r="AZ429" s="610">
        <v>737.45</v>
      </c>
      <c r="BA429" s="4137">
        <f>AQ429+AU429+AY429</f>
        <v>211.68</v>
      </c>
      <c r="BB429" s="611">
        <f>AR429+AV429+AZ429</f>
        <v>737.45</v>
      </c>
      <c r="BC429" s="4144">
        <f t="shared" si="544"/>
        <v>423.36</v>
      </c>
      <c r="BD429" s="1287">
        <f t="shared" si="545"/>
        <v>1584.5</v>
      </c>
      <c r="BE429" s="4130">
        <f>+AW429+AY429</f>
        <v>2398.5599999999995</v>
      </c>
      <c r="BF429" s="517">
        <f t="shared" ref="BF429" si="576">+AX429+AZ429</f>
        <v>17606.060000000001</v>
      </c>
    </row>
    <row r="430" spans="2:81" ht="38.25" thickBot="1" x14ac:dyDescent="0.3">
      <c r="B430" s="429" t="s">
        <v>132</v>
      </c>
      <c r="C430" s="113" t="s">
        <v>53</v>
      </c>
      <c r="D430" s="2075">
        <f>+D427+D429</f>
        <v>36934.274215885947</v>
      </c>
      <c r="E430" s="2004">
        <f>+E426+E429</f>
        <v>2170</v>
      </c>
      <c r="F430" s="2069">
        <f t="shared" ref="F430:BF430" si="577">+F426+F429</f>
        <v>5891.82</v>
      </c>
      <c r="G430" s="2004">
        <f>+G426+G429</f>
        <v>13020</v>
      </c>
      <c r="H430" s="2069">
        <f t="shared" si="577"/>
        <v>6205.2100000000009</v>
      </c>
      <c r="I430" s="2069">
        <f t="shared" si="577"/>
        <v>15190</v>
      </c>
      <c r="J430" s="2069">
        <f t="shared" si="577"/>
        <v>12097.029999999999</v>
      </c>
      <c r="K430" s="2004">
        <f>+K426+K429</f>
        <v>868</v>
      </c>
      <c r="L430" s="2069">
        <f t="shared" si="577"/>
        <v>5369.5299999999988</v>
      </c>
      <c r="M430" s="2069">
        <f t="shared" si="577"/>
        <v>16058</v>
      </c>
      <c r="N430" s="2069">
        <f t="shared" si="577"/>
        <v>17466.559999999998</v>
      </c>
      <c r="O430" s="2004">
        <f>+O426+O429</f>
        <v>868.01075356415481</v>
      </c>
      <c r="P430" s="2069">
        <f t="shared" si="577"/>
        <v>4913.26</v>
      </c>
      <c r="Q430" s="2069">
        <f t="shared" si="577"/>
        <v>16926.010753564155</v>
      </c>
      <c r="R430" s="2069">
        <f t="shared" si="577"/>
        <v>22379.82</v>
      </c>
      <c r="S430" s="2004">
        <f>+S426+S429</f>
        <v>651.00806517311617</v>
      </c>
      <c r="T430" s="2069">
        <f t="shared" ref="T430:V430" si="578">+T426+T429</f>
        <v>3312.69</v>
      </c>
      <c r="U430" s="2069">
        <f t="shared" si="578"/>
        <v>17577.01881873727</v>
      </c>
      <c r="V430" s="2069">
        <f t="shared" si="578"/>
        <v>25692.51</v>
      </c>
      <c r="W430" s="2004">
        <f>+W426+W429</f>
        <v>651.00806517311617</v>
      </c>
      <c r="X430" s="2069">
        <f t="shared" ref="X430" si="579">+X426+X429</f>
        <v>3033.34</v>
      </c>
      <c r="Y430" s="2069">
        <f t="shared" si="577"/>
        <v>2170.0268839103869</v>
      </c>
      <c r="Z430" s="2069">
        <f t="shared" si="577"/>
        <v>11259.29</v>
      </c>
      <c r="AA430" s="2069">
        <f t="shared" si="577"/>
        <v>18228.026883910385</v>
      </c>
      <c r="AB430" s="2069">
        <f t="shared" si="577"/>
        <v>28725.85</v>
      </c>
      <c r="AC430" s="2004">
        <f>+AC426+AC429</f>
        <v>651.00806517311617</v>
      </c>
      <c r="AD430" s="2069">
        <f t="shared" si="577"/>
        <v>2402.5</v>
      </c>
      <c r="AE430" s="2069">
        <f t="shared" si="577"/>
        <v>18879.0349490835</v>
      </c>
      <c r="AF430" s="2069">
        <f t="shared" si="577"/>
        <v>31128.35</v>
      </c>
      <c r="AG430" s="2004">
        <f>+AG426+AG429</f>
        <v>651.00806517311617</v>
      </c>
      <c r="AH430" s="2069">
        <f t="shared" ref="AH430:AJ430" si="580">+AH426+AH429</f>
        <v>1939.8299999999997</v>
      </c>
      <c r="AI430" s="2069">
        <f t="shared" si="580"/>
        <v>19530.043014256618</v>
      </c>
      <c r="AJ430" s="2069">
        <f t="shared" si="580"/>
        <v>33068.18</v>
      </c>
      <c r="AK430" s="2004">
        <f>+AK426+AK429</f>
        <v>651.00806517311617</v>
      </c>
      <c r="AL430" s="2069">
        <f t="shared" ref="AL430" si="581">+AL426+AL429</f>
        <v>0</v>
      </c>
      <c r="AM430" s="2069">
        <f t="shared" si="577"/>
        <v>1953.0241955193485</v>
      </c>
      <c r="AN430" s="2069">
        <f t="shared" si="577"/>
        <v>4342.33</v>
      </c>
      <c r="AO430" s="1577">
        <f t="shared" ref="AO430:AR430" si="582">+AO426+AO429</f>
        <v>20181.051079429737</v>
      </c>
      <c r="AP430" s="1577">
        <f t="shared" si="582"/>
        <v>33068.18</v>
      </c>
      <c r="AQ430" s="2004">
        <f>+AQ426+AQ429</f>
        <v>651.00806517311617</v>
      </c>
      <c r="AR430" s="2069">
        <f t="shared" si="582"/>
        <v>1493.8999999999992</v>
      </c>
      <c r="AS430" s="2069">
        <f t="shared" si="577"/>
        <v>20832.059144602852</v>
      </c>
      <c r="AT430" s="2069">
        <f t="shared" si="577"/>
        <v>34562.080000000002</v>
      </c>
      <c r="AU430" s="2004">
        <f>+AU426+AU429</f>
        <v>651.00806517311617</v>
      </c>
      <c r="AV430" s="2069">
        <f t="shared" si="577"/>
        <v>999.39000000000021</v>
      </c>
      <c r="AW430" s="2069">
        <f t="shared" ref="AW430:BB430" si="583">+AW426+AW429</f>
        <v>21483.067209775971</v>
      </c>
      <c r="AX430" s="2069">
        <f t="shared" si="583"/>
        <v>35561.47</v>
      </c>
      <c r="AY430" s="2004">
        <f>+AY426+AY429</f>
        <v>651.00806517311617</v>
      </c>
      <c r="AZ430" s="1620">
        <f t="shared" si="583"/>
        <v>2533.83</v>
      </c>
      <c r="BA430" s="2069">
        <f t="shared" si="583"/>
        <v>1953.0241955193485</v>
      </c>
      <c r="BB430" s="2069">
        <f t="shared" si="583"/>
        <v>5027.12</v>
      </c>
      <c r="BC430" s="2069">
        <f t="shared" si="577"/>
        <v>3906.048391038697</v>
      </c>
      <c r="BD430" s="2069">
        <f t="shared" si="577"/>
        <v>9369.4500000000007</v>
      </c>
      <c r="BE430" s="2069">
        <f t="shared" si="577"/>
        <v>22134.075274949086</v>
      </c>
      <c r="BF430" s="2069">
        <f t="shared" si="577"/>
        <v>38095.300000000003</v>
      </c>
    </row>
    <row r="431" spans="2:81" s="334" customFormat="1" ht="18.75" hidden="1" customHeight="1" x14ac:dyDescent="0.3">
      <c r="B431" s="1297"/>
      <c r="C431" s="1297"/>
      <c r="D431" s="1807"/>
      <c r="E431" s="614"/>
      <c r="F431" s="665"/>
      <c r="G431" s="614"/>
      <c r="H431" s="665"/>
      <c r="I431" s="614"/>
      <c r="J431" s="894"/>
      <c r="K431" s="614"/>
      <c r="L431" s="1298"/>
      <c r="M431" s="614"/>
      <c r="N431" s="614"/>
      <c r="O431" s="614"/>
      <c r="P431" s="1298"/>
      <c r="Q431" s="614"/>
      <c r="R431" s="614"/>
      <c r="S431" s="614"/>
      <c r="T431" s="1298"/>
      <c r="U431" s="614"/>
      <c r="V431" s="614"/>
      <c r="W431" s="614"/>
      <c r="X431" s="1298"/>
      <c r="Y431" s="477"/>
      <c r="AA431" s="477"/>
      <c r="AC431" s="477"/>
      <c r="AE431" s="477"/>
      <c r="AG431" s="477"/>
      <c r="AI431" s="477"/>
      <c r="AO431" s="3461"/>
      <c r="AP431" s="1741"/>
      <c r="AS431" s="477"/>
      <c r="AW431" s="477"/>
      <c r="BC431" s="477"/>
      <c r="BE431" s="477"/>
      <c r="BG431" s="1726"/>
      <c r="BH431" s="1726"/>
      <c r="BI431" s="1726"/>
      <c r="BJ431" s="1726"/>
      <c r="BK431" s="1726"/>
      <c r="BL431" s="1726"/>
      <c r="BM431" s="1726"/>
      <c r="BN431" s="1726"/>
      <c r="BO431" s="1726"/>
      <c r="BP431" s="1726"/>
      <c r="BQ431" s="1726"/>
      <c r="BR431" s="1726"/>
      <c r="BS431" s="1726"/>
      <c r="BT431" s="1726"/>
      <c r="BU431" s="1726"/>
      <c r="BV431" s="1726"/>
      <c r="BW431" s="1726"/>
      <c r="BX431" s="1726"/>
      <c r="BY431" s="1726"/>
      <c r="BZ431" s="1726"/>
      <c r="CA431" s="1726"/>
      <c r="CB431" s="1726"/>
      <c r="CC431" s="1726"/>
    </row>
    <row r="432" spans="2:81" s="334" customFormat="1" ht="15" hidden="1" customHeight="1" x14ac:dyDescent="0.25">
      <c r="D432" s="1804"/>
      <c r="E432" s="477"/>
      <c r="F432" s="343"/>
      <c r="G432" s="477"/>
      <c r="H432" s="343"/>
      <c r="I432" s="477"/>
      <c r="J432" s="343"/>
      <c r="K432" s="477"/>
      <c r="M432" s="477"/>
      <c r="O432" s="477"/>
      <c r="Q432" s="477"/>
      <c r="S432" s="477"/>
      <c r="U432" s="477"/>
      <c r="W432" s="477"/>
      <c r="Y432" s="477"/>
      <c r="AA432" s="477"/>
      <c r="AC432" s="477"/>
      <c r="AE432" s="477"/>
      <c r="AG432" s="477"/>
      <c r="AI432" s="477"/>
      <c r="AO432" s="3461"/>
      <c r="AP432" s="1741"/>
      <c r="AS432" s="477"/>
      <c r="AW432" s="477"/>
      <c r="BC432" s="477"/>
      <c r="BE432" s="477"/>
      <c r="BG432" s="1726"/>
      <c r="BH432" s="1726"/>
      <c r="BI432" s="1726"/>
      <c r="BJ432" s="1726"/>
      <c r="BK432" s="1726"/>
      <c r="BL432" s="1726"/>
      <c r="BM432" s="1726"/>
      <c r="BN432" s="1726"/>
      <c r="BO432" s="1726"/>
      <c r="BP432" s="1726"/>
      <c r="BQ432" s="1726"/>
      <c r="BR432" s="1726"/>
      <c r="BS432" s="1726"/>
      <c r="BT432" s="1726"/>
      <c r="BU432" s="1726"/>
      <c r="BV432" s="1726"/>
      <c r="BW432" s="1726"/>
      <c r="BX432" s="1726"/>
      <c r="BY432" s="1726"/>
      <c r="BZ432" s="1726"/>
      <c r="CA432" s="1726"/>
      <c r="CB432" s="1726"/>
      <c r="CC432" s="1726"/>
    </row>
    <row r="433" spans="1:81" s="334" customFormat="1" ht="15" hidden="1" customHeight="1" x14ac:dyDescent="0.25">
      <c r="B433" s="334" t="s">
        <v>1697</v>
      </c>
      <c r="D433" s="1804"/>
      <c r="E433" s="2020">
        <f t="shared" ref="E433:AJ433" si="584">+E415-E31</f>
        <v>0</v>
      </c>
      <c r="F433" s="2020">
        <f t="shared" si="584"/>
        <v>0</v>
      </c>
      <c r="G433" s="2020">
        <f t="shared" si="584"/>
        <v>0</v>
      </c>
      <c r="H433" s="2020">
        <f t="shared" si="584"/>
        <v>0</v>
      </c>
      <c r="I433" s="2020">
        <f t="shared" si="584"/>
        <v>0</v>
      </c>
      <c r="J433" s="2020">
        <f t="shared" si="584"/>
        <v>0</v>
      </c>
      <c r="K433" s="2020">
        <f t="shared" si="584"/>
        <v>0</v>
      </c>
      <c r="L433" s="2020">
        <f t="shared" si="584"/>
        <v>0</v>
      </c>
      <c r="M433" s="2020">
        <f t="shared" si="584"/>
        <v>0</v>
      </c>
      <c r="N433" s="2020">
        <f t="shared" si="584"/>
        <v>0</v>
      </c>
      <c r="O433" s="2020">
        <f t="shared" si="584"/>
        <v>0</v>
      </c>
      <c r="P433" s="2020">
        <f t="shared" si="584"/>
        <v>0</v>
      </c>
      <c r="Q433" s="2020">
        <f t="shared" si="584"/>
        <v>0</v>
      </c>
      <c r="R433" s="2020">
        <f t="shared" si="584"/>
        <v>0</v>
      </c>
      <c r="S433" s="2020">
        <f t="shared" si="584"/>
        <v>0</v>
      </c>
      <c r="T433" s="2020">
        <f t="shared" si="584"/>
        <v>0</v>
      </c>
      <c r="U433" s="2020">
        <f t="shared" si="584"/>
        <v>0</v>
      </c>
      <c r="V433" s="2020">
        <f t="shared" si="584"/>
        <v>0</v>
      </c>
      <c r="W433" s="2020">
        <f t="shared" si="584"/>
        <v>0</v>
      </c>
      <c r="X433" s="2020">
        <f t="shared" si="584"/>
        <v>8.0000000045401976E-2</v>
      </c>
      <c r="Y433" s="2020">
        <f t="shared" si="584"/>
        <v>0</v>
      </c>
      <c r="Z433" s="2020">
        <f t="shared" si="584"/>
        <v>8.0000000016298145E-2</v>
      </c>
      <c r="AA433" s="2020">
        <f t="shared" si="584"/>
        <v>0</v>
      </c>
      <c r="AB433" s="2020">
        <f t="shared" si="584"/>
        <v>8.0000000016298145E-2</v>
      </c>
      <c r="AC433" s="2020">
        <f t="shared" si="584"/>
        <v>0</v>
      </c>
      <c r="AD433" s="2020">
        <f t="shared" si="584"/>
        <v>0</v>
      </c>
      <c r="AE433" s="2020">
        <f t="shared" si="584"/>
        <v>0</v>
      </c>
      <c r="AF433" s="2020">
        <f t="shared" si="584"/>
        <v>8.0000000074505806E-2</v>
      </c>
      <c r="AG433" s="2020">
        <f t="shared" si="584"/>
        <v>0</v>
      </c>
      <c r="AH433" s="2020">
        <f t="shared" si="584"/>
        <v>0.48000000001047738</v>
      </c>
      <c r="AI433" s="2020">
        <f t="shared" si="584"/>
        <v>0</v>
      </c>
      <c r="AJ433" s="2020">
        <f t="shared" si="584"/>
        <v>0.56000000017229468</v>
      </c>
      <c r="AK433" s="2020">
        <f t="shared" ref="AK433:BF433" si="585">+AK415-AK31</f>
        <v>0</v>
      </c>
      <c r="AL433" s="2020">
        <f t="shared" si="585"/>
        <v>0</v>
      </c>
      <c r="AM433" s="2020">
        <f t="shared" si="585"/>
        <v>0</v>
      </c>
      <c r="AN433" s="2020">
        <f t="shared" si="585"/>
        <v>0.48000000006868504</v>
      </c>
      <c r="AO433" s="3462">
        <f t="shared" si="585"/>
        <v>0</v>
      </c>
      <c r="AP433" s="3462">
        <f t="shared" si="585"/>
        <v>0.55999999982304871</v>
      </c>
      <c r="AQ433" s="2020">
        <f t="shared" si="585"/>
        <v>0</v>
      </c>
      <c r="AR433" s="2020">
        <f t="shared" si="585"/>
        <v>0</v>
      </c>
      <c r="AS433" s="3462">
        <f t="shared" si="585"/>
        <v>0</v>
      </c>
      <c r="AT433" s="3462">
        <f t="shared" si="585"/>
        <v>0.56000000005587935</v>
      </c>
      <c r="AU433" s="2020">
        <f t="shared" si="585"/>
        <v>0</v>
      </c>
      <c r="AV433" s="2020">
        <f t="shared" si="585"/>
        <v>0</v>
      </c>
      <c r="AW433" s="3462">
        <f t="shared" si="585"/>
        <v>0</v>
      </c>
      <c r="AX433" s="3462">
        <f t="shared" si="585"/>
        <v>0.56000000017229468</v>
      </c>
      <c r="AY433" s="2020">
        <f t="shared" si="585"/>
        <v>0</v>
      </c>
      <c r="AZ433" s="2020">
        <f t="shared" si="585"/>
        <v>2.0000000018626451E-2</v>
      </c>
      <c r="BA433" s="2020">
        <f t="shared" si="585"/>
        <v>0</v>
      </c>
      <c r="BB433" s="2020">
        <f t="shared" si="585"/>
        <v>2.0000000018626451E-2</v>
      </c>
      <c r="BC433" s="2020">
        <f t="shared" si="585"/>
        <v>0</v>
      </c>
      <c r="BD433" s="2020">
        <f t="shared" si="585"/>
        <v>0.50000000005820766</v>
      </c>
      <c r="BE433" s="3462">
        <f t="shared" si="585"/>
        <v>0</v>
      </c>
      <c r="BF433" s="3462">
        <f t="shared" si="585"/>
        <v>0.57999999995809048</v>
      </c>
      <c r="BG433" s="2020"/>
      <c r="BH433" s="2020"/>
      <c r="BI433" s="2020"/>
      <c r="BJ433" s="2020"/>
      <c r="BK433" s="2020"/>
      <c r="BL433" s="2020"/>
      <c r="BM433" s="2020"/>
      <c r="BN433" s="1726"/>
      <c r="BO433" s="1726"/>
      <c r="BP433" s="1726"/>
      <c r="BQ433" s="1726"/>
      <c r="BR433" s="1726"/>
      <c r="BS433" s="1726"/>
      <c r="BT433" s="1726"/>
      <c r="BU433" s="1726"/>
      <c r="BV433" s="1726"/>
      <c r="BW433" s="1726"/>
      <c r="BX433" s="1726"/>
      <c r="BY433" s="1726"/>
      <c r="BZ433" s="1726"/>
      <c r="CA433" s="1726"/>
      <c r="CB433" s="1726"/>
      <c r="CC433" s="1726"/>
    </row>
    <row r="434" spans="1:81" s="334" customFormat="1" ht="15" hidden="1" customHeight="1" x14ac:dyDescent="0.25">
      <c r="D434" s="1804"/>
      <c r="E434" s="2020">
        <f>+E415-E60</f>
        <v>0</v>
      </c>
      <c r="F434" s="2020">
        <f>+F415-F62</f>
        <v>0</v>
      </c>
      <c r="G434" s="2020">
        <f>+G415-G60</f>
        <v>0</v>
      </c>
      <c r="H434" s="2020">
        <f>+H415-H62</f>
        <v>0</v>
      </c>
      <c r="I434" s="2020">
        <f>+I415-I60</f>
        <v>0</v>
      </c>
      <c r="J434" s="2020">
        <f>+J415-J62</f>
        <v>0</v>
      </c>
      <c r="K434" s="2020">
        <f>+K415-K60</f>
        <v>0</v>
      </c>
      <c r="L434" s="2020">
        <f>+L415-L62</f>
        <v>-0.13000000000465661</v>
      </c>
      <c r="M434" s="2020">
        <f>+M415-M60</f>
        <v>0</v>
      </c>
      <c r="N434" s="2020">
        <f>+N415-N62</f>
        <v>-0.13000000000465661</v>
      </c>
      <c r="O434" s="2020">
        <f>+O415-O60</f>
        <v>0</v>
      </c>
      <c r="P434" s="2020">
        <f>+P415-P62</f>
        <v>0</v>
      </c>
      <c r="Q434" s="2020">
        <f>+Q415-Q60</f>
        <v>0</v>
      </c>
      <c r="R434" s="2020">
        <f>+R415-R62</f>
        <v>-0.13000000003376044</v>
      </c>
      <c r="S434" s="2020">
        <f>+S415-S60</f>
        <v>0</v>
      </c>
      <c r="T434" s="2020">
        <f>+T415-T62</f>
        <v>0</v>
      </c>
      <c r="U434" s="2020">
        <f>+U415-U60</f>
        <v>0</v>
      </c>
      <c r="V434" s="2020">
        <f>+V415-V62</f>
        <v>-0.13000000000465661</v>
      </c>
      <c r="W434" s="2020">
        <f>+W415-W60</f>
        <v>0</v>
      </c>
      <c r="X434" s="2020">
        <f>+X415-X62</f>
        <v>8.0000000016298145E-2</v>
      </c>
      <c r="Y434" s="2020">
        <f>+Y415-Y60</f>
        <v>0</v>
      </c>
      <c r="Z434" s="2020">
        <f>+Z415-Z62</f>
        <v>7.9999999987194315E-2</v>
      </c>
      <c r="AA434" s="2020">
        <f>+AA415-AA60</f>
        <v>0</v>
      </c>
      <c r="AB434" s="2020">
        <f>+AB415-AB62</f>
        <v>-4.9999999988358468E-2</v>
      </c>
      <c r="AC434" s="2020">
        <f>+AC415-AC60</f>
        <v>0</v>
      </c>
      <c r="AD434" s="2020">
        <f>+AD415-AD62</f>
        <v>0</v>
      </c>
      <c r="AE434" s="2020">
        <f>+AE415-AE60</f>
        <v>0</v>
      </c>
      <c r="AF434" s="2020">
        <f>+AF415-AF62</f>
        <v>-4.9999999930150807E-2</v>
      </c>
      <c r="AG434" s="2020">
        <f>+AG415-AG60</f>
        <v>0</v>
      </c>
      <c r="AH434" s="2020">
        <f>+AH415-AH62</f>
        <v>0</v>
      </c>
      <c r="AI434" s="2020">
        <f>+AI415-AI60</f>
        <v>0</v>
      </c>
      <c r="AJ434" s="2020">
        <f>+AJ415-AJ62</f>
        <v>-4.9999999813735485E-2</v>
      </c>
      <c r="AK434" s="2020">
        <f>+AK415-AK60</f>
        <v>0</v>
      </c>
      <c r="AL434" s="2020">
        <f>+AL415-AL62</f>
        <v>0</v>
      </c>
      <c r="AM434" s="2020">
        <f>+AM415-AM60</f>
        <v>0</v>
      </c>
      <c r="AN434" s="2020">
        <f>+AN415-AN62</f>
        <v>0</v>
      </c>
      <c r="AO434" s="3462">
        <f>+AO415-AO60</f>
        <v>0</v>
      </c>
      <c r="AP434" s="3462">
        <f>+AP415-AP62</f>
        <v>-5.0000000046566129E-2</v>
      </c>
      <c r="AQ434" s="2020">
        <f>+AQ415-AQ60</f>
        <v>0</v>
      </c>
      <c r="AR434" s="2020">
        <f>+AR415-AR62</f>
        <v>0</v>
      </c>
      <c r="AS434" s="3462">
        <f>+AS415-AS60</f>
        <v>0</v>
      </c>
      <c r="AT434" s="3462">
        <f>+AT415-AT62</f>
        <v>-4.9999999930150807E-2</v>
      </c>
      <c r="AU434" s="2020">
        <f>+AU415-AU60</f>
        <v>0</v>
      </c>
      <c r="AV434" s="2020">
        <f>+AV415-AV62</f>
        <v>0</v>
      </c>
      <c r="AW434" s="3462">
        <f>+AW415-AW60</f>
        <v>0</v>
      </c>
      <c r="AX434" s="3462">
        <f>+AX415-AX62</f>
        <v>-4.9999999930150807E-2</v>
      </c>
      <c r="AY434" s="2020">
        <f>+AY415-AY60</f>
        <v>0</v>
      </c>
      <c r="AZ434" s="2020">
        <f>+AZ415-AZ62</f>
        <v>2.0000000004074536E-2</v>
      </c>
      <c r="BA434" s="2020">
        <f>+BA415-BA60</f>
        <v>0</v>
      </c>
      <c r="BB434" s="2020">
        <f>+BB415-BB62</f>
        <v>2.0000000018626451E-2</v>
      </c>
      <c r="BC434" s="2020">
        <f>+BC415-BC60</f>
        <v>0</v>
      </c>
      <c r="BD434" s="2020">
        <f>+BD415-BD62</f>
        <v>2.0000000076834112E-2</v>
      </c>
      <c r="BE434" s="3462">
        <f>+BE415-BE60</f>
        <v>0</v>
      </c>
      <c r="BF434" s="3462">
        <f>+BF415-BF62</f>
        <v>-3.0000000144354999E-2</v>
      </c>
      <c r="BG434" s="2020"/>
      <c r="BH434" s="2020"/>
      <c r="BI434" s="2020"/>
      <c r="BJ434" s="2020"/>
      <c r="BK434" s="2020"/>
      <c r="BL434" s="2020"/>
      <c r="BM434" s="2020"/>
      <c r="BN434" s="1726"/>
      <c r="BO434" s="1726"/>
      <c r="BP434" s="1726"/>
      <c r="BQ434" s="1726"/>
      <c r="BR434" s="1726"/>
      <c r="BS434" s="1726"/>
      <c r="BT434" s="1726"/>
      <c r="BU434" s="1726"/>
      <c r="BV434" s="1726"/>
      <c r="BW434" s="1726"/>
      <c r="BX434" s="1726"/>
      <c r="BY434" s="1726"/>
      <c r="BZ434" s="1726"/>
      <c r="CA434" s="1726"/>
      <c r="CB434" s="1726"/>
      <c r="CC434" s="1726"/>
    </row>
    <row r="435" spans="1:81" s="334" customFormat="1" ht="15" hidden="1" customHeight="1" x14ac:dyDescent="0.25">
      <c r="D435" s="1804"/>
      <c r="E435" s="477"/>
      <c r="F435" s="343"/>
      <c r="G435" s="477"/>
      <c r="H435" s="343"/>
      <c r="I435" s="477"/>
      <c r="J435" s="343"/>
      <c r="K435" s="477"/>
      <c r="M435" s="477"/>
      <c r="O435" s="477"/>
      <c r="Q435" s="477"/>
      <c r="S435" s="477"/>
      <c r="U435" s="477"/>
      <c r="W435" s="477"/>
      <c r="Y435" s="477"/>
      <c r="AA435" s="477"/>
      <c r="AC435" s="477"/>
      <c r="AE435" s="477"/>
      <c r="AG435" s="477"/>
      <c r="AI435" s="477"/>
      <c r="AO435" s="3461"/>
      <c r="AP435" s="1741"/>
      <c r="AS435" s="3461"/>
      <c r="AT435" s="1741"/>
      <c r="AW435" s="3461"/>
      <c r="AX435" s="1741"/>
      <c r="BC435" s="477"/>
      <c r="BE435" s="3461"/>
      <c r="BF435" s="1741"/>
      <c r="BG435" s="1726"/>
      <c r="BH435" s="1726"/>
      <c r="BI435" s="1726"/>
      <c r="BJ435" s="1726"/>
      <c r="BK435" s="1726"/>
      <c r="BL435" s="1726"/>
      <c r="BM435" s="1726"/>
      <c r="BN435" s="1726"/>
      <c r="BO435" s="1726"/>
      <c r="BP435" s="1726"/>
      <c r="BQ435" s="1726"/>
      <c r="BR435" s="1726"/>
      <c r="BS435" s="1726"/>
      <c r="BT435" s="1726"/>
      <c r="BU435" s="1726"/>
      <c r="BV435" s="1726"/>
      <c r="BW435" s="1726"/>
      <c r="BX435" s="1726"/>
      <c r="BY435" s="1726"/>
      <c r="BZ435" s="1726"/>
      <c r="CA435" s="1726"/>
      <c r="CB435" s="1726"/>
      <c r="CC435" s="1726"/>
    </row>
    <row r="436" spans="1:81" s="334" customFormat="1" ht="15" hidden="1" customHeight="1" x14ac:dyDescent="0.25">
      <c r="D436" s="1804"/>
      <c r="E436" s="3463">
        <f>+E176-E48</f>
        <v>0</v>
      </c>
      <c r="F436" s="2020">
        <f>+F176-F50</f>
        <v>0</v>
      </c>
      <c r="G436" s="3463">
        <f>+G176-G48</f>
        <v>0</v>
      </c>
      <c r="H436" s="2020">
        <f>+H176-H50</f>
        <v>0</v>
      </c>
      <c r="I436" s="477"/>
      <c r="J436" s="343"/>
      <c r="K436" s="477"/>
      <c r="M436" s="477"/>
      <c r="O436" s="477"/>
      <c r="Q436" s="477"/>
      <c r="S436" s="477"/>
      <c r="U436" s="477"/>
      <c r="W436" s="477"/>
      <c r="Y436" s="477"/>
      <c r="AA436" s="477"/>
      <c r="AC436" s="477"/>
      <c r="AE436" s="477"/>
      <c r="AG436" s="477"/>
      <c r="AI436" s="477"/>
      <c r="AO436" s="3461"/>
      <c r="AP436" s="1741"/>
      <c r="AS436" s="3461"/>
      <c r="AT436" s="1741"/>
      <c r="AW436" s="3461"/>
      <c r="AX436" s="1741"/>
      <c r="BC436" s="477"/>
      <c r="BE436" s="3461"/>
      <c r="BF436" s="1741"/>
      <c r="BG436" s="1726"/>
      <c r="BH436" s="1726"/>
      <c r="BI436" s="1726"/>
      <c r="BJ436" s="1726"/>
      <c r="BK436" s="1726"/>
      <c r="BL436" s="1726"/>
      <c r="BM436" s="1726"/>
      <c r="BN436" s="1726"/>
      <c r="BO436" s="1726"/>
      <c r="BP436" s="1726"/>
      <c r="BQ436" s="1726"/>
      <c r="BR436" s="1726"/>
      <c r="BS436" s="1726"/>
      <c r="BT436" s="1726"/>
      <c r="BU436" s="1726"/>
      <c r="BV436" s="1726"/>
      <c r="BW436" s="1726"/>
      <c r="BX436" s="1726"/>
      <c r="BY436" s="1726"/>
      <c r="BZ436" s="1726"/>
      <c r="CA436" s="1726"/>
      <c r="CB436" s="1726"/>
      <c r="CC436" s="1726"/>
    </row>
    <row r="437" spans="1:81" s="334" customFormat="1" ht="15" hidden="1" customHeight="1" x14ac:dyDescent="0.25">
      <c r="D437" s="1804"/>
      <c r="E437" s="3463">
        <f>+E176-E11</f>
        <v>0</v>
      </c>
      <c r="F437" s="2020">
        <f>+F176-F11</f>
        <v>0</v>
      </c>
      <c r="G437" s="3463">
        <f>+G176-G11</f>
        <v>0</v>
      </c>
      <c r="H437" s="2020">
        <f>+H176-H11</f>
        <v>0</v>
      </c>
      <c r="I437" s="477"/>
      <c r="J437" s="343"/>
      <c r="K437" s="477"/>
      <c r="M437" s="477"/>
      <c r="O437" s="477"/>
      <c r="Q437" s="477"/>
      <c r="S437" s="477"/>
      <c r="U437" s="477"/>
      <c r="W437" s="477"/>
      <c r="Y437" s="477"/>
      <c r="AA437" s="477"/>
      <c r="AC437" s="477"/>
      <c r="AE437" s="477"/>
      <c r="AG437" s="477"/>
      <c r="AI437" s="477"/>
      <c r="AO437" s="3461"/>
      <c r="AP437" s="1741"/>
      <c r="AS437" s="3461"/>
      <c r="AT437" s="1741"/>
      <c r="AW437" s="3461"/>
      <c r="AX437" s="1741"/>
      <c r="BC437" s="477"/>
      <c r="BE437" s="3461"/>
      <c r="BF437" s="1741"/>
      <c r="BG437" s="4221"/>
      <c r="BH437" s="4221"/>
      <c r="BI437" s="4221"/>
      <c r="BJ437" s="4221"/>
      <c r="BK437" s="4221"/>
      <c r="BL437" s="4221"/>
      <c r="BM437" s="4221"/>
      <c r="BN437" s="4221"/>
      <c r="BO437" s="4221"/>
      <c r="BP437" s="4221"/>
      <c r="BQ437" s="4221"/>
      <c r="BR437" s="4221"/>
      <c r="BS437" s="1726"/>
      <c r="BT437" s="1726"/>
      <c r="BU437" s="1726"/>
      <c r="BV437" s="1726"/>
      <c r="BW437" s="1726"/>
      <c r="BX437" s="1726"/>
      <c r="BY437" s="1726"/>
      <c r="BZ437" s="1726"/>
      <c r="CA437" s="1726"/>
      <c r="CB437" s="1726"/>
      <c r="CC437" s="1726"/>
    </row>
    <row r="438" spans="1:81" s="334" customFormat="1" ht="15" hidden="1" customHeight="1" x14ac:dyDescent="0.25">
      <c r="D438" s="1804"/>
      <c r="E438" s="477"/>
      <c r="F438" s="343"/>
      <c r="G438" s="477"/>
      <c r="H438" s="343"/>
      <c r="I438" s="477"/>
      <c r="J438" s="343"/>
      <c r="K438" s="477"/>
      <c r="M438" s="477"/>
      <c r="O438" s="477"/>
      <c r="Q438" s="477"/>
      <c r="S438" s="477"/>
      <c r="U438" s="477"/>
      <c r="W438" s="477"/>
      <c r="Y438" s="477"/>
      <c r="AA438" s="477"/>
      <c r="AC438" s="477"/>
      <c r="AE438" s="477"/>
      <c r="AG438" s="477"/>
      <c r="AI438" s="477"/>
      <c r="AO438" s="3461"/>
      <c r="AP438" s="1741"/>
      <c r="AS438" s="3461"/>
      <c r="AT438" s="1741"/>
      <c r="AW438" s="3461"/>
      <c r="AX438" s="1741"/>
      <c r="BC438" s="477"/>
      <c r="BE438" s="3461"/>
      <c r="BF438" s="1741"/>
      <c r="BG438" s="4221"/>
      <c r="BH438" s="4221"/>
      <c r="BI438" s="4221"/>
      <c r="BJ438" s="4221"/>
      <c r="BK438" s="4221"/>
      <c r="BL438" s="4221"/>
      <c r="BM438" s="4221"/>
      <c r="BN438" s="4221"/>
      <c r="BO438" s="4221"/>
      <c r="BP438" s="4221"/>
      <c r="BQ438" s="4221"/>
      <c r="BR438" s="4221"/>
      <c r="BS438" s="1726"/>
      <c r="BT438" s="1726"/>
      <c r="BU438" s="1726"/>
      <c r="BV438" s="1726"/>
      <c r="BW438" s="1726"/>
      <c r="BX438" s="1726"/>
      <c r="BY438" s="1726"/>
      <c r="BZ438" s="1726"/>
      <c r="CA438" s="1726"/>
      <c r="CB438" s="1726"/>
      <c r="CC438" s="1726"/>
    </row>
    <row r="439" spans="1:81" s="334" customFormat="1" ht="15" hidden="1" customHeight="1" x14ac:dyDescent="0.25">
      <c r="D439" s="1804"/>
      <c r="E439" s="3463">
        <f>+E261-E52</f>
        <v>0</v>
      </c>
      <c r="F439" s="2020">
        <f>+F261-F54</f>
        <v>0</v>
      </c>
      <c r="G439" s="3463">
        <f>+G261-G52</f>
        <v>0</v>
      </c>
      <c r="H439" s="2020">
        <f>+H261-H54</f>
        <v>0</v>
      </c>
      <c r="I439" s="3463">
        <f>+I261-I52</f>
        <v>0</v>
      </c>
      <c r="J439" s="2020">
        <f>+J261-J54</f>
        <v>0</v>
      </c>
      <c r="K439" s="3463">
        <f>+K261-K52</f>
        <v>0</v>
      </c>
      <c r="L439" s="2020">
        <f>+L261-L54</f>
        <v>0</v>
      </c>
      <c r="M439" s="3463">
        <f>+M261-M52</f>
        <v>0</v>
      </c>
      <c r="N439" s="2020">
        <f>+N261-N54</f>
        <v>0</v>
      </c>
      <c r="O439" s="3463">
        <f>+O261-O52</f>
        <v>0</v>
      </c>
      <c r="P439" s="2020">
        <f>+P261-P54</f>
        <v>0</v>
      </c>
      <c r="Q439" s="3463">
        <f>+Q261-Q52</f>
        <v>0</v>
      </c>
      <c r="R439" s="2020">
        <f>+R261-R54</f>
        <v>0</v>
      </c>
      <c r="S439" s="3463">
        <f>+S261-S52</f>
        <v>0</v>
      </c>
      <c r="T439" s="2020">
        <f>+T261-T54</f>
        <v>0</v>
      </c>
      <c r="U439" s="3463">
        <f>+U261-U52</f>
        <v>0</v>
      </c>
      <c r="V439" s="2020">
        <f>+V261-V54</f>
        <v>0</v>
      </c>
      <c r="W439" s="3463">
        <f>+W261-W52</f>
        <v>0</v>
      </c>
      <c r="X439" s="2020">
        <f>+X261-X54</f>
        <v>0</v>
      </c>
      <c r="Y439" s="3463">
        <f>+Y261-Y52</f>
        <v>0</v>
      </c>
      <c r="Z439" s="2020">
        <f>+Z261-Z54</f>
        <v>0</v>
      </c>
      <c r="AA439" s="3463">
        <f>+AA261-AA52</f>
        <v>0</v>
      </c>
      <c r="AB439" s="2020">
        <f>+AB261-AB54</f>
        <v>0</v>
      </c>
      <c r="AC439" s="3463">
        <f>+AC261-AC52</f>
        <v>0</v>
      </c>
      <c r="AD439" s="2020">
        <f>+AD261-AD54</f>
        <v>0</v>
      </c>
      <c r="AE439" s="3463">
        <f>+AE261-AE52</f>
        <v>0</v>
      </c>
      <c r="AF439" s="2020">
        <f>+AF261-AF54</f>
        <v>0</v>
      </c>
      <c r="AG439" s="3463">
        <f>+AG261-AG52</f>
        <v>0</v>
      </c>
      <c r="AH439" s="2020">
        <f>+AH261-AH54</f>
        <v>0</v>
      </c>
      <c r="AI439" s="3463">
        <f>+AI261-AI52</f>
        <v>0</v>
      </c>
      <c r="AJ439" s="2020">
        <f>+AJ261-AJ54</f>
        <v>0</v>
      </c>
      <c r="AK439" s="3463">
        <f>+AK261-AK52</f>
        <v>0</v>
      </c>
      <c r="AL439" s="2020">
        <f>+AL261-AL54</f>
        <v>0</v>
      </c>
      <c r="AM439" s="3463">
        <f>+AM261-AM52</f>
        <v>0</v>
      </c>
      <c r="AN439" s="2020">
        <f>+AN261-AN54</f>
        <v>0</v>
      </c>
      <c r="AO439" s="3463">
        <f>+AO261-AO52</f>
        <v>0</v>
      </c>
      <c r="AP439" s="2020">
        <f>+AP261-AP54</f>
        <v>0</v>
      </c>
      <c r="AQ439" s="3463">
        <f>+AQ261-AQ52</f>
        <v>0</v>
      </c>
      <c r="AR439" s="2020">
        <f>+AR261-AR54</f>
        <v>0</v>
      </c>
      <c r="AS439" s="3463">
        <f>+AS261-AS52</f>
        <v>0</v>
      </c>
      <c r="AT439" s="2020">
        <f>+AT261-AT54</f>
        <v>0</v>
      </c>
      <c r="AU439" s="3463">
        <f>+AU261-AU52</f>
        <v>0</v>
      </c>
      <c r="AV439" s="2020">
        <f>+AV261-AV54</f>
        <v>0</v>
      </c>
      <c r="AW439" s="3463">
        <f>+AW261-AW52</f>
        <v>0</v>
      </c>
      <c r="AX439" s="2020">
        <f>+AX261-AX54</f>
        <v>0</v>
      </c>
      <c r="AY439" s="3463">
        <f>+AY261-AY52</f>
        <v>0</v>
      </c>
      <c r="AZ439" s="2020">
        <f>+AZ261-AZ54</f>
        <v>-5.9999999983119778E-2</v>
      </c>
      <c r="BA439" s="3463">
        <f>+BA261-BA52</f>
        <v>0</v>
      </c>
      <c r="BB439" s="2020">
        <f>+BB261-BB54</f>
        <v>-6.0000000026775524E-2</v>
      </c>
      <c r="BC439" s="3463">
        <f>+BC261-BC52</f>
        <v>0</v>
      </c>
      <c r="BD439" s="2020">
        <f>+BD261-BD54</f>
        <v>-5.9999999997671694E-2</v>
      </c>
      <c r="BE439" s="3463">
        <f>+BE261-BE52</f>
        <v>0</v>
      </c>
      <c r="BF439" s="2020">
        <f>+BF261-BF54</f>
        <v>-5.9999999939464033E-2</v>
      </c>
      <c r="BG439" s="4221"/>
      <c r="BH439" s="4221"/>
      <c r="BI439" s="4221"/>
      <c r="BJ439" s="4221"/>
      <c r="BK439" s="4221"/>
      <c r="BL439" s="4221"/>
      <c r="BM439" s="4221"/>
      <c r="BN439" s="4221"/>
      <c r="BO439" s="4221"/>
      <c r="BP439" s="4221"/>
      <c r="BQ439" s="4221"/>
      <c r="BR439" s="4221"/>
      <c r="BS439" s="1726"/>
      <c r="BT439" s="1726"/>
      <c r="BU439" s="1726"/>
      <c r="BV439" s="1726"/>
      <c r="BW439" s="1726"/>
      <c r="BX439" s="1726"/>
      <c r="BY439" s="1726"/>
      <c r="BZ439" s="1726"/>
      <c r="CA439" s="1726"/>
      <c r="CB439" s="1726"/>
      <c r="CC439" s="1726"/>
    </row>
    <row r="440" spans="1:81" s="334" customFormat="1" ht="15" hidden="1" customHeight="1" x14ac:dyDescent="0.25">
      <c r="D440" s="1804"/>
      <c r="E440" s="3463">
        <f t="shared" ref="E440:AJ440" si="586">+E261-E18</f>
        <v>0</v>
      </c>
      <c r="F440" s="2020">
        <f t="shared" si="586"/>
        <v>0</v>
      </c>
      <c r="G440" s="3463">
        <f t="shared" si="586"/>
        <v>0</v>
      </c>
      <c r="H440" s="2020">
        <f t="shared" si="586"/>
        <v>0</v>
      </c>
      <c r="I440" s="3463">
        <f t="shared" si="586"/>
        <v>0</v>
      </c>
      <c r="J440" s="2020">
        <f t="shared" si="586"/>
        <v>0</v>
      </c>
      <c r="K440" s="3463">
        <f t="shared" si="586"/>
        <v>0</v>
      </c>
      <c r="L440" s="2020">
        <f t="shared" si="586"/>
        <v>0</v>
      </c>
      <c r="M440" s="3463">
        <f t="shared" si="586"/>
        <v>0</v>
      </c>
      <c r="N440" s="2020">
        <f t="shared" si="586"/>
        <v>0</v>
      </c>
      <c r="O440" s="3463">
        <f t="shared" si="586"/>
        <v>0</v>
      </c>
      <c r="P440" s="2020">
        <f t="shared" si="586"/>
        <v>0</v>
      </c>
      <c r="Q440" s="3463">
        <f t="shared" si="586"/>
        <v>0</v>
      </c>
      <c r="R440" s="2020">
        <f t="shared" si="586"/>
        <v>0</v>
      </c>
      <c r="S440" s="3463">
        <f t="shared" si="586"/>
        <v>0</v>
      </c>
      <c r="T440" s="2020">
        <f t="shared" si="586"/>
        <v>0</v>
      </c>
      <c r="U440" s="3463">
        <f t="shared" si="586"/>
        <v>0</v>
      </c>
      <c r="V440" s="2020">
        <f t="shared" si="586"/>
        <v>0</v>
      </c>
      <c r="W440" s="3463">
        <f t="shared" si="586"/>
        <v>0</v>
      </c>
      <c r="X440" s="2020">
        <f t="shared" si="586"/>
        <v>0</v>
      </c>
      <c r="Y440" s="3463">
        <f t="shared" si="586"/>
        <v>0</v>
      </c>
      <c r="Z440" s="2020">
        <f t="shared" si="586"/>
        <v>0</v>
      </c>
      <c r="AA440" s="3463">
        <f t="shared" si="586"/>
        <v>0</v>
      </c>
      <c r="AB440" s="2020">
        <f t="shared" si="586"/>
        <v>0</v>
      </c>
      <c r="AC440" s="3463">
        <f t="shared" si="586"/>
        <v>0</v>
      </c>
      <c r="AD440" s="2020">
        <f t="shared" si="586"/>
        <v>0</v>
      </c>
      <c r="AE440" s="3463">
        <f t="shared" si="586"/>
        <v>0</v>
      </c>
      <c r="AF440" s="2020">
        <f t="shared" si="586"/>
        <v>0</v>
      </c>
      <c r="AG440" s="3463">
        <f t="shared" si="586"/>
        <v>0</v>
      </c>
      <c r="AH440" s="2020">
        <f t="shared" si="586"/>
        <v>0</v>
      </c>
      <c r="AI440" s="3463">
        <f t="shared" si="586"/>
        <v>0</v>
      </c>
      <c r="AJ440" s="2020">
        <f t="shared" si="586"/>
        <v>0</v>
      </c>
      <c r="AK440" s="3463">
        <f t="shared" ref="AK440:BF440" si="587">+AK261-AK18</f>
        <v>0</v>
      </c>
      <c r="AL440" s="2020">
        <f t="shared" si="587"/>
        <v>0</v>
      </c>
      <c r="AM440" s="3463">
        <f t="shared" si="587"/>
        <v>0</v>
      </c>
      <c r="AN440" s="2020">
        <f t="shared" si="587"/>
        <v>0</v>
      </c>
      <c r="AO440" s="3463">
        <f t="shared" si="587"/>
        <v>0</v>
      </c>
      <c r="AP440" s="2020">
        <f t="shared" si="587"/>
        <v>0</v>
      </c>
      <c r="AQ440" s="3463">
        <f t="shared" si="587"/>
        <v>0</v>
      </c>
      <c r="AR440" s="2020">
        <f t="shared" si="587"/>
        <v>0</v>
      </c>
      <c r="AS440" s="3463">
        <f t="shared" si="587"/>
        <v>0</v>
      </c>
      <c r="AT440" s="2020">
        <f t="shared" si="587"/>
        <v>0</v>
      </c>
      <c r="AU440" s="3463">
        <f t="shared" si="587"/>
        <v>0</v>
      </c>
      <c r="AV440" s="2020">
        <f t="shared" si="587"/>
        <v>0</v>
      </c>
      <c r="AW440" s="3463">
        <f t="shared" si="587"/>
        <v>0</v>
      </c>
      <c r="AX440" s="2020">
        <f t="shared" si="587"/>
        <v>0</v>
      </c>
      <c r="AY440" s="3463">
        <f t="shared" si="587"/>
        <v>0</v>
      </c>
      <c r="AZ440" s="2020">
        <f t="shared" si="587"/>
        <v>0</v>
      </c>
      <c r="BA440" s="3463">
        <f t="shared" si="587"/>
        <v>0</v>
      </c>
      <c r="BB440" s="2020">
        <f t="shared" si="587"/>
        <v>0</v>
      </c>
      <c r="BC440" s="3463">
        <f t="shared" si="587"/>
        <v>0</v>
      </c>
      <c r="BD440" s="2020">
        <f t="shared" si="587"/>
        <v>0</v>
      </c>
      <c r="BE440" s="3463">
        <f t="shared" si="587"/>
        <v>0</v>
      </c>
      <c r="BF440" s="2020">
        <f t="shared" si="587"/>
        <v>0</v>
      </c>
      <c r="BG440" s="4221"/>
      <c r="BH440" s="4221"/>
      <c r="BI440" s="4221"/>
      <c r="BJ440" s="4221"/>
      <c r="BK440" s="4221"/>
      <c r="BL440" s="4221"/>
      <c r="BM440" s="4221"/>
      <c r="BN440" s="4221"/>
      <c r="BO440" s="4221"/>
      <c r="BP440" s="4221"/>
      <c r="BQ440" s="4221"/>
      <c r="BR440" s="4221"/>
      <c r="BS440" s="1726"/>
      <c r="BT440" s="1726"/>
      <c r="BU440" s="1726"/>
      <c r="BV440" s="1726"/>
      <c r="BW440" s="1726"/>
      <c r="BX440" s="1726"/>
      <c r="BY440" s="1726"/>
      <c r="BZ440" s="1726"/>
      <c r="CA440" s="1726"/>
      <c r="CB440" s="1726"/>
      <c r="CC440" s="1726"/>
    </row>
    <row r="441" spans="1:81" s="334" customFormat="1" ht="15" hidden="1" customHeight="1" x14ac:dyDescent="0.25">
      <c r="D441" s="1804"/>
      <c r="E441" s="477"/>
      <c r="F441" s="343"/>
      <c r="G441" s="477"/>
      <c r="H441" s="343"/>
      <c r="I441" s="477"/>
      <c r="J441" s="343"/>
      <c r="K441" s="477"/>
      <c r="M441" s="477"/>
      <c r="O441" s="477"/>
      <c r="Q441" s="477"/>
      <c r="S441" s="477"/>
      <c r="U441" s="477"/>
      <c r="W441" s="477"/>
      <c r="Y441" s="477"/>
      <c r="AA441" s="477"/>
      <c r="AC441" s="477"/>
      <c r="AE441" s="477"/>
      <c r="AG441" s="477"/>
      <c r="AI441" s="477"/>
      <c r="AO441" s="3461"/>
      <c r="AP441" s="1741"/>
      <c r="AS441" s="477"/>
      <c r="AW441" s="477"/>
      <c r="BC441" s="477"/>
      <c r="BE441" s="477"/>
      <c r="BG441" s="4221"/>
      <c r="BH441" s="4221"/>
      <c r="BI441" s="4221"/>
      <c r="BJ441" s="4221"/>
      <c r="BK441" s="4221"/>
      <c r="BL441" s="4221"/>
      <c r="BM441" s="4221"/>
      <c r="BN441" s="4221"/>
      <c r="BO441" s="4221"/>
      <c r="BP441" s="4221"/>
      <c r="BQ441" s="4221"/>
      <c r="BR441" s="4221"/>
      <c r="BS441" s="1726"/>
      <c r="BT441" s="1726"/>
      <c r="BU441" s="1726"/>
      <c r="BV441" s="1726"/>
      <c r="BW441" s="1726"/>
      <c r="BX441" s="1726"/>
      <c r="BY441" s="1726"/>
      <c r="BZ441" s="1726"/>
      <c r="CA441" s="1726"/>
      <c r="CB441" s="1726"/>
      <c r="CC441" s="1726"/>
    </row>
    <row r="442" spans="1:81" s="979" customFormat="1" ht="15" hidden="1" customHeight="1" x14ac:dyDescent="0.25">
      <c r="A442" s="4946" t="s">
        <v>1847</v>
      </c>
      <c r="B442" s="4943" t="s">
        <v>123</v>
      </c>
      <c r="D442" s="4352"/>
      <c r="E442" s="4353">
        <f>+E11-E48</f>
        <v>0</v>
      </c>
      <c r="F442" s="980">
        <f>+F11-F50</f>
        <v>0</v>
      </c>
      <c r="G442" s="4353">
        <f>+G11-G48</f>
        <v>0</v>
      </c>
      <c r="H442" s="980">
        <f>+H11-H50</f>
        <v>0</v>
      </c>
      <c r="I442" s="342"/>
      <c r="J442" s="2555"/>
      <c r="K442" s="4353">
        <f>+K11-K48</f>
        <v>0</v>
      </c>
      <c r="L442" s="980">
        <f>+L11-L50</f>
        <v>0</v>
      </c>
      <c r="M442" s="4353">
        <f>+M11-M48</f>
        <v>0</v>
      </c>
      <c r="N442" s="980">
        <f>+N11-N50</f>
        <v>0</v>
      </c>
      <c r="O442" s="4353">
        <f>+O11-O48</f>
        <v>0</v>
      </c>
      <c r="P442" s="980">
        <f>+P11-P50</f>
        <v>0</v>
      </c>
      <c r="Q442" s="342"/>
      <c r="S442" s="4353">
        <f>+S11-S48</f>
        <v>0</v>
      </c>
      <c r="T442" s="980">
        <f>+T11-T50</f>
        <v>0</v>
      </c>
      <c r="U442" s="342"/>
      <c r="W442" s="4353">
        <f>+W11-W48</f>
        <v>0</v>
      </c>
      <c r="X442" s="980">
        <f>+X11-X50</f>
        <v>0</v>
      </c>
      <c r="Y442" s="4353">
        <f>+Y11-Y48</f>
        <v>0</v>
      </c>
      <c r="Z442" s="980">
        <f>+Z11-Z50</f>
        <v>0</v>
      </c>
      <c r="AA442" s="4353">
        <f>+AA11-AA48</f>
        <v>0</v>
      </c>
      <c r="AB442" s="980">
        <f>+AB11-AB50</f>
        <v>0</v>
      </c>
      <c r="AC442" s="4353">
        <f>+AC11-AC48</f>
        <v>0</v>
      </c>
      <c r="AD442" s="980">
        <f>+AD11-AD50</f>
        <v>0</v>
      </c>
      <c r="AE442" s="342"/>
      <c r="AG442" s="4353">
        <f>+AG11-AG48</f>
        <v>0</v>
      </c>
      <c r="AH442" s="980">
        <f>+AH11-AH50</f>
        <v>0</v>
      </c>
      <c r="AI442" s="342"/>
      <c r="AK442" s="4353">
        <f>+AK11-AK48</f>
        <v>0</v>
      </c>
      <c r="AL442" s="980">
        <f>+AL11-AL50</f>
        <v>0</v>
      </c>
      <c r="AM442" s="4353">
        <f>+AM11-AM48</f>
        <v>0</v>
      </c>
      <c r="AN442" s="980">
        <f>+AN11-AN50</f>
        <v>0</v>
      </c>
      <c r="AO442" s="4354"/>
      <c r="AP442" s="4355"/>
      <c r="AQ442" s="4353">
        <f>+AQ11-AQ48</f>
        <v>0</v>
      </c>
      <c r="AR442" s="980">
        <f>+AR11-AR50</f>
        <v>0</v>
      </c>
      <c r="AS442" s="342"/>
      <c r="AU442" s="4353">
        <f>+AU11-AU48</f>
        <v>0</v>
      </c>
      <c r="AV442" s="980">
        <f>+AV11-AV50</f>
        <v>0</v>
      </c>
      <c r="AW442" s="342"/>
      <c r="AY442" s="4353">
        <f>+AY11-AY48</f>
        <v>0</v>
      </c>
      <c r="AZ442" s="980">
        <f>+AZ11-AZ50</f>
        <v>0</v>
      </c>
      <c r="BA442" s="4353">
        <f>+BA11-BA48</f>
        <v>0</v>
      </c>
      <c r="BB442" s="980">
        <f>+BB11-BB50</f>
        <v>0</v>
      </c>
      <c r="BC442" s="4353">
        <f>+BC11-BC48</f>
        <v>0</v>
      </c>
      <c r="BD442" s="980">
        <f>+BD11-BD50</f>
        <v>0</v>
      </c>
      <c r="BE442" s="4353">
        <f>+BE11-BE48</f>
        <v>0</v>
      </c>
      <c r="BF442" s="980">
        <f>+BF11-BF50</f>
        <v>0</v>
      </c>
      <c r="BG442" s="4221"/>
      <c r="BH442" s="4221"/>
      <c r="BI442" s="4221"/>
      <c r="BJ442" s="4221"/>
      <c r="BK442" s="4221"/>
      <c r="BL442" s="4221"/>
      <c r="BM442" s="4221"/>
      <c r="BN442" s="4221"/>
      <c r="BO442" s="4221"/>
      <c r="BP442" s="4221"/>
      <c r="BQ442" s="4221"/>
      <c r="BR442" s="4221"/>
      <c r="BS442" s="4212"/>
      <c r="BT442" s="4212"/>
      <c r="BU442" s="4212"/>
      <c r="BV442" s="4212"/>
      <c r="BW442" s="4212"/>
      <c r="BX442" s="4212"/>
      <c r="BY442" s="4212"/>
      <c r="BZ442" s="4212"/>
      <c r="CA442" s="4212"/>
      <c r="CB442" s="4212"/>
      <c r="CC442" s="4212"/>
    </row>
    <row r="443" spans="1:81" s="979" customFormat="1" ht="15" hidden="1" customHeight="1" x14ac:dyDescent="0.25">
      <c r="A443" s="4947"/>
      <c r="B443" s="4944"/>
      <c r="D443" s="4352"/>
      <c r="E443" s="4353">
        <f>+E48-E176</f>
        <v>0</v>
      </c>
      <c r="F443" s="980">
        <f>+F50-F176</f>
        <v>0</v>
      </c>
      <c r="G443" s="4353">
        <f>+G48-G176</f>
        <v>0</v>
      </c>
      <c r="H443" s="980">
        <f>+H50-H176</f>
        <v>0</v>
      </c>
      <c r="I443" s="342"/>
      <c r="J443" s="2555"/>
      <c r="K443" s="4353">
        <f>+K48-K176</f>
        <v>0</v>
      </c>
      <c r="L443" s="4648">
        <f>+L50-L176</f>
        <v>0</v>
      </c>
      <c r="M443" s="4353">
        <f>+M48-M176</f>
        <v>0</v>
      </c>
      <c r="N443" s="980">
        <f>+N50-N176</f>
        <v>0</v>
      </c>
      <c r="O443" s="4353">
        <f>+O48-O176</f>
        <v>0</v>
      </c>
      <c r="P443" s="980">
        <f>+P50-P176</f>
        <v>0</v>
      </c>
      <c r="Q443" s="342"/>
      <c r="S443" s="4353">
        <f>+S48-S176</f>
        <v>0</v>
      </c>
      <c r="T443" s="980">
        <f>+T50-T176</f>
        <v>0</v>
      </c>
      <c r="U443" s="342"/>
      <c r="W443" s="4353">
        <f>+W48-W176</f>
        <v>0</v>
      </c>
      <c r="X443" s="980">
        <f>+X50-X176</f>
        <v>0</v>
      </c>
      <c r="Y443" s="4353">
        <f>+Y48-Y176</f>
        <v>0</v>
      </c>
      <c r="Z443" s="980">
        <f>+Z50-Z176</f>
        <v>0</v>
      </c>
      <c r="AA443" s="4353">
        <f>+AA48-AA176</f>
        <v>0</v>
      </c>
      <c r="AB443" s="980">
        <f>+AB50-AB176</f>
        <v>0</v>
      </c>
      <c r="AC443" s="4353">
        <f>+AC48-AC176</f>
        <v>0</v>
      </c>
      <c r="AD443" s="980">
        <f>+AD50-AD176</f>
        <v>0</v>
      </c>
      <c r="AE443" s="342"/>
      <c r="AG443" s="4353">
        <f>+AG48-AG176</f>
        <v>0</v>
      </c>
      <c r="AH443" s="980">
        <f>+AH50-AH176</f>
        <v>0</v>
      </c>
      <c r="AI443" s="342"/>
      <c r="AK443" s="4353">
        <f>+AK48-AK176</f>
        <v>0</v>
      </c>
      <c r="AL443" s="980">
        <f>+AL50-AL176</f>
        <v>0</v>
      </c>
      <c r="AM443" s="4353">
        <f>+AM48-AM176</f>
        <v>0</v>
      </c>
      <c r="AN443" s="980">
        <f>+AN50-AN176</f>
        <v>0</v>
      </c>
      <c r="AO443" s="4354"/>
      <c r="AP443" s="4355"/>
      <c r="AQ443" s="4353">
        <f>+AQ48-AQ176</f>
        <v>0</v>
      </c>
      <c r="AR443" s="980">
        <f>+AR50-AR176</f>
        <v>0</v>
      </c>
      <c r="AS443" s="342"/>
      <c r="AU443" s="4353">
        <f>+AU48-AU176</f>
        <v>0</v>
      </c>
      <c r="AV443" s="980">
        <f>+AV50-AV176</f>
        <v>0</v>
      </c>
      <c r="AW443" s="342"/>
      <c r="AY443" s="4353">
        <f>+AY48-AY176</f>
        <v>0</v>
      </c>
      <c r="AZ443" s="980">
        <f>+AZ50-AZ176</f>
        <v>0</v>
      </c>
      <c r="BA443" s="4353">
        <f>+BA48-BA176</f>
        <v>0</v>
      </c>
      <c r="BB443" s="980">
        <f>+BB50-BB176</f>
        <v>0</v>
      </c>
      <c r="BC443" s="4353">
        <f>+BC48-BC176</f>
        <v>0</v>
      </c>
      <c r="BD443" s="980">
        <f>+BD50-BD176</f>
        <v>0</v>
      </c>
      <c r="BE443" s="4353">
        <f>+BE48-BE176</f>
        <v>0</v>
      </c>
      <c r="BF443" s="980">
        <f>+BF50-BF176</f>
        <v>0</v>
      </c>
      <c r="BG443" s="4221"/>
      <c r="BH443" s="4221"/>
      <c r="BI443" s="4221"/>
      <c r="BJ443" s="4221"/>
      <c r="BK443" s="4221"/>
      <c r="BL443" s="4221"/>
      <c r="BM443" s="4221"/>
      <c r="BN443" s="4221"/>
      <c r="BO443" s="4221"/>
      <c r="BP443" s="4221"/>
      <c r="BQ443" s="4221"/>
      <c r="BR443" s="4221"/>
      <c r="BS443" s="4212"/>
      <c r="BT443" s="4212"/>
      <c r="BU443" s="4212"/>
      <c r="BV443" s="4212"/>
      <c r="BW443" s="4212"/>
      <c r="BX443" s="4212"/>
      <c r="BY443" s="4212"/>
      <c r="BZ443" s="4212"/>
      <c r="CA443" s="4212"/>
      <c r="CB443" s="4212"/>
      <c r="CC443" s="4212"/>
    </row>
    <row r="444" spans="1:81" s="979" customFormat="1" ht="15" hidden="1" customHeight="1" x14ac:dyDescent="0.25">
      <c r="A444" s="4947"/>
      <c r="B444" s="4944"/>
      <c r="D444" s="4352"/>
      <c r="E444" s="4353">
        <f>+E11-E176</f>
        <v>0</v>
      </c>
      <c r="F444" s="980">
        <f>+F11-F176</f>
        <v>0</v>
      </c>
      <c r="G444" s="4353">
        <f>+G11-G176</f>
        <v>0</v>
      </c>
      <c r="H444" s="980">
        <f>+H11-H176</f>
        <v>0</v>
      </c>
      <c r="I444" s="342"/>
      <c r="J444" s="2555"/>
      <c r="K444" s="4353">
        <f t="shared" ref="K444:P444" si="588">+K11-K176</f>
        <v>0</v>
      </c>
      <c r="L444" s="4648">
        <f t="shared" si="588"/>
        <v>0</v>
      </c>
      <c r="M444" s="4353">
        <f t="shared" si="588"/>
        <v>0</v>
      </c>
      <c r="N444" s="980">
        <f t="shared" si="588"/>
        <v>0</v>
      </c>
      <c r="O444" s="4353">
        <f t="shared" si="588"/>
        <v>0</v>
      </c>
      <c r="P444" s="980">
        <f t="shared" si="588"/>
        <v>0</v>
      </c>
      <c r="Q444" s="342"/>
      <c r="S444" s="4353">
        <f>+S11-S176</f>
        <v>0</v>
      </c>
      <c r="T444" s="980">
        <f>+T11-T176</f>
        <v>0</v>
      </c>
      <c r="U444" s="342"/>
      <c r="W444" s="4353">
        <f t="shared" ref="W444:AD444" si="589">+W11-W176</f>
        <v>0</v>
      </c>
      <c r="X444" s="980">
        <f t="shared" si="589"/>
        <v>0</v>
      </c>
      <c r="Y444" s="4353">
        <f t="shared" si="589"/>
        <v>0</v>
      </c>
      <c r="Z444" s="980">
        <f t="shared" si="589"/>
        <v>0</v>
      </c>
      <c r="AA444" s="4353">
        <f t="shared" si="589"/>
        <v>0</v>
      </c>
      <c r="AB444" s="980">
        <f t="shared" si="589"/>
        <v>0</v>
      </c>
      <c r="AC444" s="4353">
        <f t="shared" si="589"/>
        <v>0</v>
      </c>
      <c r="AD444" s="980">
        <f t="shared" si="589"/>
        <v>0</v>
      </c>
      <c r="AE444" s="342"/>
      <c r="AG444" s="4353">
        <f>+AG11-AG176</f>
        <v>0</v>
      </c>
      <c r="AH444" s="980">
        <f>+AH11-AH176</f>
        <v>0</v>
      </c>
      <c r="AI444" s="342"/>
      <c r="AK444" s="4353">
        <f>+AK11-AK176</f>
        <v>0</v>
      </c>
      <c r="AL444" s="980">
        <f>+AL11-AL176</f>
        <v>0</v>
      </c>
      <c r="AM444" s="4353">
        <f>+AM11-AM176</f>
        <v>0</v>
      </c>
      <c r="AN444" s="980">
        <f>+AN11-AN176</f>
        <v>0</v>
      </c>
      <c r="AO444" s="4354"/>
      <c r="AP444" s="4355"/>
      <c r="AQ444" s="4353">
        <f>+AQ11-AQ176</f>
        <v>0</v>
      </c>
      <c r="AR444" s="980">
        <f>+AR11-AR176</f>
        <v>0</v>
      </c>
      <c r="AS444" s="342"/>
      <c r="AU444" s="4353">
        <f>+AU11-AU176</f>
        <v>0</v>
      </c>
      <c r="AV444" s="980">
        <f>+AV11-AV176</f>
        <v>0</v>
      </c>
      <c r="AW444" s="342"/>
      <c r="AY444" s="4353">
        <f t="shared" ref="AY444:BF444" si="590">+AY11-AY176</f>
        <v>0</v>
      </c>
      <c r="AZ444" s="980">
        <f t="shared" si="590"/>
        <v>0</v>
      </c>
      <c r="BA444" s="4353">
        <f t="shared" si="590"/>
        <v>0</v>
      </c>
      <c r="BB444" s="980">
        <f t="shared" si="590"/>
        <v>0</v>
      </c>
      <c r="BC444" s="4353">
        <f t="shared" si="590"/>
        <v>0</v>
      </c>
      <c r="BD444" s="980">
        <f t="shared" si="590"/>
        <v>0</v>
      </c>
      <c r="BE444" s="4353">
        <f t="shared" si="590"/>
        <v>0</v>
      </c>
      <c r="BF444" s="2145">
        <f t="shared" si="590"/>
        <v>0</v>
      </c>
      <c r="BG444" s="4221"/>
      <c r="BH444" s="4221"/>
      <c r="BI444" s="4221"/>
      <c r="BJ444" s="4221"/>
      <c r="BK444" s="4221"/>
      <c r="BL444" s="4221"/>
      <c r="BM444" s="4221"/>
      <c r="BN444" s="4221"/>
      <c r="BO444" s="4221"/>
      <c r="BP444" s="4221"/>
      <c r="BQ444" s="4221"/>
      <c r="BR444" s="4221"/>
      <c r="BS444" s="4212"/>
      <c r="BT444" s="4212"/>
      <c r="BU444" s="4212"/>
      <c r="BV444" s="4212"/>
      <c r="BW444" s="4212"/>
      <c r="BX444" s="4212"/>
      <c r="BY444" s="4212"/>
      <c r="BZ444" s="4212"/>
      <c r="CA444" s="4212"/>
      <c r="CB444" s="4212"/>
      <c r="CC444" s="4212"/>
    </row>
    <row r="445" spans="1:81" s="4212" customFormat="1" hidden="1" x14ac:dyDescent="0.25">
      <c r="A445" s="4947"/>
      <c r="B445" s="4945"/>
      <c r="F445" s="863">
        <f>+F9-F215</f>
        <v>0</v>
      </c>
      <c r="H445" s="863">
        <f>+H9-H215</f>
        <v>0</v>
      </c>
      <c r="L445" s="863">
        <f>+L9-L215</f>
        <v>0</v>
      </c>
      <c r="N445" s="863">
        <f>+N9-N215</f>
        <v>0</v>
      </c>
      <c r="P445" s="863">
        <f>+P9-P215</f>
        <v>0</v>
      </c>
      <c r="T445" s="863">
        <f>+T9-T215</f>
        <v>0</v>
      </c>
      <c r="X445" s="863">
        <f>+X9-X215</f>
        <v>0</v>
      </c>
      <c r="Z445" s="863">
        <f>+Z9-Z215</f>
        <v>0</v>
      </c>
      <c r="AB445" s="863">
        <f>+AB9-AB215</f>
        <v>0</v>
      </c>
      <c r="AD445" s="863">
        <f>+AD9-AD215</f>
        <v>0</v>
      </c>
      <c r="AH445" s="863">
        <f>+AH9-AH215</f>
        <v>0</v>
      </c>
      <c r="AL445" s="863">
        <f>+AL9-AL215</f>
        <v>0</v>
      </c>
      <c r="AN445" s="863">
        <f>+AN9-AN215</f>
        <v>0</v>
      </c>
      <c r="AR445" s="863">
        <f>+AR9-AR215</f>
        <v>0</v>
      </c>
      <c r="AV445" s="863">
        <f>+AV9-AV215</f>
        <v>0</v>
      </c>
      <c r="AZ445" s="863">
        <f>+AZ9-AZ215</f>
        <v>0</v>
      </c>
      <c r="BB445" s="863">
        <f>+BB9-BB215</f>
        <v>0</v>
      </c>
      <c r="BD445" s="863">
        <f>+BD9-BD215</f>
        <v>0</v>
      </c>
      <c r="BF445" s="863">
        <f>+BF9-BF215</f>
        <v>0</v>
      </c>
      <c r="BG445" s="4221"/>
      <c r="BH445" s="4221"/>
      <c r="BI445" s="4221"/>
      <c r="BJ445" s="4221"/>
      <c r="BK445" s="4221"/>
      <c r="BL445" s="4221"/>
      <c r="BM445" s="4221"/>
      <c r="BN445" s="4221"/>
      <c r="BO445" s="4221"/>
      <c r="BP445" s="4221"/>
      <c r="BQ445" s="4221"/>
      <c r="BR445" s="4221"/>
    </row>
    <row r="446" spans="1:81" s="421" customFormat="1" hidden="1" x14ac:dyDescent="0.25">
      <c r="A446" s="4947"/>
      <c r="B446" s="4943" t="s">
        <v>1845</v>
      </c>
      <c r="E446" s="863">
        <f>+E18-E52</f>
        <v>0</v>
      </c>
      <c r="F446" s="863">
        <f>+F18-F54</f>
        <v>0</v>
      </c>
      <c r="G446" s="863">
        <f>+G18-G52</f>
        <v>0</v>
      </c>
      <c r="H446" s="863">
        <f>+H18-H54</f>
        <v>0</v>
      </c>
      <c r="K446" s="863">
        <f>+K18-K52</f>
        <v>0</v>
      </c>
      <c r="L446" s="863">
        <f>+L18-L54</f>
        <v>0</v>
      </c>
      <c r="M446" s="863">
        <f>+M18-M52</f>
        <v>0</v>
      </c>
      <c r="N446" s="863">
        <f>+N18-N54</f>
        <v>0</v>
      </c>
      <c r="O446" s="863">
        <f>+O18-O52</f>
        <v>0</v>
      </c>
      <c r="P446" s="863">
        <f>+P18-P54</f>
        <v>0</v>
      </c>
      <c r="S446" s="863">
        <f>+S18-S52</f>
        <v>0</v>
      </c>
      <c r="T446" s="863">
        <f>+T18-T54</f>
        <v>0</v>
      </c>
      <c r="W446" s="863">
        <f>+W18-W52</f>
        <v>0</v>
      </c>
      <c r="X446" s="863">
        <f>+X18-X54</f>
        <v>0</v>
      </c>
      <c r="Y446" s="863">
        <f>+Y18-Y52</f>
        <v>0</v>
      </c>
      <c r="Z446" s="863">
        <f>+Z18-Z54</f>
        <v>0</v>
      </c>
      <c r="AA446" s="863">
        <f>+AA18-AA52</f>
        <v>0</v>
      </c>
      <c r="AB446" s="863">
        <f>+AB18-AB54</f>
        <v>0</v>
      </c>
      <c r="AC446" s="863">
        <f>+AC18-AC52</f>
        <v>0</v>
      </c>
      <c r="AD446" s="863">
        <f>+AD18-AD54</f>
        <v>0</v>
      </c>
      <c r="AG446" s="863">
        <f>+AG18-AG52</f>
        <v>0</v>
      </c>
      <c r="AH446" s="863">
        <f>+AH18-AH54</f>
        <v>0</v>
      </c>
      <c r="AK446" s="863">
        <f>+AK18-AK52</f>
        <v>0</v>
      </c>
      <c r="AL446" s="863">
        <f>+AL18-AL54</f>
        <v>0</v>
      </c>
      <c r="AM446" s="863">
        <f>+AM18-AM52</f>
        <v>0</v>
      </c>
      <c r="AN446" s="863">
        <f>+AN18-AN54</f>
        <v>0</v>
      </c>
      <c r="AQ446" s="863">
        <f>+AQ18-AQ52</f>
        <v>0</v>
      </c>
      <c r="AR446" s="863">
        <f>+AR18-AR54</f>
        <v>0</v>
      </c>
      <c r="AU446" s="863">
        <f>+AU18-AU52</f>
        <v>0</v>
      </c>
      <c r="AV446" s="863">
        <f>+AV18-AV54</f>
        <v>0</v>
      </c>
      <c r="AY446" s="863">
        <f>+AY18-AY52</f>
        <v>0</v>
      </c>
      <c r="AZ446" s="863">
        <f>+AZ18-AZ54</f>
        <v>-5.9999999997671694E-2</v>
      </c>
      <c r="BA446" s="863">
        <f>+BA18-BA52</f>
        <v>0</v>
      </c>
      <c r="BB446" s="863">
        <f>+BB18-BB54</f>
        <v>-5.9999999997671694E-2</v>
      </c>
      <c r="BC446" s="863">
        <f>+BC18-BC52</f>
        <v>0</v>
      </c>
      <c r="BD446" s="863">
        <f>+BD18-BD54</f>
        <v>-5.9999999939464033E-2</v>
      </c>
      <c r="BE446" s="863">
        <f>+BE18-BE52</f>
        <v>0</v>
      </c>
      <c r="BF446" s="863">
        <f>+BF18-BF54</f>
        <v>-6.0000000055879354E-2</v>
      </c>
      <c r="BG446" s="4221"/>
      <c r="BH446" s="4221"/>
      <c r="BI446" s="4221"/>
      <c r="BJ446" s="4221"/>
      <c r="BK446" s="4221"/>
      <c r="BL446" s="4221"/>
      <c r="BM446" s="4221"/>
      <c r="BN446" s="4221"/>
      <c r="BO446" s="4221"/>
      <c r="BP446" s="4221"/>
      <c r="BQ446" s="4221"/>
      <c r="BR446" s="4221"/>
    </row>
    <row r="447" spans="1:81" s="421" customFormat="1" hidden="1" x14ac:dyDescent="0.25">
      <c r="A447" s="4947"/>
      <c r="B447" s="4944"/>
      <c r="E447" s="863">
        <f>+E52-E261</f>
        <v>0</v>
      </c>
      <c r="F447" s="863">
        <f>+F54-F261</f>
        <v>0</v>
      </c>
      <c r="G447" s="863">
        <f>+G52-G261</f>
        <v>0</v>
      </c>
      <c r="H447" s="863">
        <f>+H54-H261</f>
        <v>0</v>
      </c>
      <c r="K447" s="863">
        <f>+K52-K261</f>
        <v>0</v>
      </c>
      <c r="L447" s="863">
        <f>+L54-L261</f>
        <v>0</v>
      </c>
      <c r="M447" s="863">
        <f>+M52-M261</f>
        <v>0</v>
      </c>
      <c r="N447" s="863">
        <f>+N54-N261</f>
        <v>0</v>
      </c>
      <c r="O447" s="863">
        <f>+O52-O261</f>
        <v>0</v>
      </c>
      <c r="P447" s="863">
        <f>+P54-P261</f>
        <v>0</v>
      </c>
      <c r="S447" s="863">
        <f>+S52-S261</f>
        <v>0</v>
      </c>
      <c r="T447" s="863">
        <f>+T54-T261</f>
        <v>0</v>
      </c>
      <c r="W447" s="863">
        <f>+W52-W261</f>
        <v>0</v>
      </c>
      <c r="X447" s="863">
        <f>+X54-X261</f>
        <v>0</v>
      </c>
      <c r="Y447" s="863">
        <f>+Y52-Y261</f>
        <v>0</v>
      </c>
      <c r="Z447" s="863">
        <f>+Z54-Z261</f>
        <v>0</v>
      </c>
      <c r="AA447" s="863">
        <f>+AA52-AA261</f>
        <v>0</v>
      </c>
      <c r="AB447" s="863">
        <f>+AB54-AB261</f>
        <v>0</v>
      </c>
      <c r="AC447" s="863">
        <f>+AC52-AC261</f>
        <v>0</v>
      </c>
      <c r="AD447" s="863">
        <f>+AD54-AD261</f>
        <v>0</v>
      </c>
      <c r="AG447" s="863">
        <f>+AG52-AG261</f>
        <v>0</v>
      </c>
      <c r="AH447" s="863">
        <f>+AH54-AH261</f>
        <v>0</v>
      </c>
      <c r="AK447" s="863">
        <f>+AK52-AK261</f>
        <v>0</v>
      </c>
      <c r="AL447" s="863">
        <f>+AL54-AL261</f>
        <v>0</v>
      </c>
      <c r="AM447" s="863">
        <f>+AM52-AM261</f>
        <v>0</v>
      </c>
      <c r="AN447" s="863">
        <f>+AN54-AN261</f>
        <v>0</v>
      </c>
      <c r="AQ447" s="863">
        <f>+AQ52-AQ261</f>
        <v>0</v>
      </c>
      <c r="AR447" s="863">
        <f>+AR54-AR261</f>
        <v>0</v>
      </c>
      <c r="AU447" s="863">
        <f>+AU52-AU261</f>
        <v>0</v>
      </c>
      <c r="AV447" s="863">
        <f>+AV54-AV261</f>
        <v>0</v>
      </c>
      <c r="AY447" s="863">
        <f>+AY52-AY261</f>
        <v>0</v>
      </c>
      <c r="AZ447" s="863">
        <f>+AZ54-AZ261</f>
        <v>5.9999999983119778E-2</v>
      </c>
      <c r="BA447" s="863">
        <f>+BA52-BA261</f>
        <v>0</v>
      </c>
      <c r="BB447" s="863">
        <f>+BB54-BB261</f>
        <v>6.0000000026775524E-2</v>
      </c>
      <c r="BC447" s="863">
        <f>+BC52-BC261</f>
        <v>0</v>
      </c>
      <c r="BD447" s="863">
        <f>+BD54-BD261</f>
        <v>5.9999999997671694E-2</v>
      </c>
      <c r="BE447" s="863">
        <f>+BE52-BE261</f>
        <v>0</v>
      </c>
      <c r="BF447" s="863">
        <f>+BF54-BF261</f>
        <v>5.9999999939464033E-2</v>
      </c>
      <c r="BG447" s="4221"/>
      <c r="BH447" s="4221"/>
      <c r="BI447" s="4221"/>
      <c r="BJ447" s="4221"/>
      <c r="BK447" s="4221"/>
      <c r="BL447" s="4221"/>
      <c r="BM447" s="4221"/>
      <c r="BN447" s="4221"/>
      <c r="BO447" s="4221"/>
      <c r="BP447" s="4221"/>
      <c r="BQ447" s="4221"/>
      <c r="BR447" s="4221"/>
    </row>
    <row r="448" spans="1:81" s="421" customFormat="1" hidden="1" x14ac:dyDescent="0.25">
      <c r="A448" s="4947"/>
      <c r="B448" s="4944"/>
      <c r="E448" s="863">
        <f>+E18-E261</f>
        <v>0</v>
      </c>
      <c r="F448" s="863">
        <f>+F18-F261</f>
        <v>0</v>
      </c>
      <c r="G448" s="863">
        <f>+G18-G261</f>
        <v>0</v>
      </c>
      <c r="H448" s="863">
        <f>+H18-H261</f>
        <v>0</v>
      </c>
      <c r="K448" s="863">
        <f t="shared" ref="K448:P448" si="591">+K18-K261</f>
        <v>0</v>
      </c>
      <c r="L448" s="863">
        <f t="shared" si="591"/>
        <v>0</v>
      </c>
      <c r="M448" s="863">
        <f t="shared" si="591"/>
        <v>0</v>
      </c>
      <c r="N448" s="863">
        <f t="shared" si="591"/>
        <v>0</v>
      </c>
      <c r="O448" s="863">
        <f t="shared" si="591"/>
        <v>0</v>
      </c>
      <c r="P448" s="863">
        <f t="shared" si="591"/>
        <v>0</v>
      </c>
      <c r="S448" s="863">
        <f>+S18-S261</f>
        <v>0</v>
      </c>
      <c r="T448" s="863">
        <f>+T18-T261</f>
        <v>0</v>
      </c>
      <c r="W448" s="863">
        <f t="shared" ref="W448:AD448" si="592">+W18-W261</f>
        <v>0</v>
      </c>
      <c r="X448" s="863">
        <f t="shared" si="592"/>
        <v>0</v>
      </c>
      <c r="Y448" s="863">
        <f t="shared" si="592"/>
        <v>0</v>
      </c>
      <c r="Z448" s="863">
        <f t="shared" si="592"/>
        <v>0</v>
      </c>
      <c r="AA448" s="863">
        <f t="shared" si="592"/>
        <v>0</v>
      </c>
      <c r="AB448" s="863">
        <f t="shared" si="592"/>
        <v>0</v>
      </c>
      <c r="AC448" s="863">
        <f t="shared" si="592"/>
        <v>0</v>
      </c>
      <c r="AD448" s="863">
        <f t="shared" si="592"/>
        <v>0</v>
      </c>
      <c r="AG448" s="863">
        <f>+AG18-AG261</f>
        <v>0</v>
      </c>
      <c r="AH448" s="863">
        <f>+AH18-AH261</f>
        <v>0</v>
      </c>
      <c r="AK448" s="863">
        <f>+AK18-AK261</f>
        <v>0</v>
      </c>
      <c r="AL448" s="863">
        <f>+AL18-AL261</f>
        <v>0</v>
      </c>
      <c r="AM448" s="863">
        <f>+AM18-AM261</f>
        <v>0</v>
      </c>
      <c r="AN448" s="863">
        <f>+AN18-AN261</f>
        <v>0</v>
      </c>
      <c r="AQ448" s="863">
        <f>+AQ18-AQ261</f>
        <v>0</v>
      </c>
      <c r="AR448" s="863">
        <f>+AR18-AR261</f>
        <v>0</v>
      </c>
      <c r="AU448" s="863">
        <f>+AU18-AU261</f>
        <v>0</v>
      </c>
      <c r="AV448" s="863">
        <f>+AV18-AV261</f>
        <v>0</v>
      </c>
      <c r="AY448" s="863">
        <f t="shared" ref="AY448:BF448" si="593">+AY18-AY261</f>
        <v>0</v>
      </c>
      <c r="AZ448" s="863">
        <f t="shared" si="593"/>
        <v>0</v>
      </c>
      <c r="BA448" s="863">
        <f t="shared" si="593"/>
        <v>0</v>
      </c>
      <c r="BB448" s="863">
        <f t="shared" si="593"/>
        <v>0</v>
      </c>
      <c r="BC448" s="863">
        <f t="shared" si="593"/>
        <v>0</v>
      </c>
      <c r="BD448" s="863">
        <f t="shared" si="593"/>
        <v>0</v>
      </c>
      <c r="BE448" s="863">
        <f t="shared" si="593"/>
        <v>0</v>
      </c>
      <c r="BF448" s="863">
        <f t="shared" si="593"/>
        <v>0</v>
      </c>
      <c r="BG448" s="4221"/>
      <c r="BH448" s="4221"/>
      <c r="BI448" s="4221"/>
      <c r="BJ448" s="4221"/>
      <c r="BK448" s="4221"/>
      <c r="BL448" s="4221"/>
      <c r="BM448" s="4221"/>
      <c r="BN448" s="4221"/>
      <c r="BO448" s="4221"/>
      <c r="BP448" s="4221"/>
      <c r="BQ448" s="4221"/>
      <c r="BR448" s="4221"/>
    </row>
    <row r="449" spans="1:81" s="421" customFormat="1" hidden="1" x14ac:dyDescent="0.25">
      <c r="A449" s="4947"/>
      <c r="B449" s="4945"/>
      <c r="E449" s="4212"/>
      <c r="F449" s="863">
        <f>+F16-F266</f>
        <v>0</v>
      </c>
      <c r="G449" s="4212"/>
      <c r="H449" s="863">
        <f>+H16-H266</f>
        <v>0</v>
      </c>
      <c r="K449" s="4212"/>
      <c r="L449" s="863">
        <f>+L16-L266</f>
        <v>0</v>
      </c>
      <c r="M449" s="4212"/>
      <c r="N449" s="863">
        <f>+N16-N266</f>
        <v>0</v>
      </c>
      <c r="O449" s="4212"/>
      <c r="P449" s="863">
        <f>+P16-P266</f>
        <v>0</v>
      </c>
      <c r="S449" s="4212"/>
      <c r="T449" s="863">
        <f>+T16-T266</f>
        <v>0</v>
      </c>
      <c r="W449" s="4212"/>
      <c r="X449" s="863">
        <f>+X16-X266</f>
        <v>0</v>
      </c>
      <c r="Y449" s="4212"/>
      <c r="Z449" s="863">
        <f>+Z16-Z266</f>
        <v>0</v>
      </c>
      <c r="AA449" s="4212"/>
      <c r="AB449" s="863">
        <f>+AB16-AB266</f>
        <v>0</v>
      </c>
      <c r="AC449" s="4212"/>
      <c r="AD449" s="863">
        <f>+AD16-AD266</f>
        <v>0</v>
      </c>
      <c r="AG449" s="4212"/>
      <c r="AH449" s="863">
        <f>+AH16-AH266</f>
        <v>0</v>
      </c>
      <c r="AK449" s="4212"/>
      <c r="AL449" s="863">
        <f>+AL16-AL266</f>
        <v>0</v>
      </c>
      <c r="AM449" s="4212"/>
      <c r="AN449" s="863">
        <f>+AN16-AN266</f>
        <v>0</v>
      </c>
      <c r="AQ449" s="4212"/>
      <c r="AR449" s="863">
        <f>+AR16-AR266</f>
        <v>0</v>
      </c>
      <c r="AU449" s="4212"/>
      <c r="AV449" s="863">
        <f>+AV16-AV266</f>
        <v>0</v>
      </c>
      <c r="AY449" s="4212"/>
      <c r="AZ449" s="863">
        <f>+AZ16-AZ266</f>
        <v>0</v>
      </c>
      <c r="BA449" s="4212"/>
      <c r="BB449" s="863">
        <f>+BB16-BB266</f>
        <v>0</v>
      </c>
      <c r="BC449" s="4212"/>
      <c r="BD449" s="863">
        <f>+BD16-BD266</f>
        <v>0</v>
      </c>
      <c r="BE449" s="4212"/>
      <c r="BF449" s="863">
        <f>+BF16-BF266</f>
        <v>0</v>
      </c>
      <c r="BG449" s="4221"/>
      <c r="BH449" s="4221"/>
      <c r="BI449" s="4221"/>
      <c r="BJ449" s="4221"/>
      <c r="BK449" s="4221"/>
      <c r="BL449" s="4221"/>
      <c r="BM449" s="4221"/>
      <c r="BN449" s="4221"/>
      <c r="BO449" s="4221"/>
      <c r="BP449" s="4221"/>
      <c r="BQ449" s="4221"/>
      <c r="BR449" s="4221"/>
    </row>
    <row r="450" spans="1:81" s="1081" customFormat="1" hidden="1" x14ac:dyDescent="0.25">
      <c r="A450" s="4947"/>
      <c r="B450" s="4943" t="s">
        <v>1846</v>
      </c>
      <c r="D450" s="4349"/>
      <c r="E450" s="4353">
        <f>+E24-E56</f>
        <v>0</v>
      </c>
      <c r="F450" s="980">
        <f>+F24-F58</f>
        <v>0</v>
      </c>
      <c r="G450" s="4353">
        <f>+G24-G56</f>
        <v>0</v>
      </c>
      <c r="H450" s="980">
        <f>+H24-H58</f>
        <v>0</v>
      </c>
      <c r="I450" s="4350"/>
      <c r="J450" s="1791"/>
      <c r="K450" s="4353">
        <f>+K24-K56</f>
        <v>0</v>
      </c>
      <c r="L450" s="980">
        <f>+L24-L58</f>
        <v>0</v>
      </c>
      <c r="M450" s="4353">
        <f>+M24-M56</f>
        <v>0</v>
      </c>
      <c r="N450" s="980">
        <f>+N24-N58</f>
        <v>0</v>
      </c>
      <c r="O450" s="4353">
        <f>+O24-O56</f>
        <v>0</v>
      </c>
      <c r="P450" s="980">
        <f>+P24-P58</f>
        <v>0</v>
      </c>
      <c r="Q450" s="4350"/>
      <c r="S450" s="4353">
        <f>+S24-S56</f>
        <v>0</v>
      </c>
      <c r="T450" s="980">
        <f>+T24-T58</f>
        <v>0</v>
      </c>
      <c r="U450" s="4350"/>
      <c r="W450" s="4353">
        <f>+W24-W56</f>
        <v>0</v>
      </c>
      <c r="X450" s="980">
        <f>+X24-X58</f>
        <v>0</v>
      </c>
      <c r="Y450" s="4353">
        <f>+Y24-Y56</f>
        <v>0</v>
      </c>
      <c r="Z450" s="980">
        <f>+Z24-Z58</f>
        <v>0</v>
      </c>
      <c r="AA450" s="4353">
        <f>+AA24-AA56</f>
        <v>0</v>
      </c>
      <c r="AB450" s="980">
        <f>+AB24-AB58</f>
        <v>0</v>
      </c>
      <c r="AC450" s="4353">
        <f>+AC24-AC56</f>
        <v>0</v>
      </c>
      <c r="AD450" s="980">
        <f>+AD24-AD58</f>
        <v>0</v>
      </c>
      <c r="AG450" s="4353">
        <f>+AG24-AG56</f>
        <v>0</v>
      </c>
      <c r="AH450" s="980">
        <f>+AH24-AH58</f>
        <v>0</v>
      </c>
      <c r="AK450" s="4353">
        <f>+AK24-AK56</f>
        <v>0</v>
      </c>
      <c r="AL450" s="980">
        <f>+AL24-AL58</f>
        <v>0</v>
      </c>
      <c r="AM450" s="4353">
        <f>+AM24-AM56</f>
        <v>0</v>
      </c>
      <c r="AN450" s="980">
        <f>+AN24-AN58</f>
        <v>0</v>
      </c>
      <c r="AO450" s="4351"/>
      <c r="AP450" s="1671"/>
      <c r="AQ450" s="4353">
        <f>+AQ24-AQ56</f>
        <v>0</v>
      </c>
      <c r="AR450" s="980">
        <f>+AR24-AR58</f>
        <v>0</v>
      </c>
      <c r="AS450" s="4350"/>
      <c r="AU450" s="4353">
        <f>+AU24-AU56</f>
        <v>0</v>
      </c>
      <c r="AV450" s="980">
        <f>+AV24-AV58</f>
        <v>0</v>
      </c>
      <c r="AW450" s="4350"/>
      <c r="AY450" s="4353">
        <f>+AY24-AY56</f>
        <v>0</v>
      </c>
      <c r="AZ450" s="980">
        <f>+AZ24-AZ58</f>
        <v>0</v>
      </c>
      <c r="BA450" s="4353">
        <f>+BA24-BA56</f>
        <v>0</v>
      </c>
      <c r="BB450" s="980">
        <f>+BB24-BB58</f>
        <v>0</v>
      </c>
      <c r="BC450" s="4353">
        <f>+BC24-BC56</f>
        <v>0</v>
      </c>
      <c r="BD450" s="980">
        <f>+BD24-BD58</f>
        <v>0</v>
      </c>
      <c r="BE450" s="4353">
        <f>+BE24-BE56</f>
        <v>0</v>
      </c>
      <c r="BF450" s="980">
        <f>+BF24-BF58</f>
        <v>0</v>
      </c>
      <c r="BG450" s="4221"/>
      <c r="BH450" s="4221"/>
      <c r="BI450" s="4221"/>
      <c r="BJ450" s="4221"/>
      <c r="BK450" s="4221"/>
      <c r="BL450" s="4221"/>
      <c r="BM450" s="4221"/>
      <c r="BN450" s="4221"/>
      <c r="BO450" s="4221"/>
      <c r="BP450" s="4221"/>
      <c r="BQ450" s="4221"/>
      <c r="BR450" s="4221"/>
      <c r="BS450" s="421"/>
      <c r="BT450" s="421"/>
      <c r="BU450" s="421"/>
      <c r="BV450" s="421"/>
      <c r="BW450" s="421"/>
      <c r="BX450" s="421"/>
      <c r="BY450" s="421"/>
      <c r="BZ450" s="421"/>
      <c r="CA450" s="421"/>
      <c r="CB450" s="421"/>
      <c r="CC450" s="421"/>
    </row>
    <row r="451" spans="1:81" s="1081" customFormat="1" hidden="1" x14ac:dyDescent="0.25">
      <c r="A451" s="4947"/>
      <c r="B451" s="4944"/>
      <c r="D451" s="4349"/>
      <c r="E451" s="4353">
        <f>+E56-E319</f>
        <v>0</v>
      </c>
      <c r="F451" s="980">
        <f>+F58-F319</f>
        <v>0</v>
      </c>
      <c r="G451" s="4353">
        <f>+G56-G319</f>
        <v>0</v>
      </c>
      <c r="H451" s="980">
        <f>+H58-H319</f>
        <v>0</v>
      </c>
      <c r="I451" s="4350"/>
      <c r="J451" s="1791"/>
      <c r="K451" s="4353">
        <f>+K56-K319</f>
        <v>0</v>
      </c>
      <c r="L451" s="980">
        <f>+L58-L319</f>
        <v>0</v>
      </c>
      <c r="M451" s="4353">
        <f>+M56-M319</f>
        <v>0</v>
      </c>
      <c r="N451" s="980">
        <f>+N58-N319</f>
        <v>0</v>
      </c>
      <c r="O451" s="4353">
        <f>+O56-O319</f>
        <v>0</v>
      </c>
      <c r="P451" s="980">
        <f>+P58-P319</f>
        <v>0</v>
      </c>
      <c r="Q451" s="4350"/>
      <c r="S451" s="4353">
        <f>+S56-S319</f>
        <v>0</v>
      </c>
      <c r="T451" s="980">
        <f>+T58-T319</f>
        <v>0</v>
      </c>
      <c r="U451" s="4350"/>
      <c r="W451" s="4353">
        <f>+W56-W319</f>
        <v>0</v>
      </c>
      <c r="X451" s="980">
        <f>+X58-X319</f>
        <v>0</v>
      </c>
      <c r="Y451" s="4353">
        <f>+Y56-Y319</f>
        <v>0</v>
      </c>
      <c r="Z451" s="980">
        <f>+Z58-Z319</f>
        <v>0</v>
      </c>
      <c r="AA451" s="4353">
        <f>+AA56-AA319</f>
        <v>0</v>
      </c>
      <c r="AB451" s="980">
        <f>+AB58-AB319</f>
        <v>0</v>
      </c>
      <c r="AC451" s="4353">
        <f>+AC56-AC319</f>
        <v>0</v>
      </c>
      <c r="AD451" s="980">
        <f>+AD58-AD319</f>
        <v>0</v>
      </c>
      <c r="AG451" s="4353">
        <f>+AG56-AG319</f>
        <v>0</v>
      </c>
      <c r="AH451" s="980">
        <f>+AH58-AH319</f>
        <v>0</v>
      </c>
      <c r="AK451" s="4353">
        <f>+AK56-AK319</f>
        <v>0</v>
      </c>
      <c r="AL451" s="980">
        <f>+AL58-AL319</f>
        <v>0</v>
      </c>
      <c r="AM451" s="4353">
        <f>+AM56-AM319</f>
        <v>0</v>
      </c>
      <c r="AN451" s="980">
        <f>+AN58-AN319</f>
        <v>0</v>
      </c>
      <c r="AO451" s="4351"/>
      <c r="AP451" s="1671"/>
      <c r="AQ451" s="4353">
        <f>+AQ56-AQ319</f>
        <v>0</v>
      </c>
      <c r="AR451" s="980">
        <f>+AR58-AR319</f>
        <v>0</v>
      </c>
      <c r="AS451" s="4350"/>
      <c r="AU451" s="4353">
        <f>+AU56-AU319</f>
        <v>0</v>
      </c>
      <c r="AV451" s="980">
        <f>+AV58-AV319</f>
        <v>0</v>
      </c>
      <c r="AW451" s="4350"/>
      <c r="AY451" s="4353">
        <f>+AY56-AY319</f>
        <v>0</v>
      </c>
      <c r="AZ451" s="980">
        <f>+AZ58-AZ319</f>
        <v>0</v>
      </c>
      <c r="BA451" s="4353">
        <f>+BA56-BA319</f>
        <v>0</v>
      </c>
      <c r="BB451" s="980">
        <f>+BB58-BB319</f>
        <v>0</v>
      </c>
      <c r="BC451" s="4353">
        <f>+BC56-BC319</f>
        <v>0</v>
      </c>
      <c r="BD451" s="980">
        <f>+BD58-BD319</f>
        <v>0</v>
      </c>
      <c r="BE451" s="4353">
        <f>+BE56-BE319</f>
        <v>0</v>
      </c>
      <c r="BF451" s="980">
        <f>+BF58-BF319</f>
        <v>0</v>
      </c>
      <c r="BG451" s="4221"/>
      <c r="BH451" s="4221"/>
      <c r="BI451" s="4221"/>
      <c r="BJ451" s="4221"/>
      <c r="BK451" s="4221"/>
      <c r="BL451" s="4221"/>
      <c r="BM451" s="4221"/>
      <c r="BN451" s="4221"/>
      <c r="BO451" s="4221"/>
      <c r="BP451" s="4221"/>
      <c r="BQ451" s="4221"/>
      <c r="BR451" s="4221"/>
      <c r="BS451" s="421"/>
      <c r="BT451" s="421"/>
      <c r="BU451" s="421"/>
      <c r="BV451" s="421"/>
      <c r="BW451" s="421"/>
      <c r="BX451" s="421"/>
      <c r="BY451" s="421"/>
      <c r="BZ451" s="421"/>
      <c r="CA451" s="421"/>
      <c r="CB451" s="421"/>
      <c r="CC451" s="421"/>
    </row>
    <row r="452" spans="1:81" s="1081" customFormat="1" hidden="1" x14ac:dyDescent="0.25">
      <c r="A452" s="4947"/>
      <c r="B452" s="4944"/>
      <c r="D452" s="4349"/>
      <c r="E452" s="4353">
        <f>E24-E319</f>
        <v>0</v>
      </c>
      <c r="F452" s="980">
        <f>+F24-F319</f>
        <v>0</v>
      </c>
      <c r="G452" s="4353">
        <f>G24-G319</f>
        <v>0</v>
      </c>
      <c r="H452" s="980">
        <f>+H24-H319</f>
        <v>0</v>
      </c>
      <c r="I452" s="4350"/>
      <c r="J452" s="1791"/>
      <c r="K452" s="4353">
        <f>K24-K319</f>
        <v>0</v>
      </c>
      <c r="L452" s="980">
        <f>+L24-L319</f>
        <v>0</v>
      </c>
      <c r="M452" s="4353">
        <f>M24-M319</f>
        <v>0</v>
      </c>
      <c r="N452" s="980">
        <f>+N24-N319</f>
        <v>0</v>
      </c>
      <c r="O452" s="4353">
        <f>O24-O319</f>
        <v>0</v>
      </c>
      <c r="P452" s="980">
        <f>+P24-P319</f>
        <v>0</v>
      </c>
      <c r="Q452" s="4350"/>
      <c r="S452" s="4353">
        <f>S24-S319</f>
        <v>0</v>
      </c>
      <c r="T452" s="980">
        <f>+T24-T319</f>
        <v>0</v>
      </c>
      <c r="U452" s="4350"/>
      <c r="W452" s="4353">
        <f>W24-W319</f>
        <v>0</v>
      </c>
      <c r="X452" s="980">
        <f>+X24-X319</f>
        <v>0</v>
      </c>
      <c r="Y452" s="4353">
        <f>Y24-Y319</f>
        <v>0</v>
      </c>
      <c r="Z452" s="980">
        <f>+Z24-Z319</f>
        <v>0</v>
      </c>
      <c r="AA452" s="4353">
        <f>AA24-AA319</f>
        <v>0</v>
      </c>
      <c r="AB452" s="980">
        <f>+AB24-AB319</f>
        <v>0</v>
      </c>
      <c r="AC452" s="4353">
        <f>AC24-AC319</f>
        <v>0</v>
      </c>
      <c r="AD452" s="980">
        <f>+AD24-AD319</f>
        <v>0</v>
      </c>
      <c r="AG452" s="4353">
        <f>AG24-AG319</f>
        <v>0</v>
      </c>
      <c r="AH452" s="980">
        <f>+AH24-AH319</f>
        <v>0</v>
      </c>
      <c r="AK452" s="4353">
        <f>AK24-AK319</f>
        <v>0</v>
      </c>
      <c r="AL452" s="980">
        <f>+AL24-AL319</f>
        <v>0</v>
      </c>
      <c r="AM452" s="4353">
        <f>AM24-AM319</f>
        <v>0</v>
      </c>
      <c r="AN452" s="980">
        <f>+AN24-AN319</f>
        <v>0</v>
      </c>
      <c r="AO452" s="4351"/>
      <c r="AP452" s="1671"/>
      <c r="AQ452" s="4353">
        <f>AQ24-AQ319</f>
        <v>0</v>
      </c>
      <c r="AR452" s="980">
        <f>+AR24-AR319</f>
        <v>0</v>
      </c>
      <c r="AS452" s="4350"/>
      <c r="AU452" s="4353">
        <f>AU24-AU319</f>
        <v>0</v>
      </c>
      <c r="AV452" s="980">
        <f>+AV24-AV319</f>
        <v>0</v>
      </c>
      <c r="AW452" s="4350"/>
      <c r="AY452" s="4353">
        <f>AY24-AY319</f>
        <v>0</v>
      </c>
      <c r="AZ452" s="980">
        <f>+AZ24-AZ319</f>
        <v>0</v>
      </c>
      <c r="BA452" s="4353">
        <f>BA24-BA319</f>
        <v>0</v>
      </c>
      <c r="BB452" s="980">
        <f>+BB24-BB319</f>
        <v>0</v>
      </c>
      <c r="BC452" s="4353">
        <f>BC24-BC319</f>
        <v>0</v>
      </c>
      <c r="BD452" s="980">
        <f>+BD24-BD319</f>
        <v>0</v>
      </c>
      <c r="BE452" s="4353">
        <f>BE24-BE319</f>
        <v>0</v>
      </c>
      <c r="BF452" s="980">
        <f>+BF24-BF319</f>
        <v>0</v>
      </c>
      <c r="BG452" s="4221"/>
      <c r="BH452" s="4221"/>
      <c r="BI452" s="4221"/>
      <c r="BJ452" s="4221"/>
      <c r="BK452" s="4221"/>
      <c r="BL452" s="4221"/>
      <c r="BM452" s="4221"/>
      <c r="BN452" s="4221"/>
      <c r="BO452" s="4221"/>
      <c r="BP452" s="4221"/>
      <c r="BQ452" s="4221"/>
      <c r="BR452" s="4221"/>
      <c r="BS452" s="421"/>
      <c r="BT452" s="421"/>
      <c r="BU452" s="421"/>
      <c r="BV452" s="421"/>
      <c r="BW452" s="421"/>
      <c r="BX452" s="421"/>
      <c r="BY452" s="421"/>
      <c r="BZ452" s="421"/>
      <c r="CA452" s="421"/>
      <c r="CB452" s="421"/>
      <c r="CC452" s="421"/>
    </row>
    <row r="453" spans="1:81" s="1081" customFormat="1" hidden="1" x14ac:dyDescent="0.25">
      <c r="A453" s="4948"/>
      <c r="B453" s="4945"/>
      <c r="D453" s="4349"/>
      <c r="E453" s="342"/>
      <c r="F453" s="980">
        <f>+F22-F332</f>
        <v>0</v>
      </c>
      <c r="G453" s="342"/>
      <c r="H453" s="980">
        <f>+H22-H332</f>
        <v>0</v>
      </c>
      <c r="I453" s="4350"/>
      <c r="J453" s="1791"/>
      <c r="K453" s="342"/>
      <c r="L453" s="980">
        <f>+L22-L332</f>
        <v>0</v>
      </c>
      <c r="M453" s="342"/>
      <c r="N453" s="980">
        <f>+N22-N332</f>
        <v>0</v>
      </c>
      <c r="O453" s="342"/>
      <c r="P453" s="980">
        <f>+P22-P332</f>
        <v>0</v>
      </c>
      <c r="Q453" s="4350"/>
      <c r="S453" s="342"/>
      <c r="T453" s="980">
        <f>+T22-T332</f>
        <v>0</v>
      </c>
      <c r="U453" s="4350"/>
      <c r="W453" s="342"/>
      <c r="X453" s="980">
        <f>+X22-X332</f>
        <v>0</v>
      </c>
      <c r="Y453" s="342"/>
      <c r="Z453" s="980">
        <f>+Z22-Z332</f>
        <v>0</v>
      </c>
      <c r="AA453" s="342"/>
      <c r="AB453" s="980">
        <f>+AB22-AB332</f>
        <v>0</v>
      </c>
      <c r="AC453" s="342"/>
      <c r="AD453" s="980">
        <f>+AD22-AD332</f>
        <v>0</v>
      </c>
      <c r="AG453" s="342"/>
      <c r="AH453" s="980">
        <f>+AH22-AH332</f>
        <v>0</v>
      </c>
      <c r="AK453" s="342"/>
      <c r="AL453" s="980">
        <f>+AL22-AL332</f>
        <v>0</v>
      </c>
      <c r="AM453" s="342"/>
      <c r="AN453" s="980">
        <f>+AN22-AN332</f>
        <v>0</v>
      </c>
      <c r="AO453" s="4351"/>
      <c r="AP453" s="1671"/>
      <c r="AQ453" s="342"/>
      <c r="AR453" s="980">
        <f>+AR22-AR332</f>
        <v>-0.61999999999997613</v>
      </c>
      <c r="AS453" s="4350"/>
      <c r="AU453" s="342"/>
      <c r="AV453" s="980">
        <f>+AV22-AV332</f>
        <v>0</v>
      </c>
      <c r="AW453" s="4350"/>
      <c r="AY453" s="342"/>
      <c r="AZ453" s="980">
        <f>+AZ22-AZ332</f>
        <v>-0.31999999999993634</v>
      </c>
      <c r="BA453" s="342"/>
      <c r="BB453" s="980">
        <f>+BB22-BB332</f>
        <v>-0.94000000000005457</v>
      </c>
      <c r="BC453" s="342"/>
      <c r="BD453" s="980">
        <f>+BD22-BD332</f>
        <v>-0.93999999999959982</v>
      </c>
      <c r="BE453" s="342"/>
      <c r="BF453" s="980">
        <f>+BF22-BF332</f>
        <v>-0.93999999999959982</v>
      </c>
      <c r="BG453" s="4221"/>
      <c r="BH453" s="4221"/>
      <c r="BI453" s="4221"/>
      <c r="BJ453" s="4221"/>
      <c r="BK453" s="4221"/>
      <c r="BL453" s="4221"/>
      <c r="BM453" s="4221"/>
      <c r="BN453" s="4221"/>
      <c r="BO453" s="4221"/>
      <c r="BP453" s="4221"/>
      <c r="BQ453" s="4221"/>
      <c r="BR453" s="4221"/>
      <c r="BS453" s="421"/>
      <c r="BT453" s="421"/>
      <c r="BU453" s="421"/>
      <c r="BV453" s="421"/>
      <c r="BW453" s="421"/>
      <c r="BX453" s="421"/>
      <c r="BY453" s="421"/>
      <c r="BZ453" s="421"/>
      <c r="CA453" s="421"/>
      <c r="CB453" s="421"/>
      <c r="CC453" s="421"/>
    </row>
    <row r="454" spans="1:81" s="334" customFormat="1" hidden="1" x14ac:dyDescent="0.25">
      <c r="B454" s="4943" t="s">
        <v>561</v>
      </c>
      <c r="C454" s="979"/>
      <c r="D454" s="4352"/>
      <c r="E454" s="4353">
        <f>+E31-E60</f>
        <v>0</v>
      </c>
      <c r="F454" s="980">
        <f>+F31-F62</f>
        <v>0</v>
      </c>
      <c r="G454" s="4353">
        <f>+G31-G60</f>
        <v>0</v>
      </c>
      <c r="H454" s="980">
        <f>+H31-H62</f>
        <v>0</v>
      </c>
      <c r="I454" s="342"/>
      <c r="J454" s="2555"/>
      <c r="K454" s="4353">
        <f>+K31-K60</f>
        <v>0</v>
      </c>
      <c r="L454" s="980">
        <f>+L31-L62</f>
        <v>-0.13000000000465661</v>
      </c>
      <c r="M454" s="4353">
        <f>+M31-M60</f>
        <v>0</v>
      </c>
      <c r="N454" s="980">
        <f>+N31-N62</f>
        <v>-0.13000000000465661</v>
      </c>
      <c r="O454" s="4353">
        <f>+O31-O60</f>
        <v>0</v>
      </c>
      <c r="P454" s="980">
        <f>+P31-P62</f>
        <v>0</v>
      </c>
      <c r="Q454" s="342"/>
      <c r="R454" s="979"/>
      <c r="S454" s="4353">
        <f>+S31-S60</f>
        <v>0</v>
      </c>
      <c r="T454" s="980">
        <f>+T31-T62</f>
        <v>0</v>
      </c>
      <c r="U454" s="342"/>
      <c r="V454" s="979"/>
      <c r="W454" s="4353">
        <f>+W31-W60</f>
        <v>0</v>
      </c>
      <c r="X454" s="980">
        <f>+X31-X62</f>
        <v>0</v>
      </c>
      <c r="Y454" s="4353">
        <f>+Y31-Y60</f>
        <v>0</v>
      </c>
      <c r="Z454" s="980">
        <f>+Z31-Z62</f>
        <v>0</v>
      </c>
      <c r="AA454" s="4353">
        <f>+AA31-AA60</f>
        <v>0</v>
      </c>
      <c r="AB454" s="980">
        <f>+AB31-AB62</f>
        <v>-0.13000000000465661</v>
      </c>
      <c r="AC454" s="4353">
        <f>+AC31-AC60</f>
        <v>0</v>
      </c>
      <c r="AD454" s="980">
        <f>+AD31-AD62</f>
        <v>0</v>
      </c>
      <c r="AE454" s="979"/>
      <c r="AF454" s="979"/>
      <c r="AG454" s="4353">
        <f>+AG31-AG60</f>
        <v>0</v>
      </c>
      <c r="AH454" s="980">
        <f>+AH31-AH62</f>
        <v>-0.47999999999592546</v>
      </c>
      <c r="AI454" s="979"/>
      <c r="AJ454" s="979"/>
      <c r="AK454" s="4353">
        <f>+AK31-AK60</f>
        <v>0</v>
      </c>
      <c r="AL454" s="980">
        <f>+AL31-AL62</f>
        <v>0</v>
      </c>
      <c r="AM454" s="4353">
        <f>+AM31-AM60</f>
        <v>0</v>
      </c>
      <c r="AN454" s="980">
        <f>+AN31-AN62</f>
        <v>-0.48000000001047738</v>
      </c>
      <c r="AO454" s="4354"/>
      <c r="AP454" s="4355"/>
      <c r="AQ454" s="4353">
        <f>+AQ31-AQ60</f>
        <v>0</v>
      </c>
      <c r="AR454" s="980">
        <f>+AR31-AR62</f>
        <v>0</v>
      </c>
      <c r="AS454" s="342"/>
      <c r="AT454" s="979"/>
      <c r="AU454" s="4353">
        <f>+AU31-AU60</f>
        <v>0</v>
      </c>
      <c r="AV454" s="980">
        <f>+AV31-AV62</f>
        <v>0</v>
      </c>
      <c r="AW454" s="342"/>
      <c r="AX454" s="979"/>
      <c r="AY454" s="4353">
        <f>+AY31-AY60</f>
        <v>0</v>
      </c>
      <c r="AZ454" s="980">
        <f>+AZ31-AZ62</f>
        <v>0</v>
      </c>
      <c r="BA454" s="4353">
        <f>+BA31-BA60</f>
        <v>0</v>
      </c>
      <c r="BB454" s="980">
        <f>+BB31-BB62</f>
        <v>0</v>
      </c>
      <c r="BC454" s="4353">
        <f>+BC31-BC60</f>
        <v>0</v>
      </c>
      <c r="BD454" s="980">
        <f>+BD31-BD62</f>
        <v>-0.47999999998137355</v>
      </c>
      <c r="BE454" s="4353">
        <f>+BE31-BE60</f>
        <v>0</v>
      </c>
      <c r="BF454" s="980">
        <f>+BF31-BF62</f>
        <v>-0.61000000010244548</v>
      </c>
      <c r="BG454" s="1726"/>
      <c r="BH454" s="1726"/>
      <c r="BI454" s="1726"/>
      <c r="BJ454" s="1726"/>
      <c r="BK454" s="1726"/>
      <c r="BL454" s="1726"/>
      <c r="BM454" s="1726"/>
      <c r="BN454" s="1726"/>
      <c r="BO454" s="1726"/>
      <c r="BP454" s="1726"/>
      <c r="BQ454" s="1726"/>
      <c r="BR454" s="1726"/>
      <c r="BS454" s="1726"/>
      <c r="BT454" s="1726"/>
      <c r="BU454" s="1726"/>
      <c r="BV454" s="1726"/>
      <c r="BW454" s="1726"/>
      <c r="BX454" s="1726"/>
      <c r="BY454" s="1726"/>
      <c r="BZ454" s="1726"/>
      <c r="CA454" s="1726"/>
      <c r="CB454" s="1726"/>
      <c r="CC454" s="1726"/>
    </row>
    <row r="455" spans="1:81" s="334" customFormat="1" hidden="1" x14ac:dyDescent="0.25">
      <c r="B455" s="4944"/>
      <c r="C455" s="979"/>
      <c r="D455" s="4352"/>
      <c r="E455" s="4353">
        <f>+E60-E415</f>
        <v>0</v>
      </c>
      <c r="F455" s="980">
        <f>+F62-F415</f>
        <v>0</v>
      </c>
      <c r="G455" s="4353">
        <f>+G60-G415</f>
        <v>0</v>
      </c>
      <c r="H455" s="980">
        <f>+H62-H415</f>
        <v>0</v>
      </c>
      <c r="I455" s="342"/>
      <c r="J455" s="2555"/>
      <c r="K455" s="4353">
        <f>+K60-K415</f>
        <v>0</v>
      </c>
      <c r="L455" s="980">
        <f>+L62-L415</f>
        <v>0.13000000000465661</v>
      </c>
      <c r="M455" s="4353">
        <f>+M60-M415</f>
        <v>0</v>
      </c>
      <c r="N455" s="980">
        <f>+N62-N415</f>
        <v>0.13000000000465661</v>
      </c>
      <c r="O455" s="4353">
        <f>+O60-O415</f>
        <v>0</v>
      </c>
      <c r="P455" s="980">
        <f>+P62-P415</f>
        <v>0</v>
      </c>
      <c r="Q455" s="342"/>
      <c r="R455" s="979"/>
      <c r="S455" s="4353">
        <f>+S60-S415</f>
        <v>0</v>
      </c>
      <c r="T455" s="980">
        <f>+T62-T415</f>
        <v>0</v>
      </c>
      <c r="U455" s="342"/>
      <c r="V455" s="979"/>
      <c r="W455" s="4353">
        <f>+W60-W415</f>
        <v>0</v>
      </c>
      <c r="X455" s="980">
        <f>+X62-X415</f>
        <v>-8.0000000016298145E-2</v>
      </c>
      <c r="Y455" s="4353">
        <f>+Y60-Y415</f>
        <v>0</v>
      </c>
      <c r="Z455" s="980">
        <f>+Z62-Z415</f>
        <v>-7.9999999987194315E-2</v>
      </c>
      <c r="AA455" s="4353">
        <f>+AA60-AA415</f>
        <v>0</v>
      </c>
      <c r="AB455" s="980">
        <f>+AB62-AB415</f>
        <v>4.9999999988358468E-2</v>
      </c>
      <c r="AC455" s="4353">
        <f>+AC60-AC415</f>
        <v>0</v>
      </c>
      <c r="AD455" s="980">
        <f>+AD62-AD415</f>
        <v>0</v>
      </c>
      <c r="AE455" s="979"/>
      <c r="AF455" s="979"/>
      <c r="AG455" s="4353">
        <f>+AG60-AG415</f>
        <v>0</v>
      </c>
      <c r="AH455" s="980">
        <f>+AH62-AH415</f>
        <v>0</v>
      </c>
      <c r="AI455" s="979"/>
      <c r="AJ455" s="979"/>
      <c r="AK455" s="4353">
        <f>+AK60-AK415</f>
        <v>0</v>
      </c>
      <c r="AL455" s="980">
        <f>+AL62-AL415</f>
        <v>0</v>
      </c>
      <c r="AM455" s="4353">
        <f>+AM60-AM415</f>
        <v>0</v>
      </c>
      <c r="AN455" s="980">
        <f>+AN62-AN415</f>
        <v>0</v>
      </c>
      <c r="AO455" s="4354"/>
      <c r="AP455" s="4355"/>
      <c r="AQ455" s="4353">
        <f>+AQ60-AQ415</f>
        <v>0</v>
      </c>
      <c r="AR455" s="980">
        <f>+AR62-AR415</f>
        <v>0</v>
      </c>
      <c r="AS455" s="342"/>
      <c r="AT455" s="979"/>
      <c r="AU455" s="4353">
        <f>+AU60-AU415</f>
        <v>0</v>
      </c>
      <c r="AV455" s="980">
        <f>+AV62-AV415</f>
        <v>0</v>
      </c>
      <c r="AW455" s="342"/>
      <c r="AX455" s="979"/>
      <c r="AY455" s="4353">
        <f>+AY60-AY415</f>
        <v>0</v>
      </c>
      <c r="AZ455" s="980">
        <f>+AZ62-AZ415</f>
        <v>-2.0000000004074536E-2</v>
      </c>
      <c r="BA455" s="4353">
        <f>+BA60-BA415</f>
        <v>0</v>
      </c>
      <c r="BB455" s="980">
        <f>+BB62-BB415</f>
        <v>-2.0000000018626451E-2</v>
      </c>
      <c r="BC455" s="4353">
        <f>+BC60-BC415</f>
        <v>0</v>
      </c>
      <c r="BD455" s="980">
        <f>+BD62-BD415</f>
        <v>-2.0000000076834112E-2</v>
      </c>
      <c r="BE455" s="4353">
        <f>+BE60-BE415</f>
        <v>0</v>
      </c>
      <c r="BF455" s="980">
        <f>+BF62-BF415</f>
        <v>3.0000000144354999E-2</v>
      </c>
      <c r="BG455" s="1726"/>
      <c r="BH455" s="1726"/>
      <c r="BI455" s="1726"/>
      <c r="BJ455" s="1726"/>
      <c r="BK455" s="1726"/>
      <c r="BL455" s="1726"/>
      <c r="BM455" s="1726"/>
      <c r="BN455" s="1726"/>
      <c r="BO455" s="1726"/>
      <c r="BP455" s="1726"/>
      <c r="BQ455" s="1726"/>
      <c r="BR455" s="1726"/>
      <c r="BS455" s="1726"/>
      <c r="BT455" s="1726"/>
      <c r="BU455" s="1726"/>
      <c r="BV455" s="1726"/>
      <c r="BW455" s="1726"/>
      <c r="BX455" s="1726"/>
      <c r="BY455" s="1726"/>
      <c r="BZ455" s="1726"/>
      <c r="CA455" s="1726"/>
      <c r="CB455" s="1726"/>
      <c r="CC455" s="1726"/>
    </row>
    <row r="456" spans="1:81" s="334" customFormat="1" hidden="1" x14ac:dyDescent="0.25">
      <c r="B456" s="4944"/>
      <c r="C456" s="979"/>
      <c r="D456" s="4352"/>
      <c r="E456" s="4353">
        <f>+E31-E415</f>
        <v>0</v>
      </c>
      <c r="F456" s="980">
        <f>+F31-F415</f>
        <v>0</v>
      </c>
      <c r="G456" s="4353">
        <f>+G31-G415</f>
        <v>0</v>
      </c>
      <c r="H456" s="980">
        <f>+H31-H415</f>
        <v>0</v>
      </c>
      <c r="I456" s="342"/>
      <c r="J456" s="2555"/>
      <c r="K456" s="4353">
        <f t="shared" ref="K456:P456" si="594">+K31-K415</f>
        <v>0</v>
      </c>
      <c r="L456" s="980">
        <f t="shared" si="594"/>
        <v>0</v>
      </c>
      <c r="M456" s="4353">
        <f t="shared" si="594"/>
        <v>0</v>
      </c>
      <c r="N456" s="980">
        <f t="shared" si="594"/>
        <v>0</v>
      </c>
      <c r="O456" s="4353">
        <f t="shared" si="594"/>
        <v>0</v>
      </c>
      <c r="P456" s="980">
        <f t="shared" si="594"/>
        <v>0</v>
      </c>
      <c r="Q456" s="342"/>
      <c r="R456" s="979"/>
      <c r="S456" s="4353">
        <f>+S31-S415</f>
        <v>0</v>
      </c>
      <c r="T456" s="980">
        <f>+T31-T415</f>
        <v>0</v>
      </c>
      <c r="U456" s="342"/>
      <c r="V456" s="979"/>
      <c r="W456" s="4353">
        <f t="shared" ref="W456:AD456" si="595">+W31-W415</f>
        <v>0</v>
      </c>
      <c r="X456" s="980">
        <f t="shared" si="595"/>
        <v>-8.0000000045401976E-2</v>
      </c>
      <c r="Y456" s="4353">
        <f t="shared" si="595"/>
        <v>0</v>
      </c>
      <c r="Z456" s="980">
        <f t="shared" si="595"/>
        <v>-8.0000000016298145E-2</v>
      </c>
      <c r="AA456" s="4353">
        <f t="shared" si="595"/>
        <v>0</v>
      </c>
      <c r="AB456" s="980">
        <f t="shared" si="595"/>
        <v>-8.0000000016298145E-2</v>
      </c>
      <c r="AC456" s="4353">
        <f t="shared" si="595"/>
        <v>0</v>
      </c>
      <c r="AD456" s="980">
        <f t="shared" si="595"/>
        <v>0</v>
      </c>
      <c r="AE456" s="979"/>
      <c r="AF456" s="979"/>
      <c r="AG456" s="4353">
        <f>+AG31-AG415</f>
        <v>0</v>
      </c>
      <c r="AH456" s="980">
        <f>+AH31-AH415</f>
        <v>-0.48000000001047738</v>
      </c>
      <c r="AI456" s="979"/>
      <c r="AJ456" s="979"/>
      <c r="AK456" s="4353">
        <f>+AK31-AK415</f>
        <v>0</v>
      </c>
      <c r="AL456" s="980">
        <f>+AL31-AL415</f>
        <v>0</v>
      </c>
      <c r="AM456" s="4353">
        <f>+AM31-AM415</f>
        <v>0</v>
      </c>
      <c r="AN456" s="980">
        <f>+AN31-AN415</f>
        <v>-0.48000000006868504</v>
      </c>
      <c r="AO456" s="4354"/>
      <c r="AP456" s="4355"/>
      <c r="AQ456" s="4353">
        <f>+AQ31-AQ415</f>
        <v>0</v>
      </c>
      <c r="AR456" s="980">
        <f>+AR31-AR415</f>
        <v>0</v>
      </c>
      <c r="AS456" s="342"/>
      <c r="AT456" s="979"/>
      <c r="AU456" s="4353">
        <f>+AU31-AU415</f>
        <v>0</v>
      </c>
      <c r="AV456" s="980">
        <f>+AV31-AV415</f>
        <v>0</v>
      </c>
      <c r="AW456" s="342"/>
      <c r="AX456" s="979"/>
      <c r="AY456" s="4353">
        <f t="shared" ref="AY456:BF456" si="596">+AY31-AY415</f>
        <v>0</v>
      </c>
      <c r="AZ456" s="980">
        <f t="shared" si="596"/>
        <v>-2.0000000018626451E-2</v>
      </c>
      <c r="BA456" s="4353">
        <f t="shared" si="596"/>
        <v>0</v>
      </c>
      <c r="BB456" s="980">
        <f t="shared" si="596"/>
        <v>-2.0000000018626451E-2</v>
      </c>
      <c r="BC456" s="4353">
        <f t="shared" si="596"/>
        <v>0</v>
      </c>
      <c r="BD456" s="980">
        <f t="shared" si="596"/>
        <v>-0.50000000005820766</v>
      </c>
      <c r="BE456" s="4353">
        <f t="shared" si="596"/>
        <v>0</v>
      </c>
      <c r="BF456" s="980">
        <f t="shared" si="596"/>
        <v>-0.57999999995809048</v>
      </c>
      <c r="BG456" s="1726"/>
      <c r="BH456" s="1726"/>
      <c r="BI456" s="1726"/>
      <c r="BJ456" s="1726"/>
      <c r="BK456" s="1726"/>
      <c r="BL456" s="1726"/>
      <c r="BM456" s="1726"/>
      <c r="BN456" s="1726"/>
      <c r="BO456" s="1726"/>
      <c r="BP456" s="1726"/>
      <c r="BQ456" s="1726"/>
      <c r="BR456" s="1726"/>
      <c r="BS456" s="1726"/>
      <c r="BT456" s="1726"/>
      <c r="BU456" s="1726"/>
      <c r="BV456" s="1726"/>
      <c r="BW456" s="1726"/>
      <c r="BX456" s="1726"/>
      <c r="BY456" s="1726"/>
      <c r="BZ456" s="1726"/>
      <c r="CA456" s="1726"/>
      <c r="CB456" s="1726"/>
      <c r="CC456" s="1726"/>
    </row>
    <row r="457" spans="1:81" s="334" customFormat="1" hidden="1" x14ac:dyDescent="0.25">
      <c r="B457" s="4945"/>
      <c r="C457" s="979"/>
      <c r="D457" s="4352"/>
      <c r="E457" s="342"/>
      <c r="F457" s="2555"/>
      <c r="G457" s="342"/>
      <c r="H457" s="2555"/>
      <c r="I457" s="342"/>
      <c r="J457" s="2555"/>
      <c r="K457" s="342"/>
      <c r="L457" s="979"/>
      <c r="M457" s="342"/>
      <c r="N457" s="979"/>
      <c r="O457" s="342"/>
      <c r="P457" s="979"/>
      <c r="Q457" s="342"/>
      <c r="R457" s="979"/>
      <c r="S457" s="342"/>
      <c r="T457" s="979"/>
      <c r="U457" s="342"/>
      <c r="V457" s="979"/>
      <c r="W457" s="342"/>
      <c r="X457" s="979"/>
      <c r="Y457" s="342"/>
      <c r="Z457" s="979"/>
      <c r="AA457" s="342"/>
      <c r="AB457" s="979"/>
      <c r="AC457" s="979"/>
      <c r="AD457" s="979"/>
      <c r="AE457" s="979"/>
      <c r="AF457" s="979"/>
      <c r="AG457" s="979"/>
      <c r="AH457" s="979"/>
      <c r="AI457" s="979"/>
      <c r="AJ457" s="979"/>
      <c r="AK457" s="979"/>
      <c r="AL457" s="979"/>
      <c r="AM457" s="979"/>
      <c r="AN457" s="979"/>
      <c r="AO457" s="4354"/>
      <c r="AP457" s="4355"/>
      <c r="AQ457" s="979"/>
      <c r="AR457" s="979"/>
      <c r="AS457" s="342"/>
      <c r="AT457" s="979"/>
      <c r="AU457" s="979"/>
      <c r="AV457" s="979"/>
      <c r="AW457" s="342"/>
      <c r="AX457" s="979"/>
      <c r="AY457" s="979"/>
      <c r="AZ457" s="979"/>
      <c r="BA457" s="979"/>
      <c r="BB457" s="979"/>
      <c r="BC457" s="4212"/>
      <c r="BD457" s="4212"/>
      <c r="BE457" s="4212"/>
      <c r="BF457" s="979"/>
      <c r="BG457" s="1726"/>
      <c r="BH457" s="1726"/>
      <c r="BI457" s="1726"/>
      <c r="BJ457" s="1726"/>
      <c r="BK457" s="1726"/>
      <c r="BL457" s="1726"/>
      <c r="BM457" s="1726"/>
      <c r="BN457" s="1726"/>
      <c r="BO457" s="1726"/>
      <c r="BP457" s="1726"/>
      <c r="BQ457" s="1726"/>
      <c r="BR457" s="1726"/>
      <c r="BS457" s="1726"/>
      <c r="BT457" s="1726"/>
      <c r="BU457" s="1726"/>
      <c r="BV457" s="1726"/>
      <c r="BW457" s="1726"/>
      <c r="BX457" s="1726"/>
      <c r="BY457" s="1726"/>
      <c r="BZ457" s="1726"/>
      <c r="CA457" s="1726"/>
      <c r="CB457" s="1726"/>
      <c r="CC457" s="1726"/>
    </row>
    <row r="458" spans="1:81" s="334" customFormat="1" hidden="1" x14ac:dyDescent="0.25">
      <c r="D458" s="1804"/>
      <c r="E458" s="477"/>
      <c r="F458" s="343"/>
      <c r="G458" s="477"/>
      <c r="H458" s="343"/>
      <c r="I458" s="477"/>
      <c r="J458" s="343"/>
      <c r="K458" s="477"/>
      <c r="M458" s="477"/>
      <c r="O458" s="477"/>
      <c r="Q458" s="477"/>
      <c r="S458" s="477"/>
      <c r="U458" s="477"/>
      <c r="W458" s="477"/>
      <c r="Y458" s="477"/>
      <c r="AA458" s="477"/>
      <c r="AO458" s="3461"/>
      <c r="AP458" s="1741"/>
      <c r="AS458" s="477"/>
      <c r="AW458" s="477"/>
      <c r="BC458" s="1726"/>
      <c r="BD458" s="1726"/>
      <c r="BE458" s="1726"/>
      <c r="BG458" s="1726"/>
      <c r="BH458" s="1726"/>
      <c r="BI458" s="1726"/>
      <c r="BJ458" s="1726"/>
      <c r="BK458" s="1726"/>
      <c r="BL458" s="1726"/>
      <c r="BM458" s="1726"/>
      <c r="BN458" s="1726"/>
      <c r="BO458" s="1726"/>
      <c r="BP458" s="1726"/>
      <c r="BQ458" s="1726"/>
      <c r="BR458" s="1726"/>
      <c r="BS458" s="1726"/>
      <c r="BT458" s="1726"/>
      <c r="BU458" s="1726"/>
      <c r="BV458" s="1726"/>
      <c r="BW458" s="1726"/>
      <c r="BX458" s="1726"/>
      <c r="BY458" s="1726"/>
      <c r="BZ458" s="1726"/>
      <c r="CA458" s="1726"/>
      <c r="CB458" s="1726"/>
      <c r="CC458" s="1726"/>
    </row>
    <row r="459" spans="1:81" s="334" customFormat="1" hidden="1" x14ac:dyDescent="0.25">
      <c r="B459" s="4356" t="s">
        <v>1848</v>
      </c>
      <c r="D459" s="1804"/>
      <c r="E459" s="3463">
        <f>+E38-'Maj Despatch Summ'!E12</f>
        <v>0</v>
      </c>
      <c r="F459" s="3463">
        <f>+F38-'Maj Despatch Summ'!F12</f>
        <v>0</v>
      </c>
      <c r="G459" s="3463">
        <f>+G38-'Maj Despatch Summ'!G12</f>
        <v>0</v>
      </c>
      <c r="H459" s="3463">
        <f>+H38-'Maj Despatch Summ'!H12</f>
        <v>0</v>
      </c>
      <c r="I459" s="3463">
        <f>+I38-'Maj Despatch Summ'!I12</f>
        <v>0</v>
      </c>
      <c r="J459" s="3463">
        <f>+J38-'Maj Despatch Summ'!J12</f>
        <v>0</v>
      </c>
      <c r="K459" s="3463">
        <f>+K38-'Maj Despatch Summ'!K12</f>
        <v>0</v>
      </c>
      <c r="L459" s="3463">
        <f>+L38-'Maj Despatch Summ'!L12</f>
        <v>0</v>
      </c>
      <c r="M459" s="3463">
        <f>+M38-'Maj Despatch Summ'!M12</f>
        <v>0</v>
      </c>
      <c r="N459" s="3463">
        <f>+N38-'Maj Despatch Summ'!N12</f>
        <v>0</v>
      </c>
      <c r="O459" s="3463">
        <f>+O38-'Maj Despatch Summ'!O12</f>
        <v>0</v>
      </c>
      <c r="P459" s="3463">
        <f>+P38-'Maj Despatch Summ'!P12</f>
        <v>0</v>
      </c>
      <c r="Q459" s="3463">
        <f>+Q38-'Maj Despatch Summ'!Q12</f>
        <v>0</v>
      </c>
      <c r="R459" s="3463">
        <f>+R38-'Maj Despatch Summ'!R12</f>
        <v>0</v>
      </c>
      <c r="S459" s="3463">
        <f>+S38-'Maj Despatch Summ'!S12</f>
        <v>0</v>
      </c>
      <c r="T459" s="3463">
        <f>+T38-'Maj Despatch Summ'!T12</f>
        <v>0</v>
      </c>
      <c r="U459" s="3463">
        <f>+U38-'Maj Despatch Summ'!U12</f>
        <v>0</v>
      </c>
      <c r="V459" s="3463">
        <f>+V38-'Maj Despatch Summ'!V12</f>
        <v>0</v>
      </c>
      <c r="W459" s="3463">
        <f>+W38-'Maj Despatch Summ'!W12</f>
        <v>0</v>
      </c>
      <c r="X459" s="3463">
        <f>+X38-'Maj Despatch Summ'!X12</f>
        <v>0</v>
      </c>
      <c r="Y459" s="3463">
        <f>+Y38-'Maj Despatch Summ'!Y12</f>
        <v>0</v>
      </c>
      <c r="Z459" s="3463">
        <f>+Z38-'Maj Despatch Summ'!Z12</f>
        <v>0</v>
      </c>
      <c r="AA459" s="3463">
        <f>+AA38-'Maj Despatch Summ'!AA12</f>
        <v>0</v>
      </c>
      <c r="AB459" s="3463">
        <f>+AB38-'Maj Despatch Summ'!AB12</f>
        <v>0</v>
      </c>
      <c r="AC459" s="3463">
        <f>+AC38-'Maj Despatch Summ'!AC12</f>
        <v>0</v>
      </c>
      <c r="AD459" s="3463">
        <f>+AD38-'Maj Despatch Summ'!AD12</f>
        <v>0</v>
      </c>
      <c r="AE459" s="3463">
        <f>+AE38-'Maj Despatch Summ'!AE12</f>
        <v>0</v>
      </c>
      <c r="AF459" s="3463">
        <f>+AF38-'Maj Despatch Summ'!AF12</f>
        <v>0</v>
      </c>
      <c r="AG459" s="3463">
        <f>+AG38-'Maj Despatch Summ'!AG12</f>
        <v>0</v>
      </c>
      <c r="AH459" s="3463">
        <f>+AH38-'Maj Despatch Summ'!AH12</f>
        <v>-0.48000000001047738</v>
      </c>
      <c r="AI459" s="3463">
        <f>+AI38-'Maj Despatch Summ'!AI12</f>
        <v>0</v>
      </c>
      <c r="AJ459" s="3463">
        <f>+AJ38-'Maj Despatch Summ'!AJ12</f>
        <v>-0.47999999998137355</v>
      </c>
      <c r="AK459" s="3463">
        <f>+AK38-'Maj Despatch Summ'!AK12</f>
        <v>0</v>
      </c>
      <c r="AL459" s="3463">
        <f>+AL38-'Maj Despatch Summ'!AL12</f>
        <v>0</v>
      </c>
      <c r="AM459" s="3463">
        <f>+AM38-'Maj Despatch Summ'!AM12</f>
        <v>0</v>
      </c>
      <c r="AN459" s="3463">
        <f>+AN38-'Maj Despatch Summ'!AN12</f>
        <v>-0.48000000009778887</v>
      </c>
      <c r="AO459" s="3463">
        <f>+AO38-'Maj Despatch Summ'!AO12</f>
        <v>0</v>
      </c>
      <c r="AP459" s="3463">
        <f>+AP38-'Maj Despatch Summ'!AP12</f>
        <v>-0.48000000021420419</v>
      </c>
      <c r="AQ459" s="3463">
        <f>+AQ38-'Maj Despatch Summ'!AQ12</f>
        <v>0</v>
      </c>
      <c r="AR459" s="3463">
        <f>+AR38-'Maj Despatch Summ'!AR12</f>
        <v>0</v>
      </c>
      <c r="AS459" s="3463">
        <f>+AS38-'Maj Despatch Summ'!AS12</f>
        <v>0</v>
      </c>
      <c r="AT459" s="3463">
        <f>+AT38-'Maj Despatch Summ'!AT12</f>
        <v>-0.47999999998137355</v>
      </c>
      <c r="AU459" s="3463">
        <f>+AU38-'Maj Despatch Summ'!AU12</f>
        <v>0</v>
      </c>
      <c r="AV459" s="3463">
        <f>+AV38-'Maj Despatch Summ'!AV12</f>
        <v>0</v>
      </c>
      <c r="AW459" s="3463">
        <f>+AW38-'Maj Despatch Summ'!AW12</f>
        <v>0</v>
      </c>
      <c r="AX459" s="3463">
        <f>+AX38-'Maj Despatch Summ'!AX12</f>
        <v>-0.48000000021420419</v>
      </c>
      <c r="AY459" s="3463">
        <f>+AY38-'Maj Despatch Summ'!AY12</f>
        <v>0</v>
      </c>
      <c r="AZ459" s="3463">
        <f>+AZ38-'Maj Despatch Summ'!AZ12</f>
        <v>-0.32000000003608875</v>
      </c>
      <c r="BA459" s="3463">
        <f>+BA38-'Maj Despatch Summ'!BA12</f>
        <v>0</v>
      </c>
      <c r="BB459" s="3463">
        <f>+BB38-'Maj Despatch Summ'!BB12</f>
        <v>-0.3200000001816079</v>
      </c>
      <c r="BC459" s="3463">
        <f>+BC38-'Maj Despatch Summ'!BC12</f>
        <v>0</v>
      </c>
      <c r="BD459" s="3463">
        <f>+BD38-'Maj Despatch Summ'!BD12</f>
        <v>-0.80000000004656613</v>
      </c>
      <c r="BE459" s="3463">
        <f>+BE38-'Maj Despatch Summ'!BE12</f>
        <v>0</v>
      </c>
      <c r="BF459" s="3463">
        <f>+BF38-'Maj Despatch Summ'!BF12</f>
        <v>-0.80000000027939677</v>
      </c>
      <c r="BG459" s="1726"/>
      <c r="BH459" s="1726"/>
      <c r="BI459" s="1726"/>
      <c r="BJ459" s="1726"/>
      <c r="BK459" s="1726"/>
      <c r="BL459" s="1726"/>
      <c r="BM459" s="1726"/>
      <c r="BN459" s="1726"/>
      <c r="BO459" s="1726"/>
      <c r="BP459" s="1726"/>
      <c r="BQ459" s="1726"/>
      <c r="BR459" s="1726"/>
      <c r="BS459" s="1726"/>
      <c r="BT459" s="1726"/>
      <c r="BU459" s="1726"/>
      <c r="BV459" s="1726"/>
      <c r="BW459" s="1726"/>
      <c r="BX459" s="1726"/>
      <c r="BY459" s="1726"/>
      <c r="BZ459" s="1726"/>
      <c r="CA459" s="1726"/>
      <c r="CB459" s="1726"/>
      <c r="CC459" s="1726"/>
    </row>
    <row r="460" spans="1:81" s="334" customFormat="1" x14ac:dyDescent="0.25">
      <c r="D460" s="1804"/>
      <c r="E460" s="3463">
        <f>+E45-'Maj Despatch Summ'!E12</f>
        <v>0</v>
      </c>
      <c r="F460" s="3463">
        <f>+F45-'Maj Despatch Summ'!F12</f>
        <v>0</v>
      </c>
      <c r="G460" s="3463">
        <f>+G45-'Maj Despatch Summ'!G12</f>
        <v>0</v>
      </c>
      <c r="H460" s="3463">
        <f>+H45-'Maj Despatch Summ'!H12</f>
        <v>0</v>
      </c>
      <c r="I460" s="3463">
        <f>+I45-'Maj Despatch Summ'!I12</f>
        <v>0</v>
      </c>
      <c r="J460" s="3463">
        <f>+J45-'Maj Despatch Summ'!J12</f>
        <v>0</v>
      </c>
      <c r="K460" s="3463">
        <f>+K45-'Maj Despatch Summ'!K12</f>
        <v>0</v>
      </c>
      <c r="L460" s="3463">
        <f>+L45-'Maj Despatch Summ'!L12</f>
        <v>0</v>
      </c>
      <c r="M460" s="3463">
        <f>+M45-'Maj Despatch Summ'!M12</f>
        <v>0</v>
      </c>
      <c r="N460" s="3463">
        <f>+N45-'Maj Despatch Summ'!N12</f>
        <v>0</v>
      </c>
      <c r="O460" s="3463">
        <f>+O45-'Maj Despatch Summ'!O12</f>
        <v>0</v>
      </c>
      <c r="P460" s="3463">
        <f>+P45-'Maj Despatch Summ'!P12</f>
        <v>0</v>
      </c>
      <c r="Q460" s="3463">
        <f>+Q45-'Maj Despatch Summ'!Q12</f>
        <v>0</v>
      </c>
      <c r="R460" s="3463">
        <f>+R45-'Maj Despatch Summ'!R12</f>
        <v>0</v>
      </c>
      <c r="S460" s="3463">
        <f>+S45-'Maj Despatch Summ'!S12</f>
        <v>0</v>
      </c>
      <c r="T460" s="3463">
        <f>+T45-'Maj Despatch Summ'!T12</f>
        <v>0</v>
      </c>
      <c r="U460" s="3463">
        <f>+U45-'Maj Despatch Summ'!U12</f>
        <v>0</v>
      </c>
      <c r="V460" s="3463">
        <f>+V45-'Maj Despatch Summ'!V12</f>
        <v>0</v>
      </c>
      <c r="W460" s="3463">
        <f>+W45-'Maj Despatch Summ'!W12</f>
        <v>0</v>
      </c>
      <c r="X460" s="3463">
        <f>+X45-'Maj Despatch Summ'!X12</f>
        <v>0</v>
      </c>
      <c r="Y460" s="3463">
        <f>+Y45-'Maj Despatch Summ'!Y12</f>
        <v>0</v>
      </c>
      <c r="Z460" s="3463">
        <f>+Z45-'Maj Despatch Summ'!Z12</f>
        <v>0</v>
      </c>
      <c r="AA460" s="3463">
        <f>+AA45-'Maj Despatch Summ'!AA12</f>
        <v>0</v>
      </c>
      <c r="AB460" s="3463">
        <f>+AB45-'Maj Despatch Summ'!AB12</f>
        <v>0</v>
      </c>
      <c r="AC460" s="3463">
        <f>+AC45-'Maj Despatch Summ'!AC12</f>
        <v>0</v>
      </c>
      <c r="AD460" s="3463">
        <f>+AD45-'Maj Despatch Summ'!AD12</f>
        <v>0</v>
      </c>
      <c r="AE460" s="3463">
        <f>+AE45-'Maj Despatch Summ'!AE12</f>
        <v>0</v>
      </c>
      <c r="AF460" s="3463">
        <f>+AF45-'Maj Despatch Summ'!AF12</f>
        <v>0</v>
      </c>
      <c r="AG460" s="3463">
        <f>+AG45-'Maj Despatch Summ'!AG12</f>
        <v>0</v>
      </c>
      <c r="AH460" s="3463">
        <f>+AH45-'Maj Despatch Summ'!AH12</f>
        <v>-0.48000000001047738</v>
      </c>
      <c r="AI460" s="3463">
        <f>+AI45-'Maj Despatch Summ'!AI12</f>
        <v>0</v>
      </c>
      <c r="AJ460" s="3463">
        <f>+AJ45-'Maj Despatch Summ'!AJ12</f>
        <v>-0.47999999998137355</v>
      </c>
      <c r="AK460" s="3463">
        <f>+AK45-'Maj Despatch Summ'!AK12</f>
        <v>0</v>
      </c>
      <c r="AL460" s="3463">
        <f>+AL45-'Maj Despatch Summ'!AL12</f>
        <v>0</v>
      </c>
      <c r="AM460" s="3463">
        <f>+AM45-'Maj Despatch Summ'!AM12</f>
        <v>0</v>
      </c>
      <c r="AN460" s="3463">
        <f>+AN45-'Maj Despatch Summ'!AN12</f>
        <v>-0.48000000021420419</v>
      </c>
      <c r="AO460" s="3463">
        <f>+AO45-'Maj Despatch Summ'!AO12</f>
        <v>0</v>
      </c>
      <c r="AP460" s="3463">
        <f>+AP45-'Maj Despatch Summ'!AP12</f>
        <v>-0.48000000021420419</v>
      </c>
      <c r="AQ460" s="3463">
        <f>+AQ45-'Maj Despatch Summ'!AQ12</f>
        <v>0</v>
      </c>
      <c r="AR460" s="3463">
        <f>+AR45-'Maj Despatch Summ'!AR12</f>
        <v>0</v>
      </c>
      <c r="AS460" s="3463">
        <f>+AS45-'Maj Despatch Summ'!AS12</f>
        <v>0</v>
      </c>
      <c r="AT460" s="3463">
        <f>+AT45-'Maj Despatch Summ'!AT12</f>
        <v>-0.4799999997485429</v>
      </c>
      <c r="AU460" s="3463">
        <f>+AU45-'Maj Despatch Summ'!AU12</f>
        <v>0</v>
      </c>
      <c r="AV460" s="3463">
        <f>+AV45-'Maj Despatch Summ'!AV12</f>
        <v>0</v>
      </c>
      <c r="AW460" s="3463">
        <f>+AW45-'Maj Despatch Summ'!AW12</f>
        <v>0</v>
      </c>
      <c r="AX460" s="3463">
        <f>+AX45-'Maj Despatch Summ'!AX12</f>
        <v>-0.47999999998137355</v>
      </c>
      <c r="AY460" s="3463">
        <f>+AY45-'Maj Despatch Summ'!AY12</f>
        <v>0</v>
      </c>
      <c r="AZ460" s="3463">
        <f>+AZ45-'Maj Despatch Summ'!AZ12</f>
        <v>-0.32000000003608875</v>
      </c>
      <c r="BA460" s="3463">
        <f>+BA45-'Maj Despatch Summ'!BA12</f>
        <v>0</v>
      </c>
      <c r="BB460" s="3463">
        <f>+BB45-'Maj Despatch Summ'!BB12</f>
        <v>-0.32000000006519258</v>
      </c>
      <c r="BC460" s="3463">
        <f>+BC45-'Maj Despatch Summ'!BC12</f>
        <v>0</v>
      </c>
      <c r="BD460" s="3463">
        <f>+BD45-'Maj Despatch Summ'!BD12</f>
        <v>-0.80000000004656613</v>
      </c>
      <c r="BE460" s="3463">
        <f>+BE45-'Maj Despatch Summ'!BE12</f>
        <v>0</v>
      </c>
      <c r="BF460" s="3463">
        <f>+BF45-'Maj Despatch Summ'!BF12</f>
        <v>-0.80000000027939677</v>
      </c>
      <c r="BG460" s="1726"/>
      <c r="BH460" s="1726"/>
      <c r="BI460" s="1726"/>
      <c r="BJ460" s="1726"/>
      <c r="BK460" s="1726"/>
      <c r="BL460" s="1726"/>
      <c r="BM460" s="1726"/>
      <c r="BN460" s="1726"/>
      <c r="BO460" s="1726"/>
      <c r="BP460" s="1726"/>
      <c r="BQ460" s="1726"/>
      <c r="BR460" s="1726"/>
      <c r="BS460" s="1726"/>
      <c r="BT460" s="1726"/>
      <c r="BU460" s="1726"/>
      <c r="BV460" s="1726"/>
      <c r="BW460" s="1726"/>
      <c r="BX460" s="1726"/>
      <c r="BY460" s="1726"/>
      <c r="BZ460" s="1726"/>
      <c r="CA460" s="1726"/>
      <c r="CB460" s="1726"/>
      <c r="CC460" s="1726"/>
    </row>
    <row r="461" spans="1:81" s="334" customFormat="1" x14ac:dyDescent="0.25">
      <c r="D461" s="1804"/>
      <c r="E461" s="477"/>
      <c r="F461" s="343"/>
      <c r="G461" s="477"/>
      <c r="H461" s="343"/>
      <c r="I461" s="477"/>
      <c r="J461" s="343"/>
      <c r="K461" s="477"/>
      <c r="M461" s="477"/>
      <c r="O461" s="477"/>
      <c r="Q461" s="477"/>
      <c r="S461" s="477"/>
      <c r="U461" s="477"/>
      <c r="W461" s="477"/>
      <c r="Y461" s="477"/>
      <c r="AA461" s="477"/>
      <c r="AO461" s="3461"/>
      <c r="AP461" s="1741"/>
      <c r="AS461" s="477"/>
      <c r="AW461" s="477"/>
      <c r="BC461" s="1726"/>
      <c r="BD461" s="1726"/>
      <c r="BE461" s="1726"/>
      <c r="BG461" s="1726"/>
      <c r="BH461" s="1726"/>
      <c r="BI461" s="1726"/>
      <c r="BJ461" s="1726"/>
      <c r="BK461" s="1726"/>
      <c r="BL461" s="1726"/>
      <c r="BM461" s="1726"/>
      <c r="BN461" s="1726"/>
      <c r="BO461" s="1726"/>
      <c r="BP461" s="1726"/>
      <c r="BQ461" s="1726"/>
      <c r="BR461" s="1726"/>
      <c r="BS461" s="1726"/>
      <c r="BT461" s="1726"/>
      <c r="BU461" s="1726"/>
      <c r="BV461" s="1726"/>
      <c r="BW461" s="1726"/>
      <c r="BX461" s="1726"/>
      <c r="BY461" s="1726"/>
      <c r="BZ461" s="1726"/>
      <c r="CA461" s="1726"/>
      <c r="CB461" s="1726"/>
      <c r="CC461" s="1726"/>
    </row>
    <row r="462" spans="1:81" s="334" customFormat="1" x14ac:dyDescent="0.25">
      <c r="D462" s="1804"/>
      <c r="E462" s="477"/>
      <c r="F462" s="343"/>
      <c r="G462" s="477"/>
      <c r="H462" s="343"/>
      <c r="I462" s="477"/>
      <c r="J462" s="343"/>
      <c r="K462" s="477"/>
      <c r="M462" s="477"/>
      <c r="O462" s="477"/>
      <c r="Q462" s="477"/>
      <c r="S462" s="477"/>
      <c r="U462" s="477"/>
      <c r="W462" s="477"/>
      <c r="Y462" s="477"/>
      <c r="AA462" s="477"/>
      <c r="AO462" s="3461"/>
      <c r="AP462" s="1741"/>
      <c r="AS462" s="477"/>
      <c r="AW462" s="477"/>
      <c r="BC462" s="1726"/>
      <c r="BD462" s="1726"/>
      <c r="BE462" s="1726"/>
      <c r="BG462" s="1726"/>
      <c r="BH462" s="1726"/>
      <c r="BI462" s="1726"/>
      <c r="BJ462" s="1726"/>
      <c r="BK462" s="1726"/>
      <c r="BL462" s="1726"/>
      <c r="BM462" s="1726"/>
      <c r="BN462" s="1726"/>
      <c r="BO462" s="1726"/>
      <c r="BP462" s="1726"/>
      <c r="BQ462" s="1726"/>
      <c r="BR462" s="1726"/>
      <c r="BS462" s="1726"/>
      <c r="BT462" s="1726"/>
      <c r="BU462" s="1726"/>
      <c r="BV462" s="1726"/>
      <c r="BW462" s="1726"/>
      <c r="BX462" s="1726"/>
      <c r="BY462" s="1726"/>
      <c r="BZ462" s="1726"/>
      <c r="CA462" s="1726"/>
      <c r="CB462" s="1726"/>
      <c r="CC462" s="1726"/>
    </row>
    <row r="463" spans="1:81" s="334" customFormat="1" x14ac:dyDescent="0.25">
      <c r="D463" s="1804"/>
      <c r="E463" s="477"/>
      <c r="F463" s="343"/>
      <c r="G463" s="477"/>
      <c r="H463" s="343"/>
      <c r="I463" s="477"/>
      <c r="J463" s="343"/>
      <c r="K463" s="477"/>
      <c r="M463" s="477"/>
      <c r="O463" s="477"/>
      <c r="Q463" s="477"/>
      <c r="S463" s="477"/>
      <c r="U463" s="477"/>
      <c r="W463" s="477"/>
      <c r="Y463" s="477"/>
      <c r="AA463" s="477"/>
      <c r="AO463" s="3461"/>
      <c r="AP463" s="1741"/>
      <c r="AS463" s="477"/>
      <c r="AW463" s="477"/>
      <c r="BC463" s="1726"/>
      <c r="BD463" s="1726"/>
      <c r="BE463" s="1726"/>
      <c r="BG463" s="1726"/>
      <c r="BH463" s="1726"/>
      <c r="BI463" s="1726"/>
      <c r="BJ463" s="1726"/>
      <c r="BK463" s="1726"/>
      <c r="BL463" s="1726"/>
      <c r="BM463" s="1726"/>
      <c r="BN463" s="1726"/>
      <c r="BO463" s="1726"/>
      <c r="BP463" s="1726"/>
      <c r="BQ463" s="1726"/>
      <c r="BR463" s="1726"/>
      <c r="BS463" s="1726"/>
      <c r="BT463" s="1726"/>
      <c r="BU463" s="1726"/>
      <c r="BV463" s="1726"/>
      <c r="BW463" s="1726"/>
      <c r="BX463" s="1726"/>
      <c r="BY463" s="1726"/>
      <c r="BZ463" s="1726"/>
      <c r="CA463" s="1726"/>
      <c r="CB463" s="1726"/>
      <c r="CC463" s="1726"/>
    </row>
    <row r="464" spans="1:81" s="334" customFormat="1" x14ac:dyDescent="0.25">
      <c r="D464" s="1804"/>
      <c r="E464" s="477"/>
      <c r="F464" s="343"/>
      <c r="G464" s="477"/>
      <c r="H464" s="343"/>
      <c r="I464" s="477"/>
      <c r="J464" s="343"/>
      <c r="K464" s="477"/>
      <c r="M464" s="477"/>
      <c r="O464" s="477"/>
      <c r="Q464" s="477"/>
      <c r="S464" s="477"/>
      <c r="U464" s="477"/>
      <c r="W464" s="477"/>
      <c r="Y464" s="477"/>
      <c r="AA464" s="477"/>
      <c r="AO464" s="3461"/>
      <c r="AP464" s="1741"/>
      <c r="AS464" s="477"/>
      <c r="AW464" s="477"/>
      <c r="BC464" s="1726"/>
      <c r="BD464" s="1726"/>
      <c r="BE464" s="1726"/>
      <c r="BG464" s="1726"/>
      <c r="BH464" s="1726"/>
      <c r="BI464" s="1726"/>
      <c r="BJ464" s="1726"/>
      <c r="BK464" s="1726"/>
      <c r="BL464" s="1726"/>
      <c r="BM464" s="1726"/>
      <c r="BN464" s="1726"/>
      <c r="BO464" s="1726"/>
      <c r="BP464" s="1726"/>
      <c r="BQ464" s="1726"/>
      <c r="BR464" s="1726"/>
      <c r="BS464" s="1726"/>
      <c r="BT464" s="1726"/>
      <c r="BU464" s="1726"/>
      <c r="BV464" s="1726"/>
      <c r="BW464" s="1726"/>
      <c r="BX464" s="1726"/>
      <c r="BY464" s="1726"/>
      <c r="BZ464" s="1726"/>
      <c r="CA464" s="1726"/>
      <c r="CB464" s="1726"/>
      <c r="CC464" s="1726"/>
    </row>
    <row r="465" spans="4:81" s="334" customFormat="1" x14ac:dyDescent="0.25">
      <c r="D465" s="1804"/>
      <c r="E465" s="477"/>
      <c r="F465" s="343"/>
      <c r="G465" s="477"/>
      <c r="H465" s="343"/>
      <c r="I465" s="477"/>
      <c r="J465" s="343"/>
      <c r="K465" s="477"/>
      <c r="M465" s="477"/>
      <c r="O465" s="477"/>
      <c r="Q465" s="477"/>
      <c r="S465" s="477"/>
      <c r="U465" s="477"/>
      <c r="W465" s="477"/>
      <c r="Y465" s="477"/>
      <c r="AA465" s="477"/>
      <c r="AO465" s="3461"/>
      <c r="AP465" s="1741"/>
      <c r="AS465" s="477"/>
      <c r="AW465" s="477"/>
      <c r="BC465" s="1726"/>
      <c r="BD465" s="1726"/>
      <c r="BE465" s="1726"/>
      <c r="BG465" s="1726"/>
      <c r="BH465" s="1726"/>
      <c r="BI465" s="1726"/>
      <c r="BJ465" s="1726"/>
      <c r="BK465" s="1726"/>
      <c r="BL465" s="1726"/>
      <c r="BM465" s="1726"/>
      <c r="BN465" s="1726"/>
      <c r="BO465" s="1726"/>
      <c r="BP465" s="1726"/>
      <c r="BQ465" s="1726"/>
      <c r="BR465" s="1726"/>
      <c r="BS465" s="1726"/>
      <c r="BT465" s="1726"/>
      <c r="BU465" s="1726"/>
      <c r="BV465" s="1726"/>
      <c r="BW465" s="1726"/>
      <c r="BX465" s="1726"/>
      <c r="BY465" s="1726"/>
      <c r="BZ465" s="1726"/>
      <c r="CA465" s="1726"/>
      <c r="CB465" s="1726"/>
      <c r="CC465" s="1726"/>
    </row>
    <row r="466" spans="4:81" s="334" customFormat="1" x14ac:dyDescent="0.25">
      <c r="D466" s="1804"/>
      <c r="E466" s="477"/>
      <c r="F466" s="343"/>
      <c r="G466" s="477"/>
      <c r="H466" s="343"/>
      <c r="I466" s="477"/>
      <c r="J466" s="343"/>
      <c r="K466" s="477"/>
      <c r="M466" s="477"/>
      <c r="O466" s="477"/>
      <c r="Q466" s="477"/>
      <c r="S466" s="477"/>
      <c r="U466" s="477"/>
      <c r="W466" s="477"/>
      <c r="Y466" s="477"/>
      <c r="AA466" s="477"/>
      <c r="AO466" s="3461"/>
      <c r="AP466" s="1741"/>
      <c r="AS466" s="477"/>
      <c r="AW466" s="477"/>
      <c r="BC466" s="1726"/>
      <c r="BD466" s="1726"/>
      <c r="BE466" s="1726"/>
      <c r="BG466" s="1726"/>
      <c r="BH466" s="1726"/>
      <c r="BI466" s="1726"/>
      <c r="BJ466" s="1726"/>
      <c r="BK466" s="1726"/>
      <c r="BL466" s="1726"/>
      <c r="BM466" s="1726"/>
      <c r="BN466" s="1726"/>
      <c r="BO466" s="1726"/>
      <c r="BP466" s="1726"/>
      <c r="BQ466" s="1726"/>
      <c r="BR466" s="1726"/>
      <c r="BS466" s="1726"/>
      <c r="BT466" s="1726"/>
      <c r="BU466" s="1726"/>
      <c r="BV466" s="1726"/>
      <c r="BW466" s="1726"/>
      <c r="BX466" s="1726"/>
      <c r="BY466" s="1726"/>
      <c r="BZ466" s="1726"/>
      <c r="CA466" s="1726"/>
      <c r="CB466" s="1726"/>
      <c r="CC466" s="1726"/>
    </row>
    <row r="467" spans="4:81" s="334" customFormat="1" x14ac:dyDescent="0.25">
      <c r="D467" s="1804"/>
      <c r="E467" s="477"/>
      <c r="F467" s="343"/>
      <c r="G467" s="477"/>
      <c r="H467" s="343"/>
      <c r="I467" s="477"/>
      <c r="J467" s="343"/>
      <c r="K467" s="477"/>
      <c r="M467" s="477"/>
      <c r="O467" s="477"/>
      <c r="Q467" s="477"/>
      <c r="S467" s="477"/>
      <c r="U467" s="477"/>
      <c r="W467" s="477"/>
      <c r="Y467" s="477"/>
      <c r="AA467" s="477"/>
      <c r="AO467" s="3461"/>
      <c r="AP467" s="1741"/>
      <c r="AS467" s="477"/>
      <c r="AW467" s="477"/>
      <c r="BC467" s="1726"/>
      <c r="BD467" s="1726"/>
      <c r="BE467" s="1726"/>
      <c r="BG467" s="1726"/>
      <c r="BH467" s="1726"/>
      <c r="BI467" s="1726"/>
      <c r="BJ467" s="1726"/>
      <c r="BK467" s="1726"/>
      <c r="BL467" s="1726"/>
      <c r="BM467" s="1726"/>
      <c r="BN467" s="1726"/>
      <c r="BO467" s="1726"/>
      <c r="BP467" s="1726"/>
      <c r="BQ467" s="1726"/>
      <c r="BR467" s="1726"/>
      <c r="BS467" s="1726"/>
      <c r="BT467" s="1726"/>
      <c r="BU467" s="1726"/>
      <c r="BV467" s="1726"/>
      <c r="BW467" s="1726"/>
      <c r="BX467" s="1726"/>
      <c r="BY467" s="1726"/>
      <c r="BZ467" s="1726"/>
      <c r="CA467" s="1726"/>
      <c r="CB467" s="1726"/>
      <c r="CC467" s="1726"/>
    </row>
    <row r="468" spans="4:81" s="334" customFormat="1" x14ac:dyDescent="0.25">
      <c r="D468" s="1804"/>
      <c r="E468" s="477"/>
      <c r="F468" s="343"/>
      <c r="G468" s="477"/>
      <c r="H468" s="343"/>
      <c r="I468" s="477"/>
      <c r="J468" s="343"/>
      <c r="K468" s="477"/>
      <c r="M468" s="477"/>
      <c r="O468" s="477"/>
      <c r="Q468" s="477"/>
      <c r="S468" s="477"/>
      <c r="U468" s="477"/>
      <c r="W468" s="477"/>
      <c r="Y468" s="477"/>
      <c r="AA468" s="477"/>
      <c r="AO468" s="3461"/>
      <c r="AP468" s="1741"/>
      <c r="AS468" s="477"/>
      <c r="AW468" s="477"/>
      <c r="BC468" s="5065"/>
      <c r="BD468" s="5065"/>
      <c r="BE468" s="1726"/>
      <c r="BG468" s="1726"/>
      <c r="BH468" s="1726"/>
      <c r="BI468" s="1726"/>
      <c r="BJ468" s="1726"/>
      <c r="BK468" s="1726"/>
      <c r="BL468" s="1726"/>
      <c r="BM468" s="1726"/>
      <c r="BN468" s="1726"/>
      <c r="BO468" s="1726"/>
      <c r="BP468" s="1726"/>
      <c r="BQ468" s="1726"/>
      <c r="BR468" s="1726"/>
      <c r="BS468" s="1726"/>
      <c r="BT468" s="1726"/>
      <c r="BU468" s="1726"/>
      <c r="BV468" s="1726"/>
      <c r="BW468" s="1726"/>
      <c r="BX468" s="1726"/>
      <c r="BY468" s="1726"/>
      <c r="BZ468" s="1726"/>
      <c r="CA468" s="1726"/>
      <c r="CB468" s="1726"/>
      <c r="CC468" s="1726"/>
    </row>
    <row r="469" spans="4:81" s="334" customFormat="1" x14ac:dyDescent="0.25">
      <c r="D469" s="1804"/>
      <c r="E469" s="477"/>
      <c r="F469" s="343"/>
      <c r="G469" s="477"/>
      <c r="H469" s="343"/>
      <c r="I469" s="477"/>
      <c r="J469" s="343"/>
      <c r="K469" s="477"/>
      <c r="M469" s="477"/>
      <c r="O469" s="477"/>
      <c r="Q469" s="477"/>
      <c r="S469" s="477"/>
      <c r="U469" s="477"/>
      <c r="W469" s="477"/>
      <c r="Y469" s="477"/>
      <c r="AA469" s="477"/>
      <c r="AO469" s="3461"/>
      <c r="AP469" s="1741"/>
      <c r="AS469" s="477"/>
      <c r="AW469" s="477"/>
      <c r="BC469" s="1726"/>
      <c r="BD469" s="1726"/>
      <c r="BE469" s="1726"/>
      <c r="BG469" s="1726"/>
      <c r="BH469" s="1726"/>
      <c r="BI469" s="1726"/>
      <c r="BJ469" s="1726"/>
      <c r="BK469" s="1726"/>
      <c r="BL469" s="1726"/>
      <c r="BM469" s="1726"/>
      <c r="BN469" s="1726"/>
      <c r="BO469" s="1726"/>
      <c r="BP469" s="1726"/>
      <c r="BQ469" s="1726"/>
      <c r="BR469" s="1726"/>
      <c r="BS469" s="1726"/>
      <c r="BT469" s="1726"/>
      <c r="BU469" s="1726"/>
      <c r="BV469" s="1726"/>
      <c r="BW469" s="1726"/>
      <c r="BX469" s="1726"/>
      <c r="BY469" s="1726"/>
      <c r="BZ469" s="1726"/>
      <c r="CA469" s="1726"/>
      <c r="CB469" s="1726"/>
      <c r="CC469" s="1726"/>
    </row>
    <row r="470" spans="4:81" s="334" customFormat="1" x14ac:dyDescent="0.25">
      <c r="D470" s="1804"/>
      <c r="E470" s="477"/>
      <c r="F470" s="343"/>
      <c r="G470" s="477"/>
      <c r="H470" s="343"/>
      <c r="I470" s="477"/>
      <c r="J470" s="343"/>
      <c r="K470" s="477"/>
      <c r="M470" s="477"/>
      <c r="O470" s="477"/>
      <c r="Q470" s="477"/>
      <c r="S470" s="477"/>
      <c r="U470" s="477"/>
      <c r="W470" s="477"/>
      <c r="Y470" s="477"/>
      <c r="AA470" s="477"/>
      <c r="AO470" s="3461"/>
      <c r="AP470" s="1741"/>
      <c r="AS470" s="477"/>
      <c r="AW470" s="477"/>
      <c r="BC470" s="1726"/>
      <c r="BD470" s="1726"/>
      <c r="BE470" s="1726"/>
      <c r="BG470" s="1726"/>
      <c r="BH470" s="1726"/>
      <c r="BI470" s="1726"/>
      <c r="BJ470" s="1726"/>
      <c r="BK470" s="1726"/>
      <c r="BL470" s="1726"/>
      <c r="BM470" s="1726"/>
      <c r="BN470" s="1726"/>
      <c r="BO470" s="1726"/>
      <c r="BP470" s="1726"/>
      <c r="BQ470" s="1726"/>
      <c r="BR470" s="1726"/>
      <c r="BS470" s="1726"/>
      <c r="BT470" s="1726"/>
      <c r="BU470" s="1726"/>
      <c r="BV470" s="1726"/>
      <c r="BW470" s="1726"/>
      <c r="BX470" s="1726"/>
      <c r="BY470" s="1726"/>
      <c r="BZ470" s="1726"/>
      <c r="CA470" s="1726"/>
      <c r="CB470" s="1726"/>
      <c r="CC470" s="1726"/>
    </row>
    <row r="471" spans="4:81" s="334" customFormat="1" x14ac:dyDescent="0.25">
      <c r="D471" s="1804"/>
      <c r="E471" s="477"/>
      <c r="F471" s="343"/>
      <c r="G471" s="477"/>
      <c r="H471" s="343"/>
      <c r="I471" s="477"/>
      <c r="J471" s="343"/>
      <c r="K471" s="477"/>
      <c r="M471" s="477"/>
      <c r="O471" s="477"/>
      <c r="Q471" s="477"/>
      <c r="S471" s="477"/>
      <c r="U471" s="477"/>
      <c r="W471" s="477"/>
      <c r="Y471" s="477"/>
      <c r="AA471" s="477"/>
      <c r="AO471" s="3461"/>
      <c r="AP471" s="1741"/>
      <c r="AS471" s="477"/>
      <c r="AW471" s="477"/>
      <c r="BC471" s="1726"/>
      <c r="BD471" s="1726"/>
      <c r="BE471" s="1726"/>
      <c r="BG471" s="1726"/>
      <c r="BH471" s="1726"/>
      <c r="BI471" s="1726"/>
      <c r="BJ471" s="1726"/>
      <c r="BK471" s="1726"/>
      <c r="BL471" s="1726"/>
      <c r="BM471" s="1726"/>
      <c r="BN471" s="1726"/>
      <c r="BO471" s="1726"/>
      <c r="BP471" s="1726"/>
      <c r="BQ471" s="1726"/>
      <c r="BR471" s="1726"/>
      <c r="BS471" s="1726"/>
      <c r="BT471" s="1726"/>
      <c r="BU471" s="1726"/>
      <c r="BV471" s="1726"/>
      <c r="BW471" s="1726"/>
      <c r="BX471" s="1726"/>
      <c r="BY471" s="1726"/>
      <c r="BZ471" s="1726"/>
      <c r="CA471" s="1726"/>
      <c r="CB471" s="1726"/>
      <c r="CC471" s="1726"/>
    </row>
    <row r="472" spans="4:81" s="334" customFormat="1" x14ac:dyDescent="0.25">
      <c r="D472" s="1804"/>
      <c r="E472" s="477"/>
      <c r="F472" s="343"/>
      <c r="G472" s="477"/>
      <c r="H472" s="343"/>
      <c r="I472" s="477"/>
      <c r="J472" s="343"/>
      <c r="K472" s="477"/>
      <c r="M472" s="477"/>
      <c r="O472" s="477"/>
      <c r="Q472" s="477"/>
      <c r="S472" s="477"/>
      <c r="U472" s="477"/>
      <c r="W472" s="477"/>
      <c r="Y472" s="477"/>
      <c r="AA472" s="477"/>
      <c r="AO472" s="3461"/>
      <c r="AP472" s="1741"/>
      <c r="AS472" s="477"/>
      <c r="AW472" s="477"/>
      <c r="BC472" s="1726"/>
      <c r="BD472" s="1726"/>
      <c r="BE472" s="1726"/>
      <c r="BG472" s="1726"/>
      <c r="BH472" s="1726"/>
      <c r="BI472" s="1726"/>
      <c r="BJ472" s="1726"/>
      <c r="BK472" s="1726"/>
      <c r="BL472" s="1726"/>
      <c r="BM472" s="1726"/>
      <c r="BN472" s="1726"/>
      <c r="BO472" s="1726"/>
      <c r="BP472" s="1726"/>
      <c r="BQ472" s="1726"/>
      <c r="BR472" s="1726"/>
      <c r="BS472" s="1726"/>
      <c r="BT472" s="1726"/>
      <c r="BU472" s="1726"/>
      <c r="BV472" s="1726"/>
      <c r="BW472" s="1726"/>
      <c r="BX472" s="1726"/>
      <c r="BY472" s="1726"/>
      <c r="BZ472" s="1726"/>
      <c r="CA472" s="1726"/>
      <c r="CB472" s="1726"/>
      <c r="CC472" s="1726"/>
    </row>
    <row r="473" spans="4:81" s="334" customFormat="1" x14ac:dyDescent="0.25">
      <c r="D473" s="1804"/>
      <c r="E473" s="477"/>
      <c r="F473" s="343"/>
      <c r="G473" s="477"/>
      <c r="H473" s="343"/>
      <c r="I473" s="477"/>
      <c r="J473" s="343"/>
      <c r="K473" s="477"/>
      <c r="M473" s="477"/>
      <c r="O473" s="477"/>
      <c r="Q473" s="477"/>
      <c r="S473" s="477"/>
      <c r="U473" s="477"/>
      <c r="W473" s="477"/>
      <c r="Y473" s="477"/>
      <c r="AA473" s="477"/>
      <c r="AO473" s="3461"/>
      <c r="AP473" s="1741"/>
      <c r="AS473" s="477"/>
      <c r="AW473" s="477"/>
      <c r="BC473" s="5065"/>
      <c r="BD473" s="1726"/>
      <c r="BE473" s="1726"/>
      <c r="BG473" s="1726"/>
      <c r="BH473" s="1726"/>
      <c r="BI473" s="1726"/>
      <c r="BJ473" s="1726"/>
      <c r="BK473" s="1726"/>
      <c r="BL473" s="1726"/>
      <c r="BM473" s="1726"/>
      <c r="BN473" s="1726"/>
      <c r="BO473" s="1726"/>
      <c r="BP473" s="1726"/>
      <c r="BQ473" s="1726"/>
      <c r="BR473" s="1726"/>
      <c r="BS473" s="1726"/>
      <c r="BT473" s="1726"/>
      <c r="BU473" s="1726"/>
      <c r="BV473" s="1726"/>
      <c r="BW473" s="1726"/>
      <c r="BX473" s="1726"/>
      <c r="BY473" s="1726"/>
      <c r="BZ473" s="1726"/>
      <c r="CA473" s="1726"/>
      <c r="CB473" s="1726"/>
      <c r="CC473" s="1726"/>
    </row>
    <row r="474" spans="4:81" s="334" customFormat="1" x14ac:dyDescent="0.25">
      <c r="D474" s="1804"/>
      <c r="E474" s="477"/>
      <c r="F474" s="343"/>
      <c r="G474" s="477"/>
      <c r="H474" s="343"/>
      <c r="I474" s="477"/>
      <c r="J474" s="343"/>
      <c r="K474" s="477"/>
      <c r="M474" s="477"/>
      <c r="O474" s="477"/>
      <c r="Q474" s="477"/>
      <c r="S474" s="477"/>
      <c r="U474" s="477"/>
      <c r="W474" s="477"/>
      <c r="Y474" s="477"/>
      <c r="AA474" s="477"/>
      <c r="AO474" s="3461"/>
      <c r="AP474" s="1741"/>
      <c r="AS474" s="477"/>
      <c r="AW474" s="477"/>
      <c r="BC474" s="5065"/>
      <c r="BD474" s="1726"/>
      <c r="BE474" s="1726"/>
      <c r="BG474" s="1726"/>
      <c r="BH474" s="1726"/>
      <c r="BI474" s="1726"/>
      <c r="BJ474" s="1726"/>
      <c r="BK474" s="1726"/>
      <c r="BL474" s="1726"/>
      <c r="BM474" s="1726"/>
      <c r="BN474" s="1726"/>
      <c r="BO474" s="1726"/>
      <c r="BP474" s="1726"/>
      <c r="BQ474" s="1726"/>
      <c r="BR474" s="1726"/>
      <c r="BS474" s="1726"/>
      <c r="BT474" s="1726"/>
      <c r="BU474" s="1726"/>
      <c r="BV474" s="1726"/>
      <c r="BW474" s="1726"/>
      <c r="BX474" s="1726"/>
      <c r="BY474" s="1726"/>
      <c r="BZ474" s="1726"/>
      <c r="CA474" s="1726"/>
      <c r="CB474" s="1726"/>
      <c r="CC474" s="1726"/>
    </row>
    <row r="475" spans="4:81" s="334" customFormat="1" x14ac:dyDescent="0.25">
      <c r="D475" s="1804"/>
      <c r="E475" s="477"/>
      <c r="F475" s="343"/>
      <c r="G475" s="477"/>
      <c r="H475" s="343"/>
      <c r="I475" s="477"/>
      <c r="J475" s="343"/>
      <c r="K475" s="477"/>
      <c r="M475" s="477"/>
      <c r="O475" s="477"/>
      <c r="Q475" s="477"/>
      <c r="S475" s="477"/>
      <c r="U475" s="477"/>
      <c r="W475" s="477"/>
      <c r="Y475" s="477"/>
      <c r="AA475" s="477"/>
      <c r="AO475" s="3461"/>
      <c r="AP475" s="1741"/>
      <c r="AS475" s="477"/>
      <c r="AW475" s="477"/>
      <c r="BC475" s="5065"/>
      <c r="BD475" s="1726"/>
      <c r="BE475" s="1726"/>
      <c r="BG475" s="1726"/>
      <c r="BH475" s="1726"/>
      <c r="BI475" s="1726"/>
      <c r="BJ475" s="1726"/>
      <c r="BK475" s="1726"/>
      <c r="BL475" s="1726"/>
      <c r="BM475" s="1726"/>
      <c r="BN475" s="1726"/>
      <c r="BO475" s="1726"/>
      <c r="BP475" s="1726"/>
      <c r="BQ475" s="1726"/>
      <c r="BR475" s="1726"/>
      <c r="BS475" s="1726"/>
      <c r="BT475" s="1726"/>
      <c r="BU475" s="1726"/>
      <c r="BV475" s="1726"/>
      <c r="BW475" s="1726"/>
      <c r="BX475" s="1726"/>
      <c r="BY475" s="1726"/>
      <c r="BZ475" s="1726"/>
      <c r="CA475" s="1726"/>
      <c r="CB475" s="1726"/>
      <c r="CC475" s="1726"/>
    </row>
    <row r="476" spans="4:81" s="334" customFormat="1" x14ac:dyDescent="0.25">
      <c r="D476" s="1804"/>
      <c r="E476" s="477"/>
      <c r="F476" s="343"/>
      <c r="G476" s="477"/>
      <c r="H476" s="343"/>
      <c r="I476" s="477"/>
      <c r="J476" s="343"/>
      <c r="K476" s="477"/>
      <c r="M476" s="477"/>
      <c r="O476" s="477"/>
      <c r="Q476" s="477"/>
      <c r="S476" s="477"/>
      <c r="U476" s="477"/>
      <c r="W476" s="477"/>
      <c r="Y476" s="477"/>
      <c r="AA476" s="477"/>
      <c r="AO476" s="3461"/>
      <c r="AP476" s="1741"/>
      <c r="AS476" s="477"/>
      <c r="AW476" s="477"/>
      <c r="BC476" s="1726"/>
      <c r="BD476" s="1726"/>
      <c r="BE476" s="1726"/>
      <c r="BG476" s="1726"/>
      <c r="BH476" s="1726"/>
      <c r="BI476" s="1726"/>
      <c r="BJ476" s="1726"/>
      <c r="BK476" s="1726"/>
      <c r="BL476" s="1726"/>
      <c r="BM476" s="1726"/>
      <c r="BN476" s="1726"/>
      <c r="BO476" s="1726"/>
      <c r="BP476" s="1726"/>
      <c r="BQ476" s="1726"/>
      <c r="BR476" s="1726"/>
      <c r="BS476" s="1726"/>
      <c r="BT476" s="1726"/>
      <c r="BU476" s="1726"/>
      <c r="BV476" s="1726"/>
      <c r="BW476" s="1726"/>
      <c r="BX476" s="1726"/>
      <c r="BY476" s="1726"/>
      <c r="BZ476" s="1726"/>
      <c r="CA476" s="1726"/>
      <c r="CB476" s="1726"/>
      <c r="CC476" s="1726"/>
    </row>
    <row r="477" spans="4:81" s="334" customFormat="1" x14ac:dyDescent="0.25">
      <c r="D477" s="1804"/>
      <c r="E477" s="477"/>
      <c r="F477" s="343"/>
      <c r="G477" s="477"/>
      <c r="H477" s="343"/>
      <c r="I477" s="477"/>
      <c r="J477" s="343"/>
      <c r="K477" s="477"/>
      <c r="M477" s="477"/>
      <c r="O477" s="477"/>
      <c r="Q477" s="477"/>
      <c r="S477" s="477"/>
      <c r="U477" s="477"/>
      <c r="W477" s="477"/>
      <c r="Y477" s="477"/>
      <c r="AA477" s="477"/>
      <c r="AO477" s="3461"/>
      <c r="AP477" s="1741"/>
      <c r="AS477" s="477"/>
      <c r="AW477" s="477"/>
      <c r="BC477" s="1726"/>
      <c r="BD477" s="1726"/>
      <c r="BE477" s="1726"/>
      <c r="BG477" s="1726"/>
      <c r="BH477" s="1726"/>
      <c r="BI477" s="1726"/>
      <c r="BJ477" s="1726"/>
      <c r="BK477" s="1726"/>
      <c r="BL477" s="1726"/>
      <c r="BM477" s="1726"/>
      <c r="BN477" s="1726"/>
      <c r="BO477" s="1726"/>
      <c r="BP477" s="1726"/>
      <c r="BQ477" s="1726"/>
      <c r="BR477" s="1726"/>
      <c r="BS477" s="1726"/>
      <c r="BT477" s="1726"/>
      <c r="BU477" s="1726"/>
      <c r="BV477" s="1726"/>
      <c r="BW477" s="1726"/>
      <c r="BX477" s="1726"/>
      <c r="BY477" s="1726"/>
      <c r="BZ477" s="1726"/>
      <c r="CA477" s="1726"/>
      <c r="CB477" s="1726"/>
      <c r="CC477" s="1726"/>
    </row>
    <row r="478" spans="4:81" s="334" customFormat="1" x14ac:dyDescent="0.25">
      <c r="D478" s="1804"/>
      <c r="E478" s="477"/>
      <c r="F478" s="343"/>
      <c r="G478" s="477"/>
      <c r="H478" s="343"/>
      <c r="I478" s="477"/>
      <c r="J478" s="343"/>
      <c r="K478" s="477"/>
      <c r="M478" s="477"/>
      <c r="O478" s="477"/>
      <c r="Q478" s="477"/>
      <c r="S478" s="477"/>
      <c r="U478" s="477"/>
      <c r="W478" s="477"/>
      <c r="Y478" s="477"/>
      <c r="AA478" s="477"/>
      <c r="AO478" s="3461"/>
      <c r="AP478" s="1741"/>
      <c r="AS478" s="477"/>
      <c r="AW478" s="477"/>
      <c r="BC478" s="1726"/>
      <c r="BD478" s="1726"/>
      <c r="BE478" s="1726"/>
      <c r="BG478" s="1726"/>
      <c r="BH478" s="1726"/>
      <c r="BI478" s="1726"/>
      <c r="BJ478" s="1726"/>
      <c r="BK478" s="1726"/>
      <c r="BL478" s="1726"/>
      <c r="BM478" s="1726"/>
      <c r="BN478" s="1726"/>
      <c r="BO478" s="1726"/>
      <c r="BP478" s="1726"/>
      <c r="BQ478" s="1726"/>
      <c r="BR478" s="1726"/>
      <c r="BS478" s="1726"/>
      <c r="BT478" s="1726"/>
      <c r="BU478" s="1726"/>
      <c r="BV478" s="1726"/>
      <c r="BW478" s="1726"/>
      <c r="BX478" s="1726"/>
      <c r="BY478" s="1726"/>
      <c r="BZ478" s="1726"/>
      <c r="CA478" s="1726"/>
      <c r="CB478" s="1726"/>
      <c r="CC478" s="1726"/>
    </row>
    <row r="479" spans="4:81" s="334" customFormat="1" x14ac:dyDescent="0.25">
      <c r="D479" s="1804"/>
      <c r="E479" s="477"/>
      <c r="F479" s="343"/>
      <c r="G479" s="477"/>
      <c r="H479" s="343"/>
      <c r="I479" s="477"/>
      <c r="J479" s="343"/>
      <c r="K479" s="477"/>
      <c r="M479" s="477"/>
      <c r="O479" s="477"/>
      <c r="Q479" s="477"/>
      <c r="S479" s="477"/>
      <c r="U479" s="477"/>
      <c r="W479" s="477"/>
      <c r="Y479" s="477"/>
      <c r="AA479" s="477"/>
      <c r="AO479" s="3461"/>
      <c r="AP479" s="1741"/>
      <c r="AS479" s="477"/>
      <c r="AW479" s="477"/>
      <c r="BC479" s="5065"/>
      <c r="BD479" s="1726"/>
      <c r="BE479" s="1726"/>
      <c r="BG479" s="1726"/>
      <c r="BH479" s="1726"/>
      <c r="BI479" s="1726"/>
      <c r="BJ479" s="1726"/>
      <c r="BK479" s="1726"/>
      <c r="BL479" s="1726"/>
      <c r="BM479" s="1726"/>
      <c r="BN479" s="1726"/>
      <c r="BO479" s="1726"/>
      <c r="BP479" s="1726"/>
      <c r="BQ479" s="1726"/>
      <c r="BR479" s="1726"/>
      <c r="BS479" s="1726"/>
      <c r="BT479" s="1726"/>
      <c r="BU479" s="1726"/>
      <c r="BV479" s="1726"/>
      <c r="BW479" s="1726"/>
      <c r="BX479" s="1726"/>
      <c r="BY479" s="1726"/>
      <c r="BZ479" s="1726"/>
      <c r="CA479" s="1726"/>
      <c r="CB479" s="1726"/>
      <c r="CC479" s="1726"/>
    </row>
    <row r="480" spans="4:81" s="334" customFormat="1" x14ac:dyDescent="0.25">
      <c r="D480" s="1804"/>
      <c r="E480" s="477"/>
      <c r="F480" s="343"/>
      <c r="G480" s="477"/>
      <c r="H480" s="343"/>
      <c r="I480" s="477"/>
      <c r="J480" s="343"/>
      <c r="K480" s="477"/>
      <c r="M480" s="477"/>
      <c r="O480" s="477"/>
      <c r="Q480" s="477"/>
      <c r="S480" s="477"/>
      <c r="U480" s="477"/>
      <c r="W480" s="477"/>
      <c r="Y480" s="477"/>
      <c r="AA480" s="477"/>
      <c r="AO480" s="3461"/>
      <c r="AP480" s="1741"/>
      <c r="AS480" s="477"/>
      <c r="AW480" s="477"/>
      <c r="BC480" s="5065"/>
      <c r="BD480" s="1726"/>
      <c r="BE480" s="1726"/>
      <c r="BG480" s="1726"/>
      <c r="BH480" s="1726"/>
      <c r="BI480" s="1726"/>
      <c r="BJ480" s="1726"/>
      <c r="BK480" s="1726"/>
      <c r="BL480" s="1726"/>
      <c r="BM480" s="1726"/>
      <c r="BN480" s="1726"/>
      <c r="BO480" s="1726"/>
      <c r="BP480" s="1726"/>
      <c r="BQ480" s="1726"/>
      <c r="BR480" s="1726"/>
      <c r="BS480" s="1726"/>
      <c r="BT480" s="1726"/>
      <c r="BU480" s="1726"/>
      <c r="BV480" s="1726"/>
      <c r="BW480" s="1726"/>
      <c r="BX480" s="1726"/>
      <c r="BY480" s="1726"/>
      <c r="BZ480" s="1726"/>
      <c r="CA480" s="1726"/>
      <c r="CB480" s="1726"/>
      <c r="CC480" s="1726"/>
    </row>
    <row r="481" spans="4:81" s="334" customFormat="1" x14ac:dyDescent="0.25">
      <c r="D481" s="1804"/>
      <c r="E481" s="477"/>
      <c r="F481" s="343"/>
      <c r="G481" s="477"/>
      <c r="H481" s="343"/>
      <c r="I481" s="477"/>
      <c r="J481" s="343"/>
      <c r="K481" s="477"/>
      <c r="M481" s="477"/>
      <c r="O481" s="477"/>
      <c r="Q481" s="477"/>
      <c r="S481" s="477"/>
      <c r="U481" s="477"/>
      <c r="W481" s="477"/>
      <c r="Y481" s="477"/>
      <c r="AA481" s="477"/>
      <c r="AO481" s="3461"/>
      <c r="AP481" s="1741"/>
      <c r="AS481" s="477"/>
      <c r="AW481" s="477"/>
      <c r="BC481" s="5065"/>
      <c r="BD481" s="1726"/>
      <c r="BE481" s="1726"/>
      <c r="BG481" s="1726"/>
      <c r="BH481" s="1726"/>
      <c r="BI481" s="1726"/>
      <c r="BJ481" s="1726"/>
      <c r="BK481" s="1726"/>
      <c r="BL481" s="1726"/>
      <c r="BM481" s="1726"/>
      <c r="BN481" s="1726"/>
      <c r="BO481" s="1726"/>
      <c r="BP481" s="1726"/>
      <c r="BQ481" s="1726"/>
      <c r="BR481" s="1726"/>
      <c r="BS481" s="1726"/>
      <c r="BT481" s="1726"/>
      <c r="BU481" s="1726"/>
      <c r="BV481" s="1726"/>
      <c r="BW481" s="1726"/>
      <c r="BX481" s="1726"/>
      <c r="BY481" s="1726"/>
      <c r="BZ481" s="1726"/>
      <c r="CA481" s="1726"/>
      <c r="CB481" s="1726"/>
      <c r="CC481" s="1726"/>
    </row>
    <row r="482" spans="4:81" s="334" customFormat="1" x14ac:dyDescent="0.25">
      <c r="D482" s="1804"/>
      <c r="E482" s="477"/>
      <c r="F482" s="343"/>
      <c r="G482" s="477"/>
      <c r="H482" s="343"/>
      <c r="I482" s="477"/>
      <c r="J482" s="343"/>
      <c r="K482" s="477"/>
      <c r="M482" s="477"/>
      <c r="O482" s="477"/>
      <c r="Q482" s="477"/>
      <c r="S482" s="477"/>
      <c r="U482" s="477"/>
      <c r="W482" s="477"/>
      <c r="Y482" s="477"/>
      <c r="AA482" s="477"/>
      <c r="AG482" s="477"/>
      <c r="AI482" s="477"/>
      <c r="AO482" s="3461"/>
      <c r="AP482" s="1741"/>
      <c r="AS482" s="477"/>
      <c r="AW482" s="477"/>
      <c r="BC482" s="1726"/>
      <c r="BD482" s="1726"/>
      <c r="BE482" s="1726"/>
      <c r="BG482" s="1726"/>
      <c r="BH482" s="1726"/>
      <c r="BI482" s="1726"/>
      <c r="BJ482" s="1726"/>
      <c r="BK482" s="1726"/>
      <c r="BL482" s="1726"/>
      <c r="BM482" s="1726"/>
      <c r="BN482" s="1726"/>
      <c r="BO482" s="1726"/>
      <c r="BP482" s="1726"/>
      <c r="BQ482" s="1726"/>
      <c r="BR482" s="1726"/>
      <c r="BS482" s="1726"/>
      <c r="BT482" s="1726"/>
      <c r="BU482" s="1726"/>
      <c r="BV482" s="1726"/>
      <c r="BW482" s="1726"/>
      <c r="BX482" s="1726"/>
      <c r="BY482" s="1726"/>
      <c r="BZ482" s="1726"/>
      <c r="CA482" s="1726"/>
      <c r="CB482" s="1726"/>
      <c r="CC482" s="1726"/>
    </row>
    <row r="483" spans="4:81" s="334" customFormat="1" x14ac:dyDescent="0.25">
      <c r="D483" s="1804"/>
      <c r="E483" s="477"/>
      <c r="F483" s="343"/>
      <c r="G483" s="477"/>
      <c r="H483" s="343"/>
      <c r="I483" s="477"/>
      <c r="J483" s="343"/>
      <c r="K483" s="477"/>
      <c r="M483" s="477"/>
      <c r="O483" s="477"/>
      <c r="Q483" s="477"/>
      <c r="S483" s="477"/>
      <c r="U483" s="477"/>
      <c r="W483" s="477"/>
      <c r="Y483" s="477"/>
      <c r="AA483" s="477"/>
      <c r="AG483" s="477"/>
      <c r="AI483" s="477"/>
      <c r="AO483" s="3461"/>
      <c r="AP483" s="1741"/>
      <c r="AS483" s="477"/>
      <c r="AW483" s="477"/>
      <c r="BC483" s="1726"/>
      <c r="BD483" s="1726"/>
      <c r="BE483" s="1726"/>
      <c r="BG483" s="1726"/>
      <c r="BH483" s="1726"/>
      <c r="BI483" s="1726"/>
      <c r="BJ483" s="1726"/>
      <c r="BK483" s="1726"/>
      <c r="BL483" s="1726"/>
      <c r="BM483" s="1726"/>
      <c r="BN483" s="1726"/>
      <c r="BO483" s="1726"/>
      <c r="BP483" s="1726"/>
      <c r="BQ483" s="1726"/>
      <c r="BR483" s="1726"/>
      <c r="BS483" s="1726"/>
      <c r="BT483" s="1726"/>
      <c r="BU483" s="1726"/>
      <c r="BV483" s="1726"/>
      <c r="BW483" s="1726"/>
      <c r="BX483" s="1726"/>
      <c r="BY483" s="1726"/>
      <c r="BZ483" s="1726"/>
      <c r="CA483" s="1726"/>
      <c r="CB483" s="1726"/>
      <c r="CC483" s="1726"/>
    </row>
    <row r="484" spans="4:81" s="334" customFormat="1" x14ac:dyDescent="0.25">
      <c r="D484" s="1804"/>
      <c r="E484" s="477"/>
      <c r="F484" s="343"/>
      <c r="G484" s="477"/>
      <c r="H484" s="343"/>
      <c r="I484" s="477"/>
      <c r="J484" s="343"/>
      <c r="K484" s="477"/>
      <c r="M484" s="477"/>
      <c r="O484" s="477"/>
      <c r="Q484" s="477"/>
      <c r="S484" s="477"/>
      <c r="U484" s="477"/>
      <c r="W484" s="477"/>
      <c r="Y484" s="477"/>
      <c r="AA484" s="477"/>
      <c r="AG484" s="477"/>
      <c r="AI484" s="477"/>
      <c r="AO484" s="3461"/>
      <c r="AP484" s="1741"/>
      <c r="AS484" s="477"/>
      <c r="AW484" s="477"/>
      <c r="BC484" s="1726"/>
      <c r="BD484" s="1726"/>
      <c r="BE484" s="1726"/>
      <c r="BG484" s="1726"/>
      <c r="BH484" s="1726"/>
      <c r="BI484" s="1726"/>
      <c r="BJ484" s="1726"/>
      <c r="BK484" s="1726"/>
      <c r="BL484" s="1726"/>
      <c r="BM484" s="1726"/>
      <c r="BN484" s="1726"/>
      <c r="BO484" s="1726"/>
      <c r="BP484" s="1726"/>
      <c r="BQ484" s="1726"/>
      <c r="BR484" s="1726"/>
      <c r="BS484" s="1726"/>
      <c r="BT484" s="1726"/>
      <c r="BU484" s="1726"/>
      <c r="BV484" s="1726"/>
      <c r="BW484" s="1726"/>
      <c r="BX484" s="1726"/>
      <c r="BY484" s="1726"/>
      <c r="BZ484" s="1726"/>
      <c r="CA484" s="1726"/>
      <c r="CB484" s="1726"/>
      <c r="CC484" s="1726"/>
    </row>
    <row r="485" spans="4:81" s="334" customFormat="1" x14ac:dyDescent="0.25">
      <c r="D485" s="1804"/>
      <c r="E485" s="477"/>
      <c r="F485" s="343"/>
      <c r="G485" s="477"/>
      <c r="H485" s="343"/>
      <c r="I485" s="477"/>
      <c r="J485" s="343"/>
      <c r="K485" s="477"/>
      <c r="M485" s="477"/>
      <c r="O485" s="477"/>
      <c r="Q485" s="477"/>
      <c r="S485" s="477"/>
      <c r="U485" s="477"/>
      <c r="W485" s="477"/>
      <c r="Y485" s="477"/>
      <c r="AA485" s="477"/>
      <c r="AG485" s="477"/>
      <c r="AI485" s="477"/>
      <c r="AO485" s="3461"/>
      <c r="AP485" s="1741"/>
      <c r="AS485" s="477"/>
      <c r="AW485" s="477"/>
      <c r="BC485" s="5065"/>
      <c r="BD485" s="1726"/>
      <c r="BE485" s="1726"/>
      <c r="BG485" s="1726"/>
      <c r="BH485" s="1726"/>
      <c r="BI485" s="1726"/>
      <c r="BJ485" s="1726"/>
      <c r="BK485" s="1726"/>
      <c r="BL485" s="1726"/>
      <c r="BM485" s="1726"/>
      <c r="BN485" s="1726"/>
      <c r="BO485" s="1726"/>
      <c r="BP485" s="1726"/>
      <c r="BQ485" s="1726"/>
      <c r="BR485" s="1726"/>
      <c r="BS485" s="1726"/>
      <c r="BT485" s="1726"/>
      <c r="BU485" s="1726"/>
      <c r="BV485" s="1726"/>
      <c r="BW485" s="1726"/>
      <c r="BX485" s="1726"/>
      <c r="BY485" s="1726"/>
      <c r="BZ485" s="1726"/>
      <c r="CA485" s="1726"/>
      <c r="CB485" s="1726"/>
      <c r="CC485" s="1726"/>
    </row>
    <row r="486" spans="4:81" s="334" customFormat="1" x14ac:dyDescent="0.25">
      <c r="D486" s="1804"/>
      <c r="E486" s="477"/>
      <c r="F486" s="343"/>
      <c r="G486" s="477"/>
      <c r="H486" s="343"/>
      <c r="I486" s="477"/>
      <c r="J486" s="343"/>
      <c r="K486" s="477"/>
      <c r="M486" s="477"/>
      <c r="O486" s="477"/>
      <c r="Q486" s="477"/>
      <c r="S486" s="477"/>
      <c r="U486" s="477"/>
      <c r="W486" s="477"/>
      <c r="Y486" s="477"/>
      <c r="AA486" s="477"/>
      <c r="AG486" s="477"/>
      <c r="AI486" s="477"/>
      <c r="AO486" s="3461"/>
      <c r="AP486" s="1741"/>
      <c r="AS486" s="477"/>
      <c r="AW486" s="477"/>
      <c r="BC486" s="5065"/>
      <c r="BD486" s="1726"/>
      <c r="BE486" s="1726"/>
      <c r="BG486" s="1726"/>
      <c r="BH486" s="1726"/>
      <c r="BI486" s="1726"/>
      <c r="BJ486" s="1726"/>
      <c r="BK486" s="1726"/>
      <c r="BL486" s="1726"/>
      <c r="BM486" s="1726"/>
      <c r="BN486" s="1726"/>
      <c r="BO486" s="1726"/>
      <c r="BP486" s="1726"/>
      <c r="BQ486" s="1726"/>
      <c r="BR486" s="1726"/>
      <c r="BS486" s="1726"/>
      <c r="BT486" s="1726"/>
      <c r="BU486" s="1726"/>
      <c r="BV486" s="1726"/>
      <c r="BW486" s="1726"/>
      <c r="BX486" s="1726"/>
      <c r="BY486" s="1726"/>
      <c r="BZ486" s="1726"/>
      <c r="CA486" s="1726"/>
      <c r="CB486" s="1726"/>
      <c r="CC486" s="1726"/>
    </row>
    <row r="487" spans="4:81" s="334" customFormat="1" x14ac:dyDescent="0.25">
      <c r="D487" s="1804"/>
      <c r="E487" s="477"/>
      <c r="F487" s="343"/>
      <c r="G487" s="477"/>
      <c r="H487" s="343"/>
      <c r="I487" s="477"/>
      <c r="J487" s="343"/>
      <c r="K487" s="477"/>
      <c r="M487" s="477"/>
      <c r="O487" s="477"/>
      <c r="Q487" s="477"/>
      <c r="S487" s="477"/>
      <c r="U487" s="477"/>
      <c r="W487" s="477"/>
      <c r="Y487" s="477"/>
      <c r="AA487" s="477"/>
      <c r="AG487" s="477"/>
      <c r="AI487" s="477"/>
      <c r="AO487" s="3461"/>
      <c r="AP487" s="1741"/>
      <c r="AS487" s="477"/>
      <c r="AW487" s="477"/>
      <c r="BC487" s="1726"/>
      <c r="BD487" s="1726"/>
      <c r="BE487" s="1726"/>
      <c r="BG487" s="1726"/>
      <c r="BH487" s="1726"/>
      <c r="BI487" s="1726"/>
      <c r="BJ487" s="1726"/>
      <c r="BK487" s="1726"/>
      <c r="BL487" s="1726"/>
      <c r="BM487" s="1726"/>
      <c r="BN487" s="1726"/>
      <c r="BO487" s="1726"/>
      <c r="BP487" s="1726"/>
      <c r="BQ487" s="1726"/>
      <c r="BR487" s="1726"/>
      <c r="BS487" s="1726"/>
      <c r="BT487" s="1726"/>
      <c r="BU487" s="1726"/>
      <c r="BV487" s="1726"/>
      <c r="BW487" s="1726"/>
      <c r="BX487" s="1726"/>
      <c r="BY487" s="1726"/>
      <c r="BZ487" s="1726"/>
      <c r="CA487" s="1726"/>
      <c r="CB487" s="1726"/>
      <c r="CC487" s="1726"/>
    </row>
    <row r="488" spans="4:81" s="334" customFormat="1" x14ac:dyDescent="0.25">
      <c r="D488" s="1804"/>
      <c r="E488" s="477"/>
      <c r="F488" s="343"/>
      <c r="G488" s="477"/>
      <c r="H488" s="343"/>
      <c r="I488" s="477"/>
      <c r="J488" s="343"/>
      <c r="K488" s="477"/>
      <c r="M488" s="477"/>
      <c r="O488" s="477"/>
      <c r="Q488" s="477"/>
      <c r="S488" s="477"/>
      <c r="U488" s="477"/>
      <c r="W488" s="477"/>
      <c r="Y488" s="477"/>
      <c r="AA488" s="477"/>
      <c r="AG488" s="477"/>
      <c r="AI488" s="477"/>
      <c r="AO488" s="3461"/>
      <c r="AP488" s="1741"/>
      <c r="AS488" s="477"/>
      <c r="AW488" s="477"/>
      <c r="BC488" s="1726"/>
      <c r="BD488" s="1726"/>
      <c r="BE488" s="1726"/>
      <c r="BG488" s="1726"/>
      <c r="BH488" s="1726"/>
      <c r="BI488" s="1726"/>
      <c r="BJ488" s="1726"/>
      <c r="BK488" s="1726"/>
      <c r="BL488" s="1726"/>
      <c r="BM488" s="1726"/>
      <c r="BN488" s="1726"/>
      <c r="BO488" s="1726"/>
      <c r="BP488" s="1726"/>
      <c r="BQ488" s="1726"/>
      <c r="BR488" s="1726"/>
      <c r="BS488" s="1726"/>
      <c r="BT488" s="1726"/>
      <c r="BU488" s="1726"/>
      <c r="BV488" s="1726"/>
      <c r="BW488" s="1726"/>
      <c r="BX488" s="1726"/>
      <c r="BY488" s="1726"/>
      <c r="BZ488" s="1726"/>
      <c r="CA488" s="1726"/>
      <c r="CB488" s="1726"/>
      <c r="CC488" s="1726"/>
    </row>
    <row r="489" spans="4:81" s="334" customFormat="1" x14ac:dyDescent="0.25">
      <c r="D489" s="1804"/>
      <c r="E489" s="477"/>
      <c r="F489" s="343"/>
      <c r="G489" s="477"/>
      <c r="H489" s="343"/>
      <c r="I489" s="477"/>
      <c r="J489" s="343"/>
      <c r="K489" s="477"/>
      <c r="M489" s="477"/>
      <c r="O489" s="477"/>
      <c r="Q489" s="477"/>
      <c r="S489" s="477"/>
      <c r="U489" s="477"/>
      <c r="W489" s="477"/>
      <c r="Y489" s="477"/>
      <c r="AA489" s="477"/>
      <c r="AG489" s="477"/>
      <c r="AI489" s="477"/>
      <c r="AO489" s="3461"/>
      <c r="AP489" s="1741"/>
      <c r="AS489" s="477"/>
      <c r="AW489" s="477"/>
      <c r="BC489" s="1726"/>
      <c r="BD489" s="1726"/>
      <c r="BE489" s="1726"/>
      <c r="BG489" s="1726"/>
      <c r="BH489" s="1726"/>
      <c r="BI489" s="1726"/>
      <c r="BJ489" s="1726"/>
      <c r="BK489" s="1726"/>
      <c r="BL489" s="1726"/>
      <c r="BM489" s="1726"/>
      <c r="BN489" s="1726"/>
      <c r="BO489" s="1726"/>
      <c r="BP489" s="1726"/>
      <c r="BQ489" s="1726"/>
      <c r="BR489" s="1726"/>
      <c r="BS489" s="1726"/>
      <c r="BT489" s="1726"/>
      <c r="BU489" s="1726"/>
      <c r="BV489" s="1726"/>
      <c r="BW489" s="1726"/>
      <c r="BX489" s="1726"/>
      <c r="BY489" s="1726"/>
      <c r="BZ489" s="1726"/>
      <c r="CA489" s="1726"/>
      <c r="CB489" s="1726"/>
      <c r="CC489" s="1726"/>
    </row>
    <row r="490" spans="4:81" s="334" customFormat="1" x14ac:dyDescent="0.25">
      <c r="D490" s="1804"/>
      <c r="E490" s="477"/>
      <c r="F490" s="343"/>
      <c r="G490" s="477"/>
      <c r="H490" s="343"/>
      <c r="I490" s="477"/>
      <c r="J490" s="343"/>
      <c r="K490" s="477"/>
      <c r="M490" s="477"/>
      <c r="O490" s="477"/>
      <c r="Q490" s="477"/>
      <c r="S490" s="477"/>
      <c r="U490" s="477"/>
      <c r="W490" s="477"/>
      <c r="Y490" s="477"/>
      <c r="AA490" s="477"/>
      <c r="AG490" s="477"/>
      <c r="AI490" s="477"/>
      <c r="AO490" s="3461"/>
      <c r="AP490" s="1741"/>
      <c r="AS490" s="477"/>
      <c r="AW490" s="477"/>
      <c r="BC490" s="1726"/>
      <c r="BD490" s="1726"/>
      <c r="BE490" s="1726"/>
      <c r="BG490" s="1726"/>
      <c r="BH490" s="1726"/>
      <c r="BI490" s="1726"/>
      <c r="BJ490" s="1726"/>
      <c r="BK490" s="1726"/>
      <c r="BL490" s="1726"/>
      <c r="BM490" s="1726"/>
      <c r="BN490" s="1726"/>
      <c r="BO490" s="1726"/>
      <c r="BP490" s="1726"/>
      <c r="BQ490" s="1726"/>
      <c r="BR490" s="1726"/>
      <c r="BS490" s="1726"/>
      <c r="BT490" s="1726"/>
      <c r="BU490" s="1726"/>
      <c r="BV490" s="1726"/>
      <c r="BW490" s="1726"/>
      <c r="BX490" s="1726"/>
      <c r="BY490" s="1726"/>
      <c r="BZ490" s="1726"/>
      <c r="CA490" s="1726"/>
      <c r="CB490" s="1726"/>
      <c r="CC490" s="1726"/>
    </row>
    <row r="491" spans="4:81" s="334" customFormat="1" x14ac:dyDescent="0.25">
      <c r="D491" s="1804"/>
      <c r="E491" s="477"/>
      <c r="F491" s="343"/>
      <c r="G491" s="477"/>
      <c r="H491" s="343"/>
      <c r="I491" s="477"/>
      <c r="J491" s="343"/>
      <c r="K491" s="477"/>
      <c r="M491" s="477"/>
      <c r="O491" s="477"/>
      <c r="Q491" s="477"/>
      <c r="S491" s="477"/>
      <c r="U491" s="477"/>
      <c r="W491" s="477"/>
      <c r="Y491" s="477"/>
      <c r="AA491" s="477"/>
      <c r="AG491" s="477"/>
      <c r="AI491" s="477"/>
      <c r="AO491" s="3461"/>
      <c r="AP491" s="1741"/>
      <c r="AS491" s="477"/>
      <c r="AW491" s="477"/>
      <c r="BC491" s="1726"/>
      <c r="BD491" s="1726"/>
      <c r="BE491" s="1726"/>
      <c r="BG491" s="1726"/>
      <c r="BH491" s="1726"/>
      <c r="BI491" s="1726"/>
      <c r="BJ491" s="1726"/>
      <c r="BK491" s="1726"/>
      <c r="BL491" s="1726"/>
      <c r="BM491" s="1726"/>
      <c r="BN491" s="1726"/>
      <c r="BO491" s="1726"/>
      <c r="BP491" s="1726"/>
      <c r="BQ491" s="1726"/>
      <c r="BR491" s="1726"/>
      <c r="BS491" s="1726"/>
      <c r="BT491" s="1726"/>
      <c r="BU491" s="1726"/>
      <c r="BV491" s="1726"/>
      <c r="BW491" s="1726"/>
      <c r="BX491" s="1726"/>
      <c r="BY491" s="1726"/>
      <c r="BZ491" s="1726"/>
      <c r="CA491" s="1726"/>
      <c r="CB491" s="1726"/>
      <c r="CC491" s="1726"/>
    </row>
    <row r="492" spans="4:81" s="334" customFormat="1" x14ac:dyDescent="0.25">
      <c r="D492" s="1804"/>
      <c r="E492" s="477"/>
      <c r="F492" s="343"/>
      <c r="G492" s="477"/>
      <c r="H492" s="343"/>
      <c r="I492" s="477"/>
      <c r="J492" s="343"/>
      <c r="K492" s="477"/>
      <c r="M492" s="477"/>
      <c r="O492" s="477"/>
      <c r="Q492" s="477"/>
      <c r="S492" s="477"/>
      <c r="U492" s="477"/>
      <c r="W492" s="477"/>
      <c r="Y492" s="477"/>
      <c r="AA492" s="477"/>
      <c r="AG492" s="477"/>
      <c r="AI492" s="477"/>
      <c r="AO492" s="3461"/>
      <c r="AP492" s="1741"/>
      <c r="AS492" s="477"/>
      <c r="AW492" s="477"/>
      <c r="BC492" s="1726"/>
      <c r="BD492" s="1726"/>
      <c r="BE492" s="1726"/>
      <c r="BG492" s="1726"/>
      <c r="BH492" s="1726"/>
      <c r="BI492" s="1726"/>
      <c r="BJ492" s="1726"/>
      <c r="BK492" s="1726"/>
      <c r="BL492" s="1726"/>
      <c r="BM492" s="1726"/>
      <c r="BN492" s="1726"/>
      <c r="BO492" s="1726"/>
      <c r="BP492" s="1726"/>
      <c r="BQ492" s="1726"/>
      <c r="BR492" s="1726"/>
      <c r="BS492" s="1726"/>
      <c r="BT492" s="1726"/>
      <c r="BU492" s="1726"/>
      <c r="BV492" s="1726"/>
      <c r="BW492" s="1726"/>
      <c r="BX492" s="1726"/>
      <c r="BY492" s="1726"/>
      <c r="BZ492" s="1726"/>
      <c r="CA492" s="1726"/>
      <c r="CB492" s="1726"/>
      <c r="CC492" s="1726"/>
    </row>
    <row r="493" spans="4:81" s="334" customFormat="1" x14ac:dyDescent="0.25">
      <c r="D493" s="1804"/>
      <c r="E493" s="477"/>
      <c r="F493" s="343"/>
      <c r="G493" s="477"/>
      <c r="H493" s="343"/>
      <c r="I493" s="477"/>
      <c r="J493" s="343"/>
      <c r="K493" s="477"/>
      <c r="M493" s="477"/>
      <c r="O493" s="477"/>
      <c r="Q493" s="477"/>
      <c r="S493" s="477"/>
      <c r="U493" s="477"/>
      <c r="W493" s="477"/>
      <c r="Y493" s="477"/>
      <c r="AA493" s="477"/>
      <c r="AG493" s="477"/>
      <c r="AI493" s="477"/>
      <c r="AO493" s="3461"/>
      <c r="AP493" s="1741"/>
      <c r="AS493" s="477"/>
      <c r="AW493" s="477"/>
      <c r="BC493" s="1726"/>
      <c r="BD493" s="1726"/>
      <c r="BE493" s="1726"/>
      <c r="BG493" s="1726"/>
      <c r="BH493" s="1726"/>
      <c r="BI493" s="1726"/>
      <c r="BJ493" s="1726"/>
      <c r="BK493" s="1726"/>
      <c r="BL493" s="1726"/>
      <c r="BM493" s="1726"/>
      <c r="BN493" s="1726"/>
      <c r="BO493" s="1726"/>
      <c r="BP493" s="1726"/>
      <c r="BQ493" s="1726"/>
      <c r="BR493" s="1726"/>
      <c r="BS493" s="1726"/>
      <c r="BT493" s="1726"/>
      <c r="BU493" s="1726"/>
      <c r="BV493" s="1726"/>
      <c r="BW493" s="1726"/>
      <c r="BX493" s="1726"/>
      <c r="BY493" s="1726"/>
      <c r="BZ493" s="1726"/>
      <c r="CA493" s="1726"/>
      <c r="CB493" s="1726"/>
      <c r="CC493" s="1726"/>
    </row>
    <row r="494" spans="4:81" s="334" customFormat="1" x14ac:dyDescent="0.25">
      <c r="D494" s="1804"/>
      <c r="E494" s="477"/>
      <c r="F494" s="343"/>
      <c r="G494" s="477"/>
      <c r="H494" s="343"/>
      <c r="I494" s="477"/>
      <c r="J494" s="343"/>
      <c r="K494" s="477"/>
      <c r="M494" s="477"/>
      <c r="O494" s="477"/>
      <c r="Q494" s="477"/>
      <c r="S494" s="477"/>
      <c r="U494" s="477"/>
      <c r="W494" s="477"/>
      <c r="Y494" s="477"/>
      <c r="AA494" s="477"/>
      <c r="AG494" s="477"/>
      <c r="AI494" s="477"/>
      <c r="AO494" s="3461"/>
      <c r="AP494" s="1741"/>
      <c r="AS494" s="477"/>
      <c r="AW494" s="477"/>
      <c r="BC494" s="1726"/>
      <c r="BD494" s="1726"/>
      <c r="BE494" s="1726"/>
      <c r="BG494" s="1726"/>
      <c r="BH494" s="1726"/>
      <c r="BI494" s="1726"/>
      <c r="BJ494" s="1726"/>
      <c r="BK494" s="1726"/>
      <c r="BL494" s="1726"/>
      <c r="BM494" s="1726"/>
      <c r="BN494" s="1726"/>
      <c r="BO494" s="1726"/>
      <c r="BP494" s="1726"/>
      <c r="BQ494" s="1726"/>
      <c r="BR494" s="1726"/>
      <c r="BS494" s="1726"/>
      <c r="BT494" s="1726"/>
      <c r="BU494" s="1726"/>
      <c r="BV494" s="1726"/>
      <c r="BW494" s="1726"/>
      <c r="BX494" s="1726"/>
      <c r="BY494" s="1726"/>
      <c r="BZ494" s="1726"/>
      <c r="CA494" s="1726"/>
      <c r="CB494" s="1726"/>
      <c r="CC494" s="1726"/>
    </row>
    <row r="495" spans="4:81" s="334" customFormat="1" x14ac:dyDescent="0.25">
      <c r="D495" s="1804"/>
      <c r="E495" s="477"/>
      <c r="F495" s="343"/>
      <c r="G495" s="477"/>
      <c r="H495" s="343"/>
      <c r="I495" s="477"/>
      <c r="J495" s="343"/>
      <c r="K495" s="477"/>
      <c r="M495" s="477"/>
      <c r="O495" s="477"/>
      <c r="Q495" s="477"/>
      <c r="S495" s="477"/>
      <c r="U495" s="477"/>
      <c r="W495" s="477"/>
      <c r="Y495" s="477"/>
      <c r="AA495" s="477"/>
      <c r="AG495" s="477"/>
      <c r="AI495" s="477"/>
      <c r="AO495" s="3461"/>
      <c r="AP495" s="1741"/>
      <c r="AS495" s="477"/>
      <c r="AW495" s="477"/>
      <c r="BC495" s="1726"/>
      <c r="BD495" s="1726"/>
      <c r="BE495" s="1726"/>
      <c r="BG495" s="1726"/>
      <c r="BH495" s="1726"/>
      <c r="BI495" s="1726"/>
      <c r="BJ495" s="1726"/>
      <c r="BK495" s="1726"/>
      <c r="BL495" s="1726"/>
      <c r="BM495" s="1726"/>
      <c r="BN495" s="1726"/>
      <c r="BO495" s="1726"/>
      <c r="BP495" s="1726"/>
      <c r="BQ495" s="1726"/>
      <c r="BR495" s="1726"/>
      <c r="BS495" s="1726"/>
      <c r="BT495" s="1726"/>
      <c r="BU495" s="1726"/>
      <c r="BV495" s="1726"/>
      <c r="BW495" s="1726"/>
      <c r="BX495" s="1726"/>
      <c r="BY495" s="1726"/>
      <c r="BZ495" s="1726"/>
      <c r="CA495" s="1726"/>
      <c r="CB495" s="1726"/>
      <c r="CC495" s="1726"/>
    </row>
    <row r="496" spans="4:81" s="334" customFormat="1" x14ac:dyDescent="0.25">
      <c r="D496" s="1804"/>
      <c r="E496" s="477"/>
      <c r="F496" s="343"/>
      <c r="G496" s="477"/>
      <c r="H496" s="343"/>
      <c r="I496" s="477"/>
      <c r="J496" s="343"/>
      <c r="K496" s="477"/>
      <c r="M496" s="477"/>
      <c r="O496" s="477"/>
      <c r="Q496" s="477"/>
      <c r="S496" s="477"/>
      <c r="U496" s="477"/>
      <c r="W496" s="477"/>
      <c r="Y496" s="477"/>
      <c r="AA496" s="477"/>
      <c r="AG496" s="477"/>
      <c r="AI496" s="477"/>
      <c r="AO496" s="3461"/>
      <c r="AP496" s="1741"/>
      <c r="AS496" s="477"/>
      <c r="AW496" s="477"/>
      <c r="BC496" s="1726"/>
      <c r="BD496" s="1726"/>
      <c r="BE496" s="1726"/>
      <c r="BG496" s="1726"/>
      <c r="BH496" s="1726"/>
      <c r="BI496" s="1726"/>
      <c r="BJ496" s="1726"/>
      <c r="BK496" s="1726"/>
      <c r="BL496" s="1726"/>
      <c r="BM496" s="1726"/>
      <c r="BN496" s="1726"/>
      <c r="BO496" s="1726"/>
      <c r="BP496" s="1726"/>
      <c r="BQ496" s="1726"/>
      <c r="BR496" s="1726"/>
      <c r="BS496" s="1726"/>
      <c r="BT496" s="1726"/>
      <c r="BU496" s="1726"/>
      <c r="BV496" s="1726"/>
      <c r="BW496" s="1726"/>
      <c r="BX496" s="1726"/>
      <c r="BY496" s="1726"/>
      <c r="BZ496" s="1726"/>
      <c r="CA496" s="1726"/>
      <c r="CB496" s="1726"/>
      <c r="CC496" s="1726"/>
    </row>
    <row r="497" spans="4:81" s="334" customFormat="1" x14ac:dyDescent="0.25">
      <c r="D497" s="1804"/>
      <c r="E497" s="477"/>
      <c r="F497" s="343"/>
      <c r="G497" s="477"/>
      <c r="H497" s="343"/>
      <c r="I497" s="477"/>
      <c r="J497" s="343"/>
      <c r="K497" s="477"/>
      <c r="M497" s="477"/>
      <c r="O497" s="477"/>
      <c r="Q497" s="477"/>
      <c r="S497" s="477"/>
      <c r="U497" s="477"/>
      <c r="W497" s="477"/>
      <c r="Y497" s="477"/>
      <c r="AA497" s="477"/>
      <c r="AG497" s="477"/>
      <c r="AI497" s="477"/>
      <c r="AO497" s="3461"/>
      <c r="AP497" s="1741"/>
      <c r="AS497" s="477"/>
      <c r="AW497" s="477"/>
      <c r="BC497" s="1726"/>
      <c r="BD497" s="1726"/>
      <c r="BE497" s="1726"/>
      <c r="BG497" s="1726"/>
      <c r="BH497" s="1726"/>
      <c r="BI497" s="1726"/>
      <c r="BJ497" s="1726"/>
      <c r="BK497" s="1726"/>
      <c r="BL497" s="1726"/>
      <c r="BM497" s="1726"/>
      <c r="BN497" s="1726"/>
      <c r="BO497" s="1726"/>
      <c r="BP497" s="1726"/>
      <c r="BQ497" s="1726"/>
      <c r="BR497" s="1726"/>
      <c r="BS497" s="1726"/>
      <c r="BT497" s="1726"/>
      <c r="BU497" s="1726"/>
      <c r="BV497" s="1726"/>
      <c r="BW497" s="1726"/>
      <c r="BX497" s="1726"/>
      <c r="BY497" s="1726"/>
      <c r="BZ497" s="1726"/>
      <c r="CA497" s="1726"/>
      <c r="CB497" s="1726"/>
      <c r="CC497" s="1726"/>
    </row>
    <row r="498" spans="4:81" s="334" customFormat="1" x14ac:dyDescent="0.25">
      <c r="D498" s="1804"/>
      <c r="E498" s="477"/>
      <c r="F498" s="343"/>
      <c r="G498" s="477"/>
      <c r="H498" s="343"/>
      <c r="I498" s="477"/>
      <c r="J498" s="343"/>
      <c r="K498" s="477"/>
      <c r="M498" s="477"/>
      <c r="O498" s="477"/>
      <c r="Q498" s="477"/>
      <c r="S498" s="477"/>
      <c r="U498" s="477"/>
      <c r="W498" s="477"/>
      <c r="Y498" s="477"/>
      <c r="AA498" s="477"/>
      <c r="AG498" s="477"/>
      <c r="AI498" s="477"/>
      <c r="AO498" s="3461"/>
      <c r="AP498" s="1741"/>
      <c r="AS498" s="477"/>
      <c r="AW498" s="477"/>
      <c r="BC498" s="1726"/>
      <c r="BD498" s="1726"/>
      <c r="BE498" s="1726"/>
      <c r="BG498" s="1726"/>
      <c r="BH498" s="1726"/>
      <c r="BI498" s="1726"/>
      <c r="BJ498" s="1726"/>
      <c r="BK498" s="1726"/>
      <c r="BL498" s="1726"/>
      <c r="BM498" s="1726"/>
      <c r="BN498" s="1726"/>
      <c r="BO498" s="1726"/>
      <c r="BP498" s="1726"/>
      <c r="BQ498" s="1726"/>
      <c r="BR498" s="1726"/>
      <c r="BS498" s="1726"/>
      <c r="BT498" s="1726"/>
      <c r="BU498" s="1726"/>
      <c r="BV498" s="1726"/>
      <c r="BW498" s="1726"/>
      <c r="BX498" s="1726"/>
      <c r="BY498" s="1726"/>
      <c r="BZ498" s="1726"/>
      <c r="CA498" s="1726"/>
      <c r="CB498" s="1726"/>
      <c r="CC498" s="1726"/>
    </row>
    <row r="499" spans="4:81" s="334" customFormat="1" x14ac:dyDescent="0.25">
      <c r="D499" s="1804"/>
      <c r="E499" s="477"/>
      <c r="F499" s="343"/>
      <c r="G499" s="477"/>
      <c r="H499" s="343"/>
      <c r="I499" s="477"/>
      <c r="J499" s="343"/>
      <c r="K499" s="477"/>
      <c r="M499" s="477"/>
      <c r="O499" s="477"/>
      <c r="Q499" s="477"/>
      <c r="S499" s="477"/>
      <c r="U499" s="477"/>
      <c r="W499" s="477"/>
      <c r="Y499" s="477"/>
      <c r="AA499" s="477"/>
      <c r="AG499" s="477"/>
      <c r="AI499" s="477"/>
      <c r="AO499" s="3461"/>
      <c r="AP499" s="1741"/>
      <c r="AS499" s="477"/>
      <c r="AW499" s="477"/>
      <c r="BC499" s="1726"/>
      <c r="BD499" s="1726"/>
      <c r="BE499" s="1726"/>
      <c r="BG499" s="1726"/>
      <c r="BH499" s="1726"/>
      <c r="BI499" s="1726"/>
      <c r="BJ499" s="1726"/>
      <c r="BK499" s="1726"/>
      <c r="BL499" s="1726"/>
      <c r="BM499" s="1726"/>
      <c r="BN499" s="1726"/>
      <c r="BO499" s="1726"/>
      <c r="BP499" s="1726"/>
      <c r="BQ499" s="1726"/>
      <c r="BR499" s="1726"/>
      <c r="BS499" s="1726"/>
      <c r="BT499" s="1726"/>
      <c r="BU499" s="1726"/>
      <c r="BV499" s="1726"/>
      <c r="BW499" s="1726"/>
      <c r="BX499" s="1726"/>
      <c r="BY499" s="1726"/>
      <c r="BZ499" s="1726"/>
      <c r="CA499" s="1726"/>
      <c r="CB499" s="1726"/>
      <c r="CC499" s="1726"/>
    </row>
    <row r="500" spans="4:81" s="334" customFormat="1" x14ac:dyDescent="0.25">
      <c r="D500" s="1804"/>
      <c r="E500" s="477"/>
      <c r="F500" s="343"/>
      <c r="G500" s="477"/>
      <c r="H500" s="343"/>
      <c r="I500" s="477"/>
      <c r="J500" s="343"/>
      <c r="K500" s="477"/>
      <c r="M500" s="477"/>
      <c r="O500" s="477"/>
      <c r="Q500" s="477"/>
      <c r="S500" s="477"/>
      <c r="U500" s="477"/>
      <c r="W500" s="477"/>
      <c r="Y500" s="477"/>
      <c r="AA500" s="477"/>
      <c r="AG500" s="477"/>
      <c r="AI500" s="477"/>
      <c r="AO500" s="3461"/>
      <c r="AP500" s="1741"/>
      <c r="AS500" s="477"/>
      <c r="AW500" s="477"/>
      <c r="BC500" s="1726"/>
      <c r="BD500" s="1726"/>
      <c r="BE500" s="1726"/>
      <c r="BG500" s="1726"/>
      <c r="BH500" s="1726"/>
      <c r="BI500" s="1726"/>
      <c r="BJ500" s="1726"/>
      <c r="BK500" s="1726"/>
      <c r="BL500" s="1726"/>
      <c r="BM500" s="1726"/>
      <c r="BN500" s="1726"/>
      <c r="BO500" s="1726"/>
      <c r="BP500" s="1726"/>
      <c r="BQ500" s="1726"/>
      <c r="BR500" s="1726"/>
      <c r="BS500" s="1726"/>
      <c r="BT500" s="1726"/>
      <c r="BU500" s="1726"/>
      <c r="BV500" s="1726"/>
      <c r="BW500" s="1726"/>
      <c r="BX500" s="1726"/>
      <c r="BY500" s="1726"/>
      <c r="BZ500" s="1726"/>
      <c r="CA500" s="1726"/>
      <c r="CB500" s="1726"/>
      <c r="CC500" s="1726"/>
    </row>
    <row r="501" spans="4:81" s="334" customFormat="1" x14ac:dyDescent="0.25">
      <c r="D501" s="1804"/>
      <c r="E501" s="477"/>
      <c r="F501" s="343"/>
      <c r="G501" s="477"/>
      <c r="H501" s="343"/>
      <c r="I501" s="477"/>
      <c r="J501" s="343"/>
      <c r="K501" s="477"/>
      <c r="M501" s="477"/>
      <c r="O501" s="477"/>
      <c r="Q501" s="477"/>
      <c r="S501" s="477"/>
      <c r="U501" s="477"/>
      <c r="W501" s="477"/>
      <c r="Y501" s="477"/>
      <c r="AA501" s="477"/>
      <c r="AG501" s="477"/>
      <c r="AI501" s="477"/>
      <c r="AO501" s="3461"/>
      <c r="AP501" s="1741"/>
      <c r="AS501" s="477"/>
      <c r="AW501" s="477"/>
      <c r="BG501" s="1726"/>
      <c r="BH501" s="1726"/>
      <c r="BI501" s="1726"/>
      <c r="BJ501" s="1726"/>
      <c r="BK501" s="1726"/>
      <c r="BL501" s="1726"/>
      <c r="BM501" s="1726"/>
      <c r="BN501" s="1726"/>
      <c r="BO501" s="1726"/>
      <c r="BP501" s="1726"/>
      <c r="BQ501" s="1726"/>
      <c r="BR501" s="1726"/>
      <c r="BS501" s="1726"/>
      <c r="BT501" s="1726"/>
      <c r="BU501" s="1726"/>
      <c r="BV501" s="1726"/>
      <c r="BW501" s="1726"/>
      <c r="BX501" s="1726"/>
      <c r="BY501" s="1726"/>
      <c r="BZ501" s="1726"/>
      <c r="CA501" s="1726"/>
      <c r="CB501" s="1726"/>
      <c r="CC501" s="1726"/>
    </row>
    <row r="502" spans="4:81" s="334" customFormat="1" x14ac:dyDescent="0.25">
      <c r="D502" s="1804"/>
      <c r="E502" s="477"/>
      <c r="F502" s="343"/>
      <c r="G502" s="477"/>
      <c r="H502" s="343"/>
      <c r="I502" s="477"/>
      <c r="J502" s="343"/>
      <c r="K502" s="477"/>
      <c r="M502" s="477"/>
      <c r="O502" s="477"/>
      <c r="Q502" s="477"/>
      <c r="S502" s="477"/>
      <c r="U502" s="477"/>
      <c r="W502" s="477"/>
      <c r="Y502" s="477"/>
      <c r="AA502" s="477"/>
      <c r="AG502" s="477"/>
      <c r="AI502" s="477"/>
      <c r="AO502" s="3461"/>
      <c r="AP502" s="1741"/>
      <c r="AS502" s="477"/>
      <c r="AW502" s="477"/>
      <c r="BG502" s="1726"/>
      <c r="BH502" s="1726"/>
      <c r="BI502" s="1726"/>
      <c r="BJ502" s="1726"/>
      <c r="BK502" s="1726"/>
      <c r="BL502" s="1726"/>
      <c r="BM502" s="1726"/>
      <c r="BN502" s="1726"/>
      <c r="BO502" s="1726"/>
      <c r="BP502" s="1726"/>
      <c r="BQ502" s="1726"/>
      <c r="BR502" s="1726"/>
      <c r="BS502" s="1726"/>
      <c r="BT502" s="1726"/>
      <c r="BU502" s="1726"/>
      <c r="BV502" s="1726"/>
      <c r="BW502" s="1726"/>
      <c r="BX502" s="1726"/>
      <c r="BY502" s="1726"/>
      <c r="BZ502" s="1726"/>
      <c r="CA502" s="1726"/>
      <c r="CB502" s="1726"/>
      <c r="CC502" s="1726"/>
    </row>
    <row r="503" spans="4:81" s="334" customFormat="1" x14ac:dyDescent="0.25">
      <c r="D503" s="1804"/>
      <c r="E503" s="477"/>
      <c r="F503" s="343"/>
      <c r="G503" s="477"/>
      <c r="H503" s="343"/>
      <c r="I503" s="477"/>
      <c r="J503" s="343"/>
      <c r="K503" s="477"/>
      <c r="M503" s="477"/>
      <c r="O503" s="477"/>
      <c r="Q503" s="477"/>
      <c r="S503" s="477"/>
      <c r="U503" s="477"/>
      <c r="W503" s="477"/>
      <c r="Y503" s="477"/>
      <c r="AA503" s="477"/>
      <c r="AG503" s="477"/>
      <c r="AI503" s="477"/>
      <c r="AO503" s="3461"/>
      <c r="AP503" s="1741"/>
      <c r="AS503" s="477"/>
      <c r="AW503" s="477"/>
      <c r="BG503" s="1726"/>
      <c r="BH503" s="1726"/>
      <c r="BI503" s="1726"/>
      <c r="BJ503" s="1726"/>
      <c r="BK503" s="1726"/>
      <c r="BL503" s="1726"/>
      <c r="BM503" s="1726"/>
      <c r="BN503" s="1726"/>
      <c r="BO503" s="1726"/>
      <c r="BP503" s="1726"/>
      <c r="BQ503" s="1726"/>
      <c r="BR503" s="1726"/>
      <c r="BS503" s="1726"/>
      <c r="BT503" s="1726"/>
      <c r="BU503" s="1726"/>
      <c r="BV503" s="1726"/>
      <c r="BW503" s="1726"/>
      <c r="BX503" s="1726"/>
      <c r="BY503" s="1726"/>
      <c r="BZ503" s="1726"/>
      <c r="CA503" s="1726"/>
      <c r="CB503" s="1726"/>
      <c r="CC503" s="1726"/>
    </row>
    <row r="504" spans="4:81" s="334" customFormat="1" x14ac:dyDescent="0.25">
      <c r="D504" s="1804"/>
      <c r="E504" s="477"/>
      <c r="F504" s="343"/>
      <c r="G504" s="477"/>
      <c r="H504" s="343"/>
      <c r="I504" s="477"/>
      <c r="J504" s="343"/>
      <c r="K504" s="477"/>
      <c r="M504" s="477"/>
      <c r="O504" s="477"/>
      <c r="Q504" s="477"/>
      <c r="S504" s="477"/>
      <c r="U504" s="477"/>
      <c r="W504" s="477"/>
      <c r="Y504" s="477"/>
      <c r="AA504" s="477"/>
      <c r="AG504" s="477"/>
      <c r="AI504" s="477"/>
      <c r="AO504" s="3461"/>
      <c r="AP504" s="1741"/>
      <c r="AS504" s="477"/>
      <c r="AW504" s="477"/>
      <c r="BG504" s="1726"/>
      <c r="BH504" s="1726"/>
      <c r="BI504" s="1726"/>
      <c r="BJ504" s="1726"/>
      <c r="BK504" s="1726"/>
      <c r="BL504" s="1726"/>
      <c r="BM504" s="1726"/>
      <c r="BN504" s="1726"/>
      <c r="BO504" s="1726"/>
      <c r="BP504" s="1726"/>
      <c r="BQ504" s="1726"/>
      <c r="BR504" s="1726"/>
      <c r="BS504" s="1726"/>
      <c r="BT504" s="1726"/>
      <c r="BU504" s="1726"/>
      <c r="BV504" s="1726"/>
      <c r="BW504" s="1726"/>
      <c r="BX504" s="1726"/>
      <c r="BY504" s="1726"/>
      <c r="BZ504" s="1726"/>
      <c r="CA504" s="1726"/>
      <c r="CB504" s="1726"/>
      <c r="CC504" s="1726"/>
    </row>
    <row r="505" spans="4:81" s="334" customFormat="1" x14ac:dyDescent="0.25">
      <c r="D505" s="1804"/>
      <c r="E505" s="477"/>
      <c r="F505" s="343"/>
      <c r="G505" s="477"/>
      <c r="H505" s="343"/>
      <c r="I505" s="477"/>
      <c r="J505" s="343"/>
      <c r="K505" s="477"/>
      <c r="M505" s="477"/>
      <c r="O505" s="477"/>
      <c r="Q505" s="477"/>
      <c r="S505" s="477"/>
      <c r="U505" s="477"/>
      <c r="W505" s="477"/>
      <c r="Y505" s="477"/>
      <c r="AA505" s="477"/>
      <c r="AG505" s="477"/>
      <c r="AI505" s="477"/>
      <c r="AO505" s="3461"/>
      <c r="AP505" s="1741"/>
      <c r="AS505" s="477"/>
      <c r="AW505" s="477"/>
      <c r="BG505" s="1726"/>
      <c r="BH505" s="1726"/>
      <c r="BI505" s="1726"/>
      <c r="BJ505" s="1726"/>
      <c r="BK505" s="1726"/>
      <c r="BL505" s="1726"/>
      <c r="BM505" s="1726"/>
      <c r="BN505" s="1726"/>
      <c r="BO505" s="1726"/>
      <c r="BP505" s="1726"/>
      <c r="BQ505" s="1726"/>
      <c r="BR505" s="1726"/>
      <c r="BS505" s="1726"/>
      <c r="BT505" s="1726"/>
      <c r="BU505" s="1726"/>
      <c r="BV505" s="1726"/>
      <c r="BW505" s="1726"/>
      <c r="BX505" s="1726"/>
      <c r="BY505" s="1726"/>
      <c r="BZ505" s="1726"/>
      <c r="CA505" s="1726"/>
      <c r="CB505" s="1726"/>
      <c r="CC505" s="1726"/>
    </row>
    <row r="506" spans="4:81" s="334" customFormat="1" x14ac:dyDescent="0.25">
      <c r="D506" s="1804"/>
      <c r="E506" s="477"/>
      <c r="F506" s="343"/>
      <c r="G506" s="477"/>
      <c r="H506" s="343"/>
      <c r="I506" s="477"/>
      <c r="J506" s="343"/>
      <c r="K506" s="477"/>
      <c r="M506" s="477"/>
      <c r="O506" s="477"/>
      <c r="Q506" s="477"/>
      <c r="S506" s="477"/>
      <c r="U506" s="477"/>
      <c r="W506" s="477"/>
      <c r="Y506" s="477"/>
      <c r="AA506" s="477"/>
      <c r="AG506" s="477"/>
      <c r="AI506" s="477"/>
      <c r="AO506" s="3461"/>
      <c r="AP506" s="1741"/>
      <c r="AS506" s="477"/>
      <c r="AW506" s="477"/>
      <c r="BG506" s="1726"/>
      <c r="BH506" s="1726"/>
      <c r="BI506" s="1726"/>
      <c r="BJ506" s="1726"/>
      <c r="BK506" s="1726"/>
      <c r="BL506" s="1726"/>
      <c r="BM506" s="1726"/>
      <c r="BN506" s="1726"/>
      <c r="BO506" s="1726"/>
      <c r="BP506" s="1726"/>
      <c r="BQ506" s="1726"/>
      <c r="BR506" s="1726"/>
      <c r="BS506" s="1726"/>
      <c r="BT506" s="1726"/>
      <c r="BU506" s="1726"/>
      <c r="BV506" s="1726"/>
      <c r="BW506" s="1726"/>
      <c r="BX506" s="1726"/>
      <c r="BY506" s="1726"/>
      <c r="BZ506" s="1726"/>
      <c r="CA506" s="1726"/>
      <c r="CB506" s="1726"/>
      <c r="CC506" s="1726"/>
    </row>
    <row r="507" spans="4:81" s="334" customFormat="1" x14ac:dyDescent="0.25">
      <c r="D507" s="1804"/>
      <c r="E507" s="477"/>
      <c r="F507" s="343"/>
      <c r="G507" s="477"/>
      <c r="H507" s="343"/>
      <c r="I507" s="477"/>
      <c r="J507" s="343"/>
      <c r="K507" s="477"/>
      <c r="M507" s="477"/>
      <c r="O507" s="477"/>
      <c r="Q507" s="477"/>
      <c r="S507" s="477"/>
      <c r="U507" s="477"/>
      <c r="W507" s="477"/>
      <c r="Y507" s="477"/>
      <c r="AA507" s="477"/>
      <c r="AG507" s="477"/>
      <c r="AI507" s="477"/>
      <c r="AO507" s="3461"/>
      <c r="AP507" s="1741"/>
      <c r="AS507" s="477"/>
      <c r="AW507" s="477"/>
      <c r="BG507" s="1726"/>
      <c r="BH507" s="1726"/>
      <c r="BI507" s="1726"/>
      <c r="BJ507" s="1726"/>
      <c r="BK507" s="1726"/>
      <c r="BL507" s="1726"/>
      <c r="BM507" s="1726"/>
      <c r="BN507" s="1726"/>
      <c r="BO507" s="1726"/>
      <c r="BP507" s="1726"/>
      <c r="BQ507" s="1726"/>
      <c r="BR507" s="1726"/>
      <c r="BS507" s="1726"/>
      <c r="BT507" s="1726"/>
      <c r="BU507" s="1726"/>
      <c r="BV507" s="1726"/>
      <c r="BW507" s="1726"/>
      <c r="BX507" s="1726"/>
      <c r="BY507" s="1726"/>
      <c r="BZ507" s="1726"/>
      <c r="CA507" s="1726"/>
      <c r="CB507" s="1726"/>
      <c r="CC507" s="1726"/>
    </row>
    <row r="508" spans="4:81" s="334" customFormat="1" x14ac:dyDescent="0.25">
      <c r="D508" s="1804"/>
      <c r="E508" s="477"/>
      <c r="F508" s="343"/>
      <c r="G508" s="477"/>
      <c r="H508" s="343"/>
      <c r="I508" s="477"/>
      <c r="J508" s="343"/>
      <c r="K508" s="477"/>
      <c r="M508" s="477"/>
      <c r="O508" s="477"/>
      <c r="Q508" s="477"/>
      <c r="S508" s="477"/>
      <c r="U508" s="477"/>
      <c r="W508" s="477"/>
      <c r="Y508" s="477"/>
      <c r="AA508" s="477"/>
      <c r="AG508" s="477"/>
      <c r="AI508" s="477"/>
      <c r="AO508" s="3461"/>
      <c r="AP508" s="1741"/>
      <c r="AS508" s="477"/>
      <c r="AW508" s="477"/>
      <c r="BG508" s="1726"/>
      <c r="BH508" s="1726"/>
      <c r="BI508" s="1726"/>
      <c r="BJ508" s="1726"/>
      <c r="BK508" s="1726"/>
      <c r="BL508" s="1726"/>
      <c r="BM508" s="1726"/>
      <c r="BN508" s="1726"/>
      <c r="BO508" s="1726"/>
      <c r="BP508" s="1726"/>
      <c r="BQ508" s="1726"/>
      <c r="BR508" s="1726"/>
      <c r="BS508" s="1726"/>
      <c r="BT508" s="1726"/>
      <c r="BU508" s="1726"/>
      <c r="BV508" s="1726"/>
      <c r="BW508" s="1726"/>
      <c r="BX508" s="1726"/>
      <c r="BY508" s="1726"/>
      <c r="BZ508" s="1726"/>
      <c r="CA508" s="1726"/>
      <c r="CB508" s="1726"/>
      <c r="CC508" s="1726"/>
    </row>
    <row r="509" spans="4:81" s="334" customFormat="1" x14ac:dyDescent="0.25">
      <c r="D509" s="1804"/>
      <c r="E509" s="477"/>
      <c r="F509" s="343"/>
      <c r="G509" s="477"/>
      <c r="H509" s="343"/>
      <c r="I509" s="477"/>
      <c r="J509" s="343"/>
      <c r="K509" s="477"/>
      <c r="M509" s="477"/>
      <c r="O509" s="477"/>
      <c r="Q509" s="477"/>
      <c r="S509" s="477"/>
      <c r="U509" s="477"/>
      <c r="W509" s="477"/>
      <c r="Y509" s="477"/>
      <c r="AA509" s="477"/>
      <c r="AG509" s="477"/>
      <c r="AI509" s="477"/>
      <c r="AO509" s="3461"/>
      <c r="AP509" s="1741"/>
      <c r="AS509" s="477"/>
      <c r="AW509" s="477"/>
      <c r="BG509" s="1726"/>
      <c r="BH509" s="1726"/>
      <c r="BI509" s="1726"/>
      <c r="BJ509" s="1726"/>
      <c r="BK509" s="1726"/>
      <c r="BL509" s="1726"/>
      <c r="BM509" s="1726"/>
      <c r="BN509" s="1726"/>
      <c r="BO509" s="1726"/>
      <c r="BP509" s="1726"/>
      <c r="BQ509" s="1726"/>
      <c r="BR509" s="1726"/>
      <c r="BS509" s="1726"/>
      <c r="BT509" s="1726"/>
      <c r="BU509" s="1726"/>
      <c r="BV509" s="1726"/>
      <c r="BW509" s="1726"/>
      <c r="BX509" s="1726"/>
      <c r="BY509" s="1726"/>
      <c r="BZ509" s="1726"/>
      <c r="CA509" s="1726"/>
      <c r="CB509" s="1726"/>
      <c r="CC509" s="1726"/>
    </row>
    <row r="510" spans="4:81" s="334" customFormat="1" x14ac:dyDescent="0.25">
      <c r="D510" s="1804"/>
      <c r="E510" s="477"/>
      <c r="F510" s="343"/>
      <c r="G510" s="477"/>
      <c r="H510" s="343"/>
      <c r="I510" s="477"/>
      <c r="J510" s="343"/>
      <c r="K510" s="477"/>
      <c r="M510" s="477"/>
      <c r="O510" s="477"/>
      <c r="Q510" s="477"/>
      <c r="S510" s="477"/>
      <c r="U510" s="477"/>
      <c r="W510" s="477"/>
      <c r="Y510" s="477"/>
      <c r="AA510" s="477"/>
      <c r="AG510" s="477"/>
      <c r="AI510" s="477"/>
      <c r="AO510" s="3461"/>
      <c r="AP510" s="1741"/>
      <c r="AS510" s="477"/>
      <c r="AW510" s="477"/>
      <c r="BG510" s="1726"/>
      <c r="BH510" s="1726"/>
      <c r="BI510" s="1726"/>
      <c r="BJ510" s="1726"/>
      <c r="BK510" s="1726"/>
      <c r="BL510" s="1726"/>
      <c r="BM510" s="1726"/>
      <c r="BN510" s="1726"/>
      <c r="BO510" s="1726"/>
      <c r="BP510" s="1726"/>
      <c r="BQ510" s="1726"/>
      <c r="BR510" s="1726"/>
      <c r="BS510" s="1726"/>
      <c r="BT510" s="1726"/>
      <c r="BU510" s="1726"/>
      <c r="BV510" s="1726"/>
      <c r="BW510" s="1726"/>
      <c r="BX510" s="1726"/>
      <c r="BY510" s="1726"/>
      <c r="BZ510" s="1726"/>
      <c r="CA510" s="1726"/>
      <c r="CB510" s="1726"/>
      <c r="CC510" s="1726"/>
    </row>
    <row r="511" spans="4:81" s="334" customFormat="1" x14ac:dyDescent="0.25">
      <c r="D511" s="1804"/>
      <c r="E511" s="477"/>
      <c r="F511" s="343"/>
      <c r="G511" s="477"/>
      <c r="H511" s="343"/>
      <c r="I511" s="477"/>
      <c r="J511" s="343"/>
      <c r="K511" s="477"/>
      <c r="M511" s="477"/>
      <c r="O511" s="477"/>
      <c r="Q511" s="477"/>
      <c r="S511" s="477"/>
      <c r="U511" s="477"/>
      <c r="W511" s="477"/>
      <c r="Y511" s="477"/>
      <c r="AA511" s="477"/>
      <c r="AG511" s="477"/>
      <c r="AI511" s="477"/>
      <c r="AO511" s="3461"/>
      <c r="AP511" s="1741"/>
      <c r="AS511" s="477"/>
      <c r="AW511" s="477"/>
      <c r="BG511" s="1726"/>
      <c r="BH511" s="1726"/>
      <c r="BI511" s="1726"/>
      <c r="BJ511" s="1726"/>
      <c r="BK511" s="1726"/>
      <c r="BL511" s="1726"/>
      <c r="BM511" s="1726"/>
      <c r="BN511" s="1726"/>
      <c r="BO511" s="1726"/>
      <c r="BP511" s="1726"/>
      <c r="BQ511" s="1726"/>
      <c r="BR511" s="1726"/>
      <c r="BS511" s="1726"/>
      <c r="BT511" s="1726"/>
      <c r="BU511" s="1726"/>
      <c r="BV511" s="1726"/>
      <c r="BW511" s="1726"/>
      <c r="BX511" s="1726"/>
      <c r="BY511" s="1726"/>
      <c r="BZ511" s="1726"/>
      <c r="CA511" s="1726"/>
      <c r="CB511" s="1726"/>
      <c r="CC511" s="1726"/>
    </row>
    <row r="512" spans="4:81" s="334" customFormat="1" x14ac:dyDescent="0.25">
      <c r="D512" s="1804"/>
      <c r="E512" s="477"/>
      <c r="F512" s="343"/>
      <c r="G512" s="477"/>
      <c r="H512" s="343"/>
      <c r="I512" s="477"/>
      <c r="J512" s="343"/>
      <c r="K512" s="477"/>
      <c r="M512" s="477"/>
      <c r="O512" s="477"/>
      <c r="Q512" s="477"/>
      <c r="S512" s="477"/>
      <c r="U512" s="477"/>
      <c r="W512" s="477"/>
      <c r="Y512" s="477"/>
      <c r="AA512" s="477"/>
      <c r="AG512" s="477"/>
      <c r="AI512" s="477"/>
      <c r="AO512" s="3461"/>
      <c r="AP512" s="1741"/>
      <c r="AS512" s="477"/>
      <c r="AW512" s="477"/>
      <c r="BG512" s="1726"/>
      <c r="BH512" s="1726"/>
      <c r="BI512" s="1726"/>
      <c r="BJ512" s="1726"/>
      <c r="BK512" s="1726"/>
      <c r="BL512" s="1726"/>
      <c r="BM512" s="1726"/>
      <c r="BN512" s="1726"/>
      <c r="BO512" s="1726"/>
      <c r="BP512" s="1726"/>
      <c r="BQ512" s="1726"/>
      <c r="BR512" s="1726"/>
      <c r="BS512" s="1726"/>
      <c r="BT512" s="1726"/>
      <c r="BU512" s="1726"/>
      <c r="BV512" s="1726"/>
      <c r="BW512" s="1726"/>
      <c r="BX512" s="1726"/>
      <c r="BY512" s="1726"/>
      <c r="BZ512" s="1726"/>
      <c r="CA512" s="1726"/>
      <c r="CB512" s="1726"/>
      <c r="CC512" s="1726"/>
    </row>
    <row r="513" spans="4:81" s="334" customFormat="1" x14ac:dyDescent="0.25">
      <c r="D513" s="1804"/>
      <c r="E513" s="477"/>
      <c r="F513" s="343"/>
      <c r="G513" s="477"/>
      <c r="H513" s="343"/>
      <c r="I513" s="477"/>
      <c r="J513" s="343"/>
      <c r="K513" s="477"/>
      <c r="M513" s="477"/>
      <c r="O513" s="477"/>
      <c r="Q513" s="477"/>
      <c r="S513" s="477"/>
      <c r="U513" s="477"/>
      <c r="W513" s="477"/>
      <c r="Y513" s="477"/>
      <c r="AA513" s="477"/>
      <c r="AG513" s="477"/>
      <c r="AI513" s="477"/>
      <c r="AO513" s="3461"/>
      <c r="AP513" s="1741"/>
      <c r="AS513" s="477"/>
      <c r="AW513" s="477"/>
      <c r="BG513" s="1726"/>
      <c r="BH513" s="1726"/>
      <c r="BI513" s="1726"/>
      <c r="BJ513" s="1726"/>
      <c r="BK513" s="1726"/>
      <c r="BL513" s="1726"/>
      <c r="BM513" s="1726"/>
      <c r="BN513" s="1726"/>
      <c r="BO513" s="1726"/>
      <c r="BP513" s="1726"/>
      <c r="BQ513" s="1726"/>
      <c r="BR513" s="1726"/>
      <c r="BS513" s="1726"/>
      <c r="BT513" s="1726"/>
      <c r="BU513" s="1726"/>
      <c r="BV513" s="1726"/>
      <c r="BW513" s="1726"/>
      <c r="BX513" s="1726"/>
      <c r="BY513" s="1726"/>
      <c r="BZ513" s="1726"/>
      <c r="CA513" s="1726"/>
      <c r="CB513" s="1726"/>
      <c r="CC513" s="1726"/>
    </row>
    <row r="514" spans="4:81" s="334" customFormat="1" x14ac:dyDescent="0.25">
      <c r="D514" s="1804"/>
      <c r="E514" s="477"/>
      <c r="F514" s="343"/>
      <c r="G514" s="477"/>
      <c r="H514" s="343"/>
      <c r="I514" s="477"/>
      <c r="J514" s="343"/>
      <c r="K514" s="477"/>
      <c r="M514" s="477"/>
      <c r="O514" s="477"/>
      <c r="Q514" s="477"/>
      <c r="S514" s="477"/>
      <c r="U514" s="477"/>
      <c r="W514" s="477"/>
      <c r="Y514" s="477"/>
      <c r="AA514" s="477"/>
      <c r="AG514" s="477"/>
      <c r="AI514" s="477"/>
      <c r="AO514" s="3461"/>
      <c r="AP514" s="1741"/>
      <c r="AS514" s="477"/>
      <c r="AW514" s="477"/>
      <c r="BG514" s="1726"/>
      <c r="BH514" s="1726"/>
      <c r="BI514" s="1726"/>
      <c r="BJ514" s="1726"/>
      <c r="BK514" s="1726"/>
      <c r="BL514" s="1726"/>
      <c r="BM514" s="1726"/>
      <c r="BN514" s="1726"/>
      <c r="BO514" s="1726"/>
      <c r="BP514" s="1726"/>
      <c r="BQ514" s="1726"/>
      <c r="BR514" s="1726"/>
      <c r="BS514" s="1726"/>
      <c r="BT514" s="1726"/>
      <c r="BU514" s="1726"/>
      <c r="BV514" s="1726"/>
      <c r="BW514" s="1726"/>
      <c r="BX514" s="1726"/>
      <c r="BY514" s="1726"/>
      <c r="BZ514" s="1726"/>
      <c r="CA514" s="1726"/>
      <c r="CB514" s="1726"/>
      <c r="CC514" s="1726"/>
    </row>
    <row r="515" spans="4:81" s="334" customFormat="1" x14ac:dyDescent="0.25">
      <c r="D515" s="1804"/>
      <c r="E515" s="477"/>
      <c r="F515" s="343"/>
      <c r="G515" s="477"/>
      <c r="H515" s="343"/>
      <c r="I515" s="477"/>
      <c r="J515" s="343"/>
      <c r="K515" s="477"/>
      <c r="M515" s="477"/>
      <c r="O515" s="477"/>
      <c r="Q515" s="477"/>
      <c r="S515" s="477"/>
      <c r="U515" s="477"/>
      <c r="W515" s="477"/>
      <c r="Y515" s="477"/>
      <c r="AA515" s="477"/>
      <c r="AG515" s="477"/>
      <c r="AI515" s="477"/>
      <c r="AO515" s="3461"/>
      <c r="AP515" s="1741"/>
      <c r="AS515" s="477"/>
      <c r="AW515" s="477"/>
      <c r="BG515" s="1726"/>
      <c r="BH515" s="1726"/>
      <c r="BI515" s="1726"/>
      <c r="BJ515" s="1726"/>
      <c r="BK515" s="1726"/>
      <c r="BL515" s="1726"/>
      <c r="BM515" s="1726"/>
      <c r="BN515" s="1726"/>
      <c r="BO515" s="1726"/>
      <c r="BP515" s="1726"/>
      <c r="BQ515" s="1726"/>
      <c r="BR515" s="1726"/>
      <c r="BS515" s="1726"/>
      <c r="BT515" s="1726"/>
      <c r="BU515" s="1726"/>
      <c r="BV515" s="1726"/>
      <c r="BW515" s="1726"/>
      <c r="BX515" s="1726"/>
      <c r="BY515" s="1726"/>
      <c r="BZ515" s="1726"/>
      <c r="CA515" s="1726"/>
      <c r="CB515" s="1726"/>
      <c r="CC515" s="1726"/>
    </row>
    <row r="516" spans="4:81" s="334" customFormat="1" x14ac:dyDescent="0.25">
      <c r="D516" s="1804"/>
      <c r="E516" s="477"/>
      <c r="F516" s="343"/>
      <c r="G516" s="477"/>
      <c r="H516" s="343"/>
      <c r="I516" s="477"/>
      <c r="J516" s="343"/>
      <c r="K516" s="477"/>
      <c r="M516" s="477"/>
      <c r="O516" s="477"/>
      <c r="Q516" s="477"/>
      <c r="S516" s="477"/>
      <c r="U516" s="477"/>
      <c r="W516" s="477"/>
      <c r="Y516" s="477"/>
      <c r="AA516" s="477"/>
      <c r="AG516" s="477"/>
      <c r="AI516" s="477"/>
      <c r="AO516" s="3461"/>
      <c r="AP516" s="1741"/>
      <c r="AS516" s="477"/>
      <c r="AW516" s="477"/>
      <c r="BG516" s="1726"/>
      <c r="BH516" s="1726"/>
      <c r="BI516" s="1726"/>
      <c r="BJ516" s="1726"/>
      <c r="BK516" s="1726"/>
      <c r="BL516" s="1726"/>
      <c r="BM516" s="1726"/>
      <c r="BN516" s="1726"/>
      <c r="BO516" s="1726"/>
      <c r="BP516" s="1726"/>
      <c r="BQ516" s="1726"/>
      <c r="BR516" s="1726"/>
      <c r="BS516" s="1726"/>
      <c r="BT516" s="1726"/>
      <c r="BU516" s="1726"/>
      <c r="BV516" s="1726"/>
      <c r="BW516" s="1726"/>
      <c r="BX516" s="1726"/>
      <c r="BY516" s="1726"/>
      <c r="BZ516" s="1726"/>
      <c r="CA516" s="1726"/>
      <c r="CB516" s="1726"/>
      <c r="CC516" s="1726"/>
    </row>
    <row r="517" spans="4:81" s="334" customFormat="1" x14ac:dyDescent="0.25">
      <c r="D517" s="1804"/>
      <c r="E517" s="477"/>
      <c r="F517" s="343"/>
      <c r="G517" s="477"/>
      <c r="H517" s="343"/>
      <c r="I517" s="477"/>
      <c r="J517" s="343"/>
      <c r="K517" s="477"/>
      <c r="M517" s="477"/>
      <c r="O517" s="477"/>
      <c r="Q517" s="477"/>
      <c r="S517" s="477"/>
      <c r="U517" s="477"/>
      <c r="W517" s="477"/>
      <c r="Y517" s="477"/>
      <c r="AA517" s="477"/>
      <c r="AG517" s="477"/>
      <c r="AI517" s="477"/>
      <c r="AO517" s="3461"/>
      <c r="AP517" s="1741"/>
      <c r="AS517" s="477"/>
      <c r="AW517" s="477"/>
      <c r="BG517" s="1726"/>
      <c r="BH517" s="1726"/>
      <c r="BI517" s="1726"/>
      <c r="BJ517" s="1726"/>
      <c r="BK517" s="1726"/>
      <c r="BL517" s="1726"/>
      <c r="BM517" s="1726"/>
      <c r="BN517" s="1726"/>
      <c r="BO517" s="1726"/>
      <c r="BP517" s="1726"/>
      <c r="BQ517" s="1726"/>
      <c r="BR517" s="1726"/>
      <c r="BS517" s="1726"/>
      <c r="BT517" s="1726"/>
      <c r="BU517" s="1726"/>
      <c r="BV517" s="1726"/>
      <c r="BW517" s="1726"/>
      <c r="BX517" s="1726"/>
      <c r="BY517" s="1726"/>
      <c r="BZ517" s="1726"/>
      <c r="CA517" s="1726"/>
      <c r="CB517" s="1726"/>
      <c r="CC517" s="1726"/>
    </row>
    <row r="518" spans="4:81" s="334" customFormat="1" x14ac:dyDescent="0.25">
      <c r="D518" s="1804"/>
      <c r="E518" s="477"/>
      <c r="F518" s="343"/>
      <c r="G518" s="477"/>
      <c r="H518" s="343"/>
      <c r="I518" s="477"/>
      <c r="J518" s="343"/>
      <c r="K518" s="477"/>
      <c r="M518" s="477"/>
      <c r="O518" s="477"/>
      <c r="Q518" s="477"/>
      <c r="S518" s="477"/>
      <c r="U518" s="477"/>
      <c r="W518" s="477"/>
      <c r="Y518" s="477"/>
      <c r="AA518" s="477"/>
      <c r="AG518" s="477"/>
      <c r="AI518" s="477"/>
      <c r="AO518" s="3461"/>
      <c r="AP518" s="1741"/>
      <c r="AS518" s="477"/>
      <c r="AW518" s="477"/>
      <c r="BG518" s="1726"/>
      <c r="BH518" s="1726"/>
      <c r="BI518" s="1726"/>
      <c r="BJ518" s="1726"/>
      <c r="BK518" s="1726"/>
      <c r="BL518" s="1726"/>
      <c r="BM518" s="1726"/>
      <c r="BN518" s="1726"/>
      <c r="BO518" s="1726"/>
      <c r="BP518" s="1726"/>
      <c r="BQ518" s="1726"/>
      <c r="BR518" s="1726"/>
      <c r="BS518" s="1726"/>
      <c r="BT518" s="1726"/>
      <c r="BU518" s="1726"/>
      <c r="BV518" s="1726"/>
      <c r="BW518" s="1726"/>
      <c r="BX518" s="1726"/>
      <c r="BY518" s="1726"/>
      <c r="BZ518" s="1726"/>
      <c r="CA518" s="1726"/>
      <c r="CB518" s="1726"/>
      <c r="CC518" s="1726"/>
    </row>
    <row r="519" spans="4:81" s="334" customFormat="1" x14ac:dyDescent="0.25">
      <c r="D519" s="1804"/>
      <c r="E519" s="477"/>
      <c r="F519" s="343"/>
      <c r="G519" s="477"/>
      <c r="H519" s="343"/>
      <c r="I519" s="477"/>
      <c r="J519" s="343"/>
      <c r="K519" s="477"/>
      <c r="M519" s="477"/>
      <c r="O519" s="477"/>
      <c r="Q519" s="477"/>
      <c r="S519" s="477"/>
      <c r="U519" s="477"/>
      <c r="W519" s="477"/>
      <c r="Y519" s="477"/>
      <c r="AA519" s="477"/>
      <c r="AG519" s="477"/>
      <c r="AI519" s="477"/>
      <c r="AO519" s="3461"/>
      <c r="AP519" s="1741"/>
      <c r="AS519" s="477"/>
      <c r="AW519" s="477"/>
      <c r="BG519" s="1726"/>
      <c r="BH519" s="1726"/>
      <c r="BI519" s="1726"/>
      <c r="BJ519" s="1726"/>
      <c r="BK519" s="1726"/>
      <c r="BL519" s="1726"/>
      <c r="BM519" s="1726"/>
      <c r="BN519" s="1726"/>
      <c r="BO519" s="1726"/>
      <c r="BP519" s="1726"/>
      <c r="BQ519" s="1726"/>
      <c r="BR519" s="1726"/>
      <c r="BS519" s="1726"/>
      <c r="BT519" s="1726"/>
      <c r="BU519" s="1726"/>
      <c r="BV519" s="1726"/>
      <c r="BW519" s="1726"/>
      <c r="BX519" s="1726"/>
      <c r="BY519" s="1726"/>
      <c r="BZ519" s="1726"/>
      <c r="CA519" s="1726"/>
      <c r="CB519" s="1726"/>
      <c r="CC519" s="1726"/>
    </row>
    <row r="520" spans="4:81" s="334" customFormat="1" x14ac:dyDescent="0.25">
      <c r="D520" s="1804"/>
      <c r="E520" s="477"/>
      <c r="F520" s="343"/>
      <c r="G520" s="477"/>
      <c r="H520" s="343"/>
      <c r="I520" s="477"/>
      <c r="J520" s="343"/>
      <c r="K520" s="477"/>
      <c r="M520" s="477"/>
      <c r="O520" s="477"/>
      <c r="Q520" s="477"/>
      <c r="S520" s="477"/>
      <c r="U520" s="477"/>
      <c r="W520" s="477"/>
      <c r="Y520" s="477"/>
      <c r="AA520" s="477"/>
      <c r="AG520" s="477"/>
      <c r="AI520" s="477"/>
      <c r="AO520" s="3461"/>
      <c r="AP520" s="1741"/>
      <c r="AS520" s="477"/>
      <c r="AW520" s="477"/>
      <c r="BG520" s="1726"/>
      <c r="BH520" s="1726"/>
      <c r="BI520" s="1726"/>
      <c r="BJ520" s="1726"/>
      <c r="BK520" s="1726"/>
      <c r="BL520" s="1726"/>
      <c r="BM520" s="1726"/>
      <c r="BN520" s="1726"/>
      <c r="BO520" s="1726"/>
      <c r="BP520" s="1726"/>
      <c r="BQ520" s="1726"/>
      <c r="BR520" s="1726"/>
      <c r="BS520" s="1726"/>
      <c r="BT520" s="1726"/>
      <c r="BU520" s="1726"/>
      <c r="BV520" s="1726"/>
      <c r="BW520" s="1726"/>
      <c r="BX520" s="1726"/>
      <c r="BY520" s="1726"/>
      <c r="BZ520" s="1726"/>
      <c r="CA520" s="1726"/>
      <c r="CB520" s="1726"/>
      <c r="CC520" s="1726"/>
    </row>
    <row r="521" spans="4:81" s="334" customFormat="1" x14ac:dyDescent="0.25">
      <c r="D521" s="1804"/>
      <c r="E521" s="477"/>
      <c r="F521" s="343"/>
      <c r="G521" s="477"/>
      <c r="H521" s="343"/>
      <c r="I521" s="477"/>
      <c r="J521" s="343"/>
      <c r="K521" s="477"/>
      <c r="M521" s="477"/>
      <c r="O521" s="477"/>
      <c r="Q521" s="477"/>
      <c r="S521" s="477"/>
      <c r="U521" s="477"/>
      <c r="W521" s="477"/>
      <c r="Y521" s="477"/>
      <c r="AA521" s="477"/>
      <c r="AG521" s="477"/>
      <c r="AI521" s="477"/>
      <c r="AO521" s="3461"/>
      <c r="AP521" s="1741"/>
      <c r="AS521" s="477"/>
      <c r="AW521" s="477"/>
      <c r="BG521" s="1726"/>
      <c r="BH521" s="1726"/>
      <c r="BI521" s="1726"/>
      <c r="BJ521" s="1726"/>
      <c r="BK521" s="1726"/>
      <c r="BL521" s="1726"/>
      <c r="BM521" s="1726"/>
      <c r="BN521" s="1726"/>
      <c r="BO521" s="1726"/>
      <c r="BP521" s="1726"/>
      <c r="BQ521" s="1726"/>
      <c r="BR521" s="1726"/>
      <c r="BS521" s="1726"/>
      <c r="BT521" s="1726"/>
      <c r="BU521" s="1726"/>
      <c r="BV521" s="1726"/>
      <c r="BW521" s="1726"/>
      <c r="BX521" s="1726"/>
      <c r="BY521" s="1726"/>
      <c r="BZ521" s="1726"/>
      <c r="CA521" s="1726"/>
      <c r="CB521" s="1726"/>
      <c r="CC521" s="1726"/>
    </row>
    <row r="522" spans="4:81" s="334" customFormat="1" x14ac:dyDescent="0.25">
      <c r="D522" s="1804"/>
      <c r="E522" s="477"/>
      <c r="F522" s="343"/>
      <c r="G522" s="477"/>
      <c r="H522" s="343"/>
      <c r="I522" s="477"/>
      <c r="J522" s="343"/>
      <c r="K522" s="477"/>
      <c r="M522" s="477"/>
      <c r="O522" s="477"/>
      <c r="Q522" s="477"/>
      <c r="S522" s="477"/>
      <c r="U522" s="477"/>
      <c r="W522" s="477"/>
      <c r="Y522" s="477"/>
      <c r="AA522" s="477"/>
      <c r="AG522" s="477"/>
      <c r="AI522" s="477"/>
      <c r="AO522" s="3461"/>
      <c r="AP522" s="1741"/>
      <c r="AS522" s="477"/>
      <c r="AW522" s="477"/>
      <c r="BG522" s="1726"/>
      <c r="BH522" s="1726"/>
      <c r="BI522" s="1726"/>
      <c r="BJ522" s="1726"/>
      <c r="BK522" s="1726"/>
      <c r="BL522" s="1726"/>
      <c r="BM522" s="1726"/>
      <c r="BN522" s="1726"/>
      <c r="BO522" s="1726"/>
      <c r="BP522" s="1726"/>
      <c r="BQ522" s="1726"/>
      <c r="BR522" s="1726"/>
      <c r="BS522" s="1726"/>
      <c r="BT522" s="1726"/>
      <c r="BU522" s="1726"/>
      <c r="BV522" s="1726"/>
      <c r="BW522" s="1726"/>
      <c r="BX522" s="1726"/>
      <c r="BY522" s="1726"/>
      <c r="BZ522" s="1726"/>
      <c r="CA522" s="1726"/>
      <c r="CB522" s="1726"/>
      <c r="CC522" s="1726"/>
    </row>
    <row r="523" spans="4:81" s="334" customFormat="1" x14ac:dyDescent="0.25">
      <c r="D523" s="1804"/>
      <c r="E523" s="477"/>
      <c r="F523" s="343"/>
      <c r="G523" s="477"/>
      <c r="H523" s="343"/>
      <c r="I523" s="477"/>
      <c r="J523" s="343"/>
      <c r="K523" s="477"/>
      <c r="M523" s="477"/>
      <c r="O523" s="477"/>
      <c r="Q523" s="477"/>
      <c r="S523" s="477"/>
      <c r="U523" s="477"/>
      <c r="W523" s="477"/>
      <c r="Y523" s="477"/>
      <c r="AA523" s="477"/>
      <c r="AG523" s="477"/>
      <c r="AI523" s="477"/>
      <c r="AO523" s="3461"/>
      <c r="AP523" s="1741"/>
      <c r="AS523" s="477"/>
      <c r="AW523" s="477"/>
      <c r="BG523" s="1726"/>
      <c r="BH523" s="1726"/>
      <c r="BI523" s="1726"/>
      <c r="BJ523" s="1726"/>
      <c r="BK523" s="1726"/>
      <c r="BL523" s="1726"/>
      <c r="BM523" s="1726"/>
      <c r="BN523" s="1726"/>
      <c r="BO523" s="1726"/>
      <c r="BP523" s="1726"/>
      <c r="BQ523" s="1726"/>
      <c r="BR523" s="1726"/>
      <c r="BS523" s="1726"/>
      <c r="BT523" s="1726"/>
      <c r="BU523" s="1726"/>
      <c r="BV523" s="1726"/>
      <c r="BW523" s="1726"/>
      <c r="BX523" s="1726"/>
      <c r="BY523" s="1726"/>
      <c r="BZ523" s="1726"/>
      <c r="CA523" s="1726"/>
      <c r="CB523" s="1726"/>
      <c r="CC523" s="1726"/>
    </row>
    <row r="524" spans="4:81" s="334" customFormat="1" x14ac:dyDescent="0.25">
      <c r="D524" s="1804"/>
      <c r="E524" s="477"/>
      <c r="F524" s="343"/>
      <c r="G524" s="477"/>
      <c r="H524" s="343"/>
      <c r="I524" s="477"/>
      <c r="J524" s="343"/>
      <c r="K524" s="477"/>
      <c r="M524" s="477"/>
      <c r="O524" s="477"/>
      <c r="Q524" s="477"/>
      <c r="S524" s="477"/>
      <c r="U524" s="477"/>
      <c r="W524" s="477"/>
      <c r="Y524" s="477"/>
      <c r="AA524" s="477"/>
      <c r="AG524" s="477"/>
      <c r="AI524" s="477"/>
      <c r="AO524" s="3461"/>
      <c r="AP524" s="1741"/>
      <c r="AS524" s="477"/>
      <c r="AW524" s="477"/>
      <c r="BG524" s="1726"/>
      <c r="BH524" s="1726"/>
      <c r="BI524" s="1726"/>
      <c r="BJ524" s="1726"/>
      <c r="BK524" s="1726"/>
      <c r="BL524" s="1726"/>
      <c r="BM524" s="1726"/>
      <c r="BN524" s="1726"/>
      <c r="BO524" s="1726"/>
      <c r="BP524" s="1726"/>
      <c r="BQ524" s="1726"/>
      <c r="BR524" s="1726"/>
      <c r="BS524" s="1726"/>
      <c r="BT524" s="1726"/>
      <c r="BU524" s="1726"/>
      <c r="BV524" s="1726"/>
      <c r="BW524" s="1726"/>
      <c r="BX524" s="1726"/>
      <c r="BY524" s="1726"/>
      <c r="BZ524" s="1726"/>
      <c r="CA524" s="1726"/>
      <c r="CB524" s="1726"/>
      <c r="CC524" s="1726"/>
    </row>
    <row r="525" spans="4:81" s="334" customFormat="1" x14ac:dyDescent="0.25">
      <c r="D525" s="1804"/>
      <c r="E525" s="477"/>
      <c r="F525" s="343"/>
      <c r="G525" s="477"/>
      <c r="H525" s="343"/>
      <c r="I525" s="477"/>
      <c r="J525" s="343"/>
      <c r="K525" s="477"/>
      <c r="M525" s="477"/>
      <c r="O525" s="477"/>
      <c r="Q525" s="477"/>
      <c r="S525" s="477"/>
      <c r="U525" s="477"/>
      <c r="W525" s="477"/>
      <c r="Y525" s="477"/>
      <c r="AA525" s="477"/>
      <c r="AG525" s="477"/>
      <c r="AI525" s="477"/>
      <c r="AO525" s="3461"/>
      <c r="AP525" s="1741"/>
      <c r="AS525" s="477"/>
      <c r="AW525" s="477"/>
      <c r="BG525" s="1726"/>
      <c r="BH525" s="1726"/>
      <c r="BI525" s="1726"/>
      <c r="BJ525" s="1726"/>
      <c r="BK525" s="1726"/>
      <c r="BL525" s="1726"/>
      <c r="BM525" s="1726"/>
      <c r="BN525" s="1726"/>
      <c r="BO525" s="1726"/>
      <c r="BP525" s="1726"/>
      <c r="BQ525" s="1726"/>
      <c r="BR525" s="1726"/>
      <c r="BS525" s="1726"/>
      <c r="BT525" s="1726"/>
      <c r="BU525" s="1726"/>
      <c r="BV525" s="1726"/>
      <c r="BW525" s="1726"/>
      <c r="BX525" s="1726"/>
      <c r="BY525" s="1726"/>
      <c r="BZ525" s="1726"/>
      <c r="CA525" s="1726"/>
      <c r="CB525" s="1726"/>
      <c r="CC525" s="1726"/>
    </row>
    <row r="526" spans="4:81" s="334" customFormat="1" x14ac:dyDescent="0.25">
      <c r="D526" s="1804"/>
      <c r="E526" s="477"/>
      <c r="F526" s="343"/>
      <c r="G526" s="477"/>
      <c r="H526" s="343"/>
      <c r="I526" s="477"/>
      <c r="J526" s="343"/>
      <c r="K526" s="477"/>
      <c r="M526" s="477"/>
      <c r="O526" s="477"/>
      <c r="Q526" s="477"/>
      <c r="S526" s="477"/>
      <c r="U526" s="477"/>
      <c r="W526" s="477"/>
      <c r="Y526" s="477"/>
      <c r="AA526" s="477"/>
      <c r="AG526" s="477"/>
      <c r="AI526" s="477"/>
      <c r="AO526" s="3461"/>
      <c r="AP526" s="1741"/>
      <c r="AS526" s="477"/>
      <c r="AW526" s="477"/>
      <c r="BG526" s="1726"/>
      <c r="BH526" s="1726"/>
      <c r="BI526" s="1726"/>
      <c r="BJ526" s="1726"/>
      <c r="BK526" s="1726"/>
      <c r="BL526" s="1726"/>
      <c r="BM526" s="1726"/>
      <c r="BN526" s="1726"/>
      <c r="BO526" s="1726"/>
      <c r="BP526" s="1726"/>
      <c r="BQ526" s="1726"/>
      <c r="BR526" s="1726"/>
      <c r="BS526" s="1726"/>
      <c r="BT526" s="1726"/>
      <c r="BU526" s="1726"/>
      <c r="BV526" s="1726"/>
      <c r="BW526" s="1726"/>
      <c r="BX526" s="1726"/>
      <c r="BY526" s="1726"/>
      <c r="BZ526" s="1726"/>
      <c r="CA526" s="1726"/>
      <c r="CB526" s="1726"/>
      <c r="CC526" s="1726"/>
    </row>
    <row r="527" spans="4:81" s="334" customFormat="1" x14ac:dyDescent="0.25">
      <c r="D527" s="1804"/>
      <c r="E527" s="477"/>
      <c r="F527" s="343"/>
      <c r="G527" s="477"/>
      <c r="H527" s="343"/>
      <c r="I527" s="477"/>
      <c r="J527" s="343"/>
      <c r="K527" s="477"/>
      <c r="M527" s="477"/>
      <c r="O527" s="477"/>
      <c r="Q527" s="477"/>
      <c r="S527" s="477"/>
      <c r="U527" s="477"/>
      <c r="W527" s="477"/>
      <c r="Y527" s="477"/>
      <c r="AA527" s="477"/>
      <c r="AG527" s="477"/>
      <c r="AI527" s="477"/>
      <c r="AO527" s="3461"/>
      <c r="AP527" s="1741"/>
      <c r="AS527" s="477"/>
      <c r="AW527" s="477"/>
      <c r="BG527" s="1726"/>
      <c r="BH527" s="1726"/>
      <c r="BI527" s="1726"/>
      <c r="BJ527" s="1726"/>
      <c r="BK527" s="1726"/>
      <c r="BL527" s="1726"/>
      <c r="BM527" s="1726"/>
      <c r="BN527" s="1726"/>
      <c r="BO527" s="1726"/>
      <c r="BP527" s="1726"/>
      <c r="BQ527" s="1726"/>
      <c r="BR527" s="1726"/>
      <c r="BS527" s="1726"/>
      <c r="BT527" s="1726"/>
      <c r="BU527" s="1726"/>
      <c r="BV527" s="1726"/>
      <c r="BW527" s="1726"/>
      <c r="BX527" s="1726"/>
      <c r="BY527" s="1726"/>
      <c r="BZ527" s="1726"/>
      <c r="CA527" s="1726"/>
      <c r="CB527" s="1726"/>
      <c r="CC527" s="1726"/>
    </row>
    <row r="528" spans="4:81" s="334" customFormat="1" x14ac:dyDescent="0.25">
      <c r="D528" s="1804"/>
      <c r="E528" s="477"/>
      <c r="F528" s="343"/>
      <c r="G528" s="477"/>
      <c r="H528" s="343"/>
      <c r="I528" s="477"/>
      <c r="J528" s="343"/>
      <c r="K528" s="477"/>
      <c r="M528" s="477"/>
      <c r="O528" s="477"/>
      <c r="Q528" s="477"/>
      <c r="S528" s="477"/>
      <c r="U528" s="477"/>
      <c r="W528" s="477"/>
      <c r="Y528" s="477"/>
      <c r="AA528" s="477"/>
      <c r="AG528" s="477"/>
      <c r="AI528" s="477"/>
      <c r="AO528" s="3461"/>
      <c r="AP528" s="1741"/>
      <c r="AS528" s="477"/>
      <c r="AW528" s="477"/>
      <c r="BG528" s="1726"/>
      <c r="BH528" s="1726"/>
      <c r="BI528" s="1726"/>
      <c r="BJ528" s="1726"/>
      <c r="BK528" s="1726"/>
      <c r="BL528" s="1726"/>
      <c r="BM528" s="1726"/>
      <c r="BN528" s="1726"/>
      <c r="BO528" s="1726"/>
      <c r="BP528" s="1726"/>
      <c r="BQ528" s="1726"/>
      <c r="BR528" s="1726"/>
      <c r="BS528" s="1726"/>
      <c r="BT528" s="1726"/>
      <c r="BU528" s="1726"/>
      <c r="BV528" s="1726"/>
      <c r="BW528" s="1726"/>
      <c r="BX528" s="1726"/>
      <c r="BY528" s="1726"/>
      <c r="BZ528" s="1726"/>
      <c r="CA528" s="1726"/>
      <c r="CB528" s="1726"/>
      <c r="CC528" s="1726"/>
    </row>
    <row r="529" spans="4:81" s="334" customFormat="1" x14ac:dyDescent="0.25">
      <c r="D529" s="1804"/>
      <c r="E529" s="477"/>
      <c r="F529" s="343"/>
      <c r="G529" s="477"/>
      <c r="H529" s="343"/>
      <c r="I529" s="477"/>
      <c r="J529" s="343"/>
      <c r="K529" s="477"/>
      <c r="M529" s="477"/>
      <c r="O529" s="477"/>
      <c r="Q529" s="477"/>
      <c r="S529" s="477"/>
      <c r="U529" s="477"/>
      <c r="W529" s="477"/>
      <c r="Y529" s="477"/>
      <c r="AA529" s="477"/>
      <c r="AG529" s="477"/>
      <c r="AI529" s="477"/>
      <c r="AO529" s="3461"/>
      <c r="AP529" s="1741"/>
      <c r="AS529" s="477"/>
      <c r="AW529" s="477"/>
      <c r="BG529" s="1726"/>
      <c r="BH529" s="1726"/>
      <c r="BI529" s="1726"/>
      <c r="BJ529" s="1726"/>
      <c r="BK529" s="1726"/>
      <c r="BL529" s="1726"/>
      <c r="BM529" s="1726"/>
      <c r="BN529" s="1726"/>
      <c r="BO529" s="1726"/>
      <c r="BP529" s="1726"/>
      <c r="BQ529" s="1726"/>
      <c r="BR529" s="1726"/>
      <c r="BS529" s="1726"/>
      <c r="BT529" s="1726"/>
      <c r="BU529" s="1726"/>
      <c r="BV529" s="1726"/>
      <c r="BW529" s="1726"/>
      <c r="BX529" s="1726"/>
      <c r="BY529" s="1726"/>
      <c r="BZ529" s="1726"/>
      <c r="CA529" s="1726"/>
      <c r="CB529" s="1726"/>
      <c r="CC529" s="1726"/>
    </row>
    <row r="530" spans="4:81" s="334" customFormat="1" x14ac:dyDescent="0.25">
      <c r="D530" s="1804"/>
      <c r="E530" s="477"/>
      <c r="F530" s="343"/>
      <c r="G530" s="477"/>
      <c r="H530" s="343"/>
      <c r="I530" s="477"/>
      <c r="J530" s="343"/>
      <c r="K530" s="477"/>
      <c r="M530" s="477"/>
      <c r="O530" s="477"/>
      <c r="Q530" s="477"/>
      <c r="S530" s="477"/>
      <c r="U530" s="477"/>
      <c r="W530" s="477"/>
      <c r="Y530" s="477"/>
      <c r="AA530" s="477"/>
      <c r="AG530" s="477"/>
      <c r="AI530" s="477"/>
      <c r="AO530" s="3461"/>
      <c r="AP530" s="1741"/>
      <c r="AS530" s="477"/>
      <c r="AW530" s="477"/>
      <c r="BG530" s="1726"/>
      <c r="BH530" s="1726"/>
      <c r="BI530" s="1726"/>
      <c r="BJ530" s="1726"/>
      <c r="BK530" s="1726"/>
      <c r="BL530" s="1726"/>
      <c r="BM530" s="1726"/>
      <c r="BN530" s="1726"/>
      <c r="BO530" s="1726"/>
      <c r="BP530" s="1726"/>
      <c r="BQ530" s="1726"/>
      <c r="BR530" s="1726"/>
      <c r="BS530" s="1726"/>
      <c r="BT530" s="1726"/>
      <c r="BU530" s="1726"/>
      <c r="BV530" s="1726"/>
      <c r="BW530" s="1726"/>
      <c r="BX530" s="1726"/>
      <c r="BY530" s="1726"/>
      <c r="BZ530" s="1726"/>
      <c r="CA530" s="1726"/>
      <c r="CB530" s="1726"/>
      <c r="CC530" s="1726"/>
    </row>
    <row r="531" spans="4:81" s="334" customFormat="1" x14ac:dyDescent="0.25">
      <c r="D531" s="1804"/>
      <c r="E531" s="477"/>
      <c r="F531" s="343"/>
      <c r="G531" s="477"/>
      <c r="H531" s="343"/>
      <c r="I531" s="477"/>
      <c r="J531" s="343"/>
      <c r="K531" s="477"/>
      <c r="M531" s="477"/>
      <c r="O531" s="477"/>
      <c r="Q531" s="477"/>
      <c r="S531" s="477"/>
      <c r="U531" s="477"/>
      <c r="W531" s="477"/>
      <c r="Y531" s="477"/>
      <c r="AA531" s="477"/>
      <c r="AG531" s="477"/>
      <c r="AI531" s="477"/>
      <c r="AO531" s="3461"/>
      <c r="AP531" s="1741"/>
      <c r="AS531" s="477"/>
      <c r="AW531" s="477"/>
      <c r="BG531" s="1726"/>
      <c r="BH531" s="1726"/>
      <c r="BI531" s="1726"/>
      <c r="BJ531" s="1726"/>
      <c r="BK531" s="1726"/>
      <c r="BL531" s="1726"/>
      <c r="BM531" s="1726"/>
      <c r="BN531" s="1726"/>
      <c r="BO531" s="1726"/>
      <c r="BP531" s="1726"/>
      <c r="BQ531" s="1726"/>
      <c r="BR531" s="1726"/>
      <c r="BS531" s="1726"/>
      <c r="BT531" s="1726"/>
      <c r="BU531" s="1726"/>
      <c r="BV531" s="1726"/>
      <c r="BW531" s="1726"/>
      <c r="BX531" s="1726"/>
      <c r="BY531" s="1726"/>
      <c r="BZ531" s="1726"/>
      <c r="CA531" s="1726"/>
      <c r="CB531" s="1726"/>
      <c r="CC531" s="1726"/>
    </row>
    <row r="532" spans="4:81" s="334" customFormat="1" x14ac:dyDescent="0.25">
      <c r="D532" s="1804"/>
      <c r="E532" s="477"/>
      <c r="F532" s="343"/>
      <c r="G532" s="477"/>
      <c r="H532" s="343"/>
      <c r="I532" s="477"/>
      <c r="J532" s="343"/>
      <c r="K532" s="477"/>
      <c r="M532" s="477"/>
      <c r="O532" s="477"/>
      <c r="Q532" s="477"/>
      <c r="S532" s="477"/>
      <c r="U532" s="477"/>
      <c r="W532" s="477"/>
      <c r="Y532" s="477"/>
      <c r="AA532" s="477"/>
      <c r="AG532" s="477"/>
      <c r="AI532" s="477"/>
      <c r="AO532" s="3461"/>
      <c r="AP532" s="1741"/>
      <c r="AS532" s="477"/>
      <c r="AW532" s="477"/>
      <c r="BG532" s="1726"/>
      <c r="BH532" s="1726"/>
      <c r="BI532" s="1726"/>
      <c r="BJ532" s="1726"/>
      <c r="BK532" s="1726"/>
      <c r="BL532" s="1726"/>
      <c r="BM532" s="1726"/>
      <c r="BN532" s="1726"/>
      <c r="BO532" s="1726"/>
      <c r="BP532" s="1726"/>
      <c r="BQ532" s="1726"/>
      <c r="BR532" s="1726"/>
      <c r="BS532" s="1726"/>
      <c r="BT532" s="1726"/>
      <c r="BU532" s="1726"/>
      <c r="BV532" s="1726"/>
      <c r="BW532" s="1726"/>
      <c r="BX532" s="1726"/>
      <c r="BY532" s="1726"/>
      <c r="BZ532" s="1726"/>
      <c r="CA532" s="1726"/>
      <c r="CB532" s="1726"/>
      <c r="CC532" s="1726"/>
    </row>
    <row r="533" spans="4:81" s="334" customFormat="1" x14ac:dyDescent="0.25">
      <c r="D533" s="1804"/>
      <c r="E533" s="477"/>
      <c r="F533" s="343"/>
      <c r="G533" s="477"/>
      <c r="H533" s="343"/>
      <c r="I533" s="477"/>
      <c r="J533" s="343"/>
      <c r="K533" s="477"/>
      <c r="M533" s="477"/>
      <c r="O533" s="477"/>
      <c r="Q533" s="477"/>
      <c r="S533" s="477"/>
      <c r="U533" s="477"/>
      <c r="W533" s="477"/>
      <c r="Y533" s="477"/>
      <c r="AA533" s="477"/>
      <c r="AG533" s="477"/>
      <c r="AI533" s="477"/>
      <c r="AO533" s="3461"/>
      <c r="AP533" s="1741"/>
      <c r="AS533" s="477"/>
      <c r="AW533" s="477"/>
      <c r="BG533" s="1726"/>
      <c r="BH533" s="1726"/>
      <c r="BI533" s="1726"/>
      <c r="BJ533" s="1726"/>
      <c r="BK533" s="1726"/>
      <c r="BL533" s="1726"/>
      <c r="BM533" s="1726"/>
      <c r="BN533" s="1726"/>
      <c r="BO533" s="1726"/>
      <c r="BP533" s="1726"/>
      <c r="BQ533" s="1726"/>
      <c r="BR533" s="1726"/>
      <c r="BS533" s="1726"/>
      <c r="BT533" s="1726"/>
      <c r="BU533" s="1726"/>
      <c r="BV533" s="1726"/>
      <c r="BW533" s="1726"/>
      <c r="BX533" s="1726"/>
      <c r="BY533" s="1726"/>
      <c r="BZ533" s="1726"/>
      <c r="CA533" s="1726"/>
      <c r="CB533" s="1726"/>
      <c r="CC533" s="1726"/>
    </row>
    <row r="534" spans="4:81" s="334" customFormat="1" x14ac:dyDescent="0.25">
      <c r="D534" s="1804"/>
      <c r="E534" s="477"/>
      <c r="F534" s="343"/>
      <c r="G534" s="477"/>
      <c r="H534" s="343"/>
      <c r="I534" s="477"/>
      <c r="J534" s="343"/>
      <c r="K534" s="477"/>
      <c r="M534" s="477"/>
      <c r="O534" s="477"/>
      <c r="Q534" s="477"/>
      <c r="S534" s="477"/>
      <c r="U534" s="477"/>
      <c r="W534" s="477"/>
      <c r="Y534" s="477"/>
      <c r="AA534" s="477"/>
      <c r="AG534" s="477"/>
      <c r="AI534" s="477"/>
      <c r="AO534" s="3461"/>
      <c r="AP534" s="1741"/>
      <c r="AS534" s="477"/>
      <c r="AW534" s="477"/>
      <c r="BG534" s="1726"/>
      <c r="BH534" s="1726"/>
      <c r="BI534" s="1726"/>
      <c r="BJ534" s="1726"/>
      <c r="BK534" s="1726"/>
      <c r="BL534" s="1726"/>
      <c r="BM534" s="1726"/>
      <c r="BN534" s="1726"/>
      <c r="BO534" s="1726"/>
      <c r="BP534" s="1726"/>
      <c r="BQ534" s="1726"/>
      <c r="BR534" s="1726"/>
      <c r="BS534" s="1726"/>
      <c r="BT534" s="1726"/>
      <c r="BU534" s="1726"/>
      <c r="BV534" s="1726"/>
      <c r="BW534" s="1726"/>
      <c r="BX534" s="1726"/>
      <c r="BY534" s="1726"/>
      <c r="BZ534" s="1726"/>
      <c r="CA534" s="1726"/>
      <c r="CB534" s="1726"/>
      <c r="CC534" s="1726"/>
    </row>
    <row r="535" spans="4:81" s="334" customFormat="1" x14ac:dyDescent="0.25">
      <c r="D535" s="1804"/>
      <c r="E535" s="477"/>
      <c r="F535" s="343"/>
      <c r="G535" s="477"/>
      <c r="H535" s="343"/>
      <c r="I535" s="477"/>
      <c r="J535" s="343"/>
      <c r="K535" s="477"/>
      <c r="M535" s="477"/>
      <c r="O535" s="477"/>
      <c r="Q535" s="477"/>
      <c r="S535" s="477"/>
      <c r="U535" s="477"/>
      <c r="W535" s="477"/>
      <c r="Y535" s="477"/>
      <c r="AA535" s="477"/>
      <c r="AG535" s="477"/>
      <c r="AI535" s="477"/>
      <c r="AO535" s="3461"/>
      <c r="AP535" s="1741"/>
      <c r="AS535" s="477"/>
      <c r="AW535" s="477"/>
      <c r="BG535" s="1726"/>
      <c r="BH535" s="1726"/>
      <c r="BI535" s="1726"/>
      <c r="BJ535" s="1726"/>
      <c r="BK535" s="1726"/>
      <c r="BL535" s="1726"/>
      <c r="BM535" s="1726"/>
      <c r="BN535" s="1726"/>
      <c r="BO535" s="1726"/>
      <c r="BP535" s="1726"/>
      <c r="BQ535" s="1726"/>
      <c r="BR535" s="1726"/>
      <c r="BS535" s="1726"/>
      <c r="BT535" s="1726"/>
      <c r="BU535" s="1726"/>
      <c r="BV535" s="1726"/>
      <c r="BW535" s="1726"/>
      <c r="BX535" s="1726"/>
      <c r="BY535" s="1726"/>
      <c r="BZ535" s="1726"/>
      <c r="CA535" s="1726"/>
      <c r="CB535" s="1726"/>
      <c r="CC535" s="1726"/>
    </row>
    <row r="536" spans="4:81" s="334" customFormat="1" x14ac:dyDescent="0.25">
      <c r="D536" s="1804"/>
      <c r="E536" s="477"/>
      <c r="F536" s="343"/>
      <c r="G536" s="477"/>
      <c r="H536" s="343"/>
      <c r="I536" s="477"/>
      <c r="J536" s="343"/>
      <c r="K536" s="477"/>
      <c r="M536" s="477"/>
      <c r="O536" s="477"/>
      <c r="Q536" s="477"/>
      <c r="S536" s="477"/>
      <c r="U536" s="477"/>
      <c r="W536" s="477"/>
      <c r="Y536" s="477"/>
      <c r="AA536" s="477"/>
      <c r="AG536" s="477"/>
      <c r="AI536" s="477"/>
      <c r="AO536" s="3461"/>
      <c r="AP536" s="1741"/>
      <c r="AS536" s="477"/>
      <c r="AW536" s="477"/>
      <c r="BG536" s="1726"/>
      <c r="BH536" s="1726"/>
      <c r="BI536" s="1726"/>
      <c r="BJ536" s="1726"/>
      <c r="BK536" s="1726"/>
      <c r="BL536" s="1726"/>
      <c r="BM536" s="1726"/>
      <c r="BN536" s="1726"/>
      <c r="BO536" s="1726"/>
      <c r="BP536" s="1726"/>
      <c r="BQ536" s="1726"/>
      <c r="BR536" s="1726"/>
      <c r="BS536" s="1726"/>
      <c r="BT536" s="1726"/>
      <c r="BU536" s="1726"/>
      <c r="BV536" s="1726"/>
      <c r="BW536" s="1726"/>
      <c r="BX536" s="1726"/>
      <c r="BY536" s="1726"/>
      <c r="BZ536" s="1726"/>
      <c r="CA536" s="1726"/>
      <c r="CB536" s="1726"/>
      <c r="CC536" s="1726"/>
    </row>
    <row r="537" spans="4:81" s="334" customFormat="1" x14ac:dyDescent="0.25">
      <c r="D537" s="1804"/>
      <c r="E537" s="477"/>
      <c r="F537" s="343"/>
      <c r="G537" s="477"/>
      <c r="H537" s="343"/>
      <c r="I537" s="477"/>
      <c r="J537" s="343"/>
      <c r="K537" s="477"/>
      <c r="M537" s="477"/>
      <c r="O537" s="477"/>
      <c r="Q537" s="477"/>
      <c r="S537" s="477"/>
      <c r="U537" s="477"/>
      <c r="W537" s="477"/>
      <c r="Y537" s="477"/>
      <c r="AA537" s="477"/>
      <c r="AG537" s="477"/>
      <c r="AI537" s="477"/>
      <c r="AO537" s="3461"/>
      <c r="AP537" s="1741"/>
      <c r="AS537" s="477"/>
      <c r="AW537" s="477"/>
      <c r="BG537" s="1726"/>
      <c r="BH537" s="1726"/>
      <c r="BI537" s="1726"/>
      <c r="BJ537" s="1726"/>
      <c r="BK537" s="1726"/>
      <c r="BL537" s="1726"/>
      <c r="BM537" s="1726"/>
      <c r="BN537" s="1726"/>
      <c r="BO537" s="1726"/>
      <c r="BP537" s="1726"/>
      <c r="BQ537" s="1726"/>
      <c r="BR537" s="1726"/>
      <c r="BS537" s="1726"/>
      <c r="BT537" s="1726"/>
      <c r="BU537" s="1726"/>
      <c r="BV537" s="1726"/>
      <c r="BW537" s="1726"/>
      <c r="BX537" s="1726"/>
      <c r="BY537" s="1726"/>
      <c r="BZ537" s="1726"/>
      <c r="CA537" s="1726"/>
      <c r="CB537" s="1726"/>
      <c r="CC537" s="1726"/>
    </row>
    <row r="538" spans="4:81" s="334" customFormat="1" x14ac:dyDescent="0.25">
      <c r="D538" s="1804"/>
      <c r="E538" s="477"/>
      <c r="F538" s="343"/>
      <c r="G538" s="477"/>
      <c r="H538" s="343"/>
      <c r="I538" s="477"/>
      <c r="J538" s="343"/>
      <c r="K538" s="477"/>
      <c r="M538" s="477"/>
      <c r="O538" s="477"/>
      <c r="Q538" s="477"/>
      <c r="S538" s="477"/>
      <c r="U538" s="477"/>
      <c r="W538" s="477"/>
      <c r="Y538" s="477"/>
      <c r="AA538" s="477"/>
      <c r="AG538" s="477"/>
      <c r="AI538" s="477"/>
      <c r="AO538" s="3461"/>
      <c r="AP538" s="1741"/>
      <c r="AS538" s="477"/>
      <c r="AW538" s="477"/>
      <c r="BG538" s="1726"/>
      <c r="BH538" s="1726"/>
      <c r="BI538" s="1726"/>
      <c r="BJ538" s="1726"/>
      <c r="BK538" s="1726"/>
      <c r="BL538" s="1726"/>
      <c r="BM538" s="1726"/>
      <c r="BN538" s="1726"/>
      <c r="BO538" s="1726"/>
      <c r="BP538" s="1726"/>
      <c r="BQ538" s="1726"/>
      <c r="BR538" s="1726"/>
      <c r="BS538" s="1726"/>
      <c r="BT538" s="1726"/>
      <c r="BU538" s="1726"/>
      <c r="BV538" s="1726"/>
      <c r="BW538" s="1726"/>
      <c r="BX538" s="1726"/>
      <c r="BY538" s="1726"/>
      <c r="BZ538" s="1726"/>
      <c r="CA538" s="1726"/>
      <c r="CB538" s="1726"/>
      <c r="CC538" s="1726"/>
    </row>
    <row r="539" spans="4:81" s="334" customFormat="1" x14ac:dyDescent="0.25">
      <c r="D539" s="1804"/>
      <c r="E539" s="477"/>
      <c r="F539" s="343"/>
      <c r="G539" s="477"/>
      <c r="H539" s="343"/>
      <c r="I539" s="477"/>
      <c r="J539" s="343"/>
      <c r="K539" s="477"/>
      <c r="M539" s="477"/>
      <c r="O539" s="477"/>
      <c r="Q539" s="477"/>
      <c r="S539" s="477"/>
      <c r="U539" s="477"/>
      <c r="W539" s="477"/>
      <c r="Y539" s="477"/>
      <c r="AA539" s="477"/>
      <c r="AG539" s="477"/>
      <c r="AI539" s="477"/>
      <c r="AO539" s="3461"/>
      <c r="AP539" s="1741"/>
      <c r="AS539" s="477"/>
      <c r="AW539" s="477"/>
      <c r="BG539" s="1726"/>
      <c r="BH539" s="1726"/>
      <c r="BI539" s="1726"/>
      <c r="BJ539" s="1726"/>
      <c r="BK539" s="1726"/>
      <c r="BL539" s="1726"/>
      <c r="BM539" s="1726"/>
      <c r="BN539" s="1726"/>
      <c r="BO539" s="1726"/>
      <c r="BP539" s="1726"/>
      <c r="BQ539" s="1726"/>
      <c r="BR539" s="1726"/>
      <c r="BS539" s="1726"/>
      <c r="BT539" s="1726"/>
      <c r="BU539" s="1726"/>
      <c r="BV539" s="1726"/>
      <c r="BW539" s="1726"/>
      <c r="BX539" s="1726"/>
      <c r="BY539" s="1726"/>
      <c r="BZ539" s="1726"/>
      <c r="CA539" s="1726"/>
      <c r="CB539" s="1726"/>
      <c r="CC539" s="1726"/>
    </row>
    <row r="540" spans="4:81" s="334" customFormat="1" x14ac:dyDescent="0.25">
      <c r="D540" s="1804"/>
      <c r="E540" s="477"/>
      <c r="F540" s="343"/>
      <c r="G540" s="477"/>
      <c r="H540" s="343"/>
      <c r="I540" s="477"/>
      <c r="J540" s="343"/>
      <c r="K540" s="477"/>
      <c r="M540" s="477"/>
      <c r="O540" s="477"/>
      <c r="Q540" s="477"/>
      <c r="S540" s="477"/>
      <c r="U540" s="477"/>
      <c r="W540" s="477"/>
      <c r="Y540" s="477"/>
      <c r="AA540" s="477"/>
      <c r="AG540" s="477"/>
      <c r="AI540" s="477"/>
      <c r="AO540" s="3461"/>
      <c r="AP540" s="1741"/>
      <c r="AS540" s="477"/>
      <c r="AW540" s="477"/>
      <c r="BG540" s="1726"/>
      <c r="BH540" s="1726"/>
      <c r="BI540" s="1726"/>
      <c r="BJ540" s="1726"/>
      <c r="BK540" s="1726"/>
      <c r="BL540" s="1726"/>
      <c r="BM540" s="1726"/>
      <c r="BN540" s="1726"/>
      <c r="BO540" s="1726"/>
      <c r="BP540" s="1726"/>
      <c r="BQ540" s="1726"/>
      <c r="BR540" s="1726"/>
      <c r="BS540" s="1726"/>
      <c r="BT540" s="1726"/>
      <c r="BU540" s="1726"/>
      <c r="BV540" s="1726"/>
      <c r="BW540" s="1726"/>
      <c r="BX540" s="1726"/>
      <c r="BY540" s="1726"/>
      <c r="BZ540" s="1726"/>
      <c r="CA540" s="1726"/>
      <c r="CB540" s="1726"/>
      <c r="CC540" s="1726"/>
    </row>
    <row r="541" spans="4:81" s="334" customFormat="1" x14ac:dyDescent="0.25">
      <c r="D541" s="1804"/>
      <c r="E541" s="477"/>
      <c r="F541" s="343"/>
      <c r="G541" s="477"/>
      <c r="H541" s="343"/>
      <c r="I541" s="477"/>
      <c r="J541" s="343"/>
      <c r="K541" s="477"/>
      <c r="M541" s="477"/>
      <c r="O541" s="477"/>
      <c r="Q541" s="477"/>
      <c r="S541" s="477"/>
      <c r="U541" s="477"/>
      <c r="W541" s="477"/>
      <c r="Y541" s="477"/>
      <c r="AA541" s="477"/>
      <c r="AG541" s="477"/>
      <c r="AI541" s="477"/>
      <c r="AO541" s="3461"/>
      <c r="AP541" s="1741"/>
      <c r="AS541" s="477"/>
      <c r="AW541" s="477"/>
      <c r="BG541" s="1726"/>
      <c r="BH541" s="1726"/>
      <c r="BI541" s="1726"/>
      <c r="BJ541" s="1726"/>
      <c r="BK541" s="1726"/>
      <c r="BL541" s="1726"/>
      <c r="BM541" s="1726"/>
      <c r="BN541" s="1726"/>
      <c r="BO541" s="1726"/>
      <c r="BP541" s="1726"/>
      <c r="BQ541" s="1726"/>
      <c r="BR541" s="1726"/>
      <c r="BS541" s="1726"/>
      <c r="BT541" s="1726"/>
      <c r="BU541" s="1726"/>
      <c r="BV541" s="1726"/>
      <c r="BW541" s="1726"/>
      <c r="BX541" s="1726"/>
      <c r="BY541" s="1726"/>
      <c r="BZ541" s="1726"/>
      <c r="CA541" s="1726"/>
      <c r="CB541" s="1726"/>
      <c r="CC541" s="1726"/>
    </row>
    <row r="542" spans="4:81" s="334" customFormat="1" x14ac:dyDescent="0.25">
      <c r="D542" s="1804"/>
      <c r="E542" s="477"/>
      <c r="F542" s="343"/>
      <c r="G542" s="477"/>
      <c r="H542" s="343"/>
      <c r="I542" s="477"/>
      <c r="J542" s="343"/>
      <c r="K542" s="477"/>
      <c r="M542" s="477"/>
      <c r="O542" s="477"/>
      <c r="Q542" s="477"/>
      <c r="S542" s="477"/>
      <c r="U542" s="477"/>
      <c r="W542" s="477"/>
      <c r="Y542" s="477"/>
      <c r="AA542" s="477"/>
      <c r="AG542" s="477"/>
      <c r="AI542" s="477"/>
      <c r="AO542" s="3461"/>
      <c r="AP542" s="1741"/>
      <c r="AS542" s="477"/>
      <c r="AW542" s="477"/>
      <c r="BG542" s="1726"/>
      <c r="BH542" s="1726"/>
      <c r="BI542" s="1726"/>
      <c r="BJ542" s="1726"/>
      <c r="BK542" s="1726"/>
      <c r="BL542" s="1726"/>
      <c r="BM542" s="1726"/>
      <c r="BN542" s="1726"/>
      <c r="BO542" s="1726"/>
      <c r="BP542" s="1726"/>
      <c r="BQ542" s="1726"/>
      <c r="BR542" s="1726"/>
      <c r="BS542" s="1726"/>
      <c r="BT542" s="1726"/>
      <c r="BU542" s="1726"/>
      <c r="BV542" s="1726"/>
      <c r="BW542" s="1726"/>
      <c r="BX542" s="1726"/>
      <c r="BY542" s="1726"/>
      <c r="BZ542" s="1726"/>
      <c r="CA542" s="1726"/>
      <c r="CB542" s="1726"/>
      <c r="CC542" s="1726"/>
    </row>
    <row r="543" spans="4:81" s="334" customFormat="1" x14ac:dyDescent="0.25">
      <c r="D543" s="1804"/>
      <c r="E543" s="477"/>
      <c r="F543" s="343"/>
      <c r="G543" s="477"/>
      <c r="H543" s="343"/>
      <c r="I543" s="477"/>
      <c r="J543" s="343"/>
      <c r="K543" s="477"/>
      <c r="M543" s="477"/>
      <c r="O543" s="477"/>
      <c r="Q543" s="477"/>
      <c r="S543" s="477"/>
      <c r="U543" s="477"/>
      <c r="W543" s="477"/>
      <c r="Y543" s="477"/>
      <c r="AA543" s="477"/>
      <c r="AG543" s="477"/>
      <c r="AI543" s="477"/>
      <c r="AO543" s="3461"/>
      <c r="AP543" s="1741"/>
      <c r="AS543" s="477"/>
      <c r="BG543" s="1726"/>
      <c r="BH543" s="1726"/>
      <c r="BI543" s="1726"/>
      <c r="BJ543" s="1726"/>
      <c r="BK543" s="1726"/>
      <c r="BL543" s="1726"/>
      <c r="BM543" s="1726"/>
      <c r="BN543" s="1726"/>
      <c r="BO543" s="1726"/>
      <c r="BP543" s="1726"/>
      <c r="BQ543" s="1726"/>
      <c r="BR543" s="1726"/>
      <c r="BS543" s="1726"/>
      <c r="BT543" s="1726"/>
      <c r="BU543" s="1726"/>
      <c r="BV543" s="1726"/>
      <c r="BW543" s="1726"/>
      <c r="BX543" s="1726"/>
      <c r="BY543" s="1726"/>
      <c r="BZ543" s="1726"/>
      <c r="CA543" s="1726"/>
      <c r="CB543" s="1726"/>
      <c r="CC543" s="1726"/>
    </row>
    <row r="544" spans="4:81" s="334" customFormat="1" x14ac:dyDescent="0.25">
      <c r="D544" s="1804"/>
      <c r="E544" s="477"/>
      <c r="F544" s="343"/>
      <c r="G544" s="477"/>
      <c r="H544" s="343"/>
      <c r="I544" s="477"/>
      <c r="J544" s="343"/>
      <c r="K544" s="477"/>
      <c r="M544" s="477"/>
      <c r="O544" s="477"/>
      <c r="Q544" s="477"/>
      <c r="S544" s="477"/>
      <c r="U544" s="477"/>
      <c r="W544" s="477"/>
      <c r="Y544" s="477"/>
      <c r="AA544" s="477"/>
      <c r="AG544" s="477"/>
      <c r="AI544" s="477"/>
      <c r="AO544" s="3461"/>
      <c r="AP544" s="1741"/>
      <c r="AS544" s="477"/>
      <c r="BG544" s="1726"/>
      <c r="BH544" s="1726"/>
      <c r="BI544" s="1726"/>
      <c r="BJ544" s="1726"/>
      <c r="BK544" s="1726"/>
      <c r="BL544" s="1726"/>
      <c r="BM544" s="1726"/>
      <c r="BN544" s="1726"/>
      <c r="BO544" s="1726"/>
      <c r="BP544" s="1726"/>
      <c r="BQ544" s="1726"/>
      <c r="BR544" s="1726"/>
      <c r="BS544" s="1726"/>
      <c r="BT544" s="1726"/>
      <c r="BU544" s="1726"/>
      <c r="BV544" s="1726"/>
      <c r="BW544" s="1726"/>
      <c r="BX544" s="1726"/>
      <c r="BY544" s="1726"/>
      <c r="BZ544" s="1726"/>
      <c r="CA544" s="1726"/>
      <c r="CB544" s="1726"/>
      <c r="CC544" s="1726"/>
    </row>
    <row r="545" spans="4:81" s="334" customFormat="1" x14ac:dyDescent="0.25">
      <c r="D545" s="1804"/>
      <c r="E545" s="477"/>
      <c r="F545" s="343"/>
      <c r="G545" s="477"/>
      <c r="H545" s="343"/>
      <c r="I545" s="477"/>
      <c r="J545" s="343"/>
      <c r="K545" s="477"/>
      <c r="M545" s="477"/>
      <c r="O545" s="477"/>
      <c r="Q545" s="477"/>
      <c r="S545" s="477"/>
      <c r="U545" s="477"/>
      <c r="W545" s="477"/>
      <c r="Y545" s="477"/>
      <c r="AA545" s="477"/>
      <c r="AO545" s="3461"/>
      <c r="AP545" s="1741"/>
      <c r="BG545" s="1726"/>
      <c r="BH545" s="1726"/>
      <c r="BI545" s="1726"/>
      <c r="BJ545" s="1726"/>
      <c r="BK545" s="1726"/>
      <c r="BL545" s="1726"/>
      <c r="BM545" s="1726"/>
      <c r="BN545" s="1726"/>
      <c r="BO545" s="1726"/>
      <c r="BP545" s="1726"/>
      <c r="BQ545" s="1726"/>
      <c r="BR545" s="1726"/>
      <c r="BS545" s="1726"/>
      <c r="BT545" s="1726"/>
      <c r="BU545" s="1726"/>
      <c r="BV545" s="1726"/>
      <c r="BW545" s="1726"/>
      <c r="BX545" s="1726"/>
      <c r="BY545" s="1726"/>
      <c r="BZ545" s="1726"/>
      <c r="CA545" s="1726"/>
      <c r="CB545" s="1726"/>
      <c r="CC545" s="1726"/>
    </row>
    <row r="546" spans="4:81" s="334" customFormat="1" x14ac:dyDescent="0.25">
      <c r="D546" s="1804"/>
      <c r="E546" s="477"/>
      <c r="F546" s="343"/>
      <c r="G546" s="477"/>
      <c r="H546" s="343"/>
      <c r="I546" s="477"/>
      <c r="J546" s="343"/>
      <c r="K546" s="477"/>
      <c r="M546" s="477"/>
      <c r="O546" s="477"/>
      <c r="Q546" s="477"/>
      <c r="S546" s="477"/>
      <c r="U546" s="477"/>
      <c r="W546" s="477"/>
      <c r="Y546" s="477"/>
      <c r="AA546" s="477"/>
      <c r="AO546" s="3461"/>
      <c r="AP546" s="1741"/>
      <c r="BG546" s="1726"/>
      <c r="BH546" s="1726"/>
      <c r="BI546" s="1726"/>
      <c r="BJ546" s="1726"/>
      <c r="BK546" s="1726"/>
      <c r="BL546" s="1726"/>
      <c r="BM546" s="1726"/>
      <c r="BN546" s="1726"/>
      <c r="BO546" s="1726"/>
      <c r="BP546" s="1726"/>
      <c r="BQ546" s="1726"/>
      <c r="BR546" s="1726"/>
      <c r="BS546" s="1726"/>
      <c r="BT546" s="1726"/>
      <c r="BU546" s="1726"/>
      <c r="BV546" s="1726"/>
      <c r="BW546" s="1726"/>
      <c r="BX546" s="1726"/>
      <c r="BY546" s="1726"/>
      <c r="BZ546" s="1726"/>
      <c r="CA546" s="1726"/>
      <c r="CB546" s="1726"/>
      <c r="CC546" s="1726"/>
    </row>
    <row r="547" spans="4:81" s="334" customFormat="1" x14ac:dyDescent="0.25">
      <c r="D547" s="1804"/>
      <c r="E547" s="477"/>
      <c r="F547" s="343"/>
      <c r="G547" s="477"/>
      <c r="H547" s="343"/>
      <c r="I547" s="477"/>
      <c r="J547" s="343"/>
      <c r="K547" s="477"/>
      <c r="M547" s="477"/>
      <c r="O547" s="477"/>
      <c r="Q547" s="477"/>
      <c r="S547" s="477"/>
      <c r="U547" s="477"/>
      <c r="W547" s="477"/>
      <c r="Y547" s="477"/>
      <c r="AA547" s="477"/>
      <c r="AO547" s="3461"/>
      <c r="AP547" s="1741"/>
      <c r="BG547" s="1726"/>
      <c r="BH547" s="1726"/>
      <c r="BI547" s="1726"/>
      <c r="BJ547" s="1726"/>
      <c r="BK547" s="1726"/>
      <c r="BL547" s="1726"/>
      <c r="BM547" s="1726"/>
      <c r="BN547" s="1726"/>
      <c r="BO547" s="1726"/>
      <c r="BP547" s="1726"/>
      <c r="BQ547" s="1726"/>
      <c r="BR547" s="1726"/>
      <c r="BS547" s="1726"/>
      <c r="BT547" s="1726"/>
      <c r="BU547" s="1726"/>
      <c r="BV547" s="1726"/>
      <c r="BW547" s="1726"/>
      <c r="BX547" s="1726"/>
      <c r="BY547" s="1726"/>
      <c r="BZ547" s="1726"/>
      <c r="CA547" s="1726"/>
      <c r="CB547" s="1726"/>
      <c r="CC547" s="1726"/>
    </row>
    <row r="548" spans="4:81" s="334" customFormat="1" x14ac:dyDescent="0.25">
      <c r="D548" s="1804"/>
      <c r="E548" s="477"/>
      <c r="F548" s="343"/>
      <c r="G548" s="477"/>
      <c r="H548" s="343"/>
      <c r="I548" s="477"/>
      <c r="J548" s="343"/>
      <c r="K548" s="477"/>
      <c r="M548" s="477"/>
      <c r="O548" s="477"/>
      <c r="Q548" s="477"/>
      <c r="S548" s="477"/>
      <c r="U548" s="477"/>
      <c r="W548" s="477"/>
      <c r="Y548" s="477"/>
      <c r="AA548" s="477"/>
      <c r="AO548" s="3461"/>
      <c r="AP548" s="1741"/>
      <c r="BG548" s="1726"/>
      <c r="BH548" s="1726"/>
      <c r="BI548" s="1726"/>
      <c r="BJ548" s="1726"/>
      <c r="BK548" s="1726"/>
      <c r="BL548" s="1726"/>
      <c r="BM548" s="1726"/>
      <c r="BN548" s="1726"/>
      <c r="BO548" s="1726"/>
      <c r="BP548" s="1726"/>
      <c r="BQ548" s="1726"/>
      <c r="BR548" s="1726"/>
      <c r="BS548" s="1726"/>
      <c r="BT548" s="1726"/>
      <c r="BU548" s="1726"/>
      <c r="BV548" s="1726"/>
      <c r="BW548" s="1726"/>
      <c r="BX548" s="1726"/>
      <c r="BY548" s="1726"/>
      <c r="BZ548" s="1726"/>
      <c r="CA548" s="1726"/>
      <c r="CB548" s="1726"/>
      <c r="CC548" s="1726"/>
    </row>
    <row r="549" spans="4:81" s="334" customFormat="1" x14ac:dyDescent="0.25">
      <c r="D549" s="1804"/>
      <c r="E549" s="477"/>
      <c r="F549" s="343"/>
      <c r="G549" s="477"/>
      <c r="H549" s="343"/>
      <c r="I549" s="477"/>
      <c r="J549" s="343"/>
      <c r="K549" s="477"/>
      <c r="M549" s="477"/>
      <c r="O549" s="477"/>
      <c r="Q549" s="477"/>
      <c r="S549" s="477"/>
      <c r="U549" s="477"/>
      <c r="W549" s="477"/>
      <c r="Y549" s="477"/>
      <c r="AA549" s="477"/>
      <c r="AO549" s="3461"/>
      <c r="AP549" s="1741"/>
      <c r="BG549" s="1726"/>
      <c r="BH549" s="1726"/>
      <c r="BI549" s="1726"/>
      <c r="BJ549" s="1726"/>
      <c r="BK549" s="1726"/>
      <c r="BL549" s="1726"/>
      <c r="BM549" s="1726"/>
      <c r="BN549" s="1726"/>
      <c r="BO549" s="1726"/>
      <c r="BP549" s="1726"/>
      <c r="BQ549" s="1726"/>
      <c r="BR549" s="1726"/>
      <c r="BS549" s="1726"/>
      <c r="BT549" s="1726"/>
      <c r="BU549" s="1726"/>
      <c r="BV549" s="1726"/>
      <c r="BW549" s="1726"/>
      <c r="BX549" s="1726"/>
      <c r="BY549" s="1726"/>
      <c r="BZ549" s="1726"/>
      <c r="CA549" s="1726"/>
      <c r="CB549" s="1726"/>
      <c r="CC549" s="1726"/>
    </row>
    <row r="550" spans="4:81" s="334" customFormat="1" x14ac:dyDescent="0.25">
      <c r="D550" s="1804"/>
      <c r="E550" s="477"/>
      <c r="F550" s="343"/>
      <c r="G550" s="477"/>
      <c r="H550" s="343"/>
      <c r="I550" s="477"/>
      <c r="J550" s="343"/>
      <c r="K550" s="477"/>
      <c r="M550" s="477"/>
      <c r="O550" s="477"/>
      <c r="Q550" s="477"/>
      <c r="S550" s="477"/>
      <c r="U550" s="477"/>
      <c r="W550" s="477"/>
      <c r="Y550" s="477"/>
      <c r="AA550" s="477"/>
      <c r="AO550" s="3461"/>
      <c r="AP550" s="1741"/>
      <c r="BG550" s="1726"/>
      <c r="BH550" s="1726"/>
      <c r="BI550" s="1726"/>
      <c r="BJ550" s="1726"/>
      <c r="BK550" s="1726"/>
      <c r="BL550" s="1726"/>
      <c r="BM550" s="1726"/>
      <c r="BN550" s="1726"/>
      <c r="BO550" s="1726"/>
      <c r="BP550" s="1726"/>
      <c r="BQ550" s="1726"/>
      <c r="BR550" s="1726"/>
      <c r="BS550" s="1726"/>
      <c r="BT550" s="1726"/>
      <c r="BU550" s="1726"/>
      <c r="BV550" s="1726"/>
      <c r="BW550" s="1726"/>
      <c r="BX550" s="1726"/>
      <c r="BY550" s="1726"/>
      <c r="BZ550" s="1726"/>
      <c r="CA550" s="1726"/>
      <c r="CB550" s="1726"/>
      <c r="CC550" s="1726"/>
    </row>
    <row r="551" spans="4:81" s="334" customFormat="1" x14ac:dyDescent="0.25">
      <c r="D551" s="1804"/>
      <c r="E551" s="477"/>
      <c r="F551" s="343"/>
      <c r="G551" s="477"/>
      <c r="H551" s="343"/>
      <c r="I551" s="477"/>
      <c r="J551" s="343"/>
      <c r="K551" s="477"/>
      <c r="M551" s="477"/>
      <c r="O551" s="477"/>
      <c r="Q551" s="477"/>
      <c r="S551" s="477"/>
      <c r="U551" s="477"/>
      <c r="W551" s="477"/>
      <c r="Y551" s="477"/>
      <c r="AA551" s="477"/>
      <c r="AO551" s="3461"/>
      <c r="AP551" s="1741"/>
      <c r="BG551" s="1726"/>
      <c r="BH551" s="1726"/>
      <c r="BI551" s="1726"/>
      <c r="BJ551" s="1726"/>
      <c r="BK551" s="1726"/>
      <c r="BL551" s="1726"/>
      <c r="BM551" s="1726"/>
      <c r="BN551" s="1726"/>
      <c r="BO551" s="1726"/>
      <c r="BP551" s="1726"/>
      <c r="BQ551" s="1726"/>
      <c r="BR551" s="1726"/>
      <c r="BS551" s="1726"/>
      <c r="BT551" s="1726"/>
      <c r="BU551" s="1726"/>
      <c r="BV551" s="1726"/>
      <c r="BW551" s="1726"/>
      <c r="BX551" s="1726"/>
      <c r="BY551" s="1726"/>
      <c r="BZ551" s="1726"/>
      <c r="CA551" s="1726"/>
      <c r="CB551" s="1726"/>
      <c r="CC551" s="1726"/>
    </row>
    <row r="552" spans="4:81" s="334" customFormat="1" x14ac:dyDescent="0.25">
      <c r="D552" s="1804"/>
      <c r="E552" s="477"/>
      <c r="F552" s="343"/>
      <c r="G552" s="477"/>
      <c r="H552" s="343"/>
      <c r="I552" s="477"/>
      <c r="J552" s="343"/>
      <c r="K552" s="477"/>
      <c r="M552" s="477"/>
      <c r="O552" s="477"/>
      <c r="Q552" s="477"/>
      <c r="S552" s="477"/>
      <c r="U552" s="477"/>
      <c r="W552" s="477"/>
      <c r="Y552" s="477"/>
      <c r="AA552" s="477"/>
      <c r="AO552" s="3461"/>
      <c r="AP552" s="1741"/>
      <c r="BG552" s="1726"/>
      <c r="BH552" s="1726"/>
      <c r="BI552" s="1726"/>
      <c r="BJ552" s="1726"/>
      <c r="BK552" s="1726"/>
      <c r="BL552" s="1726"/>
      <c r="BM552" s="1726"/>
      <c r="BN552" s="1726"/>
      <c r="BO552" s="1726"/>
      <c r="BP552" s="1726"/>
      <c r="BQ552" s="1726"/>
      <c r="BR552" s="1726"/>
      <c r="BS552" s="1726"/>
      <c r="BT552" s="1726"/>
      <c r="BU552" s="1726"/>
      <c r="BV552" s="1726"/>
      <c r="BW552" s="1726"/>
      <c r="BX552" s="1726"/>
      <c r="BY552" s="1726"/>
      <c r="BZ552" s="1726"/>
      <c r="CA552" s="1726"/>
      <c r="CB552" s="1726"/>
      <c r="CC552" s="1726"/>
    </row>
    <row r="553" spans="4:81" s="334" customFormat="1" x14ac:dyDescent="0.25">
      <c r="D553" s="1804"/>
      <c r="E553" s="477"/>
      <c r="F553" s="343"/>
      <c r="G553" s="477"/>
      <c r="H553" s="343"/>
      <c r="I553" s="477"/>
      <c r="J553" s="343"/>
      <c r="K553" s="477"/>
      <c r="M553" s="477"/>
      <c r="O553" s="477"/>
      <c r="Q553" s="477"/>
      <c r="S553" s="477"/>
      <c r="U553" s="477"/>
      <c r="W553" s="477"/>
      <c r="Y553" s="477"/>
      <c r="AA553" s="477"/>
      <c r="AO553" s="3461"/>
      <c r="AP553" s="1741"/>
      <c r="BG553" s="1726"/>
      <c r="BH553" s="1726"/>
      <c r="BI553" s="1726"/>
      <c r="BJ553" s="1726"/>
      <c r="BK553" s="1726"/>
      <c r="BL553" s="1726"/>
      <c r="BM553" s="1726"/>
      <c r="BN553" s="1726"/>
      <c r="BO553" s="1726"/>
      <c r="BP553" s="1726"/>
      <c r="BQ553" s="1726"/>
      <c r="BR553" s="1726"/>
      <c r="BS553" s="1726"/>
      <c r="BT553" s="1726"/>
      <c r="BU553" s="1726"/>
      <c r="BV553" s="1726"/>
      <c r="BW553" s="1726"/>
      <c r="BX553" s="1726"/>
      <c r="BY553" s="1726"/>
      <c r="BZ553" s="1726"/>
      <c r="CA553" s="1726"/>
      <c r="CB553" s="1726"/>
      <c r="CC553" s="1726"/>
    </row>
    <row r="554" spans="4:81" s="334" customFormat="1" x14ac:dyDescent="0.25">
      <c r="D554" s="1804"/>
      <c r="E554" s="477"/>
      <c r="F554" s="343"/>
      <c r="G554" s="477"/>
      <c r="H554" s="343"/>
      <c r="I554" s="477"/>
      <c r="J554" s="343"/>
      <c r="K554" s="477"/>
      <c r="M554" s="477"/>
      <c r="O554" s="477"/>
      <c r="Q554" s="477"/>
      <c r="S554" s="477"/>
      <c r="U554" s="477"/>
      <c r="W554" s="477"/>
      <c r="Y554" s="477"/>
      <c r="AA554" s="477"/>
      <c r="AO554" s="3461"/>
      <c r="AP554" s="1741"/>
      <c r="BG554" s="1726"/>
      <c r="BH554" s="1726"/>
      <c r="BI554" s="1726"/>
      <c r="BJ554" s="1726"/>
      <c r="BK554" s="1726"/>
      <c r="BL554" s="1726"/>
      <c r="BM554" s="1726"/>
      <c r="BN554" s="1726"/>
      <c r="BO554" s="1726"/>
      <c r="BP554" s="1726"/>
      <c r="BQ554" s="1726"/>
      <c r="BR554" s="1726"/>
      <c r="BS554" s="1726"/>
      <c r="BT554" s="1726"/>
      <c r="BU554" s="1726"/>
      <c r="BV554" s="1726"/>
      <c r="BW554" s="1726"/>
      <c r="BX554" s="1726"/>
      <c r="BY554" s="1726"/>
      <c r="BZ554" s="1726"/>
      <c r="CA554" s="1726"/>
      <c r="CB554" s="1726"/>
      <c r="CC554" s="1726"/>
    </row>
    <row r="555" spans="4:81" s="334" customFormat="1" x14ac:dyDescent="0.25">
      <c r="D555" s="1804"/>
      <c r="E555" s="477"/>
      <c r="F555" s="343"/>
      <c r="G555" s="477"/>
      <c r="H555" s="343"/>
      <c r="I555" s="477"/>
      <c r="J555" s="343"/>
      <c r="K555" s="477"/>
      <c r="M555" s="477"/>
      <c r="O555" s="477"/>
      <c r="Q555" s="477"/>
      <c r="S555" s="477"/>
      <c r="U555" s="477"/>
      <c r="W555" s="477"/>
      <c r="Y555" s="477"/>
      <c r="AA555" s="477"/>
      <c r="AO555" s="3461"/>
      <c r="AP555" s="1741"/>
      <c r="BG555" s="1726"/>
      <c r="BH555" s="1726"/>
      <c r="BI555" s="1726"/>
      <c r="BJ555" s="1726"/>
      <c r="BK555" s="1726"/>
      <c r="BL555" s="1726"/>
      <c r="BM555" s="1726"/>
      <c r="BN555" s="1726"/>
      <c r="BO555" s="1726"/>
      <c r="BP555" s="1726"/>
      <c r="BQ555" s="1726"/>
      <c r="BR555" s="1726"/>
      <c r="BS555" s="1726"/>
      <c r="BT555" s="1726"/>
      <c r="BU555" s="1726"/>
      <c r="BV555" s="1726"/>
      <c r="BW555" s="1726"/>
      <c r="BX555" s="1726"/>
      <c r="BY555" s="1726"/>
      <c r="BZ555" s="1726"/>
      <c r="CA555" s="1726"/>
      <c r="CB555" s="1726"/>
      <c r="CC555" s="1726"/>
    </row>
    <row r="556" spans="4:81" s="334" customFormat="1" x14ac:dyDescent="0.25">
      <c r="D556" s="1804"/>
      <c r="E556" s="477"/>
      <c r="F556" s="343"/>
      <c r="G556" s="477"/>
      <c r="H556" s="343"/>
      <c r="I556" s="477"/>
      <c r="J556" s="343"/>
      <c r="K556" s="477"/>
      <c r="M556" s="477"/>
      <c r="O556" s="477"/>
      <c r="Q556" s="477"/>
      <c r="S556" s="477"/>
      <c r="U556" s="477"/>
      <c r="W556" s="477"/>
      <c r="Y556" s="477"/>
      <c r="AA556" s="477"/>
      <c r="AO556" s="3461"/>
      <c r="AP556" s="1741"/>
      <c r="BG556" s="1726"/>
      <c r="BH556" s="1726"/>
      <c r="BI556" s="1726"/>
      <c r="BJ556" s="1726"/>
      <c r="BK556" s="1726"/>
      <c r="BL556" s="1726"/>
      <c r="BM556" s="1726"/>
      <c r="BN556" s="1726"/>
      <c r="BO556" s="1726"/>
      <c r="BP556" s="1726"/>
      <c r="BQ556" s="1726"/>
      <c r="BR556" s="1726"/>
      <c r="BS556" s="1726"/>
      <c r="BT556" s="1726"/>
      <c r="BU556" s="1726"/>
      <c r="BV556" s="1726"/>
      <c r="BW556" s="1726"/>
      <c r="BX556" s="1726"/>
      <c r="BY556" s="1726"/>
      <c r="BZ556" s="1726"/>
      <c r="CA556" s="1726"/>
      <c r="CB556" s="1726"/>
      <c r="CC556" s="1726"/>
    </row>
    <row r="557" spans="4:81" s="334" customFormat="1" x14ac:dyDescent="0.25">
      <c r="D557" s="1804"/>
      <c r="E557" s="477"/>
      <c r="F557" s="343"/>
      <c r="G557" s="477"/>
      <c r="H557" s="343"/>
      <c r="I557" s="477"/>
      <c r="J557" s="343"/>
      <c r="K557" s="477"/>
      <c r="M557" s="477"/>
      <c r="O557" s="477"/>
      <c r="Q557" s="477"/>
      <c r="S557" s="477"/>
      <c r="U557" s="477"/>
      <c r="W557" s="477"/>
      <c r="Y557" s="477"/>
      <c r="AA557" s="477"/>
      <c r="AO557" s="3461"/>
      <c r="AP557" s="1741"/>
      <c r="BG557" s="1726"/>
      <c r="BH557" s="1726"/>
      <c r="BI557" s="1726"/>
      <c r="BJ557" s="1726"/>
      <c r="BK557" s="1726"/>
      <c r="BL557" s="1726"/>
      <c r="BM557" s="1726"/>
      <c r="BN557" s="1726"/>
      <c r="BO557" s="1726"/>
      <c r="BP557" s="1726"/>
      <c r="BQ557" s="1726"/>
      <c r="BR557" s="1726"/>
      <c r="BS557" s="1726"/>
      <c r="BT557" s="1726"/>
      <c r="BU557" s="1726"/>
      <c r="BV557" s="1726"/>
      <c r="BW557" s="1726"/>
      <c r="BX557" s="1726"/>
      <c r="BY557" s="1726"/>
      <c r="BZ557" s="1726"/>
      <c r="CA557" s="1726"/>
      <c r="CB557" s="1726"/>
      <c r="CC557" s="1726"/>
    </row>
    <row r="558" spans="4:81" s="334" customFormat="1" x14ac:dyDescent="0.25">
      <c r="D558" s="1804"/>
      <c r="E558" s="477"/>
      <c r="F558" s="343"/>
      <c r="G558" s="477"/>
      <c r="H558" s="343"/>
      <c r="I558" s="477"/>
      <c r="J558" s="343"/>
      <c r="K558" s="477"/>
      <c r="M558" s="477"/>
      <c r="O558" s="477"/>
      <c r="Q558" s="477"/>
      <c r="S558" s="477"/>
      <c r="U558" s="477"/>
      <c r="W558" s="477"/>
      <c r="Y558" s="477"/>
      <c r="AA558" s="477"/>
      <c r="AO558" s="3461"/>
      <c r="AP558" s="1741"/>
      <c r="BG558" s="1726"/>
      <c r="BH558" s="1726"/>
      <c r="BI558" s="1726"/>
      <c r="BJ558" s="1726"/>
      <c r="BK558" s="1726"/>
      <c r="BL558" s="1726"/>
      <c r="BM558" s="1726"/>
      <c r="BN558" s="1726"/>
      <c r="BO558" s="1726"/>
      <c r="BP558" s="1726"/>
      <c r="BQ558" s="1726"/>
      <c r="BR558" s="1726"/>
      <c r="BS558" s="1726"/>
      <c r="BT558" s="1726"/>
      <c r="BU558" s="1726"/>
      <c r="BV558" s="1726"/>
      <c r="BW558" s="1726"/>
      <c r="BX558" s="1726"/>
      <c r="BY558" s="1726"/>
      <c r="BZ558" s="1726"/>
      <c r="CA558" s="1726"/>
      <c r="CB558" s="1726"/>
      <c r="CC558" s="1726"/>
    </row>
    <row r="559" spans="4:81" s="334" customFormat="1" x14ac:dyDescent="0.25">
      <c r="D559" s="1804"/>
      <c r="E559" s="477"/>
      <c r="F559" s="343"/>
      <c r="G559" s="477"/>
      <c r="H559" s="343"/>
      <c r="I559" s="477"/>
      <c r="J559" s="343"/>
      <c r="K559" s="477"/>
      <c r="M559" s="477"/>
      <c r="O559" s="477"/>
      <c r="Q559" s="477"/>
      <c r="S559" s="477"/>
      <c r="U559" s="477"/>
      <c r="W559" s="477"/>
      <c r="Y559" s="477"/>
      <c r="AA559" s="477"/>
      <c r="AO559" s="3461"/>
      <c r="AP559" s="1741"/>
      <c r="BG559" s="1726"/>
      <c r="BH559" s="1726"/>
      <c r="BI559" s="1726"/>
      <c r="BJ559" s="1726"/>
      <c r="BK559" s="1726"/>
      <c r="BL559" s="1726"/>
      <c r="BM559" s="1726"/>
      <c r="BN559" s="1726"/>
      <c r="BO559" s="1726"/>
      <c r="BP559" s="1726"/>
      <c r="BQ559" s="1726"/>
      <c r="BR559" s="1726"/>
      <c r="BS559" s="1726"/>
      <c r="BT559" s="1726"/>
      <c r="BU559" s="1726"/>
      <c r="BV559" s="1726"/>
      <c r="BW559" s="1726"/>
      <c r="BX559" s="1726"/>
      <c r="BY559" s="1726"/>
      <c r="BZ559" s="1726"/>
      <c r="CA559" s="1726"/>
      <c r="CB559" s="1726"/>
      <c r="CC559" s="1726"/>
    </row>
    <row r="560" spans="4:81" s="334" customFormat="1" x14ac:dyDescent="0.25">
      <c r="D560" s="1804"/>
      <c r="E560" s="477"/>
      <c r="F560" s="343"/>
      <c r="G560" s="477"/>
      <c r="H560" s="343"/>
      <c r="I560" s="477"/>
      <c r="J560" s="343"/>
      <c r="K560" s="477"/>
      <c r="M560" s="477"/>
      <c r="O560" s="477"/>
      <c r="Q560" s="477"/>
      <c r="S560" s="477"/>
      <c r="U560" s="477"/>
      <c r="W560" s="477"/>
      <c r="Y560" s="477"/>
      <c r="AA560" s="477"/>
      <c r="AO560" s="3461"/>
      <c r="AP560" s="1741"/>
      <c r="BG560" s="1726"/>
      <c r="BH560" s="1726"/>
      <c r="BI560" s="1726"/>
      <c r="BJ560" s="1726"/>
      <c r="BK560" s="1726"/>
      <c r="BL560" s="1726"/>
      <c r="BM560" s="1726"/>
      <c r="BN560" s="1726"/>
      <c r="BO560" s="1726"/>
      <c r="BP560" s="1726"/>
      <c r="BQ560" s="1726"/>
      <c r="BR560" s="1726"/>
      <c r="BS560" s="1726"/>
      <c r="BT560" s="1726"/>
      <c r="BU560" s="1726"/>
      <c r="BV560" s="1726"/>
      <c r="BW560" s="1726"/>
      <c r="BX560" s="1726"/>
      <c r="BY560" s="1726"/>
      <c r="BZ560" s="1726"/>
      <c r="CA560" s="1726"/>
      <c r="CB560" s="1726"/>
      <c r="CC560" s="1726"/>
    </row>
    <row r="561" spans="4:81" s="334" customFormat="1" x14ac:dyDescent="0.25">
      <c r="D561" s="1804"/>
      <c r="E561" s="477"/>
      <c r="F561" s="343"/>
      <c r="G561" s="477"/>
      <c r="H561" s="343"/>
      <c r="I561" s="477"/>
      <c r="J561" s="343"/>
      <c r="K561" s="477"/>
      <c r="M561" s="477"/>
      <c r="O561" s="477"/>
      <c r="Q561" s="477"/>
      <c r="S561" s="477"/>
      <c r="U561" s="477"/>
      <c r="W561" s="477"/>
      <c r="Y561" s="477"/>
      <c r="AA561" s="477"/>
      <c r="AO561" s="3461"/>
      <c r="AP561" s="1741"/>
      <c r="BG561" s="1726"/>
      <c r="BH561" s="1726"/>
      <c r="BI561" s="1726"/>
      <c r="BJ561" s="1726"/>
      <c r="BK561" s="1726"/>
      <c r="BL561" s="1726"/>
      <c r="BM561" s="1726"/>
      <c r="BN561" s="1726"/>
      <c r="BO561" s="1726"/>
      <c r="BP561" s="1726"/>
      <c r="BQ561" s="1726"/>
      <c r="BR561" s="1726"/>
      <c r="BS561" s="1726"/>
      <c r="BT561" s="1726"/>
      <c r="BU561" s="1726"/>
      <c r="BV561" s="1726"/>
      <c r="BW561" s="1726"/>
      <c r="BX561" s="1726"/>
      <c r="BY561" s="1726"/>
      <c r="BZ561" s="1726"/>
      <c r="CA561" s="1726"/>
      <c r="CB561" s="1726"/>
      <c r="CC561" s="1726"/>
    </row>
    <row r="562" spans="4:81" s="334" customFormat="1" x14ac:dyDescent="0.25">
      <c r="D562" s="1804"/>
      <c r="E562" s="477"/>
      <c r="F562" s="343"/>
      <c r="G562" s="477"/>
      <c r="H562" s="343"/>
      <c r="I562" s="477"/>
      <c r="J562" s="343"/>
      <c r="K562" s="477"/>
      <c r="M562" s="477"/>
      <c r="O562" s="477"/>
      <c r="Q562" s="477"/>
      <c r="S562" s="477"/>
      <c r="U562" s="477"/>
      <c r="W562" s="477"/>
      <c r="Y562" s="477"/>
      <c r="AA562" s="477"/>
      <c r="AO562" s="3461"/>
      <c r="AP562" s="1741"/>
      <c r="BG562" s="1726"/>
      <c r="BH562" s="1726"/>
      <c r="BI562" s="1726"/>
      <c r="BJ562" s="1726"/>
      <c r="BK562" s="1726"/>
      <c r="BL562" s="1726"/>
      <c r="BM562" s="1726"/>
      <c r="BN562" s="1726"/>
      <c r="BO562" s="1726"/>
      <c r="BP562" s="1726"/>
      <c r="BQ562" s="1726"/>
      <c r="BR562" s="1726"/>
      <c r="BS562" s="1726"/>
      <c r="BT562" s="1726"/>
      <c r="BU562" s="1726"/>
      <c r="BV562" s="1726"/>
      <c r="BW562" s="1726"/>
      <c r="BX562" s="1726"/>
      <c r="BY562" s="1726"/>
      <c r="BZ562" s="1726"/>
      <c r="CA562" s="1726"/>
      <c r="CB562" s="1726"/>
      <c r="CC562" s="1726"/>
    </row>
    <row r="563" spans="4:81" s="334" customFormat="1" x14ac:dyDescent="0.25">
      <c r="D563" s="1804"/>
      <c r="E563" s="477"/>
      <c r="F563" s="343"/>
      <c r="G563" s="477"/>
      <c r="H563" s="343"/>
      <c r="I563" s="477"/>
      <c r="J563" s="343"/>
      <c r="K563" s="477"/>
      <c r="M563" s="477"/>
      <c r="O563" s="477"/>
      <c r="Q563" s="477"/>
      <c r="S563" s="477"/>
      <c r="U563" s="477"/>
      <c r="W563" s="477"/>
      <c r="Y563" s="477"/>
      <c r="AA563" s="477"/>
      <c r="AO563" s="3461"/>
      <c r="AP563" s="1741"/>
      <c r="BG563" s="1726"/>
      <c r="BH563" s="1726"/>
      <c r="BI563" s="1726"/>
      <c r="BJ563" s="1726"/>
      <c r="BK563" s="1726"/>
      <c r="BL563" s="1726"/>
      <c r="BM563" s="1726"/>
      <c r="BN563" s="1726"/>
      <c r="BO563" s="1726"/>
      <c r="BP563" s="1726"/>
      <c r="BQ563" s="1726"/>
      <c r="BR563" s="1726"/>
      <c r="BS563" s="1726"/>
      <c r="BT563" s="1726"/>
      <c r="BU563" s="1726"/>
      <c r="BV563" s="1726"/>
      <c r="BW563" s="1726"/>
      <c r="BX563" s="1726"/>
      <c r="BY563" s="1726"/>
      <c r="BZ563" s="1726"/>
      <c r="CA563" s="1726"/>
      <c r="CB563" s="1726"/>
      <c r="CC563" s="1726"/>
    </row>
    <row r="564" spans="4:81" s="334" customFormat="1" x14ac:dyDescent="0.25">
      <c r="D564" s="1804"/>
      <c r="E564" s="477"/>
      <c r="F564" s="343"/>
      <c r="G564" s="477"/>
      <c r="H564" s="343"/>
      <c r="I564" s="477"/>
      <c r="J564" s="343"/>
      <c r="K564" s="477"/>
      <c r="M564" s="477"/>
      <c r="O564" s="477"/>
      <c r="Q564" s="477"/>
      <c r="S564" s="477"/>
      <c r="U564" s="477"/>
      <c r="W564" s="477"/>
      <c r="Y564" s="477"/>
      <c r="AA564" s="477"/>
      <c r="AO564" s="3461"/>
      <c r="AP564" s="1741"/>
      <c r="BG564" s="1726"/>
      <c r="BH564" s="1726"/>
      <c r="BI564" s="1726"/>
      <c r="BJ564" s="1726"/>
      <c r="BK564" s="1726"/>
      <c r="BL564" s="1726"/>
      <c r="BM564" s="1726"/>
      <c r="BN564" s="1726"/>
      <c r="BO564" s="1726"/>
      <c r="BP564" s="1726"/>
      <c r="BQ564" s="1726"/>
      <c r="BR564" s="1726"/>
      <c r="BS564" s="1726"/>
      <c r="BT564" s="1726"/>
      <c r="BU564" s="1726"/>
      <c r="BV564" s="1726"/>
      <c r="BW564" s="1726"/>
      <c r="BX564" s="1726"/>
      <c r="BY564" s="1726"/>
      <c r="BZ564" s="1726"/>
      <c r="CA564" s="1726"/>
      <c r="CB564" s="1726"/>
      <c r="CC564" s="1726"/>
    </row>
    <row r="565" spans="4:81" s="334" customFormat="1" x14ac:dyDescent="0.25">
      <c r="D565" s="1804"/>
      <c r="E565" s="477"/>
      <c r="F565" s="343"/>
      <c r="G565" s="477"/>
      <c r="H565" s="343"/>
      <c r="I565" s="477"/>
      <c r="J565" s="343"/>
      <c r="K565" s="477"/>
      <c r="M565" s="477"/>
      <c r="O565" s="477"/>
      <c r="Q565" s="477"/>
      <c r="S565" s="477"/>
      <c r="U565" s="477"/>
      <c r="W565" s="477"/>
      <c r="Y565" s="477"/>
      <c r="AA565" s="477"/>
      <c r="AO565" s="3461"/>
      <c r="AP565" s="1741"/>
      <c r="BG565" s="1726"/>
      <c r="BH565" s="1726"/>
      <c r="BI565" s="1726"/>
      <c r="BJ565" s="1726"/>
      <c r="BK565" s="1726"/>
      <c r="BL565" s="1726"/>
      <c r="BM565" s="1726"/>
      <c r="BN565" s="1726"/>
      <c r="BO565" s="1726"/>
      <c r="BP565" s="1726"/>
      <c r="BQ565" s="1726"/>
      <c r="BR565" s="1726"/>
      <c r="BS565" s="1726"/>
      <c r="BT565" s="1726"/>
      <c r="BU565" s="1726"/>
      <c r="BV565" s="1726"/>
      <c r="BW565" s="1726"/>
      <c r="BX565" s="1726"/>
      <c r="BY565" s="1726"/>
      <c r="BZ565" s="1726"/>
      <c r="CA565" s="1726"/>
      <c r="CB565" s="1726"/>
      <c r="CC565" s="1726"/>
    </row>
    <row r="566" spans="4:81" s="334" customFormat="1" x14ac:dyDescent="0.25">
      <c r="D566" s="1804"/>
      <c r="E566" s="477"/>
      <c r="F566" s="343"/>
      <c r="G566" s="477"/>
      <c r="H566" s="343"/>
      <c r="I566" s="477"/>
      <c r="J566" s="343"/>
      <c r="K566" s="477"/>
      <c r="M566" s="477"/>
      <c r="O566" s="477"/>
      <c r="Q566" s="477"/>
      <c r="S566" s="477"/>
      <c r="U566" s="477"/>
      <c r="W566" s="477"/>
      <c r="Y566" s="477"/>
      <c r="AA566" s="477"/>
      <c r="AO566" s="3461"/>
      <c r="AP566" s="1741"/>
      <c r="BG566" s="1726"/>
      <c r="BH566" s="1726"/>
      <c r="BI566" s="1726"/>
      <c r="BJ566" s="1726"/>
      <c r="BK566" s="1726"/>
      <c r="BL566" s="1726"/>
      <c r="BM566" s="1726"/>
      <c r="BN566" s="1726"/>
      <c r="BO566" s="1726"/>
      <c r="BP566" s="1726"/>
      <c r="BQ566" s="1726"/>
      <c r="BR566" s="1726"/>
      <c r="BS566" s="1726"/>
      <c r="BT566" s="1726"/>
      <c r="BU566" s="1726"/>
      <c r="BV566" s="1726"/>
      <c r="BW566" s="1726"/>
      <c r="BX566" s="1726"/>
      <c r="BY566" s="1726"/>
      <c r="BZ566" s="1726"/>
      <c r="CA566" s="1726"/>
      <c r="CB566" s="1726"/>
      <c r="CC566" s="1726"/>
    </row>
    <row r="567" spans="4:81" s="334" customFormat="1" x14ac:dyDescent="0.25">
      <c r="D567" s="1804"/>
      <c r="E567" s="477"/>
      <c r="F567" s="343"/>
      <c r="G567" s="477"/>
      <c r="H567" s="343"/>
      <c r="I567" s="477"/>
      <c r="J567" s="343"/>
      <c r="K567" s="477"/>
      <c r="M567" s="477"/>
      <c r="O567" s="477"/>
      <c r="Q567" s="477"/>
      <c r="S567" s="477"/>
      <c r="U567" s="477"/>
      <c r="W567" s="477"/>
      <c r="Y567" s="477"/>
      <c r="AA567" s="477"/>
      <c r="AO567" s="3461"/>
      <c r="AP567" s="1741"/>
      <c r="BG567" s="1726"/>
      <c r="BH567" s="1726"/>
      <c r="BI567" s="1726"/>
      <c r="BJ567" s="1726"/>
      <c r="BK567" s="1726"/>
      <c r="BL567" s="1726"/>
      <c r="BM567" s="1726"/>
      <c r="BN567" s="1726"/>
      <c r="BO567" s="1726"/>
      <c r="BP567" s="1726"/>
      <c r="BQ567" s="1726"/>
      <c r="BR567" s="1726"/>
      <c r="BS567" s="1726"/>
      <c r="BT567" s="1726"/>
      <c r="BU567" s="1726"/>
      <c r="BV567" s="1726"/>
      <c r="BW567" s="1726"/>
      <c r="BX567" s="1726"/>
      <c r="BY567" s="1726"/>
      <c r="BZ567" s="1726"/>
      <c r="CA567" s="1726"/>
      <c r="CB567" s="1726"/>
      <c r="CC567" s="1726"/>
    </row>
    <row r="568" spans="4:81" s="334" customFormat="1" x14ac:dyDescent="0.25">
      <c r="D568" s="1804"/>
      <c r="E568" s="477"/>
      <c r="F568" s="343"/>
      <c r="G568" s="477"/>
      <c r="H568" s="343"/>
      <c r="I568" s="477"/>
      <c r="J568" s="343"/>
      <c r="K568" s="477"/>
      <c r="M568" s="477"/>
      <c r="O568" s="477"/>
      <c r="Q568" s="477"/>
      <c r="S568" s="477"/>
      <c r="U568" s="477"/>
      <c r="W568" s="477"/>
      <c r="Y568" s="477"/>
      <c r="AA568" s="477"/>
      <c r="AO568" s="3461"/>
      <c r="AP568" s="1741"/>
      <c r="BG568" s="1726"/>
      <c r="BH568" s="1726"/>
      <c r="BI568" s="1726"/>
      <c r="BJ568" s="1726"/>
      <c r="BK568" s="1726"/>
      <c r="BL568" s="1726"/>
      <c r="BM568" s="1726"/>
      <c r="BN568" s="1726"/>
      <c r="BO568" s="1726"/>
      <c r="BP568" s="1726"/>
      <c r="BQ568" s="1726"/>
      <c r="BR568" s="1726"/>
      <c r="BS568" s="1726"/>
      <c r="BT568" s="1726"/>
      <c r="BU568" s="1726"/>
      <c r="BV568" s="1726"/>
      <c r="BW568" s="1726"/>
      <c r="BX568" s="1726"/>
      <c r="BY568" s="1726"/>
      <c r="BZ568" s="1726"/>
      <c r="CA568" s="1726"/>
      <c r="CB568" s="1726"/>
      <c r="CC568" s="1726"/>
    </row>
    <row r="569" spans="4:81" s="334" customFormat="1" x14ac:dyDescent="0.25">
      <c r="D569" s="1804"/>
      <c r="E569" s="477"/>
      <c r="F569" s="343"/>
      <c r="G569" s="477"/>
      <c r="H569" s="343"/>
      <c r="I569" s="477"/>
      <c r="J569" s="343"/>
      <c r="K569" s="477"/>
      <c r="M569" s="477"/>
      <c r="O569" s="477"/>
      <c r="Q569" s="477"/>
      <c r="S569" s="477"/>
      <c r="U569" s="477"/>
      <c r="W569" s="477"/>
      <c r="Y569" s="477"/>
      <c r="AA569" s="477"/>
      <c r="AO569" s="3461"/>
      <c r="AP569" s="1741"/>
      <c r="BG569" s="1726"/>
      <c r="BH569" s="1726"/>
      <c r="BI569" s="1726"/>
      <c r="BJ569" s="1726"/>
      <c r="BK569" s="1726"/>
      <c r="BL569" s="1726"/>
      <c r="BM569" s="1726"/>
      <c r="BN569" s="1726"/>
      <c r="BO569" s="1726"/>
      <c r="BP569" s="1726"/>
      <c r="BQ569" s="1726"/>
      <c r="BR569" s="1726"/>
      <c r="BS569" s="1726"/>
      <c r="BT569" s="1726"/>
      <c r="BU569" s="1726"/>
      <c r="BV569" s="1726"/>
      <c r="BW569" s="1726"/>
      <c r="BX569" s="1726"/>
      <c r="BY569" s="1726"/>
      <c r="BZ569" s="1726"/>
      <c r="CA569" s="1726"/>
      <c r="CB569" s="1726"/>
      <c r="CC569" s="1726"/>
    </row>
    <row r="570" spans="4:81" s="334" customFormat="1" x14ac:dyDescent="0.25">
      <c r="D570" s="1804"/>
      <c r="E570" s="477"/>
      <c r="F570" s="343"/>
      <c r="G570" s="477"/>
      <c r="H570" s="343"/>
      <c r="I570" s="477"/>
      <c r="J570" s="343"/>
      <c r="K570" s="477"/>
      <c r="M570" s="477"/>
      <c r="O570" s="477"/>
      <c r="Q570" s="477"/>
      <c r="S570" s="477"/>
      <c r="U570" s="477"/>
      <c r="W570" s="477"/>
      <c r="Y570" s="477"/>
      <c r="AA570" s="477"/>
      <c r="AO570" s="3461"/>
      <c r="AP570" s="1741"/>
      <c r="BG570" s="1726"/>
      <c r="BH570" s="1726"/>
      <c r="BI570" s="1726"/>
      <c r="BJ570" s="1726"/>
      <c r="BK570" s="1726"/>
      <c r="BL570" s="1726"/>
      <c r="BM570" s="1726"/>
      <c r="BN570" s="1726"/>
      <c r="BO570" s="1726"/>
      <c r="BP570" s="1726"/>
      <c r="BQ570" s="1726"/>
      <c r="BR570" s="1726"/>
      <c r="BS570" s="1726"/>
      <c r="BT570" s="1726"/>
      <c r="BU570" s="1726"/>
      <c r="BV570" s="1726"/>
      <c r="BW570" s="1726"/>
      <c r="BX570" s="1726"/>
      <c r="BY570" s="1726"/>
      <c r="BZ570" s="1726"/>
      <c r="CA570" s="1726"/>
      <c r="CB570" s="1726"/>
      <c r="CC570" s="1726"/>
    </row>
    <row r="571" spans="4:81" s="334" customFormat="1" x14ac:dyDescent="0.25">
      <c r="D571" s="1804"/>
      <c r="E571" s="477"/>
      <c r="F571" s="343"/>
      <c r="G571" s="477"/>
      <c r="H571" s="343"/>
      <c r="I571" s="477"/>
      <c r="J571" s="343"/>
      <c r="K571" s="477"/>
      <c r="M571" s="477"/>
      <c r="O571" s="477"/>
      <c r="Q571" s="477"/>
      <c r="S571" s="477"/>
      <c r="U571" s="477"/>
      <c r="W571" s="477"/>
      <c r="Y571" s="477"/>
      <c r="AA571" s="477"/>
      <c r="AO571" s="3461"/>
      <c r="AP571" s="1741"/>
      <c r="BG571" s="1726"/>
      <c r="BH571" s="1726"/>
      <c r="BI571" s="1726"/>
      <c r="BJ571" s="1726"/>
      <c r="BK571" s="1726"/>
      <c r="BL571" s="1726"/>
      <c r="BM571" s="1726"/>
      <c r="BN571" s="1726"/>
      <c r="BO571" s="1726"/>
      <c r="BP571" s="1726"/>
      <c r="BQ571" s="1726"/>
      <c r="BR571" s="1726"/>
      <c r="BS571" s="1726"/>
      <c r="BT571" s="1726"/>
      <c r="BU571" s="1726"/>
      <c r="BV571" s="1726"/>
      <c r="BW571" s="1726"/>
      <c r="BX571" s="1726"/>
      <c r="BY571" s="1726"/>
      <c r="BZ571" s="1726"/>
      <c r="CA571" s="1726"/>
      <c r="CB571" s="1726"/>
      <c r="CC571" s="1726"/>
    </row>
    <row r="572" spans="4:81" s="334" customFormat="1" x14ac:dyDescent="0.25">
      <c r="D572" s="1804"/>
      <c r="E572" s="477"/>
      <c r="F572" s="343"/>
      <c r="G572" s="477"/>
      <c r="H572" s="343"/>
      <c r="I572" s="477"/>
      <c r="J572" s="343"/>
      <c r="K572" s="477"/>
      <c r="M572" s="477"/>
      <c r="O572" s="477"/>
      <c r="Q572" s="477"/>
      <c r="S572" s="477"/>
      <c r="U572" s="477"/>
      <c r="W572" s="477"/>
      <c r="Y572" s="477"/>
      <c r="AA572" s="477"/>
      <c r="AO572" s="3461"/>
      <c r="AP572" s="1741"/>
      <c r="BG572" s="1726"/>
      <c r="BH572" s="1726"/>
      <c r="BI572" s="1726"/>
      <c r="BJ572" s="1726"/>
      <c r="BK572" s="1726"/>
      <c r="BL572" s="1726"/>
      <c r="BM572" s="1726"/>
      <c r="BN572" s="1726"/>
      <c r="BO572" s="1726"/>
      <c r="BP572" s="1726"/>
      <c r="BQ572" s="1726"/>
      <c r="BR572" s="1726"/>
      <c r="BS572" s="1726"/>
      <c r="BT572" s="1726"/>
      <c r="BU572" s="1726"/>
      <c r="BV572" s="1726"/>
      <c r="BW572" s="1726"/>
      <c r="BX572" s="1726"/>
      <c r="BY572" s="1726"/>
      <c r="BZ572" s="1726"/>
      <c r="CA572" s="1726"/>
      <c r="CB572" s="1726"/>
      <c r="CC572" s="1726"/>
    </row>
    <row r="573" spans="4:81" s="334" customFormat="1" x14ac:dyDescent="0.25">
      <c r="D573" s="1804"/>
      <c r="E573" s="477"/>
      <c r="F573" s="343"/>
      <c r="G573" s="477"/>
      <c r="H573" s="343"/>
      <c r="I573" s="477"/>
      <c r="J573" s="343"/>
      <c r="K573" s="477"/>
      <c r="M573" s="477"/>
      <c r="O573" s="477"/>
      <c r="Q573" s="477"/>
      <c r="S573" s="477"/>
      <c r="U573" s="477"/>
      <c r="W573" s="477"/>
      <c r="Y573" s="477"/>
      <c r="AA573" s="477"/>
      <c r="AO573" s="3461"/>
      <c r="AP573" s="1741"/>
      <c r="BG573" s="1726"/>
      <c r="BH573" s="1726"/>
      <c r="BI573" s="1726"/>
      <c r="BJ573" s="1726"/>
      <c r="BK573" s="1726"/>
      <c r="BL573" s="1726"/>
      <c r="BM573" s="1726"/>
      <c r="BN573" s="1726"/>
      <c r="BO573" s="1726"/>
      <c r="BP573" s="1726"/>
      <c r="BQ573" s="1726"/>
      <c r="BR573" s="1726"/>
      <c r="BS573" s="1726"/>
      <c r="BT573" s="1726"/>
      <c r="BU573" s="1726"/>
      <c r="BV573" s="1726"/>
      <c r="BW573" s="1726"/>
      <c r="BX573" s="1726"/>
      <c r="BY573" s="1726"/>
      <c r="BZ573" s="1726"/>
      <c r="CA573" s="1726"/>
      <c r="CB573" s="1726"/>
      <c r="CC573" s="1726"/>
    </row>
    <row r="574" spans="4:81" s="334" customFormat="1" x14ac:dyDescent="0.25">
      <c r="D574" s="1804"/>
      <c r="E574" s="477"/>
      <c r="F574" s="343"/>
      <c r="G574" s="477"/>
      <c r="H574" s="343"/>
      <c r="I574" s="477"/>
      <c r="J574" s="343"/>
      <c r="K574" s="477"/>
      <c r="M574" s="477"/>
      <c r="O574" s="477"/>
      <c r="Q574" s="477"/>
      <c r="S574" s="477"/>
      <c r="U574" s="477"/>
      <c r="W574" s="477"/>
      <c r="Y574" s="477"/>
      <c r="AA574" s="477"/>
      <c r="AO574" s="3461"/>
      <c r="AP574" s="1741"/>
      <c r="BG574" s="1726"/>
      <c r="BH574" s="1726"/>
      <c r="BI574" s="1726"/>
      <c r="BJ574" s="1726"/>
      <c r="BK574" s="1726"/>
      <c r="BL574" s="1726"/>
      <c r="BM574" s="1726"/>
      <c r="BN574" s="1726"/>
      <c r="BO574" s="1726"/>
      <c r="BP574" s="1726"/>
      <c r="BQ574" s="1726"/>
      <c r="BR574" s="1726"/>
      <c r="BS574" s="1726"/>
      <c r="BT574" s="1726"/>
      <c r="BU574" s="1726"/>
      <c r="BV574" s="1726"/>
      <c r="BW574" s="1726"/>
      <c r="BX574" s="1726"/>
      <c r="BY574" s="1726"/>
      <c r="BZ574" s="1726"/>
      <c r="CA574" s="1726"/>
      <c r="CB574" s="1726"/>
      <c r="CC574" s="1726"/>
    </row>
    <row r="575" spans="4:81" s="334" customFormat="1" x14ac:dyDescent="0.25">
      <c r="D575" s="1804"/>
      <c r="E575" s="477"/>
      <c r="F575" s="343"/>
      <c r="G575" s="477"/>
      <c r="H575" s="343"/>
      <c r="I575" s="477"/>
      <c r="J575" s="343"/>
      <c r="K575" s="477"/>
      <c r="M575" s="477"/>
      <c r="O575" s="477"/>
      <c r="Q575" s="477"/>
      <c r="S575" s="477"/>
      <c r="U575" s="477"/>
      <c r="W575" s="477"/>
      <c r="Y575" s="477"/>
      <c r="AA575" s="477"/>
      <c r="AO575" s="3461"/>
      <c r="AP575" s="1741"/>
      <c r="BG575" s="1726"/>
      <c r="BH575" s="1726"/>
      <c r="BI575" s="1726"/>
      <c r="BJ575" s="1726"/>
      <c r="BK575" s="1726"/>
      <c r="BL575" s="1726"/>
      <c r="BM575" s="1726"/>
      <c r="BN575" s="1726"/>
      <c r="BO575" s="1726"/>
      <c r="BP575" s="1726"/>
      <c r="BQ575" s="1726"/>
      <c r="BR575" s="1726"/>
      <c r="BS575" s="1726"/>
      <c r="BT575" s="1726"/>
      <c r="BU575" s="1726"/>
      <c r="BV575" s="1726"/>
      <c r="BW575" s="1726"/>
      <c r="BX575" s="1726"/>
      <c r="BY575" s="1726"/>
      <c r="BZ575" s="1726"/>
      <c r="CA575" s="1726"/>
      <c r="CB575" s="1726"/>
      <c r="CC575" s="1726"/>
    </row>
    <row r="576" spans="4:81" s="334" customFormat="1" x14ac:dyDescent="0.25">
      <c r="D576" s="1804"/>
      <c r="E576" s="477"/>
      <c r="F576" s="343"/>
      <c r="G576" s="477"/>
      <c r="H576" s="343"/>
      <c r="I576" s="477"/>
      <c r="J576" s="343"/>
      <c r="K576" s="477"/>
      <c r="M576" s="477"/>
      <c r="O576" s="477"/>
      <c r="Q576" s="477"/>
      <c r="S576" s="477"/>
      <c r="U576" s="477"/>
      <c r="W576" s="477"/>
      <c r="Y576" s="477"/>
      <c r="AA576" s="477"/>
      <c r="AO576" s="3461"/>
      <c r="AP576" s="1741"/>
      <c r="BG576" s="1726"/>
      <c r="BH576" s="1726"/>
      <c r="BI576" s="1726"/>
      <c r="BJ576" s="1726"/>
      <c r="BK576" s="1726"/>
      <c r="BL576" s="1726"/>
      <c r="BM576" s="1726"/>
      <c r="BN576" s="1726"/>
      <c r="BO576" s="1726"/>
      <c r="BP576" s="1726"/>
      <c r="BQ576" s="1726"/>
      <c r="BR576" s="1726"/>
      <c r="BS576" s="1726"/>
      <c r="BT576" s="1726"/>
      <c r="BU576" s="1726"/>
      <c r="BV576" s="1726"/>
      <c r="BW576" s="1726"/>
      <c r="BX576" s="1726"/>
      <c r="BY576" s="1726"/>
      <c r="BZ576" s="1726"/>
      <c r="CA576" s="1726"/>
      <c r="CB576" s="1726"/>
      <c r="CC576" s="1726"/>
    </row>
    <row r="577" spans="4:81" s="334" customFormat="1" x14ac:dyDescent="0.25">
      <c r="D577" s="1804"/>
      <c r="E577" s="477"/>
      <c r="F577" s="343"/>
      <c r="G577" s="477"/>
      <c r="H577" s="343"/>
      <c r="I577" s="477"/>
      <c r="J577" s="343"/>
      <c r="K577" s="477"/>
      <c r="M577" s="477"/>
      <c r="O577" s="477"/>
      <c r="Q577" s="477"/>
      <c r="S577" s="477"/>
      <c r="U577" s="477"/>
      <c r="W577" s="477"/>
      <c r="Y577" s="477"/>
      <c r="AA577" s="477"/>
      <c r="AO577" s="3461"/>
      <c r="AP577" s="1741"/>
      <c r="BG577" s="1726"/>
      <c r="BH577" s="1726"/>
      <c r="BI577" s="1726"/>
      <c r="BJ577" s="1726"/>
      <c r="BK577" s="1726"/>
      <c r="BL577" s="1726"/>
      <c r="BM577" s="1726"/>
      <c r="BN577" s="1726"/>
      <c r="BO577" s="1726"/>
      <c r="BP577" s="1726"/>
      <c r="BQ577" s="1726"/>
      <c r="BR577" s="1726"/>
      <c r="BS577" s="1726"/>
      <c r="BT577" s="1726"/>
      <c r="BU577" s="1726"/>
      <c r="BV577" s="1726"/>
      <c r="BW577" s="1726"/>
      <c r="BX577" s="1726"/>
      <c r="BY577" s="1726"/>
      <c r="BZ577" s="1726"/>
      <c r="CA577" s="1726"/>
      <c r="CB577" s="1726"/>
      <c r="CC577" s="1726"/>
    </row>
    <row r="578" spans="4:81" s="334" customFormat="1" x14ac:dyDescent="0.25">
      <c r="D578" s="1804"/>
      <c r="E578" s="477"/>
      <c r="F578" s="343"/>
      <c r="G578" s="477"/>
      <c r="H578" s="343"/>
      <c r="I578" s="477"/>
      <c r="J578" s="343"/>
      <c r="K578" s="477"/>
      <c r="M578" s="477"/>
      <c r="O578" s="477"/>
      <c r="Q578" s="477"/>
      <c r="S578" s="477"/>
      <c r="U578" s="477"/>
      <c r="W578" s="477"/>
      <c r="Y578" s="477"/>
      <c r="AA578" s="477"/>
      <c r="AO578" s="3461"/>
      <c r="AP578" s="1741"/>
      <c r="BG578" s="1726"/>
      <c r="BH578" s="1726"/>
      <c r="BI578" s="1726"/>
      <c r="BJ578" s="1726"/>
      <c r="BK578" s="1726"/>
      <c r="BL578" s="1726"/>
      <c r="BM578" s="1726"/>
      <c r="BN578" s="1726"/>
      <c r="BO578" s="1726"/>
      <c r="BP578" s="1726"/>
      <c r="BQ578" s="1726"/>
      <c r="BR578" s="1726"/>
      <c r="BS578" s="1726"/>
      <c r="BT578" s="1726"/>
      <c r="BU578" s="1726"/>
      <c r="BV578" s="1726"/>
      <c r="BW578" s="1726"/>
      <c r="BX578" s="1726"/>
      <c r="BY578" s="1726"/>
      <c r="BZ578" s="1726"/>
      <c r="CA578" s="1726"/>
      <c r="CB578" s="1726"/>
      <c r="CC578" s="1726"/>
    </row>
    <row r="579" spans="4:81" s="334" customFormat="1" x14ac:dyDescent="0.25">
      <c r="D579" s="1804"/>
      <c r="E579" s="477"/>
      <c r="F579" s="343"/>
      <c r="G579" s="477"/>
      <c r="H579" s="343"/>
      <c r="I579" s="477"/>
      <c r="J579" s="343"/>
      <c r="K579" s="477"/>
      <c r="M579" s="477"/>
      <c r="O579" s="477"/>
      <c r="Q579" s="477"/>
      <c r="S579" s="477"/>
      <c r="U579" s="477"/>
      <c r="W579" s="477"/>
      <c r="Y579" s="477"/>
      <c r="AA579" s="477"/>
      <c r="AO579" s="3461"/>
      <c r="AP579" s="1741"/>
      <c r="BG579" s="1726"/>
      <c r="BH579" s="1726"/>
      <c r="BI579" s="1726"/>
      <c r="BJ579" s="1726"/>
      <c r="BK579" s="1726"/>
      <c r="BL579" s="1726"/>
      <c r="BM579" s="1726"/>
      <c r="BN579" s="1726"/>
      <c r="BO579" s="1726"/>
      <c r="BP579" s="1726"/>
      <c r="BQ579" s="1726"/>
      <c r="BR579" s="1726"/>
      <c r="BS579" s="1726"/>
      <c r="BT579" s="1726"/>
      <c r="BU579" s="1726"/>
      <c r="BV579" s="1726"/>
      <c r="BW579" s="1726"/>
      <c r="BX579" s="1726"/>
      <c r="BY579" s="1726"/>
      <c r="BZ579" s="1726"/>
      <c r="CA579" s="1726"/>
      <c r="CB579" s="1726"/>
      <c r="CC579" s="1726"/>
    </row>
    <row r="580" spans="4:81" s="334" customFormat="1" x14ac:dyDescent="0.25">
      <c r="D580" s="1804"/>
      <c r="E580" s="477"/>
      <c r="F580" s="343"/>
      <c r="G580" s="477"/>
      <c r="H580" s="343"/>
      <c r="I580" s="477"/>
      <c r="J580" s="343"/>
      <c r="K580" s="477"/>
      <c r="M580" s="477"/>
      <c r="O580" s="477"/>
      <c r="Q580" s="477"/>
      <c r="S580" s="477"/>
      <c r="U580" s="477"/>
      <c r="W580" s="477"/>
      <c r="Y580" s="477"/>
      <c r="AA580" s="477"/>
      <c r="AO580" s="3461"/>
      <c r="AP580" s="1741"/>
      <c r="BG580" s="1726"/>
      <c r="BH580" s="1726"/>
      <c r="BI580" s="1726"/>
      <c r="BJ580" s="1726"/>
      <c r="BK580" s="1726"/>
      <c r="BL580" s="1726"/>
      <c r="BM580" s="1726"/>
      <c r="BN580" s="1726"/>
      <c r="BO580" s="1726"/>
      <c r="BP580" s="1726"/>
      <c r="BQ580" s="1726"/>
      <c r="BR580" s="1726"/>
      <c r="BS580" s="1726"/>
      <c r="BT580" s="1726"/>
      <c r="BU580" s="1726"/>
      <c r="BV580" s="1726"/>
      <c r="BW580" s="1726"/>
      <c r="BX580" s="1726"/>
      <c r="BY580" s="1726"/>
      <c r="BZ580" s="1726"/>
      <c r="CA580" s="1726"/>
      <c r="CB580" s="1726"/>
      <c r="CC580" s="1726"/>
    </row>
    <row r="581" spans="4:81" s="334" customFormat="1" x14ac:dyDescent="0.25">
      <c r="D581" s="1804"/>
      <c r="E581" s="477"/>
      <c r="F581" s="343"/>
      <c r="G581" s="477"/>
      <c r="H581" s="343"/>
      <c r="I581" s="477"/>
      <c r="J581" s="343"/>
      <c r="K581" s="477"/>
      <c r="M581" s="477"/>
      <c r="O581" s="477"/>
      <c r="Q581" s="477"/>
      <c r="S581" s="477"/>
      <c r="U581" s="477"/>
      <c r="W581" s="477"/>
      <c r="Y581" s="477"/>
      <c r="AA581" s="477"/>
      <c r="AO581" s="3461"/>
      <c r="AP581" s="1741"/>
      <c r="BG581" s="1726"/>
      <c r="BH581" s="1726"/>
      <c r="BI581" s="1726"/>
      <c r="BJ581" s="1726"/>
      <c r="BK581" s="1726"/>
      <c r="BL581" s="1726"/>
      <c r="BM581" s="1726"/>
      <c r="BN581" s="1726"/>
      <c r="BO581" s="1726"/>
      <c r="BP581" s="1726"/>
      <c r="BQ581" s="1726"/>
      <c r="BR581" s="1726"/>
      <c r="BS581" s="1726"/>
      <c r="BT581" s="1726"/>
      <c r="BU581" s="1726"/>
      <c r="BV581" s="1726"/>
      <c r="BW581" s="1726"/>
      <c r="BX581" s="1726"/>
      <c r="BY581" s="1726"/>
      <c r="BZ581" s="1726"/>
      <c r="CA581" s="1726"/>
      <c r="CB581" s="1726"/>
      <c r="CC581" s="1726"/>
    </row>
    <row r="582" spans="4:81" s="334" customFormat="1" x14ac:dyDescent="0.25">
      <c r="D582" s="1804"/>
      <c r="E582" s="477"/>
      <c r="F582" s="343"/>
      <c r="G582" s="477"/>
      <c r="H582" s="343"/>
      <c r="I582" s="477"/>
      <c r="J582" s="343"/>
      <c r="K582" s="477"/>
      <c r="M582" s="477"/>
      <c r="O582" s="477"/>
      <c r="Q582" s="477"/>
      <c r="S582" s="477"/>
      <c r="U582" s="477"/>
      <c r="W582" s="477"/>
      <c r="Y582" s="477"/>
      <c r="AA582" s="477"/>
      <c r="AO582" s="3461"/>
      <c r="AP582" s="1741"/>
      <c r="BG582" s="1726"/>
      <c r="BH582" s="1726"/>
      <c r="BI582" s="1726"/>
      <c r="BJ582" s="1726"/>
      <c r="BK582" s="1726"/>
      <c r="BL582" s="1726"/>
      <c r="BM582" s="1726"/>
      <c r="BN582" s="1726"/>
      <c r="BO582" s="1726"/>
      <c r="BP582" s="1726"/>
      <c r="BQ582" s="1726"/>
      <c r="BR582" s="1726"/>
      <c r="BS582" s="1726"/>
      <c r="BT582" s="1726"/>
      <c r="BU582" s="1726"/>
      <c r="BV582" s="1726"/>
      <c r="BW582" s="1726"/>
      <c r="BX582" s="1726"/>
      <c r="BY582" s="1726"/>
      <c r="BZ582" s="1726"/>
      <c r="CA582" s="1726"/>
      <c r="CB582" s="1726"/>
      <c r="CC582" s="1726"/>
    </row>
    <row r="583" spans="4:81" s="334" customFormat="1" x14ac:dyDescent="0.25">
      <c r="D583" s="1804"/>
      <c r="E583" s="477"/>
      <c r="F583" s="343"/>
      <c r="G583" s="477"/>
      <c r="H583" s="343"/>
      <c r="I583" s="477"/>
      <c r="J583" s="343"/>
      <c r="K583" s="477"/>
      <c r="M583" s="477"/>
      <c r="O583" s="477"/>
      <c r="Q583" s="477"/>
      <c r="S583" s="477"/>
      <c r="U583" s="477"/>
      <c r="W583" s="477"/>
      <c r="Y583" s="477"/>
      <c r="AA583" s="477"/>
      <c r="AO583" s="3461"/>
      <c r="AP583" s="1741"/>
      <c r="BG583" s="1726"/>
      <c r="BH583" s="1726"/>
      <c r="BI583" s="1726"/>
      <c r="BJ583" s="1726"/>
      <c r="BK583" s="1726"/>
      <c r="BL583" s="1726"/>
      <c r="BM583" s="1726"/>
      <c r="BN583" s="1726"/>
      <c r="BO583" s="1726"/>
      <c r="BP583" s="1726"/>
      <c r="BQ583" s="1726"/>
      <c r="BR583" s="1726"/>
      <c r="BS583" s="1726"/>
      <c r="BT583" s="1726"/>
      <c r="BU583" s="1726"/>
      <c r="BV583" s="1726"/>
      <c r="BW583" s="1726"/>
      <c r="BX583" s="1726"/>
      <c r="BY583" s="1726"/>
      <c r="BZ583" s="1726"/>
      <c r="CA583" s="1726"/>
      <c r="CB583" s="1726"/>
      <c r="CC583" s="1726"/>
    </row>
    <row r="584" spans="4:81" s="334" customFormat="1" x14ac:dyDescent="0.25">
      <c r="D584" s="1804"/>
      <c r="E584" s="477"/>
      <c r="F584" s="343"/>
      <c r="G584" s="477"/>
      <c r="H584" s="343"/>
      <c r="I584" s="477"/>
      <c r="J584" s="343"/>
      <c r="K584" s="477"/>
      <c r="M584" s="477"/>
      <c r="O584" s="477"/>
      <c r="Q584" s="477"/>
      <c r="S584" s="477"/>
      <c r="U584" s="477"/>
      <c r="W584" s="477"/>
      <c r="Y584" s="477"/>
      <c r="AA584" s="477"/>
      <c r="AO584" s="3461"/>
      <c r="AP584" s="1741"/>
      <c r="BG584" s="1726"/>
      <c r="BH584" s="1726"/>
      <c r="BI584" s="1726"/>
      <c r="BJ584" s="1726"/>
      <c r="BK584" s="1726"/>
      <c r="BL584" s="1726"/>
      <c r="BM584" s="1726"/>
      <c r="BN584" s="1726"/>
      <c r="BO584" s="1726"/>
      <c r="BP584" s="1726"/>
      <c r="BQ584" s="1726"/>
      <c r="BR584" s="1726"/>
      <c r="BS584" s="1726"/>
      <c r="BT584" s="1726"/>
      <c r="BU584" s="1726"/>
      <c r="BV584" s="1726"/>
      <c r="BW584" s="1726"/>
      <c r="BX584" s="1726"/>
      <c r="BY584" s="1726"/>
      <c r="BZ584" s="1726"/>
      <c r="CA584" s="1726"/>
      <c r="CB584" s="1726"/>
      <c r="CC584" s="1726"/>
    </row>
    <row r="585" spans="4:81" s="334" customFormat="1" x14ac:dyDescent="0.25">
      <c r="D585" s="1804"/>
      <c r="E585" s="477"/>
      <c r="F585" s="343"/>
      <c r="G585" s="477"/>
      <c r="H585" s="343"/>
      <c r="I585" s="477"/>
      <c r="J585" s="343"/>
      <c r="K585" s="477"/>
      <c r="M585" s="477"/>
      <c r="O585" s="477"/>
      <c r="Q585" s="477"/>
      <c r="S585" s="477"/>
      <c r="U585" s="477"/>
      <c r="W585" s="477"/>
      <c r="Y585" s="477"/>
      <c r="AA585" s="477"/>
      <c r="AO585" s="3461"/>
      <c r="AP585" s="1741"/>
      <c r="BG585" s="1726"/>
      <c r="BH585" s="1726"/>
      <c r="BI585" s="1726"/>
      <c r="BJ585" s="1726"/>
      <c r="BK585" s="1726"/>
      <c r="BL585" s="1726"/>
      <c r="BM585" s="1726"/>
      <c r="BN585" s="1726"/>
      <c r="BO585" s="1726"/>
      <c r="BP585" s="1726"/>
      <c r="BQ585" s="1726"/>
      <c r="BR585" s="1726"/>
      <c r="BS585" s="1726"/>
      <c r="BT585" s="1726"/>
      <c r="BU585" s="1726"/>
      <c r="BV585" s="1726"/>
      <c r="BW585" s="1726"/>
      <c r="BX585" s="1726"/>
      <c r="BY585" s="1726"/>
      <c r="BZ585" s="1726"/>
      <c r="CA585" s="1726"/>
      <c r="CB585" s="1726"/>
      <c r="CC585" s="1726"/>
    </row>
    <row r="586" spans="4:81" s="334" customFormat="1" x14ac:dyDescent="0.25">
      <c r="D586" s="1804"/>
      <c r="E586" s="477"/>
      <c r="F586" s="343"/>
      <c r="G586" s="477"/>
      <c r="H586" s="343"/>
      <c r="I586" s="477"/>
      <c r="J586" s="343"/>
      <c r="K586" s="477"/>
      <c r="M586" s="477"/>
      <c r="O586" s="477"/>
      <c r="Q586" s="477"/>
      <c r="S586" s="477"/>
      <c r="U586" s="477"/>
      <c r="W586" s="477"/>
      <c r="Y586" s="477"/>
      <c r="AA586" s="477"/>
      <c r="AO586" s="3461"/>
      <c r="AP586" s="1741"/>
      <c r="BG586" s="1726"/>
      <c r="BH586" s="1726"/>
      <c r="BI586" s="1726"/>
      <c r="BJ586" s="1726"/>
      <c r="BK586" s="1726"/>
      <c r="BL586" s="1726"/>
      <c r="BM586" s="1726"/>
      <c r="BN586" s="1726"/>
      <c r="BO586" s="1726"/>
      <c r="BP586" s="1726"/>
      <c r="BQ586" s="1726"/>
      <c r="BR586" s="1726"/>
      <c r="BS586" s="1726"/>
      <c r="BT586" s="1726"/>
      <c r="BU586" s="1726"/>
      <c r="BV586" s="1726"/>
      <c r="BW586" s="1726"/>
      <c r="BX586" s="1726"/>
      <c r="BY586" s="1726"/>
      <c r="BZ586" s="1726"/>
      <c r="CA586" s="1726"/>
      <c r="CB586" s="1726"/>
      <c r="CC586" s="1726"/>
    </row>
    <row r="587" spans="4:81" s="334" customFormat="1" x14ac:dyDescent="0.25">
      <c r="D587" s="1804"/>
      <c r="E587" s="477"/>
      <c r="F587" s="343"/>
      <c r="G587" s="477"/>
      <c r="H587" s="343"/>
      <c r="I587" s="477"/>
      <c r="J587" s="343"/>
      <c r="K587" s="477"/>
      <c r="M587" s="477"/>
      <c r="O587" s="477"/>
      <c r="Q587" s="477"/>
      <c r="S587" s="477"/>
      <c r="U587" s="477"/>
      <c r="W587" s="477"/>
      <c r="Y587" s="477"/>
      <c r="AA587" s="477"/>
      <c r="AO587" s="3461"/>
      <c r="AP587" s="1741"/>
      <c r="BG587" s="1726"/>
      <c r="BH587" s="1726"/>
      <c r="BI587" s="1726"/>
      <c r="BJ587" s="1726"/>
      <c r="BK587" s="1726"/>
      <c r="BL587" s="1726"/>
      <c r="BM587" s="1726"/>
      <c r="BN587" s="1726"/>
      <c r="BO587" s="1726"/>
      <c r="BP587" s="1726"/>
      <c r="BQ587" s="1726"/>
      <c r="BR587" s="1726"/>
      <c r="BS587" s="1726"/>
      <c r="BT587" s="1726"/>
      <c r="BU587" s="1726"/>
      <c r="BV587" s="1726"/>
      <c r="BW587" s="1726"/>
      <c r="BX587" s="1726"/>
      <c r="BY587" s="1726"/>
      <c r="BZ587" s="1726"/>
      <c r="CA587" s="1726"/>
      <c r="CB587" s="1726"/>
      <c r="CC587" s="1726"/>
    </row>
    <row r="588" spans="4:81" s="334" customFormat="1" x14ac:dyDescent="0.25">
      <c r="D588" s="1804"/>
      <c r="E588" s="477"/>
      <c r="F588" s="343"/>
      <c r="G588" s="477"/>
      <c r="H588" s="343"/>
      <c r="I588" s="477"/>
      <c r="J588" s="343"/>
      <c r="K588" s="477"/>
      <c r="M588" s="477"/>
      <c r="O588" s="477"/>
      <c r="Q588" s="477"/>
      <c r="S588" s="477"/>
      <c r="U588" s="477"/>
      <c r="W588" s="477"/>
      <c r="Y588" s="477"/>
      <c r="AA588" s="477"/>
      <c r="AO588" s="3461"/>
      <c r="AP588" s="1741"/>
      <c r="BG588" s="1726"/>
      <c r="BH588" s="1726"/>
      <c r="BI588" s="1726"/>
      <c r="BJ588" s="1726"/>
      <c r="BK588" s="1726"/>
      <c r="BL588" s="1726"/>
      <c r="BM588" s="1726"/>
      <c r="BN588" s="1726"/>
      <c r="BO588" s="1726"/>
      <c r="BP588" s="1726"/>
      <c r="BQ588" s="1726"/>
      <c r="BR588" s="1726"/>
      <c r="BS588" s="1726"/>
      <c r="BT588" s="1726"/>
      <c r="BU588" s="1726"/>
      <c r="BV588" s="1726"/>
      <c r="BW588" s="1726"/>
      <c r="BX588" s="1726"/>
      <c r="BY588" s="1726"/>
      <c r="BZ588" s="1726"/>
      <c r="CA588" s="1726"/>
      <c r="CB588" s="1726"/>
      <c r="CC588" s="1726"/>
    </row>
    <row r="589" spans="4:81" s="334" customFormat="1" x14ac:dyDescent="0.25">
      <c r="D589" s="1804"/>
      <c r="E589" s="477"/>
      <c r="F589" s="343"/>
      <c r="G589" s="477"/>
      <c r="H589" s="343"/>
      <c r="I589" s="477"/>
      <c r="J589" s="343"/>
      <c r="K589" s="477"/>
      <c r="M589" s="477"/>
      <c r="O589" s="477"/>
      <c r="Q589" s="477"/>
      <c r="S589" s="477"/>
      <c r="U589" s="477"/>
      <c r="W589" s="477"/>
      <c r="Y589" s="477"/>
      <c r="AA589" s="477"/>
      <c r="AO589" s="3461"/>
      <c r="AP589" s="1741"/>
      <c r="BG589" s="1726"/>
      <c r="BH589" s="1726"/>
      <c r="BI589" s="1726"/>
      <c r="BJ589" s="1726"/>
      <c r="BK589" s="1726"/>
      <c r="BL589" s="1726"/>
      <c r="BM589" s="1726"/>
      <c r="BN589" s="1726"/>
      <c r="BO589" s="1726"/>
      <c r="BP589" s="1726"/>
      <c r="BQ589" s="1726"/>
      <c r="BR589" s="1726"/>
      <c r="BS589" s="1726"/>
      <c r="BT589" s="1726"/>
      <c r="BU589" s="1726"/>
      <c r="BV589" s="1726"/>
      <c r="BW589" s="1726"/>
      <c r="BX589" s="1726"/>
      <c r="BY589" s="1726"/>
      <c r="BZ589" s="1726"/>
      <c r="CA589" s="1726"/>
      <c r="CB589" s="1726"/>
      <c r="CC589" s="1726"/>
    </row>
    <row r="590" spans="4:81" s="334" customFormat="1" x14ac:dyDescent="0.25">
      <c r="D590" s="1804"/>
      <c r="E590" s="477"/>
      <c r="F590" s="343"/>
      <c r="G590" s="477"/>
      <c r="H590" s="343"/>
      <c r="I590" s="477"/>
      <c r="J590" s="343"/>
      <c r="K590" s="477"/>
      <c r="M590" s="477"/>
      <c r="O590" s="477"/>
      <c r="Q590" s="477"/>
      <c r="S590" s="477"/>
      <c r="U590" s="477"/>
      <c r="W590" s="477"/>
      <c r="Y590" s="477"/>
      <c r="AA590" s="477"/>
      <c r="AO590" s="3461"/>
      <c r="AP590" s="1741"/>
      <c r="BG590" s="1726"/>
      <c r="BH590" s="1726"/>
      <c r="BI590" s="1726"/>
      <c r="BJ590" s="1726"/>
      <c r="BK590" s="1726"/>
      <c r="BL590" s="1726"/>
      <c r="BM590" s="1726"/>
      <c r="BN590" s="1726"/>
      <c r="BO590" s="1726"/>
      <c r="BP590" s="1726"/>
      <c r="BQ590" s="1726"/>
      <c r="BR590" s="1726"/>
      <c r="BS590" s="1726"/>
      <c r="BT590" s="1726"/>
      <c r="BU590" s="1726"/>
      <c r="BV590" s="1726"/>
      <c r="BW590" s="1726"/>
      <c r="BX590" s="1726"/>
      <c r="BY590" s="1726"/>
      <c r="BZ590" s="1726"/>
      <c r="CA590" s="1726"/>
      <c r="CB590" s="1726"/>
      <c r="CC590" s="1726"/>
    </row>
    <row r="591" spans="4:81" s="334" customFormat="1" x14ac:dyDescent="0.25">
      <c r="D591" s="1804"/>
      <c r="E591" s="477"/>
      <c r="F591" s="343"/>
      <c r="G591" s="477"/>
      <c r="H591" s="343"/>
      <c r="I591" s="477"/>
      <c r="J591" s="343"/>
      <c r="K591" s="477"/>
      <c r="M591" s="477"/>
      <c r="O591" s="477"/>
      <c r="Q591" s="477"/>
      <c r="S591" s="477"/>
      <c r="U591" s="477"/>
      <c r="W591" s="477"/>
      <c r="Y591" s="477"/>
      <c r="AA591" s="477"/>
      <c r="AO591" s="3461"/>
      <c r="AP591" s="1741"/>
      <c r="BG591" s="1726"/>
      <c r="BH591" s="1726"/>
      <c r="BI591" s="1726"/>
      <c r="BJ591" s="1726"/>
      <c r="BK591" s="1726"/>
      <c r="BL591" s="1726"/>
      <c r="BM591" s="1726"/>
      <c r="BN591" s="1726"/>
      <c r="BO591" s="1726"/>
      <c r="BP591" s="1726"/>
      <c r="BQ591" s="1726"/>
      <c r="BR591" s="1726"/>
      <c r="BS591" s="1726"/>
      <c r="BT591" s="1726"/>
      <c r="BU591" s="1726"/>
      <c r="BV591" s="1726"/>
      <c r="BW591" s="1726"/>
      <c r="BX591" s="1726"/>
      <c r="BY591" s="1726"/>
      <c r="BZ591" s="1726"/>
      <c r="CA591" s="1726"/>
      <c r="CB591" s="1726"/>
      <c r="CC591" s="1726"/>
    </row>
    <row r="592" spans="4:81" s="334" customFormat="1" x14ac:dyDescent="0.25">
      <c r="D592" s="1804"/>
      <c r="E592" s="477"/>
      <c r="F592" s="343"/>
      <c r="G592" s="477"/>
      <c r="H592" s="343"/>
      <c r="I592" s="477"/>
      <c r="J592" s="343"/>
      <c r="K592" s="477"/>
      <c r="M592" s="477"/>
      <c r="O592" s="477"/>
      <c r="Q592" s="477"/>
      <c r="S592" s="477"/>
      <c r="U592" s="477"/>
      <c r="W592" s="477"/>
      <c r="Y592" s="477"/>
      <c r="AA592" s="477"/>
      <c r="AO592" s="3461"/>
      <c r="AP592" s="1741"/>
      <c r="BG592" s="1726"/>
      <c r="BH592" s="1726"/>
      <c r="BI592" s="1726"/>
      <c r="BJ592" s="1726"/>
      <c r="BK592" s="1726"/>
      <c r="BL592" s="1726"/>
      <c r="BM592" s="1726"/>
      <c r="BN592" s="1726"/>
      <c r="BO592" s="1726"/>
      <c r="BP592" s="1726"/>
      <c r="BQ592" s="1726"/>
      <c r="BR592" s="1726"/>
      <c r="BS592" s="1726"/>
      <c r="BT592" s="1726"/>
      <c r="BU592" s="1726"/>
      <c r="BV592" s="1726"/>
      <c r="BW592" s="1726"/>
      <c r="BX592" s="1726"/>
      <c r="BY592" s="1726"/>
      <c r="BZ592" s="1726"/>
      <c r="CA592" s="1726"/>
      <c r="CB592" s="1726"/>
      <c r="CC592" s="1726"/>
    </row>
    <row r="593" spans="4:81" s="334" customFormat="1" x14ac:dyDescent="0.25">
      <c r="D593" s="1804"/>
      <c r="E593" s="477"/>
      <c r="F593" s="343"/>
      <c r="G593" s="477"/>
      <c r="H593" s="343"/>
      <c r="I593" s="477"/>
      <c r="J593" s="343"/>
      <c r="K593" s="477"/>
      <c r="M593" s="477"/>
      <c r="O593" s="477"/>
      <c r="Q593" s="477"/>
      <c r="S593" s="477"/>
      <c r="U593" s="477"/>
      <c r="W593" s="477"/>
      <c r="Y593" s="477"/>
      <c r="AA593" s="477"/>
      <c r="AO593" s="3461"/>
      <c r="AP593" s="1741"/>
      <c r="BG593" s="1726"/>
      <c r="BH593" s="1726"/>
      <c r="BI593" s="1726"/>
      <c r="BJ593" s="1726"/>
      <c r="BK593" s="1726"/>
      <c r="BL593" s="1726"/>
      <c r="BM593" s="1726"/>
      <c r="BN593" s="1726"/>
      <c r="BO593" s="1726"/>
      <c r="BP593" s="1726"/>
      <c r="BQ593" s="1726"/>
      <c r="BR593" s="1726"/>
      <c r="BS593" s="1726"/>
      <c r="BT593" s="1726"/>
      <c r="BU593" s="1726"/>
      <c r="BV593" s="1726"/>
      <c r="BW593" s="1726"/>
      <c r="BX593" s="1726"/>
      <c r="BY593" s="1726"/>
      <c r="BZ593" s="1726"/>
      <c r="CA593" s="1726"/>
      <c r="CB593" s="1726"/>
      <c r="CC593" s="1726"/>
    </row>
    <row r="594" spans="4:81" s="334" customFormat="1" x14ac:dyDescent="0.25">
      <c r="D594" s="1804"/>
      <c r="E594" s="477"/>
      <c r="F594" s="343"/>
      <c r="G594" s="477"/>
      <c r="H594" s="343"/>
      <c r="I594" s="477"/>
      <c r="J594" s="343"/>
      <c r="K594" s="477"/>
      <c r="M594" s="477"/>
      <c r="O594" s="477"/>
      <c r="Q594" s="477"/>
      <c r="S594" s="477"/>
      <c r="U594" s="477"/>
      <c r="W594" s="477"/>
      <c r="Y594" s="477"/>
      <c r="AA594" s="477"/>
      <c r="AO594" s="3461"/>
      <c r="AP594" s="1741"/>
      <c r="BG594" s="1726"/>
      <c r="BH594" s="1726"/>
      <c r="BI594" s="1726"/>
      <c r="BJ594" s="1726"/>
      <c r="BK594" s="1726"/>
      <c r="BL594" s="1726"/>
      <c r="BM594" s="1726"/>
      <c r="BN594" s="1726"/>
      <c r="BO594" s="1726"/>
      <c r="BP594" s="1726"/>
      <c r="BQ594" s="1726"/>
      <c r="BR594" s="1726"/>
      <c r="BS594" s="1726"/>
      <c r="BT594" s="1726"/>
      <c r="BU594" s="1726"/>
      <c r="BV594" s="1726"/>
      <c r="BW594" s="1726"/>
      <c r="BX594" s="1726"/>
      <c r="BY594" s="1726"/>
      <c r="BZ594" s="1726"/>
      <c r="CA594" s="1726"/>
      <c r="CB594" s="1726"/>
      <c r="CC594" s="1726"/>
    </row>
    <row r="595" spans="4:81" s="334" customFormat="1" x14ac:dyDescent="0.25">
      <c r="D595" s="1804"/>
      <c r="E595" s="477"/>
      <c r="F595" s="343"/>
      <c r="G595" s="477"/>
      <c r="H595" s="343"/>
      <c r="I595" s="477"/>
      <c r="J595" s="343"/>
      <c r="K595" s="477"/>
      <c r="M595" s="477"/>
      <c r="O595" s="477"/>
      <c r="Q595" s="477"/>
      <c r="S595" s="477"/>
      <c r="U595" s="477"/>
      <c r="W595" s="477"/>
      <c r="Y595" s="477"/>
      <c r="AA595" s="477"/>
      <c r="AO595" s="3461"/>
      <c r="AP595" s="1741"/>
      <c r="BG595" s="1726"/>
      <c r="BH595" s="1726"/>
      <c r="BI595" s="1726"/>
      <c r="BJ595" s="1726"/>
      <c r="BK595" s="1726"/>
      <c r="BL595" s="1726"/>
      <c r="BM595" s="1726"/>
      <c r="BN595" s="1726"/>
      <c r="BO595" s="1726"/>
      <c r="BP595" s="1726"/>
      <c r="BQ595" s="1726"/>
      <c r="BR595" s="1726"/>
      <c r="BS595" s="1726"/>
      <c r="BT595" s="1726"/>
      <c r="BU595" s="1726"/>
      <c r="BV595" s="1726"/>
      <c r="BW595" s="1726"/>
      <c r="BX595" s="1726"/>
      <c r="BY595" s="1726"/>
      <c r="BZ595" s="1726"/>
      <c r="CA595" s="1726"/>
      <c r="CB595" s="1726"/>
      <c r="CC595" s="1726"/>
    </row>
    <row r="596" spans="4:81" s="334" customFormat="1" x14ac:dyDescent="0.25">
      <c r="D596" s="1804"/>
      <c r="E596" s="477"/>
      <c r="F596" s="343"/>
      <c r="G596" s="477"/>
      <c r="H596" s="343"/>
      <c r="I596" s="477"/>
      <c r="J596" s="343"/>
      <c r="K596" s="477"/>
      <c r="M596" s="477"/>
      <c r="O596" s="477"/>
      <c r="Q596" s="477"/>
      <c r="S596" s="477"/>
      <c r="U596" s="477"/>
      <c r="W596" s="477"/>
      <c r="Y596" s="477"/>
      <c r="AA596" s="477"/>
      <c r="AO596" s="3461"/>
      <c r="AP596" s="1741"/>
      <c r="BG596" s="1726"/>
      <c r="BH596" s="1726"/>
      <c r="BI596" s="1726"/>
      <c r="BJ596" s="1726"/>
      <c r="BK596" s="1726"/>
      <c r="BL596" s="1726"/>
      <c r="BM596" s="1726"/>
      <c r="BN596" s="1726"/>
      <c r="BO596" s="1726"/>
      <c r="BP596" s="1726"/>
      <c r="BQ596" s="1726"/>
      <c r="BR596" s="1726"/>
      <c r="BS596" s="1726"/>
      <c r="BT596" s="1726"/>
      <c r="BU596" s="1726"/>
      <c r="BV596" s="1726"/>
      <c r="BW596" s="1726"/>
      <c r="BX596" s="1726"/>
      <c r="BY596" s="1726"/>
      <c r="BZ596" s="1726"/>
      <c r="CA596" s="1726"/>
      <c r="CB596" s="1726"/>
      <c r="CC596" s="1726"/>
    </row>
    <row r="597" spans="4:81" s="334" customFormat="1" x14ac:dyDescent="0.25">
      <c r="D597" s="1804"/>
      <c r="E597" s="477"/>
      <c r="F597" s="343"/>
      <c r="G597" s="477"/>
      <c r="H597" s="343"/>
      <c r="I597" s="477"/>
      <c r="J597" s="343"/>
      <c r="K597" s="477"/>
      <c r="M597" s="477"/>
      <c r="O597" s="477"/>
      <c r="Q597" s="477"/>
      <c r="S597" s="477"/>
      <c r="U597" s="477"/>
      <c r="W597" s="477"/>
      <c r="Y597" s="477"/>
      <c r="AA597" s="477"/>
      <c r="AO597" s="3461"/>
      <c r="AP597" s="1741"/>
      <c r="BG597" s="1726"/>
      <c r="BH597" s="1726"/>
      <c r="BI597" s="1726"/>
      <c r="BJ597" s="1726"/>
      <c r="BK597" s="1726"/>
      <c r="BL597" s="1726"/>
      <c r="BM597" s="1726"/>
      <c r="BN597" s="1726"/>
      <c r="BO597" s="1726"/>
      <c r="BP597" s="1726"/>
      <c r="BQ597" s="1726"/>
      <c r="BR597" s="1726"/>
      <c r="BS597" s="1726"/>
      <c r="BT597" s="1726"/>
      <c r="BU597" s="1726"/>
      <c r="BV597" s="1726"/>
      <c r="BW597" s="1726"/>
      <c r="BX597" s="1726"/>
      <c r="BY597" s="1726"/>
      <c r="BZ597" s="1726"/>
      <c r="CA597" s="1726"/>
      <c r="CB597" s="1726"/>
      <c r="CC597" s="1726"/>
    </row>
    <row r="598" spans="4:81" s="334" customFormat="1" x14ac:dyDescent="0.25">
      <c r="D598" s="1804"/>
      <c r="E598" s="477"/>
      <c r="F598" s="343"/>
      <c r="G598" s="477"/>
      <c r="H598" s="343"/>
      <c r="I598" s="477"/>
      <c r="J598" s="343"/>
      <c r="K598" s="477"/>
      <c r="M598" s="477"/>
      <c r="O598" s="477"/>
      <c r="Q598" s="477"/>
      <c r="S598" s="477"/>
      <c r="U598" s="477"/>
      <c r="W598" s="477"/>
      <c r="Y598" s="477"/>
      <c r="AA598" s="477"/>
      <c r="AO598" s="3461"/>
      <c r="AP598" s="1741"/>
      <c r="BG598" s="1726"/>
      <c r="BH598" s="1726"/>
      <c r="BI598" s="1726"/>
      <c r="BJ598" s="1726"/>
      <c r="BK598" s="1726"/>
      <c r="BL598" s="1726"/>
      <c r="BM598" s="1726"/>
      <c r="BN598" s="1726"/>
      <c r="BO598" s="1726"/>
      <c r="BP598" s="1726"/>
      <c r="BQ598" s="1726"/>
      <c r="BR598" s="1726"/>
      <c r="BS598" s="1726"/>
      <c r="BT598" s="1726"/>
      <c r="BU598" s="1726"/>
      <c r="BV598" s="1726"/>
      <c r="BW598" s="1726"/>
      <c r="BX598" s="1726"/>
      <c r="BY598" s="1726"/>
      <c r="BZ598" s="1726"/>
      <c r="CA598" s="1726"/>
      <c r="CB598" s="1726"/>
      <c r="CC598" s="1726"/>
    </row>
    <row r="599" spans="4:81" s="334" customFormat="1" x14ac:dyDescent="0.25">
      <c r="D599" s="1804"/>
      <c r="E599" s="477"/>
      <c r="F599" s="343"/>
      <c r="G599" s="477"/>
      <c r="H599" s="343"/>
      <c r="I599" s="477"/>
      <c r="J599" s="343"/>
      <c r="K599" s="477"/>
      <c r="M599" s="477"/>
      <c r="O599" s="477"/>
      <c r="Q599" s="477"/>
      <c r="S599" s="477"/>
      <c r="U599" s="477"/>
      <c r="W599" s="477"/>
      <c r="Y599" s="477"/>
      <c r="AA599" s="477"/>
      <c r="AO599" s="3461"/>
      <c r="AP599" s="1741"/>
      <c r="BG599" s="1726"/>
      <c r="BH599" s="1726"/>
      <c r="BI599" s="1726"/>
      <c r="BJ599" s="1726"/>
      <c r="BK599" s="1726"/>
      <c r="BL599" s="1726"/>
      <c r="BM599" s="1726"/>
      <c r="BN599" s="1726"/>
      <c r="BO599" s="1726"/>
      <c r="BP599" s="1726"/>
      <c r="BQ599" s="1726"/>
      <c r="BR599" s="1726"/>
      <c r="BS599" s="1726"/>
      <c r="BT599" s="1726"/>
      <c r="BU599" s="1726"/>
      <c r="BV599" s="1726"/>
      <c r="BW599" s="1726"/>
      <c r="BX599" s="1726"/>
      <c r="BY599" s="1726"/>
      <c r="BZ599" s="1726"/>
      <c r="CA599" s="1726"/>
      <c r="CB599" s="1726"/>
      <c r="CC599" s="1726"/>
    </row>
    <row r="600" spans="4:81" s="334" customFormat="1" x14ac:dyDescent="0.25">
      <c r="D600" s="1804"/>
      <c r="E600" s="477"/>
      <c r="F600" s="343"/>
      <c r="G600" s="477"/>
      <c r="H600" s="343"/>
      <c r="I600" s="477"/>
      <c r="J600" s="343"/>
      <c r="K600" s="477"/>
      <c r="M600" s="477"/>
      <c r="O600" s="477"/>
      <c r="Q600" s="477"/>
      <c r="S600" s="477"/>
      <c r="U600" s="477"/>
      <c r="W600" s="477"/>
      <c r="Y600" s="477"/>
      <c r="AA600" s="477"/>
      <c r="AO600" s="3461"/>
      <c r="AP600" s="1741"/>
      <c r="BG600" s="1726"/>
      <c r="BH600" s="1726"/>
      <c r="BI600" s="1726"/>
      <c r="BJ600" s="1726"/>
      <c r="BK600" s="1726"/>
      <c r="BL600" s="1726"/>
      <c r="BM600" s="1726"/>
      <c r="BN600" s="1726"/>
      <c r="BO600" s="1726"/>
      <c r="BP600" s="1726"/>
      <c r="BQ600" s="1726"/>
      <c r="BR600" s="1726"/>
      <c r="BS600" s="1726"/>
      <c r="BT600" s="1726"/>
      <c r="BU600" s="1726"/>
      <c r="BV600" s="1726"/>
      <c r="BW600" s="1726"/>
      <c r="BX600" s="1726"/>
      <c r="BY600" s="1726"/>
      <c r="BZ600" s="1726"/>
      <c r="CA600" s="1726"/>
      <c r="CB600" s="1726"/>
      <c r="CC600" s="1726"/>
    </row>
    <row r="601" spans="4:81" s="334" customFormat="1" x14ac:dyDescent="0.25">
      <c r="D601" s="1804"/>
      <c r="E601" s="477"/>
      <c r="F601" s="343"/>
      <c r="G601" s="477"/>
      <c r="H601" s="343"/>
      <c r="I601" s="477"/>
      <c r="J601" s="343"/>
      <c r="K601" s="477"/>
      <c r="M601" s="477"/>
      <c r="O601" s="477"/>
      <c r="Q601" s="477"/>
      <c r="S601" s="477"/>
      <c r="U601" s="477"/>
      <c r="W601" s="477"/>
      <c r="Y601" s="477"/>
      <c r="AA601" s="477"/>
      <c r="AO601" s="3461"/>
      <c r="AP601" s="1741"/>
      <c r="BG601" s="1726"/>
      <c r="BH601" s="1726"/>
      <c r="BI601" s="1726"/>
      <c r="BJ601" s="1726"/>
      <c r="BK601" s="1726"/>
      <c r="BL601" s="1726"/>
      <c r="BM601" s="1726"/>
      <c r="BN601" s="1726"/>
      <c r="BO601" s="1726"/>
      <c r="BP601" s="1726"/>
      <c r="BQ601" s="1726"/>
      <c r="BR601" s="1726"/>
      <c r="BS601" s="1726"/>
      <c r="BT601" s="1726"/>
      <c r="BU601" s="1726"/>
      <c r="BV601" s="1726"/>
      <c r="BW601" s="1726"/>
      <c r="BX601" s="1726"/>
      <c r="BY601" s="1726"/>
      <c r="BZ601" s="1726"/>
      <c r="CA601" s="1726"/>
      <c r="CB601" s="1726"/>
      <c r="CC601" s="1726"/>
    </row>
    <row r="602" spans="4:81" s="334" customFormat="1" x14ac:dyDescent="0.25">
      <c r="D602" s="1804"/>
      <c r="E602" s="477"/>
      <c r="F602" s="343"/>
      <c r="G602" s="477"/>
      <c r="H602" s="343"/>
      <c r="I602" s="477"/>
      <c r="J602" s="343"/>
      <c r="K602" s="477"/>
      <c r="M602" s="477"/>
      <c r="O602" s="477"/>
      <c r="Q602" s="477"/>
      <c r="S602" s="477"/>
      <c r="U602" s="477"/>
      <c r="W602" s="477"/>
      <c r="Y602" s="477"/>
      <c r="AA602" s="477"/>
      <c r="AO602" s="3461"/>
      <c r="AP602" s="1741"/>
      <c r="BG602" s="1726"/>
      <c r="BH602" s="1726"/>
      <c r="BI602" s="1726"/>
      <c r="BJ602" s="1726"/>
      <c r="BK602" s="1726"/>
      <c r="BL602" s="1726"/>
      <c r="BM602" s="1726"/>
      <c r="BN602" s="1726"/>
      <c r="BO602" s="1726"/>
      <c r="BP602" s="1726"/>
      <c r="BQ602" s="1726"/>
      <c r="BR602" s="1726"/>
      <c r="BS602" s="1726"/>
      <c r="BT602" s="1726"/>
      <c r="BU602" s="1726"/>
      <c r="BV602" s="1726"/>
      <c r="BW602" s="1726"/>
      <c r="BX602" s="1726"/>
      <c r="BY602" s="1726"/>
      <c r="BZ602" s="1726"/>
      <c r="CA602" s="1726"/>
      <c r="CB602" s="1726"/>
      <c r="CC602" s="1726"/>
    </row>
    <row r="603" spans="4:81" s="334" customFormat="1" x14ac:dyDescent="0.25">
      <c r="D603" s="1804"/>
      <c r="E603" s="477"/>
      <c r="F603" s="343"/>
      <c r="G603" s="477"/>
      <c r="H603" s="343"/>
      <c r="I603" s="477"/>
      <c r="J603" s="343"/>
      <c r="K603" s="477"/>
      <c r="M603" s="477"/>
      <c r="O603" s="477"/>
      <c r="Q603" s="477"/>
      <c r="S603" s="477"/>
      <c r="U603" s="477"/>
      <c r="W603" s="477"/>
      <c r="Y603" s="477"/>
      <c r="AA603" s="477"/>
      <c r="AO603" s="3461"/>
      <c r="AP603" s="1741"/>
      <c r="BG603" s="1726"/>
      <c r="BH603" s="1726"/>
      <c r="BI603" s="1726"/>
      <c r="BJ603" s="1726"/>
      <c r="BK603" s="1726"/>
      <c r="BL603" s="1726"/>
      <c r="BM603" s="1726"/>
      <c r="BN603" s="1726"/>
      <c r="BO603" s="1726"/>
      <c r="BP603" s="1726"/>
      <c r="BQ603" s="1726"/>
      <c r="BR603" s="1726"/>
      <c r="BS603" s="1726"/>
      <c r="BT603" s="1726"/>
      <c r="BU603" s="1726"/>
      <c r="BV603" s="1726"/>
      <c r="BW603" s="1726"/>
      <c r="BX603" s="1726"/>
      <c r="BY603" s="1726"/>
      <c r="BZ603" s="1726"/>
      <c r="CA603" s="1726"/>
      <c r="CB603" s="1726"/>
      <c r="CC603" s="1726"/>
    </row>
    <row r="604" spans="4:81" s="334" customFormat="1" x14ac:dyDescent="0.25">
      <c r="D604" s="1804"/>
      <c r="E604" s="477"/>
      <c r="F604" s="343"/>
      <c r="G604" s="477"/>
      <c r="H604" s="343"/>
      <c r="I604" s="477"/>
      <c r="J604" s="343"/>
      <c r="K604" s="477"/>
      <c r="M604" s="477"/>
      <c r="O604" s="477"/>
      <c r="Q604" s="477"/>
      <c r="S604" s="477"/>
      <c r="U604" s="477"/>
      <c r="W604" s="477"/>
      <c r="Y604" s="477"/>
      <c r="AA604" s="477"/>
      <c r="AO604" s="3461"/>
      <c r="AP604" s="1741"/>
      <c r="BG604" s="1726"/>
      <c r="BH604" s="1726"/>
      <c r="BI604" s="1726"/>
      <c r="BJ604" s="1726"/>
      <c r="BK604" s="1726"/>
      <c r="BL604" s="1726"/>
      <c r="BM604" s="1726"/>
      <c r="BN604" s="1726"/>
      <c r="BO604" s="1726"/>
      <c r="BP604" s="1726"/>
      <c r="BQ604" s="1726"/>
      <c r="BR604" s="1726"/>
      <c r="BS604" s="1726"/>
      <c r="BT604" s="1726"/>
      <c r="BU604" s="1726"/>
      <c r="BV604" s="1726"/>
      <c r="BW604" s="1726"/>
      <c r="BX604" s="1726"/>
      <c r="BY604" s="1726"/>
      <c r="BZ604" s="1726"/>
      <c r="CA604" s="1726"/>
      <c r="CB604" s="1726"/>
      <c r="CC604" s="1726"/>
    </row>
    <row r="605" spans="4:81" s="334" customFormat="1" x14ac:dyDescent="0.25">
      <c r="D605" s="1804"/>
      <c r="E605" s="477"/>
      <c r="F605" s="343"/>
      <c r="G605" s="477"/>
      <c r="H605" s="343"/>
      <c r="I605" s="477"/>
      <c r="J605" s="343"/>
      <c r="K605" s="477"/>
      <c r="M605" s="477"/>
      <c r="O605" s="477"/>
      <c r="Q605" s="477"/>
      <c r="S605" s="477"/>
      <c r="U605" s="477"/>
      <c r="W605" s="477"/>
      <c r="Y605" s="477"/>
      <c r="AA605" s="477"/>
      <c r="BG605" s="1726"/>
      <c r="BH605" s="1726"/>
      <c r="BI605" s="1726"/>
      <c r="BJ605" s="1726"/>
      <c r="BK605" s="1726"/>
      <c r="BL605" s="1726"/>
      <c r="BM605" s="1726"/>
      <c r="BN605" s="1726"/>
      <c r="BO605" s="1726"/>
      <c r="BP605" s="1726"/>
      <c r="BQ605" s="1726"/>
      <c r="BR605" s="1726"/>
      <c r="BS605" s="1726"/>
      <c r="BT605" s="1726"/>
      <c r="BU605" s="1726"/>
      <c r="BV605" s="1726"/>
      <c r="BW605" s="1726"/>
      <c r="BX605" s="1726"/>
      <c r="BY605" s="1726"/>
      <c r="BZ605" s="1726"/>
      <c r="CA605" s="1726"/>
      <c r="CB605" s="1726"/>
      <c r="CC605" s="1726"/>
    </row>
    <row r="606" spans="4:81" s="334" customFormat="1" x14ac:dyDescent="0.25">
      <c r="D606" s="1804"/>
      <c r="E606" s="477"/>
      <c r="F606" s="343"/>
      <c r="G606" s="477"/>
      <c r="H606" s="343"/>
      <c r="I606" s="477"/>
      <c r="J606" s="343"/>
      <c r="K606" s="477"/>
      <c r="M606" s="477"/>
      <c r="O606" s="477"/>
      <c r="Q606" s="477"/>
      <c r="S606" s="477"/>
      <c r="U606" s="477"/>
      <c r="W606" s="477"/>
      <c r="Y606" s="477"/>
      <c r="AA606" s="477"/>
      <c r="BG606" s="1726"/>
      <c r="BH606" s="1726"/>
      <c r="BI606" s="1726"/>
      <c r="BJ606" s="1726"/>
      <c r="BK606" s="1726"/>
      <c r="BL606" s="1726"/>
      <c r="BM606" s="1726"/>
      <c r="BN606" s="1726"/>
      <c r="BO606" s="1726"/>
      <c r="BP606" s="1726"/>
      <c r="BQ606" s="1726"/>
      <c r="BR606" s="1726"/>
      <c r="BS606" s="1726"/>
      <c r="BT606" s="1726"/>
      <c r="BU606" s="1726"/>
      <c r="BV606" s="1726"/>
      <c r="BW606" s="1726"/>
      <c r="BX606" s="1726"/>
      <c r="BY606" s="1726"/>
      <c r="BZ606" s="1726"/>
      <c r="CA606" s="1726"/>
      <c r="CB606" s="1726"/>
      <c r="CC606" s="1726"/>
    </row>
    <row r="607" spans="4:81" s="334" customFormat="1" x14ac:dyDescent="0.25">
      <c r="D607" s="1804"/>
      <c r="E607" s="477"/>
      <c r="F607" s="343"/>
      <c r="G607" s="477"/>
      <c r="H607" s="343"/>
      <c r="I607" s="477"/>
      <c r="J607" s="343"/>
      <c r="K607" s="477"/>
      <c r="M607" s="477"/>
      <c r="O607" s="477"/>
      <c r="Q607" s="477"/>
      <c r="S607" s="477"/>
      <c r="U607" s="477"/>
      <c r="W607" s="477"/>
      <c r="Y607" s="477"/>
      <c r="AA607" s="477"/>
      <c r="BG607" s="1726"/>
      <c r="BH607" s="1726"/>
      <c r="BI607" s="1726"/>
      <c r="BJ607" s="1726"/>
      <c r="BK607" s="1726"/>
      <c r="BL607" s="1726"/>
      <c r="BM607" s="1726"/>
      <c r="BN607" s="1726"/>
      <c r="BO607" s="1726"/>
      <c r="BP607" s="1726"/>
      <c r="BQ607" s="1726"/>
      <c r="BR607" s="1726"/>
      <c r="BS607" s="1726"/>
      <c r="BT607" s="1726"/>
      <c r="BU607" s="1726"/>
      <c r="BV607" s="1726"/>
      <c r="BW607" s="1726"/>
      <c r="BX607" s="1726"/>
      <c r="BY607" s="1726"/>
      <c r="BZ607" s="1726"/>
      <c r="CA607" s="1726"/>
      <c r="CB607" s="1726"/>
      <c r="CC607" s="1726"/>
    </row>
    <row r="608" spans="4:81" s="334" customFormat="1" x14ac:dyDescent="0.25">
      <c r="D608" s="1804"/>
      <c r="E608" s="477"/>
      <c r="F608" s="343"/>
      <c r="G608" s="477"/>
      <c r="H608" s="343"/>
      <c r="I608" s="477"/>
      <c r="J608" s="343"/>
      <c r="K608" s="477"/>
      <c r="M608" s="477"/>
      <c r="O608" s="477"/>
      <c r="Q608" s="477"/>
      <c r="S608" s="477"/>
      <c r="U608" s="477"/>
      <c r="W608" s="477"/>
      <c r="Y608" s="477"/>
      <c r="AA608" s="477"/>
      <c r="BG608" s="1726"/>
      <c r="BH608" s="1726"/>
      <c r="BI608" s="1726"/>
      <c r="BJ608" s="1726"/>
      <c r="BK608" s="1726"/>
      <c r="BL608" s="1726"/>
      <c r="BM608" s="1726"/>
      <c r="BN608" s="1726"/>
      <c r="BO608" s="1726"/>
      <c r="BP608" s="1726"/>
      <c r="BQ608" s="1726"/>
      <c r="BR608" s="1726"/>
      <c r="BS608" s="1726"/>
      <c r="BT608" s="1726"/>
      <c r="BU608" s="1726"/>
      <c r="BV608" s="1726"/>
      <c r="BW608" s="1726"/>
      <c r="BX608" s="1726"/>
      <c r="BY608" s="1726"/>
      <c r="BZ608" s="1726"/>
      <c r="CA608" s="1726"/>
      <c r="CB608" s="1726"/>
      <c r="CC608" s="1726"/>
    </row>
    <row r="609" spans="4:81" s="334" customFormat="1" x14ac:dyDescent="0.25">
      <c r="D609" s="1804"/>
      <c r="E609" s="477"/>
      <c r="F609" s="343"/>
      <c r="G609" s="477"/>
      <c r="H609" s="343"/>
      <c r="I609" s="477"/>
      <c r="J609" s="343"/>
      <c r="K609" s="477"/>
      <c r="M609" s="477"/>
      <c r="O609" s="477"/>
      <c r="Q609" s="477"/>
      <c r="S609" s="477"/>
      <c r="U609" s="477"/>
      <c r="W609" s="477"/>
      <c r="Y609" s="477"/>
      <c r="AA609" s="477"/>
      <c r="BG609" s="1726"/>
      <c r="BH609" s="1726"/>
      <c r="BI609" s="1726"/>
      <c r="BJ609" s="1726"/>
      <c r="BK609" s="1726"/>
      <c r="BL609" s="1726"/>
      <c r="BM609" s="1726"/>
      <c r="BN609" s="1726"/>
      <c r="BO609" s="1726"/>
      <c r="BP609" s="1726"/>
      <c r="BQ609" s="1726"/>
      <c r="BR609" s="1726"/>
      <c r="BS609" s="1726"/>
      <c r="BT609" s="1726"/>
      <c r="BU609" s="1726"/>
      <c r="BV609" s="1726"/>
      <c r="BW609" s="1726"/>
      <c r="BX609" s="1726"/>
      <c r="BY609" s="1726"/>
      <c r="BZ609" s="1726"/>
      <c r="CA609" s="1726"/>
      <c r="CB609" s="1726"/>
      <c r="CC609" s="1726"/>
    </row>
    <row r="610" spans="4:81" s="334" customFormat="1" x14ac:dyDescent="0.25">
      <c r="D610" s="1804"/>
      <c r="E610" s="477"/>
      <c r="F610" s="343"/>
      <c r="G610" s="477"/>
      <c r="H610" s="343"/>
      <c r="I610" s="477"/>
      <c r="J610" s="343"/>
      <c r="K610" s="477"/>
      <c r="M610" s="477"/>
      <c r="O610" s="477"/>
      <c r="Q610" s="477"/>
      <c r="S610" s="477"/>
      <c r="U610" s="477"/>
      <c r="W610" s="477"/>
      <c r="Y610" s="477"/>
      <c r="AA610" s="477"/>
      <c r="BG610" s="1726"/>
      <c r="BH610" s="1726"/>
      <c r="BI610" s="1726"/>
      <c r="BJ610" s="1726"/>
      <c r="BK610" s="1726"/>
      <c r="BL610" s="1726"/>
      <c r="BM610" s="1726"/>
      <c r="BN610" s="1726"/>
      <c r="BO610" s="1726"/>
      <c r="BP610" s="1726"/>
      <c r="BQ610" s="1726"/>
      <c r="BR610" s="1726"/>
      <c r="BS610" s="1726"/>
      <c r="BT610" s="1726"/>
      <c r="BU610" s="1726"/>
      <c r="BV610" s="1726"/>
      <c r="BW610" s="1726"/>
      <c r="BX610" s="1726"/>
      <c r="BY610" s="1726"/>
      <c r="BZ610" s="1726"/>
      <c r="CA610" s="1726"/>
      <c r="CB610" s="1726"/>
      <c r="CC610" s="1726"/>
    </row>
    <row r="611" spans="4:81" s="334" customFormat="1" x14ac:dyDescent="0.25">
      <c r="D611" s="1804"/>
      <c r="E611" s="477"/>
      <c r="F611" s="343"/>
      <c r="G611" s="477"/>
      <c r="H611" s="343"/>
      <c r="I611" s="477"/>
      <c r="J611" s="343"/>
      <c r="K611" s="477"/>
      <c r="M611" s="477"/>
      <c r="O611" s="477"/>
      <c r="Q611" s="477"/>
      <c r="S611" s="477"/>
      <c r="U611" s="477"/>
      <c r="W611" s="477"/>
      <c r="Y611" s="477"/>
      <c r="AA611" s="477"/>
      <c r="BG611" s="1726"/>
      <c r="BH611" s="1726"/>
      <c r="BI611" s="1726"/>
      <c r="BJ611" s="1726"/>
      <c r="BK611" s="1726"/>
      <c r="BL611" s="1726"/>
      <c r="BM611" s="1726"/>
      <c r="BN611" s="1726"/>
      <c r="BO611" s="1726"/>
      <c r="BP611" s="1726"/>
      <c r="BQ611" s="1726"/>
      <c r="BR611" s="1726"/>
      <c r="BS611" s="1726"/>
      <c r="BT611" s="1726"/>
      <c r="BU611" s="1726"/>
      <c r="BV611" s="1726"/>
      <c r="BW611" s="1726"/>
      <c r="BX611" s="1726"/>
      <c r="BY611" s="1726"/>
      <c r="BZ611" s="1726"/>
      <c r="CA611" s="1726"/>
      <c r="CB611" s="1726"/>
      <c r="CC611" s="1726"/>
    </row>
    <row r="612" spans="4:81" s="334" customFormat="1" x14ac:dyDescent="0.25">
      <c r="D612" s="1804"/>
      <c r="E612" s="477"/>
      <c r="F612" s="343"/>
      <c r="G612" s="477"/>
      <c r="H612" s="343"/>
      <c r="I612" s="477"/>
      <c r="J612" s="343"/>
      <c r="K612" s="477"/>
      <c r="M612" s="477"/>
      <c r="O612" s="477"/>
      <c r="Q612" s="477"/>
      <c r="S612" s="477"/>
      <c r="U612" s="477"/>
      <c r="W612" s="477"/>
      <c r="Y612" s="477"/>
      <c r="AA612" s="477"/>
      <c r="BG612" s="1726"/>
      <c r="BH612" s="1726"/>
      <c r="BI612" s="1726"/>
      <c r="BJ612" s="1726"/>
      <c r="BK612" s="1726"/>
      <c r="BL612" s="1726"/>
      <c r="BM612" s="1726"/>
      <c r="BN612" s="1726"/>
      <c r="BO612" s="1726"/>
      <c r="BP612" s="1726"/>
      <c r="BQ612" s="1726"/>
      <c r="BR612" s="1726"/>
      <c r="BS612" s="1726"/>
      <c r="BT612" s="1726"/>
      <c r="BU612" s="1726"/>
      <c r="BV612" s="1726"/>
      <c r="BW612" s="1726"/>
      <c r="BX612" s="1726"/>
      <c r="BY612" s="1726"/>
      <c r="BZ612" s="1726"/>
      <c r="CA612" s="1726"/>
      <c r="CB612" s="1726"/>
      <c r="CC612" s="1726"/>
    </row>
    <row r="613" spans="4:81" s="334" customFormat="1" x14ac:dyDescent="0.25">
      <c r="D613" s="1804"/>
      <c r="E613" s="477"/>
      <c r="F613" s="343"/>
      <c r="G613" s="477"/>
      <c r="H613" s="343"/>
      <c r="I613" s="477"/>
      <c r="J613" s="343"/>
      <c r="K613" s="477"/>
      <c r="M613" s="477"/>
      <c r="O613" s="477"/>
      <c r="Q613" s="477"/>
      <c r="S613" s="477"/>
      <c r="U613" s="477"/>
      <c r="W613" s="477"/>
      <c r="Y613" s="477"/>
      <c r="AA613" s="477"/>
      <c r="BG613" s="1726"/>
      <c r="BH613" s="1726"/>
      <c r="BI613" s="1726"/>
      <c r="BJ613" s="1726"/>
      <c r="BK613" s="1726"/>
      <c r="BL613" s="1726"/>
      <c r="BM613" s="1726"/>
      <c r="BN613" s="1726"/>
      <c r="BO613" s="1726"/>
      <c r="BP613" s="1726"/>
      <c r="BQ613" s="1726"/>
      <c r="BR613" s="1726"/>
      <c r="BS613" s="1726"/>
      <c r="BT613" s="1726"/>
      <c r="BU613" s="1726"/>
      <c r="BV613" s="1726"/>
      <c r="BW613" s="1726"/>
      <c r="BX613" s="1726"/>
      <c r="BY613" s="1726"/>
      <c r="BZ613" s="1726"/>
      <c r="CA613" s="1726"/>
      <c r="CB613" s="1726"/>
      <c r="CC613" s="1726"/>
    </row>
    <row r="614" spans="4:81" s="334" customFormat="1" x14ac:dyDescent="0.25">
      <c r="D614" s="1804"/>
      <c r="E614" s="477"/>
      <c r="F614" s="343"/>
      <c r="G614" s="477"/>
      <c r="H614" s="343"/>
      <c r="I614" s="477"/>
      <c r="J614" s="343"/>
      <c r="K614" s="477"/>
      <c r="M614" s="477"/>
      <c r="O614" s="477"/>
      <c r="Q614" s="477"/>
      <c r="S614" s="477"/>
      <c r="U614" s="477"/>
      <c r="W614" s="477"/>
      <c r="Y614" s="477"/>
      <c r="AA614" s="477"/>
      <c r="BG614" s="1726"/>
      <c r="BH614" s="1726"/>
      <c r="BI614" s="1726"/>
      <c r="BJ614" s="1726"/>
      <c r="BK614" s="1726"/>
      <c r="BL614" s="1726"/>
      <c r="BM614" s="1726"/>
      <c r="BN614" s="1726"/>
      <c r="BO614" s="1726"/>
      <c r="BP614" s="1726"/>
      <c r="BQ614" s="1726"/>
      <c r="BR614" s="1726"/>
      <c r="BS614" s="1726"/>
      <c r="BT614" s="1726"/>
      <c r="BU614" s="1726"/>
      <c r="BV614" s="1726"/>
      <c r="BW614" s="1726"/>
      <c r="BX614" s="1726"/>
      <c r="BY614" s="1726"/>
      <c r="BZ614" s="1726"/>
      <c r="CA614" s="1726"/>
      <c r="CB614" s="1726"/>
      <c r="CC614" s="1726"/>
    </row>
    <row r="615" spans="4:81" s="334" customFormat="1" x14ac:dyDescent="0.25">
      <c r="D615" s="1804"/>
      <c r="E615" s="477"/>
      <c r="F615" s="343"/>
      <c r="G615" s="477"/>
      <c r="H615" s="343"/>
      <c r="I615" s="477"/>
      <c r="J615" s="343"/>
      <c r="K615" s="477"/>
      <c r="M615" s="477"/>
      <c r="O615" s="477"/>
      <c r="Q615" s="477"/>
      <c r="S615" s="477"/>
      <c r="U615" s="477"/>
      <c r="W615" s="477"/>
      <c r="Y615" s="477"/>
      <c r="AA615" s="477"/>
      <c r="BG615" s="1726"/>
      <c r="BH615" s="1726"/>
      <c r="BI615" s="1726"/>
      <c r="BJ615" s="1726"/>
      <c r="BK615" s="1726"/>
      <c r="BL615" s="1726"/>
      <c r="BM615" s="1726"/>
      <c r="BN615" s="1726"/>
      <c r="BO615" s="1726"/>
      <c r="BP615" s="1726"/>
      <c r="BQ615" s="1726"/>
      <c r="BR615" s="1726"/>
      <c r="BS615" s="1726"/>
      <c r="BT615" s="1726"/>
      <c r="BU615" s="1726"/>
      <c r="BV615" s="1726"/>
      <c r="BW615" s="1726"/>
      <c r="BX615" s="1726"/>
      <c r="BY615" s="1726"/>
      <c r="BZ615" s="1726"/>
      <c r="CA615" s="1726"/>
      <c r="CB615" s="1726"/>
      <c r="CC615" s="1726"/>
    </row>
    <row r="616" spans="4:81" s="334" customFormat="1" x14ac:dyDescent="0.25">
      <c r="D616" s="1804"/>
      <c r="E616" s="477"/>
      <c r="F616" s="343"/>
      <c r="G616" s="477"/>
      <c r="H616" s="343"/>
      <c r="I616" s="477"/>
      <c r="J616" s="343"/>
      <c r="K616" s="477"/>
      <c r="M616" s="477"/>
      <c r="O616" s="477"/>
      <c r="Q616" s="477"/>
      <c r="S616" s="477"/>
      <c r="U616" s="477"/>
      <c r="W616" s="477"/>
      <c r="Y616" s="477"/>
      <c r="AA616" s="477"/>
      <c r="BG616" s="1726"/>
      <c r="BH616" s="1726"/>
      <c r="BI616" s="1726"/>
      <c r="BJ616" s="1726"/>
      <c r="BK616" s="1726"/>
      <c r="BL616" s="1726"/>
      <c r="BM616" s="1726"/>
      <c r="BN616" s="1726"/>
      <c r="BO616" s="1726"/>
      <c r="BP616" s="1726"/>
      <c r="BQ616" s="1726"/>
      <c r="BR616" s="1726"/>
      <c r="BS616" s="1726"/>
      <c r="BT616" s="1726"/>
      <c r="BU616" s="1726"/>
      <c r="BV616" s="1726"/>
      <c r="BW616" s="1726"/>
      <c r="BX616" s="1726"/>
      <c r="BY616" s="1726"/>
      <c r="BZ616" s="1726"/>
      <c r="CA616" s="1726"/>
      <c r="CB616" s="1726"/>
      <c r="CC616" s="1726"/>
    </row>
    <row r="617" spans="4:81" s="334" customFormat="1" x14ac:dyDescent="0.25">
      <c r="D617" s="1804"/>
      <c r="E617" s="477"/>
      <c r="F617" s="343"/>
      <c r="G617" s="477"/>
      <c r="H617" s="343"/>
      <c r="I617" s="477"/>
      <c r="J617" s="343"/>
      <c r="K617" s="477"/>
      <c r="M617" s="477"/>
      <c r="O617" s="477"/>
      <c r="Q617" s="477"/>
      <c r="S617" s="477"/>
      <c r="U617" s="477"/>
      <c r="W617" s="477"/>
      <c r="Y617" s="477"/>
      <c r="AA617" s="477"/>
      <c r="BG617" s="1726"/>
      <c r="BH617" s="1726"/>
      <c r="BI617" s="1726"/>
      <c r="BJ617" s="1726"/>
      <c r="BK617" s="1726"/>
      <c r="BL617" s="1726"/>
      <c r="BM617" s="1726"/>
      <c r="BN617" s="1726"/>
      <c r="BO617" s="1726"/>
      <c r="BP617" s="1726"/>
      <c r="BQ617" s="1726"/>
      <c r="BR617" s="1726"/>
      <c r="BS617" s="1726"/>
      <c r="BT617" s="1726"/>
      <c r="BU617" s="1726"/>
      <c r="BV617" s="1726"/>
      <c r="BW617" s="1726"/>
      <c r="BX617" s="1726"/>
      <c r="BY617" s="1726"/>
      <c r="BZ617" s="1726"/>
      <c r="CA617" s="1726"/>
      <c r="CB617" s="1726"/>
      <c r="CC617" s="1726"/>
    </row>
    <row r="618" spans="4:81" s="334" customFormat="1" x14ac:dyDescent="0.25">
      <c r="D618" s="1804"/>
      <c r="E618" s="477"/>
      <c r="F618" s="343"/>
      <c r="G618" s="477"/>
      <c r="H618" s="343"/>
      <c r="I618" s="477"/>
      <c r="J618" s="343"/>
      <c r="K618" s="477"/>
      <c r="M618" s="477"/>
      <c r="O618" s="477"/>
      <c r="Q618" s="477"/>
      <c r="S618" s="477"/>
      <c r="U618" s="477"/>
      <c r="W618" s="477"/>
      <c r="Y618" s="477"/>
      <c r="AA618" s="477"/>
      <c r="BG618" s="1726"/>
      <c r="BH618" s="1726"/>
      <c r="BI618" s="1726"/>
      <c r="BJ618" s="1726"/>
      <c r="BK618" s="1726"/>
      <c r="BL618" s="1726"/>
      <c r="BM618" s="1726"/>
      <c r="BN618" s="1726"/>
      <c r="BO618" s="1726"/>
      <c r="BP618" s="1726"/>
      <c r="BQ618" s="1726"/>
      <c r="BR618" s="1726"/>
      <c r="BS618" s="1726"/>
      <c r="BT618" s="1726"/>
      <c r="BU618" s="1726"/>
      <c r="BV618" s="1726"/>
      <c r="BW618" s="1726"/>
      <c r="BX618" s="1726"/>
      <c r="BY618" s="1726"/>
      <c r="BZ618" s="1726"/>
      <c r="CA618" s="1726"/>
      <c r="CB618" s="1726"/>
      <c r="CC618" s="1726"/>
    </row>
    <row r="619" spans="4:81" s="334" customFormat="1" x14ac:dyDescent="0.25">
      <c r="D619" s="1804"/>
      <c r="E619" s="477"/>
      <c r="F619" s="343"/>
      <c r="G619" s="477"/>
      <c r="H619" s="343"/>
      <c r="I619" s="477"/>
      <c r="J619" s="343"/>
      <c r="K619" s="477"/>
      <c r="M619" s="477"/>
      <c r="O619" s="477"/>
      <c r="Q619" s="477"/>
      <c r="S619" s="477"/>
      <c r="U619" s="477"/>
      <c r="W619" s="477"/>
      <c r="Y619" s="477"/>
      <c r="AA619" s="477"/>
      <c r="BG619" s="1726"/>
      <c r="BH619" s="1726"/>
      <c r="BI619" s="1726"/>
      <c r="BJ619" s="1726"/>
      <c r="BK619" s="1726"/>
      <c r="BL619" s="1726"/>
      <c r="BM619" s="1726"/>
      <c r="BN619" s="1726"/>
      <c r="BO619" s="1726"/>
      <c r="BP619" s="1726"/>
      <c r="BQ619" s="1726"/>
      <c r="BR619" s="1726"/>
      <c r="BS619" s="1726"/>
      <c r="BT619" s="1726"/>
      <c r="BU619" s="1726"/>
      <c r="BV619" s="1726"/>
      <c r="BW619" s="1726"/>
      <c r="BX619" s="1726"/>
      <c r="BY619" s="1726"/>
      <c r="BZ619" s="1726"/>
      <c r="CA619" s="1726"/>
      <c r="CB619" s="1726"/>
      <c r="CC619" s="1726"/>
    </row>
    <row r="620" spans="4:81" s="334" customFormat="1" x14ac:dyDescent="0.25">
      <c r="D620" s="1804"/>
      <c r="E620" s="477"/>
      <c r="F620" s="343"/>
      <c r="G620" s="477"/>
      <c r="H620" s="343"/>
      <c r="I620" s="477"/>
      <c r="J620" s="343"/>
      <c r="K620" s="477"/>
      <c r="M620" s="477"/>
      <c r="O620" s="477"/>
      <c r="Q620" s="477"/>
      <c r="S620" s="477"/>
      <c r="U620" s="477"/>
      <c r="W620" s="477"/>
      <c r="Y620" s="477"/>
      <c r="AA620" s="477"/>
      <c r="BG620" s="1726"/>
      <c r="BH620" s="1726"/>
      <c r="BI620" s="1726"/>
      <c r="BJ620" s="1726"/>
      <c r="BK620" s="1726"/>
      <c r="BL620" s="1726"/>
      <c r="BM620" s="1726"/>
      <c r="BN620" s="1726"/>
      <c r="BO620" s="1726"/>
      <c r="BP620" s="1726"/>
      <c r="BQ620" s="1726"/>
      <c r="BR620" s="1726"/>
      <c r="BS620" s="1726"/>
      <c r="BT620" s="1726"/>
      <c r="BU620" s="1726"/>
      <c r="BV620" s="1726"/>
      <c r="BW620" s="1726"/>
      <c r="BX620" s="1726"/>
      <c r="BY620" s="1726"/>
      <c r="BZ620" s="1726"/>
      <c r="CA620" s="1726"/>
      <c r="CB620" s="1726"/>
      <c r="CC620" s="1726"/>
    </row>
    <row r="621" spans="4:81" s="334" customFormat="1" x14ac:dyDescent="0.25">
      <c r="D621" s="1804"/>
      <c r="E621" s="477"/>
      <c r="F621" s="343"/>
      <c r="G621" s="477"/>
      <c r="H621" s="343"/>
      <c r="I621" s="477"/>
      <c r="J621" s="343"/>
      <c r="K621" s="477"/>
      <c r="M621" s="477"/>
      <c r="O621" s="477"/>
      <c r="Q621" s="477"/>
      <c r="S621" s="477"/>
      <c r="U621" s="477"/>
      <c r="W621" s="477"/>
      <c r="Y621" s="477"/>
      <c r="AA621" s="477"/>
      <c r="BG621" s="1726"/>
      <c r="BH621" s="1726"/>
      <c r="BI621" s="1726"/>
      <c r="BJ621" s="1726"/>
      <c r="BK621" s="1726"/>
      <c r="BL621" s="1726"/>
      <c r="BM621" s="1726"/>
      <c r="BN621" s="1726"/>
      <c r="BO621" s="1726"/>
      <c r="BP621" s="1726"/>
      <c r="BQ621" s="1726"/>
      <c r="BR621" s="1726"/>
      <c r="BS621" s="1726"/>
      <c r="BT621" s="1726"/>
      <c r="BU621" s="1726"/>
      <c r="BV621" s="1726"/>
      <c r="BW621" s="1726"/>
      <c r="BX621" s="1726"/>
      <c r="BY621" s="1726"/>
      <c r="BZ621" s="1726"/>
      <c r="CA621" s="1726"/>
      <c r="CB621" s="1726"/>
      <c r="CC621" s="1726"/>
    </row>
    <row r="622" spans="4:81" s="334" customFormat="1" x14ac:dyDescent="0.25">
      <c r="D622" s="1804"/>
      <c r="E622" s="477"/>
      <c r="F622" s="343"/>
      <c r="G622" s="477"/>
      <c r="H622" s="343"/>
      <c r="I622" s="477"/>
      <c r="J622" s="343"/>
      <c r="K622" s="477"/>
      <c r="M622" s="477"/>
      <c r="O622" s="477"/>
      <c r="Q622" s="477"/>
      <c r="S622" s="477"/>
      <c r="U622" s="477"/>
      <c r="W622" s="477"/>
      <c r="Y622" s="477"/>
      <c r="AA622" s="477"/>
      <c r="BG622" s="1726"/>
      <c r="BH622" s="1726"/>
      <c r="BI622" s="1726"/>
      <c r="BJ622" s="1726"/>
      <c r="BK622" s="1726"/>
      <c r="BL622" s="1726"/>
      <c r="BM622" s="1726"/>
      <c r="BN622" s="1726"/>
      <c r="BO622" s="1726"/>
      <c r="BP622" s="1726"/>
      <c r="BQ622" s="1726"/>
      <c r="BR622" s="1726"/>
      <c r="BS622" s="1726"/>
      <c r="BT622" s="1726"/>
      <c r="BU622" s="1726"/>
      <c r="BV622" s="1726"/>
      <c r="BW622" s="1726"/>
      <c r="BX622" s="1726"/>
      <c r="BY622" s="1726"/>
      <c r="BZ622" s="1726"/>
      <c r="CA622" s="1726"/>
      <c r="CB622" s="1726"/>
      <c r="CC622" s="1726"/>
    </row>
    <row r="623" spans="4:81" s="334" customFormat="1" x14ac:dyDescent="0.25">
      <c r="D623" s="1804"/>
      <c r="E623" s="477"/>
      <c r="F623" s="343"/>
      <c r="G623" s="477"/>
      <c r="H623" s="343"/>
      <c r="I623" s="477"/>
      <c r="J623" s="343"/>
      <c r="K623" s="477"/>
      <c r="M623" s="477"/>
      <c r="O623" s="477"/>
      <c r="Q623" s="477"/>
      <c r="S623" s="477"/>
      <c r="U623" s="477"/>
      <c r="W623" s="477"/>
      <c r="Y623" s="477"/>
      <c r="AA623" s="477"/>
      <c r="BG623" s="1726"/>
      <c r="BH623" s="1726"/>
      <c r="BI623" s="1726"/>
      <c r="BJ623" s="1726"/>
      <c r="BK623" s="1726"/>
      <c r="BL623" s="1726"/>
      <c r="BM623" s="1726"/>
      <c r="BN623" s="1726"/>
      <c r="BO623" s="1726"/>
      <c r="BP623" s="1726"/>
      <c r="BQ623" s="1726"/>
      <c r="BR623" s="1726"/>
      <c r="BS623" s="1726"/>
      <c r="BT623" s="1726"/>
      <c r="BU623" s="1726"/>
      <c r="BV623" s="1726"/>
      <c r="BW623" s="1726"/>
      <c r="BX623" s="1726"/>
      <c r="BY623" s="1726"/>
      <c r="BZ623" s="1726"/>
      <c r="CA623" s="1726"/>
      <c r="CB623" s="1726"/>
      <c r="CC623" s="1726"/>
    </row>
    <row r="624" spans="4:81" s="334" customFormat="1" x14ac:dyDescent="0.25">
      <c r="D624" s="1804"/>
      <c r="E624" s="477"/>
      <c r="F624" s="343"/>
      <c r="G624" s="477"/>
      <c r="H624" s="343"/>
      <c r="I624" s="477"/>
      <c r="J624" s="343"/>
      <c r="K624" s="477"/>
      <c r="M624" s="477"/>
      <c r="O624" s="477"/>
      <c r="Q624" s="477"/>
      <c r="S624" s="477"/>
      <c r="U624" s="477"/>
      <c r="W624" s="477"/>
      <c r="Y624" s="477"/>
      <c r="AA624" s="477"/>
      <c r="BG624" s="1726"/>
      <c r="BH624" s="1726"/>
      <c r="BI624" s="1726"/>
      <c r="BJ624" s="1726"/>
      <c r="BK624" s="1726"/>
      <c r="BL624" s="1726"/>
      <c r="BM624" s="1726"/>
      <c r="BN624" s="1726"/>
      <c r="BO624" s="1726"/>
      <c r="BP624" s="1726"/>
      <c r="BQ624" s="1726"/>
      <c r="BR624" s="1726"/>
      <c r="BS624" s="1726"/>
      <c r="BT624" s="1726"/>
      <c r="BU624" s="1726"/>
      <c r="BV624" s="1726"/>
      <c r="BW624" s="1726"/>
      <c r="BX624" s="1726"/>
      <c r="BY624" s="1726"/>
      <c r="BZ624" s="1726"/>
      <c r="CA624" s="1726"/>
      <c r="CB624" s="1726"/>
      <c r="CC624" s="1726"/>
    </row>
    <row r="625" spans="4:81" s="334" customFormat="1" x14ac:dyDescent="0.25">
      <c r="D625" s="1804"/>
      <c r="E625" s="477"/>
      <c r="F625" s="343"/>
      <c r="G625" s="477"/>
      <c r="H625" s="343"/>
      <c r="I625" s="477"/>
      <c r="J625" s="343"/>
      <c r="K625" s="477"/>
      <c r="M625" s="477"/>
      <c r="O625" s="477"/>
      <c r="Q625" s="477"/>
      <c r="S625" s="477"/>
      <c r="U625" s="477"/>
      <c r="W625" s="477"/>
      <c r="Y625" s="477"/>
      <c r="AA625" s="477"/>
      <c r="BG625" s="1726"/>
      <c r="BH625" s="1726"/>
      <c r="BI625" s="1726"/>
      <c r="BJ625" s="1726"/>
      <c r="BK625" s="1726"/>
      <c r="BL625" s="1726"/>
      <c r="BM625" s="1726"/>
      <c r="BN625" s="1726"/>
      <c r="BO625" s="1726"/>
      <c r="BP625" s="1726"/>
      <c r="BQ625" s="1726"/>
      <c r="BR625" s="1726"/>
      <c r="BS625" s="1726"/>
      <c r="BT625" s="1726"/>
      <c r="BU625" s="1726"/>
      <c r="BV625" s="1726"/>
      <c r="BW625" s="1726"/>
      <c r="BX625" s="1726"/>
      <c r="BY625" s="1726"/>
      <c r="BZ625" s="1726"/>
      <c r="CA625" s="1726"/>
      <c r="CB625" s="1726"/>
      <c r="CC625" s="1726"/>
    </row>
    <row r="626" spans="4:81" s="334" customFormat="1" x14ac:dyDescent="0.25">
      <c r="D626" s="1804"/>
      <c r="E626" s="477"/>
      <c r="F626" s="343"/>
      <c r="G626" s="477"/>
      <c r="H626" s="343"/>
      <c r="I626" s="477"/>
      <c r="J626" s="343"/>
      <c r="K626" s="477"/>
      <c r="M626" s="477"/>
      <c r="O626" s="477"/>
      <c r="Q626" s="477"/>
      <c r="S626" s="477"/>
      <c r="U626" s="477"/>
      <c r="W626" s="477"/>
      <c r="Y626" s="477"/>
      <c r="AA626" s="477"/>
      <c r="BG626" s="1726"/>
      <c r="BH626" s="1726"/>
      <c r="BI626" s="1726"/>
      <c r="BJ626" s="1726"/>
      <c r="BK626" s="1726"/>
      <c r="BL626" s="1726"/>
      <c r="BM626" s="1726"/>
      <c r="BN626" s="1726"/>
      <c r="BO626" s="1726"/>
      <c r="BP626" s="1726"/>
      <c r="BQ626" s="1726"/>
      <c r="BR626" s="1726"/>
      <c r="BS626" s="1726"/>
      <c r="BT626" s="1726"/>
      <c r="BU626" s="1726"/>
      <c r="BV626" s="1726"/>
      <c r="BW626" s="1726"/>
      <c r="BX626" s="1726"/>
      <c r="BY626" s="1726"/>
      <c r="BZ626" s="1726"/>
      <c r="CA626" s="1726"/>
      <c r="CB626" s="1726"/>
      <c r="CC626" s="1726"/>
    </row>
    <row r="627" spans="4:81" s="334" customFormat="1" x14ac:dyDescent="0.25">
      <c r="D627" s="1804"/>
      <c r="E627" s="477"/>
      <c r="F627" s="343"/>
      <c r="G627" s="477"/>
      <c r="H627" s="343"/>
      <c r="I627" s="477"/>
      <c r="J627" s="343"/>
      <c r="K627" s="477"/>
      <c r="M627" s="477"/>
      <c r="O627" s="477"/>
      <c r="Q627" s="477"/>
      <c r="S627" s="477"/>
      <c r="U627" s="477"/>
      <c r="W627" s="477"/>
      <c r="Y627" s="477"/>
      <c r="AA627" s="477"/>
      <c r="BG627" s="1726"/>
      <c r="BH627" s="1726"/>
      <c r="BI627" s="1726"/>
      <c r="BJ627" s="1726"/>
      <c r="BK627" s="1726"/>
      <c r="BL627" s="1726"/>
      <c r="BM627" s="1726"/>
      <c r="BN627" s="1726"/>
      <c r="BO627" s="1726"/>
      <c r="BP627" s="1726"/>
      <c r="BQ627" s="1726"/>
      <c r="BR627" s="1726"/>
      <c r="BS627" s="1726"/>
      <c r="BT627" s="1726"/>
      <c r="BU627" s="1726"/>
      <c r="BV627" s="1726"/>
      <c r="BW627" s="1726"/>
      <c r="BX627" s="1726"/>
      <c r="BY627" s="1726"/>
      <c r="BZ627" s="1726"/>
      <c r="CA627" s="1726"/>
      <c r="CB627" s="1726"/>
      <c r="CC627" s="1726"/>
    </row>
    <row r="628" spans="4:81" s="334" customFormat="1" x14ac:dyDescent="0.25">
      <c r="D628" s="1804"/>
      <c r="E628" s="477"/>
      <c r="F628" s="343"/>
      <c r="G628" s="477"/>
      <c r="H628" s="343"/>
      <c r="I628" s="477"/>
      <c r="J628" s="343"/>
      <c r="K628" s="477"/>
      <c r="M628" s="477"/>
      <c r="O628" s="477"/>
      <c r="Q628" s="477"/>
      <c r="S628" s="477"/>
      <c r="U628" s="477"/>
      <c r="W628" s="477"/>
      <c r="Y628" s="477"/>
      <c r="AA628" s="477"/>
      <c r="BG628" s="1726"/>
      <c r="BH628" s="1726"/>
      <c r="BI628" s="1726"/>
      <c r="BJ628" s="1726"/>
      <c r="BK628" s="1726"/>
      <c r="BL628" s="1726"/>
      <c r="BM628" s="1726"/>
      <c r="BN628" s="1726"/>
      <c r="BO628" s="1726"/>
      <c r="BP628" s="1726"/>
      <c r="BQ628" s="1726"/>
      <c r="BR628" s="1726"/>
      <c r="BS628" s="1726"/>
      <c r="BT628" s="1726"/>
      <c r="BU628" s="1726"/>
      <c r="BV628" s="1726"/>
      <c r="BW628" s="1726"/>
      <c r="BX628" s="1726"/>
      <c r="BY628" s="1726"/>
      <c r="BZ628" s="1726"/>
      <c r="CA628" s="1726"/>
      <c r="CB628" s="1726"/>
      <c r="CC628" s="1726"/>
    </row>
    <row r="629" spans="4:81" s="334" customFormat="1" x14ac:dyDescent="0.25">
      <c r="D629" s="1804"/>
      <c r="E629" s="477"/>
      <c r="F629" s="343"/>
      <c r="G629" s="477"/>
      <c r="H629" s="343"/>
      <c r="I629" s="477"/>
      <c r="J629" s="343"/>
      <c r="K629" s="477"/>
      <c r="M629" s="477"/>
      <c r="O629" s="477"/>
      <c r="Q629" s="477"/>
      <c r="S629" s="477"/>
      <c r="U629" s="477"/>
      <c r="W629" s="477"/>
      <c r="Y629" s="477"/>
      <c r="AA629" s="477"/>
      <c r="BG629" s="1726"/>
      <c r="BH629" s="1726"/>
      <c r="BI629" s="1726"/>
      <c r="BJ629" s="1726"/>
      <c r="BK629" s="1726"/>
      <c r="BL629" s="1726"/>
      <c r="BM629" s="1726"/>
      <c r="BN629" s="1726"/>
      <c r="BO629" s="1726"/>
      <c r="BP629" s="1726"/>
      <c r="BQ629" s="1726"/>
      <c r="BR629" s="1726"/>
      <c r="BS629" s="1726"/>
      <c r="BT629" s="1726"/>
      <c r="BU629" s="1726"/>
      <c r="BV629" s="1726"/>
      <c r="BW629" s="1726"/>
      <c r="BX629" s="1726"/>
      <c r="BY629" s="1726"/>
      <c r="BZ629" s="1726"/>
      <c r="CA629" s="1726"/>
      <c r="CB629" s="1726"/>
      <c r="CC629" s="1726"/>
    </row>
    <row r="630" spans="4:81" s="334" customFormat="1" x14ac:dyDescent="0.25">
      <c r="D630" s="1804"/>
      <c r="E630" s="477"/>
      <c r="F630" s="343"/>
      <c r="G630" s="477"/>
      <c r="H630" s="343"/>
      <c r="I630" s="477"/>
      <c r="J630" s="343"/>
      <c r="K630" s="477"/>
      <c r="M630" s="477"/>
      <c r="O630" s="477"/>
      <c r="Q630" s="477"/>
      <c r="S630" s="477"/>
      <c r="U630" s="477"/>
      <c r="W630" s="477"/>
      <c r="Y630" s="477"/>
      <c r="AA630" s="477"/>
      <c r="BG630" s="1726"/>
      <c r="BH630" s="1726"/>
      <c r="BI630" s="1726"/>
      <c r="BJ630" s="1726"/>
      <c r="BK630" s="1726"/>
      <c r="BL630" s="1726"/>
      <c r="BM630" s="1726"/>
      <c r="BN630" s="1726"/>
      <c r="BO630" s="1726"/>
      <c r="BP630" s="1726"/>
      <c r="BQ630" s="1726"/>
      <c r="BR630" s="1726"/>
      <c r="BS630" s="1726"/>
      <c r="BT630" s="1726"/>
      <c r="BU630" s="1726"/>
      <c r="BV630" s="1726"/>
      <c r="BW630" s="1726"/>
      <c r="BX630" s="1726"/>
      <c r="BY630" s="1726"/>
      <c r="BZ630" s="1726"/>
      <c r="CA630" s="1726"/>
      <c r="CB630" s="1726"/>
      <c r="CC630" s="1726"/>
    </row>
    <row r="631" spans="4:81" s="334" customFormat="1" x14ac:dyDescent="0.25">
      <c r="D631" s="1804"/>
      <c r="E631" s="477"/>
      <c r="F631" s="343"/>
      <c r="G631" s="477"/>
      <c r="H631" s="343"/>
      <c r="I631" s="477"/>
      <c r="J631" s="343"/>
      <c r="K631" s="477"/>
      <c r="M631" s="477"/>
      <c r="O631" s="477"/>
      <c r="Q631" s="477"/>
      <c r="S631" s="477"/>
      <c r="U631" s="477"/>
      <c r="W631" s="477"/>
      <c r="Y631" s="477"/>
      <c r="AA631" s="477"/>
      <c r="BG631" s="1726"/>
      <c r="BH631" s="1726"/>
      <c r="BI631" s="1726"/>
      <c r="BJ631" s="1726"/>
      <c r="BK631" s="1726"/>
      <c r="BL631" s="1726"/>
      <c r="BM631" s="1726"/>
      <c r="BN631" s="1726"/>
      <c r="BO631" s="1726"/>
      <c r="BP631" s="1726"/>
      <c r="BQ631" s="1726"/>
      <c r="BR631" s="1726"/>
      <c r="BS631" s="1726"/>
      <c r="BT631" s="1726"/>
      <c r="BU631" s="1726"/>
      <c r="BV631" s="1726"/>
      <c r="BW631" s="1726"/>
      <c r="BX631" s="1726"/>
      <c r="BY631" s="1726"/>
      <c r="BZ631" s="1726"/>
      <c r="CA631" s="1726"/>
      <c r="CB631" s="1726"/>
      <c r="CC631" s="1726"/>
    </row>
    <row r="632" spans="4:81" s="334" customFormat="1" x14ac:dyDescent="0.25">
      <c r="D632" s="1804"/>
      <c r="E632" s="477"/>
      <c r="F632" s="343"/>
      <c r="G632" s="477"/>
      <c r="H632" s="343"/>
      <c r="I632" s="477"/>
      <c r="J632" s="343"/>
      <c r="K632" s="477"/>
      <c r="M632" s="477"/>
      <c r="O632" s="477"/>
      <c r="Q632" s="477"/>
      <c r="S632" s="477"/>
      <c r="U632" s="477"/>
      <c r="W632" s="477"/>
      <c r="Y632" s="477"/>
      <c r="AA632" s="477"/>
      <c r="BG632" s="1726"/>
      <c r="BH632" s="1726"/>
      <c r="BI632" s="1726"/>
      <c r="BJ632" s="1726"/>
      <c r="BK632" s="1726"/>
      <c r="BL632" s="1726"/>
      <c r="BM632" s="1726"/>
      <c r="BN632" s="1726"/>
      <c r="BO632" s="1726"/>
      <c r="BP632" s="1726"/>
      <c r="BQ632" s="1726"/>
      <c r="BR632" s="1726"/>
      <c r="BS632" s="1726"/>
      <c r="BT632" s="1726"/>
      <c r="BU632" s="1726"/>
      <c r="BV632" s="1726"/>
      <c r="BW632" s="1726"/>
      <c r="BX632" s="1726"/>
      <c r="BY632" s="1726"/>
      <c r="BZ632" s="1726"/>
      <c r="CA632" s="1726"/>
      <c r="CB632" s="1726"/>
      <c r="CC632" s="1726"/>
    </row>
    <row r="633" spans="4:81" s="334" customFormat="1" x14ac:dyDescent="0.25">
      <c r="D633" s="1804"/>
      <c r="E633" s="477"/>
      <c r="F633" s="343"/>
      <c r="G633" s="477"/>
      <c r="H633" s="343"/>
      <c r="I633" s="477"/>
      <c r="J633" s="343"/>
      <c r="K633" s="477"/>
      <c r="M633" s="477"/>
      <c r="O633" s="477"/>
      <c r="Q633" s="477"/>
      <c r="S633" s="477"/>
      <c r="U633" s="477"/>
      <c r="W633" s="477"/>
      <c r="Y633" s="477"/>
      <c r="AA633" s="477"/>
      <c r="BG633" s="1726"/>
      <c r="BH633" s="1726"/>
      <c r="BI633" s="1726"/>
      <c r="BJ633" s="1726"/>
      <c r="BK633" s="1726"/>
      <c r="BL633" s="1726"/>
      <c r="BM633" s="1726"/>
      <c r="BN633" s="1726"/>
      <c r="BO633" s="1726"/>
      <c r="BP633" s="1726"/>
      <c r="BQ633" s="1726"/>
      <c r="BR633" s="1726"/>
      <c r="BS633" s="1726"/>
      <c r="BT633" s="1726"/>
      <c r="BU633" s="1726"/>
      <c r="BV633" s="1726"/>
      <c r="BW633" s="1726"/>
      <c r="BX633" s="1726"/>
      <c r="BY633" s="1726"/>
      <c r="BZ633" s="1726"/>
      <c r="CA633" s="1726"/>
      <c r="CB633" s="1726"/>
      <c r="CC633" s="1726"/>
    </row>
    <row r="634" spans="4:81" s="334" customFormat="1" x14ac:dyDescent="0.25">
      <c r="D634" s="1804"/>
      <c r="E634" s="477"/>
      <c r="F634" s="343"/>
      <c r="G634" s="477"/>
      <c r="H634" s="343"/>
      <c r="I634" s="477"/>
      <c r="J634" s="343"/>
      <c r="K634" s="477"/>
      <c r="M634" s="477"/>
      <c r="O634" s="477"/>
      <c r="Q634" s="477"/>
      <c r="S634" s="477"/>
      <c r="U634" s="477"/>
      <c r="W634" s="477"/>
      <c r="Y634" s="477"/>
      <c r="AA634" s="477"/>
      <c r="BG634" s="1726"/>
      <c r="BH634" s="1726"/>
      <c r="BI634" s="1726"/>
      <c r="BJ634" s="1726"/>
      <c r="BK634" s="1726"/>
      <c r="BL634" s="1726"/>
      <c r="BM634" s="1726"/>
      <c r="BN634" s="1726"/>
      <c r="BO634" s="1726"/>
      <c r="BP634" s="1726"/>
      <c r="BQ634" s="1726"/>
      <c r="BR634" s="1726"/>
      <c r="BS634" s="1726"/>
      <c r="BT634" s="1726"/>
      <c r="BU634" s="1726"/>
      <c r="BV634" s="1726"/>
      <c r="BW634" s="1726"/>
      <c r="BX634" s="1726"/>
      <c r="BY634" s="1726"/>
      <c r="BZ634" s="1726"/>
      <c r="CA634" s="1726"/>
      <c r="CB634" s="1726"/>
      <c r="CC634" s="1726"/>
    </row>
    <row r="635" spans="4:81" s="334" customFormat="1" x14ac:dyDescent="0.25">
      <c r="D635" s="1804"/>
      <c r="E635" s="477"/>
      <c r="F635" s="343"/>
      <c r="G635" s="477"/>
      <c r="H635" s="343"/>
      <c r="I635" s="477"/>
      <c r="J635" s="343"/>
      <c r="K635" s="477"/>
      <c r="M635" s="477"/>
      <c r="O635" s="477"/>
      <c r="Q635" s="477"/>
      <c r="S635" s="477"/>
      <c r="U635" s="477"/>
      <c r="W635" s="477"/>
      <c r="Y635" s="477"/>
      <c r="AA635" s="477"/>
      <c r="BG635" s="1726"/>
      <c r="BH635" s="1726"/>
      <c r="BI635" s="1726"/>
      <c r="BJ635" s="1726"/>
      <c r="BK635" s="1726"/>
      <c r="BL635" s="1726"/>
      <c r="BM635" s="1726"/>
      <c r="BN635" s="1726"/>
      <c r="BO635" s="1726"/>
      <c r="BP635" s="1726"/>
      <c r="BQ635" s="1726"/>
      <c r="BR635" s="1726"/>
      <c r="BS635" s="1726"/>
      <c r="BT635" s="1726"/>
      <c r="BU635" s="1726"/>
      <c r="BV635" s="1726"/>
      <c r="BW635" s="1726"/>
      <c r="BX635" s="1726"/>
      <c r="BY635" s="1726"/>
      <c r="BZ635" s="1726"/>
      <c r="CA635" s="1726"/>
      <c r="CB635" s="1726"/>
      <c r="CC635" s="1726"/>
    </row>
    <row r="636" spans="4:81" s="334" customFormat="1" x14ac:dyDescent="0.25">
      <c r="D636" s="1804"/>
      <c r="E636" s="477"/>
      <c r="F636" s="343"/>
      <c r="G636" s="477"/>
      <c r="H636" s="343"/>
      <c r="I636" s="477"/>
      <c r="J636" s="343"/>
      <c r="K636" s="477"/>
      <c r="M636" s="477"/>
      <c r="O636" s="477"/>
      <c r="Q636" s="477"/>
      <c r="S636" s="477"/>
      <c r="U636" s="477"/>
      <c r="W636" s="477"/>
      <c r="Y636" s="477"/>
      <c r="AA636" s="477"/>
      <c r="BG636" s="1726"/>
      <c r="BH636" s="1726"/>
      <c r="BI636" s="1726"/>
      <c r="BJ636" s="1726"/>
      <c r="BK636" s="1726"/>
      <c r="BL636" s="1726"/>
      <c r="BM636" s="1726"/>
      <c r="BN636" s="1726"/>
      <c r="BO636" s="1726"/>
      <c r="BP636" s="1726"/>
      <c r="BQ636" s="1726"/>
      <c r="BR636" s="1726"/>
      <c r="BS636" s="1726"/>
      <c r="BT636" s="1726"/>
      <c r="BU636" s="1726"/>
      <c r="BV636" s="1726"/>
      <c r="BW636" s="1726"/>
      <c r="BX636" s="1726"/>
      <c r="BY636" s="1726"/>
      <c r="BZ636" s="1726"/>
      <c r="CA636" s="1726"/>
      <c r="CB636" s="1726"/>
      <c r="CC636" s="1726"/>
    </row>
    <row r="637" spans="4:81" s="334" customFormat="1" x14ac:dyDescent="0.25">
      <c r="D637" s="1804"/>
      <c r="E637" s="477"/>
      <c r="F637" s="343"/>
      <c r="G637" s="477"/>
      <c r="H637" s="343"/>
      <c r="I637" s="477"/>
      <c r="J637" s="343"/>
      <c r="K637" s="477"/>
      <c r="M637" s="477"/>
      <c r="O637" s="477"/>
      <c r="Q637" s="477"/>
      <c r="S637" s="477"/>
      <c r="U637" s="477"/>
      <c r="W637" s="477"/>
      <c r="Y637" s="477"/>
      <c r="AA637" s="477"/>
      <c r="BG637" s="1726"/>
      <c r="BH637" s="1726"/>
      <c r="BI637" s="1726"/>
      <c r="BJ637" s="1726"/>
      <c r="BK637" s="1726"/>
      <c r="BL637" s="1726"/>
      <c r="BM637" s="1726"/>
      <c r="BN637" s="1726"/>
      <c r="BO637" s="1726"/>
      <c r="BP637" s="1726"/>
      <c r="BQ637" s="1726"/>
      <c r="BR637" s="1726"/>
      <c r="BS637" s="1726"/>
      <c r="BT637" s="1726"/>
      <c r="BU637" s="1726"/>
      <c r="BV637" s="1726"/>
      <c r="BW637" s="1726"/>
      <c r="BX637" s="1726"/>
      <c r="BY637" s="1726"/>
      <c r="BZ637" s="1726"/>
      <c r="CA637" s="1726"/>
      <c r="CB637" s="1726"/>
      <c r="CC637" s="1726"/>
    </row>
    <row r="638" spans="4:81" s="334" customFormat="1" x14ac:dyDescent="0.25">
      <c r="D638" s="1804"/>
      <c r="E638" s="477"/>
      <c r="F638" s="343"/>
      <c r="G638" s="477"/>
      <c r="H638" s="343"/>
      <c r="I638" s="477"/>
      <c r="J638" s="343"/>
      <c r="K638" s="477"/>
      <c r="M638" s="477"/>
      <c r="O638" s="477"/>
      <c r="Q638" s="477"/>
      <c r="S638" s="477"/>
      <c r="U638" s="477"/>
      <c r="W638" s="477"/>
      <c r="Y638" s="477"/>
      <c r="AA638" s="477"/>
      <c r="BG638" s="1726"/>
      <c r="BH638" s="1726"/>
      <c r="BI638" s="1726"/>
      <c r="BJ638" s="1726"/>
      <c r="BK638" s="1726"/>
      <c r="BL638" s="1726"/>
      <c r="BM638" s="1726"/>
      <c r="BN638" s="1726"/>
      <c r="BO638" s="1726"/>
      <c r="BP638" s="1726"/>
      <c r="BQ638" s="1726"/>
      <c r="BR638" s="1726"/>
      <c r="BS638" s="1726"/>
      <c r="BT638" s="1726"/>
      <c r="BU638" s="1726"/>
      <c r="BV638" s="1726"/>
      <c r="BW638" s="1726"/>
      <c r="BX638" s="1726"/>
      <c r="BY638" s="1726"/>
      <c r="BZ638" s="1726"/>
      <c r="CA638" s="1726"/>
      <c r="CB638" s="1726"/>
      <c r="CC638" s="1726"/>
    </row>
    <row r="639" spans="4:81" s="334" customFormat="1" x14ac:dyDescent="0.25">
      <c r="D639" s="1804"/>
      <c r="E639" s="477"/>
      <c r="F639" s="343"/>
      <c r="G639" s="477"/>
      <c r="H639" s="343"/>
      <c r="I639" s="477"/>
      <c r="J639" s="343"/>
      <c r="K639" s="477"/>
      <c r="M639" s="477"/>
      <c r="O639" s="477"/>
      <c r="Q639" s="477"/>
      <c r="S639" s="477"/>
      <c r="U639" s="477"/>
      <c r="W639" s="477"/>
      <c r="Y639" s="477"/>
      <c r="AA639" s="477"/>
      <c r="BG639" s="1726"/>
      <c r="BH639" s="1726"/>
      <c r="BI639" s="1726"/>
      <c r="BJ639" s="1726"/>
      <c r="BK639" s="1726"/>
      <c r="BL639" s="1726"/>
      <c r="BM639" s="1726"/>
      <c r="BN639" s="1726"/>
      <c r="BO639" s="1726"/>
      <c r="BP639" s="1726"/>
      <c r="BQ639" s="1726"/>
      <c r="BR639" s="1726"/>
      <c r="BS639" s="1726"/>
      <c r="BT639" s="1726"/>
      <c r="BU639" s="1726"/>
      <c r="BV639" s="1726"/>
      <c r="BW639" s="1726"/>
      <c r="BX639" s="1726"/>
      <c r="BY639" s="1726"/>
      <c r="BZ639" s="1726"/>
      <c r="CA639" s="1726"/>
      <c r="CB639" s="1726"/>
      <c r="CC639" s="1726"/>
    </row>
    <row r="640" spans="4:81" s="334" customFormat="1" x14ac:dyDescent="0.25">
      <c r="D640" s="1804"/>
      <c r="E640" s="477"/>
      <c r="F640" s="343"/>
      <c r="G640" s="477"/>
      <c r="H640" s="343"/>
      <c r="I640" s="477"/>
      <c r="J640" s="343"/>
      <c r="K640" s="477"/>
      <c r="M640" s="477"/>
      <c r="O640" s="477"/>
      <c r="Q640" s="477"/>
      <c r="S640" s="477"/>
      <c r="U640" s="477"/>
      <c r="W640" s="477"/>
      <c r="Y640" s="477"/>
      <c r="AA640" s="477"/>
      <c r="BG640" s="1726"/>
      <c r="BH640" s="1726"/>
      <c r="BI640" s="1726"/>
      <c r="BJ640" s="1726"/>
      <c r="BK640" s="1726"/>
      <c r="BL640" s="1726"/>
      <c r="BM640" s="1726"/>
      <c r="BN640" s="1726"/>
      <c r="BO640" s="1726"/>
      <c r="BP640" s="1726"/>
      <c r="BQ640" s="1726"/>
      <c r="BR640" s="1726"/>
      <c r="BS640" s="1726"/>
      <c r="BT640" s="1726"/>
      <c r="BU640" s="1726"/>
      <c r="BV640" s="1726"/>
      <c r="BW640" s="1726"/>
      <c r="BX640" s="1726"/>
      <c r="BY640" s="1726"/>
      <c r="BZ640" s="1726"/>
      <c r="CA640" s="1726"/>
      <c r="CB640" s="1726"/>
      <c r="CC640" s="1726"/>
    </row>
    <row r="641" spans="4:81" s="334" customFormat="1" x14ac:dyDescent="0.25">
      <c r="D641" s="1804"/>
      <c r="E641" s="477"/>
      <c r="F641" s="343"/>
      <c r="G641" s="477"/>
      <c r="H641" s="343"/>
      <c r="I641" s="477"/>
      <c r="J641" s="343"/>
      <c r="K641" s="477"/>
      <c r="M641" s="477"/>
      <c r="O641" s="477"/>
      <c r="Q641" s="477"/>
      <c r="S641" s="477"/>
      <c r="U641" s="477"/>
      <c r="W641" s="477"/>
      <c r="Y641" s="477"/>
      <c r="AA641" s="477"/>
      <c r="BG641" s="1726"/>
      <c r="BH641" s="1726"/>
      <c r="BI641" s="1726"/>
      <c r="BJ641" s="1726"/>
      <c r="BK641" s="1726"/>
      <c r="BL641" s="1726"/>
      <c r="BM641" s="1726"/>
      <c r="BN641" s="1726"/>
      <c r="BO641" s="1726"/>
      <c r="BP641" s="1726"/>
      <c r="BQ641" s="1726"/>
      <c r="BR641" s="1726"/>
      <c r="BS641" s="1726"/>
      <c r="BT641" s="1726"/>
      <c r="BU641" s="1726"/>
      <c r="BV641" s="1726"/>
      <c r="BW641" s="1726"/>
      <c r="BX641" s="1726"/>
      <c r="BY641" s="1726"/>
      <c r="BZ641" s="1726"/>
      <c r="CA641" s="1726"/>
      <c r="CB641" s="1726"/>
      <c r="CC641" s="1726"/>
    </row>
    <row r="642" spans="4:81" s="334" customFormat="1" x14ac:dyDescent="0.25">
      <c r="D642" s="1804"/>
      <c r="E642" s="477"/>
      <c r="F642" s="343"/>
      <c r="G642" s="477"/>
      <c r="H642" s="343"/>
      <c r="I642" s="477"/>
      <c r="J642" s="343"/>
      <c r="K642" s="477"/>
      <c r="M642" s="477"/>
      <c r="O642" s="477"/>
      <c r="Q642" s="477"/>
      <c r="S642" s="477"/>
      <c r="U642" s="477"/>
      <c r="W642" s="477"/>
      <c r="Y642" s="477"/>
      <c r="AA642" s="477"/>
      <c r="BG642" s="1726"/>
      <c r="BH642" s="1726"/>
      <c r="BI642" s="1726"/>
      <c r="BJ642" s="1726"/>
      <c r="BK642" s="1726"/>
      <c r="BL642" s="1726"/>
      <c r="BM642" s="1726"/>
      <c r="BN642" s="1726"/>
      <c r="BO642" s="1726"/>
      <c r="BP642" s="1726"/>
      <c r="BQ642" s="1726"/>
      <c r="BR642" s="1726"/>
      <c r="BS642" s="1726"/>
      <c r="BT642" s="1726"/>
      <c r="BU642" s="1726"/>
      <c r="BV642" s="1726"/>
      <c r="BW642" s="1726"/>
      <c r="BX642" s="1726"/>
      <c r="BY642" s="1726"/>
      <c r="BZ642" s="1726"/>
      <c r="CA642" s="1726"/>
      <c r="CB642" s="1726"/>
      <c r="CC642" s="1726"/>
    </row>
    <row r="643" spans="4:81" s="334" customFormat="1" x14ac:dyDescent="0.25">
      <c r="D643" s="1804"/>
      <c r="E643" s="477"/>
      <c r="F643" s="343"/>
      <c r="G643" s="477"/>
      <c r="H643" s="343"/>
      <c r="I643" s="477"/>
      <c r="J643" s="343"/>
      <c r="K643" s="477"/>
      <c r="M643" s="477"/>
      <c r="O643" s="477"/>
      <c r="Q643" s="477"/>
      <c r="S643" s="477"/>
      <c r="U643" s="477"/>
      <c r="W643" s="477"/>
      <c r="Y643" s="477"/>
      <c r="AA643" s="477"/>
      <c r="BG643" s="1726"/>
      <c r="BH643" s="1726"/>
      <c r="BI643" s="1726"/>
      <c r="BJ643" s="1726"/>
      <c r="BK643" s="1726"/>
      <c r="BL643" s="1726"/>
      <c r="BM643" s="1726"/>
      <c r="BN643" s="1726"/>
      <c r="BO643" s="1726"/>
      <c r="BP643" s="1726"/>
      <c r="BQ643" s="1726"/>
      <c r="BR643" s="1726"/>
      <c r="BS643" s="1726"/>
      <c r="BT643" s="1726"/>
      <c r="BU643" s="1726"/>
      <c r="BV643" s="1726"/>
      <c r="BW643" s="1726"/>
      <c r="BX643" s="1726"/>
      <c r="BY643" s="1726"/>
      <c r="BZ643" s="1726"/>
      <c r="CA643" s="1726"/>
      <c r="CB643" s="1726"/>
      <c r="CC643" s="1726"/>
    </row>
    <row r="644" spans="4:81" s="334" customFormat="1" x14ac:dyDescent="0.25">
      <c r="D644" s="1804"/>
      <c r="E644" s="477"/>
      <c r="F644" s="343"/>
      <c r="G644" s="477"/>
      <c r="H644" s="343"/>
      <c r="I644" s="477"/>
      <c r="J644" s="343"/>
      <c r="K644" s="477"/>
      <c r="M644" s="477"/>
      <c r="O644" s="477"/>
      <c r="Q644" s="477"/>
      <c r="S644" s="477"/>
      <c r="U644" s="477"/>
      <c r="W644" s="477"/>
      <c r="Y644" s="477"/>
      <c r="AA644" s="477"/>
      <c r="BG644" s="1726"/>
      <c r="BH644" s="1726"/>
      <c r="BI644" s="1726"/>
      <c r="BJ644" s="1726"/>
      <c r="BK644" s="1726"/>
      <c r="BL644" s="1726"/>
      <c r="BM644" s="1726"/>
      <c r="BN644" s="1726"/>
      <c r="BO644" s="1726"/>
      <c r="BP644" s="1726"/>
      <c r="BQ644" s="1726"/>
      <c r="BR644" s="1726"/>
      <c r="BS644" s="1726"/>
      <c r="BT644" s="1726"/>
      <c r="BU644" s="1726"/>
      <c r="BV644" s="1726"/>
      <c r="BW644" s="1726"/>
      <c r="BX644" s="1726"/>
      <c r="BY644" s="1726"/>
      <c r="BZ644" s="1726"/>
      <c r="CA644" s="1726"/>
      <c r="CB644" s="1726"/>
      <c r="CC644" s="1726"/>
    </row>
    <row r="645" spans="4:81" s="334" customFormat="1" x14ac:dyDescent="0.25">
      <c r="D645" s="1804"/>
      <c r="E645" s="477"/>
      <c r="F645" s="343"/>
      <c r="G645" s="477"/>
      <c r="H645" s="343"/>
      <c r="I645" s="477"/>
      <c r="J645" s="343"/>
      <c r="K645" s="477"/>
      <c r="M645" s="477"/>
      <c r="O645" s="477"/>
      <c r="Q645" s="477"/>
      <c r="S645" s="477"/>
      <c r="U645" s="477"/>
      <c r="W645" s="477"/>
      <c r="Y645" s="477"/>
      <c r="AA645" s="477"/>
      <c r="BG645" s="1726"/>
      <c r="BH645" s="1726"/>
      <c r="BI645" s="1726"/>
      <c r="BJ645" s="1726"/>
      <c r="BK645" s="1726"/>
      <c r="BL645" s="1726"/>
      <c r="BM645" s="1726"/>
      <c r="BN645" s="1726"/>
      <c r="BO645" s="1726"/>
      <c r="BP645" s="1726"/>
      <c r="BQ645" s="1726"/>
      <c r="BR645" s="1726"/>
      <c r="BS645" s="1726"/>
      <c r="BT645" s="1726"/>
      <c r="BU645" s="1726"/>
      <c r="BV645" s="1726"/>
      <c r="BW645" s="1726"/>
      <c r="BX645" s="1726"/>
      <c r="BY645" s="1726"/>
      <c r="BZ645" s="1726"/>
      <c r="CA645" s="1726"/>
      <c r="CB645" s="1726"/>
      <c r="CC645" s="1726"/>
    </row>
    <row r="646" spans="4:81" s="334" customFormat="1" x14ac:dyDescent="0.25">
      <c r="D646" s="1804"/>
      <c r="E646" s="477"/>
      <c r="F646" s="343"/>
      <c r="G646" s="477"/>
      <c r="H646" s="343"/>
      <c r="I646" s="477"/>
      <c r="J646" s="343"/>
      <c r="K646" s="477"/>
      <c r="M646" s="477"/>
      <c r="O646" s="477"/>
      <c r="Q646" s="477"/>
      <c r="S646" s="477"/>
      <c r="U646" s="477"/>
      <c r="W646" s="477"/>
      <c r="Y646" s="477"/>
      <c r="AA646" s="477"/>
      <c r="BG646" s="1726"/>
      <c r="BH646" s="1726"/>
      <c r="BI646" s="1726"/>
      <c r="BJ646" s="1726"/>
      <c r="BK646" s="1726"/>
      <c r="BL646" s="1726"/>
      <c r="BM646" s="1726"/>
      <c r="BN646" s="1726"/>
      <c r="BO646" s="1726"/>
      <c r="BP646" s="1726"/>
      <c r="BQ646" s="1726"/>
      <c r="BR646" s="1726"/>
      <c r="BS646" s="1726"/>
      <c r="BT646" s="1726"/>
      <c r="BU646" s="1726"/>
      <c r="BV646" s="1726"/>
      <c r="BW646" s="1726"/>
      <c r="BX646" s="1726"/>
      <c r="BY646" s="1726"/>
      <c r="BZ646" s="1726"/>
      <c r="CA646" s="1726"/>
      <c r="CB646" s="1726"/>
      <c r="CC646" s="1726"/>
    </row>
    <row r="647" spans="4:81" s="334" customFormat="1" x14ac:dyDescent="0.25">
      <c r="D647" s="1804"/>
      <c r="E647" s="477"/>
      <c r="F647" s="343"/>
      <c r="G647" s="477"/>
      <c r="H647" s="343"/>
      <c r="I647" s="477"/>
      <c r="J647" s="343"/>
      <c r="K647" s="477"/>
      <c r="M647" s="477"/>
      <c r="O647" s="477"/>
      <c r="Q647" s="477"/>
      <c r="S647" s="477"/>
      <c r="U647" s="477"/>
      <c r="W647" s="477"/>
      <c r="Y647" s="477"/>
      <c r="AA647" s="477"/>
      <c r="BG647" s="1726"/>
      <c r="BH647" s="1726"/>
      <c r="BI647" s="1726"/>
      <c r="BJ647" s="1726"/>
      <c r="BK647" s="1726"/>
      <c r="BL647" s="1726"/>
      <c r="BM647" s="1726"/>
      <c r="BN647" s="1726"/>
      <c r="BO647" s="1726"/>
      <c r="BP647" s="1726"/>
      <c r="BQ647" s="1726"/>
      <c r="BR647" s="1726"/>
      <c r="BS647" s="1726"/>
      <c r="BT647" s="1726"/>
      <c r="BU647" s="1726"/>
      <c r="BV647" s="1726"/>
      <c r="BW647" s="1726"/>
      <c r="BX647" s="1726"/>
      <c r="BY647" s="1726"/>
      <c r="BZ647" s="1726"/>
      <c r="CA647" s="1726"/>
      <c r="CB647" s="1726"/>
      <c r="CC647" s="1726"/>
    </row>
    <row r="648" spans="4:81" s="334" customFormat="1" x14ac:dyDescent="0.25">
      <c r="D648" s="1804"/>
      <c r="E648" s="477"/>
      <c r="F648" s="343"/>
      <c r="G648" s="477"/>
      <c r="H648" s="343"/>
      <c r="I648" s="477"/>
      <c r="J648" s="343"/>
      <c r="K648" s="477"/>
      <c r="M648" s="477"/>
      <c r="O648" s="477"/>
      <c r="Q648" s="477"/>
      <c r="S648" s="477"/>
      <c r="U648" s="477"/>
      <c r="W648" s="477"/>
      <c r="Y648" s="477"/>
      <c r="AA648" s="477"/>
      <c r="BG648" s="1726"/>
      <c r="BH648" s="1726"/>
      <c r="BI648" s="1726"/>
      <c r="BJ648" s="1726"/>
      <c r="BK648" s="1726"/>
      <c r="BL648" s="1726"/>
      <c r="BM648" s="1726"/>
      <c r="BN648" s="1726"/>
      <c r="BO648" s="1726"/>
      <c r="BP648" s="1726"/>
      <c r="BQ648" s="1726"/>
      <c r="BR648" s="1726"/>
      <c r="BS648" s="1726"/>
      <c r="BT648" s="1726"/>
      <c r="BU648" s="1726"/>
      <c r="BV648" s="1726"/>
      <c r="BW648" s="1726"/>
      <c r="BX648" s="1726"/>
      <c r="BY648" s="1726"/>
      <c r="BZ648" s="1726"/>
      <c r="CA648" s="1726"/>
      <c r="CB648" s="1726"/>
      <c r="CC648" s="1726"/>
    </row>
    <row r="649" spans="4:81" s="334" customFormat="1" x14ac:dyDescent="0.25">
      <c r="D649" s="1804"/>
      <c r="E649" s="477"/>
      <c r="F649" s="343"/>
      <c r="G649" s="477"/>
      <c r="H649" s="343"/>
      <c r="I649" s="477"/>
      <c r="J649" s="343"/>
      <c r="K649" s="477"/>
      <c r="M649" s="477"/>
      <c r="O649" s="477"/>
      <c r="Q649" s="477"/>
      <c r="S649" s="477"/>
      <c r="U649" s="477"/>
      <c r="W649" s="477"/>
      <c r="Y649" s="477"/>
      <c r="AA649" s="477"/>
      <c r="BG649" s="1726"/>
      <c r="BH649" s="1726"/>
      <c r="BI649" s="1726"/>
      <c r="BJ649" s="1726"/>
      <c r="BK649" s="1726"/>
      <c r="BL649" s="1726"/>
      <c r="BM649" s="1726"/>
      <c r="BN649" s="1726"/>
      <c r="BO649" s="1726"/>
      <c r="BP649" s="1726"/>
      <c r="BQ649" s="1726"/>
      <c r="BR649" s="1726"/>
      <c r="BS649" s="1726"/>
      <c r="BT649" s="1726"/>
      <c r="BU649" s="1726"/>
      <c r="BV649" s="1726"/>
      <c r="BW649" s="1726"/>
      <c r="BX649" s="1726"/>
      <c r="BY649" s="1726"/>
      <c r="BZ649" s="1726"/>
      <c r="CA649" s="1726"/>
      <c r="CB649" s="1726"/>
      <c r="CC649" s="1726"/>
    </row>
    <row r="650" spans="4:81" s="334" customFormat="1" x14ac:dyDescent="0.25">
      <c r="D650" s="1804"/>
      <c r="E650" s="477"/>
      <c r="F650" s="343"/>
      <c r="G650" s="477"/>
      <c r="H650" s="343"/>
      <c r="I650" s="477"/>
      <c r="J650" s="343"/>
      <c r="K650" s="477"/>
      <c r="M650" s="477"/>
      <c r="O650" s="477"/>
      <c r="Q650" s="477"/>
      <c r="S650" s="477"/>
      <c r="U650" s="477"/>
      <c r="W650" s="477"/>
      <c r="Y650" s="477"/>
      <c r="AA650" s="477"/>
      <c r="BG650" s="1726"/>
      <c r="BH650" s="1726"/>
      <c r="BI650" s="1726"/>
      <c r="BJ650" s="1726"/>
      <c r="BK650" s="1726"/>
      <c r="BL650" s="1726"/>
      <c r="BM650" s="1726"/>
      <c r="BN650" s="1726"/>
      <c r="BO650" s="1726"/>
      <c r="BP650" s="1726"/>
      <c r="BQ650" s="1726"/>
      <c r="BR650" s="1726"/>
      <c r="BS650" s="1726"/>
      <c r="BT650" s="1726"/>
      <c r="BU650" s="1726"/>
      <c r="BV650" s="1726"/>
      <c r="BW650" s="1726"/>
      <c r="BX650" s="1726"/>
      <c r="BY650" s="1726"/>
      <c r="BZ650" s="1726"/>
      <c r="CA650" s="1726"/>
      <c r="CB650" s="1726"/>
      <c r="CC650" s="1726"/>
    </row>
    <row r="651" spans="4:81" s="334" customFormat="1" x14ac:dyDescent="0.25">
      <c r="D651" s="1804"/>
      <c r="E651" s="477"/>
      <c r="F651" s="343"/>
      <c r="G651" s="477"/>
      <c r="H651" s="343"/>
      <c r="I651" s="477"/>
      <c r="J651" s="343"/>
      <c r="K651" s="477"/>
      <c r="M651" s="477"/>
      <c r="O651" s="477"/>
      <c r="Q651" s="477"/>
      <c r="S651" s="477"/>
      <c r="U651" s="477"/>
      <c r="W651" s="477"/>
      <c r="Y651" s="477"/>
      <c r="AA651" s="477"/>
      <c r="BG651" s="1726"/>
      <c r="BH651" s="1726"/>
      <c r="BI651" s="1726"/>
      <c r="BJ651" s="1726"/>
      <c r="BK651" s="1726"/>
      <c r="BL651" s="1726"/>
      <c r="BM651" s="1726"/>
      <c r="BN651" s="1726"/>
      <c r="BO651" s="1726"/>
      <c r="BP651" s="1726"/>
      <c r="BQ651" s="1726"/>
      <c r="BR651" s="1726"/>
      <c r="BS651" s="1726"/>
      <c r="BT651" s="1726"/>
      <c r="BU651" s="1726"/>
      <c r="BV651" s="1726"/>
      <c r="BW651" s="1726"/>
      <c r="BX651" s="1726"/>
      <c r="BY651" s="1726"/>
      <c r="BZ651" s="1726"/>
      <c r="CA651" s="1726"/>
      <c r="CB651" s="1726"/>
      <c r="CC651" s="1726"/>
    </row>
    <row r="652" spans="4:81" s="334" customFormat="1" x14ac:dyDescent="0.25">
      <c r="D652" s="1804"/>
      <c r="E652" s="477"/>
      <c r="F652" s="343"/>
      <c r="G652" s="477"/>
      <c r="H652" s="343"/>
      <c r="I652" s="477"/>
      <c r="J652" s="343"/>
      <c r="K652" s="477"/>
      <c r="M652" s="477"/>
      <c r="O652" s="477"/>
      <c r="Q652" s="477"/>
      <c r="S652" s="477"/>
      <c r="U652" s="477"/>
      <c r="W652" s="477"/>
      <c r="Y652" s="477"/>
      <c r="AA652" s="477"/>
      <c r="BG652" s="1726"/>
      <c r="BH652" s="1726"/>
      <c r="BI652" s="1726"/>
      <c r="BJ652" s="1726"/>
      <c r="BK652" s="1726"/>
      <c r="BL652" s="1726"/>
      <c r="BM652" s="1726"/>
      <c r="BN652" s="1726"/>
      <c r="BO652" s="1726"/>
      <c r="BP652" s="1726"/>
      <c r="BQ652" s="1726"/>
      <c r="BR652" s="1726"/>
      <c r="BS652" s="1726"/>
      <c r="BT652" s="1726"/>
      <c r="BU652" s="1726"/>
      <c r="BV652" s="1726"/>
      <c r="BW652" s="1726"/>
      <c r="BX652" s="1726"/>
      <c r="BY652" s="1726"/>
      <c r="BZ652" s="1726"/>
      <c r="CA652" s="1726"/>
      <c r="CB652" s="1726"/>
      <c r="CC652" s="1726"/>
    </row>
    <row r="653" spans="4:81" s="334" customFormat="1" x14ac:dyDescent="0.25">
      <c r="D653" s="1804"/>
      <c r="E653" s="477"/>
      <c r="F653" s="343"/>
      <c r="G653" s="477"/>
      <c r="H653" s="343"/>
      <c r="I653" s="477"/>
      <c r="J653" s="343"/>
      <c r="K653" s="477"/>
      <c r="M653" s="477"/>
      <c r="O653" s="477"/>
      <c r="Q653" s="477"/>
      <c r="S653" s="477"/>
      <c r="U653" s="477"/>
      <c r="W653" s="477"/>
      <c r="Y653" s="477"/>
      <c r="AA653" s="477"/>
      <c r="BG653" s="1726"/>
      <c r="BH653" s="1726"/>
      <c r="BI653" s="1726"/>
      <c r="BJ653" s="1726"/>
      <c r="BK653" s="1726"/>
      <c r="BL653" s="1726"/>
      <c r="BM653" s="1726"/>
      <c r="BN653" s="1726"/>
      <c r="BO653" s="1726"/>
      <c r="BP653" s="1726"/>
      <c r="BQ653" s="1726"/>
      <c r="BR653" s="1726"/>
      <c r="BS653" s="1726"/>
      <c r="BT653" s="1726"/>
      <c r="BU653" s="1726"/>
      <c r="BV653" s="1726"/>
      <c r="BW653" s="1726"/>
      <c r="BX653" s="1726"/>
      <c r="BY653" s="1726"/>
      <c r="BZ653" s="1726"/>
      <c r="CA653" s="1726"/>
      <c r="CB653" s="1726"/>
      <c r="CC653" s="1726"/>
    </row>
    <row r="654" spans="4:81" s="334" customFormat="1" x14ac:dyDescent="0.25">
      <c r="D654" s="1804"/>
      <c r="E654" s="477"/>
      <c r="F654" s="343"/>
      <c r="G654" s="477"/>
      <c r="H654" s="343"/>
      <c r="I654" s="477"/>
      <c r="J654" s="343"/>
      <c r="K654" s="477"/>
      <c r="M654" s="477"/>
      <c r="O654" s="477"/>
      <c r="Q654" s="477"/>
      <c r="S654" s="477"/>
      <c r="U654" s="477"/>
      <c r="W654" s="477"/>
      <c r="Y654" s="477"/>
      <c r="AA654" s="477"/>
      <c r="BG654" s="1726"/>
      <c r="BH654" s="1726"/>
      <c r="BI654" s="1726"/>
      <c r="BJ654" s="1726"/>
      <c r="BK654" s="1726"/>
      <c r="BL654" s="1726"/>
      <c r="BM654" s="1726"/>
      <c r="BN654" s="1726"/>
      <c r="BO654" s="1726"/>
      <c r="BP654" s="1726"/>
      <c r="BQ654" s="1726"/>
      <c r="BR654" s="1726"/>
      <c r="BS654" s="1726"/>
      <c r="BT654" s="1726"/>
      <c r="BU654" s="1726"/>
      <c r="BV654" s="1726"/>
      <c r="BW654" s="1726"/>
      <c r="BX654" s="1726"/>
      <c r="BY654" s="1726"/>
      <c r="BZ654" s="1726"/>
      <c r="CA654" s="1726"/>
      <c r="CB654" s="1726"/>
      <c r="CC654" s="1726"/>
    </row>
    <row r="655" spans="4:81" s="334" customFormat="1" x14ac:dyDescent="0.25">
      <c r="D655" s="1804"/>
      <c r="E655" s="477"/>
      <c r="F655" s="343"/>
      <c r="G655" s="477"/>
      <c r="H655" s="343"/>
      <c r="I655" s="477"/>
      <c r="J655" s="343"/>
      <c r="K655" s="477"/>
      <c r="M655" s="477"/>
      <c r="O655" s="477"/>
      <c r="Q655" s="477"/>
      <c r="S655" s="477"/>
      <c r="U655" s="477"/>
      <c r="W655" s="477"/>
      <c r="Y655" s="477"/>
      <c r="AA655" s="477"/>
      <c r="BG655" s="1726"/>
      <c r="BH655" s="1726"/>
      <c r="BI655" s="1726"/>
      <c r="BJ655" s="1726"/>
      <c r="BK655" s="1726"/>
      <c r="BL655" s="1726"/>
      <c r="BM655" s="1726"/>
      <c r="BN655" s="1726"/>
      <c r="BO655" s="1726"/>
      <c r="BP655" s="1726"/>
      <c r="BQ655" s="1726"/>
      <c r="BR655" s="1726"/>
      <c r="BS655" s="1726"/>
      <c r="BT655" s="1726"/>
      <c r="BU655" s="1726"/>
      <c r="BV655" s="1726"/>
      <c r="BW655" s="1726"/>
      <c r="BX655" s="1726"/>
      <c r="BY655" s="1726"/>
      <c r="BZ655" s="1726"/>
      <c r="CA655" s="1726"/>
      <c r="CB655" s="1726"/>
      <c r="CC655" s="1726"/>
    </row>
    <row r="656" spans="4:81" s="334" customFormat="1" x14ac:dyDescent="0.25">
      <c r="D656" s="1804"/>
      <c r="E656" s="477"/>
      <c r="F656" s="343"/>
      <c r="G656" s="477"/>
      <c r="H656" s="343"/>
      <c r="I656" s="477"/>
      <c r="J656" s="343"/>
      <c r="K656" s="477"/>
      <c r="M656" s="477"/>
      <c r="O656" s="477"/>
      <c r="Q656" s="477"/>
      <c r="S656" s="477"/>
      <c r="U656" s="477"/>
      <c r="W656" s="477"/>
      <c r="Y656" s="477"/>
      <c r="AA656" s="477"/>
      <c r="BG656" s="1726"/>
      <c r="BH656" s="1726"/>
      <c r="BI656" s="1726"/>
      <c r="BJ656" s="1726"/>
      <c r="BK656" s="1726"/>
      <c r="BL656" s="1726"/>
      <c r="BM656" s="1726"/>
      <c r="BN656" s="1726"/>
      <c r="BO656" s="1726"/>
      <c r="BP656" s="1726"/>
      <c r="BQ656" s="1726"/>
      <c r="BR656" s="1726"/>
      <c r="BS656" s="1726"/>
      <c r="BT656" s="1726"/>
      <c r="BU656" s="1726"/>
      <c r="BV656" s="1726"/>
      <c r="BW656" s="1726"/>
      <c r="BX656" s="1726"/>
      <c r="BY656" s="1726"/>
      <c r="BZ656" s="1726"/>
      <c r="CA656" s="1726"/>
      <c r="CB656" s="1726"/>
      <c r="CC656" s="1726"/>
    </row>
    <row r="657" spans="4:81" s="334" customFormat="1" x14ac:dyDescent="0.25">
      <c r="D657" s="1804"/>
      <c r="E657" s="477"/>
      <c r="F657" s="343"/>
      <c r="G657" s="477"/>
      <c r="H657" s="343"/>
      <c r="I657" s="477"/>
      <c r="J657" s="343"/>
      <c r="K657" s="477"/>
      <c r="M657" s="477"/>
      <c r="O657" s="477"/>
      <c r="Q657" s="477"/>
      <c r="S657" s="477"/>
      <c r="U657" s="477"/>
      <c r="W657" s="477"/>
      <c r="Y657" s="477"/>
      <c r="AA657" s="477"/>
      <c r="BG657" s="1726"/>
      <c r="BH657" s="1726"/>
      <c r="BI657" s="1726"/>
      <c r="BJ657" s="1726"/>
      <c r="BK657" s="1726"/>
      <c r="BL657" s="1726"/>
      <c r="BM657" s="1726"/>
      <c r="BN657" s="1726"/>
      <c r="BO657" s="1726"/>
      <c r="BP657" s="1726"/>
      <c r="BQ657" s="1726"/>
      <c r="BR657" s="1726"/>
      <c r="BS657" s="1726"/>
      <c r="BT657" s="1726"/>
      <c r="BU657" s="1726"/>
      <c r="BV657" s="1726"/>
      <c r="BW657" s="1726"/>
      <c r="BX657" s="1726"/>
      <c r="BY657" s="1726"/>
      <c r="BZ657" s="1726"/>
      <c r="CA657" s="1726"/>
      <c r="CB657" s="1726"/>
      <c r="CC657" s="1726"/>
    </row>
    <row r="658" spans="4:81" s="334" customFormat="1" x14ac:dyDescent="0.25">
      <c r="D658" s="1804"/>
      <c r="E658" s="477"/>
      <c r="F658" s="343"/>
      <c r="G658" s="477"/>
      <c r="H658" s="343"/>
      <c r="I658" s="477"/>
      <c r="J658" s="343"/>
      <c r="K658" s="477"/>
      <c r="M658" s="477"/>
      <c r="O658" s="477"/>
      <c r="Q658" s="477"/>
      <c r="S658" s="477"/>
      <c r="U658" s="477"/>
      <c r="W658" s="477"/>
      <c r="Y658" s="477"/>
      <c r="AA658" s="477"/>
      <c r="BG658" s="1726"/>
      <c r="BH658" s="1726"/>
      <c r="BI658" s="1726"/>
      <c r="BJ658" s="1726"/>
      <c r="BK658" s="1726"/>
      <c r="BL658" s="1726"/>
      <c r="BM658" s="1726"/>
      <c r="BN658" s="1726"/>
      <c r="BO658" s="1726"/>
      <c r="BP658" s="1726"/>
      <c r="BQ658" s="1726"/>
      <c r="BR658" s="1726"/>
      <c r="BS658" s="1726"/>
      <c r="BT658" s="1726"/>
      <c r="BU658" s="1726"/>
      <c r="BV658" s="1726"/>
      <c r="BW658" s="1726"/>
      <c r="BX658" s="1726"/>
      <c r="BY658" s="1726"/>
      <c r="BZ658" s="1726"/>
      <c r="CA658" s="1726"/>
      <c r="CB658" s="1726"/>
      <c r="CC658" s="1726"/>
    </row>
    <row r="659" spans="4:81" s="334" customFormat="1" x14ac:dyDescent="0.25">
      <c r="D659" s="1804"/>
      <c r="E659" s="477"/>
      <c r="F659" s="343"/>
      <c r="G659" s="477"/>
      <c r="H659" s="343"/>
      <c r="I659" s="477"/>
      <c r="J659" s="343"/>
      <c r="K659" s="477"/>
      <c r="M659" s="477"/>
      <c r="O659" s="477"/>
      <c r="Q659" s="477"/>
      <c r="S659" s="477"/>
      <c r="U659" s="477"/>
      <c r="W659" s="477"/>
      <c r="Y659" s="477"/>
      <c r="AA659" s="477"/>
      <c r="BG659" s="1726"/>
      <c r="BH659" s="1726"/>
      <c r="BI659" s="1726"/>
      <c r="BJ659" s="1726"/>
      <c r="BK659" s="1726"/>
      <c r="BL659" s="1726"/>
      <c r="BM659" s="1726"/>
      <c r="BN659" s="1726"/>
      <c r="BO659" s="1726"/>
      <c r="BP659" s="1726"/>
      <c r="BQ659" s="1726"/>
      <c r="BR659" s="1726"/>
      <c r="BS659" s="1726"/>
      <c r="BT659" s="1726"/>
      <c r="BU659" s="1726"/>
      <c r="BV659" s="1726"/>
      <c r="BW659" s="1726"/>
      <c r="BX659" s="1726"/>
      <c r="BY659" s="1726"/>
      <c r="BZ659" s="1726"/>
      <c r="CA659" s="1726"/>
      <c r="CB659" s="1726"/>
      <c r="CC659" s="1726"/>
    </row>
    <row r="660" spans="4:81" s="334" customFormat="1" x14ac:dyDescent="0.25">
      <c r="D660" s="1804"/>
      <c r="E660" s="477"/>
      <c r="F660" s="343"/>
      <c r="G660" s="477"/>
      <c r="H660" s="343"/>
      <c r="I660" s="477"/>
      <c r="J660" s="343"/>
      <c r="K660" s="477"/>
      <c r="M660" s="477"/>
      <c r="O660" s="477"/>
      <c r="Q660" s="477"/>
      <c r="S660" s="477"/>
      <c r="U660" s="477"/>
      <c r="W660" s="477"/>
      <c r="Y660" s="477"/>
      <c r="AA660" s="477"/>
      <c r="BG660" s="1726"/>
      <c r="BH660" s="1726"/>
      <c r="BI660" s="1726"/>
      <c r="BJ660" s="1726"/>
      <c r="BK660" s="1726"/>
      <c r="BL660" s="1726"/>
      <c r="BM660" s="1726"/>
      <c r="BN660" s="1726"/>
      <c r="BO660" s="1726"/>
      <c r="BP660" s="1726"/>
      <c r="BQ660" s="1726"/>
      <c r="BR660" s="1726"/>
      <c r="BS660" s="1726"/>
      <c r="BT660" s="1726"/>
      <c r="BU660" s="1726"/>
      <c r="BV660" s="1726"/>
      <c r="BW660" s="1726"/>
      <c r="BX660" s="1726"/>
      <c r="BY660" s="1726"/>
      <c r="BZ660" s="1726"/>
      <c r="CA660" s="1726"/>
      <c r="CB660" s="1726"/>
      <c r="CC660" s="1726"/>
    </row>
    <row r="661" spans="4:81" s="334" customFormat="1" x14ac:dyDescent="0.25">
      <c r="D661" s="1804"/>
      <c r="E661" s="477"/>
      <c r="F661" s="343"/>
      <c r="G661" s="477"/>
      <c r="H661" s="343"/>
      <c r="I661" s="477"/>
      <c r="J661" s="343"/>
      <c r="K661" s="477"/>
      <c r="M661" s="477"/>
      <c r="O661" s="477"/>
      <c r="Q661" s="477"/>
      <c r="S661" s="477"/>
      <c r="U661" s="477"/>
      <c r="W661" s="477"/>
      <c r="Y661" s="477"/>
      <c r="AA661" s="477"/>
      <c r="BG661" s="1726"/>
      <c r="BH661" s="1726"/>
      <c r="BI661" s="1726"/>
      <c r="BJ661" s="1726"/>
      <c r="BK661" s="1726"/>
      <c r="BL661" s="1726"/>
      <c r="BM661" s="1726"/>
      <c r="BN661" s="1726"/>
      <c r="BO661" s="1726"/>
      <c r="BP661" s="1726"/>
      <c r="BQ661" s="1726"/>
      <c r="BR661" s="1726"/>
      <c r="BS661" s="1726"/>
      <c r="BT661" s="1726"/>
      <c r="BU661" s="1726"/>
      <c r="BV661" s="1726"/>
      <c r="BW661" s="1726"/>
      <c r="BX661" s="1726"/>
      <c r="BY661" s="1726"/>
      <c r="BZ661" s="1726"/>
      <c r="CA661" s="1726"/>
      <c r="CB661" s="1726"/>
      <c r="CC661" s="1726"/>
    </row>
    <row r="662" spans="4:81" s="334" customFormat="1" x14ac:dyDescent="0.25">
      <c r="D662" s="1804"/>
      <c r="E662" s="477"/>
      <c r="F662" s="343"/>
      <c r="G662" s="477"/>
      <c r="H662" s="343"/>
      <c r="I662" s="477"/>
      <c r="J662" s="343"/>
      <c r="K662" s="477"/>
      <c r="M662" s="477"/>
      <c r="O662" s="477"/>
      <c r="Q662" s="477"/>
      <c r="S662" s="477"/>
      <c r="U662" s="477"/>
      <c r="W662" s="477"/>
      <c r="Y662" s="477"/>
      <c r="AA662" s="477"/>
      <c r="BG662" s="1726"/>
      <c r="BH662" s="1726"/>
      <c r="BI662" s="1726"/>
      <c r="BJ662" s="1726"/>
      <c r="BK662" s="1726"/>
      <c r="BL662" s="1726"/>
      <c r="BM662" s="1726"/>
      <c r="BN662" s="1726"/>
      <c r="BO662" s="1726"/>
      <c r="BP662" s="1726"/>
      <c r="BQ662" s="1726"/>
      <c r="BR662" s="1726"/>
      <c r="BS662" s="1726"/>
      <c r="BT662" s="1726"/>
      <c r="BU662" s="1726"/>
      <c r="BV662" s="1726"/>
      <c r="BW662" s="1726"/>
      <c r="BX662" s="1726"/>
      <c r="BY662" s="1726"/>
      <c r="BZ662" s="1726"/>
      <c r="CA662" s="1726"/>
      <c r="CB662" s="1726"/>
      <c r="CC662" s="1726"/>
    </row>
    <row r="663" spans="4:81" s="334" customFormat="1" x14ac:dyDescent="0.25">
      <c r="D663" s="1804"/>
      <c r="E663" s="477"/>
      <c r="F663" s="343"/>
      <c r="G663" s="477"/>
      <c r="H663" s="343"/>
      <c r="I663" s="477"/>
      <c r="J663" s="343"/>
      <c r="K663" s="477"/>
      <c r="M663" s="477"/>
      <c r="O663" s="477"/>
      <c r="Q663" s="477"/>
      <c r="S663" s="477"/>
      <c r="U663" s="477"/>
      <c r="W663" s="477"/>
      <c r="Y663" s="477"/>
      <c r="AA663" s="477"/>
      <c r="BG663" s="1726"/>
      <c r="BH663" s="1726"/>
      <c r="BI663" s="1726"/>
      <c r="BJ663" s="1726"/>
      <c r="BK663" s="1726"/>
      <c r="BL663" s="1726"/>
      <c r="BM663" s="1726"/>
      <c r="BN663" s="1726"/>
      <c r="BO663" s="1726"/>
      <c r="BP663" s="1726"/>
      <c r="BQ663" s="1726"/>
      <c r="BR663" s="1726"/>
      <c r="BS663" s="1726"/>
      <c r="BT663" s="1726"/>
      <c r="BU663" s="1726"/>
      <c r="BV663" s="1726"/>
      <c r="BW663" s="1726"/>
      <c r="BX663" s="1726"/>
      <c r="BY663" s="1726"/>
      <c r="BZ663" s="1726"/>
      <c r="CA663" s="1726"/>
      <c r="CB663" s="1726"/>
      <c r="CC663" s="1726"/>
    </row>
    <row r="664" spans="4:81" s="334" customFormat="1" x14ac:dyDescent="0.25">
      <c r="D664" s="1804"/>
      <c r="E664" s="477"/>
      <c r="F664" s="343"/>
      <c r="G664" s="477"/>
      <c r="H664" s="343"/>
      <c r="I664" s="477"/>
      <c r="J664" s="343"/>
      <c r="K664" s="477"/>
      <c r="M664" s="477"/>
      <c r="O664" s="477"/>
      <c r="Q664" s="477"/>
      <c r="S664" s="477"/>
      <c r="U664" s="477"/>
      <c r="W664" s="477"/>
      <c r="Y664" s="477"/>
      <c r="AA664" s="477"/>
      <c r="BG664" s="1726"/>
      <c r="BH664" s="1726"/>
      <c r="BI664" s="1726"/>
      <c r="BJ664" s="1726"/>
      <c r="BK664" s="1726"/>
      <c r="BL664" s="1726"/>
      <c r="BM664" s="1726"/>
      <c r="BN664" s="1726"/>
      <c r="BO664" s="1726"/>
      <c r="BP664" s="1726"/>
      <c r="BQ664" s="1726"/>
      <c r="BR664" s="1726"/>
      <c r="BS664" s="1726"/>
      <c r="BT664" s="1726"/>
      <c r="BU664" s="1726"/>
      <c r="BV664" s="1726"/>
      <c r="BW664" s="1726"/>
      <c r="BX664" s="1726"/>
      <c r="BY664" s="1726"/>
      <c r="BZ664" s="1726"/>
      <c r="CA664" s="1726"/>
      <c r="CB664" s="1726"/>
      <c r="CC664" s="1726"/>
    </row>
    <row r="665" spans="4:81" s="334" customFormat="1" x14ac:dyDescent="0.25">
      <c r="D665" s="1804"/>
      <c r="E665" s="477"/>
      <c r="F665" s="343"/>
      <c r="G665" s="477"/>
      <c r="H665" s="343"/>
      <c r="I665" s="477"/>
      <c r="J665" s="343"/>
      <c r="K665" s="477"/>
      <c r="M665" s="477"/>
      <c r="O665" s="477"/>
      <c r="Q665" s="477"/>
      <c r="S665" s="477"/>
      <c r="U665" s="477"/>
      <c r="W665" s="477"/>
      <c r="Y665" s="477"/>
      <c r="AA665" s="477"/>
      <c r="BG665" s="1726"/>
      <c r="BH665" s="1726"/>
      <c r="BI665" s="1726"/>
      <c r="BJ665" s="1726"/>
      <c r="BK665" s="1726"/>
      <c r="BL665" s="1726"/>
      <c r="BM665" s="1726"/>
      <c r="BN665" s="1726"/>
      <c r="BO665" s="1726"/>
      <c r="BP665" s="1726"/>
      <c r="BQ665" s="1726"/>
      <c r="BR665" s="1726"/>
      <c r="BS665" s="1726"/>
      <c r="BT665" s="1726"/>
      <c r="BU665" s="1726"/>
      <c r="BV665" s="1726"/>
      <c r="BW665" s="1726"/>
      <c r="BX665" s="1726"/>
      <c r="BY665" s="1726"/>
      <c r="BZ665" s="1726"/>
      <c r="CA665" s="1726"/>
      <c r="CB665" s="1726"/>
      <c r="CC665" s="1726"/>
    </row>
    <row r="666" spans="4:81" s="334" customFormat="1" x14ac:dyDescent="0.25">
      <c r="D666" s="1804"/>
      <c r="E666" s="477"/>
      <c r="F666" s="343"/>
      <c r="G666" s="477"/>
      <c r="H666" s="343"/>
      <c r="I666" s="477"/>
      <c r="J666" s="343"/>
      <c r="K666" s="477"/>
      <c r="M666" s="477"/>
      <c r="O666" s="477"/>
      <c r="Q666" s="477"/>
      <c r="S666" s="477"/>
      <c r="U666" s="477"/>
      <c r="W666" s="477"/>
      <c r="Y666" s="477"/>
      <c r="AA666" s="477"/>
      <c r="BG666" s="1726"/>
      <c r="BH666" s="1726"/>
      <c r="BI666" s="1726"/>
      <c r="BJ666" s="1726"/>
      <c r="BK666" s="1726"/>
      <c r="BL666" s="1726"/>
      <c r="BM666" s="1726"/>
      <c r="BN666" s="1726"/>
      <c r="BO666" s="1726"/>
      <c r="BP666" s="1726"/>
      <c r="BQ666" s="1726"/>
      <c r="BR666" s="1726"/>
      <c r="BS666" s="1726"/>
      <c r="BT666" s="1726"/>
      <c r="BU666" s="1726"/>
      <c r="BV666" s="1726"/>
      <c r="BW666" s="1726"/>
      <c r="BX666" s="1726"/>
      <c r="BY666" s="1726"/>
      <c r="BZ666" s="1726"/>
      <c r="CA666" s="1726"/>
      <c r="CB666" s="1726"/>
      <c r="CC666" s="1726"/>
    </row>
    <row r="667" spans="4:81" s="334" customFormat="1" x14ac:dyDescent="0.25">
      <c r="D667" s="1804"/>
      <c r="E667" s="477"/>
      <c r="F667" s="343"/>
      <c r="G667" s="477"/>
      <c r="H667" s="343"/>
      <c r="I667" s="477"/>
      <c r="J667" s="343"/>
      <c r="K667" s="477"/>
      <c r="M667" s="477"/>
      <c r="O667" s="477"/>
      <c r="Q667" s="477"/>
      <c r="S667" s="477"/>
      <c r="U667" s="477"/>
      <c r="W667" s="477"/>
      <c r="Y667" s="477"/>
      <c r="AA667" s="477"/>
      <c r="BG667" s="1726"/>
      <c r="BH667" s="1726"/>
      <c r="BI667" s="1726"/>
      <c r="BJ667" s="1726"/>
      <c r="BK667" s="1726"/>
      <c r="BL667" s="1726"/>
      <c r="BM667" s="1726"/>
      <c r="BN667" s="1726"/>
      <c r="BO667" s="1726"/>
      <c r="BP667" s="1726"/>
      <c r="BQ667" s="1726"/>
      <c r="BR667" s="1726"/>
      <c r="BS667" s="1726"/>
      <c r="BT667" s="1726"/>
      <c r="BU667" s="1726"/>
      <c r="BV667" s="1726"/>
      <c r="BW667" s="1726"/>
      <c r="BX667" s="1726"/>
      <c r="BY667" s="1726"/>
      <c r="BZ667" s="1726"/>
      <c r="CA667" s="1726"/>
      <c r="CB667" s="1726"/>
      <c r="CC667" s="1726"/>
    </row>
    <row r="668" spans="4:81" s="334" customFormat="1" x14ac:dyDescent="0.25">
      <c r="D668" s="1804"/>
      <c r="E668" s="477"/>
      <c r="F668" s="343"/>
      <c r="G668" s="477"/>
      <c r="H668" s="343"/>
      <c r="I668" s="477"/>
      <c r="J668" s="343"/>
      <c r="K668" s="477"/>
      <c r="M668" s="477"/>
      <c r="O668" s="477"/>
      <c r="Q668" s="477"/>
      <c r="S668" s="477"/>
      <c r="U668" s="477"/>
      <c r="W668" s="477"/>
      <c r="Y668" s="477"/>
      <c r="AA668" s="477"/>
      <c r="BG668" s="1726"/>
      <c r="BH668" s="1726"/>
      <c r="BI668" s="1726"/>
      <c r="BJ668" s="1726"/>
      <c r="BK668" s="1726"/>
      <c r="BL668" s="1726"/>
      <c r="BM668" s="1726"/>
      <c r="BN668" s="1726"/>
      <c r="BO668" s="1726"/>
      <c r="BP668" s="1726"/>
      <c r="BQ668" s="1726"/>
      <c r="BR668" s="1726"/>
      <c r="BS668" s="1726"/>
      <c r="BT668" s="1726"/>
      <c r="BU668" s="1726"/>
      <c r="BV668" s="1726"/>
      <c r="BW668" s="1726"/>
      <c r="BX668" s="1726"/>
      <c r="BY668" s="1726"/>
      <c r="BZ668" s="1726"/>
      <c r="CA668" s="1726"/>
      <c r="CB668" s="1726"/>
      <c r="CC668" s="1726"/>
    </row>
    <row r="669" spans="4:81" s="334" customFormat="1" x14ac:dyDescent="0.25">
      <c r="D669" s="1804"/>
      <c r="E669" s="477"/>
      <c r="F669" s="343"/>
      <c r="G669" s="477"/>
      <c r="H669" s="343"/>
      <c r="I669" s="477"/>
      <c r="J669" s="343"/>
      <c r="K669" s="477"/>
      <c r="M669" s="477"/>
      <c r="O669" s="477"/>
      <c r="Q669" s="477"/>
      <c r="S669" s="477"/>
      <c r="U669" s="477"/>
      <c r="W669" s="477"/>
      <c r="Y669" s="477"/>
      <c r="AA669" s="477"/>
      <c r="BG669" s="1726"/>
      <c r="BH669" s="1726"/>
      <c r="BI669" s="1726"/>
      <c r="BJ669" s="1726"/>
      <c r="BK669" s="1726"/>
      <c r="BL669" s="1726"/>
      <c r="BM669" s="1726"/>
      <c r="BN669" s="1726"/>
      <c r="BO669" s="1726"/>
      <c r="BP669" s="1726"/>
      <c r="BQ669" s="1726"/>
      <c r="BR669" s="1726"/>
      <c r="BS669" s="1726"/>
      <c r="BT669" s="1726"/>
      <c r="BU669" s="1726"/>
      <c r="BV669" s="1726"/>
      <c r="BW669" s="1726"/>
      <c r="BX669" s="1726"/>
      <c r="BY669" s="1726"/>
      <c r="BZ669" s="1726"/>
      <c r="CA669" s="1726"/>
      <c r="CB669" s="1726"/>
      <c r="CC669" s="1726"/>
    </row>
    <row r="670" spans="4:81" s="334" customFormat="1" x14ac:dyDescent="0.25">
      <c r="D670" s="1804"/>
      <c r="E670" s="477"/>
      <c r="F670" s="343"/>
      <c r="G670" s="477"/>
      <c r="H670" s="343"/>
      <c r="I670" s="477"/>
      <c r="J670" s="343"/>
      <c r="K670" s="477"/>
      <c r="M670" s="477"/>
      <c r="O670" s="477"/>
      <c r="Q670" s="477"/>
      <c r="S670" s="477"/>
      <c r="U670" s="477"/>
      <c r="W670" s="477"/>
      <c r="Y670" s="477"/>
      <c r="AA670" s="477"/>
      <c r="BG670" s="1726"/>
      <c r="BH670" s="1726"/>
      <c r="BI670" s="1726"/>
      <c r="BJ670" s="1726"/>
      <c r="BK670" s="1726"/>
      <c r="BL670" s="1726"/>
      <c r="BM670" s="1726"/>
      <c r="BN670" s="1726"/>
      <c r="BO670" s="1726"/>
      <c r="BP670" s="1726"/>
      <c r="BQ670" s="1726"/>
      <c r="BR670" s="1726"/>
      <c r="BS670" s="1726"/>
      <c r="BT670" s="1726"/>
      <c r="BU670" s="1726"/>
      <c r="BV670" s="1726"/>
      <c r="BW670" s="1726"/>
      <c r="BX670" s="1726"/>
      <c r="BY670" s="1726"/>
      <c r="BZ670" s="1726"/>
      <c r="CA670" s="1726"/>
      <c r="CB670" s="1726"/>
      <c r="CC670" s="1726"/>
    </row>
    <row r="671" spans="4:81" s="334" customFormat="1" x14ac:dyDescent="0.25">
      <c r="D671" s="1804"/>
      <c r="E671" s="477"/>
      <c r="F671" s="343"/>
      <c r="G671" s="477"/>
      <c r="H671" s="343"/>
      <c r="I671" s="477"/>
      <c r="J671" s="343"/>
      <c r="K671" s="477"/>
      <c r="M671" s="477"/>
      <c r="O671" s="477"/>
      <c r="Q671" s="477"/>
      <c r="S671" s="477"/>
      <c r="U671" s="477"/>
      <c r="W671" s="477"/>
      <c r="Y671" s="477"/>
      <c r="AA671" s="477"/>
      <c r="BG671" s="1726"/>
      <c r="BH671" s="1726"/>
      <c r="BI671" s="1726"/>
      <c r="BJ671" s="1726"/>
      <c r="BK671" s="1726"/>
      <c r="BL671" s="1726"/>
      <c r="BM671" s="1726"/>
      <c r="BN671" s="1726"/>
      <c r="BO671" s="1726"/>
      <c r="BP671" s="1726"/>
      <c r="BQ671" s="1726"/>
      <c r="BR671" s="1726"/>
      <c r="BS671" s="1726"/>
      <c r="BT671" s="1726"/>
      <c r="BU671" s="1726"/>
      <c r="BV671" s="1726"/>
      <c r="BW671" s="1726"/>
      <c r="BX671" s="1726"/>
      <c r="BY671" s="1726"/>
      <c r="BZ671" s="1726"/>
      <c r="CA671" s="1726"/>
      <c r="CB671" s="1726"/>
      <c r="CC671" s="1726"/>
    </row>
    <row r="672" spans="4:81" s="334" customFormat="1" x14ac:dyDescent="0.25">
      <c r="D672" s="1804"/>
      <c r="E672" s="477"/>
      <c r="F672" s="343"/>
      <c r="G672" s="477"/>
      <c r="H672" s="343"/>
      <c r="I672" s="477"/>
      <c r="J672" s="343"/>
      <c r="K672" s="477"/>
      <c r="M672" s="477"/>
      <c r="O672" s="477"/>
      <c r="Q672" s="477"/>
      <c r="S672" s="477"/>
      <c r="U672" s="477"/>
      <c r="W672" s="477"/>
      <c r="Y672" s="477"/>
      <c r="AA672" s="477"/>
      <c r="BG672" s="1726"/>
      <c r="BH672" s="1726"/>
      <c r="BI672" s="1726"/>
      <c r="BJ672" s="1726"/>
      <c r="BK672" s="1726"/>
      <c r="BL672" s="1726"/>
      <c r="BM672" s="1726"/>
      <c r="BN672" s="1726"/>
      <c r="BO672" s="1726"/>
      <c r="BP672" s="1726"/>
      <c r="BQ672" s="1726"/>
      <c r="BR672" s="1726"/>
      <c r="BS672" s="1726"/>
      <c r="BT672" s="1726"/>
      <c r="BU672" s="1726"/>
      <c r="BV672" s="1726"/>
      <c r="BW672" s="1726"/>
      <c r="BX672" s="1726"/>
      <c r="BY672" s="1726"/>
      <c r="BZ672" s="1726"/>
      <c r="CA672" s="1726"/>
      <c r="CB672" s="1726"/>
      <c r="CC672" s="1726"/>
    </row>
    <row r="673" spans="4:81" s="334" customFormat="1" x14ac:dyDescent="0.25">
      <c r="D673" s="1804"/>
      <c r="E673" s="477"/>
      <c r="F673" s="343"/>
      <c r="G673" s="477"/>
      <c r="H673" s="343"/>
      <c r="I673" s="477"/>
      <c r="J673" s="343"/>
      <c r="K673" s="477"/>
      <c r="M673" s="477"/>
      <c r="O673" s="477"/>
      <c r="Q673" s="477"/>
      <c r="S673" s="477"/>
      <c r="U673" s="477"/>
      <c r="W673" s="477"/>
      <c r="Y673" s="477"/>
      <c r="AA673" s="477"/>
      <c r="BG673" s="1726"/>
      <c r="BH673" s="1726"/>
      <c r="BI673" s="1726"/>
      <c r="BJ673" s="1726"/>
      <c r="BK673" s="1726"/>
      <c r="BL673" s="1726"/>
      <c r="BM673" s="1726"/>
      <c r="BN673" s="1726"/>
      <c r="BO673" s="1726"/>
      <c r="BP673" s="1726"/>
      <c r="BQ673" s="1726"/>
      <c r="BR673" s="1726"/>
      <c r="BS673" s="1726"/>
      <c r="BT673" s="1726"/>
      <c r="BU673" s="1726"/>
      <c r="BV673" s="1726"/>
      <c r="BW673" s="1726"/>
      <c r="BX673" s="1726"/>
      <c r="BY673" s="1726"/>
      <c r="BZ673" s="1726"/>
      <c r="CA673" s="1726"/>
      <c r="CB673" s="1726"/>
      <c r="CC673" s="1726"/>
    </row>
    <row r="674" spans="4:81" s="334" customFormat="1" x14ac:dyDescent="0.25">
      <c r="D674" s="1804"/>
      <c r="E674" s="477"/>
      <c r="F674" s="343"/>
      <c r="G674" s="477"/>
      <c r="H674" s="343"/>
      <c r="I674" s="477"/>
      <c r="J674" s="343"/>
      <c r="K674" s="477"/>
      <c r="M674" s="477"/>
      <c r="O674" s="477"/>
      <c r="Q674" s="477"/>
      <c r="S674" s="477"/>
      <c r="U674" s="477"/>
      <c r="W674" s="477"/>
      <c r="Y674" s="477"/>
      <c r="AA674" s="477"/>
      <c r="BG674" s="1726"/>
      <c r="BH674" s="1726"/>
      <c r="BI674" s="1726"/>
      <c r="BJ674" s="1726"/>
      <c r="BK674" s="1726"/>
      <c r="BL674" s="1726"/>
      <c r="BM674" s="1726"/>
      <c r="BN674" s="1726"/>
      <c r="BO674" s="1726"/>
      <c r="BP674" s="1726"/>
      <c r="BQ674" s="1726"/>
      <c r="BR674" s="1726"/>
      <c r="BS674" s="1726"/>
      <c r="BT674" s="1726"/>
      <c r="BU674" s="1726"/>
      <c r="BV674" s="1726"/>
      <c r="BW674" s="1726"/>
      <c r="BX674" s="1726"/>
      <c r="BY674" s="1726"/>
      <c r="BZ674" s="1726"/>
      <c r="CA674" s="1726"/>
      <c r="CB674" s="1726"/>
      <c r="CC674" s="1726"/>
    </row>
    <row r="675" spans="4:81" s="334" customFormat="1" x14ac:dyDescent="0.25">
      <c r="D675" s="1804"/>
      <c r="E675" s="477"/>
      <c r="F675" s="343"/>
      <c r="G675" s="477"/>
      <c r="H675" s="343"/>
      <c r="I675" s="477"/>
      <c r="J675" s="343"/>
      <c r="K675" s="477"/>
      <c r="M675" s="477"/>
      <c r="O675" s="477"/>
      <c r="Q675" s="477"/>
      <c r="S675" s="477"/>
      <c r="U675" s="477"/>
      <c r="W675" s="477"/>
      <c r="Y675" s="477"/>
      <c r="AA675" s="477"/>
      <c r="BG675" s="1726"/>
      <c r="BH675" s="1726"/>
      <c r="BI675" s="1726"/>
      <c r="BJ675" s="1726"/>
      <c r="BK675" s="1726"/>
      <c r="BL675" s="1726"/>
      <c r="BM675" s="1726"/>
      <c r="BN675" s="1726"/>
      <c r="BO675" s="1726"/>
      <c r="BP675" s="1726"/>
      <c r="BQ675" s="1726"/>
      <c r="BR675" s="1726"/>
      <c r="BS675" s="1726"/>
      <c r="BT675" s="1726"/>
      <c r="BU675" s="1726"/>
      <c r="BV675" s="1726"/>
      <c r="BW675" s="1726"/>
      <c r="BX675" s="1726"/>
      <c r="BY675" s="1726"/>
      <c r="BZ675" s="1726"/>
      <c r="CA675" s="1726"/>
      <c r="CB675" s="1726"/>
      <c r="CC675" s="1726"/>
    </row>
    <row r="676" spans="4:81" s="334" customFormat="1" x14ac:dyDescent="0.25">
      <c r="D676" s="1804"/>
      <c r="E676" s="477"/>
      <c r="F676" s="343"/>
      <c r="G676" s="477"/>
      <c r="H676" s="343"/>
      <c r="I676" s="477"/>
      <c r="J676" s="343"/>
      <c r="K676" s="477"/>
      <c r="M676" s="477"/>
      <c r="O676" s="477"/>
      <c r="Q676" s="477"/>
      <c r="S676" s="477"/>
      <c r="U676" s="477"/>
      <c r="W676" s="477"/>
      <c r="Y676" s="477"/>
      <c r="AA676" s="477"/>
      <c r="BG676" s="1726"/>
      <c r="BH676" s="1726"/>
      <c r="BI676" s="1726"/>
      <c r="BJ676" s="1726"/>
      <c r="BK676" s="1726"/>
      <c r="BL676" s="1726"/>
      <c r="BM676" s="1726"/>
      <c r="BN676" s="1726"/>
      <c r="BO676" s="1726"/>
      <c r="BP676" s="1726"/>
      <c r="BQ676" s="1726"/>
      <c r="BR676" s="1726"/>
      <c r="BS676" s="1726"/>
      <c r="BT676" s="1726"/>
      <c r="BU676" s="1726"/>
      <c r="BV676" s="1726"/>
      <c r="BW676" s="1726"/>
      <c r="BX676" s="1726"/>
      <c r="BY676" s="1726"/>
      <c r="BZ676" s="1726"/>
      <c r="CA676" s="1726"/>
      <c r="CB676" s="1726"/>
      <c r="CC676" s="1726"/>
    </row>
    <row r="677" spans="4:81" s="334" customFormat="1" x14ac:dyDescent="0.25">
      <c r="D677" s="1804"/>
      <c r="E677" s="477"/>
      <c r="F677" s="343"/>
      <c r="G677" s="477"/>
      <c r="H677" s="343"/>
      <c r="I677" s="477"/>
      <c r="J677" s="343"/>
      <c r="K677" s="477"/>
      <c r="M677" s="477"/>
      <c r="O677" s="477"/>
      <c r="Q677" s="477"/>
      <c r="S677" s="477"/>
      <c r="U677" s="477"/>
      <c r="W677" s="477"/>
      <c r="Y677" s="477"/>
      <c r="AA677" s="477"/>
      <c r="BG677" s="1726"/>
      <c r="BH677" s="1726"/>
      <c r="BI677" s="1726"/>
      <c r="BJ677" s="1726"/>
      <c r="BK677" s="1726"/>
      <c r="BL677" s="1726"/>
      <c r="BM677" s="1726"/>
      <c r="BN677" s="1726"/>
      <c r="BO677" s="1726"/>
      <c r="BP677" s="1726"/>
      <c r="BQ677" s="1726"/>
      <c r="BR677" s="1726"/>
      <c r="BS677" s="1726"/>
      <c r="BT677" s="1726"/>
      <c r="BU677" s="1726"/>
      <c r="BV677" s="1726"/>
      <c r="BW677" s="1726"/>
      <c r="BX677" s="1726"/>
      <c r="BY677" s="1726"/>
      <c r="BZ677" s="1726"/>
      <c r="CA677" s="1726"/>
      <c r="CB677" s="1726"/>
      <c r="CC677" s="1726"/>
    </row>
    <row r="678" spans="4:81" s="334" customFormat="1" x14ac:dyDescent="0.25">
      <c r="D678" s="1804"/>
      <c r="E678" s="477"/>
      <c r="F678" s="343"/>
      <c r="G678" s="477"/>
      <c r="H678" s="343"/>
      <c r="I678" s="477"/>
      <c r="J678" s="343"/>
      <c r="K678" s="477"/>
      <c r="M678" s="477"/>
      <c r="O678" s="477"/>
      <c r="Q678" s="477"/>
      <c r="S678" s="477"/>
      <c r="U678" s="477"/>
      <c r="W678" s="477"/>
      <c r="Y678" s="477"/>
      <c r="AA678" s="477"/>
      <c r="BG678" s="1726"/>
      <c r="BH678" s="1726"/>
      <c r="BI678" s="1726"/>
      <c r="BJ678" s="1726"/>
      <c r="BK678" s="1726"/>
      <c r="BL678" s="1726"/>
      <c r="BM678" s="1726"/>
      <c r="BN678" s="1726"/>
      <c r="BO678" s="1726"/>
      <c r="BP678" s="1726"/>
      <c r="BQ678" s="1726"/>
      <c r="BR678" s="1726"/>
      <c r="BS678" s="1726"/>
      <c r="BT678" s="1726"/>
      <c r="BU678" s="1726"/>
      <c r="BV678" s="1726"/>
      <c r="BW678" s="1726"/>
      <c r="BX678" s="1726"/>
      <c r="BY678" s="1726"/>
      <c r="BZ678" s="1726"/>
      <c r="CA678" s="1726"/>
      <c r="CB678" s="1726"/>
      <c r="CC678" s="1726"/>
    </row>
    <row r="679" spans="4:81" s="334" customFormat="1" x14ac:dyDescent="0.25">
      <c r="D679" s="1804"/>
      <c r="E679" s="477"/>
      <c r="F679" s="343"/>
      <c r="G679" s="477"/>
      <c r="H679" s="343"/>
      <c r="I679" s="477"/>
      <c r="J679" s="343"/>
      <c r="K679" s="477"/>
      <c r="M679" s="477"/>
      <c r="O679" s="477"/>
      <c r="Q679" s="477"/>
      <c r="S679" s="477"/>
      <c r="U679" s="477"/>
      <c r="W679" s="477"/>
      <c r="Y679" s="477"/>
      <c r="AA679" s="477"/>
      <c r="BG679" s="1726"/>
      <c r="BH679" s="1726"/>
      <c r="BI679" s="1726"/>
      <c r="BJ679" s="1726"/>
      <c r="BK679" s="1726"/>
      <c r="BL679" s="1726"/>
      <c r="BM679" s="1726"/>
      <c r="BN679" s="1726"/>
      <c r="BO679" s="1726"/>
      <c r="BP679" s="1726"/>
      <c r="BQ679" s="1726"/>
      <c r="BR679" s="1726"/>
      <c r="BS679" s="1726"/>
      <c r="BT679" s="1726"/>
      <c r="BU679" s="1726"/>
      <c r="BV679" s="1726"/>
      <c r="BW679" s="1726"/>
      <c r="BX679" s="1726"/>
      <c r="BY679" s="1726"/>
      <c r="BZ679" s="1726"/>
      <c r="CA679" s="1726"/>
      <c r="CB679" s="1726"/>
      <c r="CC679" s="1726"/>
    </row>
    <row r="680" spans="4:81" s="334" customFormat="1" x14ac:dyDescent="0.25">
      <c r="D680" s="1804"/>
      <c r="E680" s="477"/>
      <c r="F680" s="343"/>
      <c r="G680" s="477"/>
      <c r="H680" s="343"/>
      <c r="I680" s="477"/>
      <c r="J680" s="343"/>
      <c r="K680" s="477"/>
      <c r="M680" s="477"/>
      <c r="O680" s="477"/>
      <c r="Q680" s="477"/>
      <c r="S680" s="477"/>
      <c r="U680" s="477"/>
      <c r="W680" s="477"/>
      <c r="Y680" s="477"/>
      <c r="AA680" s="477"/>
      <c r="BG680" s="1726"/>
      <c r="BH680" s="1726"/>
      <c r="BI680" s="1726"/>
      <c r="BJ680" s="1726"/>
      <c r="BK680" s="1726"/>
      <c r="BL680" s="1726"/>
      <c r="BM680" s="1726"/>
      <c r="BN680" s="1726"/>
      <c r="BO680" s="1726"/>
      <c r="BP680" s="1726"/>
      <c r="BQ680" s="1726"/>
      <c r="BR680" s="1726"/>
      <c r="BS680" s="1726"/>
      <c r="BT680" s="1726"/>
      <c r="BU680" s="1726"/>
      <c r="BV680" s="1726"/>
      <c r="BW680" s="1726"/>
      <c r="BX680" s="1726"/>
      <c r="BY680" s="1726"/>
      <c r="BZ680" s="1726"/>
      <c r="CA680" s="1726"/>
      <c r="CB680" s="1726"/>
      <c r="CC680" s="1726"/>
    </row>
    <row r="681" spans="4:81" s="334" customFormat="1" x14ac:dyDescent="0.25">
      <c r="D681" s="1804"/>
      <c r="E681" s="477"/>
      <c r="F681" s="343"/>
      <c r="G681" s="477"/>
      <c r="H681" s="343"/>
      <c r="I681" s="477"/>
      <c r="J681" s="343"/>
      <c r="K681" s="477"/>
      <c r="M681" s="477"/>
      <c r="O681" s="477"/>
      <c r="Q681" s="477"/>
      <c r="S681" s="477"/>
      <c r="U681" s="477"/>
      <c r="W681" s="477"/>
      <c r="Y681" s="477"/>
      <c r="AA681" s="477"/>
      <c r="BG681" s="1726"/>
      <c r="BH681" s="1726"/>
      <c r="BI681" s="1726"/>
      <c r="BJ681" s="1726"/>
      <c r="BK681" s="1726"/>
      <c r="BL681" s="1726"/>
      <c r="BM681" s="1726"/>
      <c r="BN681" s="1726"/>
      <c r="BO681" s="1726"/>
      <c r="BP681" s="1726"/>
      <c r="BQ681" s="1726"/>
      <c r="BR681" s="1726"/>
      <c r="BS681" s="1726"/>
      <c r="BT681" s="1726"/>
      <c r="BU681" s="1726"/>
      <c r="BV681" s="1726"/>
      <c r="BW681" s="1726"/>
      <c r="BX681" s="1726"/>
      <c r="BY681" s="1726"/>
      <c r="BZ681" s="1726"/>
      <c r="CA681" s="1726"/>
      <c r="CB681" s="1726"/>
      <c r="CC681" s="1726"/>
    </row>
    <row r="682" spans="4:81" s="334" customFormat="1" x14ac:dyDescent="0.25">
      <c r="D682" s="1804"/>
      <c r="E682" s="477"/>
      <c r="F682" s="343"/>
      <c r="G682" s="477"/>
      <c r="H682" s="343"/>
      <c r="I682" s="477"/>
      <c r="J682" s="343"/>
      <c r="K682" s="477"/>
      <c r="M682" s="477"/>
      <c r="O682" s="477"/>
      <c r="Q682" s="477"/>
      <c r="S682" s="477"/>
      <c r="U682" s="477"/>
      <c r="W682" s="477"/>
      <c r="Y682" s="477"/>
      <c r="AA682" s="477"/>
      <c r="BG682" s="1726"/>
      <c r="BH682" s="1726"/>
      <c r="BI682" s="1726"/>
      <c r="BJ682" s="1726"/>
      <c r="BK682" s="1726"/>
      <c r="BL682" s="1726"/>
      <c r="BM682" s="1726"/>
      <c r="BN682" s="1726"/>
      <c r="BO682" s="1726"/>
      <c r="BP682" s="1726"/>
      <c r="BQ682" s="1726"/>
      <c r="BR682" s="1726"/>
      <c r="BS682" s="1726"/>
      <c r="BT682" s="1726"/>
      <c r="BU682" s="1726"/>
      <c r="BV682" s="1726"/>
      <c r="BW682" s="1726"/>
      <c r="BX682" s="1726"/>
      <c r="BY682" s="1726"/>
      <c r="BZ682" s="1726"/>
      <c r="CA682" s="1726"/>
      <c r="CB682" s="1726"/>
      <c r="CC682" s="1726"/>
    </row>
    <row r="683" spans="4:81" s="334" customFormat="1" x14ac:dyDescent="0.25">
      <c r="D683" s="1804"/>
      <c r="E683" s="477"/>
      <c r="F683" s="343"/>
      <c r="G683" s="477"/>
      <c r="H683" s="343"/>
      <c r="I683" s="477"/>
      <c r="J683" s="343"/>
      <c r="K683" s="477"/>
      <c r="M683" s="477"/>
      <c r="O683" s="477"/>
      <c r="Q683" s="477"/>
      <c r="S683" s="477"/>
      <c r="U683" s="477"/>
      <c r="W683" s="477"/>
      <c r="Y683" s="477"/>
      <c r="AA683" s="477"/>
      <c r="BG683" s="1726"/>
      <c r="BH683" s="1726"/>
      <c r="BI683" s="1726"/>
      <c r="BJ683" s="1726"/>
      <c r="BK683" s="1726"/>
      <c r="BL683" s="1726"/>
      <c r="BM683" s="1726"/>
      <c r="BN683" s="1726"/>
      <c r="BO683" s="1726"/>
      <c r="BP683" s="1726"/>
      <c r="BQ683" s="1726"/>
      <c r="BR683" s="1726"/>
      <c r="BS683" s="1726"/>
      <c r="BT683" s="1726"/>
      <c r="BU683" s="1726"/>
      <c r="BV683" s="1726"/>
      <c r="BW683" s="1726"/>
      <c r="BX683" s="1726"/>
      <c r="BY683" s="1726"/>
      <c r="BZ683" s="1726"/>
      <c r="CA683" s="1726"/>
      <c r="CB683" s="1726"/>
      <c r="CC683" s="1726"/>
    </row>
    <row r="684" spans="4:81" s="334" customFormat="1" x14ac:dyDescent="0.25">
      <c r="D684" s="1804"/>
      <c r="E684" s="477"/>
      <c r="F684" s="343"/>
      <c r="G684" s="477"/>
      <c r="H684" s="343"/>
      <c r="I684" s="477"/>
      <c r="J684" s="343"/>
      <c r="K684" s="477"/>
      <c r="M684" s="477"/>
      <c r="O684" s="477"/>
      <c r="Q684" s="477"/>
      <c r="S684" s="477"/>
      <c r="U684" s="477"/>
      <c r="W684" s="477"/>
      <c r="Y684" s="477"/>
      <c r="AA684" s="477"/>
      <c r="BG684" s="1726"/>
      <c r="BH684" s="1726"/>
      <c r="BI684" s="1726"/>
      <c r="BJ684" s="1726"/>
      <c r="BK684" s="1726"/>
      <c r="BL684" s="1726"/>
      <c r="BM684" s="1726"/>
      <c r="BN684" s="1726"/>
      <c r="BO684" s="1726"/>
      <c r="BP684" s="1726"/>
      <c r="BQ684" s="1726"/>
      <c r="BR684" s="1726"/>
      <c r="BS684" s="1726"/>
      <c r="BT684" s="1726"/>
      <c r="BU684" s="1726"/>
      <c r="BV684" s="1726"/>
      <c r="BW684" s="1726"/>
      <c r="BX684" s="1726"/>
      <c r="BY684" s="1726"/>
      <c r="BZ684" s="1726"/>
      <c r="CA684" s="1726"/>
      <c r="CB684" s="1726"/>
      <c r="CC684" s="1726"/>
    </row>
    <row r="685" spans="4:81" s="334" customFormat="1" x14ac:dyDescent="0.25">
      <c r="D685" s="1804"/>
      <c r="E685" s="477"/>
      <c r="F685" s="343"/>
      <c r="G685" s="477"/>
      <c r="H685" s="343"/>
      <c r="I685" s="477"/>
      <c r="J685" s="343"/>
      <c r="K685" s="477"/>
      <c r="M685" s="477"/>
      <c r="O685" s="477"/>
      <c r="Q685" s="477"/>
      <c r="S685" s="477"/>
      <c r="U685" s="477"/>
      <c r="W685" s="477"/>
      <c r="Y685" s="477"/>
      <c r="AA685" s="477"/>
      <c r="BG685" s="1726"/>
      <c r="BH685" s="1726"/>
      <c r="BI685" s="1726"/>
      <c r="BJ685" s="1726"/>
      <c r="BK685" s="1726"/>
      <c r="BL685" s="1726"/>
      <c r="BM685" s="1726"/>
      <c r="BN685" s="1726"/>
      <c r="BO685" s="1726"/>
      <c r="BP685" s="1726"/>
      <c r="BQ685" s="1726"/>
      <c r="BR685" s="1726"/>
      <c r="BS685" s="1726"/>
      <c r="BT685" s="1726"/>
      <c r="BU685" s="1726"/>
      <c r="BV685" s="1726"/>
      <c r="BW685" s="1726"/>
      <c r="BX685" s="1726"/>
      <c r="BY685" s="1726"/>
      <c r="BZ685" s="1726"/>
      <c r="CA685" s="1726"/>
      <c r="CB685" s="1726"/>
      <c r="CC685" s="1726"/>
    </row>
    <row r="686" spans="4:81" s="334" customFormat="1" x14ac:dyDescent="0.25">
      <c r="D686" s="1804"/>
      <c r="E686" s="477"/>
      <c r="F686" s="343"/>
      <c r="G686" s="477"/>
      <c r="H686" s="343"/>
      <c r="I686" s="477"/>
      <c r="J686" s="343"/>
      <c r="K686" s="477"/>
      <c r="M686" s="477"/>
      <c r="O686" s="477"/>
      <c r="Q686" s="477"/>
      <c r="S686" s="477"/>
      <c r="U686" s="477"/>
      <c r="W686" s="477"/>
      <c r="Y686" s="477"/>
      <c r="AA686" s="477"/>
      <c r="BG686" s="1726"/>
      <c r="BH686" s="1726"/>
      <c r="BI686" s="1726"/>
      <c r="BJ686" s="1726"/>
      <c r="BK686" s="1726"/>
      <c r="BL686" s="1726"/>
      <c r="BM686" s="1726"/>
      <c r="BN686" s="1726"/>
      <c r="BO686" s="1726"/>
      <c r="BP686" s="1726"/>
      <c r="BQ686" s="1726"/>
      <c r="BR686" s="1726"/>
      <c r="BS686" s="1726"/>
      <c r="BT686" s="1726"/>
      <c r="BU686" s="1726"/>
      <c r="BV686" s="1726"/>
      <c r="BW686" s="1726"/>
      <c r="BX686" s="1726"/>
      <c r="BY686" s="1726"/>
      <c r="BZ686" s="1726"/>
      <c r="CA686" s="1726"/>
      <c r="CB686" s="1726"/>
      <c r="CC686" s="1726"/>
    </row>
    <row r="687" spans="4:81" s="334" customFormat="1" x14ac:dyDescent="0.25">
      <c r="D687" s="1804"/>
      <c r="E687" s="477"/>
      <c r="F687" s="343"/>
      <c r="G687" s="477"/>
      <c r="H687" s="343"/>
      <c r="I687" s="477"/>
      <c r="J687" s="343"/>
      <c r="K687" s="477"/>
      <c r="M687" s="477"/>
      <c r="O687" s="477"/>
      <c r="Q687" s="477"/>
      <c r="S687" s="477"/>
      <c r="U687" s="477"/>
      <c r="W687" s="477"/>
      <c r="Y687" s="477"/>
      <c r="AA687" s="477"/>
      <c r="BG687" s="1726"/>
      <c r="BH687" s="1726"/>
      <c r="BI687" s="1726"/>
      <c r="BJ687" s="1726"/>
      <c r="BK687" s="1726"/>
      <c r="BL687" s="1726"/>
      <c r="BM687" s="1726"/>
      <c r="BN687" s="1726"/>
      <c r="BO687" s="1726"/>
      <c r="BP687" s="1726"/>
      <c r="BQ687" s="1726"/>
      <c r="BR687" s="1726"/>
      <c r="BS687" s="1726"/>
      <c r="BT687" s="1726"/>
      <c r="BU687" s="1726"/>
      <c r="BV687" s="1726"/>
      <c r="BW687" s="1726"/>
      <c r="BX687" s="1726"/>
      <c r="BY687" s="1726"/>
      <c r="BZ687" s="1726"/>
      <c r="CA687" s="1726"/>
      <c r="CB687" s="1726"/>
      <c r="CC687" s="1726"/>
    </row>
    <row r="688" spans="4:81" s="334" customFormat="1" x14ac:dyDescent="0.25">
      <c r="D688" s="1804"/>
      <c r="E688" s="477"/>
      <c r="F688" s="343"/>
      <c r="G688" s="477"/>
      <c r="H688" s="343"/>
      <c r="I688" s="477"/>
      <c r="J688" s="343"/>
      <c r="K688" s="477"/>
      <c r="M688" s="477"/>
      <c r="O688" s="477"/>
      <c r="Q688" s="477"/>
      <c r="S688" s="477"/>
      <c r="U688" s="477"/>
      <c r="W688" s="477"/>
      <c r="Y688" s="477"/>
      <c r="AA688" s="477"/>
      <c r="BG688" s="1726"/>
      <c r="BH688" s="1726"/>
      <c r="BI688" s="1726"/>
      <c r="BJ688" s="1726"/>
      <c r="BK688" s="1726"/>
      <c r="BL688" s="1726"/>
      <c r="BM688" s="1726"/>
      <c r="BN688" s="1726"/>
      <c r="BO688" s="1726"/>
      <c r="BP688" s="1726"/>
      <c r="BQ688" s="1726"/>
      <c r="BR688" s="1726"/>
      <c r="BS688" s="1726"/>
      <c r="BT688" s="1726"/>
      <c r="BU688" s="1726"/>
      <c r="BV688" s="1726"/>
      <c r="BW688" s="1726"/>
      <c r="BX688" s="1726"/>
      <c r="BY688" s="1726"/>
      <c r="BZ688" s="1726"/>
      <c r="CA688" s="1726"/>
      <c r="CB688" s="1726"/>
      <c r="CC688" s="1726"/>
    </row>
    <row r="689" spans="4:81" s="334" customFormat="1" x14ac:dyDescent="0.25">
      <c r="D689" s="1804"/>
      <c r="E689" s="477"/>
      <c r="F689" s="343"/>
      <c r="G689" s="477"/>
      <c r="H689" s="343"/>
      <c r="I689" s="477"/>
      <c r="J689" s="343"/>
      <c r="K689" s="477"/>
      <c r="M689" s="477"/>
      <c r="O689" s="477"/>
      <c r="Q689" s="477"/>
      <c r="S689" s="477"/>
      <c r="U689" s="477"/>
      <c r="W689" s="477"/>
      <c r="Y689" s="477"/>
      <c r="AA689" s="477"/>
      <c r="BG689" s="1726"/>
      <c r="BH689" s="1726"/>
      <c r="BI689" s="1726"/>
      <c r="BJ689" s="1726"/>
      <c r="BK689" s="1726"/>
      <c r="BL689" s="1726"/>
      <c r="BM689" s="1726"/>
      <c r="BN689" s="1726"/>
      <c r="BO689" s="1726"/>
      <c r="BP689" s="1726"/>
      <c r="BQ689" s="1726"/>
      <c r="BR689" s="1726"/>
      <c r="BS689" s="1726"/>
      <c r="BT689" s="1726"/>
      <c r="BU689" s="1726"/>
      <c r="BV689" s="1726"/>
      <c r="BW689" s="1726"/>
      <c r="BX689" s="1726"/>
      <c r="BY689" s="1726"/>
      <c r="BZ689" s="1726"/>
      <c r="CA689" s="1726"/>
      <c r="CB689" s="1726"/>
      <c r="CC689" s="1726"/>
    </row>
    <row r="690" spans="4:81" s="334" customFormat="1" x14ac:dyDescent="0.25">
      <c r="D690" s="1804"/>
      <c r="E690" s="477"/>
      <c r="F690" s="343"/>
      <c r="G690" s="477"/>
      <c r="H690" s="343"/>
      <c r="I690" s="477"/>
      <c r="J690" s="343"/>
      <c r="K690" s="477"/>
      <c r="M690" s="477"/>
      <c r="O690" s="477"/>
      <c r="Q690" s="477"/>
      <c r="S690" s="477"/>
      <c r="U690" s="477"/>
      <c r="W690" s="477"/>
      <c r="Y690" s="477"/>
      <c r="AA690" s="477"/>
      <c r="BG690" s="1726"/>
      <c r="BH690" s="1726"/>
      <c r="BI690" s="1726"/>
      <c r="BJ690" s="1726"/>
      <c r="BK690" s="1726"/>
      <c r="BL690" s="1726"/>
      <c r="BM690" s="1726"/>
      <c r="BN690" s="1726"/>
      <c r="BO690" s="1726"/>
      <c r="BP690" s="1726"/>
      <c r="BQ690" s="1726"/>
      <c r="BR690" s="1726"/>
      <c r="BS690" s="1726"/>
      <c r="BT690" s="1726"/>
      <c r="BU690" s="1726"/>
      <c r="BV690" s="1726"/>
      <c r="BW690" s="1726"/>
      <c r="BX690" s="1726"/>
      <c r="BY690" s="1726"/>
      <c r="BZ690" s="1726"/>
      <c r="CA690" s="1726"/>
      <c r="CB690" s="1726"/>
      <c r="CC690" s="1726"/>
    </row>
    <row r="691" spans="4:81" s="334" customFormat="1" x14ac:dyDescent="0.25">
      <c r="D691" s="1804"/>
      <c r="E691" s="477"/>
      <c r="F691" s="343"/>
      <c r="G691" s="477"/>
      <c r="H691" s="343"/>
      <c r="I691" s="477"/>
      <c r="J691" s="343"/>
      <c r="K691" s="477"/>
      <c r="M691" s="477"/>
      <c r="O691" s="477"/>
      <c r="Q691" s="477"/>
      <c r="S691" s="477"/>
      <c r="U691" s="477"/>
      <c r="W691" s="477"/>
      <c r="Y691" s="477"/>
      <c r="AA691" s="477"/>
      <c r="BG691" s="1726"/>
      <c r="BH691" s="1726"/>
      <c r="BI691" s="1726"/>
      <c r="BJ691" s="1726"/>
      <c r="BK691" s="1726"/>
      <c r="BL691" s="1726"/>
      <c r="BM691" s="1726"/>
      <c r="BN691" s="1726"/>
      <c r="BO691" s="1726"/>
      <c r="BP691" s="1726"/>
      <c r="BQ691" s="1726"/>
      <c r="BR691" s="1726"/>
      <c r="BS691" s="1726"/>
      <c r="BT691" s="1726"/>
      <c r="BU691" s="1726"/>
      <c r="BV691" s="1726"/>
      <c r="BW691" s="1726"/>
      <c r="BX691" s="1726"/>
      <c r="BY691" s="1726"/>
      <c r="BZ691" s="1726"/>
      <c r="CA691" s="1726"/>
      <c r="CB691" s="1726"/>
      <c r="CC691" s="1726"/>
    </row>
    <row r="692" spans="4:81" s="334" customFormat="1" x14ac:dyDescent="0.25">
      <c r="D692" s="1804"/>
      <c r="E692" s="477"/>
      <c r="F692" s="343"/>
      <c r="G692" s="477"/>
      <c r="H692" s="343"/>
      <c r="I692" s="477"/>
      <c r="J692" s="343"/>
      <c r="K692" s="477"/>
      <c r="M692" s="477"/>
      <c r="O692" s="477"/>
      <c r="Q692" s="477"/>
      <c r="S692" s="477"/>
      <c r="U692" s="477"/>
      <c r="W692" s="477"/>
      <c r="Y692" s="477"/>
      <c r="AA692" s="477"/>
      <c r="BG692" s="1726"/>
      <c r="BH692" s="1726"/>
      <c r="BI692" s="1726"/>
      <c r="BJ692" s="1726"/>
      <c r="BK692" s="1726"/>
      <c r="BL692" s="1726"/>
      <c r="BM692" s="1726"/>
      <c r="BN692" s="1726"/>
      <c r="BO692" s="1726"/>
      <c r="BP692" s="1726"/>
      <c r="BQ692" s="1726"/>
      <c r="BR692" s="1726"/>
      <c r="BS692" s="1726"/>
      <c r="BT692" s="1726"/>
      <c r="BU692" s="1726"/>
      <c r="BV692" s="1726"/>
      <c r="BW692" s="1726"/>
      <c r="BX692" s="1726"/>
      <c r="BY692" s="1726"/>
      <c r="BZ692" s="1726"/>
      <c r="CA692" s="1726"/>
      <c r="CB692" s="1726"/>
      <c r="CC692" s="1726"/>
    </row>
    <row r="693" spans="4:81" s="334" customFormat="1" x14ac:dyDescent="0.25">
      <c r="D693" s="1804"/>
      <c r="E693" s="477"/>
      <c r="F693" s="343"/>
      <c r="G693" s="477"/>
      <c r="H693" s="343"/>
      <c r="I693" s="477"/>
      <c r="J693" s="343"/>
      <c r="K693" s="477"/>
      <c r="M693" s="477"/>
      <c r="O693" s="477"/>
      <c r="Q693" s="477"/>
      <c r="S693" s="477"/>
      <c r="U693" s="477"/>
      <c r="W693" s="477"/>
      <c r="Y693" s="477"/>
      <c r="AA693" s="477"/>
      <c r="BG693" s="1726"/>
      <c r="BH693" s="1726"/>
      <c r="BI693" s="1726"/>
      <c r="BJ693" s="1726"/>
      <c r="BK693" s="1726"/>
      <c r="BL693" s="1726"/>
      <c r="BM693" s="1726"/>
      <c r="BN693" s="1726"/>
      <c r="BO693" s="1726"/>
      <c r="BP693" s="1726"/>
      <c r="BQ693" s="1726"/>
      <c r="BR693" s="1726"/>
      <c r="BS693" s="1726"/>
      <c r="BT693" s="1726"/>
      <c r="BU693" s="1726"/>
      <c r="BV693" s="1726"/>
      <c r="BW693" s="1726"/>
      <c r="BX693" s="1726"/>
      <c r="BY693" s="1726"/>
      <c r="BZ693" s="1726"/>
      <c r="CA693" s="1726"/>
      <c r="CB693" s="1726"/>
      <c r="CC693" s="1726"/>
    </row>
    <row r="694" spans="4:81" s="334" customFormat="1" x14ac:dyDescent="0.25">
      <c r="D694" s="1804"/>
      <c r="E694" s="477"/>
      <c r="F694" s="343"/>
      <c r="G694" s="477"/>
      <c r="H694" s="343"/>
      <c r="I694" s="477"/>
      <c r="J694" s="343"/>
      <c r="K694" s="477"/>
      <c r="M694" s="477"/>
      <c r="O694" s="477"/>
      <c r="Q694" s="477"/>
      <c r="S694" s="477"/>
      <c r="U694" s="477"/>
      <c r="W694" s="477"/>
      <c r="Y694" s="477"/>
      <c r="AA694" s="477"/>
      <c r="BG694" s="1726"/>
      <c r="BH694" s="1726"/>
      <c r="BI694" s="1726"/>
      <c r="BJ694" s="1726"/>
      <c r="BK694" s="1726"/>
      <c r="BL694" s="1726"/>
      <c r="BM694" s="1726"/>
      <c r="BN694" s="1726"/>
      <c r="BO694" s="1726"/>
      <c r="BP694" s="1726"/>
      <c r="BQ694" s="1726"/>
      <c r="BR694" s="1726"/>
      <c r="BS694" s="1726"/>
      <c r="BT694" s="1726"/>
      <c r="BU694" s="1726"/>
      <c r="BV694" s="1726"/>
      <c r="BW694" s="1726"/>
      <c r="BX694" s="1726"/>
      <c r="BY694" s="1726"/>
      <c r="BZ694" s="1726"/>
      <c r="CA694" s="1726"/>
      <c r="CB694" s="1726"/>
      <c r="CC694" s="1726"/>
    </row>
    <row r="695" spans="4:81" s="334" customFormat="1" x14ac:dyDescent="0.25">
      <c r="D695" s="1804"/>
      <c r="E695" s="477"/>
      <c r="F695" s="343"/>
      <c r="G695" s="477"/>
      <c r="H695" s="343"/>
      <c r="I695" s="477"/>
      <c r="J695" s="343"/>
      <c r="K695" s="477"/>
      <c r="M695" s="477"/>
      <c r="O695" s="477"/>
      <c r="Q695" s="477"/>
      <c r="S695" s="477"/>
      <c r="U695" s="477"/>
      <c r="W695" s="477"/>
      <c r="Y695" s="477"/>
      <c r="AA695" s="477"/>
      <c r="BG695" s="1726"/>
      <c r="BH695" s="1726"/>
      <c r="BI695" s="1726"/>
      <c r="BJ695" s="1726"/>
      <c r="BK695" s="1726"/>
      <c r="BL695" s="1726"/>
      <c r="BM695" s="1726"/>
      <c r="BN695" s="1726"/>
      <c r="BO695" s="1726"/>
      <c r="BP695" s="1726"/>
      <c r="BQ695" s="1726"/>
      <c r="BR695" s="1726"/>
      <c r="BS695" s="1726"/>
      <c r="BT695" s="1726"/>
      <c r="BU695" s="1726"/>
      <c r="BV695" s="1726"/>
      <c r="BW695" s="1726"/>
      <c r="BX695" s="1726"/>
      <c r="BY695" s="1726"/>
      <c r="BZ695" s="1726"/>
      <c r="CA695" s="1726"/>
      <c r="CB695" s="1726"/>
      <c r="CC695" s="1726"/>
    </row>
    <row r="696" spans="4:81" s="334" customFormat="1" x14ac:dyDescent="0.25">
      <c r="D696" s="1804"/>
      <c r="E696" s="477"/>
      <c r="F696" s="343"/>
      <c r="G696" s="477"/>
      <c r="H696" s="343"/>
      <c r="I696" s="477"/>
      <c r="J696" s="343"/>
      <c r="K696" s="477"/>
      <c r="M696" s="477"/>
      <c r="O696" s="477"/>
      <c r="Q696" s="477"/>
      <c r="S696" s="477"/>
      <c r="U696" s="477"/>
      <c r="W696" s="477"/>
      <c r="Y696" s="477"/>
      <c r="AA696" s="477"/>
      <c r="BG696" s="1726"/>
      <c r="BH696" s="1726"/>
      <c r="BI696" s="1726"/>
      <c r="BJ696" s="1726"/>
      <c r="BK696" s="1726"/>
      <c r="BL696" s="1726"/>
      <c r="BM696" s="1726"/>
      <c r="BN696" s="1726"/>
      <c r="BO696" s="1726"/>
      <c r="BP696" s="1726"/>
      <c r="BQ696" s="1726"/>
      <c r="BR696" s="1726"/>
      <c r="BS696" s="1726"/>
      <c r="BT696" s="1726"/>
      <c r="BU696" s="1726"/>
      <c r="BV696" s="1726"/>
      <c r="BW696" s="1726"/>
      <c r="BX696" s="1726"/>
      <c r="BY696" s="1726"/>
      <c r="BZ696" s="1726"/>
      <c r="CA696" s="1726"/>
      <c r="CB696" s="1726"/>
      <c r="CC696" s="1726"/>
    </row>
    <row r="697" spans="4:81" s="334" customFormat="1" x14ac:dyDescent="0.25">
      <c r="D697" s="1804"/>
      <c r="E697" s="477"/>
      <c r="F697" s="343"/>
      <c r="G697" s="477"/>
      <c r="H697" s="343"/>
      <c r="I697" s="477"/>
      <c r="J697" s="343"/>
      <c r="K697" s="477"/>
      <c r="M697" s="477"/>
      <c r="O697" s="477"/>
      <c r="Q697" s="477"/>
      <c r="S697" s="477"/>
      <c r="U697" s="477"/>
      <c r="W697" s="477"/>
      <c r="Y697" s="477"/>
      <c r="AA697" s="477"/>
      <c r="BG697" s="1726"/>
      <c r="BH697" s="1726"/>
      <c r="BI697" s="1726"/>
      <c r="BJ697" s="1726"/>
      <c r="BK697" s="1726"/>
      <c r="BL697" s="1726"/>
      <c r="BM697" s="1726"/>
      <c r="BN697" s="1726"/>
      <c r="BO697" s="1726"/>
      <c r="BP697" s="1726"/>
      <c r="BQ697" s="1726"/>
      <c r="BR697" s="1726"/>
      <c r="BS697" s="1726"/>
      <c r="BT697" s="1726"/>
      <c r="BU697" s="1726"/>
      <c r="BV697" s="1726"/>
      <c r="BW697" s="1726"/>
      <c r="BX697" s="1726"/>
      <c r="BY697" s="1726"/>
      <c r="BZ697" s="1726"/>
      <c r="CA697" s="1726"/>
      <c r="CB697" s="1726"/>
      <c r="CC697" s="1726"/>
    </row>
    <row r="698" spans="4:81" s="334" customFormat="1" x14ac:dyDescent="0.25">
      <c r="D698" s="1804"/>
      <c r="E698" s="477"/>
      <c r="F698" s="343"/>
      <c r="G698" s="477"/>
      <c r="H698" s="343"/>
      <c r="I698" s="477"/>
      <c r="J698" s="343"/>
      <c r="K698" s="477"/>
      <c r="M698" s="477"/>
      <c r="O698" s="477"/>
      <c r="Q698" s="477"/>
      <c r="S698" s="477"/>
      <c r="U698" s="477"/>
      <c r="W698" s="477"/>
      <c r="Y698" s="477"/>
      <c r="AA698" s="477"/>
      <c r="BG698" s="1726"/>
      <c r="BH698" s="1726"/>
      <c r="BI698" s="1726"/>
      <c r="BJ698" s="1726"/>
      <c r="BK698" s="1726"/>
      <c r="BL698" s="1726"/>
      <c r="BM698" s="1726"/>
      <c r="BN698" s="1726"/>
      <c r="BO698" s="1726"/>
      <c r="BP698" s="1726"/>
      <c r="BQ698" s="1726"/>
      <c r="BR698" s="1726"/>
      <c r="BS698" s="1726"/>
      <c r="BT698" s="1726"/>
      <c r="BU698" s="1726"/>
      <c r="BV698" s="1726"/>
      <c r="BW698" s="1726"/>
      <c r="BX698" s="1726"/>
      <c r="BY698" s="1726"/>
      <c r="BZ698" s="1726"/>
      <c r="CA698" s="1726"/>
      <c r="CB698" s="1726"/>
      <c r="CC698" s="1726"/>
    </row>
    <row r="699" spans="4:81" s="334" customFormat="1" x14ac:dyDescent="0.25">
      <c r="D699" s="1804"/>
      <c r="E699" s="477"/>
      <c r="F699" s="343"/>
      <c r="G699" s="477"/>
      <c r="H699" s="343"/>
      <c r="I699" s="477"/>
      <c r="J699" s="343"/>
      <c r="K699" s="477"/>
      <c r="M699" s="477"/>
      <c r="O699" s="477"/>
      <c r="Q699" s="477"/>
      <c r="S699" s="477"/>
      <c r="U699" s="477"/>
      <c r="W699" s="477"/>
      <c r="Y699" s="477"/>
      <c r="AA699" s="477"/>
      <c r="BG699" s="1726"/>
      <c r="BH699" s="1726"/>
      <c r="BI699" s="1726"/>
      <c r="BJ699" s="1726"/>
      <c r="BK699" s="1726"/>
      <c r="BL699" s="1726"/>
      <c r="BM699" s="1726"/>
      <c r="BN699" s="1726"/>
      <c r="BO699" s="1726"/>
      <c r="BP699" s="1726"/>
      <c r="BQ699" s="1726"/>
      <c r="BR699" s="1726"/>
      <c r="BS699" s="1726"/>
      <c r="BT699" s="1726"/>
      <c r="BU699" s="1726"/>
      <c r="BV699" s="1726"/>
      <c r="BW699" s="1726"/>
      <c r="BX699" s="1726"/>
      <c r="BY699" s="1726"/>
      <c r="BZ699" s="1726"/>
      <c r="CA699" s="1726"/>
      <c r="CB699" s="1726"/>
      <c r="CC699" s="1726"/>
    </row>
    <row r="700" spans="4:81" s="334" customFormat="1" x14ac:dyDescent="0.25">
      <c r="D700" s="1804"/>
      <c r="E700" s="477"/>
      <c r="F700" s="343"/>
      <c r="G700" s="477"/>
      <c r="H700" s="343"/>
      <c r="I700" s="477"/>
      <c r="J700" s="343"/>
      <c r="K700" s="477"/>
      <c r="M700" s="477"/>
      <c r="O700" s="477"/>
      <c r="Q700" s="477"/>
      <c r="S700" s="477"/>
      <c r="U700" s="477"/>
      <c r="W700" s="477"/>
      <c r="Y700" s="477"/>
      <c r="AA700" s="477"/>
      <c r="BG700" s="1726"/>
      <c r="BH700" s="1726"/>
      <c r="BI700" s="1726"/>
      <c r="BJ700" s="1726"/>
      <c r="BK700" s="1726"/>
      <c r="BL700" s="1726"/>
      <c r="BM700" s="1726"/>
      <c r="BN700" s="1726"/>
      <c r="BO700" s="1726"/>
      <c r="BP700" s="1726"/>
      <c r="BQ700" s="1726"/>
      <c r="BR700" s="1726"/>
      <c r="BS700" s="1726"/>
      <c r="BT700" s="1726"/>
      <c r="BU700" s="1726"/>
      <c r="BV700" s="1726"/>
      <c r="BW700" s="1726"/>
      <c r="BX700" s="1726"/>
      <c r="BY700" s="1726"/>
      <c r="BZ700" s="1726"/>
      <c r="CA700" s="1726"/>
      <c r="CB700" s="1726"/>
      <c r="CC700" s="1726"/>
    </row>
    <row r="701" spans="4:81" s="334" customFormat="1" x14ac:dyDescent="0.25">
      <c r="D701" s="1804"/>
      <c r="E701" s="477"/>
      <c r="F701" s="343"/>
      <c r="G701" s="477"/>
      <c r="H701" s="343"/>
      <c r="I701" s="477"/>
      <c r="J701" s="343"/>
      <c r="K701" s="477"/>
      <c r="M701" s="477"/>
      <c r="O701" s="477"/>
      <c r="Q701" s="477"/>
      <c r="S701" s="477"/>
      <c r="U701" s="477"/>
      <c r="W701" s="477"/>
      <c r="Y701" s="477"/>
      <c r="AA701" s="477"/>
      <c r="BG701" s="1726"/>
      <c r="BH701" s="1726"/>
      <c r="BI701" s="1726"/>
      <c r="BJ701" s="1726"/>
      <c r="BK701" s="1726"/>
      <c r="BL701" s="1726"/>
      <c r="BM701" s="1726"/>
      <c r="BN701" s="1726"/>
      <c r="BO701" s="1726"/>
      <c r="BP701" s="1726"/>
      <c r="BQ701" s="1726"/>
      <c r="BR701" s="1726"/>
      <c r="BS701" s="1726"/>
      <c r="BT701" s="1726"/>
      <c r="BU701" s="1726"/>
      <c r="BV701" s="1726"/>
      <c r="BW701" s="1726"/>
      <c r="BX701" s="1726"/>
      <c r="BY701" s="1726"/>
      <c r="BZ701" s="1726"/>
      <c r="CA701" s="1726"/>
      <c r="CB701" s="1726"/>
      <c r="CC701" s="1726"/>
    </row>
    <row r="702" spans="4:81" s="334" customFormat="1" x14ac:dyDescent="0.25">
      <c r="D702" s="1804"/>
      <c r="E702" s="477"/>
      <c r="F702" s="343"/>
      <c r="G702" s="477"/>
      <c r="H702" s="343"/>
      <c r="I702" s="477"/>
      <c r="J702" s="343"/>
      <c r="K702" s="477"/>
      <c r="M702" s="477"/>
      <c r="O702" s="477"/>
      <c r="Q702" s="477"/>
      <c r="S702" s="477"/>
      <c r="U702" s="477"/>
      <c r="W702" s="477"/>
      <c r="Y702" s="477"/>
      <c r="AA702" s="477"/>
      <c r="BG702" s="1726"/>
      <c r="BH702" s="1726"/>
      <c r="BI702" s="1726"/>
      <c r="BJ702" s="1726"/>
      <c r="BK702" s="1726"/>
      <c r="BL702" s="1726"/>
      <c r="BM702" s="1726"/>
      <c r="BN702" s="1726"/>
      <c r="BO702" s="1726"/>
      <c r="BP702" s="1726"/>
      <c r="BQ702" s="1726"/>
      <c r="BR702" s="1726"/>
      <c r="BS702" s="1726"/>
      <c r="BT702" s="1726"/>
      <c r="BU702" s="1726"/>
      <c r="BV702" s="1726"/>
      <c r="BW702" s="1726"/>
      <c r="BX702" s="1726"/>
      <c r="BY702" s="1726"/>
      <c r="BZ702" s="1726"/>
      <c r="CA702" s="1726"/>
      <c r="CB702" s="1726"/>
      <c r="CC702" s="1726"/>
    </row>
    <row r="703" spans="4:81" s="334" customFormat="1" x14ac:dyDescent="0.25">
      <c r="D703" s="1804"/>
      <c r="E703" s="477"/>
      <c r="F703" s="343"/>
      <c r="G703" s="477"/>
      <c r="H703" s="343"/>
      <c r="I703" s="477"/>
      <c r="J703" s="343"/>
      <c r="K703" s="477"/>
      <c r="M703" s="477"/>
      <c r="O703" s="477"/>
      <c r="Q703" s="477"/>
      <c r="S703" s="477"/>
      <c r="U703" s="477"/>
      <c r="W703" s="477"/>
      <c r="Y703" s="477"/>
      <c r="AA703" s="477"/>
      <c r="BG703" s="1726"/>
      <c r="BH703" s="1726"/>
      <c r="BI703" s="1726"/>
      <c r="BJ703" s="1726"/>
      <c r="BK703" s="1726"/>
      <c r="BL703" s="1726"/>
      <c r="BM703" s="1726"/>
      <c r="BN703" s="1726"/>
      <c r="BO703" s="1726"/>
      <c r="BP703" s="1726"/>
      <c r="BQ703" s="1726"/>
      <c r="BR703" s="1726"/>
      <c r="BS703" s="1726"/>
      <c r="BT703" s="1726"/>
      <c r="BU703" s="1726"/>
      <c r="BV703" s="1726"/>
      <c r="BW703" s="1726"/>
      <c r="BX703" s="1726"/>
      <c r="BY703" s="1726"/>
      <c r="BZ703" s="1726"/>
      <c r="CA703" s="1726"/>
      <c r="CB703" s="1726"/>
      <c r="CC703" s="1726"/>
    </row>
    <row r="704" spans="4:81" s="334" customFormat="1" x14ac:dyDescent="0.25">
      <c r="D704" s="1804"/>
      <c r="E704" s="477"/>
      <c r="F704" s="343"/>
      <c r="G704" s="477"/>
      <c r="H704" s="343"/>
      <c r="I704" s="477"/>
      <c r="J704" s="343"/>
      <c r="K704" s="477"/>
      <c r="M704" s="477"/>
      <c r="O704" s="477"/>
      <c r="Q704" s="477"/>
      <c r="S704" s="477"/>
      <c r="U704" s="477"/>
      <c r="W704" s="477"/>
      <c r="Y704" s="477"/>
      <c r="AA704" s="477"/>
      <c r="BG704" s="1726"/>
      <c r="BH704" s="1726"/>
      <c r="BI704" s="1726"/>
      <c r="BJ704" s="1726"/>
      <c r="BK704" s="1726"/>
      <c r="BL704" s="1726"/>
      <c r="BM704" s="1726"/>
      <c r="BN704" s="1726"/>
      <c r="BO704" s="1726"/>
      <c r="BP704" s="1726"/>
      <c r="BQ704" s="1726"/>
      <c r="BR704" s="1726"/>
      <c r="BS704" s="1726"/>
      <c r="BT704" s="1726"/>
      <c r="BU704" s="1726"/>
      <c r="BV704" s="1726"/>
      <c r="BW704" s="1726"/>
      <c r="BX704" s="1726"/>
      <c r="BY704" s="1726"/>
      <c r="BZ704" s="1726"/>
      <c r="CA704" s="1726"/>
      <c r="CB704" s="1726"/>
      <c r="CC704" s="1726"/>
    </row>
    <row r="705" spans="4:81" s="334" customFormat="1" x14ac:dyDescent="0.25">
      <c r="D705" s="1804"/>
      <c r="E705" s="477"/>
      <c r="F705" s="343"/>
      <c r="G705" s="477"/>
      <c r="H705" s="343"/>
      <c r="I705" s="477"/>
      <c r="J705" s="343"/>
      <c r="K705" s="477"/>
      <c r="M705" s="477"/>
      <c r="O705" s="477"/>
      <c r="Q705" s="477"/>
      <c r="S705" s="477"/>
      <c r="U705" s="477"/>
      <c r="W705" s="477"/>
      <c r="Y705" s="477"/>
      <c r="AA705" s="477"/>
      <c r="BG705" s="1726"/>
      <c r="BH705" s="1726"/>
      <c r="BI705" s="1726"/>
      <c r="BJ705" s="1726"/>
      <c r="BK705" s="1726"/>
      <c r="BL705" s="1726"/>
      <c r="BM705" s="1726"/>
      <c r="BN705" s="1726"/>
      <c r="BO705" s="1726"/>
      <c r="BP705" s="1726"/>
      <c r="BQ705" s="1726"/>
      <c r="BR705" s="1726"/>
      <c r="BS705" s="1726"/>
      <c r="BT705" s="1726"/>
      <c r="BU705" s="1726"/>
      <c r="BV705" s="1726"/>
      <c r="BW705" s="1726"/>
      <c r="BX705" s="1726"/>
      <c r="BY705" s="1726"/>
      <c r="BZ705" s="1726"/>
      <c r="CA705" s="1726"/>
      <c r="CB705" s="1726"/>
      <c r="CC705" s="1726"/>
    </row>
    <row r="706" spans="4:81" s="334" customFormat="1" x14ac:dyDescent="0.25">
      <c r="D706" s="1804"/>
      <c r="E706" s="477"/>
      <c r="F706" s="343"/>
      <c r="G706" s="477"/>
      <c r="H706" s="343"/>
      <c r="I706" s="477"/>
      <c r="J706" s="343"/>
      <c r="K706" s="477"/>
      <c r="M706" s="477"/>
      <c r="O706" s="477"/>
      <c r="Q706" s="477"/>
      <c r="S706" s="477"/>
      <c r="U706" s="477"/>
      <c r="W706" s="477"/>
      <c r="Y706" s="477"/>
      <c r="AA706" s="477"/>
      <c r="BG706" s="1726"/>
      <c r="BH706" s="1726"/>
      <c r="BI706" s="1726"/>
      <c r="BJ706" s="1726"/>
      <c r="BK706" s="1726"/>
      <c r="BL706" s="1726"/>
      <c r="BM706" s="1726"/>
      <c r="BN706" s="1726"/>
      <c r="BO706" s="1726"/>
      <c r="BP706" s="1726"/>
      <c r="BQ706" s="1726"/>
      <c r="BR706" s="1726"/>
      <c r="BS706" s="1726"/>
      <c r="BT706" s="1726"/>
      <c r="BU706" s="1726"/>
      <c r="BV706" s="1726"/>
      <c r="BW706" s="1726"/>
      <c r="BX706" s="1726"/>
      <c r="BY706" s="1726"/>
      <c r="BZ706" s="1726"/>
      <c r="CA706" s="1726"/>
      <c r="CB706" s="1726"/>
      <c r="CC706" s="1726"/>
    </row>
    <row r="707" spans="4:81" s="334" customFormat="1" x14ac:dyDescent="0.25">
      <c r="D707" s="1804"/>
      <c r="E707" s="477"/>
      <c r="F707" s="343"/>
      <c r="G707" s="477"/>
      <c r="H707" s="343"/>
      <c r="I707" s="477"/>
      <c r="J707" s="343"/>
      <c r="K707" s="477"/>
      <c r="M707" s="477"/>
      <c r="O707" s="477"/>
      <c r="Q707" s="477"/>
      <c r="S707" s="477"/>
      <c r="U707" s="477"/>
      <c r="W707" s="477"/>
      <c r="Y707" s="477"/>
      <c r="AA707" s="477"/>
      <c r="BG707" s="1726"/>
      <c r="BH707" s="1726"/>
      <c r="BI707" s="1726"/>
      <c r="BJ707" s="1726"/>
      <c r="BK707" s="1726"/>
      <c r="BL707" s="1726"/>
      <c r="BM707" s="1726"/>
      <c r="BN707" s="1726"/>
      <c r="BO707" s="1726"/>
      <c r="BP707" s="1726"/>
      <c r="BQ707" s="1726"/>
      <c r="BR707" s="1726"/>
      <c r="BS707" s="1726"/>
      <c r="BT707" s="1726"/>
      <c r="BU707" s="1726"/>
      <c r="BV707" s="1726"/>
      <c r="BW707" s="1726"/>
      <c r="BX707" s="1726"/>
      <c r="BY707" s="1726"/>
      <c r="BZ707" s="1726"/>
      <c r="CA707" s="1726"/>
      <c r="CB707" s="1726"/>
      <c r="CC707" s="1726"/>
    </row>
    <row r="708" spans="4:81" s="334" customFormat="1" x14ac:dyDescent="0.25">
      <c r="D708" s="1804"/>
      <c r="E708" s="477"/>
      <c r="F708" s="343"/>
      <c r="G708" s="477"/>
      <c r="H708" s="343"/>
      <c r="I708" s="477"/>
      <c r="J708" s="343"/>
      <c r="K708" s="477"/>
      <c r="M708" s="477"/>
      <c r="O708" s="477"/>
      <c r="Q708" s="477"/>
      <c r="S708" s="477"/>
      <c r="U708" s="477"/>
      <c r="W708" s="477"/>
      <c r="Y708" s="477"/>
      <c r="AA708" s="477"/>
      <c r="BG708" s="1726"/>
      <c r="BH708" s="1726"/>
      <c r="BI708" s="1726"/>
      <c r="BJ708" s="1726"/>
      <c r="BK708" s="1726"/>
      <c r="BL708" s="1726"/>
      <c r="BM708" s="1726"/>
      <c r="BN708" s="1726"/>
      <c r="BO708" s="1726"/>
      <c r="BP708" s="1726"/>
      <c r="BQ708" s="1726"/>
      <c r="BR708" s="1726"/>
      <c r="BS708" s="1726"/>
      <c r="BT708" s="1726"/>
      <c r="BU708" s="1726"/>
      <c r="BV708" s="1726"/>
      <c r="BW708" s="1726"/>
      <c r="BX708" s="1726"/>
      <c r="BY708" s="1726"/>
      <c r="BZ708" s="1726"/>
      <c r="CA708" s="1726"/>
      <c r="CB708" s="1726"/>
      <c r="CC708" s="1726"/>
    </row>
    <row r="709" spans="4:81" s="334" customFormat="1" x14ac:dyDescent="0.25">
      <c r="D709" s="1804"/>
      <c r="E709" s="477"/>
      <c r="F709" s="343"/>
      <c r="G709" s="477"/>
      <c r="H709" s="343"/>
      <c r="I709" s="477"/>
      <c r="J709" s="343"/>
      <c r="K709" s="477"/>
      <c r="M709" s="477"/>
      <c r="O709" s="477"/>
      <c r="Q709" s="477"/>
      <c r="S709" s="477"/>
      <c r="U709" s="477"/>
      <c r="W709" s="477"/>
      <c r="Y709" s="477"/>
      <c r="AA709" s="477"/>
      <c r="BG709" s="1726"/>
      <c r="BH709" s="1726"/>
      <c r="BI709" s="1726"/>
      <c r="BJ709" s="1726"/>
      <c r="BK709" s="1726"/>
      <c r="BL709" s="1726"/>
      <c r="BM709" s="1726"/>
      <c r="BN709" s="1726"/>
      <c r="BO709" s="1726"/>
      <c r="BP709" s="1726"/>
      <c r="BQ709" s="1726"/>
      <c r="BR709" s="1726"/>
      <c r="BS709" s="1726"/>
      <c r="BT709" s="1726"/>
      <c r="BU709" s="1726"/>
      <c r="BV709" s="1726"/>
      <c r="BW709" s="1726"/>
      <c r="BX709" s="1726"/>
      <c r="BY709" s="1726"/>
      <c r="BZ709" s="1726"/>
      <c r="CA709" s="1726"/>
      <c r="CB709" s="1726"/>
      <c r="CC709" s="1726"/>
    </row>
    <row r="710" spans="4:81" s="334" customFormat="1" x14ac:dyDescent="0.25">
      <c r="D710" s="1804"/>
      <c r="E710" s="477"/>
      <c r="F710" s="343"/>
      <c r="G710" s="477"/>
      <c r="H710" s="343"/>
      <c r="I710" s="477"/>
      <c r="J710" s="343"/>
      <c r="K710" s="477"/>
      <c r="M710" s="477"/>
      <c r="O710" s="477"/>
      <c r="Q710" s="477"/>
      <c r="S710" s="477"/>
      <c r="U710" s="477"/>
      <c r="W710" s="477"/>
      <c r="Y710" s="477"/>
      <c r="AA710" s="477"/>
      <c r="BG710" s="1726"/>
      <c r="BH710" s="1726"/>
      <c r="BI710" s="1726"/>
      <c r="BJ710" s="1726"/>
      <c r="BK710" s="1726"/>
      <c r="BL710" s="1726"/>
      <c r="BM710" s="1726"/>
      <c r="BN710" s="1726"/>
      <c r="BO710" s="1726"/>
      <c r="BP710" s="1726"/>
      <c r="BQ710" s="1726"/>
      <c r="BR710" s="1726"/>
      <c r="BS710" s="1726"/>
      <c r="BT710" s="1726"/>
      <c r="BU710" s="1726"/>
      <c r="BV710" s="1726"/>
      <c r="BW710" s="1726"/>
      <c r="BX710" s="1726"/>
      <c r="BY710" s="1726"/>
      <c r="BZ710" s="1726"/>
      <c r="CA710" s="1726"/>
      <c r="CB710" s="1726"/>
      <c r="CC710" s="1726"/>
    </row>
    <row r="711" spans="4:81" s="334" customFormat="1" x14ac:dyDescent="0.25">
      <c r="D711" s="1804"/>
      <c r="E711" s="477"/>
      <c r="F711" s="343"/>
      <c r="G711" s="477"/>
      <c r="H711" s="343"/>
      <c r="I711" s="477"/>
      <c r="J711" s="343"/>
      <c r="K711" s="477"/>
      <c r="M711" s="477"/>
      <c r="O711" s="477"/>
      <c r="Q711" s="477"/>
      <c r="S711" s="477"/>
      <c r="U711" s="477"/>
      <c r="W711" s="477"/>
      <c r="Y711" s="477"/>
      <c r="AA711" s="477"/>
      <c r="BG711" s="1726"/>
      <c r="BH711" s="1726"/>
      <c r="BI711" s="1726"/>
      <c r="BJ711" s="1726"/>
      <c r="BK711" s="1726"/>
      <c r="BL711" s="1726"/>
      <c r="BM711" s="1726"/>
      <c r="BN711" s="1726"/>
      <c r="BO711" s="1726"/>
      <c r="BP711" s="1726"/>
      <c r="BQ711" s="1726"/>
      <c r="BR711" s="1726"/>
      <c r="BS711" s="1726"/>
      <c r="BT711" s="1726"/>
      <c r="BU711" s="1726"/>
      <c r="BV711" s="1726"/>
      <c r="BW711" s="1726"/>
      <c r="BX711" s="1726"/>
      <c r="BY711" s="1726"/>
      <c r="BZ711" s="1726"/>
      <c r="CA711" s="1726"/>
      <c r="CB711" s="1726"/>
      <c r="CC711" s="1726"/>
    </row>
    <row r="712" spans="4:81" s="334" customFormat="1" x14ac:dyDescent="0.25">
      <c r="D712" s="1804"/>
      <c r="E712" s="477"/>
      <c r="F712" s="343"/>
      <c r="G712" s="477"/>
      <c r="H712" s="343"/>
      <c r="I712" s="477"/>
      <c r="J712" s="343"/>
      <c r="K712" s="477"/>
      <c r="M712" s="477"/>
      <c r="O712" s="477"/>
      <c r="Q712" s="477"/>
      <c r="S712" s="477"/>
      <c r="U712" s="477"/>
      <c r="W712" s="477"/>
      <c r="Y712" s="477"/>
      <c r="AA712" s="477"/>
      <c r="BG712" s="1726"/>
      <c r="BH712" s="1726"/>
      <c r="BI712" s="1726"/>
      <c r="BJ712" s="1726"/>
      <c r="BK712" s="1726"/>
      <c r="BL712" s="1726"/>
      <c r="BM712" s="1726"/>
      <c r="BN712" s="1726"/>
      <c r="BO712" s="1726"/>
      <c r="BP712" s="1726"/>
      <c r="BQ712" s="1726"/>
      <c r="BR712" s="1726"/>
      <c r="BS712" s="1726"/>
      <c r="BT712" s="1726"/>
      <c r="BU712" s="1726"/>
      <c r="BV712" s="1726"/>
      <c r="BW712" s="1726"/>
      <c r="BX712" s="1726"/>
      <c r="BY712" s="1726"/>
      <c r="BZ712" s="1726"/>
      <c r="CA712" s="1726"/>
      <c r="CB712" s="1726"/>
      <c r="CC712" s="1726"/>
    </row>
    <row r="713" spans="4:81" s="334" customFormat="1" x14ac:dyDescent="0.25">
      <c r="D713" s="1804"/>
      <c r="E713" s="477"/>
      <c r="F713" s="343"/>
      <c r="G713" s="477"/>
      <c r="H713" s="343"/>
      <c r="I713" s="477"/>
      <c r="J713" s="343"/>
      <c r="K713" s="477"/>
      <c r="M713" s="477"/>
      <c r="O713" s="477"/>
      <c r="Q713" s="477"/>
      <c r="S713" s="477"/>
      <c r="U713" s="477"/>
      <c r="W713" s="477"/>
      <c r="Y713" s="477"/>
      <c r="AA713" s="477"/>
      <c r="BG713" s="1726"/>
      <c r="BH713" s="1726"/>
      <c r="BI713" s="1726"/>
      <c r="BJ713" s="1726"/>
      <c r="BK713" s="1726"/>
      <c r="BL713" s="1726"/>
      <c r="BM713" s="1726"/>
      <c r="BN713" s="1726"/>
      <c r="BO713" s="1726"/>
      <c r="BP713" s="1726"/>
      <c r="BQ713" s="1726"/>
      <c r="BR713" s="1726"/>
      <c r="BS713" s="1726"/>
      <c r="BT713" s="1726"/>
      <c r="BU713" s="1726"/>
      <c r="BV713" s="1726"/>
      <c r="BW713" s="1726"/>
      <c r="BX713" s="1726"/>
      <c r="BY713" s="1726"/>
      <c r="BZ713" s="1726"/>
      <c r="CA713" s="1726"/>
      <c r="CB713" s="1726"/>
      <c r="CC713" s="1726"/>
    </row>
    <row r="714" spans="4:81" s="334" customFormat="1" x14ac:dyDescent="0.25">
      <c r="D714" s="1804"/>
      <c r="E714" s="477"/>
      <c r="F714" s="343"/>
      <c r="G714" s="477"/>
      <c r="H714" s="343"/>
      <c r="I714" s="477"/>
      <c r="J714" s="343"/>
      <c r="K714" s="477"/>
      <c r="M714" s="477"/>
      <c r="O714" s="477"/>
      <c r="Q714" s="477"/>
      <c r="S714" s="477"/>
      <c r="U714" s="477"/>
      <c r="W714" s="477"/>
      <c r="Y714" s="477"/>
      <c r="AA714" s="477"/>
      <c r="BG714" s="1726"/>
      <c r="BH714" s="1726"/>
      <c r="BI714" s="1726"/>
      <c r="BJ714" s="1726"/>
      <c r="BK714" s="1726"/>
      <c r="BL714" s="1726"/>
      <c r="BM714" s="1726"/>
      <c r="BN714" s="1726"/>
      <c r="BO714" s="1726"/>
      <c r="BP714" s="1726"/>
      <c r="BQ714" s="1726"/>
      <c r="BR714" s="1726"/>
      <c r="BS714" s="1726"/>
      <c r="BT714" s="1726"/>
      <c r="BU714" s="1726"/>
      <c r="BV714" s="1726"/>
      <c r="BW714" s="1726"/>
      <c r="BX714" s="1726"/>
      <c r="BY714" s="1726"/>
      <c r="BZ714" s="1726"/>
      <c r="CA714" s="1726"/>
      <c r="CB714" s="1726"/>
      <c r="CC714" s="1726"/>
    </row>
    <row r="715" spans="4:81" s="334" customFormat="1" x14ac:dyDescent="0.25">
      <c r="D715" s="1804"/>
      <c r="E715" s="477"/>
      <c r="F715" s="343"/>
      <c r="G715" s="477"/>
      <c r="H715" s="343"/>
      <c r="I715" s="477"/>
      <c r="J715" s="343"/>
      <c r="K715" s="477"/>
      <c r="M715" s="477"/>
      <c r="O715" s="477"/>
      <c r="Q715" s="477"/>
      <c r="S715" s="477"/>
      <c r="U715" s="477"/>
      <c r="W715" s="477"/>
      <c r="Y715" s="477"/>
      <c r="AA715" s="477"/>
      <c r="BG715" s="1726"/>
      <c r="BH715" s="1726"/>
      <c r="BI715" s="1726"/>
      <c r="BJ715" s="1726"/>
      <c r="BK715" s="1726"/>
      <c r="BL715" s="1726"/>
      <c r="BM715" s="1726"/>
      <c r="BN715" s="1726"/>
      <c r="BO715" s="1726"/>
      <c r="BP715" s="1726"/>
      <c r="BQ715" s="1726"/>
      <c r="BR715" s="1726"/>
      <c r="BS715" s="1726"/>
      <c r="BT715" s="1726"/>
      <c r="BU715" s="1726"/>
      <c r="BV715" s="1726"/>
      <c r="BW715" s="1726"/>
      <c r="BX715" s="1726"/>
      <c r="BY715" s="1726"/>
      <c r="BZ715" s="1726"/>
      <c r="CA715" s="1726"/>
      <c r="CB715" s="1726"/>
      <c r="CC715" s="1726"/>
    </row>
  </sheetData>
  <autoFilter ref="C68:C215"/>
  <mergeCells count="627">
    <mergeCell ref="BC468:BD468"/>
    <mergeCell ref="BC473:BC475"/>
    <mergeCell ref="BC479:BC481"/>
    <mergeCell ref="BC485:BC486"/>
    <mergeCell ref="AS422:AS424"/>
    <mergeCell ref="AS426:AS427"/>
    <mergeCell ref="AS178:AS215"/>
    <mergeCell ref="AS263:AS266"/>
    <mergeCell ref="AS275:AS282"/>
    <mergeCell ref="AS286:AS289"/>
    <mergeCell ref="AS290:AS295"/>
    <mergeCell ref="AS297:AS300"/>
    <mergeCell ref="AS304:AS310"/>
    <mergeCell ref="AS313:AS317"/>
    <mergeCell ref="AS321:AS332"/>
    <mergeCell ref="AU263:AU266"/>
    <mergeCell ref="AW263:AW266"/>
    <mergeCell ref="AU275:AU282"/>
    <mergeCell ref="AW275:AW282"/>
    <mergeCell ref="AU286:AU289"/>
    <mergeCell ref="AW286:AW289"/>
    <mergeCell ref="AU290:AU295"/>
    <mergeCell ref="AW290:AW295"/>
    <mergeCell ref="AU422:AU424"/>
    <mergeCell ref="AU34:AU37"/>
    <mergeCell ref="AW34:AW37"/>
    <mergeCell ref="AU48:AU50"/>
    <mergeCell ref="AW48:AW50"/>
    <mergeCell ref="AU52:AU54"/>
    <mergeCell ref="AW52:AW54"/>
    <mergeCell ref="AU56:AU58"/>
    <mergeCell ref="AW56:AW58"/>
    <mergeCell ref="AU60:AU62"/>
    <mergeCell ref="AW60:AW62"/>
    <mergeCell ref="AQ313:AQ317"/>
    <mergeCell ref="AQ321:AQ332"/>
    <mergeCell ref="AQ337:AQ383"/>
    <mergeCell ref="AQ422:AQ424"/>
    <mergeCell ref="AQ426:AQ427"/>
    <mergeCell ref="AS3:AT3"/>
    <mergeCell ref="AS8:AS10"/>
    <mergeCell ref="AS15:AS17"/>
    <mergeCell ref="AS21:AS23"/>
    <mergeCell ref="AS27:AS29"/>
    <mergeCell ref="AS34:AS37"/>
    <mergeCell ref="AS48:AS50"/>
    <mergeCell ref="AS52:AS54"/>
    <mergeCell ref="AS56:AS58"/>
    <mergeCell ref="AS60:AS62"/>
    <mergeCell ref="AS64:AS66"/>
    <mergeCell ref="AS337:AS383"/>
    <mergeCell ref="AQ60:AQ62"/>
    <mergeCell ref="AQ64:AQ66"/>
    <mergeCell ref="AQ178:AQ215"/>
    <mergeCell ref="AQ263:AQ266"/>
    <mergeCell ref="AQ275:AQ282"/>
    <mergeCell ref="AQ286:AQ289"/>
    <mergeCell ref="AQ290:AQ295"/>
    <mergeCell ref="AQ297:AQ300"/>
    <mergeCell ref="AQ304:AQ310"/>
    <mergeCell ref="AQ3:AR3"/>
    <mergeCell ref="AQ8:AQ10"/>
    <mergeCell ref="AQ15:AQ17"/>
    <mergeCell ref="AQ21:AQ23"/>
    <mergeCell ref="AQ27:AQ29"/>
    <mergeCell ref="AQ34:AQ37"/>
    <mergeCell ref="AQ48:AQ50"/>
    <mergeCell ref="AQ52:AQ54"/>
    <mergeCell ref="AQ56:AQ58"/>
    <mergeCell ref="AG422:AG424"/>
    <mergeCell ref="AI422:AI424"/>
    <mergeCell ref="AG426:AG427"/>
    <mergeCell ref="AI426:AI427"/>
    <mergeCell ref="AG297:AG300"/>
    <mergeCell ref="AI297:AI300"/>
    <mergeCell ref="AG304:AG310"/>
    <mergeCell ref="AI304:AI310"/>
    <mergeCell ref="AG313:AG317"/>
    <mergeCell ref="AI313:AI317"/>
    <mergeCell ref="AG321:AG332"/>
    <mergeCell ref="AI321:AI332"/>
    <mergeCell ref="AG337:AG383"/>
    <mergeCell ref="AI337:AI383"/>
    <mergeCell ref="AG178:AG215"/>
    <mergeCell ref="AI178:AI215"/>
    <mergeCell ref="AG263:AG266"/>
    <mergeCell ref="AI263:AI266"/>
    <mergeCell ref="AG275:AG282"/>
    <mergeCell ref="AI275:AI282"/>
    <mergeCell ref="AG286:AG289"/>
    <mergeCell ref="AI286:AI289"/>
    <mergeCell ref="AG290:AG295"/>
    <mergeCell ref="AI290:AI295"/>
    <mergeCell ref="AG64:AG66"/>
    <mergeCell ref="AI64:AI66"/>
    <mergeCell ref="AG34:AG37"/>
    <mergeCell ref="AI34:AI37"/>
    <mergeCell ref="AG48:AG50"/>
    <mergeCell ref="AI48:AI50"/>
    <mergeCell ref="AG52:AG54"/>
    <mergeCell ref="AI52:AI54"/>
    <mergeCell ref="AG56:AG58"/>
    <mergeCell ref="AI56:AI58"/>
    <mergeCell ref="AG60:AG62"/>
    <mergeCell ref="AI60:AI62"/>
    <mergeCell ref="AG3:AH3"/>
    <mergeCell ref="AI3:AJ3"/>
    <mergeCell ref="AG8:AG10"/>
    <mergeCell ref="AI8:AI10"/>
    <mergeCell ref="AG15:AG17"/>
    <mergeCell ref="AI15:AI17"/>
    <mergeCell ref="AG21:AG23"/>
    <mergeCell ref="AI21:AI23"/>
    <mergeCell ref="AG27:AG29"/>
    <mergeCell ref="AI27:AI29"/>
    <mergeCell ref="AC337:AC383"/>
    <mergeCell ref="AE337:AE383"/>
    <mergeCell ref="AC422:AC424"/>
    <mergeCell ref="AE422:AE424"/>
    <mergeCell ref="AC426:AC427"/>
    <mergeCell ref="AE426:AE427"/>
    <mergeCell ref="AC297:AC300"/>
    <mergeCell ref="AE297:AE300"/>
    <mergeCell ref="AC304:AC310"/>
    <mergeCell ref="AE304:AE310"/>
    <mergeCell ref="AC313:AC317"/>
    <mergeCell ref="AE313:AE317"/>
    <mergeCell ref="AC321:AC332"/>
    <mergeCell ref="AE321:AE332"/>
    <mergeCell ref="AC286:AC289"/>
    <mergeCell ref="AE286:AE289"/>
    <mergeCell ref="AC290:AC295"/>
    <mergeCell ref="AE290:AE295"/>
    <mergeCell ref="AC178:AC215"/>
    <mergeCell ref="AE178:AE215"/>
    <mergeCell ref="AE52:AE54"/>
    <mergeCell ref="AC56:AC58"/>
    <mergeCell ref="AE56:AE58"/>
    <mergeCell ref="AC60:AC62"/>
    <mergeCell ref="AE60:AE62"/>
    <mergeCell ref="AC263:AC266"/>
    <mergeCell ref="AE263:AE266"/>
    <mergeCell ref="AC275:AC282"/>
    <mergeCell ref="AE275:AE282"/>
    <mergeCell ref="AC64:AC66"/>
    <mergeCell ref="AE64:AE66"/>
    <mergeCell ref="AC34:AC37"/>
    <mergeCell ref="AE34:AE37"/>
    <mergeCell ref="AC48:AC50"/>
    <mergeCell ref="AE48:AE50"/>
    <mergeCell ref="AC52:AC54"/>
    <mergeCell ref="Q15:Q17"/>
    <mergeCell ref="S3:T3"/>
    <mergeCell ref="U3:V3"/>
    <mergeCell ref="S8:S10"/>
    <mergeCell ref="U8:U10"/>
    <mergeCell ref="S15:S17"/>
    <mergeCell ref="U15:U17"/>
    <mergeCell ref="AC3:AD3"/>
    <mergeCell ref="AE3:AF3"/>
    <mergeCell ref="AC8:AC10"/>
    <mergeCell ref="AE8:AE10"/>
    <mergeCell ref="AC15:AC17"/>
    <mergeCell ref="AE15:AE17"/>
    <mergeCell ref="AC21:AC23"/>
    <mergeCell ref="AE21:AE23"/>
    <mergeCell ref="AC27:AC29"/>
    <mergeCell ref="AE27:AE29"/>
    <mergeCell ref="S21:S23"/>
    <mergeCell ref="U21:U23"/>
    <mergeCell ref="I178:I215"/>
    <mergeCell ref="G178:G215"/>
    <mergeCell ref="Q21:Q23"/>
    <mergeCell ref="Q34:Q37"/>
    <mergeCell ref="O52:O54"/>
    <mergeCell ref="Q52:Q54"/>
    <mergeCell ref="Q48:Q50"/>
    <mergeCell ref="O48:O50"/>
    <mergeCell ref="K64:K66"/>
    <mergeCell ref="M64:M66"/>
    <mergeCell ref="O64:O66"/>
    <mergeCell ref="Q178:Q215"/>
    <mergeCell ref="M178:M215"/>
    <mergeCell ref="O178:O215"/>
    <mergeCell ref="Q56:Q58"/>
    <mergeCell ref="K178:K215"/>
    <mergeCell ref="Q60:Q62"/>
    <mergeCell ref="M60:M62"/>
    <mergeCell ref="I56:I58"/>
    <mergeCell ref="K56:K58"/>
    <mergeCell ref="B3:B4"/>
    <mergeCell ref="C3:C4"/>
    <mergeCell ref="E3:F3"/>
    <mergeCell ref="G3:H3"/>
    <mergeCell ref="I3:J3"/>
    <mergeCell ref="K3:L3"/>
    <mergeCell ref="M52:M54"/>
    <mergeCell ref="M48:M50"/>
    <mergeCell ref="E52:E54"/>
    <mergeCell ref="E8:E10"/>
    <mergeCell ref="M3:N3"/>
    <mergeCell ref="K27:K29"/>
    <mergeCell ref="M27:M29"/>
    <mergeCell ref="E56:E58"/>
    <mergeCell ref="G56:G58"/>
    <mergeCell ref="O3:P3"/>
    <mergeCell ref="Q3:R3"/>
    <mergeCell ref="O8:O10"/>
    <mergeCell ref="Q8:Q10"/>
    <mergeCell ref="E15:E17"/>
    <mergeCell ref="G15:G17"/>
    <mergeCell ref="I15:I17"/>
    <mergeCell ref="K15:K17"/>
    <mergeCell ref="M15:M17"/>
    <mergeCell ref="O15:O17"/>
    <mergeCell ref="G8:G10"/>
    <mergeCell ref="I8:I10"/>
    <mergeCell ref="K8:K10"/>
    <mergeCell ref="M8:M10"/>
    <mergeCell ref="Q27:Q29"/>
    <mergeCell ref="M56:M58"/>
    <mergeCell ref="K48:K50"/>
    <mergeCell ref="G52:G54"/>
    <mergeCell ref="I52:I54"/>
    <mergeCell ref="E27:E29"/>
    <mergeCell ref="G27:G29"/>
    <mergeCell ref="I27:I29"/>
    <mergeCell ref="E178:E215"/>
    <mergeCell ref="O56:O58"/>
    <mergeCell ref="O27:O29"/>
    <mergeCell ref="K21:K23"/>
    <mergeCell ref="M21:M23"/>
    <mergeCell ref="O21:O23"/>
    <mergeCell ref="O34:O37"/>
    <mergeCell ref="E48:E50"/>
    <mergeCell ref="E34:E37"/>
    <mergeCell ref="G34:G37"/>
    <mergeCell ref="I34:I37"/>
    <mergeCell ref="K34:K37"/>
    <mergeCell ref="M34:M37"/>
    <mergeCell ref="K52:K54"/>
    <mergeCell ref="E21:E23"/>
    <mergeCell ref="G21:G23"/>
    <mergeCell ref="I21:I23"/>
    <mergeCell ref="I48:I50"/>
    <mergeCell ref="G48:G50"/>
    <mergeCell ref="E60:E62"/>
    <mergeCell ref="G60:G62"/>
    <mergeCell ref="O60:O62"/>
    <mergeCell ref="I60:I62"/>
    <mergeCell ref="K60:K62"/>
    <mergeCell ref="E64:E66"/>
    <mergeCell ref="G64:G66"/>
    <mergeCell ref="I64:I66"/>
    <mergeCell ref="Q64:Q66"/>
    <mergeCell ref="O313:O317"/>
    <mergeCell ref="I337:I383"/>
    <mergeCell ref="K337:K383"/>
    <mergeCell ref="M321:M332"/>
    <mergeCell ref="M263:M266"/>
    <mergeCell ref="O263:O266"/>
    <mergeCell ref="O304:O310"/>
    <mergeCell ref="Q304:Q310"/>
    <mergeCell ref="Q286:Q289"/>
    <mergeCell ref="I304:I310"/>
    <mergeCell ref="E263:E266"/>
    <mergeCell ref="G286:G289"/>
    <mergeCell ref="G263:G266"/>
    <mergeCell ref="O275:O282"/>
    <mergeCell ref="I263:I266"/>
    <mergeCell ref="Q290:Q295"/>
    <mergeCell ref="O286:O289"/>
    <mergeCell ref="Q263:Q266"/>
    <mergeCell ref="Q297:Q300"/>
    <mergeCell ref="Q275:Q282"/>
    <mergeCell ref="Q426:Q427"/>
    <mergeCell ref="M426:M427"/>
    <mergeCell ref="O426:O427"/>
    <mergeCell ref="I313:I317"/>
    <mergeCell ref="K313:K317"/>
    <mergeCell ref="M313:M317"/>
    <mergeCell ref="Q422:Q424"/>
    <mergeCell ref="Q337:Q383"/>
    <mergeCell ref="M337:M383"/>
    <mergeCell ref="O337:O383"/>
    <mergeCell ref="O321:O332"/>
    <mergeCell ref="Q321:Q332"/>
    <mergeCell ref="Q313:Q317"/>
    <mergeCell ref="K263:K266"/>
    <mergeCell ref="O297:O300"/>
    <mergeCell ref="O290:O295"/>
    <mergeCell ref="I286:I289"/>
    <mergeCell ref="G290:G295"/>
    <mergeCell ref="M297:M300"/>
    <mergeCell ref="K304:K310"/>
    <mergeCell ref="G275:G282"/>
    <mergeCell ref="K275:K282"/>
    <mergeCell ref="I275:I282"/>
    <mergeCell ref="M275:M282"/>
    <mergeCell ref="I297:I300"/>
    <mergeCell ref="G297:G300"/>
    <mergeCell ref="M286:M289"/>
    <mergeCell ref="K286:K289"/>
    <mergeCell ref="K297:K300"/>
    <mergeCell ref="M290:M295"/>
    <mergeCell ref="I290:I295"/>
    <mergeCell ref="K290:K295"/>
    <mergeCell ref="E426:E427"/>
    <mergeCell ref="G426:G427"/>
    <mergeCell ref="I422:I424"/>
    <mergeCell ref="K422:K424"/>
    <mergeCell ref="M422:M424"/>
    <mergeCell ref="O422:O424"/>
    <mergeCell ref="M304:M310"/>
    <mergeCell ref="I426:I427"/>
    <mergeCell ref="K426:K427"/>
    <mergeCell ref="E422:E424"/>
    <mergeCell ref="E337:E383"/>
    <mergeCell ref="G337:G383"/>
    <mergeCell ref="G313:G317"/>
    <mergeCell ref="G304:G310"/>
    <mergeCell ref="E321:E332"/>
    <mergeCell ref="G321:G332"/>
    <mergeCell ref="I321:I332"/>
    <mergeCell ref="K321:K332"/>
    <mergeCell ref="G422:G424"/>
    <mergeCell ref="S27:S29"/>
    <mergeCell ref="U27:U29"/>
    <mergeCell ref="S34:S37"/>
    <mergeCell ref="U34:U37"/>
    <mergeCell ref="S48:S50"/>
    <mergeCell ref="U48:U50"/>
    <mergeCell ref="S52:S54"/>
    <mergeCell ref="U52:U54"/>
    <mergeCell ref="S56:S58"/>
    <mergeCell ref="U56:U58"/>
    <mergeCell ref="S60:S62"/>
    <mergeCell ref="U60:U62"/>
    <mergeCell ref="S64:S66"/>
    <mergeCell ref="U64:U66"/>
    <mergeCell ref="S178:S215"/>
    <mergeCell ref="U178:U215"/>
    <mergeCell ref="S263:S266"/>
    <mergeCell ref="U263:U266"/>
    <mergeCell ref="S275:S282"/>
    <mergeCell ref="U275:U282"/>
    <mergeCell ref="S286:S289"/>
    <mergeCell ref="U286:U289"/>
    <mergeCell ref="S290:S295"/>
    <mergeCell ref="U290:U295"/>
    <mergeCell ref="S337:S383"/>
    <mergeCell ref="U337:U383"/>
    <mergeCell ref="S422:S424"/>
    <mergeCell ref="U422:U424"/>
    <mergeCell ref="S426:S427"/>
    <mergeCell ref="U426:U427"/>
    <mergeCell ref="S297:S300"/>
    <mergeCell ref="U297:U300"/>
    <mergeCell ref="S304:S310"/>
    <mergeCell ref="U304:U310"/>
    <mergeCell ref="S313:S317"/>
    <mergeCell ref="U313:U317"/>
    <mergeCell ref="S321:S332"/>
    <mergeCell ref="U321:U332"/>
    <mergeCell ref="W3:X3"/>
    <mergeCell ref="AA3:AB3"/>
    <mergeCell ref="W8:W10"/>
    <mergeCell ref="AA8:AA10"/>
    <mergeCell ref="W15:W17"/>
    <mergeCell ref="AA15:AA17"/>
    <mergeCell ref="W21:W23"/>
    <mergeCell ref="AA21:AA23"/>
    <mergeCell ref="W27:W29"/>
    <mergeCell ref="AA27:AA29"/>
    <mergeCell ref="Y3:Z3"/>
    <mergeCell ref="Y8:Y10"/>
    <mergeCell ref="Y15:Y17"/>
    <mergeCell ref="Y21:Y23"/>
    <mergeCell ref="Y27:Y29"/>
    <mergeCell ref="W34:W37"/>
    <mergeCell ref="AA34:AA37"/>
    <mergeCell ref="W48:W50"/>
    <mergeCell ref="AA48:AA50"/>
    <mergeCell ref="W52:W54"/>
    <mergeCell ref="AA52:AA54"/>
    <mergeCell ref="W56:W58"/>
    <mergeCell ref="AA56:AA58"/>
    <mergeCell ref="W60:W62"/>
    <mergeCell ref="AA60:AA62"/>
    <mergeCell ref="Y60:Y62"/>
    <mergeCell ref="Y34:Y37"/>
    <mergeCell ref="Y48:Y50"/>
    <mergeCell ref="Y52:Y54"/>
    <mergeCell ref="Y56:Y58"/>
    <mergeCell ref="W64:W66"/>
    <mergeCell ref="AA64:AA66"/>
    <mergeCell ref="Y64:Y66"/>
    <mergeCell ref="W178:W215"/>
    <mergeCell ref="AA178:AA215"/>
    <mergeCell ref="Y178:Y215"/>
    <mergeCell ref="W304:W310"/>
    <mergeCell ref="AA304:AA310"/>
    <mergeCell ref="W313:W317"/>
    <mergeCell ref="AA313:AA317"/>
    <mergeCell ref="W321:W332"/>
    <mergeCell ref="AA321:AA332"/>
    <mergeCell ref="Y297:Y300"/>
    <mergeCell ref="Y304:Y310"/>
    <mergeCell ref="Y313:Y317"/>
    <mergeCell ref="Y321:Y332"/>
    <mergeCell ref="W297:W300"/>
    <mergeCell ref="AA297:AA300"/>
    <mergeCell ref="W263:W266"/>
    <mergeCell ref="AA263:AA266"/>
    <mergeCell ref="W275:W282"/>
    <mergeCell ref="AA275:AA282"/>
    <mergeCell ref="W286:W289"/>
    <mergeCell ref="AA286:AA289"/>
    <mergeCell ref="W290:W295"/>
    <mergeCell ref="AA290:AA295"/>
    <mergeCell ref="Y263:Y266"/>
    <mergeCell ref="Y275:Y282"/>
    <mergeCell ref="Y286:Y289"/>
    <mergeCell ref="Y290:Y295"/>
    <mergeCell ref="Y337:Y383"/>
    <mergeCell ref="Y422:Y424"/>
    <mergeCell ref="Y426:Y427"/>
    <mergeCell ref="W337:W383"/>
    <mergeCell ref="AA337:AA383"/>
    <mergeCell ref="W422:W424"/>
    <mergeCell ref="AA422:AA424"/>
    <mergeCell ref="W426:W427"/>
    <mergeCell ref="AA426:AA427"/>
    <mergeCell ref="AK3:AL3"/>
    <mergeCell ref="AM3:AN3"/>
    <mergeCell ref="AO3:AP3"/>
    <mergeCell ref="AK8:AK10"/>
    <mergeCell ref="AM8:AM10"/>
    <mergeCell ref="AO8:AO10"/>
    <mergeCell ref="AK15:AK17"/>
    <mergeCell ref="AM15:AM17"/>
    <mergeCell ref="AO15:AO17"/>
    <mergeCell ref="AK21:AK23"/>
    <mergeCell ref="AM21:AM23"/>
    <mergeCell ref="AO21:AO23"/>
    <mergeCell ref="AK27:AK29"/>
    <mergeCell ref="AM27:AM29"/>
    <mergeCell ref="AO27:AO29"/>
    <mergeCell ref="AK34:AK37"/>
    <mergeCell ref="AM34:AM37"/>
    <mergeCell ref="AO34:AO37"/>
    <mergeCell ref="AK48:AK50"/>
    <mergeCell ref="AM48:AM50"/>
    <mergeCell ref="AO48:AO50"/>
    <mergeCell ref="AK52:AK54"/>
    <mergeCell ref="AM52:AM54"/>
    <mergeCell ref="AO52:AO54"/>
    <mergeCell ref="AK56:AK58"/>
    <mergeCell ref="AM56:AM58"/>
    <mergeCell ref="AO56:AO58"/>
    <mergeCell ref="AK60:AK62"/>
    <mergeCell ref="AM60:AM62"/>
    <mergeCell ref="AO60:AO62"/>
    <mergeCell ref="AK64:AK66"/>
    <mergeCell ref="AM64:AM66"/>
    <mergeCell ref="AO64:AO66"/>
    <mergeCell ref="AK178:AK215"/>
    <mergeCell ref="AM178:AM215"/>
    <mergeCell ref="AO178:AO215"/>
    <mergeCell ref="AK263:AK266"/>
    <mergeCell ref="AM263:AM266"/>
    <mergeCell ref="AO263:AO266"/>
    <mergeCell ref="AK275:AK282"/>
    <mergeCell ref="AM275:AM282"/>
    <mergeCell ref="AO275:AO282"/>
    <mergeCell ref="AK286:AK289"/>
    <mergeCell ref="AM286:AM289"/>
    <mergeCell ref="AO286:AO289"/>
    <mergeCell ref="AK290:AK295"/>
    <mergeCell ref="AM290:AM295"/>
    <mergeCell ref="AO290:AO295"/>
    <mergeCell ref="AK297:AK300"/>
    <mergeCell ref="AM297:AM300"/>
    <mergeCell ref="AO297:AO300"/>
    <mergeCell ref="AK304:AK310"/>
    <mergeCell ref="AM304:AM310"/>
    <mergeCell ref="AO304:AO310"/>
    <mergeCell ref="AK313:AK317"/>
    <mergeCell ref="AM313:AM317"/>
    <mergeCell ref="AO313:AO317"/>
    <mergeCell ref="AK321:AK332"/>
    <mergeCell ref="AM321:AM332"/>
    <mergeCell ref="AO321:AO332"/>
    <mergeCell ref="AK426:AK427"/>
    <mergeCell ref="AM426:AM427"/>
    <mergeCell ref="AO426:AO427"/>
    <mergeCell ref="AK337:AK383"/>
    <mergeCell ref="AM337:AM383"/>
    <mergeCell ref="AO337:AO383"/>
    <mergeCell ref="AK422:AK424"/>
    <mergeCell ref="AM422:AM424"/>
    <mergeCell ref="AO422:AO424"/>
    <mergeCell ref="AU3:AV3"/>
    <mergeCell ref="AW3:AX3"/>
    <mergeCell ref="AU8:AU10"/>
    <mergeCell ref="AW8:AW10"/>
    <mergeCell ref="AU15:AU17"/>
    <mergeCell ref="AW15:AW17"/>
    <mergeCell ref="AU21:AU23"/>
    <mergeCell ref="AW21:AW23"/>
    <mergeCell ref="AU27:AU29"/>
    <mergeCell ref="AW27:AW29"/>
    <mergeCell ref="AW64:AW66"/>
    <mergeCell ref="AU178:AU215"/>
    <mergeCell ref="AW178:AW215"/>
    <mergeCell ref="AU64:AU66"/>
    <mergeCell ref="AW422:AW424"/>
    <mergeCell ref="AU426:AU427"/>
    <mergeCell ref="AW426:AW427"/>
    <mergeCell ref="AU297:AU300"/>
    <mergeCell ref="AW297:AW300"/>
    <mergeCell ref="AU304:AU310"/>
    <mergeCell ref="AW304:AW310"/>
    <mergeCell ref="AU313:AU317"/>
    <mergeCell ref="AW313:AW317"/>
    <mergeCell ref="AU321:AU332"/>
    <mergeCell ref="AW321:AW332"/>
    <mergeCell ref="AU337:AU383"/>
    <mergeCell ref="AW337:AW383"/>
    <mergeCell ref="AY3:AZ3"/>
    <mergeCell ref="AY8:AY10"/>
    <mergeCell ref="AY15:AY17"/>
    <mergeCell ref="AY21:AY23"/>
    <mergeCell ref="AY27:AY29"/>
    <mergeCell ref="AY34:AY37"/>
    <mergeCell ref="AY48:AY50"/>
    <mergeCell ref="AY52:AY54"/>
    <mergeCell ref="AY56:AY58"/>
    <mergeCell ref="AY60:AY62"/>
    <mergeCell ref="AY64:AY66"/>
    <mergeCell ref="AY178:AY215"/>
    <mergeCell ref="AY263:AY266"/>
    <mergeCell ref="AY275:AY282"/>
    <mergeCell ref="AY286:AY289"/>
    <mergeCell ref="AY290:AY295"/>
    <mergeCell ref="AY297:AY300"/>
    <mergeCell ref="AY304:AY310"/>
    <mergeCell ref="AY313:AY317"/>
    <mergeCell ref="AY321:AY332"/>
    <mergeCell ref="AY337:AY383"/>
    <mergeCell ref="AY422:AY424"/>
    <mergeCell ref="AY426:AY427"/>
    <mergeCell ref="BA3:BB3"/>
    <mergeCell ref="BE3:BF3"/>
    <mergeCell ref="BA8:BA10"/>
    <mergeCell ref="BE8:BE10"/>
    <mergeCell ref="BA15:BA17"/>
    <mergeCell ref="BE15:BE17"/>
    <mergeCell ref="BA21:BA23"/>
    <mergeCell ref="BE21:BE23"/>
    <mergeCell ref="BA27:BA29"/>
    <mergeCell ref="BE27:BE29"/>
    <mergeCell ref="BA34:BA37"/>
    <mergeCell ref="BE34:BE37"/>
    <mergeCell ref="BA48:BA50"/>
    <mergeCell ref="BE48:BE50"/>
    <mergeCell ref="BA52:BA54"/>
    <mergeCell ref="BE52:BE54"/>
    <mergeCell ref="BA56:BA58"/>
    <mergeCell ref="BE56:BE58"/>
    <mergeCell ref="BA60:BA62"/>
    <mergeCell ref="BE60:BE62"/>
    <mergeCell ref="BA64:BA66"/>
    <mergeCell ref="BE64:BE66"/>
    <mergeCell ref="BC60:BC62"/>
    <mergeCell ref="BC64:BC66"/>
    <mergeCell ref="BA178:BA215"/>
    <mergeCell ref="BE178:BE215"/>
    <mergeCell ref="BC178:BC215"/>
    <mergeCell ref="BC337:BC383"/>
    <mergeCell ref="BC422:BC424"/>
    <mergeCell ref="BA263:BA266"/>
    <mergeCell ref="BA275:BA282"/>
    <mergeCell ref="BA286:BA289"/>
    <mergeCell ref="BC3:BD3"/>
    <mergeCell ref="BC8:BC10"/>
    <mergeCell ref="BC15:BC17"/>
    <mergeCell ref="BC21:BC23"/>
    <mergeCell ref="BC27:BC29"/>
    <mergeCell ref="BC34:BC37"/>
    <mergeCell ref="BC48:BC50"/>
    <mergeCell ref="BC52:BC54"/>
    <mergeCell ref="BC56:BC58"/>
    <mergeCell ref="BA297:BA300"/>
    <mergeCell ref="BC290:BC295"/>
    <mergeCell ref="BC297:BC300"/>
    <mergeCell ref="BC286:BC289"/>
    <mergeCell ref="BA304:BA310"/>
    <mergeCell ref="BA313:BA317"/>
    <mergeCell ref="BC263:BC266"/>
    <mergeCell ref="BC275:BC282"/>
    <mergeCell ref="BA321:BA332"/>
    <mergeCell ref="BA290:BA295"/>
    <mergeCell ref="B442:B445"/>
    <mergeCell ref="B446:B449"/>
    <mergeCell ref="B450:B453"/>
    <mergeCell ref="A442:A453"/>
    <mergeCell ref="B454:B457"/>
    <mergeCell ref="D3:D4"/>
    <mergeCell ref="BE321:BE332"/>
    <mergeCell ref="BA337:BA383"/>
    <mergeCell ref="BE337:BE383"/>
    <mergeCell ref="BC426:BC427"/>
    <mergeCell ref="BA426:BA427"/>
    <mergeCell ref="BE426:BE427"/>
    <mergeCell ref="BE422:BE424"/>
    <mergeCell ref="BE263:BE266"/>
    <mergeCell ref="BE275:BE282"/>
    <mergeCell ref="BE286:BE289"/>
    <mergeCell ref="BE290:BE295"/>
    <mergeCell ref="BE297:BE300"/>
    <mergeCell ref="BE304:BE310"/>
    <mergeCell ref="BE313:BE317"/>
    <mergeCell ref="BA422:BA424"/>
    <mergeCell ref="BC304:BC310"/>
    <mergeCell ref="BC313:BC317"/>
    <mergeCell ref="BC321:BC332"/>
  </mergeCells>
  <printOptions horizontalCentered="1" verticalCentered="1"/>
  <pageMargins left="0" right="0" top="0" bottom="0" header="0" footer="0"/>
  <pageSetup paperSize="9" scale="3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</sheetPr>
  <dimension ref="A1:BH274"/>
  <sheetViews>
    <sheetView zoomScale="90" zoomScaleNormal="90" workbookViewId="0">
      <pane xSplit="3" topLeftCell="AY1" activePane="topRight" state="frozen"/>
      <selection pane="topRight" activeCell="B132" sqref="B132"/>
    </sheetView>
  </sheetViews>
  <sheetFormatPr defaultRowHeight="15.75" x14ac:dyDescent="0.25"/>
  <cols>
    <col min="1" max="1" width="9.140625" style="1726"/>
    <col min="2" max="2" width="60.140625" style="671" bestFit="1" customWidth="1"/>
    <col min="3" max="3" width="19.42578125" style="1726" customWidth="1"/>
    <col min="4" max="4" width="19.42578125" style="1726" hidden="1" customWidth="1"/>
    <col min="5" max="5" width="11.5703125" style="1510" bestFit="1" customWidth="1"/>
    <col min="6" max="6" width="11.5703125" style="1510" hidden="1" customWidth="1"/>
    <col min="7" max="7" width="11.5703125" style="1726" bestFit="1" customWidth="1"/>
    <col min="8" max="8" width="11.5703125" style="1726" hidden="1" customWidth="1"/>
    <col min="9" max="9" width="11.5703125" style="1741" hidden="1" customWidth="1"/>
    <col min="10" max="10" width="11.5703125" style="334" hidden="1" customWidth="1"/>
    <col min="11" max="11" width="11.5703125" style="1726" bestFit="1" customWidth="1"/>
    <col min="12" max="12" width="11.5703125" style="1726" hidden="1" customWidth="1"/>
    <col min="13" max="13" width="11.5703125" style="1746" customWidth="1"/>
    <col min="14" max="14" width="11.5703125" style="334" hidden="1" customWidth="1"/>
    <col min="15" max="15" width="11.5703125" style="1726" customWidth="1"/>
    <col min="16" max="16" width="11.5703125" style="1726" hidden="1" customWidth="1"/>
    <col min="17" max="17" width="11.5703125" style="1741" hidden="1" customWidth="1"/>
    <col min="18" max="18" width="11.5703125" style="334" hidden="1" customWidth="1"/>
    <col min="19" max="19" width="11.5703125" style="1726" customWidth="1"/>
    <col min="20" max="20" width="11.5703125" style="1726" hidden="1" customWidth="1"/>
    <col min="21" max="21" width="11.5703125" style="1741" hidden="1" customWidth="1"/>
    <col min="22" max="22" width="11.5703125" style="334" hidden="1" customWidth="1"/>
    <col min="23" max="23" width="11.85546875" style="1726" customWidth="1"/>
    <col min="24" max="24" width="11.85546875" style="1726" hidden="1" customWidth="1"/>
    <col min="25" max="25" width="11.5703125" style="1726" customWidth="1"/>
    <col min="26" max="26" width="11.5703125" style="1726" hidden="1" customWidth="1"/>
    <col min="27" max="27" width="11.5703125" style="1726" customWidth="1"/>
    <col min="28" max="28" width="8.85546875" style="1726" hidden="1" customWidth="1"/>
    <col min="29" max="29" width="11.85546875" style="1726" bestFit="1" customWidth="1"/>
    <col min="30" max="30" width="8.85546875" style="1726" hidden="1" customWidth="1"/>
    <col min="31" max="31" width="11.85546875" style="1726" hidden="1" customWidth="1"/>
    <col min="32" max="32" width="8.85546875" style="1726" hidden="1" customWidth="1"/>
    <col min="33" max="33" width="11.85546875" style="1726" bestFit="1" customWidth="1"/>
    <col min="34" max="34" width="8.85546875" style="1726" hidden="1" customWidth="1"/>
    <col min="35" max="35" width="13.42578125" style="1726" hidden="1" customWidth="1"/>
    <col min="36" max="36" width="8.85546875" style="1726" hidden="1" customWidth="1"/>
    <col min="37" max="37" width="11.85546875" style="1726" bestFit="1" customWidth="1"/>
    <col min="38" max="38" width="8.85546875" style="1726" hidden="1" customWidth="1"/>
    <col min="39" max="39" width="11.85546875" style="1726" bestFit="1" customWidth="1"/>
    <col min="40" max="40" width="8.85546875" style="1726" hidden="1" customWidth="1"/>
    <col min="41" max="41" width="13.5703125" style="1726" hidden="1" customWidth="1"/>
    <col min="42" max="42" width="11.140625" style="1726" hidden="1" customWidth="1"/>
    <col min="43" max="43" width="11.85546875" style="1726" bestFit="1" customWidth="1"/>
    <col min="44" max="44" width="8.85546875" style="1726" hidden="1" customWidth="1"/>
    <col min="45" max="45" width="13.5703125" style="1726" hidden="1" customWidth="1"/>
    <col min="46" max="46" width="8.42578125" style="1726" hidden="1" customWidth="1"/>
    <col min="47" max="47" width="11.85546875" style="1726" bestFit="1" customWidth="1"/>
    <col min="48" max="48" width="8.85546875" style="1726" hidden="1" customWidth="1"/>
    <col min="49" max="49" width="13.5703125" style="1726" hidden="1" customWidth="1"/>
    <col min="50" max="50" width="8.85546875" style="1726" hidden="1" customWidth="1"/>
    <col min="51" max="51" width="11.85546875" style="1726" bestFit="1" customWidth="1"/>
    <col min="52" max="52" width="8.85546875" style="4240" hidden="1" customWidth="1"/>
    <col min="53" max="53" width="11.85546875" style="4240" bestFit="1" customWidth="1"/>
    <col min="54" max="54" width="8.85546875" style="4240" hidden="1" customWidth="1"/>
    <col min="55" max="55" width="11.85546875" style="4240" bestFit="1" customWidth="1"/>
    <col min="56" max="56" width="8.85546875" style="1741" hidden="1" customWidth="1"/>
    <col min="57" max="57" width="13.5703125" style="1726" bestFit="1" customWidth="1"/>
    <col min="58" max="16384" width="9.140625" style="1726"/>
  </cols>
  <sheetData>
    <row r="1" spans="2:57" hidden="1" x14ac:dyDescent="0.25">
      <c r="W1" s="48">
        <f>+W7+W9</f>
        <v>1628.4700000000003</v>
      </c>
      <c r="X1" s="48"/>
    </row>
    <row r="2" spans="2:57" s="334" customFormat="1" ht="43.5" customHeight="1" thickBot="1" x14ac:dyDescent="0.3">
      <c r="B2" s="5072" t="s">
        <v>1698</v>
      </c>
      <c r="C2" s="5072"/>
      <c r="D2" s="5072"/>
      <c r="E2" s="5072"/>
      <c r="F2" s="5072"/>
      <c r="G2" s="5072"/>
      <c r="H2" s="5072"/>
      <c r="I2" s="5072"/>
      <c r="J2" s="5072"/>
      <c r="K2" s="5072"/>
      <c r="L2" s="5072"/>
      <c r="M2" s="5072"/>
      <c r="N2" s="5072"/>
      <c r="O2" s="5072"/>
      <c r="P2" s="5072"/>
      <c r="Q2" s="5072"/>
      <c r="R2" s="5072"/>
      <c r="S2" s="5072"/>
      <c r="T2" s="5072"/>
      <c r="U2" s="5072"/>
      <c r="V2" s="5072"/>
      <c r="W2" s="5072"/>
      <c r="X2" s="5072"/>
      <c r="Y2" s="5072"/>
      <c r="Z2" s="5072"/>
      <c r="AA2" s="5072"/>
      <c r="BB2" s="4921"/>
      <c r="BC2" s="4922"/>
    </row>
    <row r="3" spans="2:57" thickBot="1" x14ac:dyDescent="0.3">
      <c r="B3" s="5073" t="s">
        <v>197</v>
      </c>
      <c r="C3" s="4873" t="s">
        <v>198</v>
      </c>
      <c r="D3" s="4875" t="s">
        <v>1323</v>
      </c>
      <c r="E3" s="4876"/>
      <c r="F3" s="4875" t="s">
        <v>1384</v>
      </c>
      <c r="G3" s="4875"/>
      <c r="H3" s="4877" t="s">
        <v>15</v>
      </c>
      <c r="I3" s="4878"/>
      <c r="J3" s="4879" t="s">
        <v>1397</v>
      </c>
      <c r="K3" s="4880"/>
      <c r="L3" s="4881" t="s">
        <v>741</v>
      </c>
      <c r="M3" s="4859"/>
      <c r="N3" s="4879" t="s">
        <v>1424</v>
      </c>
      <c r="O3" s="4880"/>
      <c r="P3" s="4905" t="s">
        <v>18</v>
      </c>
      <c r="Q3" s="4878"/>
      <c r="R3" s="4879" t="s">
        <v>1496</v>
      </c>
      <c r="S3" s="4880"/>
      <c r="T3" s="4905" t="s">
        <v>19</v>
      </c>
      <c r="U3" s="4878"/>
      <c r="V3" s="4875" t="s">
        <v>1573</v>
      </c>
      <c r="W3" s="4875"/>
      <c r="X3" s="4881" t="s">
        <v>788</v>
      </c>
      <c r="Y3" s="4859"/>
      <c r="Z3" s="4914" t="s">
        <v>784</v>
      </c>
      <c r="AA3" s="4851"/>
      <c r="AB3" s="4879" t="s">
        <v>1634</v>
      </c>
      <c r="AC3" s="4880"/>
      <c r="AD3" s="4905" t="s">
        <v>26</v>
      </c>
      <c r="AE3" s="4878"/>
      <c r="AF3" s="4879" t="s">
        <v>1671</v>
      </c>
      <c r="AG3" s="4880"/>
      <c r="AH3" s="4905" t="s">
        <v>29</v>
      </c>
      <c r="AI3" s="4878"/>
      <c r="AJ3" s="4879" t="s">
        <v>1696</v>
      </c>
      <c r="AK3" s="4880"/>
      <c r="AL3" s="4881" t="s">
        <v>799</v>
      </c>
      <c r="AM3" s="4859"/>
      <c r="AN3" s="4905" t="s">
        <v>30</v>
      </c>
      <c r="AO3" s="4878"/>
      <c r="AP3" s="4879" t="s">
        <v>1760</v>
      </c>
      <c r="AQ3" s="4880"/>
      <c r="AR3" s="4879" t="s">
        <v>31</v>
      </c>
      <c r="AS3" s="4880"/>
      <c r="AT3" s="4879" t="s">
        <v>1812</v>
      </c>
      <c r="AU3" s="4880"/>
      <c r="AV3" s="4905" t="s">
        <v>809</v>
      </c>
      <c r="AW3" s="4878"/>
      <c r="AX3" s="4879" t="s">
        <v>1844</v>
      </c>
      <c r="AY3" s="4880"/>
      <c r="AZ3" s="4881" t="s">
        <v>800</v>
      </c>
      <c r="BA3" s="4859"/>
      <c r="BB3" s="4914" t="s">
        <v>817</v>
      </c>
      <c r="BC3" s="4851"/>
      <c r="BD3" s="4905" t="s">
        <v>1314</v>
      </c>
      <c r="BE3" s="4878"/>
    </row>
    <row r="4" spans="2:57" thickBot="1" x14ac:dyDescent="0.3">
      <c r="B4" s="5074"/>
      <c r="C4" s="5075"/>
      <c r="D4" s="3431" t="s">
        <v>199</v>
      </c>
      <c r="E4" s="3438" t="s">
        <v>200</v>
      </c>
      <c r="F4" s="3431" t="s">
        <v>199</v>
      </c>
      <c r="G4" s="3434" t="s">
        <v>200</v>
      </c>
      <c r="H4" s="3433" t="s">
        <v>199</v>
      </c>
      <c r="I4" s="381" t="s">
        <v>200</v>
      </c>
      <c r="J4" s="3153" t="s">
        <v>199</v>
      </c>
      <c r="K4" s="3434" t="s">
        <v>200</v>
      </c>
      <c r="L4" s="3432" t="s">
        <v>199</v>
      </c>
      <c r="M4" s="395" t="s">
        <v>200</v>
      </c>
      <c r="N4" s="3153" t="s">
        <v>199</v>
      </c>
      <c r="O4" s="3434" t="s">
        <v>200</v>
      </c>
      <c r="P4" s="3433" t="s">
        <v>199</v>
      </c>
      <c r="Q4" s="381" t="s">
        <v>200</v>
      </c>
      <c r="R4" s="3153" t="s">
        <v>199</v>
      </c>
      <c r="S4" s="3434" t="s">
        <v>200</v>
      </c>
      <c r="T4" s="3433" t="s">
        <v>199</v>
      </c>
      <c r="U4" s="381" t="s">
        <v>200</v>
      </c>
      <c r="V4" s="3153" t="s">
        <v>199</v>
      </c>
      <c r="W4" s="3434" t="s">
        <v>200</v>
      </c>
      <c r="X4" s="3432" t="s">
        <v>199</v>
      </c>
      <c r="Y4" s="395" t="s">
        <v>200</v>
      </c>
      <c r="Z4" s="1137" t="s">
        <v>199</v>
      </c>
      <c r="AA4" s="1137" t="s">
        <v>200</v>
      </c>
      <c r="AB4" s="3153" t="s">
        <v>199</v>
      </c>
      <c r="AC4" s="3434" t="s">
        <v>200</v>
      </c>
      <c r="AD4" s="3433" t="s">
        <v>199</v>
      </c>
      <c r="AE4" s="381" t="s">
        <v>200</v>
      </c>
      <c r="AF4" s="3153" t="s">
        <v>199</v>
      </c>
      <c r="AG4" s="3434" t="s">
        <v>200</v>
      </c>
      <c r="AH4" s="3433" t="s">
        <v>199</v>
      </c>
      <c r="AI4" s="381" t="s">
        <v>200</v>
      </c>
      <c r="AJ4" s="3153" t="s">
        <v>199</v>
      </c>
      <c r="AK4" s="3434" t="s">
        <v>200</v>
      </c>
      <c r="AL4" s="3432" t="s">
        <v>199</v>
      </c>
      <c r="AM4" s="395" t="s">
        <v>200</v>
      </c>
      <c r="AN4" s="3433" t="s">
        <v>199</v>
      </c>
      <c r="AO4" s="381" t="s">
        <v>200</v>
      </c>
      <c r="AP4" s="3153" t="s">
        <v>199</v>
      </c>
      <c r="AQ4" s="3841" t="s">
        <v>200</v>
      </c>
      <c r="AR4" s="3840" t="s">
        <v>199</v>
      </c>
      <c r="AS4" s="381" t="s">
        <v>200</v>
      </c>
      <c r="AT4" s="3153" t="s">
        <v>199</v>
      </c>
      <c r="AU4" s="4013" t="s">
        <v>200</v>
      </c>
      <c r="AV4" s="3995" t="s">
        <v>199</v>
      </c>
      <c r="AW4" s="381" t="s">
        <v>200</v>
      </c>
      <c r="AX4" s="3153" t="s">
        <v>199</v>
      </c>
      <c r="AY4" s="4263" t="s">
        <v>200</v>
      </c>
      <c r="AZ4" s="4532" t="s">
        <v>199</v>
      </c>
      <c r="BA4" s="395" t="s">
        <v>200</v>
      </c>
      <c r="BB4" s="1137" t="s">
        <v>199</v>
      </c>
      <c r="BC4" s="1137" t="s">
        <v>200</v>
      </c>
      <c r="BD4" s="381" t="s">
        <v>199</v>
      </c>
      <c r="BE4" s="381" t="s">
        <v>200</v>
      </c>
    </row>
    <row r="5" spans="2:57" s="334" customFormat="1" ht="25.5" x14ac:dyDescent="0.25">
      <c r="B5" s="4544" t="s">
        <v>841</v>
      </c>
      <c r="C5" s="482"/>
      <c r="D5" s="556"/>
      <c r="E5" s="1614"/>
      <c r="F5" s="1614"/>
      <c r="G5" s="4525"/>
      <c r="H5" s="4525"/>
      <c r="I5" s="4525"/>
      <c r="J5" s="4525"/>
      <c r="K5" s="4525"/>
      <c r="L5" s="4525"/>
      <c r="M5" s="4525"/>
      <c r="N5" s="4525"/>
      <c r="O5" s="4525"/>
      <c r="P5" s="4525"/>
      <c r="Q5" s="4525"/>
      <c r="R5" s="4525"/>
      <c r="S5" s="4525"/>
      <c r="T5" s="4525"/>
      <c r="U5" s="4525"/>
      <c r="V5" s="3185"/>
      <c r="W5" s="1097"/>
      <c r="X5" s="4525"/>
      <c r="Y5" s="4525"/>
      <c r="Z5" s="4525"/>
      <c r="AA5" s="4525"/>
      <c r="AB5" s="4525"/>
      <c r="AC5" s="4525"/>
      <c r="AD5" s="4525"/>
      <c r="AE5" s="4525"/>
      <c r="AF5" s="4525"/>
      <c r="AG5" s="4525"/>
      <c r="AH5" s="4525"/>
      <c r="AI5" s="4525"/>
      <c r="AJ5" s="4525"/>
      <c r="AK5" s="4525"/>
      <c r="AL5" s="4525"/>
      <c r="AM5" s="4525"/>
      <c r="AN5" s="4525"/>
      <c r="AO5" s="4525"/>
      <c r="AP5" s="4525"/>
      <c r="AQ5" s="4525"/>
      <c r="AR5" s="4525"/>
      <c r="AS5" s="4525"/>
      <c r="AT5" s="4525"/>
      <c r="AU5" s="4525"/>
      <c r="AV5" s="4525"/>
      <c r="AW5" s="4525"/>
      <c r="AX5" s="4525"/>
      <c r="AY5" s="4525"/>
      <c r="AZ5" s="4525"/>
      <c r="BA5" s="4525"/>
      <c r="BB5" s="4525"/>
      <c r="BC5" s="4525"/>
      <c r="BD5" s="4525"/>
      <c r="BE5" s="4525"/>
    </row>
    <row r="6" spans="2:57" s="334" customFormat="1" ht="20.25" x14ac:dyDescent="0.25">
      <c r="B6" s="2226" t="s">
        <v>842</v>
      </c>
      <c r="C6" s="483"/>
      <c r="D6" s="483"/>
      <c r="E6" s="1614"/>
      <c r="F6" s="1614"/>
      <c r="G6" s="4525"/>
      <c r="H6" s="4525"/>
      <c r="I6" s="4525"/>
      <c r="J6" s="4525"/>
      <c r="K6" s="4525"/>
      <c r="L6" s="4525"/>
      <c r="M6" s="4525"/>
      <c r="N6" s="4525"/>
      <c r="O6" s="4525"/>
      <c r="P6" s="4525"/>
      <c r="Q6" s="4525"/>
      <c r="R6" s="4525"/>
      <c r="S6" s="4525"/>
      <c r="T6" s="4525"/>
      <c r="U6" s="4525"/>
      <c r="V6" s="1094"/>
      <c r="W6" s="1094"/>
      <c r="X6" s="4525"/>
      <c r="Y6" s="4525"/>
      <c r="Z6" s="4525"/>
      <c r="AA6" s="4525"/>
      <c r="AB6" s="4525"/>
      <c r="AC6" s="4525"/>
      <c r="AD6" s="4525"/>
      <c r="AE6" s="4525"/>
      <c r="AF6" s="4525"/>
      <c r="AG6" s="4525"/>
      <c r="AH6" s="4525"/>
      <c r="AI6" s="4525"/>
      <c r="AJ6" s="4525"/>
      <c r="AK6" s="4525"/>
      <c r="AL6" s="4525"/>
      <c r="AM6" s="4525"/>
      <c r="AN6" s="4525"/>
      <c r="AO6" s="4525"/>
      <c r="AP6" s="4525"/>
      <c r="AQ6" s="4525"/>
      <c r="AR6" s="4525"/>
      <c r="AS6" s="4525"/>
      <c r="AT6" s="4525"/>
      <c r="AU6" s="4525"/>
      <c r="AV6" s="4525"/>
      <c r="AW6" s="4525"/>
      <c r="AX6" s="4525"/>
      <c r="AY6" s="4525"/>
      <c r="AZ6" s="4525"/>
      <c r="BA6" s="4525"/>
      <c r="BB6" s="4525"/>
      <c r="BC6" s="4525"/>
      <c r="BD6" s="4525"/>
      <c r="BE6" s="4525"/>
    </row>
    <row r="7" spans="2:57" x14ac:dyDescent="0.25">
      <c r="B7" s="673" t="s">
        <v>1611</v>
      </c>
      <c r="C7" s="3440" t="s">
        <v>393</v>
      </c>
      <c r="D7" s="3440"/>
      <c r="E7" s="1615">
        <v>1463.55</v>
      </c>
      <c r="F7" s="1615"/>
      <c r="G7" s="238">
        <v>1867.75</v>
      </c>
      <c r="H7" s="3436"/>
      <c r="I7" s="3436">
        <f>+E7+G7</f>
        <v>3331.3</v>
      </c>
      <c r="J7" s="3437"/>
      <c r="K7" s="238">
        <v>669.17</v>
      </c>
      <c r="L7" s="3435"/>
      <c r="M7" s="4225">
        <f>+E7+G7+K7</f>
        <v>4000.4700000000003</v>
      </c>
      <c r="N7" s="3437"/>
      <c r="O7" s="238">
        <v>1876.6999999999998</v>
      </c>
      <c r="P7" s="3436"/>
      <c r="Q7" s="3436">
        <f>+M7+O7</f>
        <v>5877.17</v>
      </c>
      <c r="R7" s="3437"/>
      <c r="S7" s="238">
        <v>1776.7400000000002</v>
      </c>
      <c r="T7" s="3436"/>
      <c r="U7" s="3436">
        <f>+Q7+S7</f>
        <v>7653.91</v>
      </c>
      <c r="V7" s="3437"/>
      <c r="W7" s="238">
        <v>1378.8400000000001</v>
      </c>
      <c r="X7" s="3435"/>
      <c r="Y7" s="4225">
        <f>+O7+S7+W7</f>
        <v>5032.2800000000007</v>
      </c>
      <c r="Z7" s="4528"/>
      <c r="AA7" s="4227">
        <f>+U7+W7</f>
        <v>9032.75</v>
      </c>
      <c r="AB7" s="3437"/>
      <c r="AC7" s="238">
        <v>2360.3099999999995</v>
      </c>
      <c r="AD7" s="3436"/>
      <c r="AE7" s="3436">
        <f>+AA7+AC7</f>
        <v>11393.06</v>
      </c>
      <c r="AF7" s="3437"/>
      <c r="AG7" s="238">
        <v>1583.6499999999996</v>
      </c>
      <c r="AH7" s="3436"/>
      <c r="AI7" s="3436">
        <f>+AE7+AG7</f>
        <v>12976.71</v>
      </c>
      <c r="AJ7" s="3437"/>
      <c r="AK7" s="4555">
        <v>998.25999999999976</v>
      </c>
      <c r="AL7" s="3435"/>
      <c r="AM7" s="4225">
        <f>+AC7+AG7+AK7</f>
        <v>4942.2199999999993</v>
      </c>
      <c r="AN7" s="3436"/>
      <c r="AO7" s="3436">
        <f>+AI7+AK7</f>
        <v>13974.97</v>
      </c>
      <c r="AP7" s="3836"/>
      <c r="AQ7" s="3835">
        <v>0</v>
      </c>
      <c r="AR7" s="3837"/>
      <c r="AS7" s="3837">
        <f>+AO7+AQ7</f>
        <v>13974.97</v>
      </c>
      <c r="AT7" s="3990"/>
      <c r="AU7" s="3989">
        <v>1826.94</v>
      </c>
      <c r="AV7" s="3991"/>
      <c r="AW7" s="3991">
        <f>+AS7+AU7</f>
        <v>15801.91</v>
      </c>
      <c r="AX7" s="4224"/>
      <c r="AY7" s="4552">
        <v>4746.4299999999985</v>
      </c>
      <c r="AZ7" s="4526"/>
      <c r="BA7" s="4526">
        <f>+AQ7+AU7+AY7</f>
        <v>6573.369999999999</v>
      </c>
      <c r="BB7" s="4528"/>
      <c r="BC7" s="4528">
        <f>+BA7+AM7</f>
        <v>11515.589999999998</v>
      </c>
      <c r="BD7" s="4527"/>
      <c r="BE7" s="4527">
        <f>+BC7+AA7</f>
        <v>20548.339999999997</v>
      </c>
    </row>
    <row r="8" spans="2:57" x14ac:dyDescent="0.25">
      <c r="B8" s="673" t="s">
        <v>1612</v>
      </c>
      <c r="C8" s="3440" t="s">
        <v>393</v>
      </c>
      <c r="D8" s="3440"/>
      <c r="E8" s="1615">
        <v>0</v>
      </c>
      <c r="F8" s="1615"/>
      <c r="G8" s="238">
        <v>0</v>
      </c>
      <c r="H8" s="3436"/>
      <c r="I8" s="4226">
        <f t="shared" ref="I8:I73" si="0">+E8+G8</f>
        <v>0</v>
      </c>
      <c r="J8" s="3437"/>
      <c r="K8" s="238">
        <v>0</v>
      </c>
      <c r="L8" s="3435"/>
      <c r="M8" s="4225">
        <f t="shared" ref="M8:M73" si="1">+E8+G8+K8</f>
        <v>0</v>
      </c>
      <c r="N8" s="3437"/>
      <c r="O8" s="238">
        <v>0</v>
      </c>
      <c r="P8" s="3436"/>
      <c r="Q8" s="4226">
        <f t="shared" ref="Q8:Q73" si="2">+M8+O8</f>
        <v>0</v>
      </c>
      <c r="R8" s="3437"/>
      <c r="S8" s="238">
        <v>1219.96</v>
      </c>
      <c r="T8" s="3436"/>
      <c r="U8" s="4226">
        <f t="shared" ref="U8:U73" si="3">+Q8+S8</f>
        <v>1219.96</v>
      </c>
      <c r="V8" s="3437"/>
      <c r="W8" s="238">
        <v>0</v>
      </c>
      <c r="X8" s="3435"/>
      <c r="Y8" s="4225">
        <f t="shared" ref="Y8:Y73" si="4">+O8+S8+W8</f>
        <v>1219.96</v>
      </c>
      <c r="Z8" s="4528"/>
      <c r="AA8" s="4227">
        <f t="shared" ref="AA8:AA73" si="5">+U8+W8</f>
        <v>1219.96</v>
      </c>
      <c r="AB8" s="3437"/>
      <c r="AC8" s="238">
        <v>0</v>
      </c>
      <c r="AD8" s="3436"/>
      <c r="AE8" s="4226">
        <f t="shared" ref="AE8:AE73" si="6">+AA8+AC8</f>
        <v>1219.96</v>
      </c>
      <c r="AF8" s="3437"/>
      <c r="AG8" s="238">
        <v>0</v>
      </c>
      <c r="AH8" s="3436"/>
      <c r="AI8" s="4226">
        <f t="shared" ref="AI8:AI73" si="7">+AE8+AG8</f>
        <v>1219.96</v>
      </c>
      <c r="AJ8" s="3437"/>
      <c r="AK8" s="4555">
        <v>0</v>
      </c>
      <c r="AL8" s="3435"/>
      <c r="AM8" s="4225">
        <f t="shared" ref="AM8:AM73" si="8">+AC8+AG8+AK8</f>
        <v>0</v>
      </c>
      <c r="AN8" s="3436"/>
      <c r="AO8" s="4226">
        <f t="shared" ref="AO8:AO73" si="9">+AI8+AK8</f>
        <v>1219.96</v>
      </c>
      <c r="AP8" s="3836"/>
      <c r="AQ8" s="3835">
        <v>0</v>
      </c>
      <c r="AR8" s="3837"/>
      <c r="AS8" s="4226">
        <f t="shared" ref="AS8:AS73" si="10">+AO8+AQ8</f>
        <v>1219.96</v>
      </c>
      <c r="AT8" s="3990"/>
      <c r="AU8" s="3989">
        <v>0</v>
      </c>
      <c r="AV8" s="3991"/>
      <c r="AW8" s="4226">
        <f t="shared" ref="AW8:AW73" si="11">+AS8+AU8</f>
        <v>1219.96</v>
      </c>
      <c r="AX8" s="4224"/>
      <c r="AY8" s="4223">
        <v>1268.28</v>
      </c>
      <c r="AZ8" s="4526"/>
      <c r="BA8" s="4526">
        <f t="shared" ref="BA8:BA71" si="12">+AQ8+AU8+AY8</f>
        <v>1268.28</v>
      </c>
      <c r="BB8" s="4528"/>
      <c r="BC8" s="4528">
        <f t="shared" ref="BC8:BC71" si="13">+BA8+AM8</f>
        <v>1268.28</v>
      </c>
      <c r="BD8" s="4527"/>
      <c r="BE8" s="4527">
        <f t="shared" ref="BE8:BE71" si="14">+BC8+AA8</f>
        <v>2488.2399999999998</v>
      </c>
    </row>
    <row r="9" spans="2:57" x14ac:dyDescent="0.25">
      <c r="B9" s="673" t="s">
        <v>1017</v>
      </c>
      <c r="C9" s="3440" t="s">
        <v>393</v>
      </c>
      <c r="D9" s="3440"/>
      <c r="E9" s="1615">
        <v>1493.36</v>
      </c>
      <c r="F9" s="1615"/>
      <c r="G9" s="238">
        <v>2208.8200000000002</v>
      </c>
      <c r="H9" s="3436"/>
      <c r="I9" s="4226">
        <f t="shared" si="0"/>
        <v>3702.1800000000003</v>
      </c>
      <c r="J9" s="3437"/>
      <c r="K9" s="238">
        <v>244</v>
      </c>
      <c r="L9" s="3435"/>
      <c r="M9" s="4225">
        <f t="shared" si="1"/>
        <v>3946.1800000000003</v>
      </c>
      <c r="N9" s="3437"/>
      <c r="O9" s="238">
        <v>1067.2700000000002</v>
      </c>
      <c r="P9" s="3436"/>
      <c r="Q9" s="4226">
        <f t="shared" si="2"/>
        <v>5013.4500000000007</v>
      </c>
      <c r="R9" s="3437"/>
      <c r="S9" s="238">
        <v>279.24</v>
      </c>
      <c r="T9" s="3436"/>
      <c r="U9" s="4226">
        <f t="shared" si="3"/>
        <v>5292.6900000000005</v>
      </c>
      <c r="V9" s="3437"/>
      <c r="W9" s="238">
        <v>249.63</v>
      </c>
      <c r="X9" s="3435"/>
      <c r="Y9" s="4225">
        <f t="shared" si="4"/>
        <v>1596.1400000000003</v>
      </c>
      <c r="Z9" s="4528"/>
      <c r="AA9" s="4227">
        <f t="shared" si="5"/>
        <v>5542.3200000000006</v>
      </c>
      <c r="AB9" s="3437"/>
      <c r="AC9" s="238">
        <v>963.93999999999994</v>
      </c>
      <c r="AD9" s="3436"/>
      <c r="AE9" s="4226">
        <f t="shared" si="6"/>
        <v>6506.26</v>
      </c>
      <c r="AF9" s="3437"/>
      <c r="AG9" s="238">
        <v>630.67000000000007</v>
      </c>
      <c r="AH9" s="3436"/>
      <c r="AI9" s="4226">
        <f t="shared" si="7"/>
        <v>7136.93</v>
      </c>
      <c r="AJ9" s="3437"/>
      <c r="AK9" s="4555">
        <v>1439.7</v>
      </c>
      <c r="AL9" s="3435"/>
      <c r="AM9" s="4225">
        <f t="shared" si="8"/>
        <v>3034.3100000000004</v>
      </c>
      <c r="AN9" s="3436"/>
      <c r="AO9" s="4226">
        <f t="shared" si="9"/>
        <v>8576.630000000001</v>
      </c>
      <c r="AP9" s="3836"/>
      <c r="AQ9" s="3835">
        <v>17.600000000000001</v>
      </c>
      <c r="AR9" s="3837"/>
      <c r="AS9" s="4226">
        <f t="shared" si="10"/>
        <v>8594.2300000000014</v>
      </c>
      <c r="AT9" s="3990"/>
      <c r="AU9" s="3989">
        <v>249.19999999999996</v>
      </c>
      <c r="AV9" s="3991"/>
      <c r="AW9" s="4226">
        <f t="shared" si="11"/>
        <v>8843.4300000000021</v>
      </c>
      <c r="AX9" s="4224"/>
      <c r="AY9" s="4223">
        <v>248.87</v>
      </c>
      <c r="AZ9" s="4526"/>
      <c r="BA9" s="4526">
        <f t="shared" si="12"/>
        <v>515.66999999999996</v>
      </c>
      <c r="BB9" s="4528"/>
      <c r="BC9" s="4528">
        <f t="shared" si="13"/>
        <v>3549.9800000000005</v>
      </c>
      <c r="BD9" s="4527"/>
      <c r="BE9" s="4527">
        <f t="shared" si="14"/>
        <v>9092.3000000000011</v>
      </c>
    </row>
    <row r="10" spans="2:57" x14ac:dyDescent="0.25">
      <c r="B10" s="673" t="s">
        <v>1094</v>
      </c>
      <c r="C10" s="3440" t="s">
        <v>393</v>
      </c>
      <c r="D10" s="3440"/>
      <c r="E10" s="1615">
        <v>0</v>
      </c>
      <c r="F10" s="1615"/>
      <c r="G10" s="238">
        <v>198.17</v>
      </c>
      <c r="H10" s="3436"/>
      <c r="I10" s="4226">
        <f t="shared" si="0"/>
        <v>198.17</v>
      </c>
      <c r="J10" s="3437"/>
      <c r="K10" s="238">
        <v>809.7</v>
      </c>
      <c r="L10" s="3435"/>
      <c r="M10" s="4225">
        <f t="shared" si="1"/>
        <v>1007.87</v>
      </c>
      <c r="N10" s="3437"/>
      <c r="O10" s="238">
        <v>0</v>
      </c>
      <c r="P10" s="3436"/>
      <c r="Q10" s="4226">
        <f t="shared" si="2"/>
        <v>1007.87</v>
      </c>
      <c r="R10" s="3437"/>
      <c r="S10" s="238">
        <v>0</v>
      </c>
      <c r="T10" s="3436"/>
      <c r="U10" s="4226">
        <f t="shared" si="3"/>
        <v>1007.87</v>
      </c>
      <c r="V10" s="3437"/>
      <c r="W10" s="238">
        <v>0</v>
      </c>
      <c r="X10" s="3435"/>
      <c r="Y10" s="4225">
        <f t="shared" si="4"/>
        <v>0</v>
      </c>
      <c r="Z10" s="4528"/>
      <c r="AA10" s="4227">
        <f t="shared" si="5"/>
        <v>1007.87</v>
      </c>
      <c r="AB10" s="3437"/>
      <c r="AC10" s="238">
        <v>0</v>
      </c>
      <c r="AD10" s="3436"/>
      <c r="AE10" s="4226">
        <f t="shared" si="6"/>
        <v>1007.87</v>
      </c>
      <c r="AF10" s="3437"/>
      <c r="AG10" s="238">
        <v>0</v>
      </c>
      <c r="AH10" s="3436"/>
      <c r="AI10" s="4226">
        <f t="shared" si="7"/>
        <v>1007.87</v>
      </c>
      <c r="AJ10" s="3437"/>
      <c r="AK10" s="4555">
        <v>0</v>
      </c>
      <c r="AL10" s="3435"/>
      <c r="AM10" s="4225">
        <f t="shared" si="8"/>
        <v>0</v>
      </c>
      <c r="AN10" s="3436"/>
      <c r="AO10" s="4226">
        <f t="shared" si="9"/>
        <v>1007.87</v>
      </c>
      <c r="AP10" s="3836"/>
      <c r="AQ10" s="3835">
        <v>0</v>
      </c>
      <c r="AR10" s="3837"/>
      <c r="AS10" s="4226">
        <f t="shared" si="10"/>
        <v>1007.87</v>
      </c>
      <c r="AT10" s="3990"/>
      <c r="AU10" s="3989">
        <v>0</v>
      </c>
      <c r="AV10" s="3991"/>
      <c r="AW10" s="4226">
        <f t="shared" si="11"/>
        <v>1007.87</v>
      </c>
      <c r="AX10" s="4224"/>
      <c r="AY10" s="4223">
        <v>0</v>
      </c>
      <c r="AZ10" s="4526"/>
      <c r="BA10" s="4526">
        <f t="shared" si="12"/>
        <v>0</v>
      </c>
      <c r="BB10" s="4528"/>
      <c r="BC10" s="4528">
        <f t="shared" si="13"/>
        <v>0</v>
      </c>
      <c r="BD10" s="4527"/>
      <c r="BE10" s="4527">
        <f t="shared" si="14"/>
        <v>1007.87</v>
      </c>
    </row>
    <row r="11" spans="2:57" s="334" customFormat="1" x14ac:dyDescent="0.25">
      <c r="B11" s="2227" t="s">
        <v>1866</v>
      </c>
      <c r="C11" s="483" t="s">
        <v>393</v>
      </c>
      <c r="D11" s="483"/>
      <c r="E11" s="1614"/>
      <c r="F11" s="1614"/>
      <c r="G11" s="4525"/>
      <c r="H11" s="4525"/>
      <c r="I11" s="4525"/>
      <c r="J11" s="4525"/>
      <c r="K11" s="4525"/>
      <c r="L11" s="4525"/>
      <c r="M11" s="4525"/>
      <c r="N11" s="4525"/>
      <c r="O11" s="4525"/>
      <c r="P11" s="4525"/>
      <c r="Q11" s="4525"/>
      <c r="R11" s="4525"/>
      <c r="S11" s="4525"/>
      <c r="T11" s="4525"/>
      <c r="U11" s="4525"/>
      <c r="V11" s="4525"/>
      <c r="W11" s="4525"/>
      <c r="X11" s="4525"/>
      <c r="Y11" s="4525"/>
      <c r="Z11" s="4525"/>
      <c r="AA11" s="4525"/>
      <c r="AB11" s="4525"/>
      <c r="AC11" s="4525"/>
      <c r="AD11" s="4525"/>
      <c r="AE11" s="4525"/>
      <c r="AF11" s="4525"/>
      <c r="AG11" s="4525"/>
      <c r="AH11" s="4525"/>
      <c r="AI11" s="4525"/>
      <c r="AJ11" s="4525"/>
      <c r="AK11" s="4556"/>
      <c r="AL11" s="4525"/>
      <c r="AM11" s="4525"/>
      <c r="AN11" s="4525"/>
      <c r="AO11" s="4525"/>
      <c r="AP11" s="4525"/>
      <c r="AQ11" s="4525"/>
      <c r="AR11" s="4525"/>
      <c r="AS11" s="4525"/>
      <c r="AT11" s="4525"/>
      <c r="AU11" s="4525"/>
      <c r="AV11" s="4525"/>
      <c r="AW11" s="4525"/>
      <c r="AX11" s="4525"/>
      <c r="AY11" s="4525"/>
      <c r="AZ11" s="4525"/>
      <c r="BA11" s="4525"/>
      <c r="BB11" s="4525"/>
      <c r="BC11" s="4525"/>
      <c r="BD11" s="4525"/>
      <c r="BE11" s="4525"/>
    </row>
    <row r="12" spans="2:57" s="60" customFormat="1" x14ac:dyDescent="0.25">
      <c r="B12" s="2347" t="s">
        <v>1867</v>
      </c>
      <c r="C12" s="4529" t="s">
        <v>393</v>
      </c>
      <c r="D12" s="4529"/>
      <c r="E12" s="470"/>
      <c r="F12" s="470"/>
      <c r="G12" s="4530"/>
      <c r="H12" s="950"/>
      <c r="I12" s="950"/>
      <c r="J12" s="4531"/>
      <c r="K12" s="4530"/>
      <c r="L12" s="952"/>
      <c r="M12" s="952"/>
      <c r="N12" s="4531"/>
      <c r="O12" s="4530"/>
      <c r="P12" s="950"/>
      <c r="Q12" s="950"/>
      <c r="R12" s="4531"/>
      <c r="S12" s="4530"/>
      <c r="T12" s="950"/>
      <c r="U12" s="950"/>
      <c r="V12" s="4531"/>
      <c r="W12" s="4530"/>
      <c r="X12" s="952"/>
      <c r="Y12" s="952"/>
      <c r="Z12" s="1434"/>
      <c r="AA12" s="1434"/>
      <c r="AB12" s="4531"/>
      <c r="AC12" s="4530"/>
      <c r="AD12" s="950"/>
      <c r="AE12" s="950"/>
      <c r="AF12" s="4531"/>
      <c r="AG12" s="4530"/>
      <c r="AH12" s="950"/>
      <c r="AI12" s="950"/>
      <c r="AJ12" s="4531"/>
      <c r="AK12" s="4554"/>
      <c r="AL12" s="952"/>
      <c r="AM12" s="952"/>
      <c r="AN12" s="950"/>
      <c r="AO12" s="950"/>
      <c r="AP12" s="4531"/>
      <c r="AQ12" s="4530"/>
      <c r="AR12" s="950"/>
      <c r="AS12" s="950"/>
      <c r="AT12" s="4531"/>
      <c r="AU12" s="4530"/>
      <c r="AV12" s="950"/>
      <c r="AW12" s="950"/>
      <c r="AX12" s="4531"/>
      <c r="AY12" s="4530">
        <v>64.400000000000006</v>
      </c>
      <c r="AZ12" s="952"/>
      <c r="BA12" s="952">
        <f t="shared" si="12"/>
        <v>64.400000000000006</v>
      </c>
      <c r="BB12" s="1434"/>
      <c r="BC12" s="1434">
        <f t="shared" si="13"/>
        <v>64.400000000000006</v>
      </c>
      <c r="BD12" s="950"/>
      <c r="BE12" s="950">
        <f t="shared" si="14"/>
        <v>64.400000000000006</v>
      </c>
    </row>
    <row r="13" spans="2:57" s="334" customFormat="1" x14ac:dyDescent="0.25">
      <c r="B13" s="2227" t="s">
        <v>843</v>
      </c>
      <c r="C13" s="3620" t="s">
        <v>393</v>
      </c>
      <c r="D13" s="483"/>
      <c r="E13" s="3628">
        <f>+SUM(E14:E21)</f>
        <v>4211.32</v>
      </c>
      <c r="F13" s="3442"/>
      <c r="G13" s="3628">
        <f>+SUM(G14:G21)</f>
        <v>4943.25</v>
      </c>
      <c r="H13" s="3436"/>
      <c r="I13" s="4226">
        <f t="shared" si="0"/>
        <v>9154.57</v>
      </c>
      <c r="J13" s="3437"/>
      <c r="K13" s="3628">
        <f>+SUM(K14:K21)</f>
        <v>4552.51</v>
      </c>
      <c r="L13" s="3435"/>
      <c r="M13" s="2422">
        <f t="shared" si="1"/>
        <v>13707.08</v>
      </c>
      <c r="N13" s="3437"/>
      <c r="O13" s="3628">
        <f>+SUM(O14:O21)</f>
        <v>5613.5200000000013</v>
      </c>
      <c r="P13" s="3436"/>
      <c r="Q13" s="4226">
        <f t="shared" si="2"/>
        <v>19320.600000000002</v>
      </c>
      <c r="R13" s="3437"/>
      <c r="S13" s="3628">
        <f>+SUM(S14:S21)</f>
        <v>5465.72</v>
      </c>
      <c r="T13" s="3436"/>
      <c r="U13" s="4226">
        <f t="shared" si="3"/>
        <v>24786.320000000003</v>
      </c>
      <c r="V13" s="3437"/>
      <c r="W13" s="3628">
        <f>+SUM(W14:W21)</f>
        <v>4607.8</v>
      </c>
      <c r="X13" s="3435"/>
      <c r="Y13" s="2422">
        <f t="shared" si="4"/>
        <v>15687.04</v>
      </c>
      <c r="Z13" s="1282"/>
      <c r="AA13" s="1282">
        <f t="shared" si="5"/>
        <v>29394.120000000003</v>
      </c>
      <c r="AB13" s="3437"/>
      <c r="AC13" s="3628">
        <f>+SUM(AC14:AC21)</f>
        <v>5092.4700000000021</v>
      </c>
      <c r="AD13" s="3436"/>
      <c r="AE13" s="4226">
        <f t="shared" si="6"/>
        <v>34486.590000000004</v>
      </c>
      <c r="AF13" s="3437"/>
      <c r="AG13" s="3628">
        <f>+SUM(AG14:AG21)</f>
        <v>4701.0000000000009</v>
      </c>
      <c r="AH13" s="3436"/>
      <c r="AI13" s="4226">
        <f t="shared" si="7"/>
        <v>39187.590000000004</v>
      </c>
      <c r="AJ13" s="3437"/>
      <c r="AK13" s="3628">
        <f>+SUM(AK14:AK21)</f>
        <v>4892.41</v>
      </c>
      <c r="AL13" s="3435"/>
      <c r="AM13" s="2422">
        <f t="shared" si="8"/>
        <v>14685.880000000003</v>
      </c>
      <c r="AN13" s="3436"/>
      <c r="AO13" s="4226">
        <f t="shared" si="9"/>
        <v>44080</v>
      </c>
      <c r="AP13" s="3836"/>
      <c r="AQ13" s="3628">
        <f>+SUM(AQ14:AQ21)</f>
        <v>4890.3700000000017</v>
      </c>
      <c r="AR13" s="3837"/>
      <c r="AS13" s="4226">
        <f t="shared" si="10"/>
        <v>48970.37</v>
      </c>
      <c r="AT13" s="3990"/>
      <c r="AU13" s="3628">
        <f>+SUM(AU14:AU21)</f>
        <v>5023.5099999999993</v>
      </c>
      <c r="AV13" s="3991"/>
      <c r="AW13" s="4226">
        <f t="shared" si="11"/>
        <v>53993.880000000005</v>
      </c>
      <c r="AX13" s="4224"/>
      <c r="AY13" s="3628">
        <f>+SUM(AY14:AY21)</f>
        <v>5584.2699999999995</v>
      </c>
      <c r="AZ13" s="4526"/>
      <c r="BA13" s="2422">
        <f t="shared" si="12"/>
        <v>15498.150000000001</v>
      </c>
      <c r="BB13" s="1282"/>
      <c r="BC13" s="1282">
        <f t="shared" si="13"/>
        <v>30184.030000000006</v>
      </c>
      <c r="BD13" s="644"/>
      <c r="BE13" s="644">
        <f t="shared" si="14"/>
        <v>59578.150000000009</v>
      </c>
    </row>
    <row r="14" spans="2:57" x14ac:dyDescent="0.25">
      <c r="B14" s="26" t="s">
        <v>383</v>
      </c>
      <c r="C14" s="3440" t="s">
        <v>393</v>
      </c>
      <c r="D14" s="3440"/>
      <c r="E14" s="1615">
        <v>179.83</v>
      </c>
      <c r="F14" s="1615"/>
      <c r="G14" s="238">
        <v>1089.04</v>
      </c>
      <c r="H14" s="3436"/>
      <c r="I14" s="4226">
        <f t="shared" si="0"/>
        <v>1268.8699999999999</v>
      </c>
      <c r="J14" s="3437"/>
      <c r="K14" s="238">
        <v>691.50000000000011</v>
      </c>
      <c r="L14" s="3435"/>
      <c r="M14" s="4225">
        <f t="shared" si="1"/>
        <v>1960.37</v>
      </c>
      <c r="N14" s="3437"/>
      <c r="O14" s="238">
        <v>1204.9200000000003</v>
      </c>
      <c r="P14" s="3436"/>
      <c r="Q14" s="4226">
        <f t="shared" si="2"/>
        <v>3165.29</v>
      </c>
      <c r="R14" s="3437"/>
      <c r="S14" s="238">
        <v>972.05</v>
      </c>
      <c r="T14" s="3436"/>
      <c r="U14" s="4226">
        <f t="shared" si="3"/>
        <v>4137.34</v>
      </c>
      <c r="V14" s="3437"/>
      <c r="W14" s="238">
        <v>732.51999999999975</v>
      </c>
      <c r="X14" s="3435"/>
      <c r="Y14" s="4225">
        <f t="shared" si="4"/>
        <v>2909.49</v>
      </c>
      <c r="Z14" s="4528"/>
      <c r="AA14" s="4227">
        <f t="shared" si="5"/>
        <v>4869.8599999999997</v>
      </c>
      <c r="AB14" s="3437"/>
      <c r="AC14" s="238">
        <v>595.40999999999985</v>
      </c>
      <c r="AD14" s="3436"/>
      <c r="AE14" s="4226">
        <f t="shared" si="6"/>
        <v>5465.2699999999995</v>
      </c>
      <c r="AF14" s="3437"/>
      <c r="AG14" s="238">
        <v>728.94</v>
      </c>
      <c r="AH14" s="3436"/>
      <c r="AI14" s="4226">
        <f t="shared" si="7"/>
        <v>6194.2099999999991</v>
      </c>
      <c r="AJ14" s="3437"/>
      <c r="AK14" s="4555">
        <v>730.03</v>
      </c>
      <c r="AL14" s="3435"/>
      <c r="AM14" s="4225">
        <f t="shared" si="8"/>
        <v>2054.38</v>
      </c>
      <c r="AN14" s="3436"/>
      <c r="AO14" s="4226">
        <f t="shared" si="9"/>
        <v>6924.2399999999989</v>
      </c>
      <c r="AP14" s="3836"/>
      <c r="AQ14" s="3835">
        <v>770.63</v>
      </c>
      <c r="AR14" s="3837"/>
      <c r="AS14" s="4226">
        <f t="shared" si="10"/>
        <v>7694.869999999999</v>
      </c>
      <c r="AT14" s="3990"/>
      <c r="AU14" s="3989">
        <v>947.42000000000007</v>
      </c>
      <c r="AV14" s="3991"/>
      <c r="AW14" s="4226">
        <f t="shared" si="11"/>
        <v>8642.2899999999991</v>
      </c>
      <c r="AX14" s="4224"/>
      <c r="AY14" s="4223">
        <v>950.66</v>
      </c>
      <c r="AZ14" s="4526"/>
      <c r="BA14" s="4526">
        <f t="shared" si="12"/>
        <v>2668.71</v>
      </c>
      <c r="BB14" s="4528"/>
      <c r="BC14" s="4528">
        <f t="shared" si="13"/>
        <v>4723.09</v>
      </c>
      <c r="BD14" s="4527"/>
      <c r="BE14" s="4527">
        <f t="shared" si="14"/>
        <v>9592.9500000000007</v>
      </c>
    </row>
    <row r="15" spans="2:57" x14ac:dyDescent="0.25">
      <c r="B15" s="26" t="s">
        <v>884</v>
      </c>
      <c r="C15" s="3440" t="s">
        <v>393</v>
      </c>
      <c r="D15" s="3440"/>
      <c r="E15" s="1615">
        <v>68.83</v>
      </c>
      <c r="F15" s="1615"/>
      <c r="G15" s="238">
        <v>19.78</v>
      </c>
      <c r="H15" s="3436"/>
      <c r="I15" s="4226">
        <f t="shared" si="0"/>
        <v>88.61</v>
      </c>
      <c r="J15" s="3437"/>
      <c r="K15" s="238">
        <v>39.31</v>
      </c>
      <c r="L15" s="3435"/>
      <c r="M15" s="4225">
        <f t="shared" si="1"/>
        <v>127.92</v>
      </c>
      <c r="N15" s="3437"/>
      <c r="O15" s="238">
        <v>39.22</v>
      </c>
      <c r="P15" s="3436"/>
      <c r="Q15" s="4226">
        <f t="shared" si="2"/>
        <v>167.14</v>
      </c>
      <c r="R15" s="3437"/>
      <c r="S15" s="238">
        <v>29.49</v>
      </c>
      <c r="T15" s="3436"/>
      <c r="U15" s="4226">
        <f t="shared" si="3"/>
        <v>196.63</v>
      </c>
      <c r="V15" s="3437"/>
      <c r="W15" s="238">
        <v>19.96</v>
      </c>
      <c r="X15" s="3435"/>
      <c r="Y15" s="4225">
        <f t="shared" si="4"/>
        <v>88.669999999999987</v>
      </c>
      <c r="Z15" s="4528"/>
      <c r="AA15" s="4227">
        <f t="shared" si="5"/>
        <v>216.59</v>
      </c>
      <c r="AB15" s="3437"/>
      <c r="AC15" s="238">
        <v>49.53</v>
      </c>
      <c r="AD15" s="3436"/>
      <c r="AE15" s="4226">
        <f t="shared" si="6"/>
        <v>266.12</v>
      </c>
      <c r="AF15" s="3437"/>
      <c r="AG15" s="238">
        <v>19.329999999999998</v>
      </c>
      <c r="AH15" s="3436"/>
      <c r="AI15" s="4226">
        <f t="shared" si="7"/>
        <v>285.45</v>
      </c>
      <c r="AJ15" s="3437"/>
      <c r="AK15" s="4555">
        <v>9.89</v>
      </c>
      <c r="AL15" s="3435"/>
      <c r="AM15" s="4225">
        <f t="shared" si="8"/>
        <v>78.75</v>
      </c>
      <c r="AN15" s="3436"/>
      <c r="AO15" s="4226">
        <f t="shared" si="9"/>
        <v>295.33999999999997</v>
      </c>
      <c r="AP15" s="3836"/>
      <c r="AQ15" s="3835">
        <v>9.56</v>
      </c>
      <c r="AR15" s="3837"/>
      <c r="AS15" s="4226">
        <f t="shared" si="10"/>
        <v>304.89999999999998</v>
      </c>
      <c r="AT15" s="3990"/>
      <c r="AU15" s="3989">
        <v>59.209999999999994</v>
      </c>
      <c r="AV15" s="3991"/>
      <c r="AW15" s="4226">
        <f t="shared" si="11"/>
        <v>364.10999999999996</v>
      </c>
      <c r="AX15" s="4224"/>
      <c r="AY15" s="4223">
        <v>59.63</v>
      </c>
      <c r="AZ15" s="4526"/>
      <c r="BA15" s="4526">
        <f t="shared" si="12"/>
        <v>128.4</v>
      </c>
      <c r="BB15" s="4528"/>
      <c r="BC15" s="4528">
        <f t="shared" si="13"/>
        <v>207.15</v>
      </c>
      <c r="BD15" s="4527"/>
      <c r="BE15" s="4527">
        <f t="shared" si="14"/>
        <v>423.74</v>
      </c>
    </row>
    <row r="16" spans="2:57" x14ac:dyDescent="0.25">
      <c r="B16" s="26" t="s">
        <v>1007</v>
      </c>
      <c r="C16" s="3440" t="s">
        <v>393</v>
      </c>
      <c r="D16" s="3440"/>
      <c r="E16" s="1615">
        <v>58.95</v>
      </c>
      <c r="F16" s="1615"/>
      <c r="G16" s="238">
        <v>19.920000000000002</v>
      </c>
      <c r="H16" s="3436"/>
      <c r="I16" s="4226">
        <f t="shared" si="0"/>
        <v>78.87</v>
      </c>
      <c r="J16" s="3437"/>
      <c r="K16" s="238">
        <v>29.35</v>
      </c>
      <c r="L16" s="3435"/>
      <c r="M16" s="4225">
        <f t="shared" si="1"/>
        <v>108.22</v>
      </c>
      <c r="N16" s="3437"/>
      <c r="O16" s="238">
        <v>19.060000000000002</v>
      </c>
      <c r="P16" s="3436"/>
      <c r="Q16" s="4226">
        <f t="shared" si="2"/>
        <v>127.28</v>
      </c>
      <c r="R16" s="3437"/>
      <c r="S16" s="238">
        <v>0</v>
      </c>
      <c r="T16" s="3436"/>
      <c r="U16" s="4226">
        <f t="shared" si="3"/>
        <v>127.28</v>
      </c>
      <c r="V16" s="3437"/>
      <c r="W16" s="238">
        <v>58.94</v>
      </c>
      <c r="X16" s="3435"/>
      <c r="Y16" s="4225">
        <f t="shared" si="4"/>
        <v>78</v>
      </c>
      <c r="Z16" s="4528"/>
      <c r="AA16" s="4227">
        <f t="shared" si="5"/>
        <v>186.22</v>
      </c>
      <c r="AB16" s="3437"/>
      <c r="AC16" s="238">
        <v>39.550000000000004</v>
      </c>
      <c r="AD16" s="3436"/>
      <c r="AE16" s="4226">
        <f t="shared" si="6"/>
        <v>225.77</v>
      </c>
      <c r="AF16" s="3437"/>
      <c r="AG16" s="238">
        <v>19.61</v>
      </c>
      <c r="AH16" s="3436"/>
      <c r="AI16" s="4226">
        <f t="shared" si="7"/>
        <v>245.38</v>
      </c>
      <c r="AJ16" s="3437"/>
      <c r="AK16" s="4555">
        <v>9.77</v>
      </c>
      <c r="AL16" s="3435"/>
      <c r="AM16" s="4225">
        <f t="shared" si="8"/>
        <v>68.930000000000007</v>
      </c>
      <c r="AN16" s="3436"/>
      <c r="AO16" s="4226">
        <f t="shared" si="9"/>
        <v>255.15</v>
      </c>
      <c r="AP16" s="3836"/>
      <c r="AQ16" s="3835">
        <v>19.329999999999998</v>
      </c>
      <c r="AR16" s="3837"/>
      <c r="AS16" s="4226">
        <f t="shared" si="10"/>
        <v>274.48</v>
      </c>
      <c r="AT16" s="3990"/>
      <c r="AU16" s="3989">
        <v>39.64</v>
      </c>
      <c r="AV16" s="3991"/>
      <c r="AW16" s="4226">
        <f t="shared" si="11"/>
        <v>314.12</v>
      </c>
      <c r="AX16" s="4224"/>
      <c r="AY16" s="4223">
        <v>69.03</v>
      </c>
      <c r="AZ16" s="4526"/>
      <c r="BA16" s="4526">
        <f t="shared" si="12"/>
        <v>128</v>
      </c>
      <c r="BB16" s="4528"/>
      <c r="BC16" s="4528">
        <f t="shared" si="13"/>
        <v>196.93</v>
      </c>
      <c r="BD16" s="4527"/>
      <c r="BE16" s="4527">
        <f t="shared" si="14"/>
        <v>383.15</v>
      </c>
    </row>
    <row r="17" spans="2:60" x14ac:dyDescent="0.25">
      <c r="B17" s="26" t="s">
        <v>844</v>
      </c>
      <c r="C17" s="3440" t="s">
        <v>393</v>
      </c>
      <c r="D17" s="3440"/>
      <c r="E17" s="1615">
        <v>3879.26</v>
      </c>
      <c r="F17" s="1615"/>
      <c r="G17" s="238">
        <v>3790.04</v>
      </c>
      <c r="H17" s="3436"/>
      <c r="I17" s="4226">
        <f t="shared" si="0"/>
        <v>7669.3</v>
      </c>
      <c r="J17" s="3437"/>
      <c r="K17" s="238">
        <v>3734.0799999999995</v>
      </c>
      <c r="L17" s="3435"/>
      <c r="M17" s="4225">
        <f t="shared" si="1"/>
        <v>11403.38</v>
      </c>
      <c r="N17" s="3437"/>
      <c r="O17" s="238">
        <v>4335.43</v>
      </c>
      <c r="P17" s="3436"/>
      <c r="Q17" s="4226">
        <f t="shared" si="2"/>
        <v>15738.81</v>
      </c>
      <c r="R17" s="3437"/>
      <c r="S17" s="238">
        <v>4464.18</v>
      </c>
      <c r="T17" s="3436"/>
      <c r="U17" s="4226">
        <f t="shared" si="3"/>
        <v>20202.989999999998</v>
      </c>
      <c r="V17" s="3437"/>
      <c r="W17" s="238">
        <v>3796.3800000000006</v>
      </c>
      <c r="X17" s="3435"/>
      <c r="Y17" s="4225">
        <f t="shared" si="4"/>
        <v>12595.990000000002</v>
      </c>
      <c r="Z17" s="4528"/>
      <c r="AA17" s="4227">
        <f t="shared" si="5"/>
        <v>23999.37</v>
      </c>
      <c r="AB17" s="3437"/>
      <c r="AC17" s="238">
        <v>4373.6000000000022</v>
      </c>
      <c r="AD17" s="3436"/>
      <c r="AE17" s="4226">
        <f t="shared" si="6"/>
        <v>28372.97</v>
      </c>
      <c r="AF17" s="3437"/>
      <c r="AG17" s="238">
        <v>3918.3400000000015</v>
      </c>
      <c r="AH17" s="3436"/>
      <c r="AI17" s="4226">
        <f t="shared" si="7"/>
        <v>32291.31</v>
      </c>
      <c r="AJ17" s="3437"/>
      <c r="AK17" s="4555">
        <v>4123.43</v>
      </c>
      <c r="AL17" s="3435"/>
      <c r="AM17" s="4225">
        <f t="shared" si="8"/>
        <v>12415.370000000004</v>
      </c>
      <c r="AN17" s="3436"/>
      <c r="AO17" s="4226">
        <f t="shared" si="9"/>
        <v>36414.740000000005</v>
      </c>
      <c r="AP17" s="3836"/>
      <c r="AQ17" s="3835">
        <v>4090.8500000000017</v>
      </c>
      <c r="AR17" s="3837"/>
      <c r="AS17" s="4226">
        <f t="shared" si="10"/>
        <v>40505.590000000004</v>
      </c>
      <c r="AT17" s="3990"/>
      <c r="AU17" s="3989">
        <v>3938.1899999999991</v>
      </c>
      <c r="AV17" s="3991"/>
      <c r="AW17" s="4226">
        <f t="shared" si="11"/>
        <v>44443.780000000006</v>
      </c>
      <c r="AX17" s="4224"/>
      <c r="AY17" s="4223">
        <v>4456.4399999999996</v>
      </c>
      <c r="AZ17" s="4526"/>
      <c r="BA17" s="4526">
        <f t="shared" si="12"/>
        <v>12485.48</v>
      </c>
      <c r="BB17" s="4528"/>
      <c r="BC17" s="4528">
        <f t="shared" si="13"/>
        <v>24900.850000000006</v>
      </c>
      <c r="BD17" s="4527"/>
      <c r="BE17" s="4527">
        <f t="shared" si="14"/>
        <v>48900.22</v>
      </c>
    </row>
    <row r="18" spans="2:60" x14ac:dyDescent="0.25">
      <c r="B18" s="26" t="s">
        <v>1008</v>
      </c>
      <c r="C18" s="3440" t="s">
        <v>393</v>
      </c>
      <c r="D18" s="3440"/>
      <c r="E18" s="1615">
        <v>9.69</v>
      </c>
      <c r="F18" s="1615"/>
      <c r="G18" s="238">
        <v>9.58</v>
      </c>
      <c r="H18" s="3436"/>
      <c r="I18" s="4226">
        <f t="shared" si="0"/>
        <v>19.27</v>
      </c>
      <c r="J18" s="3437"/>
      <c r="K18" s="238">
        <v>0</v>
      </c>
      <c r="L18" s="3435"/>
      <c r="M18" s="4225">
        <f t="shared" si="1"/>
        <v>19.27</v>
      </c>
      <c r="N18" s="3437"/>
      <c r="O18" s="238">
        <v>0</v>
      </c>
      <c r="P18" s="3436"/>
      <c r="Q18" s="4226">
        <f t="shared" si="2"/>
        <v>19.27</v>
      </c>
      <c r="R18" s="3437"/>
      <c r="S18" s="238">
        <v>0</v>
      </c>
      <c r="T18" s="3436"/>
      <c r="U18" s="4226">
        <f t="shared" si="3"/>
        <v>19.27</v>
      </c>
      <c r="V18" s="3437"/>
      <c r="W18" s="238">
        <v>0</v>
      </c>
      <c r="X18" s="3435"/>
      <c r="Y18" s="4225">
        <f t="shared" si="4"/>
        <v>0</v>
      </c>
      <c r="Z18" s="4528"/>
      <c r="AA18" s="4227">
        <f t="shared" si="5"/>
        <v>19.27</v>
      </c>
      <c r="AB18" s="3437"/>
      <c r="AC18" s="238">
        <v>9.76</v>
      </c>
      <c r="AD18" s="3436"/>
      <c r="AE18" s="4226">
        <f t="shared" si="6"/>
        <v>29.03</v>
      </c>
      <c r="AF18" s="3437"/>
      <c r="AG18" s="238">
        <v>0</v>
      </c>
      <c r="AH18" s="3436"/>
      <c r="AI18" s="4226">
        <f t="shared" si="7"/>
        <v>29.03</v>
      </c>
      <c r="AJ18" s="3437"/>
      <c r="AK18" s="4555">
        <v>9.58</v>
      </c>
      <c r="AL18" s="3435"/>
      <c r="AM18" s="4225">
        <f t="shared" si="8"/>
        <v>19.34</v>
      </c>
      <c r="AN18" s="3436"/>
      <c r="AO18" s="4226">
        <f t="shared" si="9"/>
        <v>38.61</v>
      </c>
      <c r="AP18" s="3836"/>
      <c r="AQ18" s="3835">
        <v>0</v>
      </c>
      <c r="AR18" s="3837"/>
      <c r="AS18" s="4226">
        <f t="shared" si="10"/>
        <v>38.61</v>
      </c>
      <c r="AT18" s="3990"/>
      <c r="AU18" s="3989">
        <v>9.7899999999999991</v>
      </c>
      <c r="AV18" s="3991"/>
      <c r="AW18" s="4226">
        <f t="shared" si="11"/>
        <v>48.4</v>
      </c>
      <c r="AX18" s="4224"/>
      <c r="AY18" s="4223">
        <v>19.420000000000002</v>
      </c>
      <c r="AZ18" s="4526"/>
      <c r="BA18" s="4526">
        <f t="shared" si="12"/>
        <v>29.21</v>
      </c>
      <c r="BB18" s="4528"/>
      <c r="BC18" s="4528">
        <f t="shared" si="13"/>
        <v>48.55</v>
      </c>
      <c r="BD18" s="4527"/>
      <c r="BE18" s="4527">
        <f t="shared" si="14"/>
        <v>67.819999999999993</v>
      </c>
      <c r="BH18" s="4090">
        <f>+AY8+AY154</f>
        <v>8848.6799999999985</v>
      </c>
    </row>
    <row r="19" spans="2:60" x14ac:dyDescent="0.25">
      <c r="B19" s="26" t="s">
        <v>1042</v>
      </c>
      <c r="C19" s="3440" t="s">
        <v>393</v>
      </c>
      <c r="D19" s="3440"/>
      <c r="E19" s="1615">
        <v>0</v>
      </c>
      <c r="F19" s="1615"/>
      <c r="G19" s="1615">
        <v>0</v>
      </c>
      <c r="H19" s="3436"/>
      <c r="I19" s="4226">
        <f t="shared" si="0"/>
        <v>0</v>
      </c>
      <c r="J19" s="3437"/>
      <c r="K19" s="238">
        <v>29.09</v>
      </c>
      <c r="L19" s="3435"/>
      <c r="M19" s="4225">
        <f t="shared" si="1"/>
        <v>29.09</v>
      </c>
      <c r="N19" s="3437"/>
      <c r="O19" s="238">
        <v>0</v>
      </c>
      <c r="P19" s="3436"/>
      <c r="Q19" s="4226">
        <f t="shared" si="2"/>
        <v>29.09</v>
      </c>
      <c r="R19" s="3437"/>
      <c r="S19" s="238">
        <v>0</v>
      </c>
      <c r="T19" s="3436"/>
      <c r="U19" s="4226">
        <f t="shared" si="3"/>
        <v>29.09</v>
      </c>
      <c r="V19" s="3437"/>
      <c r="W19" s="238">
        <v>0</v>
      </c>
      <c r="X19" s="3435"/>
      <c r="Y19" s="4225">
        <f t="shared" si="4"/>
        <v>0</v>
      </c>
      <c r="Z19" s="4528"/>
      <c r="AA19" s="4227">
        <f t="shared" si="5"/>
        <v>29.09</v>
      </c>
      <c r="AB19" s="3437"/>
      <c r="AC19" s="238">
        <v>0</v>
      </c>
      <c r="AD19" s="3436"/>
      <c r="AE19" s="4226">
        <f t="shared" si="6"/>
        <v>29.09</v>
      </c>
      <c r="AF19" s="3437"/>
      <c r="AG19" s="238">
        <v>14.78</v>
      </c>
      <c r="AH19" s="3436"/>
      <c r="AI19" s="4226">
        <f t="shared" si="7"/>
        <v>43.87</v>
      </c>
      <c r="AJ19" s="3437"/>
      <c r="AK19" s="4555">
        <v>0</v>
      </c>
      <c r="AL19" s="3435"/>
      <c r="AM19" s="4225">
        <f t="shared" si="8"/>
        <v>14.78</v>
      </c>
      <c r="AN19" s="3436"/>
      <c r="AO19" s="4226">
        <f t="shared" si="9"/>
        <v>43.87</v>
      </c>
      <c r="AP19" s="3836"/>
      <c r="AQ19" s="3835">
        <v>0</v>
      </c>
      <c r="AR19" s="3837"/>
      <c r="AS19" s="4226">
        <f t="shared" si="10"/>
        <v>43.87</v>
      </c>
      <c r="AT19" s="3990"/>
      <c r="AU19" s="3989">
        <v>0</v>
      </c>
      <c r="AV19" s="3991"/>
      <c r="AW19" s="4226">
        <f t="shared" si="11"/>
        <v>43.87</v>
      </c>
      <c r="AX19" s="4224"/>
      <c r="AY19" s="4223">
        <v>14.16</v>
      </c>
      <c r="AZ19" s="4526"/>
      <c r="BA19" s="4526">
        <f t="shared" si="12"/>
        <v>14.16</v>
      </c>
      <c r="BB19" s="4528"/>
      <c r="BC19" s="4528">
        <f t="shared" si="13"/>
        <v>28.939999999999998</v>
      </c>
      <c r="BD19" s="4527"/>
      <c r="BE19" s="4527">
        <f t="shared" si="14"/>
        <v>58.03</v>
      </c>
    </row>
    <row r="20" spans="2:60" x14ac:dyDescent="0.25">
      <c r="B20" s="26" t="s">
        <v>1009</v>
      </c>
      <c r="C20" s="3440" t="s">
        <v>393</v>
      </c>
      <c r="D20" s="3440"/>
      <c r="E20" s="1615">
        <v>0</v>
      </c>
      <c r="F20" s="1615"/>
      <c r="G20" s="1615">
        <v>0</v>
      </c>
      <c r="H20" s="3436"/>
      <c r="I20" s="4226">
        <f t="shared" si="0"/>
        <v>0</v>
      </c>
      <c r="J20" s="3437"/>
      <c r="K20" s="238">
        <v>19.619999999999997</v>
      </c>
      <c r="L20" s="3435"/>
      <c r="M20" s="4225">
        <f t="shared" si="1"/>
        <v>19.619999999999997</v>
      </c>
      <c r="N20" s="3437"/>
      <c r="O20" s="238">
        <v>0</v>
      </c>
      <c r="P20" s="3436"/>
      <c r="Q20" s="4226">
        <f t="shared" si="2"/>
        <v>19.619999999999997</v>
      </c>
      <c r="R20" s="3437"/>
      <c r="S20" s="238">
        <v>0</v>
      </c>
      <c r="T20" s="3436"/>
      <c r="U20" s="4226">
        <f t="shared" si="3"/>
        <v>19.619999999999997</v>
      </c>
      <c r="V20" s="3437"/>
      <c r="W20" s="238">
        <v>0</v>
      </c>
      <c r="X20" s="3435"/>
      <c r="Y20" s="4225">
        <f t="shared" si="4"/>
        <v>0</v>
      </c>
      <c r="Z20" s="4528"/>
      <c r="AA20" s="4227">
        <f t="shared" si="5"/>
        <v>19.619999999999997</v>
      </c>
      <c r="AB20" s="3437"/>
      <c r="AC20" s="238">
        <v>9.8000000000000007</v>
      </c>
      <c r="AD20" s="3436"/>
      <c r="AE20" s="4226">
        <f t="shared" si="6"/>
        <v>29.419999999999998</v>
      </c>
      <c r="AF20" s="3437"/>
      <c r="AG20" s="238">
        <v>0</v>
      </c>
      <c r="AH20" s="3436"/>
      <c r="AI20" s="4226">
        <f t="shared" si="7"/>
        <v>29.419999999999998</v>
      </c>
      <c r="AJ20" s="3437"/>
      <c r="AK20" s="4555">
        <v>0</v>
      </c>
      <c r="AL20" s="3435"/>
      <c r="AM20" s="4225">
        <f t="shared" si="8"/>
        <v>9.8000000000000007</v>
      </c>
      <c r="AN20" s="3436"/>
      <c r="AO20" s="4226">
        <f t="shared" si="9"/>
        <v>29.419999999999998</v>
      </c>
      <c r="AP20" s="3836"/>
      <c r="AQ20" s="3835">
        <v>0</v>
      </c>
      <c r="AR20" s="3837"/>
      <c r="AS20" s="4226">
        <f t="shared" si="10"/>
        <v>29.419999999999998</v>
      </c>
      <c r="AT20" s="3990"/>
      <c r="AU20" s="3989">
        <v>9.6300000000000008</v>
      </c>
      <c r="AV20" s="3991"/>
      <c r="AW20" s="4226">
        <f t="shared" si="11"/>
        <v>39.049999999999997</v>
      </c>
      <c r="AX20" s="4224"/>
      <c r="AY20" s="4223">
        <v>0</v>
      </c>
      <c r="AZ20" s="4526"/>
      <c r="BA20" s="4526">
        <f t="shared" si="12"/>
        <v>9.6300000000000008</v>
      </c>
      <c r="BB20" s="4528"/>
      <c r="BC20" s="4528">
        <f t="shared" si="13"/>
        <v>19.43</v>
      </c>
      <c r="BD20" s="4527"/>
      <c r="BE20" s="4527">
        <f t="shared" si="14"/>
        <v>39.049999999999997</v>
      </c>
    </row>
    <row r="21" spans="2:60" x14ac:dyDescent="0.25">
      <c r="B21" s="26" t="s">
        <v>1043</v>
      </c>
      <c r="C21" s="3440" t="s">
        <v>393</v>
      </c>
      <c r="D21" s="3440"/>
      <c r="E21" s="1615">
        <v>14.76</v>
      </c>
      <c r="F21" s="1615"/>
      <c r="G21" s="238">
        <v>14.89</v>
      </c>
      <c r="H21" s="3436"/>
      <c r="I21" s="4226">
        <f t="shared" si="0"/>
        <v>29.65</v>
      </c>
      <c r="J21" s="3437"/>
      <c r="K21" s="238">
        <v>9.56</v>
      </c>
      <c r="L21" s="3435"/>
      <c r="M21" s="4225">
        <f t="shared" si="1"/>
        <v>39.21</v>
      </c>
      <c r="N21" s="3437"/>
      <c r="O21" s="238">
        <v>14.89</v>
      </c>
      <c r="P21" s="3436"/>
      <c r="Q21" s="4226">
        <f t="shared" si="2"/>
        <v>54.1</v>
      </c>
      <c r="R21" s="3437"/>
      <c r="S21" s="238">
        <v>0</v>
      </c>
      <c r="T21" s="3436"/>
      <c r="U21" s="4226">
        <f t="shared" si="3"/>
        <v>54.1</v>
      </c>
      <c r="V21" s="3437"/>
      <c r="W21" s="238">
        <v>0</v>
      </c>
      <c r="X21" s="3435"/>
      <c r="Y21" s="4225">
        <f t="shared" si="4"/>
        <v>14.89</v>
      </c>
      <c r="Z21" s="4528"/>
      <c r="AA21" s="4227">
        <f t="shared" si="5"/>
        <v>54.1</v>
      </c>
      <c r="AB21" s="3437"/>
      <c r="AC21" s="238">
        <v>14.82</v>
      </c>
      <c r="AD21" s="3436"/>
      <c r="AE21" s="4226">
        <f t="shared" si="6"/>
        <v>68.92</v>
      </c>
      <c r="AF21" s="3437"/>
      <c r="AG21" s="238">
        <v>0</v>
      </c>
      <c r="AH21" s="3436"/>
      <c r="AI21" s="4226">
        <f t="shared" si="7"/>
        <v>68.92</v>
      </c>
      <c r="AJ21" s="3437"/>
      <c r="AK21" s="4555">
        <v>9.7100000000000009</v>
      </c>
      <c r="AL21" s="3435"/>
      <c r="AM21" s="4225">
        <f t="shared" si="8"/>
        <v>24.53</v>
      </c>
      <c r="AN21" s="3436"/>
      <c r="AO21" s="4226">
        <f t="shared" si="9"/>
        <v>78.63</v>
      </c>
      <c r="AP21" s="3836"/>
      <c r="AQ21" s="3835">
        <v>0</v>
      </c>
      <c r="AR21" s="3837"/>
      <c r="AS21" s="4226">
        <f t="shared" si="10"/>
        <v>78.63</v>
      </c>
      <c r="AT21" s="3990"/>
      <c r="AU21" s="3989">
        <v>19.63</v>
      </c>
      <c r="AV21" s="3991"/>
      <c r="AW21" s="4226">
        <f t="shared" si="11"/>
        <v>98.259999999999991</v>
      </c>
      <c r="AX21" s="4224"/>
      <c r="AY21" s="4223">
        <v>14.93</v>
      </c>
      <c r="AZ21" s="4526"/>
      <c r="BA21" s="4526">
        <f t="shared" si="12"/>
        <v>34.56</v>
      </c>
      <c r="BB21" s="4528"/>
      <c r="BC21" s="4528">
        <f t="shared" si="13"/>
        <v>59.09</v>
      </c>
      <c r="BD21" s="4527"/>
      <c r="BE21" s="4527">
        <f t="shared" si="14"/>
        <v>113.19</v>
      </c>
    </row>
    <row r="22" spans="2:60" x14ac:dyDescent="0.25">
      <c r="B22" s="2227" t="s">
        <v>885</v>
      </c>
      <c r="C22" s="3440" t="s">
        <v>393</v>
      </c>
      <c r="D22" s="3440"/>
      <c r="E22" s="3442">
        <v>1971.74</v>
      </c>
      <c r="F22" s="3442"/>
      <c r="G22" s="3442">
        <v>678.19</v>
      </c>
      <c r="H22" s="3436"/>
      <c r="I22" s="4226">
        <f t="shared" si="0"/>
        <v>2649.9300000000003</v>
      </c>
      <c r="J22" s="3437"/>
      <c r="K22" s="3442">
        <v>2160.67</v>
      </c>
      <c r="L22" s="3435"/>
      <c r="M22" s="2422">
        <f t="shared" si="1"/>
        <v>4810.6000000000004</v>
      </c>
      <c r="N22" s="3437"/>
      <c r="O22" s="3442">
        <v>154.97</v>
      </c>
      <c r="P22" s="3436"/>
      <c r="Q22" s="4226">
        <f t="shared" si="2"/>
        <v>4965.5700000000006</v>
      </c>
      <c r="R22" s="3437"/>
      <c r="S22" s="3442">
        <v>0</v>
      </c>
      <c r="T22" s="3436"/>
      <c r="U22" s="4226">
        <f t="shared" si="3"/>
        <v>4965.5700000000006</v>
      </c>
      <c r="V22" s="3437"/>
      <c r="W22" s="3442">
        <v>0</v>
      </c>
      <c r="X22" s="3435"/>
      <c r="Y22" s="2422">
        <f t="shared" si="4"/>
        <v>154.97</v>
      </c>
      <c r="Z22" s="1282"/>
      <c r="AA22" s="1282">
        <f t="shared" si="5"/>
        <v>4965.5700000000006</v>
      </c>
      <c r="AB22" s="3437"/>
      <c r="AC22" s="3442">
        <v>0</v>
      </c>
      <c r="AD22" s="3436"/>
      <c r="AE22" s="4226">
        <f t="shared" si="6"/>
        <v>4965.5700000000006</v>
      </c>
      <c r="AF22" s="3437"/>
      <c r="AG22" s="3442">
        <v>32.94</v>
      </c>
      <c r="AH22" s="3436"/>
      <c r="AI22" s="4226">
        <f t="shared" si="7"/>
        <v>4998.51</v>
      </c>
      <c r="AJ22" s="3437"/>
      <c r="AK22" s="3628">
        <v>466.88</v>
      </c>
      <c r="AL22" s="3435"/>
      <c r="AM22" s="2422">
        <f t="shared" si="8"/>
        <v>499.82</v>
      </c>
      <c r="AN22" s="3436"/>
      <c r="AO22" s="4226">
        <f t="shared" si="9"/>
        <v>5465.39</v>
      </c>
      <c r="AP22" s="3836"/>
      <c r="AQ22" s="3628">
        <v>0</v>
      </c>
      <c r="AR22" s="3837"/>
      <c r="AS22" s="4226">
        <f t="shared" si="10"/>
        <v>5465.39</v>
      </c>
      <c r="AT22" s="3990"/>
      <c r="AU22" s="3628">
        <v>516.4</v>
      </c>
      <c r="AV22" s="3991"/>
      <c r="AW22" s="4226">
        <f t="shared" si="11"/>
        <v>5981.79</v>
      </c>
      <c r="AX22" s="4224"/>
      <c r="AY22" s="4553">
        <v>1765.7800000000002</v>
      </c>
      <c r="AZ22" s="4526"/>
      <c r="BA22" s="2422">
        <f t="shared" si="12"/>
        <v>2282.1800000000003</v>
      </c>
      <c r="BB22" s="1282"/>
      <c r="BC22" s="1282">
        <f t="shared" si="13"/>
        <v>2782.0000000000005</v>
      </c>
      <c r="BD22" s="644"/>
      <c r="BE22" s="644">
        <f t="shared" si="14"/>
        <v>7747.5700000000015</v>
      </c>
    </row>
    <row r="23" spans="2:60" s="334" customFormat="1" x14ac:dyDescent="0.25">
      <c r="B23" s="2227" t="s">
        <v>802</v>
      </c>
      <c r="C23" s="483"/>
      <c r="D23" s="483"/>
      <c r="E23" s="3628">
        <f t="shared" ref="E23" si="15">+SUM(E24:E35)</f>
        <v>3806.8100000000004</v>
      </c>
      <c r="F23" s="3442"/>
      <c r="G23" s="3628">
        <f t="shared" ref="G23" si="16">+SUM(G24:G35)</f>
        <v>2232.84</v>
      </c>
      <c r="H23" s="3436"/>
      <c r="I23" s="4226">
        <f t="shared" si="0"/>
        <v>6039.6500000000005</v>
      </c>
      <c r="J23" s="3437"/>
      <c r="K23" s="3628">
        <f t="shared" ref="K23" si="17">+SUM(K24:K35)</f>
        <v>2165.0800000000008</v>
      </c>
      <c r="L23" s="3435"/>
      <c r="M23" s="2422">
        <f t="shared" si="1"/>
        <v>8204.7300000000014</v>
      </c>
      <c r="N23" s="3437"/>
      <c r="O23" s="3628">
        <f t="shared" ref="O23" si="18">+SUM(O24:O35)</f>
        <v>2517.4100000000008</v>
      </c>
      <c r="P23" s="3436"/>
      <c r="Q23" s="4226">
        <f t="shared" si="2"/>
        <v>10722.140000000003</v>
      </c>
      <c r="R23" s="3437"/>
      <c r="S23" s="3628">
        <f t="shared" ref="S23" si="19">+SUM(S24:S35)</f>
        <v>3837.8</v>
      </c>
      <c r="T23" s="3436"/>
      <c r="U23" s="4226">
        <f t="shared" si="3"/>
        <v>14559.940000000002</v>
      </c>
      <c r="V23" s="3437"/>
      <c r="W23" s="3628">
        <f t="shared" ref="W23" si="20">+SUM(W24:W35)</f>
        <v>3516.46</v>
      </c>
      <c r="X23" s="3435"/>
      <c r="Y23" s="2422">
        <f t="shared" si="4"/>
        <v>9871.6700000000019</v>
      </c>
      <c r="Z23" s="1282"/>
      <c r="AA23" s="1282">
        <f t="shared" si="5"/>
        <v>18076.400000000001</v>
      </c>
      <c r="AB23" s="3437"/>
      <c r="AC23" s="3628">
        <f t="shared" ref="AC23" si="21">+SUM(AC24:AC35)</f>
        <v>3544.4500000000003</v>
      </c>
      <c r="AD23" s="3436"/>
      <c r="AE23" s="4226">
        <f t="shared" si="6"/>
        <v>21620.850000000002</v>
      </c>
      <c r="AF23" s="3437"/>
      <c r="AG23" s="3628">
        <f t="shared" ref="AG23" si="22">+SUM(AG24:AG35)</f>
        <v>4307.9599999999991</v>
      </c>
      <c r="AH23" s="3436"/>
      <c r="AI23" s="4226">
        <f t="shared" si="7"/>
        <v>25928.81</v>
      </c>
      <c r="AJ23" s="3437"/>
      <c r="AK23" s="3628">
        <f t="shared" ref="AK23" si="23">+SUM(AK24:AK35)</f>
        <v>6793.0599999999968</v>
      </c>
      <c r="AL23" s="3435"/>
      <c r="AM23" s="2422">
        <f t="shared" si="8"/>
        <v>14645.469999999998</v>
      </c>
      <c r="AN23" s="3436"/>
      <c r="AO23" s="4226">
        <f t="shared" si="9"/>
        <v>32721.87</v>
      </c>
      <c r="AP23" s="3836"/>
      <c r="AQ23" s="3628">
        <f t="shared" ref="AQ23" si="24">+SUM(AQ24:AQ35)</f>
        <v>5678.1599999999989</v>
      </c>
      <c r="AR23" s="3837"/>
      <c r="AS23" s="4226">
        <f t="shared" si="10"/>
        <v>38400.03</v>
      </c>
      <c r="AT23" s="3990"/>
      <c r="AU23" s="3628">
        <f t="shared" ref="AU23" si="25">+SUM(AU24:AU35)</f>
        <v>5607.3100000000022</v>
      </c>
      <c r="AV23" s="3991"/>
      <c r="AW23" s="4226">
        <f t="shared" si="11"/>
        <v>44007.340000000004</v>
      </c>
      <c r="AX23" s="4224"/>
      <c r="AY23" s="3628">
        <f t="shared" ref="AY23" si="26">+SUM(AY24:AY35)</f>
        <v>4904.1099999999997</v>
      </c>
      <c r="AZ23" s="4526"/>
      <c r="BA23" s="2422">
        <f t="shared" si="12"/>
        <v>16189.580000000002</v>
      </c>
      <c r="BB23" s="1282"/>
      <c r="BC23" s="1282">
        <f t="shared" si="13"/>
        <v>30835.05</v>
      </c>
      <c r="BD23" s="644"/>
      <c r="BE23" s="644">
        <f t="shared" si="14"/>
        <v>48911.45</v>
      </c>
    </row>
    <row r="24" spans="2:60" x14ac:dyDescent="0.25">
      <c r="B24" s="26" t="s">
        <v>1098</v>
      </c>
      <c r="C24" s="3440" t="s">
        <v>393</v>
      </c>
      <c r="D24" s="3440"/>
      <c r="E24" s="1615">
        <v>42.5</v>
      </c>
      <c r="F24" s="1615"/>
      <c r="G24" s="238">
        <v>100</v>
      </c>
      <c r="H24" s="3436"/>
      <c r="I24" s="4226">
        <f t="shared" si="0"/>
        <v>142.5</v>
      </c>
      <c r="J24" s="3437"/>
      <c r="K24" s="238">
        <v>165.18</v>
      </c>
      <c r="L24" s="3435"/>
      <c r="M24" s="4225">
        <f t="shared" si="1"/>
        <v>307.68</v>
      </c>
      <c r="N24" s="3437"/>
      <c r="O24" s="238">
        <v>70.349999999999994</v>
      </c>
      <c r="P24" s="3436"/>
      <c r="Q24" s="4226">
        <f t="shared" si="2"/>
        <v>378.03</v>
      </c>
      <c r="R24" s="3437"/>
      <c r="S24" s="238">
        <v>424.29</v>
      </c>
      <c r="T24" s="3436"/>
      <c r="U24" s="4226">
        <f t="shared" si="3"/>
        <v>802.31999999999994</v>
      </c>
      <c r="V24" s="3437"/>
      <c r="W24" s="238">
        <v>37.880000000000003</v>
      </c>
      <c r="X24" s="3435"/>
      <c r="Y24" s="4225">
        <f t="shared" si="4"/>
        <v>532.52</v>
      </c>
      <c r="Z24" s="4528"/>
      <c r="AA24" s="4227">
        <f t="shared" si="5"/>
        <v>840.19999999999993</v>
      </c>
      <c r="AB24" s="3437"/>
      <c r="AC24" s="238">
        <v>265.39999999999998</v>
      </c>
      <c r="AD24" s="3436"/>
      <c r="AE24" s="4226">
        <f t="shared" si="6"/>
        <v>1105.5999999999999</v>
      </c>
      <c r="AF24" s="3437"/>
      <c r="AG24" s="238">
        <v>263.2</v>
      </c>
      <c r="AH24" s="3436"/>
      <c r="AI24" s="4226">
        <f t="shared" si="7"/>
        <v>1368.8</v>
      </c>
      <c r="AJ24" s="3437"/>
      <c r="AK24" s="4555">
        <v>296.31</v>
      </c>
      <c r="AL24" s="3435"/>
      <c r="AM24" s="4225">
        <f t="shared" si="8"/>
        <v>824.90999999999985</v>
      </c>
      <c r="AN24" s="3436"/>
      <c r="AO24" s="4226">
        <f t="shared" si="9"/>
        <v>1665.11</v>
      </c>
      <c r="AP24" s="3836"/>
      <c r="AQ24" s="3835">
        <v>187.79</v>
      </c>
      <c r="AR24" s="3837"/>
      <c r="AS24" s="4226">
        <f t="shared" si="10"/>
        <v>1852.8999999999999</v>
      </c>
      <c r="AT24" s="3990"/>
      <c r="AU24" s="3989">
        <v>130.21</v>
      </c>
      <c r="AV24" s="3991"/>
      <c r="AW24" s="4226">
        <f t="shared" si="11"/>
        <v>1983.11</v>
      </c>
      <c r="AX24" s="4224"/>
      <c r="AY24" s="4223">
        <v>338.96</v>
      </c>
      <c r="AZ24" s="4526"/>
      <c r="BA24" s="4526">
        <f t="shared" si="12"/>
        <v>656.96</v>
      </c>
      <c r="BB24" s="4528"/>
      <c r="BC24" s="4528">
        <f t="shared" si="13"/>
        <v>1481.87</v>
      </c>
      <c r="BD24" s="4527"/>
      <c r="BE24" s="4527">
        <f t="shared" si="14"/>
        <v>2322.0699999999997</v>
      </c>
    </row>
    <row r="25" spans="2:60" x14ac:dyDescent="0.25">
      <c r="B25" s="26" t="s">
        <v>1815</v>
      </c>
      <c r="C25" s="3620" t="s">
        <v>393</v>
      </c>
      <c r="D25" s="3620"/>
      <c r="E25" s="1615"/>
      <c r="F25" s="1615"/>
      <c r="G25" s="4028"/>
      <c r="H25" s="4030"/>
      <c r="I25" s="4226">
        <f t="shared" si="0"/>
        <v>0</v>
      </c>
      <c r="J25" s="4029"/>
      <c r="K25" s="4028"/>
      <c r="L25" s="4031"/>
      <c r="M25" s="4225">
        <f t="shared" si="1"/>
        <v>0</v>
      </c>
      <c r="N25" s="4029"/>
      <c r="O25" s="4028"/>
      <c r="P25" s="4030"/>
      <c r="Q25" s="4226">
        <f t="shared" si="2"/>
        <v>0</v>
      </c>
      <c r="R25" s="4029"/>
      <c r="S25" s="4028"/>
      <c r="T25" s="4030"/>
      <c r="U25" s="4226">
        <f t="shared" si="3"/>
        <v>0</v>
      </c>
      <c r="V25" s="4029"/>
      <c r="W25" s="4028"/>
      <c r="X25" s="4031"/>
      <c r="Y25" s="4225">
        <f t="shared" si="4"/>
        <v>0</v>
      </c>
      <c r="Z25" s="4528"/>
      <c r="AA25" s="4227">
        <f t="shared" si="5"/>
        <v>0</v>
      </c>
      <c r="AB25" s="4029"/>
      <c r="AC25" s="4028"/>
      <c r="AD25" s="4030"/>
      <c r="AE25" s="4226">
        <f t="shared" si="6"/>
        <v>0</v>
      </c>
      <c r="AF25" s="4029"/>
      <c r="AG25" s="4028"/>
      <c r="AH25" s="4030"/>
      <c r="AI25" s="4226">
        <f t="shared" si="7"/>
        <v>0</v>
      </c>
      <c r="AJ25" s="4029"/>
      <c r="AK25" s="4555"/>
      <c r="AL25" s="4031"/>
      <c r="AM25" s="4225">
        <f t="shared" si="8"/>
        <v>0</v>
      </c>
      <c r="AN25" s="4030"/>
      <c r="AO25" s="4226">
        <f t="shared" si="9"/>
        <v>0</v>
      </c>
      <c r="AP25" s="4029"/>
      <c r="AQ25" s="4028"/>
      <c r="AR25" s="4030"/>
      <c r="AS25" s="4226">
        <f t="shared" si="10"/>
        <v>0</v>
      </c>
      <c r="AT25" s="4029"/>
      <c r="AU25" s="4028">
        <v>300</v>
      </c>
      <c r="AV25" s="4030"/>
      <c r="AW25" s="4226">
        <f t="shared" si="11"/>
        <v>300</v>
      </c>
      <c r="AX25" s="4224"/>
      <c r="AY25" s="4223">
        <v>0</v>
      </c>
      <c r="AZ25" s="4526"/>
      <c r="BA25" s="4526">
        <f t="shared" si="12"/>
        <v>300</v>
      </c>
      <c r="BB25" s="4528"/>
      <c r="BC25" s="4528">
        <f t="shared" si="13"/>
        <v>300</v>
      </c>
      <c r="BD25" s="4527"/>
      <c r="BE25" s="4527">
        <f t="shared" si="14"/>
        <v>300</v>
      </c>
    </row>
    <row r="26" spans="2:60" x14ac:dyDescent="0.25">
      <c r="B26" s="26" t="s">
        <v>1596</v>
      </c>
      <c r="C26" s="3440" t="s">
        <v>393</v>
      </c>
      <c r="D26" s="3440"/>
      <c r="E26" s="1615"/>
      <c r="F26" s="1615"/>
      <c r="G26" s="238"/>
      <c r="H26" s="3436"/>
      <c r="I26" s="4226">
        <f t="shared" si="0"/>
        <v>0</v>
      </c>
      <c r="J26" s="3437"/>
      <c r="K26" s="238"/>
      <c r="L26" s="3435"/>
      <c r="M26" s="4225">
        <f t="shared" si="1"/>
        <v>0</v>
      </c>
      <c r="N26" s="3437"/>
      <c r="O26" s="238"/>
      <c r="P26" s="3436"/>
      <c r="Q26" s="4226">
        <f t="shared" si="2"/>
        <v>0</v>
      </c>
      <c r="R26" s="3437"/>
      <c r="S26" s="238"/>
      <c r="T26" s="3436"/>
      <c r="U26" s="4226">
        <f t="shared" si="3"/>
        <v>0</v>
      </c>
      <c r="V26" s="3437"/>
      <c r="W26" s="238">
        <v>11</v>
      </c>
      <c r="X26" s="3435"/>
      <c r="Y26" s="4225">
        <f t="shared" si="4"/>
        <v>11</v>
      </c>
      <c r="Z26" s="4528"/>
      <c r="AA26" s="4227">
        <f t="shared" si="5"/>
        <v>11</v>
      </c>
      <c r="AB26" s="3437"/>
      <c r="AC26" s="238">
        <v>0</v>
      </c>
      <c r="AD26" s="3436"/>
      <c r="AE26" s="4226">
        <f t="shared" si="6"/>
        <v>11</v>
      </c>
      <c r="AF26" s="3437"/>
      <c r="AG26" s="238">
        <v>0</v>
      </c>
      <c r="AH26" s="3436"/>
      <c r="AI26" s="4226">
        <f t="shared" si="7"/>
        <v>11</v>
      </c>
      <c r="AJ26" s="3437"/>
      <c r="AK26" s="4555">
        <v>0</v>
      </c>
      <c r="AL26" s="3435"/>
      <c r="AM26" s="4225">
        <f t="shared" si="8"/>
        <v>0</v>
      </c>
      <c r="AN26" s="3436"/>
      <c r="AO26" s="4226">
        <f t="shared" si="9"/>
        <v>11</v>
      </c>
      <c r="AP26" s="3836"/>
      <c r="AQ26" s="3835"/>
      <c r="AR26" s="3837"/>
      <c r="AS26" s="4226">
        <f t="shared" si="10"/>
        <v>11</v>
      </c>
      <c r="AT26" s="3990"/>
      <c r="AU26" s="3989"/>
      <c r="AV26" s="3991"/>
      <c r="AW26" s="4226">
        <f t="shared" si="11"/>
        <v>11</v>
      </c>
      <c r="AX26" s="4224"/>
      <c r="AY26" s="4223">
        <v>0</v>
      </c>
      <c r="AZ26" s="4526"/>
      <c r="BA26" s="4526">
        <f t="shared" si="12"/>
        <v>0</v>
      </c>
      <c r="BB26" s="4528"/>
      <c r="BC26" s="4528">
        <f t="shared" si="13"/>
        <v>0</v>
      </c>
      <c r="BD26" s="4527"/>
      <c r="BE26" s="4527">
        <f t="shared" si="14"/>
        <v>11</v>
      </c>
    </row>
    <row r="27" spans="2:60" x14ac:dyDescent="0.25">
      <c r="B27" s="26" t="s">
        <v>1044</v>
      </c>
      <c r="C27" s="3440" t="s">
        <v>393</v>
      </c>
      <c r="D27" s="3440"/>
      <c r="E27" s="1615">
        <v>2615.5</v>
      </c>
      <c r="F27" s="1615"/>
      <c r="G27" s="238">
        <v>938.78</v>
      </c>
      <c r="H27" s="3436"/>
      <c r="I27" s="4226">
        <f t="shared" si="0"/>
        <v>3554.2799999999997</v>
      </c>
      <c r="J27" s="3437"/>
      <c r="K27" s="238">
        <v>1196.9400000000007</v>
      </c>
      <c r="L27" s="3435"/>
      <c r="M27" s="4225">
        <f t="shared" si="1"/>
        <v>4751.22</v>
      </c>
      <c r="N27" s="3437"/>
      <c r="O27" s="238">
        <v>1889.8200000000006</v>
      </c>
      <c r="P27" s="3436"/>
      <c r="Q27" s="4226">
        <f t="shared" si="2"/>
        <v>6641.0400000000009</v>
      </c>
      <c r="R27" s="3437"/>
      <c r="S27" s="238">
        <v>2965.5</v>
      </c>
      <c r="T27" s="3436"/>
      <c r="U27" s="4226">
        <f t="shared" si="3"/>
        <v>9606.5400000000009</v>
      </c>
      <c r="V27" s="3437"/>
      <c r="W27" s="238">
        <v>2595.38</v>
      </c>
      <c r="X27" s="3435"/>
      <c r="Y27" s="4225">
        <f t="shared" si="4"/>
        <v>7450.7000000000007</v>
      </c>
      <c r="Z27" s="4528"/>
      <c r="AA27" s="4227">
        <f t="shared" si="5"/>
        <v>12201.920000000002</v>
      </c>
      <c r="AB27" s="3437"/>
      <c r="AC27" s="238">
        <v>1850.56</v>
      </c>
      <c r="AD27" s="3436"/>
      <c r="AE27" s="4226">
        <f t="shared" si="6"/>
        <v>14052.480000000001</v>
      </c>
      <c r="AF27" s="3437"/>
      <c r="AG27" s="238">
        <v>2190.92</v>
      </c>
      <c r="AH27" s="3436"/>
      <c r="AI27" s="4226">
        <f t="shared" si="7"/>
        <v>16243.400000000001</v>
      </c>
      <c r="AJ27" s="3437"/>
      <c r="AK27" s="4555">
        <v>4624.1899999999969</v>
      </c>
      <c r="AL27" s="3435"/>
      <c r="AM27" s="4225">
        <f t="shared" si="8"/>
        <v>8665.6699999999964</v>
      </c>
      <c r="AN27" s="3436"/>
      <c r="AO27" s="4226">
        <f t="shared" si="9"/>
        <v>20867.589999999997</v>
      </c>
      <c r="AP27" s="3836"/>
      <c r="AQ27" s="3835">
        <v>4458.3099999999986</v>
      </c>
      <c r="AR27" s="3837"/>
      <c r="AS27" s="4226">
        <f t="shared" si="10"/>
        <v>25325.899999999994</v>
      </c>
      <c r="AT27" s="3990"/>
      <c r="AU27" s="3989">
        <v>4056.9600000000014</v>
      </c>
      <c r="AV27" s="3991"/>
      <c r="AW27" s="4226">
        <f t="shared" si="11"/>
        <v>29382.859999999997</v>
      </c>
      <c r="AX27" s="4224"/>
      <c r="AY27" s="4223">
        <v>3323.95</v>
      </c>
      <c r="AZ27" s="4526"/>
      <c r="BA27" s="4526">
        <f t="shared" si="12"/>
        <v>11839.220000000001</v>
      </c>
      <c r="BB27" s="4528"/>
      <c r="BC27" s="4528">
        <f t="shared" si="13"/>
        <v>20504.89</v>
      </c>
      <c r="BD27" s="4527"/>
      <c r="BE27" s="4527">
        <f t="shared" si="14"/>
        <v>32706.81</v>
      </c>
    </row>
    <row r="28" spans="2:60" x14ac:dyDescent="0.25">
      <c r="B28" s="26" t="s">
        <v>1109</v>
      </c>
      <c r="C28" s="3440" t="s">
        <v>393</v>
      </c>
      <c r="D28" s="3440"/>
      <c r="E28" s="1615">
        <v>1086.43</v>
      </c>
      <c r="F28" s="1615"/>
      <c r="G28" s="238">
        <v>1129.99</v>
      </c>
      <c r="H28" s="3436"/>
      <c r="I28" s="4226">
        <f t="shared" si="0"/>
        <v>2216.42</v>
      </c>
      <c r="J28" s="3437"/>
      <c r="K28" s="238">
        <v>792.24000000000024</v>
      </c>
      <c r="L28" s="3435"/>
      <c r="M28" s="4225">
        <f t="shared" si="1"/>
        <v>3008.6600000000003</v>
      </c>
      <c r="N28" s="3437"/>
      <c r="O28" s="238">
        <v>531.91999999999996</v>
      </c>
      <c r="P28" s="3436"/>
      <c r="Q28" s="4226">
        <f t="shared" si="2"/>
        <v>3540.5800000000004</v>
      </c>
      <c r="R28" s="3437"/>
      <c r="S28" s="238">
        <v>412.69</v>
      </c>
      <c r="T28" s="3436"/>
      <c r="U28" s="4226">
        <f t="shared" si="3"/>
        <v>3953.2700000000004</v>
      </c>
      <c r="V28" s="3437"/>
      <c r="W28" s="238">
        <v>834.06</v>
      </c>
      <c r="X28" s="3435"/>
      <c r="Y28" s="4225">
        <f t="shared" si="4"/>
        <v>1778.6699999999998</v>
      </c>
      <c r="Z28" s="4528"/>
      <c r="AA28" s="4227">
        <f t="shared" si="5"/>
        <v>4787.33</v>
      </c>
      <c r="AB28" s="3437"/>
      <c r="AC28" s="238">
        <v>1405.8800000000003</v>
      </c>
      <c r="AD28" s="3436"/>
      <c r="AE28" s="4226">
        <f t="shared" si="6"/>
        <v>6193.21</v>
      </c>
      <c r="AF28" s="3437"/>
      <c r="AG28" s="238">
        <v>1829.5099999999998</v>
      </c>
      <c r="AH28" s="3436"/>
      <c r="AI28" s="4226">
        <f t="shared" si="7"/>
        <v>8022.7199999999993</v>
      </c>
      <c r="AJ28" s="3437"/>
      <c r="AK28" s="4555">
        <v>1822.1999999999994</v>
      </c>
      <c r="AL28" s="3435"/>
      <c r="AM28" s="4225">
        <f t="shared" si="8"/>
        <v>5057.59</v>
      </c>
      <c r="AN28" s="3436"/>
      <c r="AO28" s="4226">
        <f t="shared" si="9"/>
        <v>9844.9199999999983</v>
      </c>
      <c r="AP28" s="3836"/>
      <c r="AQ28" s="3835">
        <v>898.66000000000008</v>
      </c>
      <c r="AR28" s="3837"/>
      <c r="AS28" s="4226">
        <f t="shared" si="10"/>
        <v>10743.579999999998</v>
      </c>
      <c r="AT28" s="3990"/>
      <c r="AU28" s="3989">
        <v>894.93</v>
      </c>
      <c r="AV28" s="3991"/>
      <c r="AW28" s="4226">
        <f t="shared" si="11"/>
        <v>11638.509999999998</v>
      </c>
      <c r="AX28" s="4224"/>
      <c r="AY28" s="4223">
        <v>1183.44</v>
      </c>
      <c r="AZ28" s="4526"/>
      <c r="BA28" s="4526">
        <f t="shared" si="12"/>
        <v>2977.03</v>
      </c>
      <c r="BB28" s="4528"/>
      <c r="BC28" s="4528">
        <f t="shared" si="13"/>
        <v>8034.6200000000008</v>
      </c>
      <c r="BD28" s="4527"/>
      <c r="BE28" s="4527">
        <f t="shared" si="14"/>
        <v>12821.95</v>
      </c>
    </row>
    <row r="29" spans="2:60" x14ac:dyDescent="0.25">
      <c r="B29" s="26" t="s">
        <v>1306</v>
      </c>
      <c r="C29" s="3440" t="s">
        <v>393</v>
      </c>
      <c r="D29" s="3440"/>
      <c r="E29" s="1615">
        <v>62.38</v>
      </c>
      <c r="F29" s="1615"/>
      <c r="G29" s="238">
        <v>64.069999999999993</v>
      </c>
      <c r="H29" s="3436"/>
      <c r="I29" s="4226">
        <f t="shared" si="0"/>
        <v>126.44999999999999</v>
      </c>
      <c r="J29" s="3437"/>
      <c r="K29" s="238">
        <v>10.72</v>
      </c>
      <c r="L29" s="3435"/>
      <c r="M29" s="4269">
        <f t="shared" si="1"/>
        <v>137.16999999999999</v>
      </c>
      <c r="N29" s="3437"/>
      <c r="O29" s="1615">
        <v>0</v>
      </c>
      <c r="P29" s="3436"/>
      <c r="Q29" s="4226">
        <f t="shared" si="2"/>
        <v>137.16999999999999</v>
      </c>
      <c r="R29" s="3437"/>
      <c r="S29" s="1615">
        <v>0</v>
      </c>
      <c r="T29" s="3436"/>
      <c r="U29" s="4226">
        <f t="shared" si="3"/>
        <v>137.16999999999999</v>
      </c>
      <c r="V29" s="3437"/>
      <c r="W29" s="1615">
        <v>0</v>
      </c>
      <c r="X29" s="3435"/>
      <c r="Y29" s="4269">
        <f t="shared" si="4"/>
        <v>0</v>
      </c>
      <c r="Z29" s="1854"/>
      <c r="AA29" s="1854">
        <f t="shared" si="5"/>
        <v>137.16999999999999</v>
      </c>
      <c r="AB29" s="3437"/>
      <c r="AC29" s="1615">
        <v>22.61</v>
      </c>
      <c r="AD29" s="3436"/>
      <c r="AE29" s="4226">
        <f t="shared" si="6"/>
        <v>159.77999999999997</v>
      </c>
      <c r="AF29" s="3437"/>
      <c r="AG29" s="1615">
        <v>24.330000000000002</v>
      </c>
      <c r="AH29" s="3436"/>
      <c r="AI29" s="4226">
        <f t="shared" si="7"/>
        <v>184.10999999999999</v>
      </c>
      <c r="AJ29" s="3437"/>
      <c r="AK29" s="1615">
        <v>0</v>
      </c>
      <c r="AL29" s="3435"/>
      <c r="AM29" s="4269">
        <f t="shared" si="8"/>
        <v>46.94</v>
      </c>
      <c r="AN29" s="3436"/>
      <c r="AO29" s="4226">
        <f t="shared" si="9"/>
        <v>184.10999999999999</v>
      </c>
      <c r="AP29" s="3836"/>
      <c r="AQ29" s="1615">
        <v>94.299999999999983</v>
      </c>
      <c r="AR29" s="3837"/>
      <c r="AS29" s="4226">
        <f t="shared" si="10"/>
        <v>278.40999999999997</v>
      </c>
      <c r="AT29" s="3990"/>
      <c r="AU29" s="1615">
        <v>42.129999999999995</v>
      </c>
      <c r="AV29" s="3991"/>
      <c r="AW29" s="4226">
        <f t="shared" si="11"/>
        <v>320.53999999999996</v>
      </c>
      <c r="AX29" s="4224"/>
      <c r="AY29" s="1615">
        <v>41.19</v>
      </c>
      <c r="AZ29" s="4526"/>
      <c r="BA29" s="4551">
        <f t="shared" si="12"/>
        <v>177.61999999999998</v>
      </c>
      <c r="BB29" s="1854"/>
      <c r="BC29" s="1854">
        <f t="shared" si="13"/>
        <v>224.55999999999997</v>
      </c>
      <c r="BD29" s="4550"/>
      <c r="BE29" s="4550">
        <f t="shared" si="14"/>
        <v>361.72999999999996</v>
      </c>
    </row>
    <row r="30" spans="2:60" x14ac:dyDescent="0.25">
      <c r="B30" s="26" t="s">
        <v>1722</v>
      </c>
      <c r="C30" s="3448" t="s">
        <v>393</v>
      </c>
      <c r="D30" s="3448"/>
      <c r="E30" s="1615"/>
      <c r="F30" s="1615"/>
      <c r="G30" s="238"/>
      <c r="H30" s="3446"/>
      <c r="I30" s="4226">
        <f t="shared" si="0"/>
        <v>0</v>
      </c>
      <c r="J30" s="3445"/>
      <c r="K30" s="238"/>
      <c r="L30" s="3447"/>
      <c r="M30" s="4269">
        <f t="shared" si="1"/>
        <v>0</v>
      </c>
      <c r="N30" s="3445"/>
      <c r="O30" s="1615"/>
      <c r="P30" s="3446"/>
      <c r="Q30" s="4226">
        <f t="shared" si="2"/>
        <v>0</v>
      </c>
      <c r="R30" s="3445"/>
      <c r="S30" s="1615"/>
      <c r="T30" s="3446"/>
      <c r="U30" s="4226">
        <f t="shared" si="3"/>
        <v>0</v>
      </c>
      <c r="V30" s="3445"/>
      <c r="W30" s="1615"/>
      <c r="X30" s="3447"/>
      <c r="Y30" s="4269">
        <f t="shared" si="4"/>
        <v>0</v>
      </c>
      <c r="Z30" s="1854"/>
      <c r="AA30" s="1854">
        <f t="shared" si="5"/>
        <v>0</v>
      </c>
      <c r="AB30" s="3445"/>
      <c r="AC30" s="1615"/>
      <c r="AD30" s="3446"/>
      <c r="AE30" s="4226">
        <f t="shared" si="6"/>
        <v>0</v>
      </c>
      <c r="AF30" s="3445"/>
      <c r="AG30" s="1615"/>
      <c r="AH30" s="3446"/>
      <c r="AI30" s="4226">
        <f t="shared" si="7"/>
        <v>0</v>
      </c>
      <c r="AJ30" s="3445"/>
      <c r="AK30" s="1615">
        <v>50.36</v>
      </c>
      <c r="AL30" s="3447"/>
      <c r="AM30" s="4269">
        <f t="shared" si="8"/>
        <v>50.36</v>
      </c>
      <c r="AN30" s="3446"/>
      <c r="AO30" s="4226">
        <f t="shared" si="9"/>
        <v>50.36</v>
      </c>
      <c r="AP30" s="3836"/>
      <c r="AQ30" s="1615">
        <v>24.99</v>
      </c>
      <c r="AR30" s="3837"/>
      <c r="AS30" s="4226">
        <f t="shared" si="10"/>
        <v>75.349999999999994</v>
      </c>
      <c r="AT30" s="3990"/>
      <c r="AU30" s="1615">
        <v>6.15</v>
      </c>
      <c r="AV30" s="3991"/>
      <c r="AW30" s="4226">
        <f t="shared" si="11"/>
        <v>81.5</v>
      </c>
      <c r="AX30" s="4224"/>
      <c r="AY30" s="1615">
        <v>0</v>
      </c>
      <c r="AZ30" s="4526"/>
      <c r="BA30" s="4551">
        <f t="shared" si="12"/>
        <v>31.14</v>
      </c>
      <c r="BB30" s="1854"/>
      <c r="BC30" s="1854">
        <f t="shared" si="13"/>
        <v>81.5</v>
      </c>
      <c r="BD30" s="4550"/>
      <c r="BE30" s="4550">
        <f t="shared" si="14"/>
        <v>81.5</v>
      </c>
    </row>
    <row r="31" spans="2:60" x14ac:dyDescent="0.25">
      <c r="B31" s="26" t="s">
        <v>1311</v>
      </c>
      <c r="C31" s="3440" t="s">
        <v>393</v>
      </c>
      <c r="D31" s="3440"/>
      <c r="E31" s="1615">
        <v>0</v>
      </c>
      <c r="F31" s="1615"/>
      <c r="G31" s="1615">
        <v>0</v>
      </c>
      <c r="H31" s="3436"/>
      <c r="I31" s="4226">
        <f t="shared" si="0"/>
        <v>0</v>
      </c>
      <c r="J31" s="3437"/>
      <c r="K31" s="1615">
        <v>0</v>
      </c>
      <c r="L31" s="3435"/>
      <c r="M31" s="4225">
        <f t="shared" si="1"/>
        <v>0</v>
      </c>
      <c r="N31" s="3437"/>
      <c r="O31" s="238">
        <v>23.27</v>
      </c>
      <c r="P31" s="3436"/>
      <c r="Q31" s="4226">
        <f t="shared" si="2"/>
        <v>23.27</v>
      </c>
      <c r="R31" s="3437"/>
      <c r="S31" s="238">
        <v>22.63</v>
      </c>
      <c r="T31" s="3436"/>
      <c r="U31" s="4226">
        <f t="shared" si="3"/>
        <v>45.9</v>
      </c>
      <c r="V31" s="3437"/>
      <c r="W31" s="238">
        <v>38.14</v>
      </c>
      <c r="X31" s="3435"/>
      <c r="Y31" s="4225">
        <f t="shared" si="4"/>
        <v>84.039999999999992</v>
      </c>
      <c r="Z31" s="4528"/>
      <c r="AA31" s="4227">
        <f t="shared" si="5"/>
        <v>84.039999999999992</v>
      </c>
      <c r="AB31" s="3437"/>
      <c r="AC31" s="238">
        <v>0</v>
      </c>
      <c r="AD31" s="3436"/>
      <c r="AE31" s="4226">
        <f t="shared" si="6"/>
        <v>84.039999999999992</v>
      </c>
      <c r="AF31" s="3437"/>
      <c r="AG31" s="238">
        <v>0</v>
      </c>
      <c r="AH31" s="3436"/>
      <c r="AI31" s="4226">
        <f t="shared" si="7"/>
        <v>84.039999999999992</v>
      </c>
      <c r="AJ31" s="3437"/>
      <c r="AK31" s="4555">
        <v>0</v>
      </c>
      <c r="AL31" s="3435"/>
      <c r="AM31" s="4225">
        <f t="shared" si="8"/>
        <v>0</v>
      </c>
      <c r="AN31" s="3436"/>
      <c r="AO31" s="4226">
        <f t="shared" si="9"/>
        <v>84.039999999999992</v>
      </c>
      <c r="AP31" s="3836"/>
      <c r="AQ31" s="3835"/>
      <c r="AR31" s="3837"/>
      <c r="AS31" s="4226">
        <f t="shared" si="10"/>
        <v>84.039999999999992</v>
      </c>
      <c r="AT31" s="3990"/>
      <c r="AU31" s="3989"/>
      <c r="AV31" s="3991"/>
      <c r="AW31" s="4226">
        <f t="shared" si="11"/>
        <v>84.039999999999992</v>
      </c>
      <c r="AX31" s="4224"/>
      <c r="AY31" s="4223">
        <v>0</v>
      </c>
      <c r="AZ31" s="4526"/>
      <c r="BA31" s="4526">
        <f t="shared" si="12"/>
        <v>0</v>
      </c>
      <c r="BB31" s="4528"/>
      <c r="BC31" s="4528">
        <f t="shared" si="13"/>
        <v>0</v>
      </c>
      <c r="BD31" s="4527"/>
      <c r="BE31" s="4527">
        <f t="shared" si="14"/>
        <v>84.039999999999992</v>
      </c>
    </row>
    <row r="32" spans="2:60" x14ac:dyDescent="0.25">
      <c r="B32" s="26" t="s">
        <v>1763</v>
      </c>
      <c r="C32" s="3620" t="s">
        <v>393</v>
      </c>
      <c r="D32" s="3620"/>
      <c r="E32" s="1615"/>
      <c r="F32" s="1615"/>
      <c r="G32" s="1615"/>
      <c r="H32" s="3867"/>
      <c r="I32" s="4226">
        <f t="shared" si="0"/>
        <v>0</v>
      </c>
      <c r="J32" s="3865"/>
      <c r="K32" s="1615"/>
      <c r="L32" s="3866"/>
      <c r="M32" s="4225">
        <f t="shared" si="1"/>
        <v>0</v>
      </c>
      <c r="N32" s="3865"/>
      <c r="O32" s="3864"/>
      <c r="P32" s="3867"/>
      <c r="Q32" s="4226">
        <f t="shared" si="2"/>
        <v>0</v>
      </c>
      <c r="R32" s="3865"/>
      <c r="S32" s="3864"/>
      <c r="T32" s="3867"/>
      <c r="U32" s="4226">
        <f t="shared" si="3"/>
        <v>0</v>
      </c>
      <c r="V32" s="3865"/>
      <c r="W32" s="3864"/>
      <c r="X32" s="3866"/>
      <c r="Y32" s="4225">
        <f t="shared" si="4"/>
        <v>0</v>
      </c>
      <c r="Z32" s="4528"/>
      <c r="AA32" s="4227">
        <f t="shared" si="5"/>
        <v>0</v>
      </c>
      <c r="AB32" s="3865"/>
      <c r="AC32" s="3864"/>
      <c r="AD32" s="3867"/>
      <c r="AE32" s="4226">
        <f t="shared" si="6"/>
        <v>0</v>
      </c>
      <c r="AF32" s="3865"/>
      <c r="AG32" s="3864"/>
      <c r="AH32" s="3867"/>
      <c r="AI32" s="4226">
        <f t="shared" si="7"/>
        <v>0</v>
      </c>
      <c r="AJ32" s="3865"/>
      <c r="AK32" s="4555"/>
      <c r="AL32" s="3866"/>
      <c r="AM32" s="4225">
        <f t="shared" si="8"/>
        <v>0</v>
      </c>
      <c r="AN32" s="3867"/>
      <c r="AO32" s="4226">
        <f t="shared" si="9"/>
        <v>0</v>
      </c>
      <c r="AP32" s="3865"/>
      <c r="AQ32" s="3864">
        <v>5.77</v>
      </c>
      <c r="AR32" s="3867"/>
      <c r="AS32" s="4226">
        <f t="shared" si="10"/>
        <v>5.77</v>
      </c>
      <c r="AT32" s="3990"/>
      <c r="AU32" s="3989">
        <v>2.0299999999999998</v>
      </c>
      <c r="AV32" s="3991"/>
      <c r="AW32" s="4226">
        <f t="shared" si="11"/>
        <v>7.7999999999999989</v>
      </c>
      <c r="AX32" s="4224"/>
      <c r="AY32" s="4223">
        <v>0</v>
      </c>
      <c r="AZ32" s="4526"/>
      <c r="BA32" s="4526">
        <f t="shared" si="12"/>
        <v>7.7999999999999989</v>
      </c>
      <c r="BB32" s="4528"/>
      <c r="BC32" s="4528">
        <f t="shared" si="13"/>
        <v>7.7999999999999989</v>
      </c>
      <c r="BD32" s="4527"/>
      <c r="BE32" s="4527">
        <f t="shared" si="14"/>
        <v>7.7999999999999989</v>
      </c>
    </row>
    <row r="33" spans="1:57" x14ac:dyDescent="0.25">
      <c r="B33" s="26" t="s">
        <v>1437</v>
      </c>
      <c r="C33" s="3440" t="s">
        <v>393</v>
      </c>
      <c r="D33" s="3440"/>
      <c r="E33" s="1615">
        <v>0</v>
      </c>
      <c r="F33" s="1615"/>
      <c r="G33" s="1615">
        <v>0</v>
      </c>
      <c r="H33" s="3436"/>
      <c r="I33" s="4226">
        <f t="shared" si="0"/>
        <v>0</v>
      </c>
      <c r="J33" s="3437"/>
      <c r="K33" s="1615">
        <v>0</v>
      </c>
      <c r="L33" s="3435"/>
      <c r="M33" s="4225">
        <f t="shared" si="1"/>
        <v>0</v>
      </c>
      <c r="N33" s="3437"/>
      <c r="O33" s="238">
        <v>2.0499999999999998</v>
      </c>
      <c r="P33" s="3436"/>
      <c r="Q33" s="4226">
        <f t="shared" si="2"/>
        <v>2.0499999999999998</v>
      </c>
      <c r="R33" s="3437"/>
      <c r="S33" s="238">
        <v>9.77</v>
      </c>
      <c r="T33" s="3436"/>
      <c r="U33" s="4226">
        <f t="shared" si="3"/>
        <v>11.82</v>
      </c>
      <c r="V33" s="3437"/>
      <c r="W33" s="238">
        <v>0</v>
      </c>
      <c r="X33" s="3435"/>
      <c r="Y33" s="4225">
        <f t="shared" si="4"/>
        <v>11.82</v>
      </c>
      <c r="Z33" s="4528"/>
      <c r="AA33" s="4227">
        <f t="shared" si="5"/>
        <v>11.82</v>
      </c>
      <c r="AB33" s="3437"/>
      <c r="AC33" s="238">
        <v>0</v>
      </c>
      <c r="AD33" s="3436"/>
      <c r="AE33" s="4226">
        <f t="shared" si="6"/>
        <v>11.82</v>
      </c>
      <c r="AF33" s="3437"/>
      <c r="AG33" s="238">
        <v>0</v>
      </c>
      <c r="AH33" s="3436"/>
      <c r="AI33" s="4226">
        <f t="shared" si="7"/>
        <v>11.82</v>
      </c>
      <c r="AJ33" s="3437"/>
      <c r="AK33" s="4555">
        <v>0</v>
      </c>
      <c r="AL33" s="3435"/>
      <c r="AM33" s="4225">
        <f t="shared" si="8"/>
        <v>0</v>
      </c>
      <c r="AN33" s="3436"/>
      <c r="AO33" s="4226">
        <f t="shared" si="9"/>
        <v>11.82</v>
      </c>
      <c r="AP33" s="3836"/>
      <c r="AQ33" s="3835">
        <v>8.34</v>
      </c>
      <c r="AR33" s="3837"/>
      <c r="AS33" s="4226">
        <f t="shared" si="10"/>
        <v>20.16</v>
      </c>
      <c r="AT33" s="3990"/>
      <c r="AU33" s="3989">
        <v>57.84</v>
      </c>
      <c r="AV33" s="3991"/>
      <c r="AW33" s="4226">
        <f t="shared" si="11"/>
        <v>78</v>
      </c>
      <c r="AX33" s="4224"/>
      <c r="AY33" s="4223">
        <v>16.57</v>
      </c>
      <c r="AZ33" s="4526"/>
      <c r="BA33" s="4526">
        <f t="shared" si="12"/>
        <v>82.75</v>
      </c>
      <c r="BB33" s="4528"/>
      <c r="BC33" s="4528">
        <f t="shared" si="13"/>
        <v>82.75</v>
      </c>
      <c r="BD33" s="4527"/>
      <c r="BE33" s="4527">
        <f t="shared" si="14"/>
        <v>94.57</v>
      </c>
    </row>
    <row r="34" spans="1:57" x14ac:dyDescent="0.25">
      <c r="B34" s="26" t="s">
        <v>1816</v>
      </c>
      <c r="C34" s="3620" t="s">
        <v>393</v>
      </c>
      <c r="D34" s="3620"/>
      <c r="E34" s="1615"/>
      <c r="F34" s="1615"/>
      <c r="G34" s="1615"/>
      <c r="H34" s="4030"/>
      <c r="I34" s="4226">
        <f t="shared" si="0"/>
        <v>0</v>
      </c>
      <c r="J34" s="4029"/>
      <c r="K34" s="1615"/>
      <c r="L34" s="4031"/>
      <c r="M34" s="4225">
        <f t="shared" si="1"/>
        <v>0</v>
      </c>
      <c r="N34" s="4029"/>
      <c r="O34" s="4028"/>
      <c r="P34" s="4030"/>
      <c r="Q34" s="4226">
        <f t="shared" si="2"/>
        <v>0</v>
      </c>
      <c r="R34" s="4029"/>
      <c r="S34" s="4028"/>
      <c r="T34" s="4030"/>
      <c r="U34" s="4226">
        <f t="shared" si="3"/>
        <v>0</v>
      </c>
      <c r="V34" s="4029"/>
      <c r="W34" s="4028"/>
      <c r="X34" s="4031"/>
      <c r="Y34" s="4225">
        <f t="shared" si="4"/>
        <v>0</v>
      </c>
      <c r="Z34" s="4528"/>
      <c r="AA34" s="4227">
        <f t="shared" si="5"/>
        <v>0</v>
      </c>
      <c r="AB34" s="4029"/>
      <c r="AC34" s="4028"/>
      <c r="AD34" s="4030"/>
      <c r="AE34" s="4226">
        <f t="shared" si="6"/>
        <v>0</v>
      </c>
      <c r="AF34" s="4029"/>
      <c r="AG34" s="4028"/>
      <c r="AH34" s="4030"/>
      <c r="AI34" s="4226">
        <f t="shared" si="7"/>
        <v>0</v>
      </c>
      <c r="AJ34" s="4029"/>
      <c r="AK34" s="4555"/>
      <c r="AL34" s="4031"/>
      <c r="AM34" s="4225">
        <f t="shared" si="8"/>
        <v>0</v>
      </c>
      <c r="AN34" s="4030"/>
      <c r="AO34" s="4226">
        <f t="shared" si="9"/>
        <v>0</v>
      </c>
      <c r="AP34" s="4029"/>
      <c r="AQ34" s="4028"/>
      <c r="AR34" s="4030"/>
      <c r="AS34" s="4226">
        <f t="shared" si="10"/>
        <v>0</v>
      </c>
      <c r="AT34" s="4029"/>
      <c r="AU34" s="4028">
        <v>117.06</v>
      </c>
      <c r="AV34" s="4030"/>
      <c r="AW34" s="4226">
        <f t="shared" si="11"/>
        <v>117.06</v>
      </c>
      <c r="AX34" s="4224"/>
      <c r="AY34" s="4223">
        <v>0</v>
      </c>
      <c r="AZ34" s="4526"/>
      <c r="BA34" s="4526">
        <f t="shared" si="12"/>
        <v>117.06</v>
      </c>
      <c r="BB34" s="4528"/>
      <c r="BC34" s="4528">
        <f t="shared" si="13"/>
        <v>117.06</v>
      </c>
      <c r="BD34" s="4527"/>
      <c r="BE34" s="4527">
        <f t="shared" si="14"/>
        <v>117.06</v>
      </c>
    </row>
    <row r="35" spans="1:57" x14ac:dyDescent="0.25">
      <c r="B35" s="26" t="s">
        <v>1499</v>
      </c>
      <c r="C35" s="3440" t="s">
        <v>393</v>
      </c>
      <c r="D35" s="3440"/>
      <c r="E35" s="1615">
        <v>0</v>
      </c>
      <c r="F35" s="1615"/>
      <c r="G35" s="238">
        <v>0</v>
      </c>
      <c r="H35" s="3436"/>
      <c r="I35" s="4226">
        <f t="shared" si="0"/>
        <v>0</v>
      </c>
      <c r="J35" s="3437"/>
      <c r="K35" s="238">
        <v>0</v>
      </c>
      <c r="L35" s="3435"/>
      <c r="M35" s="4225">
        <f t="shared" si="1"/>
        <v>0</v>
      </c>
      <c r="N35" s="3437"/>
      <c r="O35" s="238">
        <v>0</v>
      </c>
      <c r="P35" s="3436"/>
      <c r="Q35" s="4226">
        <f t="shared" si="2"/>
        <v>0</v>
      </c>
      <c r="R35" s="3437"/>
      <c r="S35" s="238">
        <v>2.92</v>
      </c>
      <c r="T35" s="3436"/>
      <c r="U35" s="4226">
        <f t="shared" si="3"/>
        <v>2.92</v>
      </c>
      <c r="V35" s="3437"/>
      <c r="W35" s="238">
        <v>0</v>
      </c>
      <c r="X35" s="3435"/>
      <c r="Y35" s="4225">
        <f t="shared" si="4"/>
        <v>2.92</v>
      </c>
      <c r="Z35" s="4528"/>
      <c r="AA35" s="4227">
        <f t="shared" si="5"/>
        <v>2.92</v>
      </c>
      <c r="AB35" s="3437"/>
      <c r="AC35" s="238">
        <v>0</v>
      </c>
      <c r="AD35" s="3436"/>
      <c r="AE35" s="4226">
        <f t="shared" si="6"/>
        <v>2.92</v>
      </c>
      <c r="AF35" s="3437"/>
      <c r="AG35" s="238">
        <v>0</v>
      </c>
      <c r="AH35" s="3436"/>
      <c r="AI35" s="4226">
        <f t="shared" si="7"/>
        <v>2.92</v>
      </c>
      <c r="AJ35" s="3437"/>
      <c r="AK35" s="4555">
        <v>0</v>
      </c>
      <c r="AL35" s="3435"/>
      <c r="AM35" s="4225">
        <f t="shared" si="8"/>
        <v>0</v>
      </c>
      <c r="AN35" s="3436"/>
      <c r="AO35" s="4226">
        <f t="shared" si="9"/>
        <v>2.92</v>
      </c>
      <c r="AP35" s="3836"/>
      <c r="AQ35" s="3835"/>
      <c r="AR35" s="3837"/>
      <c r="AS35" s="4226">
        <f t="shared" si="10"/>
        <v>2.92</v>
      </c>
      <c r="AT35" s="3990"/>
      <c r="AU35" s="3989"/>
      <c r="AV35" s="3991"/>
      <c r="AW35" s="4226">
        <f t="shared" si="11"/>
        <v>2.92</v>
      </c>
      <c r="AX35" s="4224"/>
      <c r="AY35" s="4223">
        <v>0</v>
      </c>
      <c r="AZ35" s="4526"/>
      <c r="BA35" s="4526">
        <f t="shared" si="12"/>
        <v>0</v>
      </c>
      <c r="BB35" s="4528"/>
      <c r="BC35" s="4528">
        <f t="shared" si="13"/>
        <v>0</v>
      </c>
      <c r="BD35" s="4527"/>
      <c r="BE35" s="4527">
        <f t="shared" si="14"/>
        <v>2.92</v>
      </c>
    </row>
    <row r="36" spans="1:57" s="334" customFormat="1" x14ac:dyDescent="0.25">
      <c r="B36" s="2227" t="s">
        <v>886</v>
      </c>
      <c r="C36" s="483"/>
      <c r="D36" s="483"/>
      <c r="E36" s="3628">
        <f t="shared" ref="E36" si="27">+SUM(E37:E40)</f>
        <v>3081.91</v>
      </c>
      <c r="F36" s="3442"/>
      <c r="G36" s="3628">
        <f t="shared" ref="G36" si="28">+SUM(G37:G40)</f>
        <v>1483.44</v>
      </c>
      <c r="H36" s="3436"/>
      <c r="I36" s="4226">
        <f t="shared" si="0"/>
        <v>4565.3500000000004</v>
      </c>
      <c r="J36" s="3437"/>
      <c r="K36" s="3628">
        <f t="shared" ref="K36" si="29">+SUM(K37:K40)</f>
        <v>4331.1699999999983</v>
      </c>
      <c r="L36" s="3435"/>
      <c r="M36" s="2422">
        <f t="shared" si="1"/>
        <v>8896.5199999999986</v>
      </c>
      <c r="N36" s="3437"/>
      <c r="O36" s="3628">
        <f t="shared" ref="O36" si="30">+SUM(O37:O40)</f>
        <v>3852.52</v>
      </c>
      <c r="P36" s="3436"/>
      <c r="Q36" s="4226">
        <f t="shared" si="2"/>
        <v>12749.039999999999</v>
      </c>
      <c r="R36" s="3437"/>
      <c r="S36" s="3628">
        <f t="shared" ref="S36" si="31">+SUM(S37:S40)</f>
        <v>2329.6799999999998</v>
      </c>
      <c r="T36" s="3436"/>
      <c r="U36" s="4226">
        <f t="shared" si="3"/>
        <v>15078.72</v>
      </c>
      <c r="V36" s="3437"/>
      <c r="W36" s="3628">
        <f t="shared" ref="W36" si="32">+SUM(W37:W40)</f>
        <v>996.19000000000017</v>
      </c>
      <c r="X36" s="3435"/>
      <c r="Y36" s="2422">
        <f t="shared" si="4"/>
        <v>7178.39</v>
      </c>
      <c r="Z36" s="1282"/>
      <c r="AA36" s="1282">
        <f t="shared" si="5"/>
        <v>16074.91</v>
      </c>
      <c r="AB36" s="3437"/>
      <c r="AC36" s="3628">
        <f t="shared" ref="AC36" si="33">+SUM(AC37:AC40)</f>
        <v>903.92</v>
      </c>
      <c r="AD36" s="3436"/>
      <c r="AE36" s="4226">
        <f t="shared" si="6"/>
        <v>16978.829999999998</v>
      </c>
      <c r="AF36" s="3437"/>
      <c r="AG36" s="3628">
        <f t="shared" ref="AG36" si="34">+SUM(AG37:AG40)</f>
        <v>1447.93</v>
      </c>
      <c r="AH36" s="3436"/>
      <c r="AI36" s="4226">
        <f t="shared" si="7"/>
        <v>18426.759999999998</v>
      </c>
      <c r="AJ36" s="3437"/>
      <c r="AK36" s="3628">
        <f t="shared" ref="AK36" si="35">+SUM(AK37:AK40)</f>
        <v>992.56</v>
      </c>
      <c r="AL36" s="3435"/>
      <c r="AM36" s="2422">
        <f t="shared" si="8"/>
        <v>3344.41</v>
      </c>
      <c r="AN36" s="3436"/>
      <c r="AO36" s="4226">
        <f t="shared" si="9"/>
        <v>19419.32</v>
      </c>
      <c r="AP36" s="3836"/>
      <c r="AQ36" s="3628">
        <f t="shared" ref="AQ36" si="36">+SUM(AQ37:AQ40)</f>
        <v>873.38000000000011</v>
      </c>
      <c r="AR36" s="3837"/>
      <c r="AS36" s="4226">
        <f t="shared" si="10"/>
        <v>20292.7</v>
      </c>
      <c r="AT36" s="3990"/>
      <c r="AU36" s="3628">
        <f t="shared" ref="AU36" si="37">+SUM(AU37:AU40)</f>
        <v>1378.98</v>
      </c>
      <c r="AV36" s="3991"/>
      <c r="AW36" s="4226">
        <f t="shared" si="11"/>
        <v>21671.68</v>
      </c>
      <c r="AX36" s="4224"/>
      <c r="AY36" s="3628">
        <f t="shared" ref="AY36" si="38">+SUM(AY37:AY40)</f>
        <v>737.45</v>
      </c>
      <c r="AZ36" s="4526"/>
      <c r="BA36" s="2422">
        <f t="shared" si="12"/>
        <v>2989.8100000000004</v>
      </c>
      <c r="BB36" s="1282"/>
      <c r="BC36" s="1282">
        <f t="shared" si="13"/>
        <v>6334.22</v>
      </c>
      <c r="BD36" s="644"/>
      <c r="BE36" s="644">
        <f t="shared" si="14"/>
        <v>22409.13</v>
      </c>
    </row>
    <row r="37" spans="1:57" s="334" customFormat="1" x14ac:dyDescent="0.25">
      <c r="B37" s="26" t="s">
        <v>1227</v>
      </c>
      <c r="C37" s="3440" t="s">
        <v>393</v>
      </c>
      <c r="D37" s="3440"/>
      <c r="E37" s="1614">
        <v>4.91</v>
      </c>
      <c r="F37" s="1614"/>
      <c r="G37" s="1615">
        <v>0</v>
      </c>
      <c r="H37" s="3436"/>
      <c r="I37" s="4226">
        <f t="shared" si="0"/>
        <v>4.91</v>
      </c>
      <c r="J37" s="3437"/>
      <c r="K37" s="1615">
        <v>0</v>
      </c>
      <c r="L37" s="3435"/>
      <c r="M37" s="4269">
        <f t="shared" si="1"/>
        <v>4.91</v>
      </c>
      <c r="N37" s="3437"/>
      <c r="O37" s="1615">
        <v>0</v>
      </c>
      <c r="P37" s="3436"/>
      <c r="Q37" s="4226">
        <f t="shared" si="2"/>
        <v>4.91</v>
      </c>
      <c r="R37" s="3437"/>
      <c r="S37" s="1615">
        <v>14.89</v>
      </c>
      <c r="T37" s="3436"/>
      <c r="U37" s="4226">
        <f t="shared" si="3"/>
        <v>19.8</v>
      </c>
      <c r="V37" s="3437"/>
      <c r="W37" s="1615">
        <v>0</v>
      </c>
      <c r="X37" s="3435"/>
      <c r="Y37" s="4269">
        <f t="shared" si="4"/>
        <v>14.89</v>
      </c>
      <c r="Z37" s="1854"/>
      <c r="AA37" s="1854">
        <f t="shared" si="5"/>
        <v>19.8</v>
      </c>
      <c r="AB37" s="3437"/>
      <c r="AC37" s="1615">
        <v>0</v>
      </c>
      <c r="AD37" s="3436"/>
      <c r="AE37" s="4226">
        <f t="shared" si="6"/>
        <v>19.8</v>
      </c>
      <c r="AF37" s="3437"/>
      <c r="AG37" s="1615">
        <v>0</v>
      </c>
      <c r="AH37" s="3436"/>
      <c r="AI37" s="4226">
        <f t="shared" si="7"/>
        <v>19.8</v>
      </c>
      <c r="AJ37" s="3437"/>
      <c r="AK37" s="1615">
        <v>0</v>
      </c>
      <c r="AL37" s="3435"/>
      <c r="AM37" s="4269">
        <f t="shared" si="8"/>
        <v>0</v>
      </c>
      <c r="AN37" s="3436"/>
      <c r="AO37" s="4226">
        <f t="shared" si="9"/>
        <v>19.8</v>
      </c>
      <c r="AP37" s="3836"/>
      <c r="AQ37" s="1615">
        <v>0</v>
      </c>
      <c r="AR37" s="3837"/>
      <c r="AS37" s="4226">
        <f t="shared" si="10"/>
        <v>19.8</v>
      </c>
      <c r="AT37" s="3990"/>
      <c r="AU37" s="1615"/>
      <c r="AV37" s="3991"/>
      <c r="AW37" s="4226">
        <f t="shared" si="11"/>
        <v>19.8</v>
      </c>
      <c r="AX37" s="4224"/>
      <c r="AY37" s="1615">
        <v>0</v>
      </c>
      <c r="AZ37" s="4526"/>
      <c r="BA37" s="4551">
        <f t="shared" si="12"/>
        <v>0</v>
      </c>
      <c r="BB37" s="1854"/>
      <c r="BC37" s="1854">
        <f t="shared" si="13"/>
        <v>0</v>
      </c>
      <c r="BD37" s="4550"/>
      <c r="BE37" s="4550">
        <f t="shared" si="14"/>
        <v>19.8</v>
      </c>
    </row>
    <row r="38" spans="1:57" s="334" customFormat="1" x14ac:dyDescent="0.25">
      <c r="B38" s="26" t="s">
        <v>1646</v>
      </c>
      <c r="C38" s="3440" t="s">
        <v>393</v>
      </c>
      <c r="D38" s="3440"/>
      <c r="E38" s="1614"/>
      <c r="F38" s="1614"/>
      <c r="G38" s="1615"/>
      <c r="H38" s="3436"/>
      <c r="I38" s="4226">
        <f t="shared" si="0"/>
        <v>0</v>
      </c>
      <c r="J38" s="3437"/>
      <c r="K38" s="1615"/>
      <c r="L38" s="3435"/>
      <c r="M38" s="4269">
        <f t="shared" si="1"/>
        <v>0</v>
      </c>
      <c r="N38" s="3437"/>
      <c r="O38" s="1615"/>
      <c r="P38" s="3436"/>
      <c r="Q38" s="4226">
        <f t="shared" si="2"/>
        <v>0</v>
      </c>
      <c r="R38" s="3437"/>
      <c r="S38" s="1615"/>
      <c r="T38" s="3436"/>
      <c r="U38" s="4226">
        <f t="shared" si="3"/>
        <v>0</v>
      </c>
      <c r="V38" s="3437"/>
      <c r="W38" s="1615"/>
      <c r="X38" s="3435"/>
      <c r="Y38" s="4269">
        <f t="shared" si="4"/>
        <v>0</v>
      </c>
      <c r="Z38" s="1854"/>
      <c r="AA38" s="1854">
        <f t="shared" si="5"/>
        <v>0</v>
      </c>
      <c r="AB38" s="3437"/>
      <c r="AC38" s="1615">
        <v>498.68</v>
      </c>
      <c r="AD38" s="3436"/>
      <c r="AE38" s="4226">
        <f t="shared" si="6"/>
        <v>498.68</v>
      </c>
      <c r="AF38" s="3437"/>
      <c r="AG38" s="1615">
        <v>1006.12</v>
      </c>
      <c r="AH38" s="3436"/>
      <c r="AI38" s="4226">
        <f t="shared" si="7"/>
        <v>1504.8</v>
      </c>
      <c r="AJ38" s="3437"/>
      <c r="AK38" s="1615">
        <v>992.56</v>
      </c>
      <c r="AL38" s="3435"/>
      <c r="AM38" s="4269">
        <f t="shared" si="8"/>
        <v>2497.3599999999997</v>
      </c>
      <c r="AN38" s="3436"/>
      <c r="AO38" s="4226">
        <f t="shared" si="9"/>
        <v>2497.3599999999997</v>
      </c>
      <c r="AP38" s="3836"/>
      <c r="AQ38" s="1615">
        <v>873.38000000000011</v>
      </c>
      <c r="AR38" s="3837"/>
      <c r="AS38" s="4226">
        <f t="shared" si="10"/>
        <v>3370.74</v>
      </c>
      <c r="AT38" s="3990"/>
      <c r="AU38" s="1615">
        <v>1122.01</v>
      </c>
      <c r="AV38" s="3991"/>
      <c r="AW38" s="4226">
        <f t="shared" si="11"/>
        <v>4492.75</v>
      </c>
      <c r="AX38" s="4224"/>
      <c r="AY38" s="1615">
        <v>0</v>
      </c>
      <c r="AZ38" s="4526"/>
      <c r="BA38" s="4551">
        <f t="shared" si="12"/>
        <v>1995.39</v>
      </c>
      <c r="BB38" s="1854"/>
      <c r="BC38" s="1854">
        <f t="shared" si="13"/>
        <v>4492.75</v>
      </c>
      <c r="BD38" s="4550"/>
      <c r="BE38" s="4550">
        <f t="shared" si="14"/>
        <v>4492.75</v>
      </c>
    </row>
    <row r="39" spans="1:57" x14ac:dyDescent="0.25">
      <c r="B39" s="26" t="s">
        <v>1099</v>
      </c>
      <c r="C39" s="3440" t="s">
        <v>393</v>
      </c>
      <c r="D39" s="3440"/>
      <c r="E39" s="1615">
        <v>33.549999999999997</v>
      </c>
      <c r="F39" s="1615"/>
      <c r="G39" s="1615">
        <v>0</v>
      </c>
      <c r="H39" s="3436"/>
      <c r="I39" s="4226">
        <f t="shared" si="0"/>
        <v>33.549999999999997</v>
      </c>
      <c r="J39" s="3437"/>
      <c r="K39" s="1615">
        <v>0</v>
      </c>
      <c r="L39" s="3435"/>
      <c r="M39" s="4269">
        <f t="shared" si="1"/>
        <v>33.549999999999997</v>
      </c>
      <c r="N39" s="3437"/>
      <c r="O39" s="1615">
        <v>0</v>
      </c>
      <c r="P39" s="3436"/>
      <c r="Q39" s="4226">
        <f t="shared" si="2"/>
        <v>33.549999999999997</v>
      </c>
      <c r="R39" s="3437"/>
      <c r="S39" s="1615">
        <v>0</v>
      </c>
      <c r="T39" s="3436"/>
      <c r="U39" s="4226">
        <f t="shared" si="3"/>
        <v>33.549999999999997</v>
      </c>
      <c r="V39" s="3437"/>
      <c r="W39" s="1615">
        <v>0</v>
      </c>
      <c r="X39" s="3435"/>
      <c r="Y39" s="4269">
        <f t="shared" si="4"/>
        <v>0</v>
      </c>
      <c r="Z39" s="1854"/>
      <c r="AA39" s="1854">
        <f t="shared" si="5"/>
        <v>33.549999999999997</v>
      </c>
      <c r="AB39" s="3437"/>
      <c r="AC39" s="1615">
        <v>0</v>
      </c>
      <c r="AD39" s="3436"/>
      <c r="AE39" s="4226">
        <f t="shared" si="6"/>
        <v>33.549999999999997</v>
      </c>
      <c r="AF39" s="3437"/>
      <c r="AG39" s="1615">
        <v>0</v>
      </c>
      <c r="AH39" s="3436"/>
      <c r="AI39" s="4226">
        <f t="shared" si="7"/>
        <v>33.549999999999997</v>
      </c>
      <c r="AJ39" s="3437"/>
      <c r="AK39" s="1615">
        <v>0</v>
      </c>
      <c r="AL39" s="3435"/>
      <c r="AM39" s="4269">
        <f t="shared" si="8"/>
        <v>0</v>
      </c>
      <c r="AN39" s="3436"/>
      <c r="AO39" s="4226">
        <f t="shared" si="9"/>
        <v>33.549999999999997</v>
      </c>
      <c r="AP39" s="3836"/>
      <c r="AQ39" s="1615">
        <v>0</v>
      </c>
      <c r="AR39" s="3837"/>
      <c r="AS39" s="4226">
        <f t="shared" si="10"/>
        <v>33.549999999999997</v>
      </c>
      <c r="AT39" s="3990"/>
      <c r="AU39" s="1615"/>
      <c r="AV39" s="3991"/>
      <c r="AW39" s="4226">
        <f t="shared" si="11"/>
        <v>33.549999999999997</v>
      </c>
      <c r="AX39" s="4224"/>
      <c r="AY39" s="1615">
        <v>0</v>
      </c>
      <c r="AZ39" s="4526"/>
      <c r="BA39" s="4551">
        <f t="shared" si="12"/>
        <v>0</v>
      </c>
      <c r="BB39" s="1854"/>
      <c r="BC39" s="1854">
        <f t="shared" si="13"/>
        <v>0</v>
      </c>
      <c r="BD39" s="4550"/>
      <c r="BE39" s="4550">
        <f t="shared" si="14"/>
        <v>33.549999999999997</v>
      </c>
    </row>
    <row r="40" spans="1:57" x14ac:dyDescent="0.25">
      <c r="B40" s="26" t="s">
        <v>887</v>
      </c>
      <c r="C40" s="3440" t="s">
        <v>393</v>
      </c>
      <c r="D40" s="3440"/>
      <c r="E40" s="1615">
        <v>3043.45</v>
      </c>
      <c r="F40" s="1615"/>
      <c r="G40" s="238">
        <v>1483.44</v>
      </c>
      <c r="H40" s="3436"/>
      <c r="I40" s="4226">
        <f t="shared" si="0"/>
        <v>4526.8899999999994</v>
      </c>
      <c r="J40" s="3437"/>
      <c r="K40" s="238">
        <v>4331.1699999999983</v>
      </c>
      <c r="L40" s="3435"/>
      <c r="M40" s="4225">
        <f t="shared" si="1"/>
        <v>8858.0599999999977</v>
      </c>
      <c r="N40" s="3437"/>
      <c r="O40" s="238">
        <v>3852.52</v>
      </c>
      <c r="P40" s="3436"/>
      <c r="Q40" s="4226">
        <f t="shared" si="2"/>
        <v>12710.579999999998</v>
      </c>
      <c r="R40" s="3437"/>
      <c r="S40" s="238">
        <v>2314.79</v>
      </c>
      <c r="T40" s="3436"/>
      <c r="U40" s="4226">
        <f t="shared" si="3"/>
        <v>15025.369999999999</v>
      </c>
      <c r="V40" s="3437"/>
      <c r="W40" s="238">
        <v>996.19000000000017</v>
      </c>
      <c r="X40" s="3435"/>
      <c r="Y40" s="4225">
        <f t="shared" si="4"/>
        <v>7163.5</v>
      </c>
      <c r="Z40" s="4528"/>
      <c r="AA40" s="4227">
        <f t="shared" si="5"/>
        <v>16021.56</v>
      </c>
      <c r="AB40" s="3437"/>
      <c r="AC40" s="238">
        <v>405.23999999999995</v>
      </c>
      <c r="AD40" s="3436"/>
      <c r="AE40" s="4226">
        <f t="shared" si="6"/>
        <v>16426.8</v>
      </c>
      <c r="AF40" s="3437"/>
      <c r="AG40" s="238">
        <v>441.81</v>
      </c>
      <c r="AH40" s="3436"/>
      <c r="AI40" s="4226">
        <f t="shared" si="7"/>
        <v>16868.61</v>
      </c>
      <c r="AJ40" s="3437"/>
      <c r="AK40" s="4555">
        <v>0</v>
      </c>
      <c r="AL40" s="3435"/>
      <c r="AM40" s="4225">
        <f t="shared" si="8"/>
        <v>847.05</v>
      </c>
      <c r="AN40" s="3436"/>
      <c r="AO40" s="4226">
        <f t="shared" si="9"/>
        <v>16868.61</v>
      </c>
      <c r="AP40" s="3836"/>
      <c r="AQ40" s="3835">
        <v>0</v>
      </c>
      <c r="AR40" s="3837"/>
      <c r="AS40" s="4226">
        <f t="shared" si="10"/>
        <v>16868.61</v>
      </c>
      <c r="AT40" s="3990"/>
      <c r="AU40" s="3989">
        <v>256.96999999999997</v>
      </c>
      <c r="AV40" s="3991"/>
      <c r="AW40" s="4226">
        <f t="shared" si="11"/>
        <v>17125.580000000002</v>
      </c>
      <c r="AX40" s="4224"/>
      <c r="AY40" s="4223">
        <v>737.45</v>
      </c>
      <c r="AZ40" s="4526"/>
      <c r="BA40" s="4526">
        <f t="shared" si="12"/>
        <v>994.42000000000007</v>
      </c>
      <c r="BB40" s="4528"/>
      <c r="BC40" s="4528">
        <f t="shared" si="13"/>
        <v>1841.47</v>
      </c>
      <c r="BD40" s="4527"/>
      <c r="BE40" s="4527">
        <f t="shared" si="14"/>
        <v>17863.03</v>
      </c>
    </row>
    <row r="41" spans="1:57" s="334" customFormat="1" x14ac:dyDescent="0.25">
      <c r="B41" s="2227" t="s">
        <v>888</v>
      </c>
      <c r="C41" s="483"/>
      <c r="D41" s="483"/>
      <c r="E41" s="3628">
        <f t="shared" ref="E41" si="39">+SUM(E42:E43)</f>
        <v>0</v>
      </c>
      <c r="F41" s="3442"/>
      <c r="G41" s="3628">
        <f t="shared" ref="G41" si="40">+SUM(G42:G43)</f>
        <v>136.72</v>
      </c>
      <c r="H41" s="3436"/>
      <c r="I41" s="4226">
        <f t="shared" si="0"/>
        <v>136.72</v>
      </c>
      <c r="J41" s="3437"/>
      <c r="K41" s="3628">
        <f t="shared" ref="K41" si="41">+SUM(K42:K43)</f>
        <v>63.08</v>
      </c>
      <c r="L41" s="3435"/>
      <c r="M41" s="2422">
        <f t="shared" si="1"/>
        <v>199.8</v>
      </c>
      <c r="N41" s="3437"/>
      <c r="O41" s="3628">
        <f t="shared" ref="O41" si="42">+SUM(O42:O43)</f>
        <v>0</v>
      </c>
      <c r="P41" s="3436"/>
      <c r="Q41" s="4226">
        <f t="shared" si="2"/>
        <v>199.8</v>
      </c>
      <c r="R41" s="3437"/>
      <c r="S41" s="3628">
        <f t="shared" ref="S41" si="43">+SUM(S42:S43)</f>
        <v>80.34</v>
      </c>
      <c r="T41" s="3436"/>
      <c r="U41" s="4226">
        <f t="shared" si="3"/>
        <v>280.14</v>
      </c>
      <c r="V41" s="3437"/>
      <c r="W41" s="3628">
        <f t="shared" ref="W41" si="44">+SUM(W42:W43)</f>
        <v>229.51</v>
      </c>
      <c r="X41" s="3435"/>
      <c r="Y41" s="2422">
        <f t="shared" si="4"/>
        <v>309.85000000000002</v>
      </c>
      <c r="Z41" s="1282"/>
      <c r="AA41" s="1282">
        <f t="shared" si="5"/>
        <v>509.65</v>
      </c>
      <c r="AB41" s="3437"/>
      <c r="AC41" s="3628">
        <f t="shared" ref="AC41" si="45">+SUM(AC42:AC43)</f>
        <v>116.16</v>
      </c>
      <c r="AD41" s="3436"/>
      <c r="AE41" s="4226">
        <f t="shared" si="6"/>
        <v>625.80999999999995</v>
      </c>
      <c r="AF41" s="3437"/>
      <c r="AG41" s="3628">
        <f t="shared" ref="AG41" si="46">+SUM(AG42:AG43)</f>
        <v>185.15000000000003</v>
      </c>
      <c r="AH41" s="3436"/>
      <c r="AI41" s="4226">
        <f t="shared" si="7"/>
        <v>810.96</v>
      </c>
      <c r="AJ41" s="3437"/>
      <c r="AK41" s="3628">
        <f t="shared" ref="AK41" si="47">+SUM(AK42:AK43)</f>
        <v>88.66</v>
      </c>
      <c r="AL41" s="3435"/>
      <c r="AM41" s="2422">
        <f t="shared" si="8"/>
        <v>389.97</v>
      </c>
      <c r="AN41" s="3436"/>
      <c r="AO41" s="4226">
        <f t="shared" si="9"/>
        <v>899.62</v>
      </c>
      <c r="AP41" s="3836"/>
      <c r="AQ41" s="3628">
        <f t="shared" ref="AQ41" si="48">+SUM(AQ42:AQ43)</f>
        <v>49.980000000000004</v>
      </c>
      <c r="AR41" s="3837"/>
      <c r="AS41" s="4226">
        <f t="shared" si="10"/>
        <v>949.6</v>
      </c>
      <c r="AT41" s="3990"/>
      <c r="AU41" s="3628">
        <f t="shared" ref="AU41" si="49">+SUM(AU42:AU43)</f>
        <v>196.38</v>
      </c>
      <c r="AV41" s="3991"/>
      <c r="AW41" s="4226">
        <f t="shared" si="11"/>
        <v>1145.98</v>
      </c>
      <c r="AX41" s="4224"/>
      <c r="AY41" s="3628">
        <f t="shared" ref="AY41" si="50">+SUM(AY42:AY43)</f>
        <v>153.6</v>
      </c>
      <c r="AZ41" s="4526"/>
      <c r="BA41" s="2422">
        <f t="shared" si="12"/>
        <v>399.96000000000004</v>
      </c>
      <c r="BB41" s="1282"/>
      <c r="BC41" s="1282">
        <f t="shared" si="13"/>
        <v>789.93000000000006</v>
      </c>
      <c r="BD41" s="644"/>
      <c r="BE41" s="644">
        <f t="shared" si="14"/>
        <v>1299.58</v>
      </c>
    </row>
    <row r="42" spans="1:57" s="334" customFormat="1" x14ac:dyDescent="0.25">
      <c r="A42" s="1726"/>
      <c r="B42" s="26" t="s">
        <v>1214</v>
      </c>
      <c r="C42" s="3440" t="s">
        <v>393</v>
      </c>
      <c r="D42" s="3440"/>
      <c r="E42" s="1615">
        <v>0</v>
      </c>
      <c r="F42" s="1615"/>
      <c r="G42" s="238">
        <v>0</v>
      </c>
      <c r="H42" s="3436"/>
      <c r="I42" s="4226">
        <f t="shared" si="0"/>
        <v>0</v>
      </c>
      <c r="J42" s="3437"/>
      <c r="K42" s="238">
        <v>0</v>
      </c>
      <c r="L42" s="3435"/>
      <c r="M42" s="4225">
        <f t="shared" si="1"/>
        <v>0</v>
      </c>
      <c r="N42" s="3437"/>
      <c r="O42" s="238">
        <v>0</v>
      </c>
      <c r="P42" s="3436"/>
      <c r="Q42" s="4226">
        <f t="shared" si="2"/>
        <v>0</v>
      </c>
      <c r="R42" s="3437"/>
      <c r="S42" s="238">
        <v>25.3</v>
      </c>
      <c r="T42" s="3436"/>
      <c r="U42" s="4226">
        <f t="shared" si="3"/>
        <v>25.3</v>
      </c>
      <c r="V42" s="3437"/>
      <c r="W42" s="238">
        <v>24.7</v>
      </c>
      <c r="X42" s="3435"/>
      <c r="Y42" s="4225">
        <f t="shared" si="4"/>
        <v>50</v>
      </c>
      <c r="Z42" s="4528"/>
      <c r="AA42" s="4227">
        <f t="shared" si="5"/>
        <v>50</v>
      </c>
      <c r="AB42" s="3437"/>
      <c r="AC42" s="238">
        <v>0</v>
      </c>
      <c r="AD42" s="3436"/>
      <c r="AE42" s="4226">
        <f t="shared" si="6"/>
        <v>50</v>
      </c>
      <c r="AF42" s="3437"/>
      <c r="AG42" s="238">
        <v>49.92</v>
      </c>
      <c r="AH42" s="3436"/>
      <c r="AI42" s="4226">
        <f t="shared" si="7"/>
        <v>99.92</v>
      </c>
      <c r="AJ42" s="3437"/>
      <c r="AK42" s="4555">
        <v>0</v>
      </c>
      <c r="AL42" s="3435"/>
      <c r="AM42" s="4225">
        <f t="shared" si="8"/>
        <v>49.92</v>
      </c>
      <c r="AN42" s="3436"/>
      <c r="AO42" s="4226">
        <f t="shared" si="9"/>
        <v>99.92</v>
      </c>
      <c r="AP42" s="3836"/>
      <c r="AQ42" s="3835">
        <v>49.980000000000004</v>
      </c>
      <c r="AR42" s="3837"/>
      <c r="AS42" s="4226">
        <f t="shared" si="10"/>
        <v>149.9</v>
      </c>
      <c r="AT42" s="3990"/>
      <c r="AU42" s="3989">
        <v>49.989999999999995</v>
      </c>
      <c r="AV42" s="3991"/>
      <c r="AW42" s="4226">
        <f t="shared" si="11"/>
        <v>199.89</v>
      </c>
      <c r="AX42" s="4224"/>
      <c r="AY42" s="4223">
        <v>0</v>
      </c>
      <c r="AZ42" s="4526"/>
      <c r="BA42" s="4526">
        <f t="shared" si="12"/>
        <v>99.97</v>
      </c>
      <c r="BB42" s="4528"/>
      <c r="BC42" s="4528">
        <f t="shared" si="13"/>
        <v>149.88999999999999</v>
      </c>
      <c r="BD42" s="4527"/>
      <c r="BE42" s="4527">
        <f t="shared" si="14"/>
        <v>199.89</v>
      </c>
    </row>
    <row r="43" spans="1:57" x14ac:dyDescent="0.25">
      <c r="B43" s="26" t="s">
        <v>771</v>
      </c>
      <c r="C43" s="3440" t="s">
        <v>393</v>
      </c>
      <c r="D43" s="3440"/>
      <c r="E43" s="1615">
        <v>0</v>
      </c>
      <c r="F43" s="1615"/>
      <c r="G43" s="238">
        <v>136.72</v>
      </c>
      <c r="H43" s="3436"/>
      <c r="I43" s="4226">
        <f t="shared" si="0"/>
        <v>136.72</v>
      </c>
      <c r="J43" s="3437"/>
      <c r="K43" s="238">
        <v>63.08</v>
      </c>
      <c r="L43" s="3435"/>
      <c r="M43" s="4225">
        <f t="shared" si="1"/>
        <v>199.8</v>
      </c>
      <c r="N43" s="3437"/>
      <c r="O43" s="1615">
        <v>0</v>
      </c>
      <c r="P43" s="3436"/>
      <c r="Q43" s="4226">
        <f t="shared" si="2"/>
        <v>199.8</v>
      </c>
      <c r="R43" s="3437"/>
      <c r="S43" s="238">
        <v>55.04</v>
      </c>
      <c r="T43" s="3436"/>
      <c r="U43" s="4226">
        <f t="shared" si="3"/>
        <v>254.84</v>
      </c>
      <c r="V43" s="3437"/>
      <c r="W43" s="238">
        <v>204.81</v>
      </c>
      <c r="X43" s="3435"/>
      <c r="Y43" s="4225">
        <f t="shared" si="4"/>
        <v>259.85000000000002</v>
      </c>
      <c r="Z43" s="4528"/>
      <c r="AA43" s="4227">
        <f t="shared" si="5"/>
        <v>459.65</v>
      </c>
      <c r="AB43" s="3437"/>
      <c r="AC43" s="238">
        <v>116.16</v>
      </c>
      <c r="AD43" s="3436"/>
      <c r="AE43" s="4226">
        <f t="shared" si="6"/>
        <v>575.80999999999995</v>
      </c>
      <c r="AF43" s="3437"/>
      <c r="AG43" s="238">
        <v>135.23000000000002</v>
      </c>
      <c r="AH43" s="3436"/>
      <c r="AI43" s="4226">
        <f t="shared" si="7"/>
        <v>711.04</v>
      </c>
      <c r="AJ43" s="3437"/>
      <c r="AK43" s="4556">
        <v>88.66</v>
      </c>
      <c r="AL43" s="3435"/>
      <c r="AM43" s="4225">
        <f t="shared" si="8"/>
        <v>340.05</v>
      </c>
      <c r="AN43" s="3436"/>
      <c r="AO43" s="4226">
        <f t="shared" si="9"/>
        <v>799.69999999999993</v>
      </c>
      <c r="AP43" s="3836"/>
      <c r="AQ43" s="3835"/>
      <c r="AR43" s="3837"/>
      <c r="AS43" s="4226">
        <f t="shared" si="10"/>
        <v>799.69999999999993</v>
      </c>
      <c r="AT43" s="3990"/>
      <c r="AU43" s="3989">
        <v>146.38999999999999</v>
      </c>
      <c r="AV43" s="3991"/>
      <c r="AW43" s="4226">
        <f t="shared" si="11"/>
        <v>946.08999999999992</v>
      </c>
      <c r="AX43" s="4224"/>
      <c r="AY43" s="4223">
        <v>153.6</v>
      </c>
      <c r="AZ43" s="4526"/>
      <c r="BA43" s="4526">
        <f t="shared" si="12"/>
        <v>299.99</v>
      </c>
      <c r="BB43" s="4528"/>
      <c r="BC43" s="4528">
        <f t="shared" si="13"/>
        <v>640.04</v>
      </c>
      <c r="BD43" s="4527"/>
      <c r="BE43" s="4527">
        <f t="shared" si="14"/>
        <v>1099.69</v>
      </c>
    </row>
    <row r="44" spans="1:57" s="334" customFormat="1" x14ac:dyDescent="0.25">
      <c r="B44" s="2227" t="s">
        <v>822</v>
      </c>
      <c r="C44" s="483"/>
      <c r="D44" s="483"/>
      <c r="E44" s="3628">
        <f t="shared" ref="E44" si="51">+SUM(E45:E51)</f>
        <v>1784.64</v>
      </c>
      <c r="F44" s="3442"/>
      <c r="G44" s="3628">
        <f t="shared" ref="G44" si="52">+SUM(G45:G51)</f>
        <v>118.38</v>
      </c>
      <c r="H44" s="3436"/>
      <c r="I44" s="4226">
        <f t="shared" si="0"/>
        <v>1903.02</v>
      </c>
      <c r="J44" s="3437"/>
      <c r="K44" s="3628">
        <f t="shared" ref="K44" si="53">+SUM(K45:K51)</f>
        <v>58.15</v>
      </c>
      <c r="L44" s="3435"/>
      <c r="M44" s="2422">
        <f t="shared" si="1"/>
        <v>1961.17</v>
      </c>
      <c r="N44" s="3437"/>
      <c r="O44" s="3628">
        <f t="shared" ref="O44" si="54">+SUM(O45:O51)</f>
        <v>162.83999999999997</v>
      </c>
      <c r="P44" s="3436"/>
      <c r="Q44" s="4226">
        <f t="shared" si="2"/>
        <v>2124.0100000000002</v>
      </c>
      <c r="R44" s="3437"/>
      <c r="S44" s="3628">
        <f t="shared" ref="S44" si="55">+SUM(S45:S51)</f>
        <v>379.66</v>
      </c>
      <c r="T44" s="3436"/>
      <c r="U44" s="4226">
        <f t="shared" si="3"/>
        <v>2503.67</v>
      </c>
      <c r="V44" s="3437"/>
      <c r="W44" s="3628">
        <f t="shared" ref="W44" si="56">+SUM(W45:W51)</f>
        <v>149.63999999999999</v>
      </c>
      <c r="X44" s="3435"/>
      <c r="Y44" s="2422">
        <f t="shared" si="4"/>
        <v>692.14</v>
      </c>
      <c r="Z44" s="1282"/>
      <c r="AA44" s="1282">
        <f t="shared" si="5"/>
        <v>2653.31</v>
      </c>
      <c r="AB44" s="3437"/>
      <c r="AC44" s="3628">
        <f t="shared" ref="AC44" si="57">+SUM(AC45:AC51)</f>
        <v>0</v>
      </c>
      <c r="AD44" s="3436"/>
      <c r="AE44" s="4226">
        <f t="shared" si="6"/>
        <v>2653.31</v>
      </c>
      <c r="AF44" s="3437"/>
      <c r="AG44" s="3628">
        <f t="shared" ref="AG44" si="58">+SUM(AG45:AG51)</f>
        <v>173.77</v>
      </c>
      <c r="AH44" s="3436"/>
      <c r="AI44" s="4226">
        <f t="shared" si="7"/>
        <v>2827.08</v>
      </c>
      <c r="AJ44" s="3437"/>
      <c r="AK44" s="3628">
        <f t="shared" ref="AK44" si="59">+SUM(AK45:AK51)</f>
        <v>421.59999999999991</v>
      </c>
      <c r="AL44" s="3435"/>
      <c r="AM44" s="2422">
        <f t="shared" si="8"/>
        <v>595.36999999999989</v>
      </c>
      <c r="AN44" s="3436"/>
      <c r="AO44" s="4226">
        <f t="shared" si="9"/>
        <v>3248.68</v>
      </c>
      <c r="AP44" s="3836"/>
      <c r="AQ44" s="3628">
        <f t="shared" ref="AQ44" si="60">+SUM(AQ45:AQ51)</f>
        <v>7.56</v>
      </c>
      <c r="AR44" s="3837"/>
      <c r="AS44" s="4226">
        <f t="shared" si="10"/>
        <v>3256.24</v>
      </c>
      <c r="AT44" s="3990"/>
      <c r="AU44" s="3628">
        <f t="shared" ref="AU44" si="61">+SUM(AU45:AU51)</f>
        <v>998.57</v>
      </c>
      <c r="AV44" s="3991"/>
      <c r="AW44" s="4226">
        <f t="shared" si="11"/>
        <v>4254.8099999999995</v>
      </c>
      <c r="AX44" s="4224"/>
      <c r="AY44" s="3628">
        <f t="shared" ref="AY44" si="62">+SUM(AY45:AY51)</f>
        <v>1506.6699999999998</v>
      </c>
      <c r="AZ44" s="4526"/>
      <c r="BA44" s="2422">
        <f t="shared" si="12"/>
        <v>2512.7999999999997</v>
      </c>
      <c r="BB44" s="1282"/>
      <c r="BC44" s="1282">
        <f t="shared" si="13"/>
        <v>3108.1699999999996</v>
      </c>
      <c r="BD44" s="644"/>
      <c r="BE44" s="644">
        <f t="shared" si="14"/>
        <v>5761.48</v>
      </c>
    </row>
    <row r="45" spans="1:57" x14ac:dyDescent="0.25">
      <c r="B45" s="26" t="s">
        <v>807</v>
      </c>
      <c r="C45" s="3440" t="s">
        <v>393</v>
      </c>
      <c r="D45" s="3440"/>
      <c r="E45" s="1615">
        <v>1224.2800000000002</v>
      </c>
      <c r="F45" s="1615"/>
      <c r="G45" s="1615">
        <v>0</v>
      </c>
      <c r="H45" s="3436"/>
      <c r="I45" s="4226">
        <f t="shared" si="0"/>
        <v>1224.2800000000002</v>
      </c>
      <c r="J45" s="3437"/>
      <c r="K45" s="1615">
        <v>0</v>
      </c>
      <c r="L45" s="3435"/>
      <c r="M45" s="4269">
        <f t="shared" si="1"/>
        <v>1224.2800000000002</v>
      </c>
      <c r="N45" s="3437"/>
      <c r="O45" s="1615">
        <v>0</v>
      </c>
      <c r="P45" s="3436"/>
      <c r="Q45" s="4226">
        <f t="shared" si="2"/>
        <v>1224.2800000000002</v>
      </c>
      <c r="R45" s="3437"/>
      <c r="S45" s="1615">
        <v>379.66</v>
      </c>
      <c r="T45" s="3436"/>
      <c r="U45" s="4226">
        <f t="shared" si="3"/>
        <v>1603.9400000000003</v>
      </c>
      <c r="V45" s="3437"/>
      <c r="W45" s="1615">
        <v>120.08</v>
      </c>
      <c r="X45" s="3435"/>
      <c r="Y45" s="4269">
        <f t="shared" si="4"/>
        <v>499.74</v>
      </c>
      <c r="Z45" s="1854"/>
      <c r="AA45" s="1854">
        <f t="shared" si="5"/>
        <v>1724.0200000000002</v>
      </c>
      <c r="AB45" s="3437"/>
      <c r="AC45" s="1615">
        <v>0</v>
      </c>
      <c r="AD45" s="3436"/>
      <c r="AE45" s="4226">
        <f t="shared" si="6"/>
        <v>1724.0200000000002</v>
      </c>
      <c r="AF45" s="3437"/>
      <c r="AG45" s="1615">
        <v>78.09</v>
      </c>
      <c r="AH45" s="3436"/>
      <c r="AI45" s="4226">
        <f t="shared" si="7"/>
        <v>1802.1100000000001</v>
      </c>
      <c r="AJ45" s="3437"/>
      <c r="AK45" s="1615">
        <v>421.59999999999991</v>
      </c>
      <c r="AL45" s="3435"/>
      <c r="AM45" s="4269">
        <f t="shared" si="8"/>
        <v>499.68999999999994</v>
      </c>
      <c r="AN45" s="3436"/>
      <c r="AO45" s="4226">
        <f t="shared" si="9"/>
        <v>2223.71</v>
      </c>
      <c r="AP45" s="3836"/>
      <c r="AQ45" s="1615"/>
      <c r="AR45" s="3837"/>
      <c r="AS45" s="4226">
        <f t="shared" si="10"/>
        <v>2223.71</v>
      </c>
      <c r="AT45" s="3990"/>
      <c r="AU45" s="1615">
        <v>998.57</v>
      </c>
      <c r="AV45" s="3991"/>
      <c r="AW45" s="4226">
        <f t="shared" si="11"/>
        <v>3222.28</v>
      </c>
      <c r="AX45" s="4224"/>
      <c r="AY45" s="1615">
        <v>1499.32</v>
      </c>
      <c r="AZ45" s="4526"/>
      <c r="BA45" s="4551">
        <f t="shared" si="12"/>
        <v>2497.89</v>
      </c>
      <c r="BB45" s="1854"/>
      <c r="BC45" s="1854">
        <f t="shared" si="13"/>
        <v>2997.58</v>
      </c>
      <c r="BD45" s="4550"/>
      <c r="BE45" s="4550">
        <f t="shared" si="14"/>
        <v>4721.6000000000004</v>
      </c>
    </row>
    <row r="46" spans="1:57" x14ac:dyDescent="0.25">
      <c r="B46" s="26" t="s">
        <v>1012</v>
      </c>
      <c r="C46" s="3440" t="s">
        <v>393</v>
      </c>
      <c r="D46" s="3440"/>
      <c r="E46" s="1615">
        <v>149.79999999999998</v>
      </c>
      <c r="F46" s="1615"/>
      <c r="G46" s="1615">
        <v>0</v>
      </c>
      <c r="H46" s="3436"/>
      <c r="I46" s="4226">
        <f t="shared" si="0"/>
        <v>149.79999999999998</v>
      </c>
      <c r="J46" s="3437"/>
      <c r="K46" s="1615">
        <v>0</v>
      </c>
      <c r="L46" s="3435"/>
      <c r="M46" s="4269">
        <f t="shared" si="1"/>
        <v>149.79999999999998</v>
      </c>
      <c r="N46" s="3437"/>
      <c r="O46" s="1615">
        <v>0</v>
      </c>
      <c r="P46" s="3436"/>
      <c r="Q46" s="4226">
        <f t="shared" si="2"/>
        <v>149.79999999999998</v>
      </c>
      <c r="R46" s="3437"/>
      <c r="S46" s="1615">
        <v>0</v>
      </c>
      <c r="T46" s="3436"/>
      <c r="U46" s="4226">
        <f t="shared" si="3"/>
        <v>149.79999999999998</v>
      </c>
      <c r="V46" s="3437"/>
      <c r="W46" s="1615">
        <v>0</v>
      </c>
      <c r="X46" s="3435"/>
      <c r="Y46" s="4269">
        <f t="shared" si="4"/>
        <v>0</v>
      </c>
      <c r="Z46" s="1854"/>
      <c r="AA46" s="1854">
        <f t="shared" si="5"/>
        <v>149.79999999999998</v>
      </c>
      <c r="AB46" s="3437"/>
      <c r="AC46" s="1615">
        <v>0</v>
      </c>
      <c r="AD46" s="3436"/>
      <c r="AE46" s="4226">
        <f t="shared" si="6"/>
        <v>149.79999999999998</v>
      </c>
      <c r="AF46" s="3437"/>
      <c r="AG46" s="1615">
        <v>0</v>
      </c>
      <c r="AH46" s="3436"/>
      <c r="AI46" s="4226">
        <f t="shared" si="7"/>
        <v>149.79999999999998</v>
      </c>
      <c r="AJ46" s="3437"/>
      <c r="AK46" s="1615">
        <v>0</v>
      </c>
      <c r="AL46" s="3435"/>
      <c r="AM46" s="4269">
        <f t="shared" si="8"/>
        <v>0</v>
      </c>
      <c r="AN46" s="3436"/>
      <c r="AO46" s="4226">
        <f t="shared" si="9"/>
        <v>149.79999999999998</v>
      </c>
      <c r="AP46" s="3836"/>
      <c r="AQ46" s="1615"/>
      <c r="AR46" s="3837"/>
      <c r="AS46" s="4226">
        <f t="shared" si="10"/>
        <v>149.79999999999998</v>
      </c>
      <c r="AT46" s="3990"/>
      <c r="AU46" s="1615"/>
      <c r="AV46" s="3991"/>
      <c r="AW46" s="4226">
        <f t="shared" si="11"/>
        <v>149.79999999999998</v>
      </c>
      <c r="AX46" s="4224"/>
      <c r="AY46" s="1615">
        <v>0</v>
      </c>
      <c r="AZ46" s="4526"/>
      <c r="BA46" s="4551">
        <f t="shared" si="12"/>
        <v>0</v>
      </c>
      <c r="BB46" s="1854"/>
      <c r="BC46" s="1854">
        <f t="shared" si="13"/>
        <v>0</v>
      </c>
      <c r="BD46" s="4550"/>
      <c r="BE46" s="4550">
        <f t="shared" si="14"/>
        <v>149.79999999999998</v>
      </c>
    </row>
    <row r="47" spans="1:57" x14ac:dyDescent="0.25">
      <c r="B47" s="26" t="s">
        <v>1764</v>
      </c>
      <c r="C47" s="3620" t="s">
        <v>393</v>
      </c>
      <c r="D47" s="3620"/>
      <c r="E47" s="1615"/>
      <c r="F47" s="1615"/>
      <c r="G47" s="1615"/>
      <c r="H47" s="3867"/>
      <c r="I47" s="4226">
        <f t="shared" si="0"/>
        <v>0</v>
      </c>
      <c r="J47" s="3865"/>
      <c r="K47" s="1615"/>
      <c r="L47" s="3866"/>
      <c r="M47" s="4269">
        <f t="shared" si="1"/>
        <v>0</v>
      </c>
      <c r="N47" s="3865"/>
      <c r="O47" s="1615"/>
      <c r="P47" s="3867"/>
      <c r="Q47" s="4226">
        <f t="shared" si="2"/>
        <v>0</v>
      </c>
      <c r="R47" s="3865"/>
      <c r="S47" s="1615"/>
      <c r="T47" s="3867"/>
      <c r="U47" s="4226">
        <f t="shared" si="3"/>
        <v>0</v>
      </c>
      <c r="V47" s="3865"/>
      <c r="W47" s="1615"/>
      <c r="X47" s="3866"/>
      <c r="Y47" s="4269">
        <f t="shared" si="4"/>
        <v>0</v>
      </c>
      <c r="Z47" s="1854"/>
      <c r="AA47" s="1854">
        <f t="shared" si="5"/>
        <v>0</v>
      </c>
      <c r="AB47" s="3865"/>
      <c r="AC47" s="1615"/>
      <c r="AD47" s="3867"/>
      <c r="AE47" s="4226">
        <f t="shared" si="6"/>
        <v>0</v>
      </c>
      <c r="AF47" s="3865"/>
      <c r="AG47" s="1615"/>
      <c r="AH47" s="3867"/>
      <c r="AI47" s="4226">
        <f t="shared" si="7"/>
        <v>0</v>
      </c>
      <c r="AJ47" s="3865"/>
      <c r="AK47" s="1615"/>
      <c r="AL47" s="3866"/>
      <c r="AM47" s="4269">
        <f t="shared" si="8"/>
        <v>0</v>
      </c>
      <c r="AN47" s="3867"/>
      <c r="AO47" s="4226">
        <f t="shared" si="9"/>
        <v>0</v>
      </c>
      <c r="AP47" s="3865"/>
      <c r="AQ47" s="1615">
        <v>7.56</v>
      </c>
      <c r="AR47" s="3867"/>
      <c r="AS47" s="4226">
        <f t="shared" si="10"/>
        <v>7.56</v>
      </c>
      <c r="AT47" s="3990"/>
      <c r="AU47" s="1615"/>
      <c r="AV47" s="3991"/>
      <c r="AW47" s="4226">
        <f t="shared" si="11"/>
        <v>7.56</v>
      </c>
      <c r="AX47" s="4224"/>
      <c r="AY47" s="1615">
        <v>7.35</v>
      </c>
      <c r="AZ47" s="4526"/>
      <c r="BA47" s="4551">
        <f t="shared" si="12"/>
        <v>14.91</v>
      </c>
      <c r="BB47" s="1854"/>
      <c r="BC47" s="1854">
        <f t="shared" si="13"/>
        <v>14.91</v>
      </c>
      <c r="BD47" s="4550"/>
      <c r="BE47" s="4550">
        <f t="shared" si="14"/>
        <v>14.91</v>
      </c>
    </row>
    <row r="48" spans="1:57" x14ac:dyDescent="0.25">
      <c r="B48" s="26" t="s">
        <v>1215</v>
      </c>
      <c r="C48" s="3440" t="s">
        <v>393</v>
      </c>
      <c r="D48" s="3440"/>
      <c r="E48" s="1615">
        <v>26.770000000000003</v>
      </c>
      <c r="F48" s="1615"/>
      <c r="G48" s="1615">
        <v>0</v>
      </c>
      <c r="H48" s="3436"/>
      <c r="I48" s="4226">
        <f t="shared" si="0"/>
        <v>26.770000000000003</v>
      </c>
      <c r="J48" s="3437"/>
      <c r="K48" s="1615">
        <v>0</v>
      </c>
      <c r="L48" s="3435"/>
      <c r="M48" s="4269">
        <f t="shared" si="1"/>
        <v>26.770000000000003</v>
      </c>
      <c r="N48" s="3437"/>
      <c r="O48" s="1615">
        <v>0</v>
      </c>
      <c r="P48" s="3436"/>
      <c r="Q48" s="4226">
        <f t="shared" si="2"/>
        <v>26.770000000000003</v>
      </c>
      <c r="R48" s="3437"/>
      <c r="S48" s="1615">
        <v>0</v>
      </c>
      <c r="T48" s="3436"/>
      <c r="U48" s="4226">
        <f t="shared" si="3"/>
        <v>26.770000000000003</v>
      </c>
      <c r="V48" s="3437"/>
      <c r="W48" s="1615">
        <v>0</v>
      </c>
      <c r="X48" s="3435"/>
      <c r="Y48" s="4269">
        <f t="shared" si="4"/>
        <v>0</v>
      </c>
      <c r="Z48" s="1854"/>
      <c r="AA48" s="1854">
        <f t="shared" si="5"/>
        <v>26.770000000000003</v>
      </c>
      <c r="AB48" s="3437"/>
      <c r="AC48" s="1615">
        <v>0</v>
      </c>
      <c r="AD48" s="3436"/>
      <c r="AE48" s="4226">
        <f t="shared" si="6"/>
        <v>26.770000000000003</v>
      </c>
      <c r="AF48" s="3437"/>
      <c r="AG48" s="1615">
        <v>0</v>
      </c>
      <c r="AH48" s="3436"/>
      <c r="AI48" s="4226">
        <f t="shared" si="7"/>
        <v>26.770000000000003</v>
      </c>
      <c r="AJ48" s="3437"/>
      <c r="AK48" s="1615">
        <v>0</v>
      </c>
      <c r="AL48" s="3435"/>
      <c r="AM48" s="4269">
        <f t="shared" si="8"/>
        <v>0</v>
      </c>
      <c r="AN48" s="3436"/>
      <c r="AO48" s="4226">
        <f t="shared" si="9"/>
        <v>26.770000000000003</v>
      </c>
      <c r="AP48" s="3836"/>
      <c r="AQ48" s="1615"/>
      <c r="AR48" s="3837"/>
      <c r="AS48" s="4226">
        <f t="shared" si="10"/>
        <v>26.770000000000003</v>
      </c>
      <c r="AT48" s="3990"/>
      <c r="AU48" s="1615"/>
      <c r="AV48" s="3991"/>
      <c r="AW48" s="4226">
        <f t="shared" si="11"/>
        <v>26.770000000000003</v>
      </c>
      <c r="AX48" s="4224"/>
      <c r="AY48" s="1615">
        <v>0</v>
      </c>
      <c r="AZ48" s="4526"/>
      <c r="BA48" s="4551">
        <f t="shared" si="12"/>
        <v>0</v>
      </c>
      <c r="BB48" s="1854"/>
      <c r="BC48" s="1854">
        <f t="shared" si="13"/>
        <v>0</v>
      </c>
      <c r="BD48" s="4550"/>
      <c r="BE48" s="4550">
        <f t="shared" si="14"/>
        <v>26.770000000000003</v>
      </c>
    </row>
    <row r="49" spans="2:57" x14ac:dyDescent="0.25">
      <c r="B49" s="26" t="s">
        <v>1307</v>
      </c>
      <c r="C49" s="3440" t="s">
        <v>393</v>
      </c>
      <c r="D49" s="3440"/>
      <c r="E49" s="1615">
        <v>77.73</v>
      </c>
      <c r="F49" s="1615"/>
      <c r="G49" s="1615">
        <v>0</v>
      </c>
      <c r="H49" s="3436"/>
      <c r="I49" s="4226">
        <f t="shared" si="0"/>
        <v>77.73</v>
      </c>
      <c r="J49" s="3437"/>
      <c r="K49" s="1615">
        <v>0</v>
      </c>
      <c r="L49" s="3435"/>
      <c r="M49" s="4269">
        <f t="shared" si="1"/>
        <v>77.73</v>
      </c>
      <c r="N49" s="3437"/>
      <c r="O49" s="1615">
        <v>0</v>
      </c>
      <c r="P49" s="3436"/>
      <c r="Q49" s="4226">
        <f t="shared" si="2"/>
        <v>77.73</v>
      </c>
      <c r="R49" s="3437"/>
      <c r="S49" s="1615">
        <v>0</v>
      </c>
      <c r="T49" s="3436"/>
      <c r="U49" s="4226">
        <f t="shared" si="3"/>
        <v>77.73</v>
      </c>
      <c r="V49" s="3437"/>
      <c r="W49" s="1615">
        <v>29.56</v>
      </c>
      <c r="X49" s="3435"/>
      <c r="Y49" s="4269">
        <f t="shared" si="4"/>
        <v>29.56</v>
      </c>
      <c r="Z49" s="1854"/>
      <c r="AA49" s="1854">
        <f t="shared" si="5"/>
        <v>107.29</v>
      </c>
      <c r="AB49" s="3437"/>
      <c r="AC49" s="1615">
        <v>0</v>
      </c>
      <c r="AD49" s="3436"/>
      <c r="AE49" s="4226">
        <f t="shared" si="6"/>
        <v>107.29</v>
      </c>
      <c r="AF49" s="3437"/>
      <c r="AG49" s="1615">
        <v>0</v>
      </c>
      <c r="AH49" s="3436"/>
      <c r="AI49" s="4226">
        <f t="shared" si="7"/>
        <v>107.29</v>
      </c>
      <c r="AJ49" s="3437"/>
      <c r="AK49" s="1615">
        <v>0</v>
      </c>
      <c r="AL49" s="3435"/>
      <c r="AM49" s="4269">
        <f t="shared" si="8"/>
        <v>0</v>
      </c>
      <c r="AN49" s="3436"/>
      <c r="AO49" s="4226">
        <f t="shared" si="9"/>
        <v>107.29</v>
      </c>
      <c r="AP49" s="3836"/>
      <c r="AQ49" s="1615"/>
      <c r="AR49" s="3837"/>
      <c r="AS49" s="4226">
        <f t="shared" si="10"/>
        <v>107.29</v>
      </c>
      <c r="AT49" s="3990"/>
      <c r="AU49" s="1615"/>
      <c r="AV49" s="3991"/>
      <c r="AW49" s="4226">
        <f t="shared" si="11"/>
        <v>107.29</v>
      </c>
      <c r="AX49" s="4224"/>
      <c r="AY49" s="1615">
        <v>0</v>
      </c>
      <c r="AZ49" s="4526"/>
      <c r="BA49" s="4551">
        <f t="shared" si="12"/>
        <v>0</v>
      </c>
      <c r="BB49" s="1854"/>
      <c r="BC49" s="1854">
        <f t="shared" si="13"/>
        <v>0</v>
      </c>
      <c r="BD49" s="4550"/>
      <c r="BE49" s="4550">
        <f t="shared" si="14"/>
        <v>107.29</v>
      </c>
    </row>
    <row r="50" spans="2:57" x14ac:dyDescent="0.25">
      <c r="B50" s="26" t="s">
        <v>1013</v>
      </c>
      <c r="C50" s="3440" t="s">
        <v>393</v>
      </c>
      <c r="D50" s="3440"/>
      <c r="E50" s="1615">
        <v>306.05999999999995</v>
      </c>
      <c r="F50" s="1615"/>
      <c r="G50" s="238">
        <v>118.38</v>
      </c>
      <c r="H50" s="3436"/>
      <c r="I50" s="4226">
        <f t="shared" si="0"/>
        <v>424.43999999999994</v>
      </c>
      <c r="J50" s="3437"/>
      <c r="K50" s="238">
        <v>58.15</v>
      </c>
      <c r="L50" s="3435"/>
      <c r="M50" s="4269">
        <f t="shared" si="1"/>
        <v>482.58999999999992</v>
      </c>
      <c r="N50" s="3437"/>
      <c r="O50" s="238">
        <v>151.08999999999997</v>
      </c>
      <c r="P50" s="3436"/>
      <c r="Q50" s="4226">
        <f t="shared" si="2"/>
        <v>633.67999999999984</v>
      </c>
      <c r="R50" s="3437"/>
      <c r="S50" s="1615">
        <v>0</v>
      </c>
      <c r="T50" s="3436"/>
      <c r="U50" s="4226">
        <f t="shared" si="3"/>
        <v>633.67999999999984</v>
      </c>
      <c r="V50" s="3437"/>
      <c r="W50" s="1615">
        <v>0</v>
      </c>
      <c r="X50" s="3435"/>
      <c r="Y50" s="4269">
        <f t="shared" si="4"/>
        <v>151.08999999999997</v>
      </c>
      <c r="Z50" s="1854"/>
      <c r="AA50" s="1854">
        <f t="shared" si="5"/>
        <v>633.67999999999984</v>
      </c>
      <c r="AB50" s="3437"/>
      <c r="AC50" s="1615">
        <v>0</v>
      </c>
      <c r="AD50" s="3436"/>
      <c r="AE50" s="4226">
        <f t="shared" si="6"/>
        <v>633.67999999999984</v>
      </c>
      <c r="AF50" s="3437"/>
      <c r="AG50" s="1615">
        <v>0</v>
      </c>
      <c r="AH50" s="3436"/>
      <c r="AI50" s="4226">
        <f t="shared" si="7"/>
        <v>633.67999999999984</v>
      </c>
      <c r="AJ50" s="3437"/>
      <c r="AK50" s="1615">
        <v>0</v>
      </c>
      <c r="AL50" s="3435"/>
      <c r="AM50" s="4269">
        <f t="shared" si="8"/>
        <v>0</v>
      </c>
      <c r="AN50" s="3436"/>
      <c r="AO50" s="4226">
        <f t="shared" si="9"/>
        <v>633.67999999999984</v>
      </c>
      <c r="AP50" s="3836"/>
      <c r="AQ50" s="1615"/>
      <c r="AR50" s="3837"/>
      <c r="AS50" s="4226">
        <f t="shared" si="10"/>
        <v>633.67999999999984</v>
      </c>
      <c r="AT50" s="3990"/>
      <c r="AU50" s="1615"/>
      <c r="AV50" s="3991"/>
      <c r="AW50" s="4226">
        <f t="shared" si="11"/>
        <v>633.67999999999984</v>
      </c>
      <c r="AX50" s="4224"/>
      <c r="AY50" s="1615">
        <v>0</v>
      </c>
      <c r="AZ50" s="4526"/>
      <c r="BA50" s="4551">
        <f t="shared" si="12"/>
        <v>0</v>
      </c>
      <c r="BB50" s="1854"/>
      <c r="BC50" s="1854">
        <f t="shared" si="13"/>
        <v>0</v>
      </c>
      <c r="BD50" s="4550"/>
      <c r="BE50" s="4550">
        <f t="shared" si="14"/>
        <v>633.67999999999984</v>
      </c>
    </row>
    <row r="51" spans="2:57" x14ac:dyDescent="0.25">
      <c r="B51" s="26" t="s">
        <v>1014</v>
      </c>
      <c r="C51" s="3440" t="s">
        <v>393</v>
      </c>
      <c r="D51" s="3440"/>
      <c r="E51" s="1615">
        <v>0</v>
      </c>
      <c r="F51" s="1615"/>
      <c r="G51" s="1615">
        <v>0</v>
      </c>
      <c r="H51" s="3436"/>
      <c r="I51" s="4226">
        <f t="shared" si="0"/>
        <v>0</v>
      </c>
      <c r="J51" s="3437"/>
      <c r="K51" s="1615">
        <v>0</v>
      </c>
      <c r="L51" s="3435"/>
      <c r="M51" s="4269">
        <f t="shared" si="1"/>
        <v>0</v>
      </c>
      <c r="N51" s="3437"/>
      <c r="O51" s="238">
        <v>11.75</v>
      </c>
      <c r="P51" s="3436"/>
      <c r="Q51" s="4226">
        <f t="shared" si="2"/>
        <v>11.75</v>
      </c>
      <c r="R51" s="3437"/>
      <c r="S51" s="1615">
        <v>0</v>
      </c>
      <c r="T51" s="3436"/>
      <c r="U51" s="4226">
        <f t="shared" si="3"/>
        <v>11.75</v>
      </c>
      <c r="V51" s="3437"/>
      <c r="W51" s="1615">
        <v>0</v>
      </c>
      <c r="X51" s="3435"/>
      <c r="Y51" s="4269">
        <f t="shared" si="4"/>
        <v>11.75</v>
      </c>
      <c r="Z51" s="1854"/>
      <c r="AA51" s="1854">
        <f t="shared" si="5"/>
        <v>11.75</v>
      </c>
      <c r="AB51" s="3437"/>
      <c r="AC51" s="1615">
        <v>0</v>
      </c>
      <c r="AD51" s="3436"/>
      <c r="AE51" s="4226">
        <f t="shared" si="6"/>
        <v>11.75</v>
      </c>
      <c r="AF51" s="3437"/>
      <c r="AG51" s="1615">
        <v>95.68</v>
      </c>
      <c r="AH51" s="3436"/>
      <c r="AI51" s="4226">
        <f t="shared" si="7"/>
        <v>107.43</v>
      </c>
      <c r="AJ51" s="3437"/>
      <c r="AK51" s="1615">
        <v>0</v>
      </c>
      <c r="AL51" s="3435"/>
      <c r="AM51" s="4269">
        <f t="shared" si="8"/>
        <v>95.68</v>
      </c>
      <c r="AN51" s="3436"/>
      <c r="AO51" s="4226">
        <f t="shared" si="9"/>
        <v>107.43</v>
      </c>
      <c r="AP51" s="3836"/>
      <c r="AQ51" s="1615"/>
      <c r="AR51" s="3837"/>
      <c r="AS51" s="4226">
        <f t="shared" si="10"/>
        <v>107.43</v>
      </c>
      <c r="AT51" s="3990"/>
      <c r="AU51" s="1615"/>
      <c r="AV51" s="3991"/>
      <c r="AW51" s="4226">
        <f t="shared" si="11"/>
        <v>107.43</v>
      </c>
      <c r="AX51" s="4224"/>
      <c r="AY51" s="1615">
        <v>0</v>
      </c>
      <c r="AZ51" s="4526"/>
      <c r="BA51" s="4551">
        <f t="shared" si="12"/>
        <v>0</v>
      </c>
      <c r="BB51" s="1854"/>
      <c r="BC51" s="1854">
        <f t="shared" si="13"/>
        <v>95.68</v>
      </c>
      <c r="BD51" s="4550"/>
      <c r="BE51" s="4550">
        <f t="shared" si="14"/>
        <v>107.43</v>
      </c>
    </row>
    <row r="52" spans="2:57" s="334" customFormat="1" x14ac:dyDescent="0.25">
      <c r="B52" s="2227" t="s">
        <v>1331</v>
      </c>
      <c r="C52" s="483" t="s">
        <v>393</v>
      </c>
      <c r="D52" s="483"/>
      <c r="E52" s="3628"/>
      <c r="F52" s="3628"/>
      <c r="G52" s="3628"/>
      <c r="H52" s="4525"/>
      <c r="I52" s="4525"/>
      <c r="J52" s="4525"/>
      <c r="K52" s="3628"/>
      <c r="L52" s="4525"/>
      <c r="M52" s="3628"/>
      <c r="N52" s="4525"/>
      <c r="O52" s="3628"/>
      <c r="P52" s="4525"/>
      <c r="Q52" s="4525"/>
      <c r="R52" s="4525"/>
      <c r="S52" s="3628"/>
      <c r="T52" s="4525"/>
      <c r="U52" s="4525"/>
      <c r="V52" s="4525"/>
      <c r="W52" s="3628"/>
      <c r="X52" s="4525"/>
      <c r="Y52" s="3628"/>
      <c r="Z52" s="3628"/>
      <c r="AA52" s="3628"/>
      <c r="AB52" s="4525"/>
      <c r="AC52" s="3628"/>
      <c r="AD52" s="4525"/>
      <c r="AE52" s="4525"/>
      <c r="AF52" s="4525"/>
      <c r="AG52" s="3628"/>
      <c r="AH52" s="4525"/>
      <c r="AI52" s="4525"/>
      <c r="AJ52" s="4525"/>
      <c r="AK52" s="3628"/>
      <c r="AL52" s="4525"/>
      <c r="AM52" s="3628"/>
      <c r="AN52" s="4525"/>
      <c r="AO52" s="4525"/>
      <c r="AP52" s="4525"/>
      <c r="AQ52" s="3628"/>
      <c r="AR52" s="4525"/>
      <c r="AS52" s="4525"/>
      <c r="AT52" s="4525"/>
      <c r="AU52" s="3628"/>
      <c r="AV52" s="4525"/>
      <c r="AW52" s="4525"/>
      <c r="AX52" s="4525"/>
      <c r="AY52" s="3628"/>
      <c r="AZ52" s="4525"/>
      <c r="BA52" s="3628"/>
      <c r="BB52" s="3628"/>
      <c r="BC52" s="3628"/>
      <c r="BD52" s="3628"/>
      <c r="BE52" s="3628"/>
    </row>
    <row r="53" spans="2:57" x14ac:dyDescent="0.25">
      <c r="B53" s="26" t="s">
        <v>1332</v>
      </c>
      <c r="C53" s="3440" t="s">
        <v>393</v>
      </c>
      <c r="D53" s="3440"/>
      <c r="E53" s="3443">
        <v>1.8</v>
      </c>
      <c r="F53" s="3443"/>
      <c r="G53" s="470">
        <v>0</v>
      </c>
      <c r="H53" s="950"/>
      <c r="I53" s="4226">
        <f t="shared" si="0"/>
        <v>1.8</v>
      </c>
      <c r="J53" s="1123"/>
      <c r="K53" s="470">
        <v>0</v>
      </c>
      <c r="L53" s="952"/>
      <c r="M53" s="2422">
        <f t="shared" si="1"/>
        <v>1.8</v>
      </c>
      <c r="N53" s="1123"/>
      <c r="O53" s="470">
        <v>0</v>
      </c>
      <c r="P53" s="950"/>
      <c r="Q53" s="4226">
        <f t="shared" si="2"/>
        <v>1.8</v>
      </c>
      <c r="R53" s="1123"/>
      <c r="S53" s="470">
        <v>0</v>
      </c>
      <c r="T53" s="950"/>
      <c r="U53" s="4226">
        <f t="shared" si="3"/>
        <v>1.8</v>
      </c>
      <c r="V53" s="1123"/>
      <c r="W53" s="470">
        <v>0</v>
      </c>
      <c r="X53" s="952"/>
      <c r="Y53" s="2422">
        <f t="shared" si="4"/>
        <v>0</v>
      </c>
      <c r="Z53" s="1282"/>
      <c r="AA53" s="1282">
        <f t="shared" si="5"/>
        <v>1.8</v>
      </c>
      <c r="AB53" s="1123"/>
      <c r="AC53" s="470">
        <v>0</v>
      </c>
      <c r="AD53" s="950"/>
      <c r="AE53" s="4226">
        <f t="shared" si="6"/>
        <v>1.8</v>
      </c>
      <c r="AF53" s="1123"/>
      <c r="AG53" s="470">
        <v>0</v>
      </c>
      <c r="AH53" s="950"/>
      <c r="AI53" s="4226">
        <f t="shared" si="7"/>
        <v>1.8</v>
      </c>
      <c r="AJ53" s="1123"/>
      <c r="AK53" s="470"/>
      <c r="AL53" s="952"/>
      <c r="AM53" s="2422">
        <f t="shared" si="8"/>
        <v>0</v>
      </c>
      <c r="AN53" s="950"/>
      <c r="AO53" s="4226">
        <f t="shared" si="9"/>
        <v>1.8</v>
      </c>
      <c r="AP53" s="3838"/>
      <c r="AQ53" s="470">
        <v>0</v>
      </c>
      <c r="AR53" s="950"/>
      <c r="AS53" s="4226">
        <f t="shared" si="10"/>
        <v>1.8</v>
      </c>
      <c r="AT53" s="3992"/>
      <c r="AU53" s="470"/>
      <c r="AV53" s="950"/>
      <c r="AW53" s="4226">
        <f t="shared" si="11"/>
        <v>1.8</v>
      </c>
      <c r="AX53" s="4228"/>
      <c r="AY53" s="470">
        <v>0</v>
      </c>
      <c r="AZ53" s="952"/>
      <c r="BA53" s="2422">
        <f t="shared" si="12"/>
        <v>0</v>
      </c>
      <c r="BB53" s="1282"/>
      <c r="BC53" s="1282">
        <f t="shared" si="13"/>
        <v>0</v>
      </c>
      <c r="BD53" s="644"/>
      <c r="BE53" s="644">
        <f t="shared" si="14"/>
        <v>1.8</v>
      </c>
    </row>
    <row r="54" spans="2:57" s="334" customFormat="1" x14ac:dyDescent="0.25">
      <c r="B54" s="2227" t="s">
        <v>845</v>
      </c>
      <c r="C54" s="483"/>
      <c r="D54" s="483"/>
      <c r="E54" s="3628">
        <f>+SUM(E55:E77)</f>
        <v>1669.58</v>
      </c>
      <c r="F54" s="3442"/>
      <c r="G54" s="3628">
        <f>+SUM(G55:G77)</f>
        <v>2776.9999999999995</v>
      </c>
      <c r="H54" s="3436"/>
      <c r="I54" s="4226">
        <f t="shared" si="0"/>
        <v>4446.58</v>
      </c>
      <c r="J54" s="3437"/>
      <c r="K54" s="3628">
        <f>+SUM(K55:K77)</f>
        <v>1939.5600000000004</v>
      </c>
      <c r="L54" s="3435"/>
      <c r="M54" s="2422">
        <f t="shared" si="1"/>
        <v>6386.14</v>
      </c>
      <c r="N54" s="3437"/>
      <c r="O54" s="3628">
        <f>+SUM(O55:O77)</f>
        <v>2953.49</v>
      </c>
      <c r="P54" s="3436"/>
      <c r="Q54" s="4226">
        <f t="shared" si="2"/>
        <v>9339.630000000001</v>
      </c>
      <c r="R54" s="3437"/>
      <c r="S54" s="3628">
        <f>+SUM(S55:S77)</f>
        <v>3845.39</v>
      </c>
      <c r="T54" s="3436"/>
      <c r="U54" s="4226">
        <f t="shared" si="3"/>
        <v>13185.02</v>
      </c>
      <c r="V54" s="3437"/>
      <c r="W54" s="3628">
        <f>+SUM(W55:W77)</f>
        <v>4631.7000000000007</v>
      </c>
      <c r="X54" s="3435"/>
      <c r="Y54" s="2422">
        <f t="shared" si="4"/>
        <v>11430.58</v>
      </c>
      <c r="Z54" s="1282"/>
      <c r="AA54" s="1282">
        <f t="shared" si="5"/>
        <v>17816.72</v>
      </c>
      <c r="AB54" s="3437"/>
      <c r="AC54" s="3628">
        <f>+SUM(AC55:AC77)</f>
        <v>4687.0800000000017</v>
      </c>
      <c r="AD54" s="3436"/>
      <c r="AE54" s="4226">
        <f t="shared" si="6"/>
        <v>22503.800000000003</v>
      </c>
      <c r="AF54" s="3437"/>
      <c r="AG54" s="3628">
        <f>+SUM(AG55:AG77)</f>
        <v>1425.8899999999996</v>
      </c>
      <c r="AH54" s="3436"/>
      <c r="AI54" s="4226">
        <f t="shared" si="7"/>
        <v>23929.690000000002</v>
      </c>
      <c r="AJ54" s="3437"/>
      <c r="AK54" s="3628">
        <f>+SUM(AK55:AK77)</f>
        <v>2557.1799999999998</v>
      </c>
      <c r="AL54" s="3435"/>
      <c r="AM54" s="2422">
        <f t="shared" si="8"/>
        <v>8670.1500000000015</v>
      </c>
      <c r="AN54" s="3436"/>
      <c r="AO54" s="4226">
        <f t="shared" si="9"/>
        <v>26486.870000000003</v>
      </c>
      <c r="AP54" s="3836"/>
      <c r="AQ54" s="3628">
        <f>+SUM(AQ55:AQ77)</f>
        <v>6317.34</v>
      </c>
      <c r="AR54" s="3837"/>
      <c r="AS54" s="4226">
        <f t="shared" si="10"/>
        <v>32804.210000000006</v>
      </c>
      <c r="AT54" s="3990"/>
      <c r="AU54" s="3628">
        <f>+SUM(AU55:AU77)</f>
        <v>2558.6099999999997</v>
      </c>
      <c r="AV54" s="3991"/>
      <c r="AW54" s="4226">
        <f t="shared" si="11"/>
        <v>35362.820000000007</v>
      </c>
      <c r="AX54" s="4224"/>
      <c r="AY54" s="3628">
        <f>+SUM(AY55:AY77)</f>
        <v>4445.7700000000004</v>
      </c>
      <c r="AZ54" s="4526"/>
      <c r="BA54" s="2422">
        <f t="shared" si="12"/>
        <v>13321.720000000001</v>
      </c>
      <c r="BB54" s="1282"/>
      <c r="BC54" s="1282">
        <f t="shared" si="13"/>
        <v>21991.870000000003</v>
      </c>
      <c r="BD54" s="644"/>
      <c r="BE54" s="644">
        <f t="shared" si="14"/>
        <v>39808.590000000004</v>
      </c>
    </row>
    <row r="55" spans="2:57" x14ac:dyDescent="0.25">
      <c r="B55" s="26" t="s">
        <v>1010</v>
      </c>
      <c r="C55" s="3440" t="s">
        <v>393</v>
      </c>
      <c r="D55" s="3440"/>
      <c r="E55" s="1615">
        <v>32.86</v>
      </c>
      <c r="F55" s="1615"/>
      <c r="G55" s="1615">
        <v>0</v>
      </c>
      <c r="H55" s="3436"/>
      <c r="I55" s="4226">
        <f t="shared" si="0"/>
        <v>32.86</v>
      </c>
      <c r="J55" s="3437"/>
      <c r="K55" s="1615">
        <v>0</v>
      </c>
      <c r="L55" s="3435"/>
      <c r="M55" s="4225">
        <f t="shared" si="1"/>
        <v>32.86</v>
      </c>
      <c r="N55" s="3437"/>
      <c r="O55" s="238">
        <v>497.78000000000003</v>
      </c>
      <c r="P55" s="3436"/>
      <c r="Q55" s="4226">
        <f t="shared" si="2"/>
        <v>530.64</v>
      </c>
      <c r="R55" s="3437"/>
      <c r="S55" s="238">
        <v>346.57</v>
      </c>
      <c r="T55" s="3436"/>
      <c r="U55" s="4226">
        <f t="shared" si="3"/>
        <v>877.21</v>
      </c>
      <c r="V55" s="3437"/>
      <c r="W55" s="238">
        <v>3044.3000000000011</v>
      </c>
      <c r="X55" s="3435"/>
      <c r="Y55" s="4225">
        <f t="shared" si="4"/>
        <v>3888.650000000001</v>
      </c>
      <c r="Z55" s="4528"/>
      <c r="AA55" s="4227">
        <f t="shared" si="5"/>
        <v>3921.5100000000011</v>
      </c>
      <c r="AB55" s="3437"/>
      <c r="AC55" s="238">
        <v>3103.7400000000011</v>
      </c>
      <c r="AD55" s="3436"/>
      <c r="AE55" s="4226">
        <f t="shared" si="6"/>
        <v>7025.2500000000018</v>
      </c>
      <c r="AF55" s="3437"/>
      <c r="AG55" s="238">
        <v>0</v>
      </c>
      <c r="AH55" s="3436"/>
      <c r="AI55" s="4226">
        <f t="shared" si="7"/>
        <v>7025.2500000000018</v>
      </c>
      <c r="AJ55" s="3437"/>
      <c r="AK55" s="4555">
        <v>695.08999999999992</v>
      </c>
      <c r="AL55" s="3435"/>
      <c r="AM55" s="4225">
        <f t="shared" si="8"/>
        <v>3798.8300000000008</v>
      </c>
      <c r="AN55" s="3436"/>
      <c r="AO55" s="4226">
        <f t="shared" si="9"/>
        <v>7720.340000000002</v>
      </c>
      <c r="AP55" s="3836"/>
      <c r="AQ55" s="3835">
        <v>4303.22</v>
      </c>
      <c r="AR55" s="3837"/>
      <c r="AS55" s="4226">
        <f t="shared" si="10"/>
        <v>12023.560000000001</v>
      </c>
      <c r="AT55" s="3990"/>
      <c r="AU55" s="3989">
        <v>302.38000000000005</v>
      </c>
      <c r="AV55" s="3991"/>
      <c r="AW55" s="4226">
        <f t="shared" si="11"/>
        <v>12325.94</v>
      </c>
      <c r="AX55" s="4224"/>
      <c r="AY55" s="4223"/>
      <c r="AZ55" s="4526"/>
      <c r="BA55" s="4526">
        <f t="shared" si="12"/>
        <v>4605.6000000000004</v>
      </c>
      <c r="BB55" s="4528"/>
      <c r="BC55" s="4528">
        <f t="shared" si="13"/>
        <v>8404.43</v>
      </c>
      <c r="BD55" s="4527"/>
      <c r="BE55" s="4527">
        <f t="shared" si="14"/>
        <v>12325.940000000002</v>
      </c>
    </row>
    <row r="56" spans="2:57" x14ac:dyDescent="0.25">
      <c r="B56" s="26" t="s">
        <v>821</v>
      </c>
      <c r="C56" s="3440" t="s">
        <v>393</v>
      </c>
      <c r="D56" s="3440"/>
      <c r="E56" s="1615">
        <v>711.85</v>
      </c>
      <c r="F56" s="1615"/>
      <c r="G56" s="238">
        <v>638.16999999999996</v>
      </c>
      <c r="H56" s="3436"/>
      <c r="I56" s="4226">
        <f t="shared" si="0"/>
        <v>1350.02</v>
      </c>
      <c r="J56" s="3437"/>
      <c r="K56" s="238">
        <v>718.06000000000017</v>
      </c>
      <c r="L56" s="3435"/>
      <c r="M56" s="4225">
        <f t="shared" si="1"/>
        <v>2068.08</v>
      </c>
      <c r="N56" s="3437"/>
      <c r="O56" s="238">
        <v>756.13</v>
      </c>
      <c r="P56" s="3436"/>
      <c r="Q56" s="4226">
        <f t="shared" si="2"/>
        <v>2824.21</v>
      </c>
      <c r="R56" s="3437"/>
      <c r="S56" s="238">
        <v>917.84</v>
      </c>
      <c r="T56" s="3436"/>
      <c r="U56" s="4226">
        <f t="shared" si="3"/>
        <v>3742.05</v>
      </c>
      <c r="V56" s="3437"/>
      <c r="W56" s="238">
        <v>794.78000000000009</v>
      </c>
      <c r="X56" s="3435"/>
      <c r="Y56" s="4225">
        <f t="shared" si="4"/>
        <v>2468.75</v>
      </c>
      <c r="Z56" s="4528"/>
      <c r="AA56" s="4227">
        <f t="shared" si="5"/>
        <v>4536.83</v>
      </c>
      <c r="AB56" s="3437"/>
      <c r="AC56" s="238">
        <v>869.53999999999985</v>
      </c>
      <c r="AD56" s="3436"/>
      <c r="AE56" s="4226">
        <f t="shared" si="6"/>
        <v>5406.37</v>
      </c>
      <c r="AF56" s="3437"/>
      <c r="AG56" s="238">
        <v>1008.8699999999999</v>
      </c>
      <c r="AH56" s="3436"/>
      <c r="AI56" s="4226">
        <f t="shared" si="7"/>
        <v>6415.24</v>
      </c>
      <c r="AJ56" s="3437"/>
      <c r="AK56" s="4555">
        <v>958.63</v>
      </c>
      <c r="AL56" s="3435"/>
      <c r="AM56" s="4225">
        <f t="shared" si="8"/>
        <v>2837.04</v>
      </c>
      <c r="AN56" s="3436"/>
      <c r="AO56" s="4226">
        <f t="shared" si="9"/>
        <v>7373.87</v>
      </c>
      <c r="AP56" s="3836"/>
      <c r="AQ56" s="3835">
        <v>1010.2100000000004</v>
      </c>
      <c r="AR56" s="3837"/>
      <c r="AS56" s="4226">
        <f t="shared" si="10"/>
        <v>8384.08</v>
      </c>
      <c r="AT56" s="3990"/>
      <c r="AU56" s="3989">
        <v>931.6099999999999</v>
      </c>
      <c r="AV56" s="3991"/>
      <c r="AW56" s="4226">
        <f t="shared" si="11"/>
        <v>9315.69</v>
      </c>
      <c r="AX56" s="4224"/>
      <c r="AY56" s="4223">
        <v>921.02</v>
      </c>
      <c r="AZ56" s="4526"/>
      <c r="BA56" s="4526">
        <f t="shared" si="12"/>
        <v>2862.84</v>
      </c>
      <c r="BB56" s="4528"/>
      <c r="BC56" s="4528">
        <f t="shared" si="13"/>
        <v>5699.88</v>
      </c>
      <c r="BD56" s="4527"/>
      <c r="BE56" s="4527">
        <f t="shared" si="14"/>
        <v>10236.709999999999</v>
      </c>
    </row>
    <row r="57" spans="2:57" x14ac:dyDescent="0.25">
      <c r="B57" s="26" t="s">
        <v>1110</v>
      </c>
      <c r="C57" s="3440" t="s">
        <v>393</v>
      </c>
      <c r="D57" s="3440"/>
      <c r="E57" s="1615">
        <v>134.88</v>
      </c>
      <c r="F57" s="1615"/>
      <c r="G57" s="238">
        <v>1704.36</v>
      </c>
      <c r="H57" s="3436"/>
      <c r="I57" s="4226">
        <f t="shared" si="0"/>
        <v>1839.2399999999998</v>
      </c>
      <c r="J57" s="3437"/>
      <c r="K57" s="238">
        <v>394.17000000000007</v>
      </c>
      <c r="L57" s="3435"/>
      <c r="M57" s="4225">
        <f t="shared" si="1"/>
        <v>2233.41</v>
      </c>
      <c r="N57" s="3437"/>
      <c r="O57" s="238">
        <v>115.99000000000001</v>
      </c>
      <c r="P57" s="3436"/>
      <c r="Q57" s="4226">
        <f t="shared" si="2"/>
        <v>2349.3999999999996</v>
      </c>
      <c r="R57" s="3437"/>
      <c r="S57" s="238">
        <v>122.1</v>
      </c>
      <c r="T57" s="3436"/>
      <c r="U57" s="4226">
        <f t="shared" si="3"/>
        <v>2471.4999999999995</v>
      </c>
      <c r="V57" s="3437"/>
      <c r="W57" s="238">
        <v>37.089999999999996</v>
      </c>
      <c r="X57" s="3435"/>
      <c r="Y57" s="4225">
        <f t="shared" si="4"/>
        <v>275.18</v>
      </c>
      <c r="Z57" s="4528"/>
      <c r="AA57" s="4227">
        <f t="shared" si="5"/>
        <v>2508.5899999999997</v>
      </c>
      <c r="AB57" s="3437"/>
      <c r="AC57" s="238">
        <v>0</v>
      </c>
      <c r="AD57" s="3436"/>
      <c r="AE57" s="4226">
        <f t="shared" si="6"/>
        <v>2508.5899999999997</v>
      </c>
      <c r="AF57" s="3437"/>
      <c r="AG57" s="238">
        <v>0</v>
      </c>
      <c r="AH57" s="3436"/>
      <c r="AI57" s="4226">
        <f t="shared" si="7"/>
        <v>2508.5899999999997</v>
      </c>
      <c r="AJ57" s="3437"/>
      <c r="AK57" s="4555">
        <v>519.17000000000007</v>
      </c>
      <c r="AL57" s="3435"/>
      <c r="AM57" s="4225">
        <f t="shared" si="8"/>
        <v>519.17000000000007</v>
      </c>
      <c r="AN57" s="3436"/>
      <c r="AO57" s="4226">
        <f t="shared" si="9"/>
        <v>3027.7599999999998</v>
      </c>
      <c r="AP57" s="3836"/>
      <c r="AQ57" s="3835"/>
      <c r="AR57" s="3837"/>
      <c r="AS57" s="4226">
        <f t="shared" si="10"/>
        <v>3027.7599999999998</v>
      </c>
      <c r="AT57" s="3990"/>
      <c r="AU57" s="3989"/>
      <c r="AV57" s="3991"/>
      <c r="AW57" s="4226">
        <f t="shared" si="11"/>
        <v>3027.7599999999998</v>
      </c>
      <c r="AX57" s="4224"/>
      <c r="AY57" s="4223"/>
      <c r="AZ57" s="4526"/>
      <c r="BA57" s="4526">
        <f t="shared" si="12"/>
        <v>0</v>
      </c>
      <c r="BB57" s="4528"/>
      <c r="BC57" s="4528">
        <f t="shared" si="13"/>
        <v>519.17000000000007</v>
      </c>
      <c r="BD57" s="4527"/>
      <c r="BE57" s="4527">
        <f t="shared" si="14"/>
        <v>3027.7599999999998</v>
      </c>
    </row>
    <row r="58" spans="2:57" x14ac:dyDescent="0.25">
      <c r="B58" s="26" t="s">
        <v>846</v>
      </c>
      <c r="C58" s="3440" t="s">
        <v>393</v>
      </c>
      <c r="D58" s="3440"/>
      <c r="E58" s="1615">
        <v>0</v>
      </c>
      <c r="F58" s="1615"/>
      <c r="G58" s="1615">
        <v>0</v>
      </c>
      <c r="H58" s="3436"/>
      <c r="I58" s="4226">
        <f t="shared" si="0"/>
        <v>0</v>
      </c>
      <c r="J58" s="3437"/>
      <c r="K58" s="238">
        <v>37.53</v>
      </c>
      <c r="L58" s="3435"/>
      <c r="M58" s="4225">
        <f t="shared" si="1"/>
        <v>37.53</v>
      </c>
      <c r="N58" s="3437"/>
      <c r="O58" s="238">
        <v>460.48</v>
      </c>
      <c r="P58" s="3436"/>
      <c r="Q58" s="4226">
        <f t="shared" si="2"/>
        <v>498.01</v>
      </c>
      <c r="R58" s="3437"/>
      <c r="S58" s="238">
        <v>513.6</v>
      </c>
      <c r="T58" s="3436"/>
      <c r="U58" s="4226">
        <f t="shared" si="3"/>
        <v>1011.61</v>
      </c>
      <c r="V58" s="3437"/>
      <c r="W58" s="238">
        <v>502.23999999999995</v>
      </c>
      <c r="X58" s="3435"/>
      <c r="Y58" s="4225">
        <f t="shared" si="4"/>
        <v>1476.32</v>
      </c>
      <c r="Z58" s="4528"/>
      <c r="AA58" s="4227">
        <f t="shared" si="5"/>
        <v>1513.85</v>
      </c>
      <c r="AB58" s="3437"/>
      <c r="AC58" s="238">
        <v>266.74</v>
      </c>
      <c r="AD58" s="3436"/>
      <c r="AE58" s="4226">
        <f t="shared" si="6"/>
        <v>1780.59</v>
      </c>
      <c r="AF58" s="3437"/>
      <c r="AG58" s="238">
        <v>189.97999999999996</v>
      </c>
      <c r="AH58" s="3436"/>
      <c r="AI58" s="4226">
        <f t="shared" si="7"/>
        <v>1970.57</v>
      </c>
      <c r="AJ58" s="3437"/>
      <c r="AK58" s="4555">
        <v>0</v>
      </c>
      <c r="AL58" s="3435"/>
      <c r="AM58" s="4225">
        <f t="shared" si="8"/>
        <v>456.71999999999997</v>
      </c>
      <c r="AN58" s="3436"/>
      <c r="AO58" s="4226">
        <f t="shared" si="9"/>
        <v>1970.57</v>
      </c>
      <c r="AP58" s="3836"/>
      <c r="AQ58" s="3835">
        <v>182.75</v>
      </c>
      <c r="AR58" s="3837"/>
      <c r="AS58" s="4226">
        <f t="shared" si="10"/>
        <v>2153.3199999999997</v>
      </c>
      <c r="AT58" s="3990"/>
      <c r="AU58" s="3989">
        <v>384.86</v>
      </c>
      <c r="AV58" s="3991"/>
      <c r="AW58" s="4226">
        <f t="shared" si="11"/>
        <v>2538.1799999999998</v>
      </c>
      <c r="AX58" s="4224"/>
      <c r="AY58" s="4223">
        <v>248.46</v>
      </c>
      <c r="AZ58" s="4526"/>
      <c r="BA58" s="4526">
        <f t="shared" si="12"/>
        <v>816.07</v>
      </c>
      <c r="BB58" s="4528"/>
      <c r="BC58" s="4528">
        <f t="shared" si="13"/>
        <v>1272.79</v>
      </c>
      <c r="BD58" s="4527"/>
      <c r="BE58" s="4527">
        <f t="shared" si="14"/>
        <v>2786.64</v>
      </c>
    </row>
    <row r="59" spans="2:57" x14ac:dyDescent="0.25">
      <c r="B59" s="26" t="s">
        <v>803</v>
      </c>
      <c r="C59" s="3440" t="s">
        <v>393</v>
      </c>
      <c r="D59" s="3440"/>
      <c r="E59" s="1615">
        <v>0</v>
      </c>
      <c r="F59" s="1615"/>
      <c r="G59" s="1615">
        <v>0</v>
      </c>
      <c r="H59" s="3436"/>
      <c r="I59" s="4226">
        <f t="shared" si="0"/>
        <v>0</v>
      </c>
      <c r="J59" s="3437"/>
      <c r="K59" s="238">
        <v>75</v>
      </c>
      <c r="L59" s="3435"/>
      <c r="M59" s="4225">
        <f t="shared" si="1"/>
        <v>75</v>
      </c>
      <c r="N59" s="3437"/>
      <c r="O59" s="238">
        <v>100</v>
      </c>
      <c r="P59" s="3436"/>
      <c r="Q59" s="4226">
        <f t="shared" si="2"/>
        <v>175</v>
      </c>
      <c r="R59" s="3437"/>
      <c r="S59" s="238">
        <v>0</v>
      </c>
      <c r="T59" s="3436"/>
      <c r="U59" s="4226">
        <f t="shared" si="3"/>
        <v>175</v>
      </c>
      <c r="V59" s="3437"/>
      <c r="W59" s="238">
        <v>0</v>
      </c>
      <c r="X59" s="3435"/>
      <c r="Y59" s="4225">
        <f t="shared" si="4"/>
        <v>100</v>
      </c>
      <c r="Z59" s="4528"/>
      <c r="AA59" s="4227">
        <f t="shared" si="5"/>
        <v>175</v>
      </c>
      <c r="AB59" s="3437"/>
      <c r="AC59" s="238">
        <v>0</v>
      </c>
      <c r="AD59" s="3436"/>
      <c r="AE59" s="4226">
        <f t="shared" si="6"/>
        <v>175</v>
      </c>
      <c r="AF59" s="3437"/>
      <c r="AG59" s="238">
        <v>0</v>
      </c>
      <c r="AH59" s="3436"/>
      <c r="AI59" s="4226">
        <f t="shared" si="7"/>
        <v>175</v>
      </c>
      <c r="AJ59" s="3437"/>
      <c r="AK59" s="4555">
        <v>16</v>
      </c>
      <c r="AL59" s="3435"/>
      <c r="AM59" s="4225">
        <f t="shared" si="8"/>
        <v>16</v>
      </c>
      <c r="AN59" s="3436"/>
      <c r="AO59" s="4226">
        <f t="shared" si="9"/>
        <v>191</v>
      </c>
      <c r="AP59" s="3836"/>
      <c r="AQ59" s="3835"/>
      <c r="AR59" s="3837"/>
      <c r="AS59" s="4226">
        <f t="shared" si="10"/>
        <v>191</v>
      </c>
      <c r="AT59" s="3990"/>
      <c r="AU59" s="3989">
        <v>20</v>
      </c>
      <c r="AV59" s="3991"/>
      <c r="AW59" s="4226">
        <f t="shared" si="11"/>
        <v>211</v>
      </c>
      <c r="AX59" s="4224"/>
      <c r="AY59" s="4223"/>
      <c r="AZ59" s="4526"/>
      <c r="BA59" s="4526">
        <f t="shared" si="12"/>
        <v>20</v>
      </c>
      <c r="BB59" s="4528"/>
      <c r="BC59" s="4528">
        <f t="shared" si="13"/>
        <v>36</v>
      </c>
      <c r="BD59" s="4527"/>
      <c r="BE59" s="4527">
        <f t="shared" si="14"/>
        <v>211</v>
      </c>
    </row>
    <row r="60" spans="2:57" x14ac:dyDescent="0.25">
      <c r="B60" s="26" t="s">
        <v>1011</v>
      </c>
      <c r="C60" s="3440" t="s">
        <v>393</v>
      </c>
      <c r="D60" s="3440"/>
      <c r="E60" s="1615">
        <v>0</v>
      </c>
      <c r="F60" s="1615"/>
      <c r="G60" s="1615">
        <v>0</v>
      </c>
      <c r="H60" s="3436"/>
      <c r="I60" s="4226">
        <f t="shared" si="0"/>
        <v>0</v>
      </c>
      <c r="J60" s="3437"/>
      <c r="K60" s="238">
        <v>100</v>
      </c>
      <c r="L60" s="3435"/>
      <c r="M60" s="4269">
        <f t="shared" si="1"/>
        <v>100</v>
      </c>
      <c r="N60" s="3437"/>
      <c r="O60" s="1615">
        <v>0</v>
      </c>
      <c r="P60" s="3436"/>
      <c r="Q60" s="4226">
        <f t="shared" si="2"/>
        <v>100</v>
      </c>
      <c r="R60" s="3437"/>
      <c r="S60" s="1615">
        <v>110</v>
      </c>
      <c r="T60" s="3436"/>
      <c r="U60" s="4226">
        <f t="shared" si="3"/>
        <v>210</v>
      </c>
      <c r="V60" s="3437"/>
      <c r="W60" s="1615">
        <v>0</v>
      </c>
      <c r="X60" s="3435"/>
      <c r="Y60" s="4269">
        <f t="shared" si="4"/>
        <v>110</v>
      </c>
      <c r="Z60" s="1854"/>
      <c r="AA60" s="1854">
        <f t="shared" si="5"/>
        <v>210</v>
      </c>
      <c r="AB60" s="3437"/>
      <c r="AC60" s="1615">
        <v>0</v>
      </c>
      <c r="AD60" s="3436"/>
      <c r="AE60" s="4226">
        <f t="shared" si="6"/>
        <v>210</v>
      </c>
      <c r="AF60" s="3437"/>
      <c r="AG60" s="1615">
        <v>0</v>
      </c>
      <c r="AH60" s="3436"/>
      <c r="AI60" s="4226">
        <f t="shared" si="7"/>
        <v>210</v>
      </c>
      <c r="AJ60" s="3437"/>
      <c r="AK60" s="1615">
        <v>0</v>
      </c>
      <c r="AL60" s="3435"/>
      <c r="AM60" s="4269">
        <f t="shared" si="8"/>
        <v>0</v>
      </c>
      <c r="AN60" s="3436"/>
      <c r="AO60" s="4226">
        <f t="shared" si="9"/>
        <v>210</v>
      </c>
      <c r="AP60" s="3836"/>
      <c r="AQ60" s="1615"/>
      <c r="AR60" s="3837"/>
      <c r="AS60" s="4226">
        <f t="shared" si="10"/>
        <v>210</v>
      </c>
      <c r="AT60" s="3990"/>
      <c r="AU60" s="1615">
        <v>246</v>
      </c>
      <c r="AV60" s="3991"/>
      <c r="AW60" s="4226">
        <f t="shared" si="11"/>
        <v>456</v>
      </c>
      <c r="AX60" s="4224"/>
      <c r="AY60" s="1615"/>
      <c r="AZ60" s="4526"/>
      <c r="BA60" s="4551">
        <f t="shared" si="12"/>
        <v>246</v>
      </c>
      <c r="BB60" s="1854"/>
      <c r="BC60" s="1854">
        <f t="shared" si="13"/>
        <v>246</v>
      </c>
      <c r="BD60" s="4550"/>
      <c r="BE60" s="4550">
        <f t="shared" si="14"/>
        <v>456</v>
      </c>
    </row>
    <row r="61" spans="2:57" x14ac:dyDescent="0.25">
      <c r="B61" s="26" t="s">
        <v>811</v>
      </c>
      <c r="C61" s="3440" t="s">
        <v>393</v>
      </c>
      <c r="D61" s="3440"/>
      <c r="E61" s="1615">
        <v>0</v>
      </c>
      <c r="F61" s="1615"/>
      <c r="G61" s="238">
        <v>78.739999999999995</v>
      </c>
      <c r="H61" s="3436"/>
      <c r="I61" s="4226">
        <f t="shared" si="0"/>
        <v>78.739999999999995</v>
      </c>
      <c r="J61" s="3437"/>
      <c r="K61" s="238">
        <v>79.72</v>
      </c>
      <c r="L61" s="3435"/>
      <c r="M61" s="4269">
        <f t="shared" si="1"/>
        <v>158.45999999999998</v>
      </c>
      <c r="N61" s="3437"/>
      <c r="O61" s="1615">
        <v>0</v>
      </c>
      <c r="P61" s="3436"/>
      <c r="Q61" s="4226">
        <f t="shared" si="2"/>
        <v>158.45999999999998</v>
      </c>
      <c r="R61" s="3437"/>
      <c r="S61" s="1615">
        <v>19.940000000000001</v>
      </c>
      <c r="T61" s="3436"/>
      <c r="U61" s="4226">
        <f t="shared" si="3"/>
        <v>178.39999999999998</v>
      </c>
      <c r="V61" s="3437"/>
      <c r="W61" s="1615">
        <v>24.82</v>
      </c>
      <c r="X61" s="3435"/>
      <c r="Y61" s="4269">
        <f t="shared" si="4"/>
        <v>44.760000000000005</v>
      </c>
      <c r="Z61" s="1854"/>
      <c r="AA61" s="1854">
        <f t="shared" si="5"/>
        <v>203.21999999999997</v>
      </c>
      <c r="AB61" s="3437"/>
      <c r="AC61" s="1615">
        <v>47.059999999999995</v>
      </c>
      <c r="AD61" s="3436"/>
      <c r="AE61" s="4226">
        <f t="shared" si="6"/>
        <v>250.27999999999997</v>
      </c>
      <c r="AF61" s="3437"/>
      <c r="AG61" s="1615">
        <v>2.85</v>
      </c>
      <c r="AH61" s="3436"/>
      <c r="AI61" s="4226">
        <f t="shared" si="7"/>
        <v>253.12999999999997</v>
      </c>
      <c r="AJ61" s="3437"/>
      <c r="AK61" s="1615">
        <v>0</v>
      </c>
      <c r="AL61" s="3435"/>
      <c r="AM61" s="4269">
        <f t="shared" si="8"/>
        <v>49.91</v>
      </c>
      <c r="AN61" s="3436"/>
      <c r="AO61" s="4226">
        <f t="shared" si="9"/>
        <v>253.12999999999997</v>
      </c>
      <c r="AP61" s="3836"/>
      <c r="AQ61" s="1615"/>
      <c r="AR61" s="3837"/>
      <c r="AS61" s="4226">
        <f t="shared" si="10"/>
        <v>253.12999999999997</v>
      </c>
      <c r="AT61" s="3990"/>
      <c r="AU61" s="1615"/>
      <c r="AV61" s="3991"/>
      <c r="AW61" s="4226">
        <f t="shared" si="11"/>
        <v>253.12999999999997</v>
      </c>
      <c r="AX61" s="4224"/>
      <c r="AY61" s="1615"/>
      <c r="AZ61" s="4526"/>
      <c r="BA61" s="4551">
        <f t="shared" si="12"/>
        <v>0</v>
      </c>
      <c r="BB61" s="1854"/>
      <c r="BC61" s="1854">
        <f t="shared" si="13"/>
        <v>49.91</v>
      </c>
      <c r="BD61" s="4550"/>
      <c r="BE61" s="4550">
        <f t="shared" si="14"/>
        <v>253.12999999999997</v>
      </c>
    </row>
    <row r="62" spans="2:57" x14ac:dyDescent="0.25">
      <c r="B62" s="26" t="s">
        <v>1501</v>
      </c>
      <c r="C62" s="3440" t="s">
        <v>393</v>
      </c>
      <c r="D62" s="3440"/>
      <c r="E62" s="1615">
        <v>0</v>
      </c>
      <c r="F62" s="1615"/>
      <c r="G62" s="238">
        <v>0</v>
      </c>
      <c r="H62" s="3436"/>
      <c r="I62" s="4226">
        <f t="shared" si="0"/>
        <v>0</v>
      </c>
      <c r="J62" s="3437"/>
      <c r="K62" s="238">
        <v>0</v>
      </c>
      <c r="L62" s="3435"/>
      <c r="M62" s="4225">
        <f t="shared" si="1"/>
        <v>0</v>
      </c>
      <c r="N62" s="3437"/>
      <c r="O62" s="238">
        <v>0</v>
      </c>
      <c r="P62" s="3436"/>
      <c r="Q62" s="4226">
        <f t="shared" si="2"/>
        <v>0</v>
      </c>
      <c r="R62" s="3437"/>
      <c r="S62" s="238">
        <v>5.98</v>
      </c>
      <c r="T62" s="3436"/>
      <c r="U62" s="4226">
        <f t="shared" si="3"/>
        <v>5.98</v>
      </c>
      <c r="V62" s="3437"/>
      <c r="W62" s="238">
        <v>0</v>
      </c>
      <c r="X62" s="3435"/>
      <c r="Y62" s="4225">
        <f t="shared" si="4"/>
        <v>5.98</v>
      </c>
      <c r="Z62" s="4528"/>
      <c r="AA62" s="4227">
        <f t="shared" si="5"/>
        <v>5.98</v>
      </c>
      <c r="AB62" s="3437"/>
      <c r="AC62" s="238">
        <v>0</v>
      </c>
      <c r="AD62" s="3436"/>
      <c r="AE62" s="4226">
        <f t="shared" si="6"/>
        <v>5.98</v>
      </c>
      <c r="AF62" s="3437"/>
      <c r="AG62" s="238">
        <v>11.56</v>
      </c>
      <c r="AH62" s="3436"/>
      <c r="AI62" s="4226">
        <f t="shared" si="7"/>
        <v>17.54</v>
      </c>
      <c r="AJ62" s="3437"/>
      <c r="AK62" s="4555">
        <v>0</v>
      </c>
      <c r="AL62" s="3435"/>
      <c r="AM62" s="4225">
        <f t="shared" si="8"/>
        <v>11.56</v>
      </c>
      <c r="AN62" s="3436"/>
      <c r="AO62" s="4226">
        <f t="shared" si="9"/>
        <v>17.54</v>
      </c>
      <c r="AP62" s="3836"/>
      <c r="AQ62" s="3835"/>
      <c r="AR62" s="3837"/>
      <c r="AS62" s="4226">
        <f t="shared" si="10"/>
        <v>17.54</v>
      </c>
      <c r="AT62" s="3990"/>
      <c r="AU62" s="3989"/>
      <c r="AV62" s="3991"/>
      <c r="AW62" s="4226">
        <f t="shared" si="11"/>
        <v>17.54</v>
      </c>
      <c r="AX62" s="4224"/>
      <c r="AY62" s="4223"/>
      <c r="AZ62" s="4526"/>
      <c r="BA62" s="4526">
        <f t="shared" si="12"/>
        <v>0</v>
      </c>
      <c r="BB62" s="4528"/>
      <c r="BC62" s="4528">
        <f t="shared" si="13"/>
        <v>11.56</v>
      </c>
      <c r="BD62" s="4527"/>
      <c r="BE62" s="4527">
        <f t="shared" si="14"/>
        <v>17.54</v>
      </c>
    </row>
    <row r="63" spans="2:57" x14ac:dyDescent="0.25">
      <c r="B63" s="26" t="s">
        <v>1312</v>
      </c>
      <c r="C63" s="3440" t="s">
        <v>393</v>
      </c>
      <c r="D63" s="3440"/>
      <c r="E63" s="1615">
        <v>0</v>
      </c>
      <c r="F63" s="1615"/>
      <c r="G63" s="238">
        <v>0</v>
      </c>
      <c r="H63" s="3436"/>
      <c r="I63" s="4226">
        <f t="shared" si="0"/>
        <v>0</v>
      </c>
      <c r="J63" s="3437"/>
      <c r="K63" s="238">
        <v>0</v>
      </c>
      <c r="L63" s="3435"/>
      <c r="M63" s="4225">
        <f t="shared" si="1"/>
        <v>0</v>
      </c>
      <c r="N63" s="3437"/>
      <c r="O63" s="238">
        <v>0</v>
      </c>
      <c r="P63" s="3436"/>
      <c r="Q63" s="4226">
        <f t="shared" si="2"/>
        <v>0</v>
      </c>
      <c r="R63" s="3437"/>
      <c r="S63" s="238">
        <v>4.9800000000000004</v>
      </c>
      <c r="T63" s="3436"/>
      <c r="U63" s="4226">
        <f t="shared" si="3"/>
        <v>4.9800000000000004</v>
      </c>
      <c r="V63" s="3437"/>
      <c r="W63" s="238">
        <v>0</v>
      </c>
      <c r="X63" s="3435"/>
      <c r="Y63" s="4225">
        <f t="shared" si="4"/>
        <v>4.9800000000000004</v>
      </c>
      <c r="Z63" s="4528"/>
      <c r="AA63" s="4227">
        <f t="shared" si="5"/>
        <v>4.9800000000000004</v>
      </c>
      <c r="AB63" s="3437"/>
      <c r="AC63" s="238">
        <v>0</v>
      </c>
      <c r="AD63" s="3436"/>
      <c r="AE63" s="4226">
        <f t="shared" si="6"/>
        <v>4.9800000000000004</v>
      </c>
      <c r="AF63" s="3437"/>
      <c r="AG63" s="238">
        <v>0</v>
      </c>
      <c r="AH63" s="3436"/>
      <c r="AI63" s="4226">
        <f t="shared" si="7"/>
        <v>4.9800000000000004</v>
      </c>
      <c r="AJ63" s="3437"/>
      <c r="AK63" s="4555">
        <v>0</v>
      </c>
      <c r="AL63" s="3435"/>
      <c r="AM63" s="4225">
        <f t="shared" si="8"/>
        <v>0</v>
      </c>
      <c r="AN63" s="3436"/>
      <c r="AO63" s="4226">
        <f t="shared" si="9"/>
        <v>4.9800000000000004</v>
      </c>
      <c r="AP63" s="3836"/>
      <c r="AQ63" s="3835"/>
      <c r="AR63" s="3837"/>
      <c r="AS63" s="4226">
        <f t="shared" si="10"/>
        <v>4.9800000000000004</v>
      </c>
      <c r="AT63" s="3990"/>
      <c r="AU63" s="3989"/>
      <c r="AV63" s="3991"/>
      <c r="AW63" s="4226">
        <f t="shared" si="11"/>
        <v>4.9800000000000004</v>
      </c>
      <c r="AX63" s="4224"/>
      <c r="AY63" s="4223"/>
      <c r="AZ63" s="4526"/>
      <c r="BA63" s="4526">
        <f t="shared" si="12"/>
        <v>0</v>
      </c>
      <c r="BB63" s="4528"/>
      <c r="BC63" s="4528">
        <f t="shared" si="13"/>
        <v>0</v>
      </c>
      <c r="BD63" s="4527"/>
      <c r="BE63" s="4527">
        <f t="shared" si="14"/>
        <v>4.9800000000000004</v>
      </c>
    </row>
    <row r="64" spans="2:57" x14ac:dyDescent="0.25">
      <c r="B64" s="26" t="s">
        <v>1152</v>
      </c>
      <c r="C64" s="3440" t="s">
        <v>393</v>
      </c>
      <c r="D64" s="3440"/>
      <c r="E64" s="1615">
        <v>0</v>
      </c>
      <c r="F64" s="1615"/>
      <c r="G64" s="1615">
        <v>0</v>
      </c>
      <c r="H64" s="3436"/>
      <c r="I64" s="4226">
        <f t="shared" si="0"/>
        <v>0</v>
      </c>
      <c r="J64" s="3437"/>
      <c r="K64" s="1615">
        <v>0</v>
      </c>
      <c r="L64" s="3435"/>
      <c r="M64" s="4225">
        <f t="shared" si="1"/>
        <v>0</v>
      </c>
      <c r="N64" s="3437"/>
      <c r="O64" s="238">
        <v>14.53</v>
      </c>
      <c r="P64" s="3436"/>
      <c r="Q64" s="4226">
        <f t="shared" si="2"/>
        <v>14.53</v>
      </c>
      <c r="R64" s="3437"/>
      <c r="S64" s="238">
        <v>0</v>
      </c>
      <c r="T64" s="3436"/>
      <c r="U64" s="4226">
        <f t="shared" si="3"/>
        <v>14.53</v>
      </c>
      <c r="V64" s="3437"/>
      <c r="W64" s="238">
        <v>0</v>
      </c>
      <c r="X64" s="3435"/>
      <c r="Y64" s="4225">
        <f t="shared" si="4"/>
        <v>14.53</v>
      </c>
      <c r="Z64" s="4528"/>
      <c r="AA64" s="4227">
        <f t="shared" si="5"/>
        <v>14.53</v>
      </c>
      <c r="AB64" s="3437"/>
      <c r="AC64" s="238">
        <v>0</v>
      </c>
      <c r="AD64" s="3436"/>
      <c r="AE64" s="4226">
        <f t="shared" si="6"/>
        <v>14.53</v>
      </c>
      <c r="AF64" s="3437"/>
      <c r="AG64" s="238">
        <v>0</v>
      </c>
      <c r="AH64" s="3436"/>
      <c r="AI64" s="4226">
        <f t="shared" si="7"/>
        <v>14.53</v>
      </c>
      <c r="AJ64" s="3437"/>
      <c r="AK64" s="4555">
        <v>0</v>
      </c>
      <c r="AL64" s="3435"/>
      <c r="AM64" s="4225">
        <f t="shared" si="8"/>
        <v>0</v>
      </c>
      <c r="AN64" s="3436"/>
      <c r="AO64" s="4226">
        <f t="shared" si="9"/>
        <v>14.53</v>
      </c>
      <c r="AP64" s="3836"/>
      <c r="AQ64" s="3835">
        <v>0</v>
      </c>
      <c r="AR64" s="3837"/>
      <c r="AS64" s="4226">
        <f t="shared" si="10"/>
        <v>14.53</v>
      </c>
      <c r="AT64" s="3990"/>
      <c r="AU64" s="3989"/>
      <c r="AV64" s="3991"/>
      <c r="AW64" s="4226">
        <f t="shared" si="11"/>
        <v>14.53</v>
      </c>
      <c r="AX64" s="4224"/>
      <c r="AY64" s="4223">
        <v>9.4</v>
      </c>
      <c r="AZ64" s="4526"/>
      <c r="BA64" s="4526">
        <f t="shared" si="12"/>
        <v>9.4</v>
      </c>
      <c r="BB64" s="4528"/>
      <c r="BC64" s="4528">
        <f t="shared" si="13"/>
        <v>9.4</v>
      </c>
      <c r="BD64" s="4527"/>
      <c r="BE64" s="4527">
        <f t="shared" si="14"/>
        <v>23.93</v>
      </c>
    </row>
    <row r="65" spans="2:57" x14ac:dyDescent="0.25">
      <c r="B65" s="26" t="s">
        <v>804</v>
      </c>
      <c r="C65" s="3440" t="s">
        <v>393</v>
      </c>
      <c r="D65" s="3440"/>
      <c r="E65" s="1615">
        <v>0</v>
      </c>
      <c r="F65" s="1615"/>
      <c r="G65" s="1615">
        <v>0</v>
      </c>
      <c r="H65" s="3436"/>
      <c r="I65" s="4226">
        <f t="shared" si="0"/>
        <v>0</v>
      </c>
      <c r="J65" s="3437"/>
      <c r="K65" s="1615">
        <v>0</v>
      </c>
      <c r="L65" s="3435"/>
      <c r="M65" s="4225">
        <f t="shared" si="1"/>
        <v>0</v>
      </c>
      <c r="N65" s="3437"/>
      <c r="O65" s="238">
        <v>320</v>
      </c>
      <c r="P65" s="3436"/>
      <c r="Q65" s="4226">
        <f t="shared" si="2"/>
        <v>320</v>
      </c>
      <c r="R65" s="3437"/>
      <c r="S65" s="238">
        <v>0</v>
      </c>
      <c r="T65" s="3436"/>
      <c r="U65" s="4226">
        <f t="shared" si="3"/>
        <v>320</v>
      </c>
      <c r="V65" s="3437"/>
      <c r="W65" s="238">
        <v>0</v>
      </c>
      <c r="X65" s="3435"/>
      <c r="Y65" s="4225">
        <f t="shared" si="4"/>
        <v>320</v>
      </c>
      <c r="Z65" s="4528"/>
      <c r="AA65" s="4227">
        <f t="shared" si="5"/>
        <v>320</v>
      </c>
      <c r="AB65" s="3437"/>
      <c r="AC65" s="238">
        <v>220</v>
      </c>
      <c r="AD65" s="3436"/>
      <c r="AE65" s="4226">
        <f t="shared" si="6"/>
        <v>540</v>
      </c>
      <c r="AF65" s="3437"/>
      <c r="AG65" s="238">
        <v>0</v>
      </c>
      <c r="AH65" s="3436"/>
      <c r="AI65" s="4226">
        <f t="shared" si="7"/>
        <v>540</v>
      </c>
      <c r="AJ65" s="3437"/>
      <c r="AK65" s="4555">
        <v>310</v>
      </c>
      <c r="AL65" s="3435"/>
      <c r="AM65" s="4225">
        <f t="shared" si="8"/>
        <v>530</v>
      </c>
      <c r="AN65" s="3436"/>
      <c r="AO65" s="4226">
        <f t="shared" si="9"/>
        <v>850</v>
      </c>
      <c r="AP65" s="3836"/>
      <c r="AQ65" s="3835">
        <v>120</v>
      </c>
      <c r="AR65" s="3837"/>
      <c r="AS65" s="4226">
        <f t="shared" si="10"/>
        <v>970</v>
      </c>
      <c r="AT65" s="3990"/>
      <c r="AU65" s="3989">
        <v>330</v>
      </c>
      <c r="AV65" s="3991"/>
      <c r="AW65" s="4226">
        <f t="shared" si="11"/>
        <v>1300</v>
      </c>
      <c r="AX65" s="4224"/>
      <c r="AY65" s="4223">
        <v>350</v>
      </c>
      <c r="AZ65" s="4526"/>
      <c r="BA65" s="4526">
        <f t="shared" si="12"/>
        <v>800</v>
      </c>
      <c r="BB65" s="4528"/>
      <c r="BC65" s="4528">
        <f t="shared" si="13"/>
        <v>1330</v>
      </c>
      <c r="BD65" s="4527"/>
      <c r="BE65" s="4527">
        <f t="shared" si="14"/>
        <v>1650</v>
      </c>
    </row>
    <row r="66" spans="2:57" x14ac:dyDescent="0.25">
      <c r="B66" s="26" t="s">
        <v>1767</v>
      </c>
      <c r="C66" s="3620" t="s">
        <v>393</v>
      </c>
      <c r="D66" s="3620"/>
      <c r="E66" s="1615"/>
      <c r="F66" s="1615"/>
      <c r="G66" s="1615"/>
      <c r="H66" s="3867"/>
      <c r="I66" s="4226">
        <f t="shared" si="0"/>
        <v>0</v>
      </c>
      <c r="J66" s="3865"/>
      <c r="K66" s="1615"/>
      <c r="L66" s="3866"/>
      <c r="M66" s="4225">
        <f t="shared" si="1"/>
        <v>0</v>
      </c>
      <c r="N66" s="3865"/>
      <c r="O66" s="3864"/>
      <c r="P66" s="3867"/>
      <c r="Q66" s="4226">
        <f t="shared" si="2"/>
        <v>0</v>
      </c>
      <c r="R66" s="3865"/>
      <c r="S66" s="3864"/>
      <c r="T66" s="3867"/>
      <c r="U66" s="4226">
        <f t="shared" si="3"/>
        <v>0</v>
      </c>
      <c r="V66" s="3865"/>
      <c r="W66" s="3864"/>
      <c r="X66" s="3866"/>
      <c r="Y66" s="4225">
        <f t="shared" si="4"/>
        <v>0</v>
      </c>
      <c r="Z66" s="4528"/>
      <c r="AA66" s="4227">
        <f t="shared" si="5"/>
        <v>0</v>
      </c>
      <c r="AB66" s="3865"/>
      <c r="AC66" s="3864"/>
      <c r="AD66" s="3867"/>
      <c r="AE66" s="4226">
        <f t="shared" si="6"/>
        <v>0</v>
      </c>
      <c r="AF66" s="3865"/>
      <c r="AG66" s="3864"/>
      <c r="AH66" s="3867"/>
      <c r="AI66" s="4226">
        <f t="shared" si="7"/>
        <v>0</v>
      </c>
      <c r="AJ66" s="3865"/>
      <c r="AK66" s="4555"/>
      <c r="AL66" s="3866"/>
      <c r="AM66" s="4225">
        <f t="shared" si="8"/>
        <v>0</v>
      </c>
      <c r="AN66" s="3867"/>
      <c r="AO66" s="4226">
        <f t="shared" si="9"/>
        <v>0</v>
      </c>
      <c r="AP66" s="3865"/>
      <c r="AQ66" s="3864">
        <v>24.53</v>
      </c>
      <c r="AR66" s="3867"/>
      <c r="AS66" s="4226">
        <f t="shared" si="10"/>
        <v>24.53</v>
      </c>
      <c r="AT66" s="3990"/>
      <c r="AU66" s="3989"/>
      <c r="AV66" s="3991"/>
      <c r="AW66" s="4226">
        <f t="shared" si="11"/>
        <v>24.53</v>
      </c>
      <c r="AX66" s="4224"/>
      <c r="AY66" s="4223"/>
      <c r="AZ66" s="4526"/>
      <c r="BA66" s="4526">
        <f t="shared" si="12"/>
        <v>24.53</v>
      </c>
      <c r="BB66" s="4528"/>
      <c r="BC66" s="4528">
        <f t="shared" si="13"/>
        <v>24.53</v>
      </c>
      <c r="BD66" s="4527"/>
      <c r="BE66" s="4527">
        <f t="shared" si="14"/>
        <v>24.53</v>
      </c>
    </row>
    <row r="67" spans="2:57" x14ac:dyDescent="0.25">
      <c r="B67" s="26" t="s">
        <v>1766</v>
      </c>
      <c r="C67" s="3620" t="s">
        <v>393</v>
      </c>
      <c r="D67" s="3620"/>
      <c r="E67" s="1615"/>
      <c r="F67" s="1615"/>
      <c r="G67" s="1615"/>
      <c r="H67" s="3867"/>
      <c r="I67" s="4226">
        <f t="shared" si="0"/>
        <v>0</v>
      </c>
      <c r="J67" s="3865"/>
      <c r="K67" s="1615"/>
      <c r="L67" s="3866"/>
      <c r="M67" s="4225">
        <f t="shared" si="1"/>
        <v>0</v>
      </c>
      <c r="N67" s="3865"/>
      <c r="O67" s="3864"/>
      <c r="P67" s="3867"/>
      <c r="Q67" s="4226">
        <f t="shared" si="2"/>
        <v>0</v>
      </c>
      <c r="R67" s="3865"/>
      <c r="S67" s="3864"/>
      <c r="T67" s="3867"/>
      <c r="U67" s="4226">
        <f t="shared" si="3"/>
        <v>0</v>
      </c>
      <c r="V67" s="3865"/>
      <c r="W67" s="3864"/>
      <c r="X67" s="3866"/>
      <c r="Y67" s="4225">
        <f t="shared" si="4"/>
        <v>0</v>
      </c>
      <c r="Z67" s="4528"/>
      <c r="AA67" s="4227">
        <f t="shared" si="5"/>
        <v>0</v>
      </c>
      <c r="AB67" s="3865"/>
      <c r="AC67" s="3864"/>
      <c r="AD67" s="3867"/>
      <c r="AE67" s="4226">
        <f t="shared" si="6"/>
        <v>0</v>
      </c>
      <c r="AF67" s="3865"/>
      <c r="AG67" s="3864"/>
      <c r="AH67" s="3867"/>
      <c r="AI67" s="4226">
        <f t="shared" si="7"/>
        <v>0</v>
      </c>
      <c r="AJ67" s="3865"/>
      <c r="AK67" s="4555"/>
      <c r="AL67" s="3866"/>
      <c r="AM67" s="4225">
        <f t="shared" si="8"/>
        <v>0</v>
      </c>
      <c r="AN67" s="3867"/>
      <c r="AO67" s="4226">
        <f t="shared" si="9"/>
        <v>0</v>
      </c>
      <c r="AP67" s="3865"/>
      <c r="AQ67" s="3864">
        <v>649</v>
      </c>
      <c r="AR67" s="3867"/>
      <c r="AS67" s="4226">
        <f t="shared" si="10"/>
        <v>649</v>
      </c>
      <c r="AT67" s="3990"/>
      <c r="AU67" s="3989"/>
      <c r="AV67" s="3991"/>
      <c r="AW67" s="4226">
        <f t="shared" si="11"/>
        <v>649</v>
      </c>
      <c r="AX67" s="4224"/>
      <c r="AY67" s="4223">
        <v>418</v>
      </c>
      <c r="AZ67" s="4526"/>
      <c r="BA67" s="4526">
        <f t="shared" si="12"/>
        <v>1067</v>
      </c>
      <c r="BB67" s="4528"/>
      <c r="BC67" s="4528">
        <f t="shared" si="13"/>
        <v>1067</v>
      </c>
      <c r="BD67" s="4527"/>
      <c r="BE67" s="4527">
        <f t="shared" si="14"/>
        <v>1067</v>
      </c>
    </row>
    <row r="68" spans="2:57" x14ac:dyDescent="0.25">
      <c r="B68" s="26" t="s">
        <v>1765</v>
      </c>
      <c r="C68" s="3440" t="s">
        <v>393</v>
      </c>
      <c r="D68" s="3440"/>
      <c r="E68" s="1615">
        <v>29.96</v>
      </c>
      <c r="F68" s="1615"/>
      <c r="G68" s="1615">
        <v>0</v>
      </c>
      <c r="H68" s="3436"/>
      <c r="I68" s="4226">
        <f t="shared" si="0"/>
        <v>29.96</v>
      </c>
      <c r="J68" s="3437"/>
      <c r="K68" s="1615">
        <v>0</v>
      </c>
      <c r="L68" s="3435"/>
      <c r="M68" s="4269">
        <f t="shared" si="1"/>
        <v>29.96</v>
      </c>
      <c r="N68" s="3437"/>
      <c r="O68" s="1615">
        <v>0</v>
      </c>
      <c r="P68" s="3436"/>
      <c r="Q68" s="4226">
        <f t="shared" si="2"/>
        <v>29.96</v>
      </c>
      <c r="R68" s="3437"/>
      <c r="S68" s="1615">
        <v>0</v>
      </c>
      <c r="T68" s="3436"/>
      <c r="U68" s="4226">
        <f t="shared" si="3"/>
        <v>29.96</v>
      </c>
      <c r="V68" s="3437"/>
      <c r="W68" s="1615">
        <v>0</v>
      </c>
      <c r="X68" s="3435"/>
      <c r="Y68" s="4269">
        <f t="shared" si="4"/>
        <v>0</v>
      </c>
      <c r="Z68" s="1854"/>
      <c r="AA68" s="1854">
        <f t="shared" si="5"/>
        <v>29.96</v>
      </c>
      <c r="AB68" s="3437"/>
      <c r="AC68" s="1615">
        <v>0</v>
      </c>
      <c r="AD68" s="3436"/>
      <c r="AE68" s="4226">
        <f t="shared" si="6"/>
        <v>29.96</v>
      </c>
      <c r="AF68" s="3437"/>
      <c r="AG68" s="1615">
        <v>0</v>
      </c>
      <c r="AH68" s="3436"/>
      <c r="AI68" s="4226">
        <f t="shared" si="7"/>
        <v>29.96</v>
      </c>
      <c r="AJ68" s="3437"/>
      <c r="AK68" s="1615">
        <v>0</v>
      </c>
      <c r="AL68" s="3435"/>
      <c r="AM68" s="4269">
        <f t="shared" si="8"/>
        <v>0</v>
      </c>
      <c r="AN68" s="3436"/>
      <c r="AO68" s="4226">
        <f t="shared" si="9"/>
        <v>29.96</v>
      </c>
      <c r="AP68" s="3836"/>
      <c r="AQ68" s="1615"/>
      <c r="AR68" s="3837"/>
      <c r="AS68" s="4226">
        <f t="shared" si="10"/>
        <v>29.96</v>
      </c>
      <c r="AT68" s="3990"/>
      <c r="AU68" s="1615"/>
      <c r="AV68" s="3991"/>
      <c r="AW68" s="4226">
        <f t="shared" si="11"/>
        <v>29.96</v>
      </c>
      <c r="AX68" s="4224"/>
      <c r="AY68" s="1615"/>
      <c r="AZ68" s="4526"/>
      <c r="BA68" s="4551">
        <f t="shared" si="12"/>
        <v>0</v>
      </c>
      <c r="BB68" s="1854"/>
      <c r="BC68" s="1854">
        <f t="shared" si="13"/>
        <v>0</v>
      </c>
      <c r="BD68" s="4550"/>
      <c r="BE68" s="4550">
        <f t="shared" si="14"/>
        <v>29.96</v>
      </c>
    </row>
    <row r="69" spans="2:57" x14ac:dyDescent="0.25">
      <c r="B69" s="26" t="s">
        <v>1723</v>
      </c>
      <c r="C69" s="3448" t="s">
        <v>393</v>
      </c>
      <c r="D69" s="3448"/>
      <c r="E69" s="1615"/>
      <c r="F69" s="1615"/>
      <c r="G69" s="1615"/>
      <c r="H69" s="3446"/>
      <c r="I69" s="4226">
        <f t="shared" si="0"/>
        <v>0</v>
      </c>
      <c r="J69" s="3445"/>
      <c r="K69" s="1615"/>
      <c r="L69" s="3447"/>
      <c r="M69" s="4269">
        <f t="shared" si="1"/>
        <v>0</v>
      </c>
      <c r="N69" s="3445"/>
      <c r="O69" s="1615"/>
      <c r="P69" s="3446"/>
      <c r="Q69" s="4226">
        <f t="shared" si="2"/>
        <v>0</v>
      </c>
      <c r="R69" s="3445"/>
      <c r="S69" s="1615"/>
      <c r="T69" s="3446"/>
      <c r="U69" s="4226">
        <f t="shared" si="3"/>
        <v>0</v>
      </c>
      <c r="V69" s="3445"/>
      <c r="W69" s="1615"/>
      <c r="X69" s="3447"/>
      <c r="Y69" s="4269">
        <f t="shared" si="4"/>
        <v>0</v>
      </c>
      <c r="Z69" s="1854"/>
      <c r="AA69" s="1854">
        <f t="shared" si="5"/>
        <v>0</v>
      </c>
      <c r="AB69" s="3445"/>
      <c r="AC69" s="1615"/>
      <c r="AD69" s="3446"/>
      <c r="AE69" s="4226">
        <f t="shared" si="6"/>
        <v>0</v>
      </c>
      <c r="AF69" s="3445"/>
      <c r="AG69" s="1615"/>
      <c r="AH69" s="3446"/>
      <c r="AI69" s="4226">
        <f t="shared" si="7"/>
        <v>0</v>
      </c>
      <c r="AJ69" s="3445"/>
      <c r="AK69" s="1615">
        <v>23.560000000000002</v>
      </c>
      <c r="AL69" s="3447"/>
      <c r="AM69" s="4269">
        <f t="shared" si="8"/>
        <v>23.560000000000002</v>
      </c>
      <c r="AN69" s="3446"/>
      <c r="AO69" s="4226">
        <f t="shared" si="9"/>
        <v>23.560000000000002</v>
      </c>
      <c r="AP69" s="3836"/>
      <c r="AQ69" s="1615">
        <v>13.45</v>
      </c>
      <c r="AR69" s="3837"/>
      <c r="AS69" s="4226">
        <f t="shared" si="10"/>
        <v>37.010000000000005</v>
      </c>
      <c r="AT69" s="3990"/>
      <c r="AU69" s="1615">
        <v>2.4300000000000002</v>
      </c>
      <c r="AV69" s="3991"/>
      <c r="AW69" s="4226">
        <f t="shared" si="11"/>
        <v>39.440000000000005</v>
      </c>
      <c r="AX69" s="4224"/>
      <c r="AY69" s="1615">
        <v>27.97</v>
      </c>
      <c r="AZ69" s="4526"/>
      <c r="BA69" s="4551">
        <f t="shared" si="12"/>
        <v>43.849999999999994</v>
      </c>
      <c r="BB69" s="1854"/>
      <c r="BC69" s="1854">
        <f t="shared" si="13"/>
        <v>67.41</v>
      </c>
      <c r="BD69" s="4550"/>
      <c r="BE69" s="4550">
        <f t="shared" si="14"/>
        <v>67.41</v>
      </c>
    </row>
    <row r="70" spans="2:57" x14ac:dyDescent="0.25">
      <c r="B70" s="26" t="s">
        <v>812</v>
      </c>
      <c r="C70" s="3440" t="s">
        <v>393</v>
      </c>
      <c r="D70" s="3440"/>
      <c r="E70" s="1615">
        <v>0</v>
      </c>
      <c r="F70" s="1615"/>
      <c r="G70" s="1615">
        <v>0</v>
      </c>
      <c r="H70" s="3436"/>
      <c r="I70" s="4226">
        <f t="shared" si="0"/>
        <v>0</v>
      </c>
      <c r="J70" s="3437"/>
      <c r="K70" s="1615">
        <v>0</v>
      </c>
      <c r="L70" s="3435"/>
      <c r="M70" s="4225">
        <f t="shared" si="1"/>
        <v>0</v>
      </c>
      <c r="N70" s="3437"/>
      <c r="O70" s="238">
        <v>33.619999999999997</v>
      </c>
      <c r="P70" s="3436"/>
      <c r="Q70" s="4226">
        <f t="shared" si="2"/>
        <v>33.619999999999997</v>
      </c>
      <c r="R70" s="3437"/>
      <c r="S70" s="238">
        <v>19.66</v>
      </c>
      <c r="T70" s="3436"/>
      <c r="U70" s="4226">
        <f t="shared" si="3"/>
        <v>53.28</v>
      </c>
      <c r="V70" s="3437"/>
      <c r="W70" s="238">
        <v>14.95</v>
      </c>
      <c r="X70" s="3435"/>
      <c r="Y70" s="4225">
        <f t="shared" si="4"/>
        <v>68.23</v>
      </c>
      <c r="Z70" s="4528"/>
      <c r="AA70" s="4227">
        <f t="shared" si="5"/>
        <v>68.23</v>
      </c>
      <c r="AB70" s="3437"/>
      <c r="AC70" s="238">
        <v>0</v>
      </c>
      <c r="AD70" s="3436"/>
      <c r="AE70" s="4226">
        <f t="shared" si="6"/>
        <v>68.23</v>
      </c>
      <c r="AF70" s="3437"/>
      <c r="AG70" s="238">
        <v>4.78</v>
      </c>
      <c r="AH70" s="3436"/>
      <c r="AI70" s="4226">
        <f t="shared" si="7"/>
        <v>73.010000000000005</v>
      </c>
      <c r="AJ70" s="3437"/>
      <c r="AK70" s="4555">
        <v>14.75</v>
      </c>
      <c r="AL70" s="3435"/>
      <c r="AM70" s="4225">
        <f t="shared" si="8"/>
        <v>19.53</v>
      </c>
      <c r="AN70" s="3436"/>
      <c r="AO70" s="4226">
        <f t="shared" si="9"/>
        <v>87.76</v>
      </c>
      <c r="AP70" s="3836"/>
      <c r="AQ70" s="3835">
        <v>14.18</v>
      </c>
      <c r="AR70" s="3837"/>
      <c r="AS70" s="4226">
        <f t="shared" si="10"/>
        <v>101.94</v>
      </c>
      <c r="AT70" s="3990"/>
      <c r="AU70" s="3989"/>
      <c r="AV70" s="3991"/>
      <c r="AW70" s="4226">
        <f t="shared" si="11"/>
        <v>101.94</v>
      </c>
      <c r="AX70" s="4224"/>
      <c r="AY70" s="4223"/>
      <c r="AZ70" s="4526"/>
      <c r="BA70" s="4526">
        <f t="shared" si="12"/>
        <v>14.18</v>
      </c>
      <c r="BB70" s="4528"/>
      <c r="BC70" s="4528">
        <f t="shared" si="13"/>
        <v>33.71</v>
      </c>
      <c r="BD70" s="4527"/>
      <c r="BE70" s="4527">
        <f t="shared" si="14"/>
        <v>101.94</v>
      </c>
    </row>
    <row r="71" spans="2:57" x14ac:dyDescent="0.25">
      <c r="B71" s="26" t="s">
        <v>1817</v>
      </c>
      <c r="C71" s="3620" t="s">
        <v>393</v>
      </c>
      <c r="D71" s="3620"/>
      <c r="E71" s="1615"/>
      <c r="F71" s="1615"/>
      <c r="G71" s="1615"/>
      <c r="H71" s="4030"/>
      <c r="I71" s="4226">
        <f t="shared" si="0"/>
        <v>0</v>
      </c>
      <c r="J71" s="4029"/>
      <c r="K71" s="1615"/>
      <c r="L71" s="4031"/>
      <c r="M71" s="4225">
        <f t="shared" si="1"/>
        <v>0</v>
      </c>
      <c r="N71" s="4029"/>
      <c r="O71" s="4028"/>
      <c r="P71" s="4030"/>
      <c r="Q71" s="4226">
        <f t="shared" si="2"/>
        <v>0</v>
      </c>
      <c r="R71" s="4029"/>
      <c r="S71" s="4028"/>
      <c r="T71" s="4030"/>
      <c r="U71" s="4226">
        <f t="shared" si="3"/>
        <v>0</v>
      </c>
      <c r="V71" s="4029"/>
      <c r="W71" s="4028"/>
      <c r="X71" s="4031"/>
      <c r="Y71" s="4225">
        <f t="shared" si="4"/>
        <v>0</v>
      </c>
      <c r="Z71" s="4528"/>
      <c r="AA71" s="4227">
        <f t="shared" si="5"/>
        <v>0</v>
      </c>
      <c r="AB71" s="4029"/>
      <c r="AC71" s="4028"/>
      <c r="AD71" s="4030"/>
      <c r="AE71" s="4226">
        <f t="shared" si="6"/>
        <v>0</v>
      </c>
      <c r="AF71" s="4029"/>
      <c r="AG71" s="4028"/>
      <c r="AH71" s="4030"/>
      <c r="AI71" s="4226">
        <f t="shared" si="7"/>
        <v>0</v>
      </c>
      <c r="AJ71" s="4029"/>
      <c r="AK71" s="4555"/>
      <c r="AL71" s="4031"/>
      <c r="AM71" s="4225">
        <f t="shared" si="8"/>
        <v>0</v>
      </c>
      <c r="AN71" s="4030"/>
      <c r="AO71" s="4226">
        <f t="shared" si="9"/>
        <v>0</v>
      </c>
      <c r="AP71" s="4029"/>
      <c r="AQ71" s="4028"/>
      <c r="AR71" s="4030"/>
      <c r="AS71" s="4226">
        <f t="shared" si="10"/>
        <v>0</v>
      </c>
      <c r="AT71" s="4029"/>
      <c r="AU71" s="4028">
        <v>110</v>
      </c>
      <c r="AV71" s="4030"/>
      <c r="AW71" s="4226">
        <f t="shared" si="11"/>
        <v>110</v>
      </c>
      <c r="AX71" s="4224"/>
      <c r="AY71" s="4223"/>
      <c r="AZ71" s="4526"/>
      <c r="BA71" s="4526">
        <f t="shared" si="12"/>
        <v>110</v>
      </c>
      <c r="BB71" s="4528"/>
      <c r="BC71" s="4528">
        <f t="shared" si="13"/>
        <v>110</v>
      </c>
      <c r="BD71" s="4527"/>
      <c r="BE71" s="4527">
        <f t="shared" si="14"/>
        <v>110</v>
      </c>
    </row>
    <row r="72" spans="2:57" x14ac:dyDescent="0.25">
      <c r="B72" s="26" t="s">
        <v>1100</v>
      </c>
      <c r="C72" s="3440" t="s">
        <v>393</v>
      </c>
      <c r="D72" s="3440"/>
      <c r="E72" s="1615">
        <v>0</v>
      </c>
      <c r="F72" s="1615"/>
      <c r="G72" s="1615">
        <v>0</v>
      </c>
      <c r="H72" s="3436"/>
      <c r="I72" s="4226">
        <f t="shared" si="0"/>
        <v>0</v>
      </c>
      <c r="J72" s="3437"/>
      <c r="K72" s="238">
        <v>100</v>
      </c>
      <c r="L72" s="3435"/>
      <c r="M72" s="4269">
        <f t="shared" si="1"/>
        <v>100</v>
      </c>
      <c r="N72" s="3437"/>
      <c r="O72" s="1615">
        <v>0</v>
      </c>
      <c r="P72" s="3436"/>
      <c r="Q72" s="4226">
        <f t="shared" si="2"/>
        <v>100</v>
      </c>
      <c r="R72" s="3437"/>
      <c r="S72" s="1615">
        <v>0</v>
      </c>
      <c r="T72" s="3436"/>
      <c r="U72" s="4226">
        <f t="shared" si="3"/>
        <v>100</v>
      </c>
      <c r="V72" s="3437"/>
      <c r="W72" s="1615">
        <v>0</v>
      </c>
      <c r="X72" s="3435"/>
      <c r="Y72" s="4269">
        <f t="shared" si="4"/>
        <v>0</v>
      </c>
      <c r="Z72" s="1854"/>
      <c r="AA72" s="1854">
        <f t="shared" si="5"/>
        <v>100</v>
      </c>
      <c r="AB72" s="3437"/>
      <c r="AC72" s="1615">
        <v>0</v>
      </c>
      <c r="AD72" s="3436"/>
      <c r="AE72" s="4226">
        <f t="shared" si="6"/>
        <v>100</v>
      </c>
      <c r="AF72" s="3437"/>
      <c r="AG72" s="1615">
        <v>200</v>
      </c>
      <c r="AH72" s="3436"/>
      <c r="AI72" s="4226">
        <f t="shared" si="7"/>
        <v>300</v>
      </c>
      <c r="AJ72" s="3437"/>
      <c r="AK72" s="1615">
        <v>0</v>
      </c>
      <c r="AL72" s="3435"/>
      <c r="AM72" s="4269">
        <f t="shared" si="8"/>
        <v>200</v>
      </c>
      <c r="AN72" s="3436"/>
      <c r="AO72" s="4226">
        <f t="shared" si="9"/>
        <v>300</v>
      </c>
      <c r="AP72" s="3836"/>
      <c r="AQ72" s="1615"/>
      <c r="AR72" s="3837"/>
      <c r="AS72" s="4226">
        <f t="shared" si="10"/>
        <v>300</v>
      </c>
      <c r="AT72" s="3990"/>
      <c r="AU72" s="1615"/>
      <c r="AV72" s="3991"/>
      <c r="AW72" s="4226">
        <f t="shared" si="11"/>
        <v>300</v>
      </c>
      <c r="AX72" s="4224"/>
      <c r="AY72" s="1615"/>
      <c r="AZ72" s="4526"/>
      <c r="BA72" s="4551">
        <f t="shared" ref="BA72:BA135" si="63">+AQ72+AU72+AY72</f>
        <v>0</v>
      </c>
      <c r="BB72" s="1854"/>
      <c r="BC72" s="1854">
        <f t="shared" ref="BC72:BC135" si="64">+BA72+AM72</f>
        <v>200</v>
      </c>
      <c r="BD72" s="4550"/>
      <c r="BE72" s="4550">
        <f t="shared" ref="BE72:BE135" si="65">+BC72+AA72</f>
        <v>300</v>
      </c>
    </row>
    <row r="73" spans="2:57" x14ac:dyDescent="0.25">
      <c r="B73" s="26" t="s">
        <v>805</v>
      </c>
      <c r="C73" s="3440" t="s">
        <v>393</v>
      </c>
      <c r="D73" s="3440"/>
      <c r="E73" s="1615">
        <v>35.54</v>
      </c>
      <c r="F73" s="1615"/>
      <c r="G73" s="238">
        <v>4.42</v>
      </c>
      <c r="H73" s="3436"/>
      <c r="I73" s="4226">
        <f t="shared" si="0"/>
        <v>39.96</v>
      </c>
      <c r="J73" s="3437"/>
      <c r="K73" s="1615">
        <v>0</v>
      </c>
      <c r="L73" s="3435"/>
      <c r="M73" s="4269">
        <f t="shared" si="1"/>
        <v>39.96</v>
      </c>
      <c r="N73" s="3437"/>
      <c r="O73" s="1615">
        <v>0</v>
      </c>
      <c r="P73" s="3436"/>
      <c r="Q73" s="4226">
        <f t="shared" si="2"/>
        <v>39.96</v>
      </c>
      <c r="R73" s="3437"/>
      <c r="S73" s="1615">
        <v>9.6</v>
      </c>
      <c r="T73" s="3436"/>
      <c r="U73" s="4226">
        <f t="shared" si="3"/>
        <v>49.56</v>
      </c>
      <c r="V73" s="3437"/>
      <c r="W73" s="1615">
        <v>0</v>
      </c>
      <c r="X73" s="3435"/>
      <c r="Y73" s="4269">
        <f t="shared" si="4"/>
        <v>9.6</v>
      </c>
      <c r="Z73" s="1854"/>
      <c r="AA73" s="1854">
        <f t="shared" si="5"/>
        <v>49.56</v>
      </c>
      <c r="AB73" s="3437"/>
      <c r="AC73" s="1615">
        <v>0</v>
      </c>
      <c r="AD73" s="3436"/>
      <c r="AE73" s="4226">
        <f t="shared" si="6"/>
        <v>49.56</v>
      </c>
      <c r="AF73" s="3437"/>
      <c r="AG73" s="1615">
        <v>7.85</v>
      </c>
      <c r="AH73" s="3436"/>
      <c r="AI73" s="4226">
        <f t="shared" si="7"/>
        <v>57.410000000000004</v>
      </c>
      <c r="AJ73" s="3437"/>
      <c r="AK73" s="1615">
        <v>19.98</v>
      </c>
      <c r="AL73" s="3435"/>
      <c r="AM73" s="4269">
        <f t="shared" si="8"/>
        <v>27.83</v>
      </c>
      <c r="AN73" s="3436"/>
      <c r="AO73" s="4226">
        <f t="shared" si="9"/>
        <v>77.39</v>
      </c>
      <c r="AP73" s="3836"/>
      <c r="AQ73" s="1615"/>
      <c r="AR73" s="3837"/>
      <c r="AS73" s="4226">
        <f t="shared" si="10"/>
        <v>77.39</v>
      </c>
      <c r="AT73" s="3990"/>
      <c r="AU73" s="1615">
        <v>29.84</v>
      </c>
      <c r="AV73" s="3991"/>
      <c r="AW73" s="4226">
        <f t="shared" si="11"/>
        <v>107.23</v>
      </c>
      <c r="AX73" s="4224"/>
      <c r="AY73" s="1615"/>
      <c r="AZ73" s="4526"/>
      <c r="BA73" s="4551">
        <f t="shared" si="63"/>
        <v>29.84</v>
      </c>
      <c r="BB73" s="1854"/>
      <c r="BC73" s="1854">
        <f t="shared" si="64"/>
        <v>57.67</v>
      </c>
      <c r="BD73" s="4550"/>
      <c r="BE73" s="4550">
        <f t="shared" si="65"/>
        <v>107.23</v>
      </c>
    </row>
    <row r="74" spans="2:57" x14ac:dyDescent="0.25">
      <c r="B74" s="26" t="s">
        <v>1500</v>
      </c>
      <c r="C74" s="3440" t="s">
        <v>393</v>
      </c>
      <c r="D74" s="3440"/>
      <c r="E74" s="1615">
        <v>0</v>
      </c>
      <c r="F74" s="1615"/>
      <c r="G74" s="238">
        <v>0</v>
      </c>
      <c r="H74" s="3436"/>
      <c r="I74" s="4226">
        <f t="shared" ref="I74:I144" si="66">+E74+G74</f>
        <v>0</v>
      </c>
      <c r="J74" s="3437"/>
      <c r="K74" s="238">
        <v>0</v>
      </c>
      <c r="L74" s="3435"/>
      <c r="M74" s="4225">
        <f t="shared" ref="M74:M144" si="67">+E74+G74+K74</f>
        <v>0</v>
      </c>
      <c r="N74" s="3437"/>
      <c r="O74" s="238">
        <v>0</v>
      </c>
      <c r="P74" s="3436"/>
      <c r="Q74" s="4226">
        <f t="shared" ref="Q74:Q144" si="68">+M74+O74</f>
        <v>0</v>
      </c>
      <c r="R74" s="3437"/>
      <c r="S74" s="238">
        <v>245</v>
      </c>
      <c r="T74" s="3436"/>
      <c r="U74" s="4226">
        <f t="shared" ref="U74:U144" si="69">+Q74+S74</f>
        <v>245</v>
      </c>
      <c r="V74" s="3437"/>
      <c r="W74" s="238">
        <v>0</v>
      </c>
      <c r="X74" s="3435"/>
      <c r="Y74" s="4225">
        <f t="shared" ref="Y74:Y144" si="70">+O74+S74+W74</f>
        <v>245</v>
      </c>
      <c r="Z74" s="4528"/>
      <c r="AA74" s="4227">
        <f t="shared" ref="AA74:AA144" si="71">+U74+W74</f>
        <v>245</v>
      </c>
      <c r="AB74" s="3437"/>
      <c r="AC74" s="238">
        <v>0</v>
      </c>
      <c r="AD74" s="3436"/>
      <c r="AE74" s="4226">
        <f t="shared" ref="AE74:AE144" si="72">+AA74+AC74</f>
        <v>245</v>
      </c>
      <c r="AF74" s="3437"/>
      <c r="AG74" s="238">
        <v>0</v>
      </c>
      <c r="AH74" s="3436"/>
      <c r="AI74" s="4226">
        <f t="shared" ref="AI74:AI144" si="73">+AE74+AG74</f>
        <v>245</v>
      </c>
      <c r="AJ74" s="3437"/>
      <c r="AK74" s="4555">
        <v>0</v>
      </c>
      <c r="AL74" s="3435"/>
      <c r="AM74" s="4225">
        <f t="shared" ref="AM74:AM144" si="74">+AC74+AG74+AK74</f>
        <v>0</v>
      </c>
      <c r="AN74" s="3436"/>
      <c r="AO74" s="4226">
        <f t="shared" ref="AO74:AO144" si="75">+AI74+AK74</f>
        <v>245</v>
      </c>
      <c r="AP74" s="3836"/>
      <c r="AQ74" s="3835"/>
      <c r="AR74" s="3837"/>
      <c r="AS74" s="4226">
        <f t="shared" ref="AS74:AS144" si="76">+AO74+AQ74</f>
        <v>245</v>
      </c>
      <c r="AT74" s="3990"/>
      <c r="AU74" s="3989"/>
      <c r="AV74" s="3991"/>
      <c r="AW74" s="4226">
        <f t="shared" ref="AW74:AW144" si="77">+AS74+AU74</f>
        <v>245</v>
      </c>
      <c r="AX74" s="4224"/>
      <c r="AY74" s="4223"/>
      <c r="AZ74" s="4526"/>
      <c r="BA74" s="4526">
        <f t="shared" si="63"/>
        <v>0</v>
      </c>
      <c r="BB74" s="4528"/>
      <c r="BC74" s="4528">
        <f t="shared" si="64"/>
        <v>0</v>
      </c>
      <c r="BD74" s="4527"/>
      <c r="BE74" s="4527">
        <f t="shared" si="65"/>
        <v>245</v>
      </c>
    </row>
    <row r="75" spans="2:57" x14ac:dyDescent="0.25">
      <c r="B75" s="26" t="s">
        <v>1818</v>
      </c>
      <c r="C75" s="3620" t="s">
        <v>393</v>
      </c>
      <c r="D75" s="3620"/>
      <c r="E75" s="1615"/>
      <c r="F75" s="1615"/>
      <c r="G75" s="4028"/>
      <c r="H75" s="4030"/>
      <c r="I75" s="4226">
        <f t="shared" si="66"/>
        <v>0</v>
      </c>
      <c r="J75" s="4029"/>
      <c r="K75" s="4028"/>
      <c r="L75" s="4031"/>
      <c r="M75" s="4225">
        <f t="shared" si="67"/>
        <v>0</v>
      </c>
      <c r="N75" s="4029"/>
      <c r="O75" s="4028"/>
      <c r="P75" s="4030"/>
      <c r="Q75" s="4226">
        <f t="shared" si="68"/>
        <v>0</v>
      </c>
      <c r="R75" s="4029"/>
      <c r="S75" s="4028"/>
      <c r="T75" s="4030"/>
      <c r="U75" s="4226">
        <f t="shared" si="69"/>
        <v>0</v>
      </c>
      <c r="V75" s="4029"/>
      <c r="W75" s="4028"/>
      <c r="X75" s="4031"/>
      <c r="Y75" s="4225">
        <f t="shared" si="70"/>
        <v>0</v>
      </c>
      <c r="Z75" s="4528"/>
      <c r="AA75" s="4227">
        <f t="shared" si="71"/>
        <v>0</v>
      </c>
      <c r="AB75" s="4029"/>
      <c r="AC75" s="4028"/>
      <c r="AD75" s="4030"/>
      <c r="AE75" s="4226">
        <f t="shared" si="72"/>
        <v>0</v>
      </c>
      <c r="AF75" s="4029"/>
      <c r="AG75" s="4028"/>
      <c r="AH75" s="4030"/>
      <c r="AI75" s="4226">
        <f t="shared" si="73"/>
        <v>0</v>
      </c>
      <c r="AJ75" s="4029"/>
      <c r="AK75" s="4555"/>
      <c r="AL75" s="4031"/>
      <c r="AM75" s="4225">
        <f t="shared" si="74"/>
        <v>0</v>
      </c>
      <c r="AN75" s="4030"/>
      <c r="AO75" s="4226">
        <f t="shared" si="75"/>
        <v>0</v>
      </c>
      <c r="AP75" s="4029"/>
      <c r="AQ75" s="4028"/>
      <c r="AR75" s="4030"/>
      <c r="AS75" s="4226">
        <f t="shared" si="76"/>
        <v>0</v>
      </c>
      <c r="AT75" s="4029"/>
      <c r="AU75" s="4028">
        <v>2.79</v>
      </c>
      <c r="AV75" s="4030"/>
      <c r="AW75" s="4226">
        <f t="shared" si="77"/>
        <v>2.79</v>
      </c>
      <c r="AX75" s="4224"/>
      <c r="AY75" s="4223">
        <v>4.04</v>
      </c>
      <c r="AZ75" s="4526"/>
      <c r="BA75" s="4526">
        <f t="shared" si="63"/>
        <v>6.83</v>
      </c>
      <c r="BB75" s="4528"/>
      <c r="BC75" s="4528">
        <f t="shared" si="64"/>
        <v>6.83</v>
      </c>
      <c r="BD75" s="4527"/>
      <c r="BE75" s="4527">
        <f t="shared" si="65"/>
        <v>6.83</v>
      </c>
    </row>
    <row r="76" spans="2:57" x14ac:dyDescent="0.25">
      <c r="B76" s="26" t="s">
        <v>1658</v>
      </c>
      <c r="C76" s="3440" t="s">
        <v>393</v>
      </c>
      <c r="D76" s="3440"/>
      <c r="E76" s="1615"/>
      <c r="F76" s="1615"/>
      <c r="G76" s="238"/>
      <c r="H76" s="3436"/>
      <c r="I76" s="4226">
        <f t="shared" si="66"/>
        <v>0</v>
      </c>
      <c r="J76" s="3437"/>
      <c r="K76" s="238"/>
      <c r="L76" s="3435"/>
      <c r="M76" s="4225">
        <f t="shared" si="67"/>
        <v>0</v>
      </c>
      <c r="N76" s="3437"/>
      <c r="O76" s="238"/>
      <c r="P76" s="3436"/>
      <c r="Q76" s="4226">
        <f t="shared" si="68"/>
        <v>0</v>
      </c>
      <c r="R76" s="3437"/>
      <c r="S76" s="238"/>
      <c r="T76" s="3436"/>
      <c r="U76" s="4226">
        <f t="shared" si="69"/>
        <v>0</v>
      </c>
      <c r="V76" s="3437"/>
      <c r="W76" s="238"/>
      <c r="X76" s="3435"/>
      <c r="Y76" s="4225">
        <f t="shared" si="70"/>
        <v>0</v>
      </c>
      <c r="Z76" s="4528"/>
      <c r="AA76" s="4227">
        <f t="shared" si="71"/>
        <v>0</v>
      </c>
      <c r="AB76" s="3437"/>
      <c r="AC76" s="238">
        <v>180</v>
      </c>
      <c r="AD76" s="3436"/>
      <c r="AE76" s="4226">
        <f t="shared" si="72"/>
        <v>180</v>
      </c>
      <c r="AF76" s="3437"/>
      <c r="AG76" s="238">
        <v>0</v>
      </c>
      <c r="AH76" s="3436"/>
      <c r="AI76" s="4226">
        <f t="shared" si="73"/>
        <v>180</v>
      </c>
      <c r="AJ76" s="3437"/>
      <c r="AK76" s="4555">
        <v>0</v>
      </c>
      <c r="AL76" s="3435"/>
      <c r="AM76" s="4225">
        <f t="shared" si="74"/>
        <v>180</v>
      </c>
      <c r="AN76" s="3436"/>
      <c r="AO76" s="4226">
        <f t="shared" si="75"/>
        <v>180</v>
      </c>
      <c r="AP76" s="3836"/>
      <c r="AQ76" s="3835"/>
      <c r="AR76" s="3837"/>
      <c r="AS76" s="4226">
        <f t="shared" si="76"/>
        <v>180</v>
      </c>
      <c r="AT76" s="3990"/>
      <c r="AU76" s="3989"/>
      <c r="AV76" s="3991"/>
      <c r="AW76" s="4226">
        <f t="shared" si="77"/>
        <v>180</v>
      </c>
      <c r="AX76" s="4224"/>
      <c r="AY76" s="4223"/>
      <c r="AZ76" s="4526"/>
      <c r="BA76" s="4526">
        <f t="shared" si="63"/>
        <v>0</v>
      </c>
      <c r="BB76" s="4528"/>
      <c r="BC76" s="4528">
        <f t="shared" si="64"/>
        <v>180</v>
      </c>
      <c r="BD76" s="4527"/>
      <c r="BE76" s="4527">
        <f t="shared" si="65"/>
        <v>180</v>
      </c>
    </row>
    <row r="77" spans="2:57" x14ac:dyDescent="0.25">
      <c r="B77" s="26" t="s">
        <v>806</v>
      </c>
      <c r="C77" s="3440" t="s">
        <v>393</v>
      </c>
      <c r="D77" s="3440"/>
      <c r="E77" s="1615">
        <v>724.49</v>
      </c>
      <c r="F77" s="1615"/>
      <c r="G77" s="238">
        <v>351.31</v>
      </c>
      <c r="H77" s="3436"/>
      <c r="I77" s="4226">
        <f t="shared" si="66"/>
        <v>1075.8</v>
      </c>
      <c r="J77" s="3437"/>
      <c r="K77" s="238">
        <v>435.08000000000004</v>
      </c>
      <c r="L77" s="3435"/>
      <c r="M77" s="4225">
        <f t="shared" si="67"/>
        <v>1510.88</v>
      </c>
      <c r="N77" s="3437"/>
      <c r="O77" s="238">
        <v>654.96</v>
      </c>
      <c r="P77" s="3436"/>
      <c r="Q77" s="4226">
        <f t="shared" si="68"/>
        <v>2165.84</v>
      </c>
      <c r="R77" s="3437"/>
      <c r="S77" s="238">
        <v>1530.12</v>
      </c>
      <c r="T77" s="3436"/>
      <c r="U77" s="4226">
        <f t="shared" si="69"/>
        <v>3695.96</v>
      </c>
      <c r="V77" s="3437"/>
      <c r="W77" s="238">
        <v>213.51999999999998</v>
      </c>
      <c r="X77" s="3435"/>
      <c r="Y77" s="4225">
        <f t="shared" si="70"/>
        <v>2398.6</v>
      </c>
      <c r="Z77" s="4528"/>
      <c r="AA77" s="4227">
        <f t="shared" si="71"/>
        <v>3909.48</v>
      </c>
      <c r="AB77" s="3437"/>
      <c r="AC77" s="238">
        <v>0</v>
      </c>
      <c r="AD77" s="3436"/>
      <c r="AE77" s="4226">
        <f t="shared" si="72"/>
        <v>3909.48</v>
      </c>
      <c r="AF77" s="3437"/>
      <c r="AG77" s="238">
        <v>0</v>
      </c>
      <c r="AH77" s="3436"/>
      <c r="AI77" s="4226">
        <f t="shared" si="73"/>
        <v>3909.48</v>
      </c>
      <c r="AJ77" s="3437"/>
      <c r="AK77" s="4555">
        <v>0</v>
      </c>
      <c r="AL77" s="3435"/>
      <c r="AM77" s="4225">
        <f t="shared" si="74"/>
        <v>0</v>
      </c>
      <c r="AN77" s="3436"/>
      <c r="AO77" s="4226">
        <f t="shared" si="75"/>
        <v>3909.48</v>
      </c>
      <c r="AP77" s="3836"/>
      <c r="AQ77" s="3835"/>
      <c r="AR77" s="3837"/>
      <c r="AS77" s="4226">
        <f t="shared" si="76"/>
        <v>3909.48</v>
      </c>
      <c r="AT77" s="3990"/>
      <c r="AU77" s="3989">
        <v>198.7</v>
      </c>
      <c r="AV77" s="3991"/>
      <c r="AW77" s="4226">
        <f t="shared" si="77"/>
        <v>4108.18</v>
      </c>
      <c r="AX77" s="4224"/>
      <c r="AY77" s="4223">
        <v>2466.88</v>
      </c>
      <c r="AZ77" s="4526"/>
      <c r="BA77" s="4526">
        <f t="shared" si="63"/>
        <v>2665.58</v>
      </c>
      <c r="BB77" s="4528"/>
      <c r="BC77" s="4528">
        <f t="shared" si="64"/>
        <v>2665.58</v>
      </c>
      <c r="BD77" s="4527"/>
      <c r="BE77" s="4527">
        <f t="shared" si="65"/>
        <v>6575.0599999999995</v>
      </c>
    </row>
    <row r="78" spans="2:57" s="334" customFormat="1" ht="18.75" x14ac:dyDescent="0.25">
      <c r="B78" s="2227" t="s">
        <v>1399</v>
      </c>
      <c r="C78" s="483" t="s">
        <v>393</v>
      </c>
      <c r="D78" s="483"/>
      <c r="E78" s="1730">
        <f>+E79+E80</f>
        <v>2848.37</v>
      </c>
      <c r="F78" s="1730"/>
      <c r="G78" s="1730">
        <f>+G79+G80</f>
        <v>4721.7700000000004</v>
      </c>
      <c r="H78" s="3436"/>
      <c r="I78" s="4226">
        <f t="shared" si="66"/>
        <v>7570.14</v>
      </c>
      <c r="J78" s="3437"/>
      <c r="K78" s="1730">
        <f>+K79+K80</f>
        <v>1038.3599999999999</v>
      </c>
      <c r="L78" s="3435"/>
      <c r="M78" s="1832">
        <f t="shared" si="67"/>
        <v>8608.5</v>
      </c>
      <c r="N78" s="3437"/>
      <c r="O78" s="1730">
        <f>+O79+O80</f>
        <v>1060.74</v>
      </c>
      <c r="P78" s="3436"/>
      <c r="Q78" s="4226">
        <f t="shared" si="68"/>
        <v>9669.24</v>
      </c>
      <c r="R78" s="3437"/>
      <c r="S78" s="1730">
        <f>+S79+S80</f>
        <v>997.9</v>
      </c>
      <c r="T78" s="3436"/>
      <c r="U78" s="4226">
        <f t="shared" si="69"/>
        <v>10667.14</v>
      </c>
      <c r="V78" s="3437"/>
      <c r="W78" s="1730">
        <f>+W79+W80</f>
        <v>2037.1499999999999</v>
      </c>
      <c r="X78" s="3435"/>
      <c r="Y78" s="1832">
        <f t="shared" si="70"/>
        <v>4095.79</v>
      </c>
      <c r="Z78" s="1833"/>
      <c r="AA78" s="1833">
        <f t="shared" si="71"/>
        <v>12704.289999999999</v>
      </c>
      <c r="AB78" s="3437"/>
      <c r="AC78" s="1730">
        <f>+AC79+AC80</f>
        <v>1997.2599999999995</v>
      </c>
      <c r="AD78" s="3436"/>
      <c r="AE78" s="4226">
        <f t="shared" si="72"/>
        <v>14701.55</v>
      </c>
      <c r="AF78" s="3437"/>
      <c r="AG78" s="1730">
        <f>+AG79+AG80</f>
        <v>1498.0199999999998</v>
      </c>
      <c r="AH78" s="3436"/>
      <c r="AI78" s="4226">
        <f t="shared" si="73"/>
        <v>16199.57</v>
      </c>
      <c r="AJ78" s="3437"/>
      <c r="AK78" s="1730">
        <f>+AK79+AK80</f>
        <v>0</v>
      </c>
      <c r="AL78" s="3435"/>
      <c r="AM78" s="1832">
        <f t="shared" si="74"/>
        <v>3495.2799999999993</v>
      </c>
      <c r="AN78" s="3436"/>
      <c r="AO78" s="4226">
        <f t="shared" si="75"/>
        <v>16199.57</v>
      </c>
      <c r="AP78" s="3836"/>
      <c r="AQ78" s="1730">
        <f>+AQ79+AQ80</f>
        <v>1493.8999999999999</v>
      </c>
      <c r="AR78" s="3837"/>
      <c r="AS78" s="4226">
        <f t="shared" si="76"/>
        <v>17693.47</v>
      </c>
      <c r="AT78" s="3990"/>
      <c r="AU78" s="1730">
        <f>+AU79+AU80</f>
        <v>999.38999999999976</v>
      </c>
      <c r="AV78" s="3991"/>
      <c r="AW78" s="4226">
        <f t="shared" si="77"/>
        <v>18692.86</v>
      </c>
      <c r="AX78" s="4224"/>
      <c r="AY78" s="1730">
        <f>+AY79+AY80</f>
        <v>1796.38</v>
      </c>
      <c r="AZ78" s="4526"/>
      <c r="BA78" s="1832">
        <f t="shared" si="63"/>
        <v>4289.67</v>
      </c>
      <c r="BB78" s="1833"/>
      <c r="BC78" s="1833">
        <f t="shared" si="64"/>
        <v>7784.9499999999989</v>
      </c>
      <c r="BD78" s="1831"/>
      <c r="BE78" s="1831">
        <f t="shared" si="65"/>
        <v>20489.239999999998</v>
      </c>
    </row>
    <row r="79" spans="2:57" s="334" customFormat="1" ht="20.25" x14ac:dyDescent="0.25">
      <c r="B79" s="2228" t="s">
        <v>24</v>
      </c>
      <c r="C79" s="483" t="s">
        <v>393</v>
      </c>
      <c r="D79" s="483"/>
      <c r="E79" s="1614">
        <v>1975.02</v>
      </c>
      <c r="F79" s="1614"/>
      <c r="G79" s="3437">
        <v>1977.08</v>
      </c>
      <c r="H79" s="3436"/>
      <c r="I79" s="4226">
        <f t="shared" si="66"/>
        <v>3952.1</v>
      </c>
      <c r="J79" s="3437"/>
      <c r="K79" s="238">
        <v>0</v>
      </c>
      <c r="L79" s="3435"/>
      <c r="M79" s="4225">
        <f t="shared" si="67"/>
        <v>3952.1</v>
      </c>
      <c r="N79" s="3437"/>
      <c r="O79" s="238">
        <v>0</v>
      </c>
      <c r="P79" s="3436"/>
      <c r="Q79" s="4226">
        <f t="shared" si="68"/>
        <v>3952.1</v>
      </c>
      <c r="R79" s="3437"/>
      <c r="S79" s="238">
        <v>0</v>
      </c>
      <c r="T79" s="3436"/>
      <c r="U79" s="4226">
        <f t="shared" si="69"/>
        <v>3952.1</v>
      </c>
      <c r="V79" s="3437"/>
      <c r="W79" s="238">
        <v>0</v>
      </c>
      <c r="X79" s="3435"/>
      <c r="Y79" s="4225">
        <f t="shared" si="70"/>
        <v>0</v>
      </c>
      <c r="Z79" s="4528"/>
      <c r="AA79" s="4227">
        <f t="shared" si="71"/>
        <v>3952.1</v>
      </c>
      <c r="AB79" s="3437"/>
      <c r="AC79" s="238">
        <v>0</v>
      </c>
      <c r="AD79" s="3436"/>
      <c r="AE79" s="4226">
        <f t="shared" si="72"/>
        <v>3952.1</v>
      </c>
      <c r="AF79" s="3437"/>
      <c r="AG79" s="238">
        <v>0</v>
      </c>
      <c r="AH79" s="3436"/>
      <c r="AI79" s="4226">
        <f t="shared" si="73"/>
        <v>3952.1</v>
      </c>
      <c r="AJ79" s="3437"/>
      <c r="AK79" s="4555">
        <v>0</v>
      </c>
      <c r="AL79" s="3435"/>
      <c r="AM79" s="4225">
        <f t="shared" si="74"/>
        <v>0</v>
      </c>
      <c r="AN79" s="3436"/>
      <c r="AO79" s="4226">
        <f t="shared" si="75"/>
        <v>3952.1</v>
      </c>
      <c r="AP79" s="3836"/>
      <c r="AQ79" s="3835">
        <v>0</v>
      </c>
      <c r="AR79" s="3837"/>
      <c r="AS79" s="4226">
        <f t="shared" si="76"/>
        <v>3952.1</v>
      </c>
      <c r="AT79" s="3990"/>
      <c r="AU79" s="3989"/>
      <c r="AV79" s="3991"/>
      <c r="AW79" s="4226">
        <f t="shared" si="77"/>
        <v>3952.1</v>
      </c>
      <c r="AX79" s="4224"/>
      <c r="AY79" s="4223">
        <v>0</v>
      </c>
      <c r="AZ79" s="4526"/>
      <c r="BA79" s="4526">
        <f t="shared" si="63"/>
        <v>0</v>
      </c>
      <c r="BB79" s="4528"/>
      <c r="BC79" s="4528">
        <f t="shared" si="64"/>
        <v>0</v>
      </c>
      <c r="BD79" s="4527"/>
      <c r="BE79" s="4527">
        <f t="shared" si="65"/>
        <v>3952.1</v>
      </c>
    </row>
    <row r="80" spans="2:57" s="334" customFormat="1" ht="20.25" x14ac:dyDescent="0.25">
      <c r="B80" s="2228" t="s">
        <v>25</v>
      </c>
      <c r="C80" s="483" t="s">
        <v>393</v>
      </c>
      <c r="D80" s="483"/>
      <c r="E80" s="1614">
        <v>873.35</v>
      </c>
      <c r="F80" s="1614"/>
      <c r="G80" s="3437">
        <v>2744.69</v>
      </c>
      <c r="H80" s="3436"/>
      <c r="I80" s="4226">
        <f t="shared" si="66"/>
        <v>3618.04</v>
      </c>
      <c r="J80" s="3437"/>
      <c r="K80" s="238">
        <v>1038.3599999999999</v>
      </c>
      <c r="L80" s="3435"/>
      <c r="M80" s="4225">
        <f t="shared" si="67"/>
        <v>4656.3999999999996</v>
      </c>
      <c r="N80" s="3437"/>
      <c r="O80" s="238">
        <v>1060.74</v>
      </c>
      <c r="P80" s="3436"/>
      <c r="Q80" s="4226">
        <f t="shared" si="68"/>
        <v>5717.1399999999994</v>
      </c>
      <c r="R80" s="3437"/>
      <c r="S80" s="238">
        <v>997.9</v>
      </c>
      <c r="T80" s="3436"/>
      <c r="U80" s="4226">
        <f t="shared" si="69"/>
        <v>6715.0399999999991</v>
      </c>
      <c r="V80" s="3437"/>
      <c r="W80" s="238">
        <v>2037.1499999999999</v>
      </c>
      <c r="X80" s="3435"/>
      <c r="Y80" s="4225">
        <f t="shared" si="70"/>
        <v>4095.79</v>
      </c>
      <c r="Z80" s="4528"/>
      <c r="AA80" s="4227">
        <f t="shared" si="71"/>
        <v>8752.1899999999987</v>
      </c>
      <c r="AB80" s="3437"/>
      <c r="AC80" s="238">
        <v>1997.2599999999995</v>
      </c>
      <c r="AD80" s="3436"/>
      <c r="AE80" s="4226">
        <f t="shared" si="72"/>
        <v>10749.449999999999</v>
      </c>
      <c r="AF80" s="3437"/>
      <c r="AG80" s="238">
        <v>1498.0199999999998</v>
      </c>
      <c r="AH80" s="3436"/>
      <c r="AI80" s="4226">
        <f t="shared" si="73"/>
        <v>12247.47</v>
      </c>
      <c r="AJ80" s="3437"/>
      <c r="AK80" s="4555">
        <v>0</v>
      </c>
      <c r="AL80" s="3435"/>
      <c r="AM80" s="4225">
        <f t="shared" si="74"/>
        <v>3495.2799999999993</v>
      </c>
      <c r="AN80" s="3436"/>
      <c r="AO80" s="4226">
        <f t="shared" si="75"/>
        <v>12247.47</v>
      </c>
      <c r="AP80" s="3836"/>
      <c r="AQ80" s="3835">
        <v>1493.8999999999999</v>
      </c>
      <c r="AR80" s="3837"/>
      <c r="AS80" s="4226">
        <f t="shared" si="76"/>
        <v>13741.369999999999</v>
      </c>
      <c r="AT80" s="3990"/>
      <c r="AU80" s="3989">
        <v>999.38999999999976</v>
      </c>
      <c r="AV80" s="3991"/>
      <c r="AW80" s="4226">
        <f t="shared" si="77"/>
        <v>14740.759999999998</v>
      </c>
      <c r="AX80" s="4224"/>
      <c r="AY80" s="4223">
        <v>1796.38</v>
      </c>
      <c r="AZ80" s="4526"/>
      <c r="BA80" s="4526">
        <f t="shared" si="63"/>
        <v>4289.67</v>
      </c>
      <c r="BB80" s="4528"/>
      <c r="BC80" s="4528">
        <f t="shared" si="64"/>
        <v>7784.9499999999989</v>
      </c>
      <c r="BD80" s="4527"/>
      <c r="BE80" s="4527">
        <f t="shared" si="65"/>
        <v>16537.14</v>
      </c>
    </row>
    <row r="81" spans="2:60" s="334" customFormat="1" ht="20.25" x14ac:dyDescent="0.25">
      <c r="B81" s="2226" t="s">
        <v>1015</v>
      </c>
      <c r="C81" s="483"/>
      <c r="D81" s="483"/>
      <c r="E81" s="1614"/>
      <c r="F81" s="1614"/>
      <c r="G81" s="4525"/>
      <c r="H81" s="4525"/>
      <c r="I81" s="4525"/>
      <c r="J81" s="4525"/>
      <c r="K81" s="4525"/>
      <c r="L81" s="4525"/>
      <c r="M81" s="4525"/>
      <c r="N81" s="4525"/>
      <c r="O81" s="4525"/>
      <c r="P81" s="4525"/>
      <c r="Q81" s="4525"/>
      <c r="R81" s="4525"/>
      <c r="S81" s="4525"/>
      <c r="T81" s="4525"/>
      <c r="U81" s="4525"/>
      <c r="V81" s="4525"/>
      <c r="W81" s="4525"/>
      <c r="X81" s="4525"/>
      <c r="Y81" s="4525"/>
      <c r="Z81" s="4525"/>
      <c r="AA81" s="4525"/>
      <c r="AB81" s="4525"/>
      <c r="AC81" s="4525"/>
      <c r="AD81" s="4525"/>
      <c r="AE81" s="4525"/>
      <c r="AF81" s="4525"/>
      <c r="AG81" s="4525"/>
      <c r="AH81" s="4525"/>
      <c r="AI81" s="4525"/>
      <c r="AJ81" s="4525"/>
      <c r="AK81" s="4556"/>
      <c r="AL81" s="4525"/>
      <c r="AM81" s="4525"/>
      <c r="AN81" s="4525"/>
      <c r="AO81" s="4525"/>
      <c r="AP81" s="4525"/>
      <c r="AQ81" s="4525"/>
      <c r="AR81" s="4525"/>
      <c r="AS81" s="4525"/>
      <c r="AT81" s="4525"/>
      <c r="AU81" s="4525"/>
      <c r="AV81" s="4525"/>
      <c r="AW81" s="4525"/>
      <c r="AX81" s="4525"/>
      <c r="AY81" s="4525"/>
      <c r="AZ81" s="4525"/>
      <c r="BA81" s="4525"/>
      <c r="BB81" s="4525"/>
      <c r="BC81" s="4525"/>
      <c r="BD81" s="4525"/>
      <c r="BE81" s="4525"/>
    </row>
    <row r="82" spans="2:60" x14ac:dyDescent="0.25">
      <c r="B82" s="26" t="s">
        <v>1016</v>
      </c>
      <c r="C82" s="3440" t="s">
        <v>393</v>
      </c>
      <c r="D82" s="3440"/>
      <c r="E82" s="1615">
        <v>56.06</v>
      </c>
      <c r="F82" s="1615"/>
      <c r="G82" s="238">
        <v>47.85</v>
      </c>
      <c r="H82" s="3436"/>
      <c r="I82" s="4226">
        <f t="shared" si="66"/>
        <v>103.91</v>
      </c>
      <c r="J82" s="3437"/>
      <c r="K82" s="238">
        <v>38.81</v>
      </c>
      <c r="L82" s="3435"/>
      <c r="M82" s="4225">
        <f t="shared" si="67"/>
        <v>142.72</v>
      </c>
      <c r="N82" s="3437"/>
      <c r="O82" s="238">
        <v>37.200000000000003</v>
      </c>
      <c r="P82" s="3436"/>
      <c r="Q82" s="4226">
        <f t="shared" si="68"/>
        <v>179.92000000000002</v>
      </c>
      <c r="R82" s="3437"/>
      <c r="S82" s="238">
        <v>58.4</v>
      </c>
      <c r="T82" s="3436"/>
      <c r="U82" s="4226">
        <f t="shared" si="69"/>
        <v>238.32000000000002</v>
      </c>
      <c r="V82" s="3437"/>
      <c r="W82" s="238">
        <v>44.72</v>
      </c>
      <c r="X82" s="3435"/>
      <c r="Y82" s="4225">
        <f t="shared" si="70"/>
        <v>140.32</v>
      </c>
      <c r="Z82" s="4528"/>
      <c r="AA82" s="4227">
        <f t="shared" si="71"/>
        <v>283.04000000000002</v>
      </c>
      <c r="AB82" s="3437"/>
      <c r="AC82" s="238">
        <v>30.6</v>
      </c>
      <c r="AD82" s="3436"/>
      <c r="AE82" s="4226">
        <f t="shared" si="72"/>
        <v>313.64000000000004</v>
      </c>
      <c r="AF82" s="3437"/>
      <c r="AG82" s="238">
        <v>36.4</v>
      </c>
      <c r="AH82" s="3436"/>
      <c r="AI82" s="4226">
        <f t="shared" si="73"/>
        <v>350.04</v>
      </c>
      <c r="AJ82" s="3437"/>
      <c r="AK82" s="4555">
        <v>32.4</v>
      </c>
      <c r="AL82" s="3435"/>
      <c r="AM82" s="4225">
        <f t="shared" si="74"/>
        <v>99.4</v>
      </c>
      <c r="AN82" s="3436"/>
      <c r="AO82" s="4226">
        <f t="shared" si="75"/>
        <v>382.44</v>
      </c>
      <c r="AP82" s="3836"/>
      <c r="AQ82" s="3835">
        <v>38.75</v>
      </c>
      <c r="AR82" s="3837"/>
      <c r="AS82" s="4226">
        <f t="shared" si="76"/>
        <v>421.19</v>
      </c>
      <c r="AT82" s="3990"/>
      <c r="AU82" s="3989">
        <v>34.729999999999997</v>
      </c>
      <c r="AV82" s="3991"/>
      <c r="AW82" s="4226">
        <f t="shared" si="77"/>
        <v>455.92</v>
      </c>
      <c r="AX82" s="4224"/>
      <c r="AY82" s="4223">
        <v>39.1</v>
      </c>
      <c r="AZ82" s="4526"/>
      <c r="BA82" s="4526">
        <f t="shared" si="63"/>
        <v>112.57999999999998</v>
      </c>
      <c r="BB82" s="4528"/>
      <c r="BC82" s="4528">
        <f t="shared" si="64"/>
        <v>211.98</v>
      </c>
      <c r="BD82" s="4527"/>
      <c r="BE82" s="4527">
        <f t="shared" si="65"/>
        <v>495.02</v>
      </c>
    </row>
    <row r="83" spans="2:60" s="334" customFormat="1" x14ac:dyDescent="0.25">
      <c r="B83" s="2227" t="s">
        <v>1246</v>
      </c>
      <c r="C83" s="483"/>
      <c r="D83" s="483"/>
      <c r="E83" s="1614"/>
      <c r="F83" s="1614"/>
      <c r="G83" s="4525"/>
      <c r="H83" s="4525"/>
      <c r="I83" s="4525"/>
      <c r="J83" s="4525"/>
      <c r="K83" s="4525"/>
      <c r="L83" s="4525"/>
      <c r="M83" s="4525"/>
      <c r="N83" s="4525"/>
      <c r="O83" s="4525"/>
      <c r="P83" s="4525"/>
      <c r="Q83" s="4525"/>
      <c r="R83" s="4525"/>
      <c r="S83" s="4525"/>
      <c r="T83" s="4525"/>
      <c r="U83" s="4525"/>
      <c r="V83" s="4525"/>
      <c r="W83" s="4525"/>
      <c r="X83" s="4525"/>
      <c r="Y83" s="4525"/>
      <c r="Z83" s="4525"/>
      <c r="AA83" s="4525"/>
      <c r="AB83" s="4525"/>
      <c r="AC83" s="4525"/>
      <c r="AD83" s="4525"/>
      <c r="AE83" s="4525"/>
      <c r="AF83" s="4525"/>
      <c r="AG83" s="4525"/>
      <c r="AH83" s="4525"/>
      <c r="AI83" s="4525"/>
      <c r="AJ83" s="4525"/>
      <c r="AK83" s="4556"/>
      <c r="AL83" s="4525"/>
      <c r="AM83" s="4525"/>
      <c r="AN83" s="4525"/>
      <c r="AO83" s="4525"/>
      <c r="AP83" s="4525"/>
      <c r="AQ83" s="4525"/>
      <c r="AR83" s="4525"/>
      <c r="AS83" s="4525"/>
      <c r="AT83" s="4525"/>
      <c r="AU83" s="4525"/>
      <c r="AV83" s="4525"/>
      <c r="AW83" s="4525"/>
      <c r="AX83" s="4525"/>
      <c r="AY83" s="4525"/>
      <c r="AZ83" s="4525"/>
      <c r="BA83" s="4525"/>
      <c r="BB83" s="4525"/>
      <c r="BC83" s="4525"/>
      <c r="BD83" s="4525"/>
      <c r="BE83" s="4525"/>
    </row>
    <row r="84" spans="2:60" x14ac:dyDescent="0.25">
      <c r="B84" s="26" t="s">
        <v>1330</v>
      </c>
      <c r="C84" s="3440" t="s">
        <v>393</v>
      </c>
      <c r="D84" s="3440"/>
      <c r="E84" s="1615">
        <v>1446.27</v>
      </c>
      <c r="F84" s="1615"/>
      <c r="G84" s="238">
        <v>460.06</v>
      </c>
      <c r="H84" s="3436"/>
      <c r="I84" s="4226">
        <f t="shared" si="66"/>
        <v>1906.33</v>
      </c>
      <c r="J84" s="3437"/>
      <c r="K84" s="238">
        <v>4710.0300000000016</v>
      </c>
      <c r="L84" s="3435"/>
      <c r="M84" s="4225">
        <f t="shared" si="67"/>
        <v>6616.3600000000015</v>
      </c>
      <c r="N84" s="3437"/>
      <c r="O84" s="238">
        <v>4829.33</v>
      </c>
      <c r="P84" s="3436"/>
      <c r="Q84" s="4226">
        <f t="shared" si="68"/>
        <v>11445.690000000002</v>
      </c>
      <c r="R84" s="3437"/>
      <c r="S84" s="238">
        <v>568.99</v>
      </c>
      <c r="T84" s="3436"/>
      <c r="U84" s="4226">
        <f t="shared" si="69"/>
        <v>12014.680000000002</v>
      </c>
      <c r="V84" s="3437"/>
      <c r="W84" s="238">
        <v>5820.27</v>
      </c>
      <c r="X84" s="3435"/>
      <c r="Y84" s="4225">
        <f t="shared" si="70"/>
        <v>11218.59</v>
      </c>
      <c r="Z84" s="4528"/>
      <c r="AA84" s="4227">
        <f t="shared" si="71"/>
        <v>17834.950000000004</v>
      </c>
      <c r="AB84" s="3437"/>
      <c r="AC84" s="238">
        <v>5639.079999999999</v>
      </c>
      <c r="AD84" s="3436"/>
      <c r="AE84" s="4226">
        <f t="shared" si="72"/>
        <v>23474.030000000002</v>
      </c>
      <c r="AF84" s="3437"/>
      <c r="AG84" s="238">
        <v>15466.209999999995</v>
      </c>
      <c r="AH84" s="3436"/>
      <c r="AI84" s="4226">
        <f t="shared" si="73"/>
        <v>38940.239999999998</v>
      </c>
      <c r="AJ84" s="3437"/>
      <c r="AK84" s="4555">
        <v>35.840000000000003</v>
      </c>
      <c r="AL84" s="3435"/>
      <c r="AM84" s="4225">
        <f t="shared" si="74"/>
        <v>21141.129999999994</v>
      </c>
      <c r="AN84" s="3436"/>
      <c r="AO84" s="4226">
        <f t="shared" si="75"/>
        <v>38976.079999999994</v>
      </c>
      <c r="AP84" s="3836"/>
      <c r="AQ84" s="3835">
        <v>5692.66</v>
      </c>
      <c r="AR84" s="3837"/>
      <c r="AS84" s="4226">
        <f t="shared" si="76"/>
        <v>44668.739999999991</v>
      </c>
      <c r="AT84" s="3990"/>
      <c r="AU84" s="4102">
        <v>9614.6299999999992</v>
      </c>
      <c r="AV84" s="3991"/>
      <c r="AW84" s="4226">
        <f t="shared" si="77"/>
        <v>54283.369999999988</v>
      </c>
      <c r="AX84" s="4224"/>
      <c r="AY84" s="4224">
        <f>3749.55+6898.48</f>
        <v>10648.029999999999</v>
      </c>
      <c r="AZ84" s="4526"/>
      <c r="BA84" s="4526">
        <f t="shared" si="63"/>
        <v>25955.32</v>
      </c>
      <c r="BB84" s="4528"/>
      <c r="BC84" s="4528">
        <f t="shared" si="64"/>
        <v>47096.45</v>
      </c>
      <c r="BD84" s="4527"/>
      <c r="BE84" s="4527">
        <f t="shared" si="65"/>
        <v>64931.4</v>
      </c>
    </row>
    <row r="85" spans="2:60" s="334" customFormat="1" ht="18.75" x14ac:dyDescent="0.25">
      <c r="B85" s="2227" t="s">
        <v>847</v>
      </c>
      <c r="C85" s="1095"/>
      <c r="D85" s="1095"/>
      <c r="E85" s="1730">
        <f>+E86+E87</f>
        <v>45419.950000000004</v>
      </c>
      <c r="F85" s="1730"/>
      <c r="G85" s="1730">
        <f>+G86+G87</f>
        <v>60690.15</v>
      </c>
      <c r="H85" s="3436"/>
      <c r="I85" s="4226">
        <f t="shared" si="66"/>
        <v>106110.1</v>
      </c>
      <c r="J85" s="3437"/>
      <c r="K85" s="1730">
        <f>+K86+K87</f>
        <v>57491.499999999993</v>
      </c>
      <c r="L85" s="3435"/>
      <c r="M85" s="1832">
        <f t="shared" si="67"/>
        <v>163601.60000000001</v>
      </c>
      <c r="N85" s="3437"/>
      <c r="O85" s="1730">
        <f>+O86+O87</f>
        <v>87150.200000000012</v>
      </c>
      <c r="P85" s="3436"/>
      <c r="Q85" s="4226">
        <f t="shared" si="68"/>
        <v>250751.80000000002</v>
      </c>
      <c r="R85" s="3437"/>
      <c r="S85" s="1730">
        <f>+S86+S87</f>
        <v>106107.97999999998</v>
      </c>
      <c r="T85" s="3436"/>
      <c r="U85" s="4226">
        <f t="shared" si="69"/>
        <v>356859.78</v>
      </c>
      <c r="V85" s="3437"/>
      <c r="W85" s="1730">
        <f>+W86+W87</f>
        <v>81497.38</v>
      </c>
      <c r="X85" s="3435"/>
      <c r="Y85" s="1832">
        <f t="shared" si="70"/>
        <v>274755.56</v>
      </c>
      <c r="Z85" s="1833"/>
      <c r="AA85" s="1833">
        <f t="shared" si="71"/>
        <v>438357.16000000003</v>
      </c>
      <c r="AB85" s="3437"/>
      <c r="AC85" s="1730">
        <f>+AC86+AC87</f>
        <v>89890.470000000016</v>
      </c>
      <c r="AD85" s="3436"/>
      <c r="AE85" s="4226">
        <f t="shared" si="72"/>
        <v>528247.63</v>
      </c>
      <c r="AF85" s="3437"/>
      <c r="AG85" s="1730">
        <f>+AG86+AG87</f>
        <v>124608.22999999998</v>
      </c>
      <c r="AH85" s="3436"/>
      <c r="AI85" s="4226">
        <f t="shared" si="73"/>
        <v>652855.86</v>
      </c>
      <c r="AJ85" s="3437"/>
      <c r="AK85" s="1730">
        <f>+AK86+AK87</f>
        <v>96677.23</v>
      </c>
      <c r="AL85" s="3435"/>
      <c r="AM85" s="1832">
        <f t="shared" si="74"/>
        <v>311175.93</v>
      </c>
      <c r="AN85" s="3436"/>
      <c r="AO85" s="4226">
        <f t="shared" si="75"/>
        <v>749533.09</v>
      </c>
      <c r="AP85" s="3836"/>
      <c r="AQ85" s="1730">
        <f>+AQ86+AQ87</f>
        <v>108367.54000000001</v>
      </c>
      <c r="AR85" s="3837"/>
      <c r="AS85" s="4226">
        <f t="shared" si="76"/>
        <v>857900.63</v>
      </c>
      <c r="AT85" s="3990"/>
      <c r="AU85" s="1730">
        <f>+AU86+AU87</f>
        <v>100377.89</v>
      </c>
      <c r="AV85" s="3991"/>
      <c r="AW85" s="4226">
        <f t="shared" si="77"/>
        <v>958278.52</v>
      </c>
      <c r="AX85" s="4224"/>
      <c r="AY85" s="1730">
        <f>+AY86+AY87</f>
        <v>96000.060000000012</v>
      </c>
      <c r="AZ85" s="4526"/>
      <c r="BA85" s="1832">
        <f t="shared" si="63"/>
        <v>304745.49</v>
      </c>
      <c r="BB85" s="1833"/>
      <c r="BC85" s="1833">
        <f t="shared" si="64"/>
        <v>615921.41999999993</v>
      </c>
      <c r="BD85" s="1831"/>
      <c r="BE85" s="1831">
        <f t="shared" si="65"/>
        <v>1054278.58</v>
      </c>
    </row>
    <row r="86" spans="2:60" ht="20.25" x14ac:dyDescent="0.25">
      <c r="B86" s="2228" t="s">
        <v>24</v>
      </c>
      <c r="C86" s="672" t="s">
        <v>393</v>
      </c>
      <c r="D86" s="672"/>
      <c r="E86" s="1614">
        <v>45170.8</v>
      </c>
      <c r="F86" s="1614"/>
      <c r="G86" s="1614">
        <v>60440.200000000004</v>
      </c>
      <c r="H86" s="3436"/>
      <c r="I86" s="4226">
        <f t="shared" si="66"/>
        <v>105611</v>
      </c>
      <c r="J86" s="3437"/>
      <c r="K86" s="1614">
        <v>56493.389999999992</v>
      </c>
      <c r="L86" s="3435"/>
      <c r="M86" s="4269">
        <f t="shared" si="67"/>
        <v>162104.38999999998</v>
      </c>
      <c r="N86" s="3437"/>
      <c r="O86" s="1614">
        <v>87150.200000000012</v>
      </c>
      <c r="P86" s="3436"/>
      <c r="Q86" s="4226">
        <f t="shared" si="68"/>
        <v>249254.59</v>
      </c>
      <c r="R86" s="3437"/>
      <c r="S86" s="1614">
        <v>105109.83999999998</v>
      </c>
      <c r="T86" s="3436"/>
      <c r="U86" s="4226">
        <f t="shared" si="69"/>
        <v>354364.43</v>
      </c>
      <c r="V86" s="3437"/>
      <c r="W86" s="1614">
        <v>80756.840000000011</v>
      </c>
      <c r="X86" s="3435"/>
      <c r="Y86" s="4269">
        <f t="shared" si="70"/>
        <v>273016.88</v>
      </c>
      <c r="Z86" s="1854"/>
      <c r="AA86" s="1854">
        <f t="shared" si="71"/>
        <v>435121.27</v>
      </c>
      <c r="AB86" s="3437"/>
      <c r="AC86" s="1614">
        <v>89058.160000000018</v>
      </c>
      <c r="AD86" s="3436"/>
      <c r="AE86" s="4226">
        <f t="shared" si="72"/>
        <v>524179.43000000005</v>
      </c>
      <c r="AF86" s="3437"/>
      <c r="AG86" s="1614">
        <v>120688.65999999999</v>
      </c>
      <c r="AH86" s="3436"/>
      <c r="AI86" s="4226">
        <f t="shared" si="73"/>
        <v>644868.09000000008</v>
      </c>
      <c r="AJ86" s="3437"/>
      <c r="AK86" s="1614">
        <v>94046.81</v>
      </c>
      <c r="AL86" s="3435"/>
      <c r="AM86" s="4269">
        <f t="shared" si="74"/>
        <v>303793.63</v>
      </c>
      <c r="AN86" s="3436"/>
      <c r="AO86" s="4226">
        <f t="shared" si="75"/>
        <v>738914.90000000014</v>
      </c>
      <c r="AP86" s="3836"/>
      <c r="AQ86" s="1614">
        <v>105999.62000000001</v>
      </c>
      <c r="AR86" s="3837"/>
      <c r="AS86" s="4226">
        <f t="shared" si="76"/>
        <v>844914.52000000014</v>
      </c>
      <c r="AT86" s="3990"/>
      <c r="AU86" s="1614">
        <v>98379.65</v>
      </c>
      <c r="AV86" s="3991"/>
      <c r="AW86" s="4226">
        <f t="shared" si="77"/>
        <v>943294.17000000016</v>
      </c>
      <c r="AX86" s="4224"/>
      <c r="AY86" s="1614">
        <v>94500.12000000001</v>
      </c>
      <c r="AZ86" s="4526"/>
      <c r="BA86" s="4551">
        <f t="shared" si="63"/>
        <v>298879.39</v>
      </c>
      <c r="BB86" s="1854"/>
      <c r="BC86" s="1854">
        <f t="shared" si="64"/>
        <v>602673.02</v>
      </c>
      <c r="BD86" s="4550"/>
      <c r="BE86" s="4550">
        <f t="shared" si="65"/>
        <v>1037794.29</v>
      </c>
    </row>
    <row r="87" spans="2:60" s="334" customFormat="1" ht="20.25" x14ac:dyDescent="0.25">
      <c r="B87" s="2228" t="s">
        <v>25</v>
      </c>
      <c r="C87" s="1096" t="s">
        <v>393</v>
      </c>
      <c r="D87" s="1096"/>
      <c r="E87" s="1614">
        <v>249.15</v>
      </c>
      <c r="F87" s="1614"/>
      <c r="G87" s="1614">
        <v>249.95</v>
      </c>
      <c r="H87" s="3436"/>
      <c r="I87" s="4226">
        <f t="shared" si="66"/>
        <v>499.1</v>
      </c>
      <c r="J87" s="3437"/>
      <c r="K87" s="1614">
        <v>998.11000000000024</v>
      </c>
      <c r="L87" s="3435"/>
      <c r="M87" s="4269">
        <f t="shared" si="67"/>
        <v>1497.2100000000003</v>
      </c>
      <c r="N87" s="3437"/>
      <c r="O87" s="1614">
        <v>0</v>
      </c>
      <c r="P87" s="3436"/>
      <c r="Q87" s="4226">
        <f t="shared" si="68"/>
        <v>1497.2100000000003</v>
      </c>
      <c r="R87" s="3437"/>
      <c r="S87" s="1614">
        <v>998.14</v>
      </c>
      <c r="T87" s="3436"/>
      <c r="U87" s="4226">
        <f t="shared" si="69"/>
        <v>2495.3500000000004</v>
      </c>
      <c r="V87" s="3437"/>
      <c r="W87" s="1614">
        <v>740.54000000000019</v>
      </c>
      <c r="X87" s="3435"/>
      <c r="Y87" s="4269">
        <f t="shared" si="70"/>
        <v>1738.6800000000003</v>
      </c>
      <c r="Z87" s="1854"/>
      <c r="AA87" s="1854">
        <f t="shared" si="71"/>
        <v>3235.8900000000003</v>
      </c>
      <c r="AB87" s="3437"/>
      <c r="AC87" s="1614">
        <v>832.31</v>
      </c>
      <c r="AD87" s="3436"/>
      <c r="AE87" s="4226">
        <f t="shared" si="72"/>
        <v>4068.2000000000003</v>
      </c>
      <c r="AF87" s="3437"/>
      <c r="AG87" s="1614">
        <v>3919.5699999999988</v>
      </c>
      <c r="AH87" s="3436"/>
      <c r="AI87" s="4226">
        <f t="shared" si="73"/>
        <v>7987.7699999999986</v>
      </c>
      <c r="AJ87" s="3437"/>
      <c r="AK87" s="1614">
        <v>2630.420000000001</v>
      </c>
      <c r="AL87" s="3435"/>
      <c r="AM87" s="4269">
        <f t="shared" si="74"/>
        <v>7382.3</v>
      </c>
      <c r="AN87" s="3436"/>
      <c r="AO87" s="4226">
        <f t="shared" si="75"/>
        <v>10618.189999999999</v>
      </c>
      <c r="AP87" s="3836"/>
      <c r="AQ87" s="1614">
        <v>2367.9199999999996</v>
      </c>
      <c r="AR87" s="3837"/>
      <c r="AS87" s="4226">
        <f t="shared" si="76"/>
        <v>12986.109999999999</v>
      </c>
      <c r="AT87" s="3990"/>
      <c r="AU87" s="1614">
        <v>1998.2400000000005</v>
      </c>
      <c r="AV87" s="3991"/>
      <c r="AW87" s="4226">
        <f t="shared" si="77"/>
        <v>14984.349999999999</v>
      </c>
      <c r="AX87" s="4224"/>
      <c r="AY87" s="1614">
        <v>1499.94</v>
      </c>
      <c r="AZ87" s="4526"/>
      <c r="BA87" s="4551">
        <f t="shared" si="63"/>
        <v>5866.1</v>
      </c>
      <c r="BB87" s="1854"/>
      <c r="BC87" s="1854">
        <f t="shared" si="64"/>
        <v>13248.400000000001</v>
      </c>
      <c r="BD87" s="4550"/>
      <c r="BE87" s="4550">
        <f t="shared" si="65"/>
        <v>16484.29</v>
      </c>
    </row>
    <row r="88" spans="2:60" s="334" customFormat="1" ht="18.75" x14ac:dyDescent="0.25">
      <c r="B88" s="2227" t="s">
        <v>847</v>
      </c>
      <c r="C88" s="1096"/>
      <c r="D88" s="1096"/>
      <c r="E88" s="1730">
        <f t="shared" ref="E88" si="78">+E89+E90+E91</f>
        <v>45419.950000000004</v>
      </c>
      <c r="F88" s="1730"/>
      <c r="G88" s="1730">
        <f t="shared" ref="G88" si="79">+G89+G90+G91</f>
        <v>60690.149999999994</v>
      </c>
      <c r="H88" s="3436"/>
      <c r="I88" s="4226">
        <f t="shared" si="66"/>
        <v>106110.1</v>
      </c>
      <c r="J88" s="3437"/>
      <c r="K88" s="1730">
        <f t="shared" ref="K88" si="80">+K89+K90+K91</f>
        <v>57491.499999999993</v>
      </c>
      <c r="L88" s="3435"/>
      <c r="M88" s="1832">
        <f t="shared" si="67"/>
        <v>163601.60000000001</v>
      </c>
      <c r="N88" s="3437"/>
      <c r="O88" s="1730">
        <f t="shared" ref="O88" si="81">+O89+O90+O91</f>
        <v>87150.200000000012</v>
      </c>
      <c r="P88" s="3436"/>
      <c r="Q88" s="4226">
        <f t="shared" si="68"/>
        <v>250751.80000000002</v>
      </c>
      <c r="R88" s="3437"/>
      <c r="S88" s="1730">
        <f t="shared" ref="S88" si="82">+S89+S90+S91</f>
        <v>106107.97999999998</v>
      </c>
      <c r="T88" s="3436"/>
      <c r="U88" s="4226">
        <f t="shared" si="69"/>
        <v>356859.78</v>
      </c>
      <c r="V88" s="3437"/>
      <c r="W88" s="1730">
        <f t="shared" ref="W88" si="83">+W89+W90+W91</f>
        <v>81497.38</v>
      </c>
      <c r="X88" s="3435"/>
      <c r="Y88" s="1832">
        <f t="shared" si="70"/>
        <v>274755.56</v>
      </c>
      <c r="Z88" s="1833"/>
      <c r="AA88" s="1833">
        <f t="shared" si="71"/>
        <v>438357.16000000003</v>
      </c>
      <c r="AB88" s="3437"/>
      <c r="AC88" s="1730">
        <f t="shared" ref="AC88" si="84">+AC89+AC90+AC91</f>
        <v>89890.470000000016</v>
      </c>
      <c r="AD88" s="3436"/>
      <c r="AE88" s="4226">
        <f t="shared" si="72"/>
        <v>528247.63</v>
      </c>
      <c r="AF88" s="3437"/>
      <c r="AG88" s="1730">
        <f t="shared" ref="AG88" si="85">+AG89+AG90+AG91</f>
        <v>124608.22999999998</v>
      </c>
      <c r="AH88" s="3436"/>
      <c r="AI88" s="4226">
        <f t="shared" si="73"/>
        <v>652855.86</v>
      </c>
      <c r="AJ88" s="3437"/>
      <c r="AK88" s="1730">
        <f t="shared" ref="AK88" si="86">+AK89+AK90+AK91</f>
        <v>96677.23000000001</v>
      </c>
      <c r="AL88" s="3435"/>
      <c r="AM88" s="1832">
        <f t="shared" si="74"/>
        <v>311175.93000000005</v>
      </c>
      <c r="AN88" s="3436"/>
      <c r="AO88" s="4226">
        <f t="shared" si="75"/>
        <v>749533.09</v>
      </c>
      <c r="AP88" s="3836"/>
      <c r="AQ88" s="1730">
        <f t="shared" ref="AQ88" si="87">+AQ89+AQ90+AQ91</f>
        <v>108367.54000000001</v>
      </c>
      <c r="AR88" s="3837"/>
      <c r="AS88" s="4226">
        <f t="shared" si="76"/>
        <v>857900.63</v>
      </c>
      <c r="AT88" s="3990"/>
      <c r="AU88" s="1730">
        <f t="shared" ref="AU88" si="88">+AU89+AU90+AU91</f>
        <v>100377.88999999998</v>
      </c>
      <c r="AV88" s="3991"/>
      <c r="AW88" s="4226">
        <f t="shared" si="77"/>
        <v>958278.52</v>
      </c>
      <c r="AX88" s="4224"/>
      <c r="AY88" s="1730">
        <f t="shared" ref="AY88" si="89">+AY89+AY90+AY91</f>
        <v>96000.060000000012</v>
      </c>
      <c r="AZ88" s="4526"/>
      <c r="BA88" s="1832">
        <f t="shared" si="63"/>
        <v>304745.49</v>
      </c>
      <c r="BB88" s="1833"/>
      <c r="BC88" s="1833">
        <f t="shared" si="64"/>
        <v>615921.42000000004</v>
      </c>
      <c r="BD88" s="1831"/>
      <c r="BE88" s="1831">
        <f t="shared" si="65"/>
        <v>1054278.58</v>
      </c>
    </row>
    <row r="89" spans="2:60" x14ac:dyDescent="0.25">
      <c r="B89" s="26" t="s">
        <v>1613</v>
      </c>
      <c r="C89" s="672" t="s">
        <v>393</v>
      </c>
      <c r="D89" s="672"/>
      <c r="E89" s="1614">
        <v>45170.8</v>
      </c>
      <c r="F89" s="1614"/>
      <c r="G89" s="3437">
        <v>53034.28</v>
      </c>
      <c r="H89" s="3436"/>
      <c r="I89" s="4226">
        <f t="shared" si="66"/>
        <v>98205.08</v>
      </c>
      <c r="J89" s="3437"/>
      <c r="K89" s="3437">
        <v>52809.649999999994</v>
      </c>
      <c r="L89" s="3435"/>
      <c r="M89" s="4225">
        <f t="shared" si="67"/>
        <v>151014.72999999998</v>
      </c>
      <c r="N89" s="3437"/>
      <c r="O89" s="3437">
        <v>69177.680000000008</v>
      </c>
      <c r="P89" s="3436"/>
      <c r="Q89" s="4226">
        <f t="shared" si="68"/>
        <v>220192.40999999997</v>
      </c>
      <c r="R89" s="3437"/>
      <c r="S89" s="3437">
        <v>94224.779999999984</v>
      </c>
      <c r="T89" s="3436"/>
      <c r="U89" s="4226">
        <f t="shared" si="69"/>
        <v>314417.18999999994</v>
      </c>
      <c r="V89" s="3437"/>
      <c r="W89" s="3437">
        <v>69556.460000000006</v>
      </c>
      <c r="X89" s="3435"/>
      <c r="Y89" s="4225">
        <f t="shared" si="70"/>
        <v>232958.91999999998</v>
      </c>
      <c r="Z89" s="4528"/>
      <c r="AA89" s="4227">
        <f t="shared" si="71"/>
        <v>383973.64999999997</v>
      </c>
      <c r="AB89" s="3437"/>
      <c r="AC89" s="3437">
        <v>74060.890000000014</v>
      </c>
      <c r="AD89" s="3436"/>
      <c r="AE89" s="4226">
        <f t="shared" si="72"/>
        <v>458034.54</v>
      </c>
      <c r="AF89" s="3437"/>
      <c r="AG89" s="3437">
        <v>98246.329999999987</v>
      </c>
      <c r="AH89" s="3436"/>
      <c r="AI89" s="4226">
        <f t="shared" si="73"/>
        <v>556280.87</v>
      </c>
      <c r="AJ89" s="3437"/>
      <c r="AK89" s="4556">
        <v>82808.690000000017</v>
      </c>
      <c r="AL89" s="3435"/>
      <c r="AM89" s="4225">
        <f t="shared" si="74"/>
        <v>255115.91000000003</v>
      </c>
      <c r="AN89" s="3436"/>
      <c r="AO89" s="4226">
        <f t="shared" si="75"/>
        <v>639089.56000000006</v>
      </c>
      <c r="AP89" s="3836"/>
      <c r="AQ89" s="3836">
        <v>91039.330000000016</v>
      </c>
      <c r="AR89" s="3837"/>
      <c r="AS89" s="4226">
        <f t="shared" si="76"/>
        <v>730128.89000000013</v>
      </c>
      <c r="AT89" s="3990"/>
      <c r="AU89" s="3990">
        <v>87213.559999999983</v>
      </c>
      <c r="AV89" s="3991"/>
      <c r="AW89" s="4226">
        <f t="shared" si="77"/>
        <v>817342.45000000007</v>
      </c>
      <c r="AX89" s="4224"/>
      <c r="AY89" s="4525">
        <v>94500.12000000001</v>
      </c>
      <c r="AZ89" s="4526"/>
      <c r="BA89" s="4526">
        <f t="shared" si="63"/>
        <v>272753.01</v>
      </c>
      <c r="BB89" s="4528"/>
      <c r="BC89" s="4528">
        <f t="shared" si="64"/>
        <v>527868.92000000004</v>
      </c>
      <c r="BD89" s="4527"/>
      <c r="BE89" s="4527">
        <f t="shared" si="65"/>
        <v>911842.57000000007</v>
      </c>
    </row>
    <row r="90" spans="2:60" s="334" customFormat="1" x14ac:dyDescent="0.25">
      <c r="B90" s="2213" t="s">
        <v>1614</v>
      </c>
      <c r="C90" s="1096" t="s">
        <v>393</v>
      </c>
      <c r="D90" s="1096"/>
      <c r="E90" s="1614">
        <v>249.15000000000003</v>
      </c>
      <c r="F90" s="1614"/>
      <c r="G90" s="3437">
        <v>249.95</v>
      </c>
      <c r="H90" s="3436"/>
      <c r="I90" s="4226">
        <f t="shared" si="66"/>
        <v>499.1</v>
      </c>
      <c r="J90" s="3437"/>
      <c r="K90" s="3437">
        <v>998.11000000000013</v>
      </c>
      <c r="L90" s="3435"/>
      <c r="M90" s="4225">
        <f t="shared" si="67"/>
        <v>1497.21</v>
      </c>
      <c r="N90" s="3437"/>
      <c r="O90" s="3437">
        <v>0</v>
      </c>
      <c r="P90" s="3436"/>
      <c r="Q90" s="4226">
        <f t="shared" si="68"/>
        <v>1497.21</v>
      </c>
      <c r="R90" s="3437"/>
      <c r="S90" s="3437">
        <v>998.14</v>
      </c>
      <c r="T90" s="3436"/>
      <c r="U90" s="4226">
        <f t="shared" si="69"/>
        <v>2495.35</v>
      </c>
      <c r="V90" s="3437"/>
      <c r="W90" s="3437">
        <v>740.54000000000019</v>
      </c>
      <c r="X90" s="3435"/>
      <c r="Y90" s="4225">
        <f t="shared" si="70"/>
        <v>1738.6800000000003</v>
      </c>
      <c r="Z90" s="4528"/>
      <c r="AA90" s="4227">
        <f t="shared" si="71"/>
        <v>3235.8900000000003</v>
      </c>
      <c r="AB90" s="3437"/>
      <c r="AC90" s="3437">
        <v>832.31</v>
      </c>
      <c r="AD90" s="3436"/>
      <c r="AE90" s="4226">
        <f t="shared" si="72"/>
        <v>4068.2000000000003</v>
      </c>
      <c r="AF90" s="3437"/>
      <c r="AG90" s="3437">
        <v>3919.5699999999988</v>
      </c>
      <c r="AH90" s="3436"/>
      <c r="AI90" s="4226">
        <f t="shared" si="73"/>
        <v>7987.7699999999986</v>
      </c>
      <c r="AJ90" s="3437"/>
      <c r="AK90" s="4556">
        <v>2630.420000000001</v>
      </c>
      <c r="AL90" s="3435"/>
      <c r="AM90" s="4225">
        <f t="shared" si="74"/>
        <v>7382.3</v>
      </c>
      <c r="AN90" s="3436"/>
      <c r="AO90" s="4226">
        <f t="shared" si="75"/>
        <v>10618.189999999999</v>
      </c>
      <c r="AP90" s="3836"/>
      <c r="AQ90" s="3836">
        <v>2367.9199999999996</v>
      </c>
      <c r="AR90" s="3837"/>
      <c r="AS90" s="4226">
        <f t="shared" si="76"/>
        <v>12986.109999999999</v>
      </c>
      <c r="AT90" s="3990"/>
      <c r="AU90" s="3990">
        <v>1998.2400000000005</v>
      </c>
      <c r="AV90" s="3991"/>
      <c r="AW90" s="4226">
        <f t="shared" si="77"/>
        <v>14984.349999999999</v>
      </c>
      <c r="AX90" s="4224"/>
      <c r="AY90" s="4525">
        <v>1499.94</v>
      </c>
      <c r="AZ90" s="4526"/>
      <c r="BA90" s="4526">
        <f t="shared" si="63"/>
        <v>5866.1</v>
      </c>
      <c r="BB90" s="4528"/>
      <c r="BC90" s="4528">
        <f t="shared" si="64"/>
        <v>13248.400000000001</v>
      </c>
      <c r="BD90" s="4527"/>
      <c r="BE90" s="4527">
        <f t="shared" si="65"/>
        <v>16484.29</v>
      </c>
    </row>
    <row r="91" spans="2:60" ht="16.5" thickBot="1" x14ac:dyDescent="0.3">
      <c r="B91" s="26" t="s">
        <v>1615</v>
      </c>
      <c r="C91" s="672" t="s">
        <v>393</v>
      </c>
      <c r="D91" s="672"/>
      <c r="E91" s="1614">
        <v>0</v>
      </c>
      <c r="F91" s="1614"/>
      <c r="G91" s="3437">
        <v>7405.92</v>
      </c>
      <c r="H91" s="3436"/>
      <c r="I91" s="4226">
        <f t="shared" si="66"/>
        <v>7405.92</v>
      </c>
      <c r="J91" s="3437"/>
      <c r="K91" s="3437">
        <v>3683.74</v>
      </c>
      <c r="L91" s="3435"/>
      <c r="M91" s="4225">
        <f t="shared" si="67"/>
        <v>11089.66</v>
      </c>
      <c r="N91" s="3437"/>
      <c r="O91" s="3437">
        <v>17972.519999999997</v>
      </c>
      <c r="P91" s="3436"/>
      <c r="Q91" s="4226">
        <f t="shared" si="68"/>
        <v>29062.179999999997</v>
      </c>
      <c r="R91" s="3437"/>
      <c r="S91" s="3437">
        <v>10885.06</v>
      </c>
      <c r="T91" s="3436"/>
      <c r="U91" s="4226">
        <f t="shared" si="69"/>
        <v>39947.24</v>
      </c>
      <c r="V91" s="3437"/>
      <c r="W91" s="3437">
        <v>11200.380000000001</v>
      </c>
      <c r="X91" s="3435"/>
      <c r="Y91" s="4225">
        <f t="shared" si="70"/>
        <v>40057.959999999992</v>
      </c>
      <c r="Z91" s="4528"/>
      <c r="AA91" s="4227">
        <f t="shared" si="71"/>
        <v>51147.619999999995</v>
      </c>
      <c r="AB91" s="3437"/>
      <c r="AC91" s="3437">
        <v>14997.27</v>
      </c>
      <c r="AD91" s="3436"/>
      <c r="AE91" s="4226">
        <f t="shared" si="72"/>
        <v>66144.89</v>
      </c>
      <c r="AF91" s="3437"/>
      <c r="AG91" s="3437">
        <v>22442.329999999998</v>
      </c>
      <c r="AH91" s="3436"/>
      <c r="AI91" s="4226">
        <f t="shared" si="73"/>
        <v>88587.22</v>
      </c>
      <c r="AJ91" s="3437"/>
      <c r="AK91" s="4556">
        <v>11238.12</v>
      </c>
      <c r="AL91" s="3435"/>
      <c r="AM91" s="4225">
        <f t="shared" si="74"/>
        <v>48677.72</v>
      </c>
      <c r="AN91" s="3436"/>
      <c r="AO91" s="4226">
        <f t="shared" si="75"/>
        <v>99825.34</v>
      </c>
      <c r="AP91" s="3836"/>
      <c r="AQ91" s="3836">
        <v>14960.289999999999</v>
      </c>
      <c r="AR91" s="3837"/>
      <c r="AS91" s="4226">
        <f t="shared" si="76"/>
        <v>114785.62999999999</v>
      </c>
      <c r="AT91" s="3990"/>
      <c r="AU91" s="3990">
        <v>11166.09</v>
      </c>
      <c r="AV91" s="3991"/>
      <c r="AW91" s="4226">
        <f t="shared" si="77"/>
        <v>125951.71999999999</v>
      </c>
      <c r="AX91" s="4224"/>
      <c r="AY91" s="4525">
        <v>0</v>
      </c>
      <c r="AZ91" s="4526"/>
      <c r="BA91" s="4526">
        <f t="shared" si="63"/>
        <v>26126.379999999997</v>
      </c>
      <c r="BB91" s="4528"/>
      <c r="BC91" s="4528">
        <f t="shared" si="64"/>
        <v>74804.100000000006</v>
      </c>
      <c r="BD91" s="4527"/>
      <c r="BE91" s="4527">
        <f t="shared" si="65"/>
        <v>125951.72</v>
      </c>
    </row>
    <row r="92" spans="2:60" ht="26.25" thickBot="1" x14ac:dyDescent="0.3">
      <c r="B92" s="5068" t="s">
        <v>1439</v>
      </c>
      <c r="C92" s="5069"/>
      <c r="D92" s="3179"/>
      <c r="E92" s="1611">
        <f>+E7+E8+E9+E10+E13+E22+E23+E36+E41+E44+E53+E54+E78+E82+E84+E85+E12</f>
        <v>69255.360000000001</v>
      </c>
      <c r="F92" s="1611">
        <f>+F7+F8+F9+F10+F13+F22+F23+F36+F41+F44+F53+F54+F78+F82+F84+F85</f>
        <v>0</v>
      </c>
      <c r="G92" s="1611">
        <f>+G7+G8+G9+G10+G13+G22+G23+G36+G41+G44+G53+G54+G78+G82+G84+G85+G12</f>
        <v>82564.39</v>
      </c>
      <c r="H92" s="1611">
        <f>+H7+H8+H9+H10+H13+H22+H23+H36+H41+H44+H53+H54+H78+H82+H84+H85</f>
        <v>0</v>
      </c>
      <c r="I92" s="4226">
        <f t="shared" si="66"/>
        <v>151819.75</v>
      </c>
      <c r="J92" s="1611">
        <f>+J7+J8+J9+J10+J13+J22+J23+J36+J41+J44+J53+J54+J78+J82+J84+J85</f>
        <v>0</v>
      </c>
      <c r="K92" s="1611">
        <f>+K7+K8+K9+K10+K13+K22+K23+K36+K41+K44+K53+K54+K78+K82+K84+K85+K12</f>
        <v>80271.789999999994</v>
      </c>
      <c r="L92" s="1611">
        <f>+L7+L8+L9+L10+L13+L22+L23+L36+L41+L44+L53+L54+L78+L82+L84+L85</f>
        <v>0</v>
      </c>
      <c r="M92" s="4362">
        <f t="shared" si="67"/>
        <v>232091.53999999998</v>
      </c>
      <c r="N92" s="1611">
        <f>+N7+N8+N9+N10+N13+N22+N23+N36+N41+N44+N53+N54+N78+N82+N84+N85</f>
        <v>0</v>
      </c>
      <c r="O92" s="1611">
        <f>+O7+O8+O9+O10+O13+O22+O23+O36+O41+O44+O53+O54+O78+O82+O84+O85+O12</f>
        <v>111276.19000000002</v>
      </c>
      <c r="P92" s="1611">
        <f>+P7+P8+P9+P10+P13+P22+P23+P36+P41+P44+P53+P54+P78+P82+P84+P85</f>
        <v>0</v>
      </c>
      <c r="Q92" s="4226">
        <f t="shared" si="68"/>
        <v>343367.73</v>
      </c>
      <c r="R92" s="1611">
        <f>+R7+R8+R9+R10+R13+R22+R23+R36+R41+R44+R53+R54+R78+R82+R84+R85</f>
        <v>0</v>
      </c>
      <c r="S92" s="1611">
        <f>+S7+S8+S9+S10+S13+S22+S23+S36+S41+S44+S53+S54+S78+S82+S84+S85+S12</f>
        <v>126947.79999999999</v>
      </c>
      <c r="T92" s="1611">
        <f>+T7+T8+T9+T10+T13+T22+T23+T36+T41+T44+T53+T54+T78+T82+T84+T85</f>
        <v>0</v>
      </c>
      <c r="U92" s="4226">
        <f t="shared" si="69"/>
        <v>470315.52999999997</v>
      </c>
      <c r="V92" s="1611">
        <f>+V7+V8+V9+V10+V13+V22+V23+V36+V41+V44+V53+V54+V78+V82+V84+V85</f>
        <v>0</v>
      </c>
      <c r="W92" s="1611">
        <f>+W7+W8+W9+W10+W13+W22+W23+W36+W41+W44+W53+W54+W78+W82+W84+W85+W12</f>
        <v>105159.29000000001</v>
      </c>
      <c r="X92" s="1611">
        <f>+X7+X8+X9+X10+X13+X22+X23+X36+X41+X44+X53+X54+X78+X82+X84+X85</f>
        <v>0</v>
      </c>
      <c r="Y92" s="4362">
        <f t="shared" si="70"/>
        <v>343383.28</v>
      </c>
      <c r="Z92" s="4366">
        <f>+Z7+Z8+Z9+Z10+Z13+Z22+Z23+Z36+Z41+Z44+Z53+Z54+Z78+Z82+Z84+Z85</f>
        <v>0</v>
      </c>
      <c r="AA92" s="4366">
        <f t="shared" si="71"/>
        <v>575474.81999999995</v>
      </c>
      <c r="AB92" s="1611">
        <f>+AB7+AB8+AB9+AB10+AB13+AB22+AB23+AB36+AB41+AB44+AB53+AB54+AB78+AB82+AB84+AB85</f>
        <v>0</v>
      </c>
      <c r="AC92" s="1611">
        <f>+AC7+AC8+AC9+AC10+AC13+AC22+AC23+AC36+AC41+AC44+AC53+AC54+AC78+AC82+AC84+AC85+AC12</f>
        <v>115225.74000000002</v>
      </c>
      <c r="AD92" s="1611">
        <f>+AD7+AD8+AD9+AD10+AD13+AD22+AD23+AD36+AD41+AD44+AD53+AD54+AD78+AD82+AD84+AD85</f>
        <v>0</v>
      </c>
      <c r="AE92" s="4226">
        <f t="shared" si="72"/>
        <v>690700.55999999994</v>
      </c>
      <c r="AF92" s="1611">
        <f>+AF7+AF8+AF9+AF10+AF13+AF22+AF23+AF36+AF41+AF44+AF53+AF54+AF78+AF82+AF84+AF85</f>
        <v>0</v>
      </c>
      <c r="AG92" s="1611">
        <f>+AG7+AG8+AG9+AG10+AG13+AG22+AG23+AG36+AG41+AG44+AG53+AG54+AG78+AG82+AG84+AG85+AG12</f>
        <v>156097.81999999998</v>
      </c>
      <c r="AH92" s="1611">
        <f>+AH7+AH8+AH9+AH10+AH13+AH22+AH23+AH36+AH41+AH44+AH53+AH54+AH78+AH82+AH84+AH85</f>
        <v>0</v>
      </c>
      <c r="AI92" s="4226">
        <f t="shared" si="73"/>
        <v>846798.37999999989</v>
      </c>
      <c r="AJ92" s="1611"/>
      <c r="AK92" s="1611">
        <f>+AK7+AK8+AK9+AK10+AK13+AK22+AK23+AK36+AK41+AK44+AK53+AK54+AK78+AK82+AK84+AK85+AK12</f>
        <v>115395.78</v>
      </c>
      <c r="AL92" s="1611"/>
      <c r="AM92" s="4362">
        <f t="shared" si="74"/>
        <v>386719.33999999997</v>
      </c>
      <c r="AN92" s="1611"/>
      <c r="AO92" s="4226">
        <f t="shared" si="75"/>
        <v>962194.15999999992</v>
      </c>
      <c r="AP92" s="1611"/>
      <c r="AQ92" s="1611">
        <f>+AQ7+AQ8+AQ9+AQ10+AQ13+AQ22+AQ23+AQ36+AQ41+AQ44+AQ53+AQ54+AQ78+AQ82+AQ84+AQ85+AQ12</f>
        <v>133427.24000000002</v>
      </c>
      <c r="AR92" s="1611">
        <f>+AR7+AR8+AR9+AR10+AR13+AR22+AR23+AR36+AR41+AR44+AR53+AR54+AR78+AR82+AR84+AR85</f>
        <v>0</v>
      </c>
      <c r="AS92" s="4226">
        <f t="shared" si="76"/>
        <v>1095621.3999999999</v>
      </c>
      <c r="AT92" s="1611"/>
      <c r="AU92" s="1611">
        <f>+AU7+AU8+AU9+AU10+AU13+AU22+AU23+AU36+AU41+AU44+AU53+AU54+AU78+AU82+AU84+AU85+AU12</f>
        <v>129382.54</v>
      </c>
      <c r="AV92" s="1611">
        <f>+AV7+AV8+AV9+AV10+AV13+AV22+AV23+AV36+AV41+AV44+AV53+AV54+AV78+AV82+AV84+AV85</f>
        <v>0</v>
      </c>
      <c r="AW92" s="4226">
        <f t="shared" si="77"/>
        <v>1225003.94</v>
      </c>
      <c r="AX92" s="1611"/>
      <c r="AY92" s="1611">
        <f>+AY7+AY8+AY9+AY10+AY13+AY22+AY23+AY36+AY41+AY44+AY53+AY54+AY78+AY82+AY84+AY85+AY12</f>
        <v>133909.19999999998</v>
      </c>
      <c r="AZ92" s="1611"/>
      <c r="BA92" s="4362">
        <f t="shared" si="63"/>
        <v>396718.98</v>
      </c>
      <c r="BB92" s="4366"/>
      <c r="BC92" s="4366">
        <f t="shared" si="64"/>
        <v>783438.32</v>
      </c>
      <c r="BD92" s="4368"/>
      <c r="BE92" s="4368">
        <f t="shared" si="65"/>
        <v>1358913.14</v>
      </c>
      <c r="BH92" s="4090"/>
    </row>
    <row r="93" spans="2:60" s="334" customFormat="1" ht="25.5" x14ac:dyDescent="0.25">
      <c r="B93" s="4544" t="s">
        <v>1608</v>
      </c>
      <c r="C93" s="4364"/>
      <c r="D93" s="4365"/>
      <c r="E93" s="1371"/>
      <c r="F93" s="2214"/>
      <c r="G93" s="1371"/>
      <c r="H93" s="1371"/>
      <c r="I93" s="4525"/>
      <c r="J93" s="1371"/>
      <c r="K93" s="1371"/>
      <c r="L93" s="1371"/>
      <c r="M93" s="1371"/>
      <c r="N93" s="1371"/>
      <c r="O93" s="1371"/>
      <c r="P93" s="1371"/>
      <c r="Q93" s="4525"/>
      <c r="R93" s="1371"/>
      <c r="S93" s="1371"/>
      <c r="T93" s="1371"/>
      <c r="U93" s="4525"/>
      <c r="V93" s="1371"/>
      <c r="W93" s="1371"/>
      <c r="X93" s="1371"/>
      <c r="Y93" s="1371"/>
      <c r="Z93" s="1371"/>
      <c r="AA93" s="1371"/>
      <c r="AB93" s="1371"/>
      <c r="AC93" s="1371"/>
      <c r="AD93" s="1371"/>
      <c r="AE93" s="4525"/>
      <c r="AF93" s="1371"/>
      <c r="AG93" s="1371"/>
      <c r="AH93" s="1371"/>
      <c r="AI93" s="4525"/>
      <c r="AJ93" s="1371"/>
      <c r="AK93" s="1371"/>
      <c r="AL93" s="1371"/>
      <c r="AM93" s="1371"/>
      <c r="AN93" s="1371"/>
      <c r="AO93" s="4525"/>
      <c r="AP93" s="1371"/>
      <c r="AQ93" s="1371"/>
      <c r="AR93" s="1371"/>
      <c r="AS93" s="4525"/>
      <c r="AT93" s="1371"/>
      <c r="AU93" s="1371"/>
      <c r="AV93" s="1371"/>
      <c r="AW93" s="4525"/>
      <c r="AX93" s="1371"/>
      <c r="AY93" s="1371"/>
      <c r="AZ93" s="1371"/>
      <c r="BA93" s="1371"/>
      <c r="BB93" s="1371"/>
      <c r="BC93" s="1371"/>
      <c r="BD93" s="1371"/>
      <c r="BE93" s="1371"/>
      <c r="BH93" s="1486">
        <f>AY92-34352</f>
        <v>99557.199999999983</v>
      </c>
    </row>
    <row r="94" spans="2:60" x14ac:dyDescent="0.25">
      <c r="B94" s="2227" t="s">
        <v>1604</v>
      </c>
      <c r="C94" s="3440" t="s">
        <v>393</v>
      </c>
      <c r="D94" s="3440"/>
      <c r="E94" s="3628">
        <f>+E95+E96</f>
        <v>0</v>
      </c>
      <c r="F94" s="3442"/>
      <c r="G94" s="3628">
        <f>+G95+G96</f>
        <v>19.809999999999999</v>
      </c>
      <c r="H94" s="3436"/>
      <c r="I94" s="4226">
        <f t="shared" si="66"/>
        <v>19.809999999999999</v>
      </c>
      <c r="J94" s="3437"/>
      <c r="K94" s="3628">
        <f>+K95+K96</f>
        <v>0</v>
      </c>
      <c r="L94" s="3435"/>
      <c r="M94" s="2422">
        <f t="shared" si="67"/>
        <v>19.809999999999999</v>
      </c>
      <c r="N94" s="3437"/>
      <c r="O94" s="3628">
        <f>+O95+O96</f>
        <v>0</v>
      </c>
      <c r="P94" s="3436"/>
      <c r="Q94" s="4226">
        <f t="shared" si="68"/>
        <v>19.809999999999999</v>
      </c>
      <c r="R94" s="3437"/>
      <c r="S94" s="3628">
        <f>+S95+S96</f>
        <v>0</v>
      </c>
      <c r="T94" s="3436"/>
      <c r="U94" s="4226">
        <f t="shared" si="69"/>
        <v>19.809999999999999</v>
      </c>
      <c r="V94" s="3437"/>
      <c r="W94" s="3628">
        <f>+W95+W96</f>
        <v>7.84</v>
      </c>
      <c r="X94" s="3435"/>
      <c r="Y94" s="2422">
        <f t="shared" si="70"/>
        <v>7.84</v>
      </c>
      <c r="Z94" s="1282"/>
      <c r="AA94" s="1282">
        <f t="shared" si="71"/>
        <v>27.65</v>
      </c>
      <c r="AB94" s="3437"/>
      <c r="AC94" s="3628">
        <f>+AC95+AC96</f>
        <v>0</v>
      </c>
      <c r="AD94" s="3436"/>
      <c r="AE94" s="4226">
        <f t="shared" si="72"/>
        <v>27.65</v>
      </c>
      <c r="AF94" s="3437"/>
      <c r="AG94" s="3628">
        <f>+AG95+AG96</f>
        <v>2.66</v>
      </c>
      <c r="AH94" s="3436"/>
      <c r="AI94" s="4226">
        <f t="shared" si="73"/>
        <v>30.31</v>
      </c>
      <c r="AJ94" s="3437"/>
      <c r="AK94" s="3628">
        <f>+AK95+AK96</f>
        <v>0</v>
      </c>
      <c r="AL94" s="3435"/>
      <c r="AM94" s="2422">
        <f t="shared" si="74"/>
        <v>2.66</v>
      </c>
      <c r="AN94" s="3436"/>
      <c r="AO94" s="4226">
        <f t="shared" si="75"/>
        <v>30.31</v>
      </c>
      <c r="AP94" s="3836"/>
      <c r="AQ94" s="3628">
        <f>+AQ95+AQ96</f>
        <v>3.5</v>
      </c>
      <c r="AR94" s="3837"/>
      <c r="AS94" s="4226">
        <f t="shared" si="76"/>
        <v>33.81</v>
      </c>
      <c r="AT94" s="3990"/>
      <c r="AU94" s="3628">
        <f>+AU95+AU96</f>
        <v>0</v>
      </c>
      <c r="AV94" s="3991"/>
      <c r="AW94" s="4226">
        <f t="shared" si="77"/>
        <v>33.81</v>
      </c>
      <c r="AX94" s="4224"/>
      <c r="AY94" s="3628">
        <f>+AY95+AY96</f>
        <v>20.84</v>
      </c>
      <c r="AZ94" s="4526"/>
      <c r="BA94" s="2422">
        <f t="shared" si="63"/>
        <v>24.34</v>
      </c>
      <c r="BB94" s="1282"/>
      <c r="BC94" s="1282">
        <f t="shared" si="64"/>
        <v>27</v>
      </c>
      <c r="BD94" s="644"/>
      <c r="BE94" s="644">
        <f t="shared" si="65"/>
        <v>54.65</v>
      </c>
      <c r="BH94" s="4090"/>
    </row>
    <row r="95" spans="2:60" x14ac:dyDescent="0.25">
      <c r="B95" s="26" t="s">
        <v>1605</v>
      </c>
      <c r="C95" s="3440" t="s">
        <v>393</v>
      </c>
      <c r="D95" s="3440"/>
      <c r="E95" s="1615">
        <v>0</v>
      </c>
      <c r="F95" s="1615"/>
      <c r="G95" s="1615">
        <v>19.809999999999999</v>
      </c>
      <c r="H95" s="3436"/>
      <c r="I95" s="4226">
        <f t="shared" si="66"/>
        <v>19.809999999999999</v>
      </c>
      <c r="J95" s="3437"/>
      <c r="K95" s="1615">
        <v>0</v>
      </c>
      <c r="L95" s="3435"/>
      <c r="M95" s="4269">
        <f t="shared" si="67"/>
        <v>19.809999999999999</v>
      </c>
      <c r="N95" s="3437"/>
      <c r="O95" s="238">
        <v>0</v>
      </c>
      <c r="P95" s="3436"/>
      <c r="Q95" s="4226">
        <f t="shared" si="68"/>
        <v>19.809999999999999</v>
      </c>
      <c r="R95" s="3437"/>
      <c r="S95" s="1615">
        <v>0</v>
      </c>
      <c r="T95" s="3436"/>
      <c r="U95" s="4226">
        <f t="shared" si="69"/>
        <v>19.809999999999999</v>
      </c>
      <c r="V95" s="3437"/>
      <c r="W95" s="1615">
        <v>0</v>
      </c>
      <c r="X95" s="3435"/>
      <c r="Y95" s="4269">
        <f t="shared" si="70"/>
        <v>0</v>
      </c>
      <c r="Z95" s="1854"/>
      <c r="AA95" s="1854">
        <f t="shared" si="71"/>
        <v>19.809999999999999</v>
      </c>
      <c r="AB95" s="3437"/>
      <c r="AC95" s="1615"/>
      <c r="AD95" s="3436"/>
      <c r="AE95" s="4226">
        <f t="shared" si="72"/>
        <v>19.809999999999999</v>
      </c>
      <c r="AF95" s="3437"/>
      <c r="AG95" s="1615">
        <v>2.66</v>
      </c>
      <c r="AH95" s="3436"/>
      <c r="AI95" s="4226">
        <f t="shared" si="73"/>
        <v>22.47</v>
      </c>
      <c r="AJ95" s="3437"/>
      <c r="AK95" s="1615">
        <v>0</v>
      </c>
      <c r="AL95" s="3435"/>
      <c r="AM95" s="4269">
        <f t="shared" si="74"/>
        <v>2.66</v>
      </c>
      <c r="AN95" s="3436"/>
      <c r="AO95" s="4226">
        <f t="shared" si="75"/>
        <v>22.47</v>
      </c>
      <c r="AP95" s="3836"/>
      <c r="AQ95" s="1615">
        <v>3.5</v>
      </c>
      <c r="AR95" s="3837"/>
      <c r="AS95" s="4226">
        <f t="shared" si="76"/>
        <v>25.97</v>
      </c>
      <c r="AT95" s="3990"/>
      <c r="AU95" s="1615"/>
      <c r="AV95" s="3991"/>
      <c r="AW95" s="4226">
        <f t="shared" si="77"/>
        <v>25.97</v>
      </c>
      <c r="AX95" s="4224"/>
      <c r="AY95" s="1615">
        <v>20.84</v>
      </c>
      <c r="AZ95" s="4526"/>
      <c r="BA95" s="4551">
        <f t="shared" si="63"/>
        <v>24.34</v>
      </c>
      <c r="BB95" s="1854"/>
      <c r="BC95" s="1854">
        <f t="shared" si="64"/>
        <v>27</v>
      </c>
      <c r="BD95" s="4550"/>
      <c r="BE95" s="4550">
        <f t="shared" si="65"/>
        <v>46.81</v>
      </c>
    </row>
    <row r="96" spans="2:60" x14ac:dyDescent="0.25">
      <c r="B96" s="26" t="s">
        <v>1606</v>
      </c>
      <c r="C96" s="3440" t="s">
        <v>393</v>
      </c>
      <c r="D96" s="3440"/>
      <c r="E96" s="1615">
        <v>0</v>
      </c>
      <c r="F96" s="1615"/>
      <c r="G96" s="1615">
        <v>0</v>
      </c>
      <c r="H96" s="3436"/>
      <c r="I96" s="4226">
        <f t="shared" si="66"/>
        <v>0</v>
      </c>
      <c r="J96" s="3437"/>
      <c r="K96" s="1615">
        <v>0</v>
      </c>
      <c r="L96" s="3435"/>
      <c r="M96" s="4269">
        <f t="shared" si="67"/>
        <v>0</v>
      </c>
      <c r="N96" s="3437"/>
      <c r="O96" s="238">
        <v>0</v>
      </c>
      <c r="P96" s="3436"/>
      <c r="Q96" s="4226">
        <f t="shared" si="68"/>
        <v>0</v>
      </c>
      <c r="R96" s="3437"/>
      <c r="S96" s="1615">
        <v>0</v>
      </c>
      <c r="T96" s="3436"/>
      <c r="U96" s="4226">
        <f t="shared" si="69"/>
        <v>0</v>
      </c>
      <c r="V96" s="3437"/>
      <c r="W96" s="1615">
        <v>7.84</v>
      </c>
      <c r="X96" s="3435"/>
      <c r="Y96" s="4269">
        <f t="shared" si="70"/>
        <v>7.84</v>
      </c>
      <c r="Z96" s="1854"/>
      <c r="AA96" s="1854">
        <f t="shared" si="71"/>
        <v>7.84</v>
      </c>
      <c r="AB96" s="3437"/>
      <c r="AC96" s="1615"/>
      <c r="AD96" s="3436"/>
      <c r="AE96" s="4226">
        <f t="shared" si="72"/>
        <v>7.84</v>
      </c>
      <c r="AF96" s="3437"/>
      <c r="AG96" s="1615">
        <v>0</v>
      </c>
      <c r="AH96" s="3436"/>
      <c r="AI96" s="4226">
        <f t="shared" si="73"/>
        <v>7.84</v>
      </c>
      <c r="AJ96" s="3437"/>
      <c r="AK96" s="1615">
        <v>0</v>
      </c>
      <c r="AL96" s="3435"/>
      <c r="AM96" s="4269">
        <f t="shared" si="74"/>
        <v>0</v>
      </c>
      <c r="AN96" s="3436"/>
      <c r="AO96" s="4226">
        <f t="shared" si="75"/>
        <v>7.84</v>
      </c>
      <c r="AP96" s="3836"/>
      <c r="AQ96" s="1615">
        <v>0</v>
      </c>
      <c r="AR96" s="3837"/>
      <c r="AS96" s="4226">
        <f t="shared" si="76"/>
        <v>7.84</v>
      </c>
      <c r="AT96" s="3990"/>
      <c r="AU96" s="1615"/>
      <c r="AV96" s="3991"/>
      <c r="AW96" s="4226">
        <f t="shared" si="77"/>
        <v>7.84</v>
      </c>
      <c r="AX96" s="4224"/>
      <c r="AY96" s="1615">
        <v>0</v>
      </c>
      <c r="AZ96" s="4526"/>
      <c r="BA96" s="4551">
        <f t="shared" si="63"/>
        <v>0</v>
      </c>
      <c r="BB96" s="1854"/>
      <c r="BC96" s="1854">
        <f t="shared" si="64"/>
        <v>0</v>
      </c>
      <c r="BD96" s="4550"/>
      <c r="BE96" s="4550">
        <f t="shared" si="65"/>
        <v>7.84</v>
      </c>
    </row>
    <row r="97" spans="2:57" x14ac:dyDescent="0.25">
      <c r="B97" s="26" t="s">
        <v>1753</v>
      </c>
      <c r="C97" s="3620" t="s">
        <v>393</v>
      </c>
      <c r="D97" s="3620"/>
      <c r="E97" s="1615"/>
      <c r="F97" s="1615"/>
      <c r="G97" s="1615"/>
      <c r="H97" s="3597"/>
      <c r="I97" s="4226">
        <f t="shared" si="66"/>
        <v>0</v>
      </c>
      <c r="J97" s="3601"/>
      <c r="K97" s="1615"/>
      <c r="L97" s="3600"/>
      <c r="M97" s="4269">
        <f t="shared" si="67"/>
        <v>0</v>
      </c>
      <c r="N97" s="3601"/>
      <c r="O97" s="3640"/>
      <c r="P97" s="3597"/>
      <c r="Q97" s="4226">
        <f t="shared" si="68"/>
        <v>0</v>
      </c>
      <c r="R97" s="3601"/>
      <c r="S97" s="1615"/>
      <c r="T97" s="3597"/>
      <c r="U97" s="4226">
        <f t="shared" si="69"/>
        <v>0</v>
      </c>
      <c r="V97" s="3601"/>
      <c r="W97" s="1615"/>
      <c r="X97" s="3600"/>
      <c r="Y97" s="4269">
        <f t="shared" si="70"/>
        <v>0</v>
      </c>
      <c r="Z97" s="1854"/>
      <c r="AA97" s="1854">
        <f t="shared" si="71"/>
        <v>0</v>
      </c>
      <c r="AB97" s="3601"/>
      <c r="AC97" s="1615"/>
      <c r="AD97" s="3597"/>
      <c r="AE97" s="4226">
        <f t="shared" si="72"/>
        <v>0</v>
      </c>
      <c r="AF97" s="3601"/>
      <c r="AG97" s="1615">
        <v>29.49</v>
      </c>
      <c r="AH97" s="3597"/>
      <c r="AI97" s="4226">
        <f t="shared" si="73"/>
        <v>29.49</v>
      </c>
      <c r="AJ97" s="3601"/>
      <c r="AK97" s="1615"/>
      <c r="AL97" s="3600"/>
      <c r="AM97" s="4269">
        <f t="shared" si="74"/>
        <v>29.49</v>
      </c>
      <c r="AN97" s="3597"/>
      <c r="AO97" s="4226">
        <f t="shared" si="75"/>
        <v>29.49</v>
      </c>
      <c r="AP97" s="3836"/>
      <c r="AQ97" s="1615">
        <v>0</v>
      </c>
      <c r="AR97" s="3837"/>
      <c r="AS97" s="4226">
        <f t="shared" si="76"/>
        <v>29.49</v>
      </c>
      <c r="AT97" s="3990"/>
      <c r="AU97" s="1615"/>
      <c r="AV97" s="3991"/>
      <c r="AW97" s="4226">
        <f t="shared" si="77"/>
        <v>29.49</v>
      </c>
      <c r="AX97" s="4224"/>
      <c r="AY97" s="1615">
        <v>0</v>
      </c>
      <c r="AZ97" s="4526"/>
      <c r="BA97" s="4551">
        <f t="shared" si="63"/>
        <v>0</v>
      </c>
      <c r="BB97" s="1854"/>
      <c r="BC97" s="1854">
        <f t="shared" si="64"/>
        <v>29.49</v>
      </c>
      <c r="BD97" s="4550"/>
      <c r="BE97" s="4550">
        <f t="shared" si="65"/>
        <v>29.49</v>
      </c>
    </row>
    <row r="98" spans="2:57" x14ac:dyDescent="0.25">
      <c r="B98" s="2227" t="s">
        <v>1331</v>
      </c>
      <c r="C98" s="3440" t="s">
        <v>393</v>
      </c>
      <c r="D98" s="3440"/>
      <c r="E98" s="3628">
        <f>+E99</f>
        <v>0</v>
      </c>
      <c r="F98" s="3442"/>
      <c r="G98" s="3628">
        <f>+G99</f>
        <v>0</v>
      </c>
      <c r="H98" s="3436"/>
      <c r="I98" s="4226">
        <f t="shared" si="66"/>
        <v>0</v>
      </c>
      <c r="J98" s="3437"/>
      <c r="K98" s="3628">
        <f>+K99</f>
        <v>0</v>
      </c>
      <c r="L98" s="3435"/>
      <c r="M98" s="2422">
        <f t="shared" si="67"/>
        <v>0</v>
      </c>
      <c r="N98" s="3437"/>
      <c r="O98" s="3628">
        <f>+O99</f>
        <v>0</v>
      </c>
      <c r="P98" s="3436"/>
      <c r="Q98" s="4226">
        <f t="shared" si="68"/>
        <v>0</v>
      </c>
      <c r="R98" s="3437"/>
      <c r="S98" s="3628">
        <f>+S99</f>
        <v>1.9</v>
      </c>
      <c r="T98" s="3436"/>
      <c r="U98" s="4226">
        <f t="shared" si="69"/>
        <v>1.9</v>
      </c>
      <c r="V98" s="3437"/>
      <c r="W98" s="3628">
        <f>+W99</f>
        <v>3.6</v>
      </c>
      <c r="X98" s="3435"/>
      <c r="Y98" s="2422">
        <f t="shared" si="70"/>
        <v>5.5</v>
      </c>
      <c r="Z98" s="1282"/>
      <c r="AA98" s="1282">
        <f t="shared" si="71"/>
        <v>5.5</v>
      </c>
      <c r="AB98" s="3437"/>
      <c r="AC98" s="3628">
        <f>+AC99</f>
        <v>0</v>
      </c>
      <c r="AD98" s="3436"/>
      <c r="AE98" s="4226">
        <f t="shared" si="72"/>
        <v>5.5</v>
      </c>
      <c r="AF98" s="3437"/>
      <c r="AG98" s="3628">
        <f>+AG99</f>
        <v>0</v>
      </c>
      <c r="AH98" s="3436"/>
      <c r="AI98" s="4226">
        <f t="shared" si="73"/>
        <v>5.5</v>
      </c>
      <c r="AJ98" s="3437"/>
      <c r="AK98" s="3628">
        <f>+AK99</f>
        <v>7.42</v>
      </c>
      <c r="AL98" s="3435"/>
      <c r="AM98" s="2422">
        <f t="shared" si="74"/>
        <v>7.42</v>
      </c>
      <c r="AN98" s="3436"/>
      <c r="AO98" s="4226">
        <f t="shared" si="75"/>
        <v>12.92</v>
      </c>
      <c r="AP98" s="3836"/>
      <c r="AQ98" s="3628">
        <f>+AQ99</f>
        <v>8.4</v>
      </c>
      <c r="AR98" s="3837"/>
      <c r="AS98" s="4226">
        <f t="shared" si="76"/>
        <v>21.32</v>
      </c>
      <c r="AT98" s="3990"/>
      <c r="AU98" s="3628">
        <f>+AU99</f>
        <v>0</v>
      </c>
      <c r="AV98" s="3991"/>
      <c r="AW98" s="4226">
        <f t="shared" si="77"/>
        <v>21.32</v>
      </c>
      <c r="AX98" s="4224"/>
      <c r="AY98" s="3628">
        <f>+AY99</f>
        <v>0</v>
      </c>
      <c r="AZ98" s="4526"/>
      <c r="BA98" s="2422">
        <f t="shared" si="63"/>
        <v>8.4</v>
      </c>
      <c r="BB98" s="1282"/>
      <c r="BC98" s="1282">
        <f t="shared" si="64"/>
        <v>15.82</v>
      </c>
      <c r="BD98" s="644"/>
      <c r="BE98" s="644">
        <f t="shared" si="65"/>
        <v>21.32</v>
      </c>
    </row>
    <row r="99" spans="2:57" x14ac:dyDescent="0.25">
      <c r="B99" s="26" t="s">
        <v>1153</v>
      </c>
      <c r="C99" s="3440" t="s">
        <v>393</v>
      </c>
      <c r="D99" s="3440"/>
      <c r="E99" s="1615">
        <v>0</v>
      </c>
      <c r="F99" s="1615"/>
      <c r="G99" s="1615">
        <v>0</v>
      </c>
      <c r="H99" s="3436"/>
      <c r="I99" s="4226">
        <f t="shared" si="66"/>
        <v>0</v>
      </c>
      <c r="J99" s="3437"/>
      <c r="K99" s="1615">
        <v>0</v>
      </c>
      <c r="L99" s="3435"/>
      <c r="M99" s="4269">
        <f t="shared" si="67"/>
        <v>0</v>
      </c>
      <c r="N99" s="3437"/>
      <c r="O99" s="238">
        <v>0</v>
      </c>
      <c r="P99" s="3436"/>
      <c r="Q99" s="4226">
        <f t="shared" si="68"/>
        <v>0</v>
      </c>
      <c r="R99" s="3437"/>
      <c r="S99" s="1615">
        <v>1.9</v>
      </c>
      <c r="T99" s="3436"/>
      <c r="U99" s="4226">
        <f t="shared" si="69"/>
        <v>1.9</v>
      </c>
      <c r="V99" s="3437"/>
      <c r="W99" s="1615">
        <v>3.6</v>
      </c>
      <c r="X99" s="3435"/>
      <c r="Y99" s="4269">
        <f t="shared" si="70"/>
        <v>5.5</v>
      </c>
      <c r="Z99" s="1854"/>
      <c r="AA99" s="1854">
        <f t="shared" si="71"/>
        <v>5.5</v>
      </c>
      <c r="AB99" s="3437"/>
      <c r="AC99" s="1615"/>
      <c r="AD99" s="3436"/>
      <c r="AE99" s="4226">
        <f t="shared" si="72"/>
        <v>5.5</v>
      </c>
      <c r="AF99" s="3437"/>
      <c r="AG99" s="1615">
        <v>0</v>
      </c>
      <c r="AH99" s="3436"/>
      <c r="AI99" s="4226">
        <f t="shared" si="73"/>
        <v>5.5</v>
      </c>
      <c r="AJ99" s="3437"/>
      <c r="AK99" s="1615">
        <v>7.42</v>
      </c>
      <c r="AL99" s="3435"/>
      <c r="AM99" s="4269">
        <f t="shared" si="74"/>
        <v>7.42</v>
      </c>
      <c r="AN99" s="3436"/>
      <c r="AO99" s="4226">
        <f t="shared" si="75"/>
        <v>12.92</v>
      </c>
      <c r="AP99" s="3836"/>
      <c r="AQ99" s="1615">
        <v>8.4</v>
      </c>
      <c r="AR99" s="3837"/>
      <c r="AS99" s="4226">
        <f t="shared" si="76"/>
        <v>21.32</v>
      </c>
      <c r="AT99" s="3990"/>
      <c r="AU99" s="1615"/>
      <c r="AV99" s="3991"/>
      <c r="AW99" s="4226">
        <f t="shared" si="77"/>
        <v>21.32</v>
      </c>
      <c r="AX99" s="4224"/>
      <c r="AY99" s="1615">
        <v>0</v>
      </c>
      <c r="AZ99" s="4526"/>
      <c r="BA99" s="4551">
        <f t="shared" si="63"/>
        <v>8.4</v>
      </c>
      <c r="BB99" s="1854"/>
      <c r="BC99" s="1854">
        <f t="shared" si="64"/>
        <v>15.82</v>
      </c>
      <c r="BD99" s="4550"/>
      <c r="BE99" s="4550">
        <f t="shared" si="65"/>
        <v>21.32</v>
      </c>
    </row>
    <row r="100" spans="2:57" x14ac:dyDescent="0.25">
      <c r="B100" s="2227" t="s">
        <v>822</v>
      </c>
      <c r="C100" s="3440" t="s">
        <v>393</v>
      </c>
      <c r="D100" s="3440"/>
      <c r="E100" s="3628">
        <f>+E101</f>
        <v>0</v>
      </c>
      <c r="F100" s="3442"/>
      <c r="G100" s="3628">
        <f>+G101</f>
        <v>0</v>
      </c>
      <c r="H100" s="3436"/>
      <c r="I100" s="4226">
        <f t="shared" si="66"/>
        <v>0</v>
      </c>
      <c r="J100" s="3437"/>
      <c r="K100" s="3628">
        <f>+K101</f>
        <v>0</v>
      </c>
      <c r="L100" s="3435"/>
      <c r="M100" s="2422">
        <f t="shared" si="67"/>
        <v>0</v>
      </c>
      <c r="N100" s="3437"/>
      <c r="O100" s="3628">
        <f>+O101</f>
        <v>0</v>
      </c>
      <c r="P100" s="3436"/>
      <c r="Q100" s="4226">
        <f t="shared" si="68"/>
        <v>0</v>
      </c>
      <c r="R100" s="3437"/>
      <c r="S100" s="3628">
        <f>+S101</f>
        <v>0</v>
      </c>
      <c r="T100" s="3436"/>
      <c r="U100" s="4226">
        <f t="shared" si="69"/>
        <v>0</v>
      </c>
      <c r="V100" s="3437"/>
      <c r="W100" s="3628">
        <f>+W101</f>
        <v>47.69</v>
      </c>
      <c r="X100" s="3435"/>
      <c r="Y100" s="2422">
        <f t="shared" si="70"/>
        <v>47.69</v>
      </c>
      <c r="Z100" s="1282"/>
      <c r="AA100" s="1282">
        <f t="shared" si="71"/>
        <v>47.69</v>
      </c>
      <c r="AB100" s="3437"/>
      <c r="AC100" s="3628">
        <f>+AC101</f>
        <v>0</v>
      </c>
      <c r="AD100" s="3436"/>
      <c r="AE100" s="4226">
        <f t="shared" si="72"/>
        <v>47.69</v>
      </c>
      <c r="AF100" s="3437"/>
      <c r="AG100" s="3628">
        <f>+AG101</f>
        <v>29.58</v>
      </c>
      <c r="AH100" s="3436"/>
      <c r="AI100" s="4226">
        <f t="shared" si="73"/>
        <v>77.27</v>
      </c>
      <c r="AJ100" s="3437"/>
      <c r="AK100" s="3628">
        <f>+AK101</f>
        <v>496.24</v>
      </c>
      <c r="AL100" s="3435"/>
      <c r="AM100" s="2422">
        <f t="shared" si="74"/>
        <v>525.82000000000005</v>
      </c>
      <c r="AN100" s="3436"/>
      <c r="AO100" s="4226">
        <f t="shared" si="75"/>
        <v>573.51</v>
      </c>
      <c r="AP100" s="3836"/>
      <c r="AQ100" s="3628">
        <f>+AQ101</f>
        <v>255.21999999999994</v>
      </c>
      <c r="AR100" s="3837"/>
      <c r="AS100" s="4226">
        <f t="shared" si="76"/>
        <v>828.7299999999999</v>
      </c>
      <c r="AT100" s="3990"/>
      <c r="AU100" s="3628">
        <f>+AU101</f>
        <v>272.48000000000008</v>
      </c>
      <c r="AV100" s="3991"/>
      <c r="AW100" s="4226">
        <f t="shared" si="77"/>
        <v>1101.21</v>
      </c>
      <c r="AX100" s="4224"/>
      <c r="AY100" s="3628">
        <f>+AY101</f>
        <v>562.65</v>
      </c>
      <c r="AZ100" s="4526"/>
      <c r="BA100" s="2422">
        <f t="shared" si="63"/>
        <v>1090.3499999999999</v>
      </c>
      <c r="BB100" s="1282"/>
      <c r="BC100" s="1282">
        <f t="shared" si="64"/>
        <v>1616.17</v>
      </c>
      <c r="BD100" s="644"/>
      <c r="BE100" s="644">
        <f t="shared" si="65"/>
        <v>1663.8600000000001</v>
      </c>
    </row>
    <row r="101" spans="2:57" x14ac:dyDescent="0.25">
      <c r="B101" s="26" t="s">
        <v>1609</v>
      </c>
      <c r="C101" s="3440" t="s">
        <v>393</v>
      </c>
      <c r="D101" s="2506"/>
      <c r="E101" s="2217">
        <v>0</v>
      </c>
      <c r="F101" s="2217"/>
      <c r="G101" s="2217">
        <v>0</v>
      </c>
      <c r="H101" s="1367"/>
      <c r="I101" s="4226">
        <f t="shared" si="66"/>
        <v>0</v>
      </c>
      <c r="J101" s="1371"/>
      <c r="K101" s="2217">
        <v>0</v>
      </c>
      <c r="L101" s="2215"/>
      <c r="M101" s="4363">
        <f t="shared" si="67"/>
        <v>0</v>
      </c>
      <c r="N101" s="1371"/>
      <c r="O101" s="1370">
        <v>0</v>
      </c>
      <c r="P101" s="1367"/>
      <c r="Q101" s="4226">
        <f t="shared" si="68"/>
        <v>0</v>
      </c>
      <c r="R101" s="1371"/>
      <c r="S101" s="2217">
        <v>0</v>
      </c>
      <c r="T101" s="1367"/>
      <c r="U101" s="4226">
        <f t="shared" si="69"/>
        <v>0</v>
      </c>
      <c r="V101" s="1371"/>
      <c r="W101" s="2217">
        <v>47.69</v>
      </c>
      <c r="X101" s="2215"/>
      <c r="Y101" s="4363">
        <f t="shared" si="70"/>
        <v>47.69</v>
      </c>
      <c r="Z101" s="4367"/>
      <c r="AA101" s="4367">
        <f t="shared" si="71"/>
        <v>47.69</v>
      </c>
      <c r="AB101" s="1371"/>
      <c r="AC101" s="2217"/>
      <c r="AD101" s="1367"/>
      <c r="AE101" s="4226">
        <f t="shared" si="72"/>
        <v>47.69</v>
      </c>
      <c r="AF101" s="1371"/>
      <c r="AG101" s="2217">
        <v>29.58</v>
      </c>
      <c r="AH101" s="1367"/>
      <c r="AI101" s="4226">
        <f t="shared" si="73"/>
        <v>77.27</v>
      </c>
      <c r="AJ101" s="1371"/>
      <c r="AK101" s="2217">
        <v>496.24</v>
      </c>
      <c r="AL101" s="2215"/>
      <c r="AM101" s="4363">
        <f t="shared" si="74"/>
        <v>525.82000000000005</v>
      </c>
      <c r="AN101" s="1367"/>
      <c r="AO101" s="4226">
        <f t="shared" si="75"/>
        <v>573.51</v>
      </c>
      <c r="AP101" s="1371"/>
      <c r="AQ101" s="2217">
        <v>255.21999999999994</v>
      </c>
      <c r="AR101" s="1367"/>
      <c r="AS101" s="4226">
        <f t="shared" si="76"/>
        <v>828.7299999999999</v>
      </c>
      <c r="AT101" s="1371"/>
      <c r="AU101" s="2217">
        <v>272.48000000000008</v>
      </c>
      <c r="AV101" s="1367"/>
      <c r="AW101" s="4226">
        <f t="shared" si="77"/>
        <v>1101.21</v>
      </c>
      <c r="AX101" s="1371"/>
      <c r="AY101" s="2217">
        <v>562.65</v>
      </c>
      <c r="AZ101" s="2215"/>
      <c r="BA101" s="4363">
        <f t="shared" si="63"/>
        <v>1090.3499999999999</v>
      </c>
      <c r="BB101" s="4367"/>
      <c r="BC101" s="4367">
        <f t="shared" si="64"/>
        <v>1616.17</v>
      </c>
      <c r="BD101" s="4369"/>
      <c r="BE101" s="4369">
        <f t="shared" si="65"/>
        <v>1663.8600000000001</v>
      </c>
    </row>
    <row r="102" spans="2:57" ht="16.5" thickBot="1" x14ac:dyDescent="0.3">
      <c r="B102" s="2227" t="s">
        <v>1607</v>
      </c>
      <c r="C102" s="3440" t="s">
        <v>393</v>
      </c>
      <c r="D102" s="3440"/>
      <c r="E102" s="1615">
        <v>0</v>
      </c>
      <c r="F102" s="1615"/>
      <c r="G102" s="238">
        <v>0</v>
      </c>
      <c r="H102" s="3436"/>
      <c r="I102" s="4226">
        <f t="shared" si="66"/>
        <v>0</v>
      </c>
      <c r="J102" s="3437"/>
      <c r="K102" s="238">
        <v>0</v>
      </c>
      <c r="L102" s="3435"/>
      <c r="M102" s="4225">
        <f t="shared" si="67"/>
        <v>0</v>
      </c>
      <c r="N102" s="3437"/>
      <c r="O102" s="238">
        <v>16.52</v>
      </c>
      <c r="P102" s="3436"/>
      <c r="Q102" s="4226">
        <f t="shared" si="68"/>
        <v>16.52</v>
      </c>
      <c r="R102" s="3437"/>
      <c r="S102" s="238">
        <v>0</v>
      </c>
      <c r="T102" s="3436"/>
      <c r="U102" s="4226">
        <f t="shared" si="69"/>
        <v>16.52</v>
      </c>
      <c r="V102" s="3437"/>
      <c r="W102" s="238">
        <v>0</v>
      </c>
      <c r="X102" s="3435"/>
      <c r="Y102" s="4225">
        <f t="shared" si="70"/>
        <v>16.52</v>
      </c>
      <c r="Z102" s="4528"/>
      <c r="AA102" s="4227">
        <f t="shared" si="71"/>
        <v>16.52</v>
      </c>
      <c r="AB102" s="3437"/>
      <c r="AC102" s="238"/>
      <c r="AD102" s="3436"/>
      <c r="AE102" s="4226">
        <f t="shared" si="72"/>
        <v>16.52</v>
      </c>
      <c r="AF102" s="3437"/>
      <c r="AG102" s="238">
        <v>0</v>
      </c>
      <c r="AH102" s="3436"/>
      <c r="AI102" s="4226">
        <f t="shared" si="73"/>
        <v>16.52</v>
      </c>
      <c r="AJ102" s="3437"/>
      <c r="AK102" s="238">
        <v>0</v>
      </c>
      <c r="AL102" s="3435"/>
      <c r="AM102" s="4225">
        <f t="shared" si="74"/>
        <v>0</v>
      </c>
      <c r="AN102" s="3436"/>
      <c r="AO102" s="4226">
        <f t="shared" si="75"/>
        <v>16.52</v>
      </c>
      <c r="AP102" s="3836"/>
      <c r="AQ102" s="3835">
        <v>0</v>
      </c>
      <c r="AR102" s="3837"/>
      <c r="AS102" s="4226">
        <f t="shared" si="76"/>
        <v>16.52</v>
      </c>
      <c r="AT102" s="3990"/>
      <c r="AU102" s="3989">
        <v>2.41</v>
      </c>
      <c r="AV102" s="3991"/>
      <c r="AW102" s="4226">
        <f t="shared" si="77"/>
        <v>18.93</v>
      </c>
      <c r="AX102" s="4224"/>
      <c r="AY102" s="4223">
        <v>2.75</v>
      </c>
      <c r="AZ102" s="4526"/>
      <c r="BA102" s="4526">
        <f t="shared" si="63"/>
        <v>5.16</v>
      </c>
      <c r="BB102" s="4528"/>
      <c r="BC102" s="4528">
        <f t="shared" si="64"/>
        <v>5.16</v>
      </c>
      <c r="BD102" s="4527"/>
      <c r="BE102" s="4527">
        <f t="shared" si="65"/>
        <v>21.68</v>
      </c>
    </row>
    <row r="103" spans="2:57" s="334" customFormat="1" ht="26.25" thickBot="1" x14ac:dyDescent="0.3">
      <c r="B103" s="5068" t="s">
        <v>1610</v>
      </c>
      <c r="C103" s="5069"/>
      <c r="D103" s="3179"/>
      <c r="E103" s="1611">
        <f t="shared" ref="E103" si="90">+E94+E98+E100+E102</f>
        <v>0</v>
      </c>
      <c r="F103" s="1611"/>
      <c r="G103" s="1611">
        <f t="shared" ref="G103" si="91">+G94+G98+G100+G102</f>
        <v>19.809999999999999</v>
      </c>
      <c r="H103" s="1611"/>
      <c r="I103" s="4226">
        <f t="shared" si="66"/>
        <v>19.809999999999999</v>
      </c>
      <c r="J103" s="1611"/>
      <c r="K103" s="1611">
        <f t="shared" ref="K103" si="92">+K94+K98+K100+K102</f>
        <v>0</v>
      </c>
      <c r="L103" s="1611"/>
      <c r="M103" s="4362">
        <f t="shared" si="67"/>
        <v>19.809999999999999</v>
      </c>
      <c r="N103" s="1611"/>
      <c r="O103" s="1611">
        <f t="shared" ref="O103" si="93">+O94+O98+O100+O102</f>
        <v>16.52</v>
      </c>
      <c r="P103" s="1611"/>
      <c r="Q103" s="4226">
        <f t="shared" si="68"/>
        <v>36.33</v>
      </c>
      <c r="R103" s="1611"/>
      <c r="S103" s="1611">
        <f t="shared" ref="S103" si="94">+S94+S98+S100+S102</f>
        <v>1.9</v>
      </c>
      <c r="T103" s="1611"/>
      <c r="U103" s="4226">
        <f t="shared" si="69"/>
        <v>38.229999999999997</v>
      </c>
      <c r="V103" s="1611"/>
      <c r="W103" s="1611">
        <f t="shared" ref="W103" si="95">+W94+W98+W100+W102</f>
        <v>59.129999999999995</v>
      </c>
      <c r="X103" s="1611"/>
      <c r="Y103" s="4362">
        <f t="shared" si="70"/>
        <v>77.55</v>
      </c>
      <c r="Z103" s="4366"/>
      <c r="AA103" s="4366">
        <f t="shared" si="71"/>
        <v>97.359999999999985</v>
      </c>
      <c r="AB103" s="1611"/>
      <c r="AC103" s="1611">
        <f t="shared" ref="AC103" si="96">+AC94+AC98+AC100+AC102</f>
        <v>0</v>
      </c>
      <c r="AD103" s="1611"/>
      <c r="AE103" s="4226">
        <f t="shared" si="72"/>
        <v>97.359999999999985</v>
      </c>
      <c r="AF103" s="1611"/>
      <c r="AG103" s="1611">
        <f t="shared" ref="AG103" si="97">+AG94+AG98+AG100+AG102</f>
        <v>32.239999999999995</v>
      </c>
      <c r="AH103" s="1611"/>
      <c r="AI103" s="4226">
        <f t="shared" si="73"/>
        <v>129.59999999999997</v>
      </c>
      <c r="AJ103" s="1611"/>
      <c r="AK103" s="1611">
        <f t="shared" ref="AK103" si="98">+AK94+AK98+AK100+AK102</f>
        <v>503.66</v>
      </c>
      <c r="AL103" s="1611"/>
      <c r="AM103" s="4362">
        <f t="shared" si="74"/>
        <v>535.9</v>
      </c>
      <c r="AN103" s="1611"/>
      <c r="AO103" s="4226">
        <f t="shared" si="75"/>
        <v>633.26</v>
      </c>
      <c r="AP103" s="1611"/>
      <c r="AQ103" s="1611">
        <f t="shared" ref="AQ103" si="99">+AQ94+AQ98+AQ100+AQ102</f>
        <v>267.11999999999995</v>
      </c>
      <c r="AR103" s="1611"/>
      <c r="AS103" s="4226">
        <f t="shared" si="76"/>
        <v>900.37999999999988</v>
      </c>
      <c r="AT103" s="1611"/>
      <c r="AU103" s="1611">
        <f t="shared" ref="AU103" si="100">+AU94+AU98+AU100+AU102</f>
        <v>274.8900000000001</v>
      </c>
      <c r="AV103" s="1611"/>
      <c r="AW103" s="4226">
        <f t="shared" si="77"/>
        <v>1175.27</v>
      </c>
      <c r="AX103" s="1611"/>
      <c r="AY103" s="1611">
        <f t="shared" ref="AY103" si="101">+AY94+AY98+AY100+AY102</f>
        <v>586.24</v>
      </c>
      <c r="AZ103" s="1611"/>
      <c r="BA103" s="4362">
        <f t="shared" si="63"/>
        <v>1128.25</v>
      </c>
      <c r="BB103" s="4366"/>
      <c r="BC103" s="4366">
        <f t="shared" si="64"/>
        <v>1664.15</v>
      </c>
      <c r="BD103" s="4368"/>
      <c r="BE103" s="4368">
        <f t="shared" si="65"/>
        <v>1761.51</v>
      </c>
    </row>
    <row r="104" spans="2:57" s="334" customFormat="1" ht="12.75" customHeight="1" x14ac:dyDescent="0.25">
      <c r="B104" s="4546"/>
      <c r="C104" s="4547"/>
      <c r="D104" s="3180"/>
      <c r="E104" s="1608"/>
      <c r="F104" s="1609"/>
      <c r="G104" s="1609"/>
      <c r="H104" s="1610"/>
      <c r="I104" s="4525"/>
      <c r="J104" s="1610"/>
      <c r="K104" s="1609"/>
      <c r="L104" s="1610"/>
      <c r="M104" s="1609"/>
      <c r="N104" s="1610"/>
      <c r="O104" s="1609"/>
      <c r="P104" s="1610"/>
      <c r="Q104" s="4525"/>
      <c r="R104" s="1610"/>
      <c r="S104" s="1609"/>
      <c r="T104" s="1610"/>
      <c r="U104" s="4525"/>
      <c r="V104" s="1610"/>
      <c r="W104" s="1609"/>
      <c r="X104" s="1610"/>
      <c r="Y104" s="1609"/>
      <c r="Z104" s="1609"/>
      <c r="AA104" s="1609"/>
      <c r="AB104" s="1610"/>
      <c r="AC104" s="1609"/>
      <c r="AD104" s="1610"/>
      <c r="AE104" s="4525"/>
      <c r="AF104" s="1610"/>
      <c r="AG104" s="1609"/>
      <c r="AH104" s="1610"/>
      <c r="AI104" s="4525"/>
      <c r="AJ104" s="1610"/>
      <c r="AK104" s="1609"/>
      <c r="AL104" s="1610"/>
      <c r="AM104" s="1609"/>
      <c r="AN104" s="1610"/>
      <c r="AO104" s="4525"/>
      <c r="AP104" s="1610"/>
      <c r="AQ104" s="1609"/>
      <c r="AR104" s="1610"/>
      <c r="AS104" s="4525"/>
      <c r="AT104" s="1610"/>
      <c r="AU104" s="1609"/>
      <c r="AV104" s="1610"/>
      <c r="AW104" s="4525"/>
      <c r="AX104" s="1610"/>
      <c r="AY104" s="1609"/>
      <c r="AZ104" s="1610"/>
      <c r="BA104" s="1609"/>
      <c r="BB104" s="1609"/>
      <c r="BC104" s="1609"/>
      <c r="BD104" s="1609"/>
      <c r="BE104" s="1609"/>
    </row>
    <row r="105" spans="2:57" s="334" customFormat="1" ht="25.5" x14ac:dyDescent="0.25">
      <c r="B105" s="5070" t="s">
        <v>1699</v>
      </c>
      <c r="C105" s="5071"/>
      <c r="D105" s="3180"/>
      <c r="E105" s="1608"/>
      <c r="F105" s="1609"/>
      <c r="G105" s="1609"/>
      <c r="H105" s="1610"/>
      <c r="I105" s="4525"/>
      <c r="J105" s="1610"/>
      <c r="K105" s="1609"/>
      <c r="L105" s="1610"/>
      <c r="M105" s="1609"/>
      <c r="N105" s="1610"/>
      <c r="O105" s="1609"/>
      <c r="P105" s="1610"/>
      <c r="Q105" s="4525"/>
      <c r="R105" s="1610"/>
      <c r="S105" s="1609"/>
      <c r="T105" s="1610"/>
      <c r="U105" s="4525"/>
      <c r="V105" s="1610"/>
      <c r="W105" s="1609"/>
      <c r="X105" s="1610"/>
      <c r="Y105" s="1609"/>
      <c r="Z105" s="1609"/>
      <c r="AA105" s="1609"/>
      <c r="AB105" s="1610"/>
      <c r="AC105" s="1609"/>
      <c r="AD105" s="1610"/>
      <c r="AE105" s="4525"/>
      <c r="AF105" s="1610"/>
      <c r="AG105" s="1609"/>
      <c r="AH105" s="1610"/>
      <c r="AI105" s="4525"/>
      <c r="AJ105" s="1610"/>
      <c r="AK105" s="1609"/>
      <c r="AL105" s="1610"/>
      <c r="AM105" s="1609"/>
      <c r="AN105" s="1610"/>
      <c r="AO105" s="4525"/>
      <c r="AP105" s="1610"/>
      <c r="AQ105" s="1609"/>
      <c r="AR105" s="1610"/>
      <c r="AS105" s="4525"/>
      <c r="AT105" s="1610"/>
      <c r="AU105" s="1609"/>
      <c r="AV105" s="1610"/>
      <c r="AW105" s="4525"/>
      <c r="AX105" s="1610"/>
      <c r="AY105" s="1609"/>
      <c r="AZ105" s="1610"/>
      <c r="BA105" s="1609"/>
      <c r="BB105" s="1609"/>
      <c r="BC105" s="1609"/>
      <c r="BD105" s="1609"/>
      <c r="BE105" s="1609"/>
    </row>
    <row r="106" spans="2:57" s="334" customFormat="1" ht="22.5" x14ac:dyDescent="0.25">
      <c r="B106" s="3466" t="s">
        <v>842</v>
      </c>
      <c r="C106" s="934"/>
      <c r="D106" s="935"/>
      <c r="E106" s="1511"/>
      <c r="F106" s="3183"/>
      <c r="G106" s="935"/>
      <c r="H106" s="936"/>
      <c r="I106" s="4525"/>
      <c r="J106" s="936"/>
      <c r="K106" s="935"/>
      <c r="L106" s="936"/>
      <c r="M106" s="935"/>
      <c r="N106" s="936"/>
      <c r="O106" s="935"/>
      <c r="P106" s="936"/>
      <c r="Q106" s="4525"/>
      <c r="R106" s="936"/>
      <c r="S106" s="935"/>
      <c r="T106" s="936"/>
      <c r="U106" s="4525"/>
      <c r="V106" s="936"/>
      <c r="W106" s="935"/>
      <c r="X106" s="936"/>
      <c r="Y106" s="935"/>
      <c r="Z106" s="935"/>
      <c r="AA106" s="935"/>
      <c r="AB106" s="936"/>
      <c r="AC106" s="935"/>
      <c r="AD106" s="936"/>
      <c r="AE106" s="4525"/>
      <c r="AF106" s="936"/>
      <c r="AG106" s="935"/>
      <c r="AH106" s="936"/>
      <c r="AI106" s="4525"/>
      <c r="AJ106" s="936"/>
      <c r="AK106" s="935"/>
      <c r="AL106" s="936"/>
      <c r="AM106" s="935"/>
      <c r="AN106" s="936"/>
      <c r="AO106" s="4525"/>
      <c r="AP106" s="936"/>
      <c r="AQ106" s="935"/>
      <c r="AR106" s="936"/>
      <c r="AS106" s="4525"/>
      <c r="AT106" s="936"/>
      <c r="AU106" s="935"/>
      <c r="AV106" s="936"/>
      <c r="AW106" s="4525"/>
      <c r="AX106" s="936"/>
      <c r="AY106" s="935"/>
      <c r="AZ106" s="936"/>
      <c r="BA106" s="935"/>
      <c r="BB106" s="935"/>
      <c r="BC106" s="935"/>
      <c r="BD106" s="935"/>
      <c r="BE106" s="935"/>
    </row>
    <row r="107" spans="2:57" x14ac:dyDescent="0.25">
      <c r="B107" s="1993" t="s">
        <v>1333</v>
      </c>
      <c r="C107" s="3440" t="s">
        <v>393</v>
      </c>
      <c r="D107" s="3441"/>
      <c r="E107" s="1383">
        <v>14.28</v>
      </c>
      <c r="F107" s="1277"/>
      <c r="G107" s="238">
        <v>19.200000000000003</v>
      </c>
      <c r="H107" s="1612"/>
      <c r="I107" s="4226">
        <f t="shared" si="66"/>
        <v>33.480000000000004</v>
      </c>
      <c r="J107" s="1094"/>
      <c r="K107" s="238">
        <v>14.24</v>
      </c>
      <c r="L107" s="3435"/>
      <c r="M107" s="3767">
        <f t="shared" si="67"/>
        <v>47.720000000000006</v>
      </c>
      <c r="N107" s="1094"/>
      <c r="O107" s="1615">
        <v>0</v>
      </c>
      <c r="P107" s="192"/>
      <c r="Q107" s="4226">
        <f t="shared" si="68"/>
        <v>47.720000000000006</v>
      </c>
      <c r="R107" s="1195"/>
      <c r="S107" s="1383">
        <v>29.68</v>
      </c>
      <c r="T107" s="192"/>
      <c r="U107" s="4226">
        <f t="shared" si="69"/>
        <v>77.400000000000006</v>
      </c>
      <c r="V107" s="1195"/>
      <c r="W107" s="1383">
        <v>28.71</v>
      </c>
      <c r="X107" s="1613"/>
      <c r="Y107" s="3767">
        <f t="shared" si="70"/>
        <v>58.39</v>
      </c>
      <c r="Z107" s="3770"/>
      <c r="AA107" s="3770">
        <f t="shared" si="71"/>
        <v>106.11000000000001</v>
      </c>
      <c r="AB107" s="1195"/>
      <c r="AC107" s="1383">
        <v>0</v>
      </c>
      <c r="AD107" s="192"/>
      <c r="AE107" s="4226">
        <f t="shared" si="72"/>
        <v>106.11000000000001</v>
      </c>
      <c r="AF107" s="1195"/>
      <c r="AG107" s="1383">
        <v>0</v>
      </c>
      <c r="AH107" s="192"/>
      <c r="AI107" s="4226">
        <f t="shared" si="73"/>
        <v>106.11000000000001</v>
      </c>
      <c r="AJ107" s="1195"/>
      <c r="AK107" s="1383">
        <v>0</v>
      </c>
      <c r="AL107" s="1613"/>
      <c r="AM107" s="3767">
        <f t="shared" si="74"/>
        <v>0</v>
      </c>
      <c r="AN107" s="192"/>
      <c r="AO107" s="4226">
        <f t="shared" si="75"/>
        <v>106.11000000000001</v>
      </c>
      <c r="AP107" s="1195"/>
      <c r="AQ107" s="1383">
        <v>0</v>
      </c>
      <c r="AR107" s="192"/>
      <c r="AS107" s="4226">
        <f t="shared" si="76"/>
        <v>106.11000000000001</v>
      </c>
      <c r="AT107" s="1195"/>
      <c r="AU107" s="1383"/>
      <c r="AV107" s="192"/>
      <c r="AW107" s="4226">
        <f t="shared" si="77"/>
        <v>106.11000000000001</v>
      </c>
      <c r="AX107" s="1195"/>
      <c r="AY107" s="1383"/>
      <c r="AZ107" s="1613"/>
      <c r="BA107" s="3767">
        <f t="shared" si="63"/>
        <v>0</v>
      </c>
      <c r="BB107" s="3770"/>
      <c r="BC107" s="3770">
        <f t="shared" si="64"/>
        <v>0</v>
      </c>
      <c r="BD107" s="3983"/>
      <c r="BE107" s="3983">
        <f t="shared" si="65"/>
        <v>106.11000000000001</v>
      </c>
    </row>
    <row r="108" spans="2:57" x14ac:dyDescent="0.25">
      <c r="B108" s="1993" t="s">
        <v>1648</v>
      </c>
      <c r="C108" s="3440" t="s">
        <v>393</v>
      </c>
      <c r="D108" s="380"/>
      <c r="E108" s="1512">
        <v>0</v>
      </c>
      <c r="F108" s="3184"/>
      <c r="G108" s="238">
        <v>0</v>
      </c>
      <c r="H108" s="1612"/>
      <c r="I108" s="4226">
        <f t="shared" si="66"/>
        <v>0</v>
      </c>
      <c r="J108" s="1094"/>
      <c r="K108" s="238">
        <v>0</v>
      </c>
      <c r="L108" s="3435"/>
      <c r="M108" s="3767">
        <f t="shared" si="67"/>
        <v>0</v>
      </c>
      <c r="N108" s="1094"/>
      <c r="O108" s="1615">
        <v>0</v>
      </c>
      <c r="P108" s="192"/>
      <c r="Q108" s="4226">
        <f t="shared" si="68"/>
        <v>0</v>
      </c>
      <c r="R108" s="1195"/>
      <c r="S108" s="1383">
        <v>0</v>
      </c>
      <c r="T108" s="192"/>
      <c r="U108" s="4226">
        <f t="shared" si="69"/>
        <v>0</v>
      </c>
      <c r="V108" s="1195"/>
      <c r="W108" s="1383">
        <v>0</v>
      </c>
      <c r="X108" s="1613"/>
      <c r="Y108" s="3767">
        <f t="shared" si="70"/>
        <v>0</v>
      </c>
      <c r="Z108" s="3770"/>
      <c r="AA108" s="3770">
        <f t="shared" si="71"/>
        <v>0</v>
      </c>
      <c r="AB108" s="1195"/>
      <c r="AC108" s="1383">
        <v>3</v>
      </c>
      <c r="AD108" s="192"/>
      <c r="AE108" s="4226">
        <f t="shared" si="72"/>
        <v>3</v>
      </c>
      <c r="AF108" s="1195"/>
      <c r="AG108" s="1383">
        <v>0</v>
      </c>
      <c r="AH108" s="192"/>
      <c r="AI108" s="4226">
        <f t="shared" si="73"/>
        <v>3</v>
      </c>
      <c r="AJ108" s="1195"/>
      <c r="AK108" s="1383">
        <v>0</v>
      </c>
      <c r="AL108" s="1613"/>
      <c r="AM108" s="3767">
        <f t="shared" si="74"/>
        <v>3</v>
      </c>
      <c r="AN108" s="192"/>
      <c r="AO108" s="4226">
        <f t="shared" si="75"/>
        <v>3</v>
      </c>
      <c r="AP108" s="1195"/>
      <c r="AQ108" s="1383">
        <v>0</v>
      </c>
      <c r="AR108" s="192"/>
      <c r="AS108" s="4226">
        <f t="shared" si="76"/>
        <v>3</v>
      </c>
      <c r="AT108" s="1195"/>
      <c r="AU108" s="1383"/>
      <c r="AV108" s="192"/>
      <c r="AW108" s="4226">
        <f t="shared" si="77"/>
        <v>3</v>
      </c>
      <c r="AX108" s="1195"/>
      <c r="AY108" s="1383"/>
      <c r="AZ108" s="1613"/>
      <c r="BA108" s="3767">
        <f t="shared" si="63"/>
        <v>0</v>
      </c>
      <c r="BB108" s="3770"/>
      <c r="BC108" s="3770">
        <f t="shared" si="64"/>
        <v>3</v>
      </c>
      <c r="BD108" s="3983"/>
      <c r="BE108" s="3983">
        <f t="shared" si="65"/>
        <v>3</v>
      </c>
    </row>
    <row r="109" spans="2:57" x14ac:dyDescent="0.25">
      <c r="B109" s="1993" t="s">
        <v>1438</v>
      </c>
      <c r="C109" s="3440" t="s">
        <v>393</v>
      </c>
      <c r="D109" s="380"/>
      <c r="E109" s="1512">
        <v>0</v>
      </c>
      <c r="F109" s="3184"/>
      <c r="G109" s="1615">
        <v>1</v>
      </c>
      <c r="H109" s="1612"/>
      <c r="I109" s="4226">
        <f t="shared" si="66"/>
        <v>1</v>
      </c>
      <c r="J109" s="1094"/>
      <c r="K109" s="1615">
        <v>0</v>
      </c>
      <c r="L109" s="3435"/>
      <c r="M109" s="3767">
        <f t="shared" si="67"/>
        <v>1</v>
      </c>
      <c r="N109" s="1094"/>
      <c r="O109" s="1615">
        <v>0</v>
      </c>
      <c r="P109" s="192"/>
      <c r="Q109" s="4226">
        <f t="shared" si="68"/>
        <v>1</v>
      </c>
      <c r="R109" s="1195"/>
      <c r="S109" s="1383">
        <v>0</v>
      </c>
      <c r="T109" s="192"/>
      <c r="U109" s="4226">
        <f t="shared" si="69"/>
        <v>1</v>
      </c>
      <c r="V109" s="1195"/>
      <c r="W109" s="1383">
        <v>0</v>
      </c>
      <c r="X109" s="1613"/>
      <c r="Y109" s="3767">
        <f t="shared" si="70"/>
        <v>0</v>
      </c>
      <c r="Z109" s="3770"/>
      <c r="AA109" s="3770">
        <f t="shared" si="71"/>
        <v>1</v>
      </c>
      <c r="AB109" s="1195"/>
      <c r="AC109" s="1383">
        <v>0</v>
      </c>
      <c r="AD109" s="192"/>
      <c r="AE109" s="4226">
        <f t="shared" si="72"/>
        <v>1</v>
      </c>
      <c r="AF109" s="1195"/>
      <c r="AG109" s="1383">
        <v>0</v>
      </c>
      <c r="AH109" s="192"/>
      <c r="AI109" s="4226">
        <f t="shared" si="73"/>
        <v>1</v>
      </c>
      <c r="AJ109" s="1195"/>
      <c r="AK109" s="1383">
        <v>0</v>
      </c>
      <c r="AL109" s="1613"/>
      <c r="AM109" s="3767">
        <f t="shared" si="74"/>
        <v>0</v>
      </c>
      <c r="AN109" s="192"/>
      <c r="AO109" s="4226">
        <f t="shared" si="75"/>
        <v>1</v>
      </c>
      <c r="AP109" s="1195"/>
      <c r="AQ109" s="1383">
        <v>0</v>
      </c>
      <c r="AR109" s="192"/>
      <c r="AS109" s="4226">
        <f t="shared" si="76"/>
        <v>1</v>
      </c>
      <c r="AT109" s="1195"/>
      <c r="AU109" s="1383"/>
      <c r="AV109" s="192"/>
      <c r="AW109" s="4226">
        <f t="shared" si="77"/>
        <v>1</v>
      </c>
      <c r="AX109" s="1195"/>
      <c r="AY109" s="1383"/>
      <c r="AZ109" s="1613"/>
      <c r="BA109" s="3767">
        <f t="shared" si="63"/>
        <v>0</v>
      </c>
      <c r="BB109" s="3770"/>
      <c r="BC109" s="3770">
        <f t="shared" si="64"/>
        <v>0</v>
      </c>
      <c r="BD109" s="3983"/>
      <c r="BE109" s="3983">
        <f t="shared" si="65"/>
        <v>1</v>
      </c>
    </row>
    <row r="110" spans="2:57" x14ac:dyDescent="0.25">
      <c r="B110" s="1993" t="s">
        <v>1153</v>
      </c>
      <c r="C110" s="3440" t="s">
        <v>393</v>
      </c>
      <c r="D110" s="380"/>
      <c r="E110" s="1512">
        <v>0</v>
      </c>
      <c r="F110" s="3184"/>
      <c r="G110" s="238">
        <v>23.840000000000003</v>
      </c>
      <c r="H110" s="1612"/>
      <c r="I110" s="4226">
        <f t="shared" si="66"/>
        <v>23.840000000000003</v>
      </c>
      <c r="J110" s="1094"/>
      <c r="K110" s="238">
        <v>0</v>
      </c>
      <c r="L110" s="3435"/>
      <c r="M110" s="3767">
        <f t="shared" si="67"/>
        <v>23.840000000000003</v>
      </c>
      <c r="N110" s="1094"/>
      <c r="O110" s="238">
        <v>6.18</v>
      </c>
      <c r="P110" s="192"/>
      <c r="Q110" s="4226">
        <f t="shared" si="68"/>
        <v>30.020000000000003</v>
      </c>
      <c r="R110" s="1195"/>
      <c r="S110" s="1383">
        <v>0</v>
      </c>
      <c r="T110" s="192"/>
      <c r="U110" s="4226">
        <f t="shared" si="69"/>
        <v>30.020000000000003</v>
      </c>
      <c r="V110" s="1195"/>
      <c r="W110" s="1383">
        <v>0</v>
      </c>
      <c r="X110" s="1613"/>
      <c r="Y110" s="3767">
        <f t="shared" si="70"/>
        <v>6.18</v>
      </c>
      <c r="Z110" s="3770"/>
      <c r="AA110" s="3770">
        <f t="shared" si="71"/>
        <v>30.020000000000003</v>
      </c>
      <c r="AB110" s="1195"/>
      <c r="AC110" s="1383">
        <v>0</v>
      </c>
      <c r="AD110" s="192"/>
      <c r="AE110" s="4226">
        <f t="shared" si="72"/>
        <v>30.020000000000003</v>
      </c>
      <c r="AF110" s="1195"/>
      <c r="AG110" s="1383">
        <v>0</v>
      </c>
      <c r="AH110" s="192"/>
      <c r="AI110" s="4226">
        <f t="shared" si="73"/>
        <v>30.020000000000003</v>
      </c>
      <c r="AJ110" s="1195"/>
      <c r="AK110" s="1383">
        <v>0</v>
      </c>
      <c r="AL110" s="1613"/>
      <c r="AM110" s="3767">
        <f t="shared" si="74"/>
        <v>0</v>
      </c>
      <c r="AN110" s="192"/>
      <c r="AO110" s="4226">
        <f t="shared" si="75"/>
        <v>30.020000000000003</v>
      </c>
      <c r="AP110" s="1195"/>
      <c r="AQ110" s="1383">
        <v>0</v>
      </c>
      <c r="AR110" s="192"/>
      <c r="AS110" s="4226">
        <f t="shared" si="76"/>
        <v>30.020000000000003</v>
      </c>
      <c r="AT110" s="1195"/>
      <c r="AU110" s="1383"/>
      <c r="AV110" s="192"/>
      <c r="AW110" s="4226">
        <f t="shared" si="77"/>
        <v>30.020000000000003</v>
      </c>
      <c r="AX110" s="1195"/>
      <c r="AY110" s="1383"/>
      <c r="AZ110" s="1613"/>
      <c r="BA110" s="3767">
        <f t="shared" si="63"/>
        <v>0</v>
      </c>
      <c r="BB110" s="3770"/>
      <c r="BC110" s="3770">
        <f t="shared" si="64"/>
        <v>0</v>
      </c>
      <c r="BD110" s="3983"/>
      <c r="BE110" s="3983">
        <f t="shared" si="65"/>
        <v>30.020000000000003</v>
      </c>
    </row>
    <row r="111" spans="2:57" s="4534" customFormat="1" x14ac:dyDescent="0.25">
      <c r="B111" s="4533" t="s">
        <v>1278</v>
      </c>
      <c r="C111" s="3620"/>
      <c r="D111" s="380"/>
      <c r="E111" s="1512"/>
      <c r="F111" s="3184"/>
      <c r="G111" s="50"/>
      <c r="H111" s="1612"/>
      <c r="I111" s="4527"/>
      <c r="J111" s="1094"/>
      <c r="K111" s="50"/>
      <c r="L111" s="4526"/>
      <c r="M111" s="3767"/>
      <c r="N111" s="1094"/>
      <c r="O111" s="50"/>
      <c r="P111" s="192"/>
      <c r="Q111" s="4527"/>
      <c r="R111" s="1195"/>
      <c r="S111" s="1383"/>
      <c r="T111" s="192"/>
      <c r="U111" s="4527"/>
      <c r="V111" s="1195"/>
      <c r="W111" s="1383"/>
      <c r="X111" s="1613"/>
      <c r="Y111" s="3767"/>
      <c r="Z111" s="3770"/>
      <c r="AA111" s="3770"/>
      <c r="AB111" s="1195"/>
      <c r="AC111" s="1383"/>
      <c r="AD111" s="192"/>
      <c r="AE111" s="4527"/>
      <c r="AF111" s="1195"/>
      <c r="AG111" s="1383"/>
      <c r="AH111" s="192"/>
      <c r="AI111" s="4527"/>
      <c r="AJ111" s="1195"/>
      <c r="AK111" s="1383"/>
      <c r="AL111" s="1613"/>
      <c r="AM111" s="3767"/>
      <c r="AN111" s="192"/>
      <c r="AO111" s="4527"/>
      <c r="AP111" s="1195"/>
      <c r="AQ111" s="1383"/>
      <c r="AR111" s="192"/>
      <c r="AS111" s="4527"/>
      <c r="AT111" s="1195"/>
      <c r="AU111" s="1383"/>
      <c r="AV111" s="192"/>
      <c r="AW111" s="4527"/>
      <c r="AX111" s="1195"/>
      <c r="AY111" s="1383">
        <v>14.73</v>
      </c>
      <c r="AZ111" s="1613"/>
      <c r="BA111" s="3767">
        <f t="shared" si="63"/>
        <v>14.73</v>
      </c>
      <c r="BB111" s="3770"/>
      <c r="BC111" s="3770">
        <f t="shared" si="64"/>
        <v>14.73</v>
      </c>
      <c r="BD111" s="3983"/>
      <c r="BE111" s="3983">
        <f t="shared" si="65"/>
        <v>14.73</v>
      </c>
    </row>
    <row r="112" spans="2:57" s="107" customFormat="1" x14ac:dyDescent="0.25">
      <c r="B112" s="2851" t="s">
        <v>1609</v>
      </c>
      <c r="C112" s="3439" t="s">
        <v>393</v>
      </c>
      <c r="D112" s="2710"/>
      <c r="E112" s="674">
        <f>+E113+E114</f>
        <v>1432.2099999999998</v>
      </c>
      <c r="F112" s="2717"/>
      <c r="G112" s="674">
        <f>+G113+G114</f>
        <v>1555.1000000000004</v>
      </c>
      <c r="H112" s="3467"/>
      <c r="I112" s="4226">
        <f t="shared" si="66"/>
        <v>2987.3100000000004</v>
      </c>
      <c r="J112" s="1837"/>
      <c r="K112" s="674">
        <f>+K113+K114</f>
        <v>1998.2500000000002</v>
      </c>
      <c r="L112" s="2422"/>
      <c r="M112" s="552">
        <f t="shared" si="67"/>
        <v>4985.5600000000004</v>
      </c>
      <c r="N112" s="1837"/>
      <c r="O112" s="674">
        <f>+O113+O114</f>
        <v>1997.3200000000002</v>
      </c>
      <c r="P112" s="3468"/>
      <c r="Q112" s="4226">
        <f t="shared" si="68"/>
        <v>6982.880000000001</v>
      </c>
      <c r="R112" s="3469"/>
      <c r="S112" s="674">
        <f>+S113+S114</f>
        <v>2477.4999999999991</v>
      </c>
      <c r="T112" s="3468"/>
      <c r="U112" s="4226">
        <f t="shared" si="69"/>
        <v>9460.380000000001</v>
      </c>
      <c r="V112" s="3469"/>
      <c r="W112" s="674">
        <f>+W113+W114</f>
        <v>1490.36</v>
      </c>
      <c r="X112" s="3470"/>
      <c r="Y112" s="552">
        <f t="shared" si="70"/>
        <v>5965.1799999999994</v>
      </c>
      <c r="Z112" s="1268"/>
      <c r="AA112" s="1268">
        <f t="shared" si="71"/>
        <v>10950.740000000002</v>
      </c>
      <c r="AB112" s="3469"/>
      <c r="AC112" s="674">
        <f>+AC113+AC114</f>
        <v>1495.4500000000003</v>
      </c>
      <c r="AD112" s="3468"/>
      <c r="AE112" s="4226">
        <f t="shared" si="72"/>
        <v>12446.190000000002</v>
      </c>
      <c r="AF112" s="3469"/>
      <c r="AG112" s="674">
        <f>+AG113+AG114</f>
        <v>1494.6099999999997</v>
      </c>
      <c r="AH112" s="3468"/>
      <c r="AI112" s="4226">
        <f t="shared" si="73"/>
        <v>13940.800000000003</v>
      </c>
      <c r="AJ112" s="3469"/>
      <c r="AK112" s="674">
        <f>+AK113+AK114</f>
        <v>1492.3799999999997</v>
      </c>
      <c r="AL112" s="3470"/>
      <c r="AM112" s="552">
        <f t="shared" si="74"/>
        <v>4482.4399999999996</v>
      </c>
      <c r="AN112" s="3468"/>
      <c r="AO112" s="4226">
        <f t="shared" si="75"/>
        <v>15433.180000000002</v>
      </c>
      <c r="AP112" s="3469"/>
      <c r="AQ112" s="674">
        <f>+AQ113+AQ114</f>
        <v>1912.6799999999998</v>
      </c>
      <c r="AR112" s="3468"/>
      <c r="AS112" s="4226">
        <f t="shared" si="76"/>
        <v>17345.86</v>
      </c>
      <c r="AT112" s="3469"/>
      <c r="AU112" s="674">
        <f>+AU113+AU114</f>
        <v>2077.4599999999996</v>
      </c>
      <c r="AV112" s="3468"/>
      <c r="AW112" s="4226">
        <f t="shared" si="77"/>
        <v>19423.32</v>
      </c>
      <c r="AX112" s="3469"/>
      <c r="AY112" s="674">
        <f>+AY113+AY114</f>
        <v>2310.1900000000005</v>
      </c>
      <c r="AZ112" s="3470"/>
      <c r="BA112" s="552">
        <f t="shared" si="63"/>
        <v>6300.33</v>
      </c>
      <c r="BB112" s="1268"/>
      <c r="BC112" s="1268">
        <f t="shared" si="64"/>
        <v>10782.77</v>
      </c>
      <c r="BD112" s="418"/>
      <c r="BE112" s="418">
        <f t="shared" si="65"/>
        <v>21733.510000000002</v>
      </c>
    </row>
    <row r="113" spans="2:57" x14ac:dyDescent="0.25">
      <c r="B113" s="26" t="s">
        <v>1700</v>
      </c>
      <c r="C113" s="3440" t="s">
        <v>393</v>
      </c>
      <c r="D113" s="3441"/>
      <c r="E113" s="1383">
        <v>1432.2099999999998</v>
      </c>
      <c r="F113" s="1277"/>
      <c r="G113" s="238">
        <v>1555.1000000000004</v>
      </c>
      <c r="H113" s="1612"/>
      <c r="I113" s="4226">
        <f t="shared" si="66"/>
        <v>2987.3100000000004</v>
      </c>
      <c r="J113" s="1094"/>
      <c r="K113" s="238">
        <v>1998.2500000000002</v>
      </c>
      <c r="L113" s="3435"/>
      <c r="M113" s="163">
        <f t="shared" si="67"/>
        <v>4985.5600000000004</v>
      </c>
      <c r="N113" s="1094"/>
      <c r="O113" s="238">
        <v>1997.3200000000002</v>
      </c>
      <c r="P113" s="192"/>
      <c r="Q113" s="4226">
        <f t="shared" si="68"/>
        <v>6982.880000000001</v>
      </c>
      <c r="R113" s="1195"/>
      <c r="S113" s="40">
        <v>1992.4199999999992</v>
      </c>
      <c r="T113" s="192"/>
      <c r="U113" s="4226">
        <f t="shared" si="69"/>
        <v>8975.2999999999993</v>
      </c>
      <c r="V113" s="1195"/>
      <c r="W113" s="40">
        <v>1490.36</v>
      </c>
      <c r="X113" s="1613"/>
      <c r="Y113" s="163">
        <f t="shared" si="70"/>
        <v>5480.0999999999995</v>
      </c>
      <c r="Z113" s="1118"/>
      <c r="AA113" s="1118">
        <f t="shared" si="71"/>
        <v>10465.66</v>
      </c>
      <c r="AB113" s="1195"/>
      <c r="AC113" s="40">
        <v>1495.4500000000003</v>
      </c>
      <c r="AD113" s="192"/>
      <c r="AE113" s="4226">
        <f t="shared" si="72"/>
        <v>11961.11</v>
      </c>
      <c r="AF113" s="1195"/>
      <c r="AG113" s="40">
        <v>1494.6099999999997</v>
      </c>
      <c r="AH113" s="192"/>
      <c r="AI113" s="4226">
        <f t="shared" si="73"/>
        <v>13455.720000000001</v>
      </c>
      <c r="AJ113" s="1195"/>
      <c r="AK113" s="417">
        <v>1492.3799999999997</v>
      </c>
      <c r="AL113" s="1613"/>
      <c r="AM113" s="163">
        <f t="shared" si="74"/>
        <v>4482.4399999999996</v>
      </c>
      <c r="AN113" s="192"/>
      <c r="AO113" s="4226">
        <f t="shared" si="75"/>
        <v>14948.1</v>
      </c>
      <c r="AP113" s="1195"/>
      <c r="AQ113" s="417">
        <v>1912.6799999999998</v>
      </c>
      <c r="AR113" s="192"/>
      <c r="AS113" s="4226">
        <f t="shared" si="76"/>
        <v>16860.78</v>
      </c>
      <c r="AT113" s="1195"/>
      <c r="AU113" s="417">
        <v>2077.4599999999996</v>
      </c>
      <c r="AV113" s="192"/>
      <c r="AW113" s="4226">
        <f t="shared" si="77"/>
        <v>18938.239999999998</v>
      </c>
      <c r="AX113" s="1195"/>
      <c r="AY113" s="417">
        <v>1991.6400000000008</v>
      </c>
      <c r="AZ113" s="1613"/>
      <c r="BA113" s="163">
        <f t="shared" si="63"/>
        <v>5981.7800000000007</v>
      </c>
      <c r="BB113" s="1118"/>
      <c r="BC113" s="1118">
        <f t="shared" si="64"/>
        <v>10464.220000000001</v>
      </c>
      <c r="BD113" s="96"/>
      <c r="BE113" s="96">
        <f t="shared" si="65"/>
        <v>20929.88</v>
      </c>
    </row>
    <row r="114" spans="2:57" x14ac:dyDescent="0.25">
      <c r="B114" s="26" t="s">
        <v>1701</v>
      </c>
      <c r="C114" s="3440" t="s">
        <v>393</v>
      </c>
      <c r="D114" s="3441"/>
      <c r="E114" s="1383">
        <v>0</v>
      </c>
      <c r="F114" s="1277"/>
      <c r="G114" s="238">
        <v>0</v>
      </c>
      <c r="H114" s="1612"/>
      <c r="I114" s="4226">
        <f t="shared" si="66"/>
        <v>0</v>
      </c>
      <c r="J114" s="1094"/>
      <c r="K114" s="238">
        <v>0</v>
      </c>
      <c r="L114" s="3435"/>
      <c r="M114" s="163">
        <f t="shared" si="67"/>
        <v>0</v>
      </c>
      <c r="N114" s="1094"/>
      <c r="O114" s="238">
        <v>0</v>
      </c>
      <c r="P114" s="192"/>
      <c r="Q114" s="4226">
        <f t="shared" si="68"/>
        <v>0</v>
      </c>
      <c r="R114" s="1195"/>
      <c r="S114" s="40">
        <v>485.07999999999993</v>
      </c>
      <c r="T114" s="192"/>
      <c r="U114" s="4226">
        <f t="shared" si="69"/>
        <v>485.07999999999993</v>
      </c>
      <c r="V114" s="1195"/>
      <c r="W114" s="40">
        <v>0</v>
      </c>
      <c r="X114" s="1613"/>
      <c r="Y114" s="163">
        <f t="shared" si="70"/>
        <v>485.07999999999993</v>
      </c>
      <c r="Z114" s="1118"/>
      <c r="AA114" s="1118">
        <f t="shared" si="71"/>
        <v>485.07999999999993</v>
      </c>
      <c r="AB114" s="1195"/>
      <c r="AC114" s="40">
        <v>0</v>
      </c>
      <c r="AD114" s="192"/>
      <c r="AE114" s="4226">
        <f t="shared" si="72"/>
        <v>485.07999999999993</v>
      </c>
      <c r="AF114" s="1195"/>
      <c r="AG114" s="40">
        <v>0</v>
      </c>
      <c r="AH114" s="192"/>
      <c r="AI114" s="4226">
        <f t="shared" si="73"/>
        <v>485.07999999999993</v>
      </c>
      <c r="AJ114" s="1195"/>
      <c r="AK114" s="417">
        <v>0</v>
      </c>
      <c r="AL114" s="1613"/>
      <c r="AM114" s="163">
        <f t="shared" si="74"/>
        <v>0</v>
      </c>
      <c r="AN114" s="192"/>
      <c r="AO114" s="4226">
        <f t="shared" si="75"/>
        <v>485.07999999999993</v>
      </c>
      <c r="AP114" s="1195"/>
      <c r="AQ114" s="417">
        <v>0</v>
      </c>
      <c r="AR114" s="192"/>
      <c r="AS114" s="4226">
        <f t="shared" si="76"/>
        <v>485.07999999999993</v>
      </c>
      <c r="AT114" s="1195"/>
      <c r="AU114" s="417"/>
      <c r="AV114" s="192"/>
      <c r="AW114" s="4226">
        <f t="shared" si="77"/>
        <v>485.07999999999993</v>
      </c>
      <c r="AX114" s="1195"/>
      <c r="AY114" s="417">
        <v>318.54999999999995</v>
      </c>
      <c r="AZ114" s="1613"/>
      <c r="BA114" s="163">
        <f t="shared" si="63"/>
        <v>318.54999999999995</v>
      </c>
      <c r="BB114" s="1118"/>
      <c r="BC114" s="1118">
        <f t="shared" si="64"/>
        <v>318.54999999999995</v>
      </c>
      <c r="BD114" s="96"/>
      <c r="BE114" s="96">
        <f t="shared" si="65"/>
        <v>803.62999999999988</v>
      </c>
    </row>
    <row r="115" spans="2:57" x14ac:dyDescent="0.25">
      <c r="B115" s="1993" t="s">
        <v>1660</v>
      </c>
      <c r="C115" s="3440" t="s">
        <v>393</v>
      </c>
      <c r="D115" s="3441"/>
      <c r="E115" s="1383">
        <v>0</v>
      </c>
      <c r="F115" s="1277"/>
      <c r="G115" s="238">
        <v>0</v>
      </c>
      <c r="H115" s="1612"/>
      <c r="I115" s="4226">
        <f t="shared" si="66"/>
        <v>0</v>
      </c>
      <c r="J115" s="1094"/>
      <c r="K115" s="238">
        <v>0</v>
      </c>
      <c r="L115" s="3435"/>
      <c r="M115" s="3767">
        <f t="shared" si="67"/>
        <v>0</v>
      </c>
      <c r="N115" s="1094"/>
      <c r="O115" s="238">
        <v>0</v>
      </c>
      <c r="P115" s="192"/>
      <c r="Q115" s="4226">
        <f t="shared" si="68"/>
        <v>0</v>
      </c>
      <c r="R115" s="1195"/>
      <c r="S115" s="40">
        <v>8.36</v>
      </c>
      <c r="T115" s="192"/>
      <c r="U115" s="4226">
        <f t="shared" si="69"/>
        <v>8.36</v>
      </c>
      <c r="V115" s="1195"/>
      <c r="W115" s="40">
        <v>0</v>
      </c>
      <c r="X115" s="1613"/>
      <c r="Y115" s="3767">
        <f t="shared" si="70"/>
        <v>8.36</v>
      </c>
      <c r="Z115" s="3770"/>
      <c r="AA115" s="3770">
        <f t="shared" si="71"/>
        <v>8.36</v>
      </c>
      <c r="AB115" s="1195"/>
      <c r="AC115" s="40">
        <v>0</v>
      </c>
      <c r="AD115" s="192"/>
      <c r="AE115" s="4226">
        <f t="shared" si="72"/>
        <v>8.36</v>
      </c>
      <c r="AF115" s="1195"/>
      <c r="AG115" s="40">
        <v>0</v>
      </c>
      <c r="AH115" s="192"/>
      <c r="AI115" s="4226">
        <f t="shared" si="73"/>
        <v>8.36</v>
      </c>
      <c r="AJ115" s="1195"/>
      <c r="AK115" s="1383">
        <v>0</v>
      </c>
      <c r="AL115" s="1613"/>
      <c r="AM115" s="3767">
        <f t="shared" si="74"/>
        <v>0</v>
      </c>
      <c r="AN115" s="192"/>
      <c r="AO115" s="4226">
        <f t="shared" si="75"/>
        <v>8.36</v>
      </c>
      <c r="AP115" s="1195"/>
      <c r="AQ115" s="1383">
        <v>0</v>
      </c>
      <c r="AR115" s="192"/>
      <c r="AS115" s="4226">
        <f t="shared" si="76"/>
        <v>8.36</v>
      </c>
      <c r="AT115" s="1195"/>
      <c r="AU115" s="1383"/>
      <c r="AV115" s="192"/>
      <c r="AW115" s="4226">
        <f t="shared" si="77"/>
        <v>8.36</v>
      </c>
      <c r="AX115" s="1195"/>
      <c r="AY115" s="1383"/>
      <c r="AZ115" s="1613"/>
      <c r="BA115" s="3767">
        <f t="shared" si="63"/>
        <v>0</v>
      </c>
      <c r="BB115" s="3770"/>
      <c r="BC115" s="3770">
        <f t="shared" si="64"/>
        <v>0</v>
      </c>
      <c r="BD115" s="3983"/>
      <c r="BE115" s="3983">
        <f t="shared" si="65"/>
        <v>8.36</v>
      </c>
    </row>
    <row r="116" spans="2:57" x14ac:dyDescent="0.25">
      <c r="B116" s="3869" t="s">
        <v>1768</v>
      </c>
      <c r="C116" s="3620" t="s">
        <v>393</v>
      </c>
      <c r="D116" s="3621"/>
      <c r="E116" s="1383"/>
      <c r="F116" s="1277"/>
      <c r="G116" s="3864"/>
      <c r="H116" s="1612"/>
      <c r="I116" s="4226">
        <f t="shared" si="66"/>
        <v>0</v>
      </c>
      <c r="J116" s="1094"/>
      <c r="K116" s="3864"/>
      <c r="L116" s="3866"/>
      <c r="M116" s="3767">
        <f t="shared" si="67"/>
        <v>0</v>
      </c>
      <c r="N116" s="1094"/>
      <c r="O116" s="3864"/>
      <c r="P116" s="192"/>
      <c r="Q116" s="4226">
        <f t="shared" si="68"/>
        <v>0</v>
      </c>
      <c r="R116" s="1195"/>
      <c r="S116" s="40"/>
      <c r="T116" s="192"/>
      <c r="U116" s="4226">
        <f t="shared" si="69"/>
        <v>0</v>
      </c>
      <c r="V116" s="1195"/>
      <c r="W116" s="40"/>
      <c r="X116" s="1613"/>
      <c r="Y116" s="3767">
        <f t="shared" si="70"/>
        <v>0</v>
      </c>
      <c r="Z116" s="3770"/>
      <c r="AA116" s="3770">
        <f t="shared" si="71"/>
        <v>0</v>
      </c>
      <c r="AB116" s="1195"/>
      <c r="AC116" s="40"/>
      <c r="AD116" s="192"/>
      <c r="AE116" s="4226">
        <f t="shared" si="72"/>
        <v>0</v>
      </c>
      <c r="AF116" s="1195"/>
      <c r="AG116" s="40"/>
      <c r="AH116" s="192"/>
      <c r="AI116" s="4226">
        <f t="shared" si="73"/>
        <v>0</v>
      </c>
      <c r="AJ116" s="1195"/>
      <c r="AK116" s="1383"/>
      <c r="AL116" s="1613"/>
      <c r="AM116" s="3767">
        <f t="shared" si="74"/>
        <v>0</v>
      </c>
      <c r="AN116" s="192"/>
      <c r="AO116" s="4226">
        <f t="shared" si="75"/>
        <v>0</v>
      </c>
      <c r="AP116" s="1195"/>
      <c r="AQ116" s="1383">
        <v>9.9600000000000009</v>
      </c>
      <c r="AR116" s="192"/>
      <c r="AS116" s="4226">
        <f t="shared" si="76"/>
        <v>9.9600000000000009</v>
      </c>
      <c r="AT116" s="1195"/>
      <c r="AU116" s="1383"/>
      <c r="AV116" s="192"/>
      <c r="AW116" s="4226">
        <f t="shared" si="77"/>
        <v>9.9600000000000009</v>
      </c>
      <c r="AX116" s="1195"/>
      <c r="AY116" s="1383"/>
      <c r="AZ116" s="1613"/>
      <c r="BA116" s="3767">
        <f t="shared" si="63"/>
        <v>9.9600000000000009</v>
      </c>
      <c r="BB116" s="3770"/>
      <c r="BC116" s="3770">
        <f t="shared" si="64"/>
        <v>9.9600000000000009</v>
      </c>
      <c r="BD116" s="3983"/>
      <c r="BE116" s="3983">
        <f t="shared" si="65"/>
        <v>9.9600000000000009</v>
      </c>
    </row>
    <row r="117" spans="2:57" x14ac:dyDescent="0.25">
      <c r="B117" s="1993" t="s">
        <v>789</v>
      </c>
      <c r="C117" s="3440" t="s">
        <v>393</v>
      </c>
      <c r="D117" s="3441"/>
      <c r="E117" s="1383">
        <v>0</v>
      </c>
      <c r="F117" s="1277"/>
      <c r="G117" s="238">
        <v>47.33</v>
      </c>
      <c r="H117" s="1612"/>
      <c r="I117" s="4226">
        <f t="shared" si="66"/>
        <v>47.33</v>
      </c>
      <c r="J117" s="1094"/>
      <c r="K117" s="238">
        <v>34.379999999999995</v>
      </c>
      <c r="L117" s="3435"/>
      <c r="M117" s="3767">
        <f t="shared" si="67"/>
        <v>81.709999999999994</v>
      </c>
      <c r="N117" s="1094"/>
      <c r="O117" s="238">
        <v>48.57</v>
      </c>
      <c r="P117" s="192"/>
      <c r="Q117" s="4226">
        <f t="shared" si="68"/>
        <v>130.28</v>
      </c>
      <c r="R117" s="1195"/>
      <c r="S117" s="1383">
        <v>0</v>
      </c>
      <c r="T117" s="192"/>
      <c r="U117" s="4226">
        <f t="shared" si="69"/>
        <v>130.28</v>
      </c>
      <c r="V117" s="1195"/>
      <c r="W117" s="1383">
        <v>0</v>
      </c>
      <c r="X117" s="1613"/>
      <c r="Y117" s="3767">
        <f t="shared" si="70"/>
        <v>48.57</v>
      </c>
      <c r="Z117" s="3770"/>
      <c r="AA117" s="3770">
        <f t="shared" si="71"/>
        <v>130.28</v>
      </c>
      <c r="AB117" s="1195"/>
      <c r="AC117" s="1383">
        <v>0</v>
      </c>
      <c r="AD117" s="192"/>
      <c r="AE117" s="4226">
        <f t="shared" si="72"/>
        <v>130.28</v>
      </c>
      <c r="AF117" s="1195"/>
      <c r="AG117" s="1383">
        <v>0</v>
      </c>
      <c r="AH117" s="192"/>
      <c r="AI117" s="4226">
        <f t="shared" si="73"/>
        <v>130.28</v>
      </c>
      <c r="AJ117" s="1195"/>
      <c r="AK117" s="1383">
        <v>0</v>
      </c>
      <c r="AL117" s="1613"/>
      <c r="AM117" s="3767">
        <f t="shared" si="74"/>
        <v>0</v>
      </c>
      <c r="AN117" s="192"/>
      <c r="AO117" s="4226">
        <f t="shared" si="75"/>
        <v>130.28</v>
      </c>
      <c r="AP117" s="1195"/>
      <c r="AQ117" s="1383">
        <v>0</v>
      </c>
      <c r="AR117" s="192"/>
      <c r="AS117" s="4226">
        <f t="shared" si="76"/>
        <v>130.28</v>
      </c>
      <c r="AT117" s="1195"/>
      <c r="AU117" s="1383"/>
      <c r="AV117" s="192"/>
      <c r="AW117" s="4226">
        <f t="shared" si="77"/>
        <v>130.28</v>
      </c>
      <c r="AX117" s="1195"/>
      <c r="AY117" s="1383">
        <v>8.56</v>
      </c>
      <c r="AZ117" s="1613"/>
      <c r="BA117" s="3767">
        <f t="shared" si="63"/>
        <v>8.56</v>
      </c>
      <c r="BB117" s="3770"/>
      <c r="BC117" s="3770">
        <f t="shared" si="64"/>
        <v>8.56</v>
      </c>
      <c r="BD117" s="3983"/>
      <c r="BE117" s="3983">
        <f t="shared" si="65"/>
        <v>138.84</v>
      </c>
    </row>
    <row r="118" spans="2:57" s="4534" customFormat="1" x14ac:dyDescent="0.25">
      <c r="B118" s="4533" t="s">
        <v>1868</v>
      </c>
      <c r="C118" s="3620"/>
      <c r="D118" s="3621"/>
      <c r="E118" s="1383"/>
      <c r="F118" s="1277"/>
      <c r="G118" s="4524"/>
      <c r="H118" s="1612"/>
      <c r="I118" s="4527"/>
      <c r="J118" s="1094"/>
      <c r="K118" s="4524"/>
      <c r="L118" s="4526"/>
      <c r="M118" s="3767"/>
      <c r="N118" s="1094"/>
      <c r="O118" s="4524"/>
      <c r="P118" s="192"/>
      <c r="Q118" s="4527"/>
      <c r="R118" s="1195"/>
      <c r="S118" s="1383"/>
      <c r="T118" s="192"/>
      <c r="U118" s="4527"/>
      <c r="V118" s="1195"/>
      <c r="W118" s="1383"/>
      <c r="X118" s="1613"/>
      <c r="Y118" s="3767"/>
      <c r="Z118" s="3770"/>
      <c r="AA118" s="3770"/>
      <c r="AB118" s="1195"/>
      <c r="AC118" s="1383"/>
      <c r="AD118" s="192"/>
      <c r="AE118" s="4527"/>
      <c r="AF118" s="1195"/>
      <c r="AG118" s="1383"/>
      <c r="AH118" s="192"/>
      <c r="AI118" s="4527"/>
      <c r="AJ118" s="1195"/>
      <c r="AK118" s="1383"/>
      <c r="AL118" s="1613"/>
      <c r="AM118" s="3767"/>
      <c r="AN118" s="192"/>
      <c r="AO118" s="4527"/>
      <c r="AP118" s="1195"/>
      <c r="AQ118" s="1383"/>
      <c r="AR118" s="192"/>
      <c r="AS118" s="4527"/>
      <c r="AT118" s="1195"/>
      <c r="AU118" s="1383"/>
      <c r="AV118" s="192"/>
      <c r="AW118" s="4527"/>
      <c r="AX118" s="1195"/>
      <c r="AY118" s="1383">
        <v>108.8</v>
      </c>
      <c r="AZ118" s="1613"/>
      <c r="BA118" s="3767">
        <f t="shared" si="63"/>
        <v>108.8</v>
      </c>
      <c r="BB118" s="3770"/>
      <c r="BC118" s="3770">
        <f t="shared" si="64"/>
        <v>108.8</v>
      </c>
      <c r="BD118" s="3983"/>
      <c r="BE118" s="3983">
        <f t="shared" si="65"/>
        <v>108.8</v>
      </c>
    </row>
    <row r="119" spans="2:57" x14ac:dyDescent="0.25">
      <c r="B119" s="1993" t="s">
        <v>1401</v>
      </c>
      <c r="C119" s="3440" t="s">
        <v>393</v>
      </c>
      <c r="D119" s="3441"/>
      <c r="E119" s="1383">
        <v>0</v>
      </c>
      <c r="F119" s="1277"/>
      <c r="G119" s="238">
        <v>0</v>
      </c>
      <c r="H119" s="1612"/>
      <c r="I119" s="4226">
        <f t="shared" si="66"/>
        <v>0</v>
      </c>
      <c r="J119" s="1094"/>
      <c r="K119" s="238">
        <v>4.78</v>
      </c>
      <c r="L119" s="3435"/>
      <c r="M119" s="3767">
        <f t="shared" si="67"/>
        <v>4.78</v>
      </c>
      <c r="N119" s="1094"/>
      <c r="O119" s="1615">
        <v>0</v>
      </c>
      <c r="P119" s="192"/>
      <c r="Q119" s="4226">
        <f t="shared" si="68"/>
        <v>4.78</v>
      </c>
      <c r="R119" s="1195"/>
      <c r="S119" s="1383">
        <v>0</v>
      </c>
      <c r="T119" s="192"/>
      <c r="U119" s="4226">
        <f t="shared" si="69"/>
        <v>4.78</v>
      </c>
      <c r="V119" s="1195"/>
      <c r="W119" s="1383">
        <v>0</v>
      </c>
      <c r="X119" s="1613"/>
      <c r="Y119" s="3767">
        <f t="shared" si="70"/>
        <v>0</v>
      </c>
      <c r="Z119" s="3770"/>
      <c r="AA119" s="3770">
        <f t="shared" si="71"/>
        <v>4.78</v>
      </c>
      <c r="AB119" s="1195"/>
      <c r="AC119" s="1383">
        <v>0</v>
      </c>
      <c r="AD119" s="192"/>
      <c r="AE119" s="4226">
        <f t="shared" si="72"/>
        <v>4.78</v>
      </c>
      <c r="AF119" s="1195"/>
      <c r="AG119" s="1383">
        <v>0</v>
      </c>
      <c r="AH119" s="192"/>
      <c r="AI119" s="4226">
        <f t="shared" si="73"/>
        <v>4.78</v>
      </c>
      <c r="AJ119" s="1195"/>
      <c r="AK119" s="1383">
        <v>0</v>
      </c>
      <c r="AL119" s="1613"/>
      <c r="AM119" s="3767">
        <f t="shared" si="74"/>
        <v>0</v>
      </c>
      <c r="AN119" s="192"/>
      <c r="AO119" s="4226">
        <f t="shared" si="75"/>
        <v>4.78</v>
      </c>
      <c r="AP119" s="1195"/>
      <c r="AQ119" s="1383">
        <v>0</v>
      </c>
      <c r="AR119" s="192"/>
      <c r="AS119" s="4226">
        <f t="shared" si="76"/>
        <v>4.78</v>
      </c>
      <c r="AT119" s="1195"/>
      <c r="AU119" s="1383"/>
      <c r="AV119" s="192"/>
      <c r="AW119" s="4226">
        <f t="shared" si="77"/>
        <v>4.78</v>
      </c>
      <c r="AX119" s="1195"/>
      <c r="AY119" s="1383"/>
      <c r="AZ119" s="1613"/>
      <c r="BA119" s="3767">
        <f t="shared" si="63"/>
        <v>0</v>
      </c>
      <c r="BB119" s="3770"/>
      <c r="BC119" s="3770">
        <f t="shared" si="64"/>
        <v>0</v>
      </c>
      <c r="BD119" s="3983"/>
      <c r="BE119" s="3983">
        <f t="shared" si="65"/>
        <v>4.78</v>
      </c>
    </row>
    <row r="120" spans="2:57" x14ac:dyDescent="0.25">
      <c r="B120" s="1993" t="s">
        <v>1689</v>
      </c>
      <c r="C120" s="3440" t="s">
        <v>393</v>
      </c>
      <c r="D120" s="3441"/>
      <c r="E120" s="1383">
        <v>0</v>
      </c>
      <c r="F120" s="1277"/>
      <c r="G120" s="238">
        <v>0</v>
      </c>
      <c r="H120" s="1612"/>
      <c r="I120" s="4226">
        <f t="shared" si="66"/>
        <v>0</v>
      </c>
      <c r="J120" s="1094"/>
      <c r="K120" s="238">
        <v>0</v>
      </c>
      <c r="L120" s="3435"/>
      <c r="M120" s="3767">
        <f t="shared" si="67"/>
        <v>0</v>
      </c>
      <c r="N120" s="1094"/>
      <c r="O120" s="1615">
        <v>0</v>
      </c>
      <c r="P120" s="192"/>
      <c r="Q120" s="4226">
        <f t="shared" si="68"/>
        <v>0</v>
      </c>
      <c r="R120" s="1195"/>
      <c r="S120" s="1383">
        <v>0</v>
      </c>
      <c r="T120" s="192"/>
      <c r="U120" s="4226">
        <f t="shared" si="69"/>
        <v>0</v>
      </c>
      <c r="V120" s="1195"/>
      <c r="W120" s="1383">
        <v>0</v>
      </c>
      <c r="X120" s="1613"/>
      <c r="Y120" s="3767">
        <f t="shared" si="70"/>
        <v>0</v>
      </c>
      <c r="Z120" s="3770"/>
      <c r="AA120" s="3770">
        <f t="shared" si="71"/>
        <v>0</v>
      </c>
      <c r="AB120" s="1195"/>
      <c r="AC120" s="1383">
        <v>0</v>
      </c>
      <c r="AD120" s="192"/>
      <c r="AE120" s="4226">
        <f t="shared" si="72"/>
        <v>0</v>
      </c>
      <c r="AF120" s="1195"/>
      <c r="AG120" s="1383">
        <v>1.03</v>
      </c>
      <c r="AH120" s="192"/>
      <c r="AI120" s="4226">
        <f t="shared" si="73"/>
        <v>1.03</v>
      </c>
      <c r="AJ120" s="1195"/>
      <c r="AK120" s="1383">
        <v>0</v>
      </c>
      <c r="AL120" s="1613"/>
      <c r="AM120" s="3767">
        <f t="shared" si="74"/>
        <v>1.03</v>
      </c>
      <c r="AN120" s="192"/>
      <c r="AO120" s="4226">
        <f t="shared" si="75"/>
        <v>1.03</v>
      </c>
      <c r="AP120" s="1195"/>
      <c r="AQ120" s="1383">
        <v>0</v>
      </c>
      <c r="AR120" s="192"/>
      <c r="AS120" s="4226">
        <f t="shared" si="76"/>
        <v>1.03</v>
      </c>
      <c r="AT120" s="1195"/>
      <c r="AU120" s="1383"/>
      <c r="AV120" s="192"/>
      <c r="AW120" s="4226">
        <f t="shared" si="77"/>
        <v>1.03</v>
      </c>
      <c r="AX120" s="1195"/>
      <c r="AY120" s="1383"/>
      <c r="AZ120" s="1613"/>
      <c r="BA120" s="3767">
        <f t="shared" si="63"/>
        <v>0</v>
      </c>
      <c r="BB120" s="3770"/>
      <c r="BC120" s="3770">
        <f t="shared" si="64"/>
        <v>1.03</v>
      </c>
      <c r="BD120" s="3983"/>
      <c r="BE120" s="3983">
        <f t="shared" si="65"/>
        <v>1.03</v>
      </c>
    </row>
    <row r="121" spans="2:57" x14ac:dyDescent="0.25">
      <c r="B121" s="1993" t="s">
        <v>1690</v>
      </c>
      <c r="C121" s="3440" t="s">
        <v>393</v>
      </c>
      <c r="D121" s="3441"/>
      <c r="E121" s="1383">
        <v>0</v>
      </c>
      <c r="F121" s="1277"/>
      <c r="G121" s="238">
        <v>0</v>
      </c>
      <c r="H121" s="1612"/>
      <c r="I121" s="4226">
        <f t="shared" si="66"/>
        <v>0</v>
      </c>
      <c r="J121" s="1094"/>
      <c r="K121" s="238">
        <v>0</v>
      </c>
      <c r="L121" s="3435"/>
      <c r="M121" s="3767">
        <f t="shared" si="67"/>
        <v>0</v>
      </c>
      <c r="N121" s="1094"/>
      <c r="O121" s="1615">
        <v>0</v>
      </c>
      <c r="P121" s="192"/>
      <c r="Q121" s="4226">
        <f t="shared" si="68"/>
        <v>0</v>
      </c>
      <c r="R121" s="1195"/>
      <c r="S121" s="1383">
        <v>0</v>
      </c>
      <c r="T121" s="192"/>
      <c r="U121" s="4226">
        <f t="shared" si="69"/>
        <v>0</v>
      </c>
      <c r="V121" s="1195"/>
      <c r="W121" s="1383">
        <v>0</v>
      </c>
      <c r="X121" s="1613"/>
      <c r="Y121" s="3767">
        <f t="shared" si="70"/>
        <v>0</v>
      </c>
      <c r="Z121" s="3770"/>
      <c r="AA121" s="3770">
        <f t="shared" si="71"/>
        <v>0</v>
      </c>
      <c r="AB121" s="1195"/>
      <c r="AC121" s="1383">
        <v>0</v>
      </c>
      <c r="AD121" s="192"/>
      <c r="AE121" s="4226">
        <f t="shared" si="72"/>
        <v>0</v>
      </c>
      <c r="AF121" s="1195"/>
      <c r="AG121" s="1383">
        <v>50</v>
      </c>
      <c r="AH121" s="192"/>
      <c r="AI121" s="4226">
        <f t="shared" si="73"/>
        <v>50</v>
      </c>
      <c r="AJ121" s="1195"/>
      <c r="AK121" s="1383">
        <v>0</v>
      </c>
      <c r="AL121" s="1613"/>
      <c r="AM121" s="3767">
        <f t="shared" si="74"/>
        <v>50</v>
      </c>
      <c r="AN121" s="192"/>
      <c r="AO121" s="4226">
        <f t="shared" si="75"/>
        <v>50</v>
      </c>
      <c r="AP121" s="1195"/>
      <c r="AQ121" s="1383">
        <v>0</v>
      </c>
      <c r="AR121" s="192"/>
      <c r="AS121" s="4226">
        <f t="shared" si="76"/>
        <v>50</v>
      </c>
      <c r="AT121" s="1195"/>
      <c r="AU121" s="1383"/>
      <c r="AV121" s="192"/>
      <c r="AW121" s="4226">
        <f t="shared" si="77"/>
        <v>50</v>
      </c>
      <c r="AX121" s="1195"/>
      <c r="AY121" s="1383"/>
      <c r="AZ121" s="1613"/>
      <c r="BA121" s="3767">
        <f t="shared" si="63"/>
        <v>0</v>
      </c>
      <c r="BB121" s="3770"/>
      <c r="BC121" s="3770">
        <f t="shared" si="64"/>
        <v>50</v>
      </c>
      <c r="BD121" s="3983"/>
      <c r="BE121" s="3983">
        <f t="shared" si="65"/>
        <v>50</v>
      </c>
    </row>
    <row r="122" spans="2:57" x14ac:dyDescent="0.25">
      <c r="B122" s="1993" t="s">
        <v>1649</v>
      </c>
      <c r="C122" s="3440" t="s">
        <v>393</v>
      </c>
      <c r="D122" s="3441"/>
      <c r="E122" s="1383">
        <v>0</v>
      </c>
      <c r="F122" s="1277"/>
      <c r="G122" s="238">
        <v>0</v>
      </c>
      <c r="H122" s="1612"/>
      <c r="I122" s="4226">
        <f t="shared" si="66"/>
        <v>0</v>
      </c>
      <c r="J122" s="1094"/>
      <c r="K122" s="238">
        <v>0</v>
      </c>
      <c r="L122" s="3435"/>
      <c r="M122" s="3767">
        <f t="shared" si="67"/>
        <v>0</v>
      </c>
      <c r="N122" s="1094"/>
      <c r="O122" s="1615">
        <v>0</v>
      </c>
      <c r="P122" s="192"/>
      <c r="Q122" s="4226">
        <f t="shared" si="68"/>
        <v>0</v>
      </c>
      <c r="R122" s="1195"/>
      <c r="S122" s="1383">
        <v>0</v>
      </c>
      <c r="T122" s="192"/>
      <c r="U122" s="4226">
        <f t="shared" si="69"/>
        <v>0</v>
      </c>
      <c r="V122" s="1195"/>
      <c r="W122" s="1383">
        <v>0</v>
      </c>
      <c r="X122" s="1613"/>
      <c r="Y122" s="3767">
        <f t="shared" si="70"/>
        <v>0</v>
      </c>
      <c r="Z122" s="3770"/>
      <c r="AA122" s="3770">
        <f t="shared" si="71"/>
        <v>0</v>
      </c>
      <c r="AB122" s="1195"/>
      <c r="AC122" s="1383">
        <v>29.12</v>
      </c>
      <c r="AD122" s="192"/>
      <c r="AE122" s="4226">
        <f t="shared" si="72"/>
        <v>29.12</v>
      </c>
      <c r="AF122" s="1195"/>
      <c r="AG122" s="1383">
        <v>0</v>
      </c>
      <c r="AH122" s="192"/>
      <c r="AI122" s="4226">
        <f t="shared" si="73"/>
        <v>29.12</v>
      </c>
      <c r="AJ122" s="1195"/>
      <c r="AK122" s="1383">
        <v>0</v>
      </c>
      <c r="AL122" s="1613"/>
      <c r="AM122" s="3767">
        <f t="shared" si="74"/>
        <v>29.12</v>
      </c>
      <c r="AN122" s="192"/>
      <c r="AO122" s="4226">
        <f t="shared" si="75"/>
        <v>29.12</v>
      </c>
      <c r="AP122" s="1195"/>
      <c r="AQ122" s="1383">
        <v>0</v>
      </c>
      <c r="AR122" s="192"/>
      <c r="AS122" s="4226">
        <f t="shared" si="76"/>
        <v>29.12</v>
      </c>
      <c r="AT122" s="1195"/>
      <c r="AU122" s="1383"/>
      <c r="AV122" s="192"/>
      <c r="AW122" s="4226">
        <f t="shared" si="77"/>
        <v>29.12</v>
      </c>
      <c r="AX122" s="1195"/>
      <c r="AY122" s="1383"/>
      <c r="AZ122" s="1613"/>
      <c r="BA122" s="3767">
        <f t="shared" si="63"/>
        <v>0</v>
      </c>
      <c r="BB122" s="3770"/>
      <c r="BC122" s="3770">
        <f t="shared" si="64"/>
        <v>29.12</v>
      </c>
      <c r="BD122" s="3983"/>
      <c r="BE122" s="3983">
        <f t="shared" si="65"/>
        <v>29.12</v>
      </c>
    </row>
    <row r="123" spans="2:57" s="60" customFormat="1" x14ac:dyDescent="0.25">
      <c r="B123" s="673" t="s">
        <v>1869</v>
      </c>
      <c r="C123" s="4529" t="s">
        <v>393</v>
      </c>
      <c r="D123" s="4549"/>
      <c r="E123" s="419"/>
      <c r="F123" s="2717"/>
      <c r="G123" s="4530"/>
      <c r="H123" s="4576"/>
      <c r="I123" s="950"/>
      <c r="J123" s="1836"/>
      <c r="K123" s="4530"/>
      <c r="L123" s="952"/>
      <c r="M123" s="552"/>
      <c r="N123" s="1836"/>
      <c r="O123" s="470"/>
      <c r="P123" s="4577"/>
      <c r="Q123" s="950"/>
      <c r="R123" s="4578"/>
      <c r="S123" s="419"/>
      <c r="T123" s="4577"/>
      <c r="U123" s="950"/>
      <c r="V123" s="4578"/>
      <c r="W123" s="419"/>
      <c r="X123" s="4579"/>
      <c r="Y123" s="552"/>
      <c r="Z123" s="1268"/>
      <c r="AA123" s="1268"/>
      <c r="AB123" s="4578"/>
      <c r="AC123" s="419"/>
      <c r="AD123" s="4577"/>
      <c r="AE123" s="950"/>
      <c r="AF123" s="4578"/>
      <c r="AG123" s="419"/>
      <c r="AH123" s="4577"/>
      <c r="AI123" s="950"/>
      <c r="AJ123" s="4578"/>
      <c r="AK123" s="419"/>
      <c r="AL123" s="4579"/>
      <c r="AM123" s="552"/>
      <c r="AN123" s="4577"/>
      <c r="AO123" s="950"/>
      <c r="AP123" s="4578"/>
      <c r="AQ123" s="419"/>
      <c r="AR123" s="4577"/>
      <c r="AS123" s="950"/>
      <c r="AT123" s="4578"/>
      <c r="AU123" s="419"/>
      <c r="AV123" s="4577"/>
      <c r="AW123" s="950"/>
      <c r="AX123" s="4578"/>
      <c r="AY123" s="419">
        <f>+AY125+AY127</f>
        <v>124000</v>
      </c>
      <c r="AZ123" s="4579"/>
      <c r="BA123" s="552">
        <f t="shared" si="63"/>
        <v>124000</v>
      </c>
      <c r="BB123" s="1268"/>
      <c r="BC123" s="1268">
        <f t="shared" si="64"/>
        <v>124000</v>
      </c>
      <c r="BD123" s="418"/>
      <c r="BE123" s="418">
        <f t="shared" si="65"/>
        <v>124000</v>
      </c>
    </row>
    <row r="124" spans="2:57" s="4534" customFormat="1" x14ac:dyDescent="0.25">
      <c r="B124" s="2347" t="s">
        <v>1870</v>
      </c>
      <c r="C124" s="3620" t="s">
        <v>393</v>
      </c>
      <c r="D124" s="3621"/>
      <c r="E124" s="1383"/>
      <c r="F124" s="1277"/>
      <c r="G124" s="4524"/>
      <c r="H124" s="1612"/>
      <c r="I124" s="4527"/>
      <c r="J124" s="1094"/>
      <c r="K124" s="4524"/>
      <c r="L124" s="4526"/>
      <c r="M124" s="3767"/>
      <c r="N124" s="1094"/>
      <c r="O124" s="1615"/>
      <c r="P124" s="192"/>
      <c r="Q124" s="4527"/>
      <c r="R124" s="1195"/>
      <c r="S124" s="1383"/>
      <c r="T124" s="192"/>
      <c r="U124" s="4527"/>
      <c r="V124" s="1195"/>
      <c r="W124" s="1383"/>
      <c r="X124" s="1613"/>
      <c r="Y124" s="3767"/>
      <c r="Z124" s="3770"/>
      <c r="AA124" s="3770"/>
      <c r="AB124" s="1195"/>
      <c r="AC124" s="1383"/>
      <c r="AD124" s="192"/>
      <c r="AE124" s="4527"/>
      <c r="AF124" s="1195"/>
      <c r="AG124" s="1383"/>
      <c r="AH124" s="192"/>
      <c r="AI124" s="4527"/>
      <c r="AJ124" s="1195"/>
      <c r="AK124" s="1383"/>
      <c r="AL124" s="1613"/>
      <c r="AM124" s="3767"/>
      <c r="AN124" s="192"/>
      <c r="AO124" s="4527"/>
      <c r="AP124" s="1195"/>
      <c r="AQ124" s="1383"/>
      <c r="AR124" s="192"/>
      <c r="AS124" s="4527"/>
      <c r="AT124" s="1195"/>
      <c r="AU124" s="1383"/>
      <c r="AV124" s="192"/>
      <c r="AW124" s="4527"/>
      <c r="AX124" s="1195"/>
      <c r="AY124" s="1383"/>
      <c r="AZ124" s="1613"/>
      <c r="BA124" s="3767">
        <f t="shared" si="63"/>
        <v>0</v>
      </c>
      <c r="BB124" s="3770"/>
      <c r="BC124" s="3770">
        <f t="shared" si="64"/>
        <v>0</v>
      </c>
      <c r="BD124" s="3983"/>
      <c r="BE124" s="3983">
        <f t="shared" si="65"/>
        <v>0</v>
      </c>
    </row>
    <row r="125" spans="2:57" s="4534" customFormat="1" x14ac:dyDescent="0.25">
      <c r="B125" s="26" t="s">
        <v>1871</v>
      </c>
      <c r="C125" s="3620" t="s">
        <v>393</v>
      </c>
      <c r="D125" s="3621"/>
      <c r="E125" s="1383"/>
      <c r="F125" s="1277"/>
      <c r="G125" s="4524"/>
      <c r="H125" s="1612"/>
      <c r="I125" s="4527"/>
      <c r="J125" s="1094"/>
      <c r="K125" s="4524"/>
      <c r="L125" s="4526"/>
      <c r="M125" s="3767"/>
      <c r="N125" s="1094"/>
      <c r="O125" s="1615"/>
      <c r="P125" s="192"/>
      <c r="Q125" s="4527"/>
      <c r="R125" s="1195"/>
      <c r="S125" s="1383"/>
      <c r="T125" s="192"/>
      <c r="U125" s="4527"/>
      <c r="V125" s="1195"/>
      <c r="W125" s="1383"/>
      <c r="X125" s="1613"/>
      <c r="Y125" s="3767"/>
      <c r="Z125" s="3770"/>
      <c r="AA125" s="3770"/>
      <c r="AB125" s="1195"/>
      <c r="AC125" s="1383"/>
      <c r="AD125" s="192"/>
      <c r="AE125" s="4527"/>
      <c r="AF125" s="1195"/>
      <c r="AG125" s="1383"/>
      <c r="AH125" s="192"/>
      <c r="AI125" s="4527"/>
      <c r="AJ125" s="1195"/>
      <c r="AK125" s="1383"/>
      <c r="AL125" s="1613"/>
      <c r="AM125" s="3767"/>
      <c r="AN125" s="192"/>
      <c r="AO125" s="4527"/>
      <c r="AP125" s="1195"/>
      <c r="AQ125" s="1383"/>
      <c r="AR125" s="192"/>
      <c r="AS125" s="4527"/>
      <c r="AT125" s="1195"/>
      <c r="AU125" s="1383"/>
      <c r="AV125" s="192"/>
      <c r="AW125" s="4527"/>
      <c r="AX125" s="1195"/>
      <c r="AY125" s="1383">
        <v>60000</v>
      </c>
      <c r="AZ125" s="1613"/>
      <c r="BA125" s="3767">
        <f t="shared" si="63"/>
        <v>60000</v>
      </c>
      <c r="BB125" s="3770"/>
      <c r="BC125" s="3770">
        <f t="shared" si="64"/>
        <v>60000</v>
      </c>
      <c r="BD125" s="3983"/>
      <c r="BE125" s="3983">
        <f t="shared" si="65"/>
        <v>60000</v>
      </c>
    </row>
    <row r="126" spans="2:57" s="4534" customFormat="1" x14ac:dyDescent="0.25">
      <c r="B126" s="2347" t="s">
        <v>1872</v>
      </c>
      <c r="C126" s="3620" t="s">
        <v>393</v>
      </c>
      <c r="D126" s="3621"/>
      <c r="E126" s="1383"/>
      <c r="F126" s="1277"/>
      <c r="G126" s="4524"/>
      <c r="H126" s="1612"/>
      <c r="I126" s="4527"/>
      <c r="J126" s="1094"/>
      <c r="K126" s="4524"/>
      <c r="L126" s="4526"/>
      <c r="M126" s="3767"/>
      <c r="N126" s="1094"/>
      <c r="O126" s="1615"/>
      <c r="P126" s="192"/>
      <c r="Q126" s="4527"/>
      <c r="R126" s="1195"/>
      <c r="S126" s="1383"/>
      <c r="T126" s="192"/>
      <c r="U126" s="4527"/>
      <c r="V126" s="1195"/>
      <c r="W126" s="1383"/>
      <c r="X126" s="1613"/>
      <c r="Y126" s="3767"/>
      <c r="Z126" s="3770"/>
      <c r="AA126" s="3770"/>
      <c r="AB126" s="1195"/>
      <c r="AC126" s="1383"/>
      <c r="AD126" s="192"/>
      <c r="AE126" s="4527"/>
      <c r="AF126" s="1195"/>
      <c r="AG126" s="1383"/>
      <c r="AH126" s="192"/>
      <c r="AI126" s="4527"/>
      <c r="AJ126" s="1195"/>
      <c r="AK126" s="1383"/>
      <c r="AL126" s="1613"/>
      <c r="AM126" s="3767"/>
      <c r="AN126" s="192"/>
      <c r="AO126" s="4527"/>
      <c r="AP126" s="1195"/>
      <c r="AQ126" s="1383"/>
      <c r="AR126" s="192"/>
      <c r="AS126" s="4527"/>
      <c r="AT126" s="1195"/>
      <c r="AU126" s="1383"/>
      <c r="AV126" s="192"/>
      <c r="AW126" s="4527"/>
      <c r="AX126" s="1195"/>
      <c r="AY126" s="1383"/>
      <c r="AZ126" s="1613"/>
      <c r="BA126" s="3767">
        <f t="shared" si="63"/>
        <v>0</v>
      </c>
      <c r="BB126" s="3770"/>
      <c r="BC126" s="3770">
        <f t="shared" si="64"/>
        <v>0</v>
      </c>
      <c r="BD126" s="3983"/>
      <c r="BE126" s="3983">
        <f t="shared" si="65"/>
        <v>0</v>
      </c>
    </row>
    <row r="127" spans="2:57" s="4534" customFormat="1" x14ac:dyDescent="0.25">
      <c r="B127" s="26" t="s">
        <v>1871</v>
      </c>
      <c r="C127" s="3620" t="s">
        <v>393</v>
      </c>
      <c r="D127" s="3621"/>
      <c r="E127" s="1383"/>
      <c r="F127" s="1277"/>
      <c r="G127" s="4524"/>
      <c r="H127" s="1612"/>
      <c r="I127" s="4527"/>
      <c r="J127" s="1094"/>
      <c r="K127" s="4524"/>
      <c r="L127" s="4526"/>
      <c r="M127" s="3767"/>
      <c r="N127" s="1094"/>
      <c r="O127" s="1615"/>
      <c r="P127" s="192"/>
      <c r="Q127" s="4527"/>
      <c r="R127" s="1195"/>
      <c r="S127" s="1383"/>
      <c r="T127" s="192"/>
      <c r="U127" s="4527"/>
      <c r="V127" s="1195"/>
      <c r="W127" s="1383"/>
      <c r="X127" s="1613"/>
      <c r="Y127" s="3767"/>
      <c r="Z127" s="3770"/>
      <c r="AA127" s="3770"/>
      <c r="AB127" s="1195"/>
      <c r="AC127" s="1383"/>
      <c r="AD127" s="192"/>
      <c r="AE127" s="4527"/>
      <c r="AF127" s="1195"/>
      <c r="AG127" s="1383"/>
      <c r="AH127" s="192"/>
      <c r="AI127" s="4527"/>
      <c r="AJ127" s="1195"/>
      <c r="AK127" s="1383"/>
      <c r="AL127" s="1613"/>
      <c r="AM127" s="3767"/>
      <c r="AN127" s="192"/>
      <c r="AO127" s="4527"/>
      <c r="AP127" s="1195"/>
      <c r="AQ127" s="1383"/>
      <c r="AR127" s="192"/>
      <c r="AS127" s="4527"/>
      <c r="AT127" s="1195"/>
      <c r="AU127" s="1383"/>
      <c r="AV127" s="192"/>
      <c r="AW127" s="4527"/>
      <c r="AX127" s="1195"/>
      <c r="AY127" s="1383">
        <v>64000</v>
      </c>
      <c r="AZ127" s="1613"/>
      <c r="BA127" s="3767">
        <f t="shared" si="63"/>
        <v>64000</v>
      </c>
      <c r="BB127" s="3770"/>
      <c r="BC127" s="3770">
        <f t="shared" si="64"/>
        <v>64000</v>
      </c>
      <c r="BD127" s="3983"/>
      <c r="BE127" s="3983">
        <f t="shared" si="65"/>
        <v>64000</v>
      </c>
    </row>
    <row r="128" spans="2:57" x14ac:dyDescent="0.25">
      <c r="B128" s="2851" t="s">
        <v>1769</v>
      </c>
      <c r="C128" s="3868" t="s">
        <v>393</v>
      </c>
      <c r="D128" s="3621"/>
      <c r="E128" s="3654"/>
      <c r="F128" s="3218"/>
      <c r="G128" s="4224"/>
      <c r="H128" s="1094"/>
      <c r="I128" s="4224"/>
      <c r="J128" s="1094"/>
      <c r="K128" s="4224"/>
      <c r="L128" s="4224"/>
      <c r="M128" s="3654"/>
      <c r="N128" s="1094"/>
      <c r="O128" s="1614"/>
      <c r="P128" s="1195"/>
      <c r="Q128" s="4224"/>
      <c r="R128" s="1195"/>
      <c r="S128" s="3654"/>
      <c r="T128" s="1195"/>
      <c r="U128" s="4224"/>
      <c r="V128" s="1195"/>
      <c r="W128" s="3654"/>
      <c r="X128" s="1094"/>
      <c r="Y128" s="3654"/>
      <c r="Z128" s="3654"/>
      <c r="AA128" s="3654"/>
      <c r="AB128" s="1195"/>
      <c r="AC128" s="3654"/>
      <c r="AD128" s="1195"/>
      <c r="AE128" s="4224"/>
      <c r="AF128" s="1195"/>
      <c r="AG128" s="3654"/>
      <c r="AH128" s="1195"/>
      <c r="AI128" s="4224"/>
      <c r="AJ128" s="1195"/>
      <c r="AK128" s="3654"/>
      <c r="AL128" s="1094"/>
      <c r="AM128" s="3654"/>
      <c r="AN128" s="1195"/>
      <c r="AO128" s="4224"/>
      <c r="AP128" s="1195"/>
      <c r="AQ128" s="3654"/>
      <c r="AR128" s="1195"/>
      <c r="AS128" s="4224"/>
      <c r="AT128" s="1195"/>
      <c r="AU128" s="3654"/>
      <c r="AV128" s="1195"/>
      <c r="AW128" s="4224"/>
      <c r="AX128" s="1195"/>
      <c r="AY128" s="3654"/>
      <c r="AZ128" s="1094"/>
      <c r="BA128" s="3654"/>
      <c r="BB128" s="3654"/>
      <c r="BC128" s="3654"/>
      <c r="BD128" s="3654"/>
      <c r="BE128" s="3654"/>
    </row>
    <row r="129" spans="2:57" x14ac:dyDescent="0.25">
      <c r="B129" s="26" t="s">
        <v>1770</v>
      </c>
      <c r="C129" s="3620" t="s">
        <v>393</v>
      </c>
      <c r="D129" s="3621"/>
      <c r="E129" s="1383"/>
      <c r="F129" s="1277"/>
      <c r="G129" s="3864"/>
      <c r="H129" s="1612"/>
      <c r="I129" s="4226">
        <f t="shared" si="66"/>
        <v>0</v>
      </c>
      <c r="J129" s="1094"/>
      <c r="K129" s="3864"/>
      <c r="L129" s="3866"/>
      <c r="M129" s="3767">
        <f t="shared" si="67"/>
        <v>0</v>
      </c>
      <c r="N129" s="1094"/>
      <c r="O129" s="1615"/>
      <c r="P129" s="192"/>
      <c r="Q129" s="4226">
        <f t="shared" si="68"/>
        <v>0</v>
      </c>
      <c r="R129" s="1195"/>
      <c r="S129" s="1383"/>
      <c r="T129" s="192"/>
      <c r="U129" s="4226">
        <f t="shared" si="69"/>
        <v>0</v>
      </c>
      <c r="V129" s="1195"/>
      <c r="W129" s="1383"/>
      <c r="X129" s="1613"/>
      <c r="Y129" s="3767">
        <f t="shared" si="70"/>
        <v>0</v>
      </c>
      <c r="Z129" s="3770"/>
      <c r="AA129" s="3770">
        <f t="shared" si="71"/>
        <v>0</v>
      </c>
      <c r="AB129" s="1195"/>
      <c r="AC129" s="1383"/>
      <c r="AD129" s="192"/>
      <c r="AE129" s="4226">
        <f t="shared" si="72"/>
        <v>0</v>
      </c>
      <c r="AF129" s="1195"/>
      <c r="AG129" s="1383"/>
      <c r="AH129" s="192"/>
      <c r="AI129" s="4226">
        <f t="shared" si="73"/>
        <v>0</v>
      </c>
      <c r="AJ129" s="1195"/>
      <c r="AK129" s="1383"/>
      <c r="AL129" s="1613"/>
      <c r="AM129" s="3767">
        <f t="shared" si="74"/>
        <v>0</v>
      </c>
      <c r="AN129" s="192"/>
      <c r="AO129" s="4226">
        <f t="shared" si="75"/>
        <v>0</v>
      </c>
      <c r="AP129" s="1195"/>
      <c r="AQ129" s="1383">
        <v>14.83</v>
      </c>
      <c r="AR129" s="192"/>
      <c r="AS129" s="4226">
        <f t="shared" si="76"/>
        <v>14.83</v>
      </c>
      <c r="AT129" s="1195"/>
      <c r="AU129" s="1383"/>
      <c r="AV129" s="192"/>
      <c r="AW129" s="4226">
        <f t="shared" si="77"/>
        <v>14.83</v>
      </c>
      <c r="AX129" s="1195"/>
      <c r="AY129" s="1383"/>
      <c r="AZ129" s="1613"/>
      <c r="BA129" s="3767">
        <f t="shared" si="63"/>
        <v>14.83</v>
      </c>
      <c r="BB129" s="3770"/>
      <c r="BC129" s="3770">
        <f t="shared" si="64"/>
        <v>14.83</v>
      </c>
      <c r="BD129" s="3983"/>
      <c r="BE129" s="3983">
        <f t="shared" si="65"/>
        <v>14.83</v>
      </c>
    </row>
    <row r="130" spans="2:57" x14ac:dyDescent="0.25">
      <c r="B130" s="2851" t="s">
        <v>1771</v>
      </c>
      <c r="C130" s="3868" t="s">
        <v>393</v>
      </c>
      <c r="D130" s="3621"/>
      <c r="E130" s="3654"/>
      <c r="F130" s="3218"/>
      <c r="G130" s="4224"/>
      <c r="H130" s="1094"/>
      <c r="I130" s="4224"/>
      <c r="J130" s="1094"/>
      <c r="K130" s="4224"/>
      <c r="L130" s="4224"/>
      <c r="M130" s="3654"/>
      <c r="N130" s="1094"/>
      <c r="O130" s="1614"/>
      <c r="P130" s="1195"/>
      <c r="Q130" s="4224"/>
      <c r="R130" s="1195"/>
      <c r="S130" s="3654"/>
      <c r="T130" s="1195"/>
      <c r="U130" s="4224"/>
      <c r="V130" s="1195"/>
      <c r="W130" s="3654"/>
      <c r="X130" s="1094"/>
      <c r="Y130" s="3654"/>
      <c r="Z130" s="3654"/>
      <c r="AA130" s="3654"/>
      <c r="AB130" s="1195"/>
      <c r="AC130" s="3654"/>
      <c r="AD130" s="1195"/>
      <c r="AE130" s="4224"/>
      <c r="AF130" s="1195"/>
      <c r="AG130" s="3654"/>
      <c r="AH130" s="1195"/>
      <c r="AI130" s="4224"/>
      <c r="AJ130" s="1195"/>
      <c r="AK130" s="3654"/>
      <c r="AL130" s="1094"/>
      <c r="AM130" s="3654"/>
      <c r="AN130" s="1195"/>
      <c r="AO130" s="4224"/>
      <c r="AP130" s="1195"/>
      <c r="AQ130" s="3654"/>
      <c r="AR130" s="1195"/>
      <c r="AS130" s="4224"/>
      <c r="AT130" s="1195"/>
      <c r="AU130" s="3654"/>
      <c r="AV130" s="1195"/>
      <c r="AW130" s="4224"/>
      <c r="AX130" s="1195"/>
      <c r="AY130" s="3654"/>
      <c r="AZ130" s="1094"/>
      <c r="BA130" s="3654"/>
      <c r="BB130" s="3654"/>
      <c r="BC130" s="3654"/>
      <c r="BD130" s="3654"/>
      <c r="BE130" s="3654"/>
    </row>
    <row r="131" spans="2:57" x14ac:dyDescent="0.25">
      <c r="B131" s="26" t="s">
        <v>1772</v>
      </c>
      <c r="C131" s="3620" t="s">
        <v>393</v>
      </c>
      <c r="D131" s="3621"/>
      <c r="E131" s="1383"/>
      <c r="F131" s="1277"/>
      <c r="G131" s="3864"/>
      <c r="H131" s="1612"/>
      <c r="I131" s="4226">
        <f t="shared" si="66"/>
        <v>0</v>
      </c>
      <c r="J131" s="1094"/>
      <c r="K131" s="3864"/>
      <c r="L131" s="3866"/>
      <c r="M131" s="3767">
        <f t="shared" si="67"/>
        <v>0</v>
      </c>
      <c r="N131" s="1094"/>
      <c r="O131" s="1615"/>
      <c r="P131" s="192"/>
      <c r="Q131" s="4226">
        <f t="shared" si="68"/>
        <v>0</v>
      </c>
      <c r="R131" s="1195"/>
      <c r="S131" s="1383"/>
      <c r="T131" s="192"/>
      <c r="U131" s="4226">
        <f t="shared" si="69"/>
        <v>0</v>
      </c>
      <c r="V131" s="1195"/>
      <c r="W131" s="1383"/>
      <c r="X131" s="1613"/>
      <c r="Y131" s="3767">
        <f t="shared" si="70"/>
        <v>0</v>
      </c>
      <c r="Z131" s="3770"/>
      <c r="AA131" s="3770">
        <f t="shared" si="71"/>
        <v>0</v>
      </c>
      <c r="AB131" s="1195"/>
      <c r="AC131" s="1383"/>
      <c r="AD131" s="192"/>
      <c r="AE131" s="4226">
        <f t="shared" si="72"/>
        <v>0</v>
      </c>
      <c r="AF131" s="1195"/>
      <c r="AG131" s="1383"/>
      <c r="AH131" s="192"/>
      <c r="AI131" s="4226">
        <f t="shared" si="73"/>
        <v>0</v>
      </c>
      <c r="AJ131" s="1195"/>
      <c r="AK131" s="1383"/>
      <c r="AL131" s="1613"/>
      <c r="AM131" s="3767">
        <f t="shared" si="74"/>
        <v>0</v>
      </c>
      <c r="AN131" s="192"/>
      <c r="AO131" s="4226">
        <f t="shared" si="75"/>
        <v>0</v>
      </c>
      <c r="AP131" s="1195"/>
      <c r="AQ131" s="1383">
        <v>10</v>
      </c>
      <c r="AR131" s="192"/>
      <c r="AS131" s="4226">
        <f t="shared" si="76"/>
        <v>10</v>
      </c>
      <c r="AT131" s="1195"/>
      <c r="AU131" s="1383"/>
      <c r="AV131" s="192"/>
      <c r="AW131" s="4226">
        <f t="shared" si="77"/>
        <v>10</v>
      </c>
      <c r="AX131" s="1195"/>
      <c r="AY131" s="1383"/>
      <c r="AZ131" s="1613"/>
      <c r="BA131" s="3767">
        <f t="shared" si="63"/>
        <v>10</v>
      </c>
      <c r="BB131" s="3770"/>
      <c r="BC131" s="3770">
        <f t="shared" si="64"/>
        <v>10</v>
      </c>
      <c r="BD131" s="3983"/>
      <c r="BE131" s="3983">
        <f t="shared" si="65"/>
        <v>10</v>
      </c>
    </row>
    <row r="132" spans="2:57" x14ac:dyDescent="0.25">
      <c r="B132" s="26" t="s">
        <v>1773</v>
      </c>
      <c r="C132" s="3620" t="s">
        <v>393</v>
      </c>
      <c r="D132" s="3621"/>
      <c r="E132" s="1383"/>
      <c r="F132" s="1277"/>
      <c r="G132" s="3864"/>
      <c r="H132" s="1612"/>
      <c r="I132" s="4226">
        <f t="shared" si="66"/>
        <v>0</v>
      </c>
      <c r="J132" s="1094"/>
      <c r="K132" s="3864"/>
      <c r="L132" s="3866"/>
      <c r="M132" s="3767">
        <f t="shared" si="67"/>
        <v>0</v>
      </c>
      <c r="N132" s="1094"/>
      <c r="O132" s="1615"/>
      <c r="P132" s="192"/>
      <c r="Q132" s="4226">
        <f t="shared" si="68"/>
        <v>0</v>
      </c>
      <c r="R132" s="1195"/>
      <c r="S132" s="1383"/>
      <c r="T132" s="192"/>
      <c r="U132" s="4226">
        <f t="shared" si="69"/>
        <v>0</v>
      </c>
      <c r="V132" s="1195"/>
      <c r="W132" s="1383"/>
      <c r="X132" s="1613"/>
      <c r="Y132" s="3767">
        <f t="shared" si="70"/>
        <v>0</v>
      </c>
      <c r="Z132" s="3770"/>
      <c r="AA132" s="3770">
        <f t="shared" si="71"/>
        <v>0</v>
      </c>
      <c r="AB132" s="1195"/>
      <c r="AC132" s="1383"/>
      <c r="AD132" s="192"/>
      <c r="AE132" s="4226">
        <f t="shared" si="72"/>
        <v>0</v>
      </c>
      <c r="AF132" s="1195"/>
      <c r="AG132" s="1383"/>
      <c r="AH132" s="192"/>
      <c r="AI132" s="4226">
        <f t="shared" si="73"/>
        <v>0</v>
      </c>
      <c r="AJ132" s="1195"/>
      <c r="AK132" s="1383"/>
      <c r="AL132" s="1613"/>
      <c r="AM132" s="3767">
        <f t="shared" si="74"/>
        <v>0</v>
      </c>
      <c r="AN132" s="192"/>
      <c r="AO132" s="4226">
        <f t="shared" si="75"/>
        <v>0</v>
      </c>
      <c r="AP132" s="1195"/>
      <c r="AQ132" s="1383">
        <v>10</v>
      </c>
      <c r="AR132" s="192"/>
      <c r="AS132" s="4226">
        <f t="shared" si="76"/>
        <v>10</v>
      </c>
      <c r="AT132" s="1195"/>
      <c r="AU132" s="1383"/>
      <c r="AV132" s="192"/>
      <c r="AW132" s="4226">
        <f t="shared" si="77"/>
        <v>10</v>
      </c>
      <c r="AX132" s="1195"/>
      <c r="AY132" s="1383"/>
      <c r="AZ132" s="1613"/>
      <c r="BA132" s="3767">
        <f t="shared" si="63"/>
        <v>10</v>
      </c>
      <c r="BB132" s="3770"/>
      <c r="BC132" s="3770">
        <f t="shared" si="64"/>
        <v>10</v>
      </c>
      <c r="BD132" s="3983"/>
      <c r="BE132" s="3983">
        <f t="shared" si="65"/>
        <v>10</v>
      </c>
    </row>
    <row r="133" spans="2:57" x14ac:dyDescent="0.25">
      <c r="B133" s="26" t="s">
        <v>1774</v>
      </c>
      <c r="C133" s="3620" t="s">
        <v>393</v>
      </c>
      <c r="D133" s="3621"/>
      <c r="E133" s="1383"/>
      <c r="F133" s="1277"/>
      <c r="G133" s="3864"/>
      <c r="H133" s="1612"/>
      <c r="I133" s="4226">
        <f t="shared" si="66"/>
        <v>0</v>
      </c>
      <c r="J133" s="1094"/>
      <c r="K133" s="3864"/>
      <c r="L133" s="3866"/>
      <c r="M133" s="3767">
        <f t="shared" si="67"/>
        <v>0</v>
      </c>
      <c r="N133" s="1094"/>
      <c r="O133" s="1615"/>
      <c r="P133" s="192"/>
      <c r="Q133" s="4226">
        <f t="shared" si="68"/>
        <v>0</v>
      </c>
      <c r="R133" s="1195"/>
      <c r="S133" s="1383"/>
      <c r="T133" s="192"/>
      <c r="U133" s="4226">
        <f t="shared" si="69"/>
        <v>0</v>
      </c>
      <c r="V133" s="1195"/>
      <c r="W133" s="1383"/>
      <c r="X133" s="1613"/>
      <c r="Y133" s="3767">
        <f t="shared" si="70"/>
        <v>0</v>
      </c>
      <c r="Z133" s="3770"/>
      <c r="AA133" s="3770">
        <f t="shared" si="71"/>
        <v>0</v>
      </c>
      <c r="AB133" s="1195"/>
      <c r="AC133" s="1383"/>
      <c r="AD133" s="192"/>
      <c r="AE133" s="4226">
        <f t="shared" si="72"/>
        <v>0</v>
      </c>
      <c r="AF133" s="1195"/>
      <c r="AG133" s="1383"/>
      <c r="AH133" s="192"/>
      <c r="AI133" s="4226">
        <f t="shared" si="73"/>
        <v>0</v>
      </c>
      <c r="AJ133" s="1195"/>
      <c r="AK133" s="1383"/>
      <c r="AL133" s="1613"/>
      <c r="AM133" s="3767">
        <f t="shared" si="74"/>
        <v>0</v>
      </c>
      <c r="AN133" s="192"/>
      <c r="AO133" s="4226">
        <f t="shared" si="75"/>
        <v>0</v>
      </c>
      <c r="AP133" s="1195"/>
      <c r="AQ133" s="1383">
        <v>10</v>
      </c>
      <c r="AR133" s="192"/>
      <c r="AS133" s="4226">
        <f t="shared" si="76"/>
        <v>10</v>
      </c>
      <c r="AT133" s="1195"/>
      <c r="AU133" s="1383"/>
      <c r="AV133" s="192"/>
      <c r="AW133" s="4226">
        <f t="shared" si="77"/>
        <v>10</v>
      </c>
      <c r="AX133" s="1195"/>
      <c r="AY133" s="1383"/>
      <c r="AZ133" s="1613"/>
      <c r="BA133" s="3767">
        <f t="shared" si="63"/>
        <v>10</v>
      </c>
      <c r="BB133" s="3770"/>
      <c r="BC133" s="3770">
        <f t="shared" si="64"/>
        <v>10</v>
      </c>
      <c r="BD133" s="3983"/>
      <c r="BE133" s="3983">
        <f t="shared" si="65"/>
        <v>10</v>
      </c>
    </row>
    <row r="134" spans="2:57" x14ac:dyDescent="0.25">
      <c r="B134" s="26" t="s">
        <v>1775</v>
      </c>
      <c r="C134" s="3620" t="s">
        <v>393</v>
      </c>
      <c r="D134" s="3621"/>
      <c r="E134" s="1383"/>
      <c r="F134" s="1277"/>
      <c r="G134" s="3864"/>
      <c r="H134" s="1612"/>
      <c r="I134" s="4226">
        <f t="shared" si="66"/>
        <v>0</v>
      </c>
      <c r="J134" s="1094"/>
      <c r="K134" s="3864"/>
      <c r="L134" s="3866"/>
      <c r="M134" s="3767">
        <f t="shared" si="67"/>
        <v>0</v>
      </c>
      <c r="N134" s="1094"/>
      <c r="O134" s="1615"/>
      <c r="P134" s="192"/>
      <c r="Q134" s="4226">
        <f t="shared" si="68"/>
        <v>0</v>
      </c>
      <c r="R134" s="1195"/>
      <c r="S134" s="1383"/>
      <c r="T134" s="192"/>
      <c r="U134" s="4226">
        <f t="shared" si="69"/>
        <v>0</v>
      </c>
      <c r="V134" s="1195"/>
      <c r="W134" s="1383"/>
      <c r="X134" s="1613"/>
      <c r="Y134" s="3767">
        <f t="shared" si="70"/>
        <v>0</v>
      </c>
      <c r="Z134" s="3770"/>
      <c r="AA134" s="3770">
        <f t="shared" si="71"/>
        <v>0</v>
      </c>
      <c r="AB134" s="1195"/>
      <c r="AC134" s="1383"/>
      <c r="AD134" s="192"/>
      <c r="AE134" s="4226">
        <f t="shared" si="72"/>
        <v>0</v>
      </c>
      <c r="AF134" s="1195"/>
      <c r="AG134" s="1383"/>
      <c r="AH134" s="192"/>
      <c r="AI134" s="4226">
        <f t="shared" si="73"/>
        <v>0</v>
      </c>
      <c r="AJ134" s="1195"/>
      <c r="AK134" s="1383"/>
      <c r="AL134" s="1613"/>
      <c r="AM134" s="3767">
        <f t="shared" si="74"/>
        <v>0</v>
      </c>
      <c r="AN134" s="192"/>
      <c r="AO134" s="4226">
        <f t="shared" si="75"/>
        <v>0</v>
      </c>
      <c r="AP134" s="1195"/>
      <c r="AQ134" s="1383">
        <v>10</v>
      </c>
      <c r="AR134" s="192"/>
      <c r="AS134" s="4226">
        <f t="shared" si="76"/>
        <v>10</v>
      </c>
      <c r="AT134" s="1195"/>
      <c r="AU134" s="1383"/>
      <c r="AV134" s="192"/>
      <c r="AW134" s="4226">
        <f t="shared" si="77"/>
        <v>10</v>
      </c>
      <c r="AX134" s="1195"/>
      <c r="AY134" s="1383"/>
      <c r="AZ134" s="1613"/>
      <c r="BA134" s="3767">
        <f t="shared" si="63"/>
        <v>10</v>
      </c>
      <c r="BB134" s="3770"/>
      <c r="BC134" s="3770">
        <f t="shared" si="64"/>
        <v>10</v>
      </c>
      <c r="BD134" s="3983"/>
      <c r="BE134" s="3983">
        <f t="shared" si="65"/>
        <v>10</v>
      </c>
    </row>
    <row r="135" spans="2:57" x14ac:dyDescent="0.25">
      <c r="B135" s="26" t="s">
        <v>1776</v>
      </c>
      <c r="C135" s="3620" t="s">
        <v>393</v>
      </c>
      <c r="D135" s="3621"/>
      <c r="E135" s="1383"/>
      <c r="F135" s="1277"/>
      <c r="G135" s="3864"/>
      <c r="H135" s="1612"/>
      <c r="I135" s="4226">
        <f t="shared" si="66"/>
        <v>0</v>
      </c>
      <c r="J135" s="1094"/>
      <c r="K135" s="3864"/>
      <c r="L135" s="3866"/>
      <c r="M135" s="3767">
        <f t="shared" si="67"/>
        <v>0</v>
      </c>
      <c r="N135" s="1094"/>
      <c r="O135" s="1615"/>
      <c r="P135" s="192"/>
      <c r="Q135" s="4226">
        <f t="shared" si="68"/>
        <v>0</v>
      </c>
      <c r="R135" s="1195"/>
      <c r="S135" s="1383"/>
      <c r="T135" s="192"/>
      <c r="U135" s="4226">
        <f t="shared" si="69"/>
        <v>0</v>
      </c>
      <c r="V135" s="1195"/>
      <c r="W135" s="1383"/>
      <c r="X135" s="1613"/>
      <c r="Y135" s="3767">
        <f t="shared" si="70"/>
        <v>0</v>
      </c>
      <c r="Z135" s="3770"/>
      <c r="AA135" s="3770">
        <f t="shared" si="71"/>
        <v>0</v>
      </c>
      <c r="AB135" s="1195"/>
      <c r="AC135" s="1383"/>
      <c r="AD135" s="192"/>
      <c r="AE135" s="4226">
        <f t="shared" si="72"/>
        <v>0</v>
      </c>
      <c r="AF135" s="1195"/>
      <c r="AG135" s="1383"/>
      <c r="AH135" s="192"/>
      <c r="AI135" s="4226">
        <f t="shared" si="73"/>
        <v>0</v>
      </c>
      <c r="AJ135" s="1195"/>
      <c r="AK135" s="1383"/>
      <c r="AL135" s="1613"/>
      <c r="AM135" s="3767">
        <f t="shared" si="74"/>
        <v>0</v>
      </c>
      <c r="AN135" s="192"/>
      <c r="AO135" s="4226">
        <f t="shared" si="75"/>
        <v>0</v>
      </c>
      <c r="AP135" s="1195"/>
      <c r="AQ135" s="1383">
        <v>10</v>
      </c>
      <c r="AR135" s="192"/>
      <c r="AS135" s="4226">
        <f t="shared" si="76"/>
        <v>10</v>
      </c>
      <c r="AT135" s="1195"/>
      <c r="AU135" s="1383"/>
      <c r="AV135" s="192"/>
      <c r="AW135" s="4226">
        <f t="shared" si="77"/>
        <v>10</v>
      </c>
      <c r="AX135" s="1195"/>
      <c r="AY135" s="1383"/>
      <c r="AZ135" s="1613"/>
      <c r="BA135" s="3767">
        <f t="shared" si="63"/>
        <v>10</v>
      </c>
      <c r="BB135" s="3770"/>
      <c r="BC135" s="3770">
        <f t="shared" si="64"/>
        <v>10</v>
      </c>
      <c r="BD135" s="3983"/>
      <c r="BE135" s="3983">
        <f t="shared" si="65"/>
        <v>10</v>
      </c>
    </row>
    <row r="136" spans="2:57" x14ac:dyDescent="0.25">
      <c r="B136" s="26" t="s">
        <v>1777</v>
      </c>
      <c r="C136" s="3620" t="s">
        <v>393</v>
      </c>
      <c r="D136" s="3621"/>
      <c r="E136" s="1383"/>
      <c r="F136" s="1277"/>
      <c r="G136" s="3864"/>
      <c r="H136" s="1612"/>
      <c r="I136" s="4226">
        <f t="shared" si="66"/>
        <v>0</v>
      </c>
      <c r="J136" s="1094"/>
      <c r="K136" s="3864"/>
      <c r="L136" s="3866"/>
      <c r="M136" s="3767">
        <f t="shared" si="67"/>
        <v>0</v>
      </c>
      <c r="N136" s="1094"/>
      <c r="O136" s="1615"/>
      <c r="P136" s="192"/>
      <c r="Q136" s="4226">
        <f t="shared" si="68"/>
        <v>0</v>
      </c>
      <c r="R136" s="1195"/>
      <c r="S136" s="1383"/>
      <c r="T136" s="192"/>
      <c r="U136" s="4226">
        <f t="shared" si="69"/>
        <v>0</v>
      </c>
      <c r="V136" s="1195"/>
      <c r="W136" s="1383"/>
      <c r="X136" s="1613"/>
      <c r="Y136" s="3767">
        <f t="shared" si="70"/>
        <v>0</v>
      </c>
      <c r="Z136" s="3770"/>
      <c r="AA136" s="3770">
        <f t="shared" si="71"/>
        <v>0</v>
      </c>
      <c r="AB136" s="1195"/>
      <c r="AC136" s="1383"/>
      <c r="AD136" s="192"/>
      <c r="AE136" s="4226">
        <f t="shared" si="72"/>
        <v>0</v>
      </c>
      <c r="AF136" s="1195"/>
      <c r="AG136" s="1383"/>
      <c r="AH136" s="192"/>
      <c r="AI136" s="4226">
        <f t="shared" si="73"/>
        <v>0</v>
      </c>
      <c r="AJ136" s="1195"/>
      <c r="AK136" s="1383"/>
      <c r="AL136" s="1613"/>
      <c r="AM136" s="3767">
        <f t="shared" si="74"/>
        <v>0</v>
      </c>
      <c r="AN136" s="192"/>
      <c r="AO136" s="4226">
        <f t="shared" si="75"/>
        <v>0</v>
      </c>
      <c r="AP136" s="1195"/>
      <c r="AQ136" s="1383">
        <v>10</v>
      </c>
      <c r="AR136" s="192"/>
      <c r="AS136" s="4226">
        <f t="shared" si="76"/>
        <v>10</v>
      </c>
      <c r="AT136" s="1195"/>
      <c r="AU136" s="1383"/>
      <c r="AV136" s="192"/>
      <c r="AW136" s="4226">
        <f t="shared" si="77"/>
        <v>10</v>
      </c>
      <c r="AX136" s="1195"/>
      <c r="AY136" s="1383"/>
      <c r="AZ136" s="1613"/>
      <c r="BA136" s="3767">
        <f t="shared" ref="BA136:BA182" si="102">+AQ136+AU136+AY136</f>
        <v>10</v>
      </c>
      <c r="BB136" s="3770"/>
      <c r="BC136" s="3770">
        <f t="shared" ref="BC136:BC182" si="103">+BA136+AM136</f>
        <v>10</v>
      </c>
      <c r="BD136" s="3983"/>
      <c r="BE136" s="3983">
        <f t="shared" ref="BE136:BE182" si="104">+BC136+AA136</f>
        <v>10</v>
      </c>
    </row>
    <row r="137" spans="2:57" s="107" customFormat="1" x14ac:dyDescent="0.25">
      <c r="B137" s="2851" t="s">
        <v>1702</v>
      </c>
      <c r="C137" s="3439" t="s">
        <v>393</v>
      </c>
      <c r="D137" s="2710"/>
      <c r="E137" s="419">
        <v>0</v>
      </c>
      <c r="F137" s="2717"/>
      <c r="G137" s="470">
        <v>40.21</v>
      </c>
      <c r="H137" s="3467"/>
      <c r="I137" s="4226">
        <f t="shared" si="66"/>
        <v>40.21</v>
      </c>
      <c r="J137" s="1837"/>
      <c r="K137" s="470">
        <v>69.88</v>
      </c>
      <c r="L137" s="2422"/>
      <c r="M137" s="552">
        <f t="shared" si="67"/>
        <v>110.09</v>
      </c>
      <c r="N137" s="1837"/>
      <c r="O137" s="470">
        <v>78.25</v>
      </c>
      <c r="P137" s="3468"/>
      <c r="Q137" s="4226">
        <f t="shared" si="68"/>
        <v>188.34</v>
      </c>
      <c r="R137" s="3469"/>
      <c r="S137" s="419">
        <v>29.34</v>
      </c>
      <c r="T137" s="3468"/>
      <c r="U137" s="4226">
        <f t="shared" si="69"/>
        <v>217.68</v>
      </c>
      <c r="V137" s="3469"/>
      <c r="W137" s="419">
        <v>59.879999999999995</v>
      </c>
      <c r="X137" s="3470"/>
      <c r="Y137" s="552">
        <f t="shared" si="70"/>
        <v>167.47</v>
      </c>
      <c r="Z137" s="1268"/>
      <c r="AA137" s="1268">
        <f t="shared" si="71"/>
        <v>277.56</v>
      </c>
      <c r="AB137" s="3469"/>
      <c r="AC137" s="419">
        <v>29.5</v>
      </c>
      <c r="AD137" s="3468"/>
      <c r="AE137" s="4226">
        <f t="shared" si="72"/>
        <v>307.06</v>
      </c>
      <c r="AF137" s="3469"/>
      <c r="AG137" s="419">
        <v>0</v>
      </c>
      <c r="AH137" s="3468"/>
      <c r="AI137" s="4226">
        <f t="shared" si="73"/>
        <v>307.06</v>
      </c>
      <c r="AJ137" s="3469"/>
      <c r="AK137" s="419">
        <v>40.17</v>
      </c>
      <c r="AL137" s="3470"/>
      <c r="AM137" s="552">
        <f t="shared" si="74"/>
        <v>69.67</v>
      </c>
      <c r="AN137" s="3468"/>
      <c r="AO137" s="4226">
        <f t="shared" si="75"/>
        <v>347.23</v>
      </c>
      <c r="AP137" s="3469"/>
      <c r="AQ137" s="419">
        <v>0</v>
      </c>
      <c r="AR137" s="3468"/>
      <c r="AS137" s="4226">
        <f t="shared" si="76"/>
        <v>347.23</v>
      </c>
      <c r="AT137" s="3469"/>
      <c r="AU137" s="419">
        <v>79.87</v>
      </c>
      <c r="AV137" s="3468"/>
      <c r="AW137" s="4226">
        <f t="shared" si="77"/>
        <v>427.1</v>
      </c>
      <c r="AX137" s="3469"/>
      <c r="AY137" s="419">
        <v>69.609999999999985</v>
      </c>
      <c r="AZ137" s="3470"/>
      <c r="BA137" s="552">
        <f t="shared" si="102"/>
        <v>149.47999999999999</v>
      </c>
      <c r="BB137" s="1268"/>
      <c r="BC137" s="1268">
        <f t="shared" si="103"/>
        <v>219.14999999999998</v>
      </c>
      <c r="BD137" s="418"/>
      <c r="BE137" s="418">
        <f t="shared" si="104"/>
        <v>496.71</v>
      </c>
    </row>
    <row r="138" spans="2:57" x14ac:dyDescent="0.25">
      <c r="B138" s="1993" t="s">
        <v>1647</v>
      </c>
      <c r="C138" s="3440" t="s">
        <v>393</v>
      </c>
      <c r="D138" s="3441"/>
      <c r="E138" s="1383">
        <v>0</v>
      </c>
      <c r="F138" s="1277"/>
      <c r="G138" s="238">
        <v>0</v>
      </c>
      <c r="H138" s="1612"/>
      <c r="I138" s="4226">
        <f t="shared" si="66"/>
        <v>0</v>
      </c>
      <c r="J138" s="1094"/>
      <c r="K138" s="238">
        <v>0</v>
      </c>
      <c r="L138" s="3435"/>
      <c r="M138" s="3767">
        <f t="shared" si="67"/>
        <v>0</v>
      </c>
      <c r="N138" s="1094"/>
      <c r="O138" s="238">
        <v>0</v>
      </c>
      <c r="P138" s="192"/>
      <c r="Q138" s="4226">
        <f t="shared" si="68"/>
        <v>0</v>
      </c>
      <c r="R138" s="1195"/>
      <c r="S138" s="40">
        <v>0</v>
      </c>
      <c r="T138" s="192"/>
      <c r="U138" s="4226">
        <f t="shared" si="69"/>
        <v>0</v>
      </c>
      <c r="V138" s="1195"/>
      <c r="W138" s="40">
        <v>26</v>
      </c>
      <c r="X138" s="1613"/>
      <c r="Y138" s="3767">
        <f t="shared" si="70"/>
        <v>26</v>
      </c>
      <c r="Z138" s="3770"/>
      <c r="AA138" s="3770">
        <f t="shared" si="71"/>
        <v>26</v>
      </c>
      <c r="AB138" s="1195"/>
      <c r="AC138" s="40">
        <v>31.72</v>
      </c>
      <c r="AD138" s="192"/>
      <c r="AE138" s="4226">
        <f t="shared" si="72"/>
        <v>57.72</v>
      </c>
      <c r="AF138" s="1195"/>
      <c r="AG138" s="40">
        <v>40.92</v>
      </c>
      <c r="AH138" s="192"/>
      <c r="AI138" s="4226">
        <f t="shared" si="73"/>
        <v>98.64</v>
      </c>
      <c r="AJ138" s="1195"/>
      <c r="AK138" s="1383">
        <v>0</v>
      </c>
      <c r="AL138" s="1613"/>
      <c r="AM138" s="3767">
        <f t="shared" si="74"/>
        <v>72.64</v>
      </c>
      <c r="AN138" s="192"/>
      <c r="AO138" s="4226">
        <f t="shared" si="75"/>
        <v>98.64</v>
      </c>
      <c r="AP138" s="1195"/>
      <c r="AQ138" s="1383">
        <v>0</v>
      </c>
      <c r="AR138" s="192"/>
      <c r="AS138" s="4226">
        <f t="shared" si="76"/>
        <v>98.64</v>
      </c>
      <c r="AT138" s="1195"/>
      <c r="AU138" s="1383"/>
      <c r="AV138" s="192"/>
      <c r="AW138" s="4226">
        <f t="shared" si="77"/>
        <v>98.64</v>
      </c>
      <c r="AX138" s="1195"/>
      <c r="AY138" s="1383"/>
      <c r="AZ138" s="1613"/>
      <c r="BA138" s="3767">
        <f t="shared" si="102"/>
        <v>0</v>
      </c>
      <c r="BB138" s="3770"/>
      <c r="BC138" s="3770">
        <f t="shared" si="103"/>
        <v>72.64</v>
      </c>
      <c r="BD138" s="3983"/>
      <c r="BE138" s="3983">
        <f t="shared" si="104"/>
        <v>98.64</v>
      </c>
    </row>
    <row r="139" spans="2:57" s="4534" customFormat="1" x14ac:dyDescent="0.25">
      <c r="B139" s="4533" t="s">
        <v>1873</v>
      </c>
      <c r="C139" s="3620"/>
      <c r="D139" s="3621"/>
      <c r="E139" s="1383"/>
      <c r="F139" s="1277"/>
      <c r="G139" s="4524"/>
      <c r="H139" s="1612"/>
      <c r="I139" s="4527"/>
      <c r="J139" s="1094"/>
      <c r="K139" s="4524"/>
      <c r="L139" s="4526"/>
      <c r="M139" s="3767"/>
      <c r="N139" s="1094"/>
      <c r="O139" s="4524"/>
      <c r="P139" s="192"/>
      <c r="Q139" s="4527"/>
      <c r="R139" s="1195"/>
      <c r="S139" s="40"/>
      <c r="T139" s="192"/>
      <c r="U139" s="4527"/>
      <c r="V139" s="1195"/>
      <c r="W139" s="40"/>
      <c r="X139" s="1613"/>
      <c r="Y139" s="3767"/>
      <c r="Z139" s="3770"/>
      <c r="AA139" s="3770"/>
      <c r="AB139" s="1195"/>
      <c r="AC139" s="40"/>
      <c r="AD139" s="192"/>
      <c r="AE139" s="4527"/>
      <c r="AF139" s="1195"/>
      <c r="AG139" s="40"/>
      <c r="AH139" s="192"/>
      <c r="AI139" s="4527"/>
      <c r="AJ139" s="1195"/>
      <c r="AK139" s="1383"/>
      <c r="AL139" s="1613"/>
      <c r="AM139" s="3767"/>
      <c r="AN139" s="192"/>
      <c r="AO139" s="4527"/>
      <c r="AP139" s="1195"/>
      <c r="AQ139" s="1383"/>
      <c r="AR139" s="192"/>
      <c r="AS139" s="4527"/>
      <c r="AT139" s="1195"/>
      <c r="AU139" s="1383"/>
      <c r="AV139" s="192"/>
      <c r="AW139" s="4527"/>
      <c r="AX139" s="1195"/>
      <c r="AY139" s="1383">
        <v>500</v>
      </c>
      <c r="AZ139" s="1613"/>
      <c r="BA139" s="3767">
        <f t="shared" si="102"/>
        <v>500</v>
      </c>
      <c r="BB139" s="3770"/>
      <c r="BC139" s="3770">
        <f t="shared" si="103"/>
        <v>500</v>
      </c>
      <c r="BD139" s="3983"/>
      <c r="BE139" s="3983">
        <f t="shared" si="104"/>
        <v>500</v>
      </c>
    </row>
    <row r="140" spans="2:57" s="334" customFormat="1" ht="13.5" customHeight="1" x14ac:dyDescent="0.25">
      <c r="B140" s="1993" t="s">
        <v>790</v>
      </c>
      <c r="C140" s="3440" t="s">
        <v>393</v>
      </c>
      <c r="D140" s="3441"/>
      <c r="E140" s="1383">
        <v>498.54</v>
      </c>
      <c r="F140" s="1277"/>
      <c r="G140" s="238">
        <v>0</v>
      </c>
      <c r="H140" s="1612"/>
      <c r="I140" s="4226">
        <f t="shared" si="66"/>
        <v>498.54</v>
      </c>
      <c r="J140" s="1094"/>
      <c r="K140" s="238">
        <v>0</v>
      </c>
      <c r="L140" s="3435"/>
      <c r="M140" s="3767">
        <f t="shared" si="67"/>
        <v>498.54</v>
      </c>
      <c r="N140" s="1094"/>
      <c r="O140" s="1615">
        <v>0</v>
      </c>
      <c r="P140" s="192"/>
      <c r="Q140" s="4226">
        <f t="shared" si="68"/>
        <v>498.54</v>
      </c>
      <c r="R140" s="1195"/>
      <c r="S140" s="1383">
        <v>0</v>
      </c>
      <c r="T140" s="192"/>
      <c r="U140" s="4226">
        <f t="shared" si="69"/>
        <v>498.54</v>
      </c>
      <c r="V140" s="1195"/>
      <c r="W140" s="1383">
        <v>0</v>
      </c>
      <c r="X140" s="1613"/>
      <c r="Y140" s="3767">
        <f t="shared" si="70"/>
        <v>0</v>
      </c>
      <c r="Z140" s="3770"/>
      <c r="AA140" s="3770">
        <f t="shared" si="71"/>
        <v>498.54</v>
      </c>
      <c r="AB140" s="1195"/>
      <c r="AC140" s="1383">
        <v>0</v>
      </c>
      <c r="AD140" s="192"/>
      <c r="AE140" s="4226">
        <f t="shared" si="72"/>
        <v>498.54</v>
      </c>
      <c r="AF140" s="1195"/>
      <c r="AG140" s="1383">
        <v>0</v>
      </c>
      <c r="AH140" s="192"/>
      <c r="AI140" s="4226">
        <f t="shared" si="73"/>
        <v>498.54</v>
      </c>
      <c r="AJ140" s="1195"/>
      <c r="AK140" s="1383">
        <v>0</v>
      </c>
      <c r="AL140" s="1613"/>
      <c r="AM140" s="3767">
        <f t="shared" si="74"/>
        <v>0</v>
      </c>
      <c r="AN140" s="192"/>
      <c r="AO140" s="4226">
        <f t="shared" si="75"/>
        <v>498.54</v>
      </c>
      <c r="AP140" s="1195"/>
      <c r="AQ140" s="1383">
        <v>0</v>
      </c>
      <c r="AR140" s="192"/>
      <c r="AS140" s="4226">
        <f t="shared" si="76"/>
        <v>498.54</v>
      </c>
      <c r="AT140" s="1195"/>
      <c r="AU140" s="1383"/>
      <c r="AV140" s="192"/>
      <c r="AW140" s="4226">
        <f t="shared" si="77"/>
        <v>498.54</v>
      </c>
      <c r="AX140" s="1195"/>
      <c r="AY140" s="1383"/>
      <c r="AZ140" s="1613"/>
      <c r="BA140" s="3767">
        <f t="shared" si="102"/>
        <v>0</v>
      </c>
      <c r="BB140" s="3770"/>
      <c r="BC140" s="3770">
        <f t="shared" si="103"/>
        <v>0</v>
      </c>
      <c r="BD140" s="3983"/>
      <c r="BE140" s="3983">
        <f t="shared" si="104"/>
        <v>498.54</v>
      </c>
    </row>
    <row r="141" spans="2:57" s="334" customFormat="1" ht="13.5" customHeight="1" x14ac:dyDescent="0.25">
      <c r="B141" s="1993" t="s">
        <v>1014</v>
      </c>
      <c r="C141" s="3440" t="s">
        <v>393</v>
      </c>
      <c r="D141" s="3441"/>
      <c r="E141" s="1383">
        <v>0</v>
      </c>
      <c r="F141" s="1277"/>
      <c r="G141" s="1615">
        <v>0</v>
      </c>
      <c r="H141" s="1612"/>
      <c r="I141" s="4226">
        <f t="shared" si="66"/>
        <v>0</v>
      </c>
      <c r="J141" s="1094"/>
      <c r="K141" s="1615">
        <v>0</v>
      </c>
      <c r="L141" s="3435"/>
      <c r="M141" s="3767">
        <f t="shared" si="67"/>
        <v>0</v>
      </c>
      <c r="N141" s="1094"/>
      <c r="O141" s="238">
        <v>140.34</v>
      </c>
      <c r="P141" s="192"/>
      <c r="Q141" s="4226">
        <f t="shared" si="68"/>
        <v>140.34</v>
      </c>
      <c r="R141" s="1195"/>
      <c r="S141" s="1383">
        <v>0</v>
      </c>
      <c r="T141" s="192"/>
      <c r="U141" s="4226">
        <f t="shared" si="69"/>
        <v>140.34</v>
      </c>
      <c r="V141" s="1195"/>
      <c r="W141" s="1383">
        <v>0</v>
      </c>
      <c r="X141" s="1613"/>
      <c r="Y141" s="3767">
        <f t="shared" si="70"/>
        <v>140.34</v>
      </c>
      <c r="Z141" s="3770"/>
      <c r="AA141" s="3770">
        <f t="shared" si="71"/>
        <v>140.34</v>
      </c>
      <c r="AB141" s="1195"/>
      <c r="AC141" s="1383">
        <v>0</v>
      </c>
      <c r="AD141" s="192"/>
      <c r="AE141" s="4226">
        <f t="shared" si="72"/>
        <v>140.34</v>
      </c>
      <c r="AF141" s="1195"/>
      <c r="AG141" s="1383">
        <v>0</v>
      </c>
      <c r="AH141" s="192"/>
      <c r="AI141" s="4226">
        <f t="shared" si="73"/>
        <v>140.34</v>
      </c>
      <c r="AJ141" s="1195"/>
      <c r="AK141" s="1383">
        <v>0</v>
      </c>
      <c r="AL141" s="1613"/>
      <c r="AM141" s="3767">
        <f t="shared" si="74"/>
        <v>0</v>
      </c>
      <c r="AN141" s="192"/>
      <c r="AO141" s="4226">
        <f t="shared" si="75"/>
        <v>140.34</v>
      </c>
      <c r="AP141" s="1195"/>
      <c r="AQ141" s="1383">
        <v>0</v>
      </c>
      <c r="AR141" s="192"/>
      <c r="AS141" s="4226">
        <f t="shared" si="76"/>
        <v>140.34</v>
      </c>
      <c r="AT141" s="1195"/>
      <c r="AU141" s="1383"/>
      <c r="AV141" s="192"/>
      <c r="AW141" s="4226">
        <f t="shared" si="77"/>
        <v>140.34</v>
      </c>
      <c r="AX141" s="1195"/>
      <c r="AY141" s="1383"/>
      <c r="AZ141" s="1613"/>
      <c r="BA141" s="3767">
        <f t="shared" si="102"/>
        <v>0</v>
      </c>
      <c r="BB141" s="3770"/>
      <c r="BC141" s="3770">
        <f t="shared" si="103"/>
        <v>0</v>
      </c>
      <c r="BD141" s="3983"/>
      <c r="BE141" s="3983">
        <f t="shared" si="104"/>
        <v>140.34</v>
      </c>
    </row>
    <row r="142" spans="2:57" s="334" customFormat="1" ht="13.5" customHeight="1" thickBot="1" x14ac:dyDescent="0.3">
      <c r="B142" s="1993" t="s">
        <v>1334</v>
      </c>
      <c r="C142" s="3440" t="s">
        <v>393</v>
      </c>
      <c r="D142" s="3441"/>
      <c r="E142" s="1383">
        <v>297.85000000000002</v>
      </c>
      <c r="F142" s="1277"/>
      <c r="G142" s="238">
        <v>0</v>
      </c>
      <c r="H142" s="1612"/>
      <c r="I142" s="4226">
        <f t="shared" si="66"/>
        <v>297.85000000000002</v>
      </c>
      <c r="J142" s="1094"/>
      <c r="K142" s="238">
        <v>0</v>
      </c>
      <c r="L142" s="3435"/>
      <c r="M142" s="3767">
        <f t="shared" si="67"/>
        <v>297.85000000000002</v>
      </c>
      <c r="N142" s="1094"/>
      <c r="O142" s="238">
        <v>0</v>
      </c>
      <c r="P142" s="192"/>
      <c r="Q142" s="4226">
        <f t="shared" si="68"/>
        <v>297.85000000000002</v>
      </c>
      <c r="R142" s="1195"/>
      <c r="S142" s="1383">
        <v>0</v>
      </c>
      <c r="T142" s="192"/>
      <c r="U142" s="4226">
        <f t="shared" si="69"/>
        <v>297.85000000000002</v>
      </c>
      <c r="V142" s="1195"/>
      <c r="W142" s="1383">
        <v>0</v>
      </c>
      <c r="X142" s="1613"/>
      <c r="Y142" s="3767">
        <f t="shared" si="70"/>
        <v>0</v>
      </c>
      <c r="Z142" s="3770"/>
      <c r="AA142" s="3770">
        <f t="shared" si="71"/>
        <v>297.85000000000002</v>
      </c>
      <c r="AB142" s="1195"/>
      <c r="AC142" s="1383">
        <v>0</v>
      </c>
      <c r="AD142" s="192"/>
      <c r="AE142" s="4226">
        <f t="shared" si="72"/>
        <v>297.85000000000002</v>
      </c>
      <c r="AF142" s="1195"/>
      <c r="AG142" s="1383">
        <v>0</v>
      </c>
      <c r="AH142" s="192"/>
      <c r="AI142" s="4226">
        <f t="shared" si="73"/>
        <v>297.85000000000002</v>
      </c>
      <c r="AJ142" s="1195"/>
      <c r="AK142" s="1383">
        <v>0</v>
      </c>
      <c r="AL142" s="1613"/>
      <c r="AM142" s="3767">
        <f t="shared" si="74"/>
        <v>0</v>
      </c>
      <c r="AN142" s="192"/>
      <c r="AO142" s="4226">
        <f t="shared" si="75"/>
        <v>297.85000000000002</v>
      </c>
      <c r="AP142" s="1195"/>
      <c r="AQ142" s="1383">
        <v>0</v>
      </c>
      <c r="AR142" s="192"/>
      <c r="AS142" s="4226">
        <f t="shared" si="76"/>
        <v>297.85000000000002</v>
      </c>
      <c r="AT142" s="1195"/>
      <c r="AU142" s="1383"/>
      <c r="AV142" s="192"/>
      <c r="AW142" s="4226">
        <f t="shared" si="77"/>
        <v>297.85000000000002</v>
      </c>
      <c r="AX142" s="1195"/>
      <c r="AY142" s="1383"/>
      <c r="AZ142" s="1613"/>
      <c r="BA142" s="3767">
        <f t="shared" si="102"/>
        <v>0</v>
      </c>
      <c r="BB142" s="3770"/>
      <c r="BC142" s="3770">
        <f t="shared" si="103"/>
        <v>0</v>
      </c>
      <c r="BD142" s="3983"/>
      <c r="BE142" s="3983">
        <f t="shared" si="104"/>
        <v>297.85000000000002</v>
      </c>
    </row>
    <row r="143" spans="2:57" s="334" customFormat="1" ht="23.25" thickBot="1" x14ac:dyDescent="0.3">
      <c r="B143" s="3466" t="s">
        <v>840</v>
      </c>
      <c r="C143" s="484"/>
      <c r="D143" s="3181"/>
      <c r="E143" s="1795"/>
      <c r="F143" s="1795"/>
      <c r="G143" s="3471"/>
      <c r="H143" s="1795"/>
      <c r="I143" s="4525"/>
      <c r="J143" s="1795"/>
      <c r="K143" s="3471"/>
      <c r="L143" s="3471"/>
      <c r="M143" s="1795"/>
      <c r="N143" s="1795"/>
      <c r="O143" s="3471"/>
      <c r="P143" s="1795"/>
      <c r="Q143" s="4525"/>
      <c r="R143" s="1795"/>
      <c r="S143" s="1795"/>
      <c r="T143" s="1795"/>
      <c r="U143" s="4525"/>
      <c r="V143" s="1795"/>
      <c r="W143" s="1795"/>
      <c r="X143" s="1795"/>
      <c r="Y143" s="1795"/>
      <c r="Z143" s="1795"/>
      <c r="AA143" s="1795"/>
      <c r="AB143" s="1795"/>
      <c r="AC143" s="1795"/>
      <c r="AD143" s="1795"/>
      <c r="AE143" s="4525"/>
      <c r="AF143" s="1795"/>
      <c r="AG143" s="1795"/>
      <c r="AH143" s="1795"/>
      <c r="AI143" s="4525"/>
      <c r="AJ143" s="1795"/>
      <c r="AK143" s="1795"/>
      <c r="AL143" s="1795"/>
      <c r="AM143" s="1795"/>
      <c r="AN143" s="1795"/>
      <c r="AO143" s="4525"/>
      <c r="AP143" s="1795"/>
      <c r="AQ143" s="1795"/>
      <c r="AR143" s="1795"/>
      <c r="AS143" s="4525"/>
      <c r="AT143" s="1795"/>
      <c r="AU143" s="1795"/>
      <c r="AV143" s="1795"/>
      <c r="AW143" s="4525"/>
      <c r="AX143" s="1795"/>
      <c r="AY143" s="1795"/>
      <c r="AZ143" s="1795"/>
      <c r="BA143" s="1795"/>
      <c r="BB143" s="1795"/>
      <c r="BC143" s="1795"/>
      <c r="BD143" s="1795"/>
      <c r="BE143" s="1795"/>
    </row>
    <row r="144" spans="2:57" s="1330" customFormat="1" ht="18.75" x14ac:dyDescent="0.3">
      <c r="B144" s="1329" t="s">
        <v>63</v>
      </c>
      <c r="C144" s="699" t="s">
        <v>393</v>
      </c>
      <c r="D144" s="3182"/>
      <c r="E144" s="1514">
        <f>SUM(E145:E150)</f>
        <v>83579.240000000005</v>
      </c>
      <c r="F144" s="1514"/>
      <c r="G144" s="1514">
        <f>SUM(G145:G150)</f>
        <v>65544.44</v>
      </c>
      <c r="H144" s="473"/>
      <c r="I144" s="4226">
        <f t="shared" si="66"/>
        <v>149123.68</v>
      </c>
      <c r="J144" s="1514"/>
      <c r="K144" s="1514">
        <f>SUM(K145:K150)</f>
        <v>23884.510000000002</v>
      </c>
      <c r="L144" s="1037"/>
      <c r="M144" s="1037">
        <f t="shared" si="67"/>
        <v>173008.19</v>
      </c>
      <c r="N144" s="1514"/>
      <c r="O144" s="1514">
        <f>SUM(O145:O150)</f>
        <v>37449.020000000004</v>
      </c>
      <c r="P144" s="473"/>
      <c r="Q144" s="4226">
        <f t="shared" si="68"/>
        <v>210457.21000000002</v>
      </c>
      <c r="R144" s="1514"/>
      <c r="S144" s="1514">
        <f>SUM(S145:S150)</f>
        <v>6688.31</v>
      </c>
      <c r="T144" s="473"/>
      <c r="U144" s="4226">
        <f t="shared" si="69"/>
        <v>217145.52000000002</v>
      </c>
      <c r="V144" s="1514"/>
      <c r="W144" s="1514">
        <f>SUM(W145:W150)</f>
        <v>6203.99</v>
      </c>
      <c r="X144" s="1037"/>
      <c r="Y144" s="1037">
        <f t="shared" si="70"/>
        <v>50341.32</v>
      </c>
      <c r="Z144" s="1267"/>
      <c r="AA144" s="1267">
        <f t="shared" si="71"/>
        <v>223349.51</v>
      </c>
      <c r="AB144" s="1514"/>
      <c r="AC144" s="1514">
        <f>SUM(AC145:AC150)</f>
        <v>0</v>
      </c>
      <c r="AD144" s="473"/>
      <c r="AE144" s="4226">
        <f t="shared" si="72"/>
        <v>223349.51</v>
      </c>
      <c r="AF144" s="1514"/>
      <c r="AG144" s="1514">
        <f>SUM(AG145:AG150)</f>
        <v>15380.24</v>
      </c>
      <c r="AH144" s="473"/>
      <c r="AI144" s="4226">
        <f t="shared" si="73"/>
        <v>238729.75</v>
      </c>
      <c r="AJ144" s="1514"/>
      <c r="AK144" s="1514">
        <f>SUM(AK145:AK150)</f>
        <v>15547.22</v>
      </c>
      <c r="AL144" s="1037"/>
      <c r="AM144" s="1037">
        <f t="shared" si="74"/>
        <v>30927.46</v>
      </c>
      <c r="AN144" s="473"/>
      <c r="AO144" s="4226">
        <f t="shared" si="75"/>
        <v>254276.97</v>
      </c>
      <c r="AP144" s="1514"/>
      <c r="AQ144" s="1514">
        <f>SUM(AQ145:AQ150)</f>
        <v>0</v>
      </c>
      <c r="AR144" s="473"/>
      <c r="AS144" s="4226">
        <f t="shared" si="76"/>
        <v>254276.97</v>
      </c>
      <c r="AT144" s="1514"/>
      <c r="AU144" s="1514">
        <f>SUM(AU145:AU150)</f>
        <v>11469.99</v>
      </c>
      <c r="AV144" s="473"/>
      <c r="AW144" s="4226">
        <f t="shared" si="77"/>
        <v>265746.96000000002</v>
      </c>
      <c r="AX144" s="1514"/>
      <c r="AY144" s="1514">
        <f>SUM(AY145:AY150)</f>
        <v>3847.47</v>
      </c>
      <c r="AZ144" s="1037"/>
      <c r="BA144" s="1037">
        <f t="shared" si="102"/>
        <v>15317.46</v>
      </c>
      <c r="BB144" s="1267"/>
      <c r="BC144" s="1267">
        <f t="shared" si="103"/>
        <v>46244.92</v>
      </c>
      <c r="BD144" s="473"/>
      <c r="BE144" s="473">
        <f t="shared" si="104"/>
        <v>269594.43</v>
      </c>
    </row>
    <row r="145" spans="2:57" s="1330" customFormat="1" ht="18.75" x14ac:dyDescent="0.3">
      <c r="B145" s="26" t="s">
        <v>1335</v>
      </c>
      <c r="C145" s="3440" t="s">
        <v>393</v>
      </c>
      <c r="D145" s="380"/>
      <c r="E145" s="1513">
        <v>58300.44</v>
      </c>
      <c r="F145" s="1513"/>
      <c r="G145" s="1513">
        <v>33768.76</v>
      </c>
      <c r="H145" s="1606"/>
      <c r="I145" s="4226">
        <f t="shared" ref="I145:I182" si="105">+E145+G145</f>
        <v>92069.200000000012</v>
      </c>
      <c r="J145" s="1513"/>
      <c r="K145" s="1513">
        <v>0</v>
      </c>
      <c r="L145" s="1607"/>
      <c r="M145" s="1607">
        <f t="shared" ref="M145:M182" si="106">+E145+G145+K145</f>
        <v>92069.200000000012</v>
      </c>
      <c r="N145" s="1513"/>
      <c r="O145" s="1513">
        <v>0</v>
      </c>
      <c r="P145" s="1606"/>
      <c r="Q145" s="4226">
        <f t="shared" ref="Q145:Q182" si="107">+M145+O145</f>
        <v>92069.200000000012</v>
      </c>
      <c r="R145" s="1513"/>
      <c r="S145" s="1513">
        <v>0</v>
      </c>
      <c r="T145" s="1606"/>
      <c r="U145" s="4226">
        <f t="shared" ref="U145:U182" si="108">+Q145+S145</f>
        <v>92069.200000000012</v>
      </c>
      <c r="V145" s="1513"/>
      <c r="W145" s="1513">
        <v>0</v>
      </c>
      <c r="X145" s="1607"/>
      <c r="Y145" s="1607">
        <f t="shared" ref="Y145:Y182" si="109">+O145+S145+W145</f>
        <v>0</v>
      </c>
      <c r="Z145" s="1796"/>
      <c r="AA145" s="1796">
        <f t="shared" ref="AA145:AA182" si="110">+U145+W145</f>
        <v>92069.200000000012</v>
      </c>
      <c r="AB145" s="1513"/>
      <c r="AC145" s="1513">
        <v>0</v>
      </c>
      <c r="AD145" s="1606"/>
      <c r="AE145" s="4226">
        <f t="shared" ref="AE145:AE182" si="111">+AA145+AC145</f>
        <v>92069.200000000012</v>
      </c>
      <c r="AF145" s="1513"/>
      <c r="AG145" s="1513">
        <v>0</v>
      </c>
      <c r="AH145" s="1606"/>
      <c r="AI145" s="4226">
        <f t="shared" ref="AI145:AI182" si="112">+AE145+AG145</f>
        <v>92069.200000000012</v>
      </c>
      <c r="AJ145" s="1513"/>
      <c r="AK145" s="1513">
        <v>0</v>
      </c>
      <c r="AL145" s="1607"/>
      <c r="AM145" s="1607">
        <f t="shared" ref="AM145:AM182" si="113">+AC145+AG145+AK145</f>
        <v>0</v>
      </c>
      <c r="AN145" s="1606"/>
      <c r="AO145" s="4226">
        <f t="shared" ref="AO145:AO182" si="114">+AI145+AK145</f>
        <v>92069.200000000012</v>
      </c>
      <c r="AP145" s="1513"/>
      <c r="AQ145" s="1513">
        <v>0</v>
      </c>
      <c r="AR145" s="1606"/>
      <c r="AS145" s="4226">
        <f t="shared" ref="AS145:AS182" si="115">+AO145+AQ145</f>
        <v>92069.200000000012</v>
      </c>
      <c r="AT145" s="1513"/>
      <c r="AU145" s="1513">
        <v>11469.99</v>
      </c>
      <c r="AV145" s="1606"/>
      <c r="AW145" s="4226">
        <f t="shared" ref="AW145:AW182" si="116">+AS145+AU145</f>
        <v>103539.19000000002</v>
      </c>
      <c r="AX145" s="1513"/>
      <c r="AY145" s="1513">
        <v>3847.47</v>
      </c>
      <c r="AZ145" s="1607"/>
      <c r="BA145" s="1607">
        <f t="shared" si="102"/>
        <v>15317.46</v>
      </c>
      <c r="BB145" s="1796"/>
      <c r="BC145" s="1796">
        <f t="shared" si="103"/>
        <v>15317.46</v>
      </c>
      <c r="BD145" s="1606"/>
      <c r="BE145" s="1606">
        <f t="shared" si="104"/>
        <v>107386.66</v>
      </c>
    </row>
    <row r="146" spans="2:57" x14ac:dyDescent="0.25">
      <c r="B146" s="26" t="s">
        <v>1111</v>
      </c>
      <c r="C146" s="3440" t="s">
        <v>393</v>
      </c>
      <c r="D146" s="380"/>
      <c r="E146" s="1513">
        <v>10609.38</v>
      </c>
      <c r="F146" s="1513"/>
      <c r="G146" s="1513">
        <v>31775.68</v>
      </c>
      <c r="H146" s="1606"/>
      <c r="I146" s="4226">
        <f t="shared" si="105"/>
        <v>42385.06</v>
      </c>
      <c r="J146" s="1513"/>
      <c r="K146" s="1513">
        <v>11683.31</v>
      </c>
      <c r="L146" s="1607"/>
      <c r="M146" s="1607">
        <f t="shared" si="106"/>
        <v>54068.369999999995</v>
      </c>
      <c r="N146" s="1513"/>
      <c r="O146" s="1513">
        <v>29629.800000000003</v>
      </c>
      <c r="P146" s="1606"/>
      <c r="Q146" s="4226">
        <f t="shared" si="107"/>
        <v>83698.17</v>
      </c>
      <c r="R146" s="1513"/>
      <c r="S146" s="1513">
        <v>0</v>
      </c>
      <c r="T146" s="1606"/>
      <c r="U146" s="4226">
        <f t="shared" si="108"/>
        <v>83698.17</v>
      </c>
      <c r="V146" s="1513"/>
      <c r="W146" s="1513">
        <v>0</v>
      </c>
      <c r="X146" s="1607"/>
      <c r="Y146" s="1607">
        <f t="shared" si="109"/>
        <v>29629.800000000003</v>
      </c>
      <c r="Z146" s="1796"/>
      <c r="AA146" s="1796">
        <f t="shared" si="110"/>
        <v>83698.17</v>
      </c>
      <c r="AB146" s="1513"/>
      <c r="AC146" s="1513">
        <v>0</v>
      </c>
      <c r="AD146" s="1606"/>
      <c r="AE146" s="4226">
        <f t="shared" si="111"/>
        <v>83698.17</v>
      </c>
      <c r="AF146" s="1513"/>
      <c r="AG146" s="1513">
        <v>3833.41</v>
      </c>
      <c r="AH146" s="1606"/>
      <c r="AI146" s="4226">
        <f t="shared" si="112"/>
        <v>87531.58</v>
      </c>
      <c r="AJ146" s="1513"/>
      <c r="AK146" s="1513">
        <v>8062.24</v>
      </c>
      <c r="AL146" s="1607"/>
      <c r="AM146" s="1607">
        <f t="shared" si="113"/>
        <v>11895.65</v>
      </c>
      <c r="AN146" s="1606"/>
      <c r="AO146" s="4226">
        <f t="shared" si="114"/>
        <v>95593.82</v>
      </c>
      <c r="AP146" s="1513"/>
      <c r="AQ146" s="1513">
        <v>0</v>
      </c>
      <c r="AR146" s="1606"/>
      <c r="AS146" s="4226">
        <f t="shared" si="115"/>
        <v>95593.82</v>
      </c>
      <c r="AT146" s="1513"/>
      <c r="AU146" s="1513"/>
      <c r="AV146" s="1606"/>
      <c r="AW146" s="4226">
        <f t="shared" si="116"/>
        <v>95593.82</v>
      </c>
      <c r="AX146" s="1513"/>
      <c r="AY146" s="1513"/>
      <c r="AZ146" s="1607"/>
      <c r="BA146" s="1607">
        <f t="shared" si="102"/>
        <v>0</v>
      </c>
      <c r="BB146" s="1796"/>
      <c r="BC146" s="1796">
        <f t="shared" si="103"/>
        <v>11895.65</v>
      </c>
      <c r="BD146" s="1606"/>
      <c r="BE146" s="1606">
        <f t="shared" si="104"/>
        <v>95593.819999999992</v>
      </c>
    </row>
    <row r="147" spans="2:57" x14ac:dyDescent="0.25">
      <c r="B147" s="26" t="s">
        <v>1691</v>
      </c>
      <c r="C147" s="3440" t="s">
        <v>393</v>
      </c>
      <c r="D147" s="380"/>
      <c r="E147" s="1513">
        <v>0</v>
      </c>
      <c r="F147" s="1513"/>
      <c r="G147" s="1513">
        <v>0</v>
      </c>
      <c r="H147" s="1606"/>
      <c r="I147" s="4226">
        <f t="shared" si="105"/>
        <v>0</v>
      </c>
      <c r="J147" s="1513"/>
      <c r="K147" s="1513">
        <v>0</v>
      </c>
      <c r="L147" s="1607"/>
      <c r="M147" s="1607">
        <f t="shared" si="106"/>
        <v>0</v>
      </c>
      <c r="N147" s="1513"/>
      <c r="O147" s="1513">
        <v>0</v>
      </c>
      <c r="P147" s="1606"/>
      <c r="Q147" s="4226">
        <f t="shared" si="107"/>
        <v>0</v>
      </c>
      <c r="R147" s="1513"/>
      <c r="S147" s="1513">
        <v>0</v>
      </c>
      <c r="T147" s="1606"/>
      <c r="U147" s="4226">
        <f t="shared" si="108"/>
        <v>0</v>
      </c>
      <c r="V147" s="1513"/>
      <c r="W147" s="1513">
        <v>0</v>
      </c>
      <c r="X147" s="1607"/>
      <c r="Y147" s="1607">
        <f t="shared" si="109"/>
        <v>0</v>
      </c>
      <c r="Z147" s="1796"/>
      <c r="AA147" s="1796">
        <f t="shared" si="110"/>
        <v>0</v>
      </c>
      <c r="AB147" s="1513"/>
      <c r="AC147" s="1513">
        <v>0</v>
      </c>
      <c r="AD147" s="1606"/>
      <c r="AE147" s="4226">
        <f t="shared" si="111"/>
        <v>0</v>
      </c>
      <c r="AF147" s="1513"/>
      <c r="AG147" s="1513">
        <v>3837.9</v>
      </c>
      <c r="AH147" s="1606"/>
      <c r="AI147" s="4226">
        <f t="shared" si="112"/>
        <v>3837.9</v>
      </c>
      <c r="AJ147" s="1513"/>
      <c r="AK147" s="1513">
        <v>7484.98</v>
      </c>
      <c r="AL147" s="1607"/>
      <c r="AM147" s="1607">
        <f t="shared" si="113"/>
        <v>11322.88</v>
      </c>
      <c r="AN147" s="1606"/>
      <c r="AO147" s="4226">
        <f t="shared" si="114"/>
        <v>11322.88</v>
      </c>
      <c r="AP147" s="1513"/>
      <c r="AQ147" s="1513">
        <v>0</v>
      </c>
      <c r="AR147" s="1606"/>
      <c r="AS147" s="4226">
        <f t="shared" si="115"/>
        <v>11322.88</v>
      </c>
      <c r="AT147" s="1513"/>
      <c r="AU147" s="1513"/>
      <c r="AV147" s="1606"/>
      <c r="AW147" s="4226">
        <f t="shared" si="116"/>
        <v>11322.88</v>
      </c>
      <c r="AX147" s="1513"/>
      <c r="AY147" s="1513"/>
      <c r="AZ147" s="1607"/>
      <c r="BA147" s="1607">
        <f t="shared" si="102"/>
        <v>0</v>
      </c>
      <c r="BB147" s="1796"/>
      <c r="BC147" s="1796">
        <f t="shared" si="103"/>
        <v>11322.88</v>
      </c>
      <c r="BD147" s="1606"/>
      <c r="BE147" s="1606">
        <f t="shared" si="104"/>
        <v>11322.88</v>
      </c>
    </row>
    <row r="148" spans="2:57" x14ac:dyDescent="0.25">
      <c r="B148" s="26" t="s">
        <v>1154</v>
      </c>
      <c r="C148" s="3440" t="s">
        <v>393</v>
      </c>
      <c r="D148" s="380"/>
      <c r="E148" s="1513">
        <v>0</v>
      </c>
      <c r="F148" s="1513"/>
      <c r="G148" s="1513">
        <v>0</v>
      </c>
      <c r="H148" s="1606"/>
      <c r="I148" s="4226">
        <f t="shared" si="105"/>
        <v>0</v>
      </c>
      <c r="J148" s="1513"/>
      <c r="K148" s="1513">
        <v>0</v>
      </c>
      <c r="L148" s="1607"/>
      <c r="M148" s="1607">
        <f t="shared" si="106"/>
        <v>0</v>
      </c>
      <c r="N148" s="1513"/>
      <c r="O148" s="1513">
        <v>0</v>
      </c>
      <c r="P148" s="1606"/>
      <c r="Q148" s="4226">
        <f t="shared" si="107"/>
        <v>0</v>
      </c>
      <c r="R148" s="1513"/>
      <c r="S148" s="1513">
        <v>0</v>
      </c>
      <c r="T148" s="1606"/>
      <c r="U148" s="4226">
        <f t="shared" si="108"/>
        <v>0</v>
      </c>
      <c r="V148" s="1513"/>
      <c r="W148" s="1513">
        <v>0</v>
      </c>
      <c r="X148" s="1607"/>
      <c r="Y148" s="1607">
        <f t="shared" si="109"/>
        <v>0</v>
      </c>
      <c r="Z148" s="1796"/>
      <c r="AA148" s="1796">
        <f t="shared" si="110"/>
        <v>0</v>
      </c>
      <c r="AB148" s="1513"/>
      <c r="AC148" s="1513">
        <v>0</v>
      </c>
      <c r="AD148" s="1606"/>
      <c r="AE148" s="4226">
        <f t="shared" si="111"/>
        <v>0</v>
      </c>
      <c r="AF148" s="1513"/>
      <c r="AG148" s="1513">
        <v>3785.49</v>
      </c>
      <c r="AH148" s="1606"/>
      <c r="AI148" s="4226">
        <f t="shared" si="112"/>
        <v>3785.49</v>
      </c>
      <c r="AJ148" s="1513"/>
      <c r="AK148" s="1513">
        <v>0</v>
      </c>
      <c r="AL148" s="1607"/>
      <c r="AM148" s="1607">
        <f t="shared" si="113"/>
        <v>3785.49</v>
      </c>
      <c r="AN148" s="1606"/>
      <c r="AO148" s="4226">
        <f t="shared" si="114"/>
        <v>3785.49</v>
      </c>
      <c r="AP148" s="1513"/>
      <c r="AQ148" s="1513">
        <v>0</v>
      </c>
      <c r="AR148" s="1606"/>
      <c r="AS148" s="4226">
        <f t="shared" si="115"/>
        <v>3785.49</v>
      </c>
      <c r="AT148" s="1513"/>
      <c r="AU148" s="1513"/>
      <c r="AV148" s="1606"/>
      <c r="AW148" s="4226">
        <f t="shared" si="116"/>
        <v>3785.49</v>
      </c>
      <c r="AX148" s="1513"/>
      <c r="AY148" s="1513"/>
      <c r="AZ148" s="1607"/>
      <c r="BA148" s="1607">
        <f t="shared" si="102"/>
        <v>0</v>
      </c>
      <c r="BB148" s="1796"/>
      <c r="BC148" s="1796">
        <f t="shared" si="103"/>
        <v>3785.49</v>
      </c>
      <c r="BD148" s="1606"/>
      <c r="BE148" s="1606">
        <f t="shared" si="104"/>
        <v>3785.49</v>
      </c>
    </row>
    <row r="149" spans="2:57" ht="18.75" x14ac:dyDescent="0.25">
      <c r="B149" s="26" t="s">
        <v>1659</v>
      </c>
      <c r="C149" s="3440" t="s">
        <v>393</v>
      </c>
      <c r="D149" s="380"/>
      <c r="E149" s="1513">
        <v>0</v>
      </c>
      <c r="F149" s="1513"/>
      <c r="G149" s="1513">
        <v>0</v>
      </c>
      <c r="H149" s="1606"/>
      <c r="I149" s="4226">
        <f t="shared" si="105"/>
        <v>0</v>
      </c>
      <c r="J149" s="1513"/>
      <c r="K149" s="1513">
        <v>0</v>
      </c>
      <c r="L149" s="1607"/>
      <c r="M149" s="1607">
        <f t="shared" si="106"/>
        <v>0</v>
      </c>
      <c r="N149" s="1513"/>
      <c r="O149" s="1513">
        <v>0</v>
      </c>
      <c r="P149" s="1606"/>
      <c r="Q149" s="4226">
        <f t="shared" si="107"/>
        <v>0</v>
      </c>
      <c r="R149" s="1513"/>
      <c r="S149" s="1513">
        <v>0</v>
      </c>
      <c r="T149" s="1606"/>
      <c r="U149" s="4226">
        <f t="shared" si="108"/>
        <v>0</v>
      </c>
      <c r="V149" s="1513"/>
      <c r="W149" s="1513">
        <v>3852</v>
      </c>
      <c r="X149" s="1607"/>
      <c r="Y149" s="1607">
        <f t="shared" si="109"/>
        <v>3852</v>
      </c>
      <c r="Z149" s="1796"/>
      <c r="AA149" s="1796">
        <f t="shared" si="110"/>
        <v>3852</v>
      </c>
      <c r="AB149" s="1513"/>
      <c r="AC149" s="1513">
        <v>0</v>
      </c>
      <c r="AD149" s="1606"/>
      <c r="AE149" s="4226">
        <f t="shared" si="111"/>
        <v>3852</v>
      </c>
      <c r="AF149" s="1513"/>
      <c r="AG149" s="1513">
        <v>0</v>
      </c>
      <c r="AH149" s="1606"/>
      <c r="AI149" s="4226">
        <f t="shared" si="112"/>
        <v>3852</v>
      </c>
      <c r="AJ149" s="1513"/>
      <c r="AK149" s="1513">
        <v>0</v>
      </c>
      <c r="AL149" s="1607"/>
      <c r="AM149" s="1607">
        <f t="shared" si="113"/>
        <v>0</v>
      </c>
      <c r="AN149" s="1606"/>
      <c r="AO149" s="4226">
        <f t="shared" si="114"/>
        <v>3852</v>
      </c>
      <c r="AP149" s="1513"/>
      <c r="AQ149" s="1513">
        <v>0</v>
      </c>
      <c r="AR149" s="1606"/>
      <c r="AS149" s="4226">
        <f t="shared" si="115"/>
        <v>3852</v>
      </c>
      <c r="AT149" s="1513"/>
      <c r="AU149" s="1513"/>
      <c r="AV149" s="1606"/>
      <c r="AW149" s="4226">
        <f t="shared" si="116"/>
        <v>3852</v>
      </c>
      <c r="AX149" s="1513"/>
      <c r="AY149" s="1513"/>
      <c r="AZ149" s="1607"/>
      <c r="BA149" s="1607">
        <f t="shared" si="102"/>
        <v>0</v>
      </c>
      <c r="BB149" s="1796"/>
      <c r="BC149" s="1796">
        <f t="shared" si="103"/>
        <v>0</v>
      </c>
      <c r="BD149" s="1606"/>
      <c r="BE149" s="1606">
        <f t="shared" si="104"/>
        <v>3852</v>
      </c>
    </row>
    <row r="150" spans="2:57" x14ac:dyDescent="0.25">
      <c r="B150" s="26" t="s">
        <v>1112</v>
      </c>
      <c r="C150" s="3440" t="s">
        <v>393</v>
      </c>
      <c r="D150" s="380"/>
      <c r="E150" s="1513">
        <v>14669.42</v>
      </c>
      <c r="F150" s="1513"/>
      <c r="G150" s="1513">
        <v>0</v>
      </c>
      <c r="H150" s="1606"/>
      <c r="I150" s="4226">
        <f t="shared" si="105"/>
        <v>14669.42</v>
      </c>
      <c r="J150" s="1513"/>
      <c r="K150" s="1513">
        <v>12201.2</v>
      </c>
      <c r="L150" s="1607"/>
      <c r="M150" s="1607">
        <f t="shared" si="106"/>
        <v>26870.620000000003</v>
      </c>
      <c r="N150" s="1513"/>
      <c r="O150" s="1513">
        <v>7819.22</v>
      </c>
      <c r="P150" s="1606"/>
      <c r="Q150" s="4226">
        <f t="shared" si="107"/>
        <v>34689.840000000004</v>
      </c>
      <c r="R150" s="1513"/>
      <c r="S150" s="1513">
        <v>6688.31</v>
      </c>
      <c r="T150" s="1606"/>
      <c r="U150" s="4226">
        <f t="shared" si="108"/>
        <v>41378.15</v>
      </c>
      <c r="V150" s="1513"/>
      <c r="W150" s="1513">
        <v>2351.9899999999998</v>
      </c>
      <c r="X150" s="1607"/>
      <c r="Y150" s="1607">
        <f t="shared" si="109"/>
        <v>16859.52</v>
      </c>
      <c r="Z150" s="1796"/>
      <c r="AA150" s="1796">
        <f t="shared" si="110"/>
        <v>43730.14</v>
      </c>
      <c r="AB150" s="1513"/>
      <c r="AC150" s="1513">
        <v>0</v>
      </c>
      <c r="AD150" s="1606"/>
      <c r="AE150" s="4226">
        <f t="shared" si="111"/>
        <v>43730.14</v>
      </c>
      <c r="AF150" s="1513"/>
      <c r="AG150" s="1513">
        <v>3923.44</v>
      </c>
      <c r="AH150" s="1606"/>
      <c r="AI150" s="4226">
        <f t="shared" si="112"/>
        <v>47653.58</v>
      </c>
      <c r="AJ150" s="1513"/>
      <c r="AK150" s="1513">
        <v>0</v>
      </c>
      <c r="AL150" s="1607"/>
      <c r="AM150" s="1607">
        <f t="shared" si="113"/>
        <v>3923.44</v>
      </c>
      <c r="AN150" s="1606"/>
      <c r="AO150" s="4226">
        <f t="shared" si="114"/>
        <v>47653.58</v>
      </c>
      <c r="AP150" s="1513"/>
      <c r="AQ150" s="1513">
        <v>0</v>
      </c>
      <c r="AR150" s="1606"/>
      <c r="AS150" s="4226">
        <f t="shared" si="115"/>
        <v>47653.58</v>
      </c>
      <c r="AT150" s="1513"/>
      <c r="AU150" s="1513"/>
      <c r="AV150" s="1606"/>
      <c r="AW150" s="4226">
        <f t="shared" si="116"/>
        <v>47653.58</v>
      </c>
      <c r="AX150" s="1513"/>
      <c r="AY150" s="1513"/>
      <c r="AZ150" s="1607"/>
      <c r="BA150" s="1607">
        <f t="shared" si="102"/>
        <v>0</v>
      </c>
      <c r="BB150" s="1796"/>
      <c r="BC150" s="1796">
        <f t="shared" si="103"/>
        <v>3923.44</v>
      </c>
      <c r="BD150" s="1606"/>
      <c r="BE150" s="1606">
        <f t="shared" si="104"/>
        <v>47653.58</v>
      </c>
    </row>
    <row r="151" spans="2:57" ht="18.75" x14ac:dyDescent="0.25">
      <c r="B151" s="1329" t="s">
        <v>381</v>
      </c>
      <c r="C151" s="699" t="s">
        <v>393</v>
      </c>
      <c r="D151" s="3182"/>
      <c r="E151" s="1276">
        <f>+E152+E153</f>
        <v>4023.63</v>
      </c>
      <c r="F151" s="1276"/>
      <c r="G151" s="1276">
        <f>+G152+G153</f>
        <v>6544.22</v>
      </c>
      <c r="H151" s="604"/>
      <c r="I151" s="4226">
        <f t="shared" si="105"/>
        <v>10567.85</v>
      </c>
      <c r="J151" s="1276"/>
      <c r="K151" s="1276">
        <f>+K152+K153</f>
        <v>0</v>
      </c>
      <c r="L151" s="887"/>
      <c r="M151" s="887">
        <f t="shared" si="106"/>
        <v>10567.85</v>
      </c>
      <c r="N151" s="1276"/>
      <c r="O151" s="1276">
        <f>+O152+O153</f>
        <v>0</v>
      </c>
      <c r="P151" s="604"/>
      <c r="Q151" s="4226">
        <f t="shared" si="107"/>
        <v>10567.85</v>
      </c>
      <c r="R151" s="1276"/>
      <c r="S151" s="1276">
        <f>+S152+S153</f>
        <v>4335.74</v>
      </c>
      <c r="T151" s="604"/>
      <c r="U151" s="4226">
        <f t="shared" si="108"/>
        <v>14903.59</v>
      </c>
      <c r="V151" s="1276"/>
      <c r="W151" s="1276">
        <f>+W152+W153</f>
        <v>0</v>
      </c>
      <c r="X151" s="887"/>
      <c r="Y151" s="887">
        <f t="shared" si="109"/>
        <v>4335.74</v>
      </c>
      <c r="Z151" s="1294"/>
      <c r="AA151" s="1294">
        <f t="shared" si="110"/>
        <v>14903.59</v>
      </c>
      <c r="AB151" s="1276"/>
      <c r="AC151" s="1276">
        <f>+AC152+AC153</f>
        <v>2438.8000000000002</v>
      </c>
      <c r="AD151" s="604"/>
      <c r="AE151" s="4226">
        <f t="shared" si="111"/>
        <v>17342.39</v>
      </c>
      <c r="AF151" s="1276"/>
      <c r="AG151" s="1276">
        <f>+AG152+AG153</f>
        <v>0</v>
      </c>
      <c r="AH151" s="604"/>
      <c r="AI151" s="4226">
        <f t="shared" si="112"/>
        <v>17342.39</v>
      </c>
      <c r="AJ151" s="1276"/>
      <c r="AK151" s="1276">
        <f>+AK152+AK153</f>
        <v>0</v>
      </c>
      <c r="AL151" s="887"/>
      <c r="AM151" s="887">
        <f t="shared" si="113"/>
        <v>2438.8000000000002</v>
      </c>
      <c r="AN151" s="604"/>
      <c r="AO151" s="4226">
        <f t="shared" si="114"/>
        <v>17342.39</v>
      </c>
      <c r="AP151" s="1276"/>
      <c r="AQ151" s="1276">
        <f>+AQ152+AQ153</f>
        <v>0</v>
      </c>
      <c r="AR151" s="604"/>
      <c r="AS151" s="4226">
        <f t="shared" si="115"/>
        <v>17342.39</v>
      </c>
      <c r="AT151" s="1276"/>
      <c r="AU151" s="1276">
        <f>+AU152+AU153</f>
        <v>0</v>
      </c>
      <c r="AV151" s="604"/>
      <c r="AW151" s="4226">
        <f t="shared" si="116"/>
        <v>17342.39</v>
      </c>
      <c r="AX151" s="1276"/>
      <c r="AY151" s="1276">
        <f>+AY152+AY153</f>
        <v>0</v>
      </c>
      <c r="AZ151" s="887"/>
      <c r="BA151" s="887">
        <f t="shared" si="102"/>
        <v>0</v>
      </c>
      <c r="BB151" s="1294"/>
      <c r="BC151" s="1294">
        <f t="shared" si="103"/>
        <v>2438.8000000000002</v>
      </c>
      <c r="BD151" s="604"/>
      <c r="BE151" s="604">
        <f t="shared" si="104"/>
        <v>17342.39</v>
      </c>
    </row>
    <row r="152" spans="2:57" x14ac:dyDescent="0.25">
      <c r="B152" s="26" t="s">
        <v>1154</v>
      </c>
      <c r="C152" s="3440" t="s">
        <v>393</v>
      </c>
      <c r="D152" s="380"/>
      <c r="E152" s="1513">
        <v>4023.63</v>
      </c>
      <c r="F152" s="1513"/>
      <c r="G152" s="1513">
        <v>6544.22</v>
      </c>
      <c r="H152" s="1606"/>
      <c r="I152" s="4226">
        <f t="shared" si="105"/>
        <v>10567.85</v>
      </c>
      <c r="J152" s="1513"/>
      <c r="K152" s="1513">
        <v>0</v>
      </c>
      <c r="L152" s="1607"/>
      <c r="M152" s="1607">
        <f t="shared" si="106"/>
        <v>10567.85</v>
      </c>
      <c r="N152" s="1513"/>
      <c r="O152" s="1513">
        <v>0</v>
      </c>
      <c r="P152" s="1606"/>
      <c r="Q152" s="4226">
        <f t="shared" si="107"/>
        <v>10567.85</v>
      </c>
      <c r="R152" s="1513"/>
      <c r="S152" s="1513">
        <v>4335.74</v>
      </c>
      <c r="T152" s="1606"/>
      <c r="U152" s="4226">
        <f t="shared" si="108"/>
        <v>14903.59</v>
      </c>
      <c r="V152" s="1513"/>
      <c r="W152" s="1513">
        <v>0</v>
      </c>
      <c r="X152" s="1607"/>
      <c r="Y152" s="1607">
        <f t="shared" si="109"/>
        <v>4335.74</v>
      </c>
      <c r="Z152" s="1796"/>
      <c r="AA152" s="1796">
        <f t="shared" si="110"/>
        <v>14903.59</v>
      </c>
      <c r="AB152" s="1513"/>
      <c r="AC152" s="1513">
        <v>2438.8000000000002</v>
      </c>
      <c r="AD152" s="1606"/>
      <c r="AE152" s="4226">
        <f t="shared" si="111"/>
        <v>17342.39</v>
      </c>
      <c r="AF152" s="1513"/>
      <c r="AG152" s="1513">
        <v>0</v>
      </c>
      <c r="AH152" s="1606"/>
      <c r="AI152" s="4226">
        <f t="shared" si="112"/>
        <v>17342.39</v>
      </c>
      <c r="AJ152" s="1513"/>
      <c r="AK152" s="1513">
        <v>0</v>
      </c>
      <c r="AL152" s="1607"/>
      <c r="AM152" s="1607">
        <f t="shared" si="113"/>
        <v>2438.8000000000002</v>
      </c>
      <c r="AN152" s="1606"/>
      <c r="AO152" s="4226">
        <f t="shared" si="114"/>
        <v>17342.39</v>
      </c>
      <c r="AP152" s="1513"/>
      <c r="AQ152" s="1513">
        <v>0</v>
      </c>
      <c r="AR152" s="1606"/>
      <c r="AS152" s="4226">
        <f t="shared" si="115"/>
        <v>17342.39</v>
      </c>
      <c r="AT152" s="1513"/>
      <c r="AU152" s="1513"/>
      <c r="AV152" s="1606"/>
      <c r="AW152" s="4226">
        <f t="shared" si="116"/>
        <v>17342.39</v>
      </c>
      <c r="AX152" s="1513"/>
      <c r="AY152" s="1513"/>
      <c r="AZ152" s="1607"/>
      <c r="BA152" s="1607">
        <f t="shared" si="102"/>
        <v>0</v>
      </c>
      <c r="BB152" s="1796"/>
      <c r="BC152" s="1796">
        <f t="shared" si="103"/>
        <v>2438.8000000000002</v>
      </c>
      <c r="BD152" s="1606"/>
      <c r="BE152" s="1606">
        <f t="shared" si="104"/>
        <v>17342.39</v>
      </c>
    </row>
    <row r="153" spans="2:57" ht="15.75" customHeight="1" x14ac:dyDescent="0.25">
      <c r="B153" s="26" t="s">
        <v>1112</v>
      </c>
      <c r="C153" s="3440" t="s">
        <v>393</v>
      </c>
      <c r="D153" s="380"/>
      <c r="E153" s="1513">
        <v>0</v>
      </c>
      <c r="F153" s="1513"/>
      <c r="G153" s="1513">
        <v>0</v>
      </c>
      <c r="H153" s="1606"/>
      <c r="I153" s="4226">
        <f t="shared" si="105"/>
        <v>0</v>
      </c>
      <c r="J153" s="1513"/>
      <c r="K153" s="1513">
        <v>0</v>
      </c>
      <c r="L153" s="1607"/>
      <c r="M153" s="1607">
        <f t="shared" si="106"/>
        <v>0</v>
      </c>
      <c r="N153" s="1513"/>
      <c r="O153" s="1513">
        <v>0</v>
      </c>
      <c r="P153" s="1606"/>
      <c r="Q153" s="4226">
        <f t="shared" si="107"/>
        <v>0</v>
      </c>
      <c r="R153" s="1513"/>
      <c r="S153" s="1513">
        <v>0</v>
      </c>
      <c r="T153" s="1606"/>
      <c r="U153" s="4226">
        <f t="shared" si="108"/>
        <v>0</v>
      </c>
      <c r="V153" s="1513"/>
      <c r="W153" s="1513">
        <v>0</v>
      </c>
      <c r="X153" s="1607"/>
      <c r="Y153" s="1607">
        <f t="shared" si="109"/>
        <v>0</v>
      </c>
      <c r="Z153" s="1796"/>
      <c r="AA153" s="1796">
        <f t="shared" si="110"/>
        <v>0</v>
      </c>
      <c r="AB153" s="1513"/>
      <c r="AC153" s="1513">
        <v>0</v>
      </c>
      <c r="AD153" s="1606"/>
      <c r="AE153" s="4226">
        <f t="shared" si="111"/>
        <v>0</v>
      </c>
      <c r="AF153" s="1513"/>
      <c r="AG153" s="1513">
        <v>0</v>
      </c>
      <c r="AH153" s="1606"/>
      <c r="AI153" s="4226">
        <f t="shared" si="112"/>
        <v>0</v>
      </c>
      <c r="AJ153" s="1513"/>
      <c r="AK153" s="1513">
        <v>0</v>
      </c>
      <c r="AL153" s="1607"/>
      <c r="AM153" s="1607">
        <f t="shared" si="113"/>
        <v>0</v>
      </c>
      <c r="AN153" s="1606"/>
      <c r="AO153" s="4226">
        <f t="shared" si="114"/>
        <v>0</v>
      </c>
      <c r="AP153" s="1513"/>
      <c r="AQ153" s="1513">
        <v>0</v>
      </c>
      <c r="AR153" s="1606"/>
      <c r="AS153" s="4226">
        <f t="shared" si="115"/>
        <v>0</v>
      </c>
      <c r="AT153" s="1513"/>
      <c r="AU153" s="1513"/>
      <c r="AV153" s="1606"/>
      <c r="AW153" s="4226">
        <f t="shared" si="116"/>
        <v>0</v>
      </c>
      <c r="AX153" s="1513"/>
      <c r="AY153" s="1513"/>
      <c r="AZ153" s="1607"/>
      <c r="BA153" s="1607">
        <f t="shared" si="102"/>
        <v>0</v>
      </c>
      <c r="BB153" s="1796"/>
      <c r="BC153" s="1796">
        <f t="shared" si="103"/>
        <v>0</v>
      </c>
      <c r="BD153" s="1606"/>
      <c r="BE153" s="1606">
        <f t="shared" si="104"/>
        <v>0</v>
      </c>
    </row>
    <row r="154" spans="2:57" ht="18.75" x14ac:dyDescent="0.25">
      <c r="B154" s="1329" t="s">
        <v>1703</v>
      </c>
      <c r="C154" s="699" t="s">
        <v>393</v>
      </c>
      <c r="D154" s="3182"/>
      <c r="E154" s="1276">
        <v>0</v>
      </c>
      <c r="F154" s="1276"/>
      <c r="G154" s="1276">
        <v>5712.0199999999995</v>
      </c>
      <c r="H154" s="604"/>
      <c r="I154" s="4226">
        <f t="shared" si="105"/>
        <v>5712.0199999999995</v>
      </c>
      <c r="J154" s="1276"/>
      <c r="K154" s="1276">
        <v>0</v>
      </c>
      <c r="L154" s="887"/>
      <c r="M154" s="887">
        <f t="shared" si="106"/>
        <v>5712.0199999999995</v>
      </c>
      <c r="N154" s="1276"/>
      <c r="O154" s="1276">
        <v>2863.6799999999994</v>
      </c>
      <c r="P154" s="604"/>
      <c r="Q154" s="4226">
        <f t="shared" si="107"/>
        <v>8575.6999999999989</v>
      </c>
      <c r="R154" s="1276"/>
      <c r="S154" s="1276">
        <v>8333.58</v>
      </c>
      <c r="T154" s="604"/>
      <c r="U154" s="4226">
        <f t="shared" si="108"/>
        <v>16909.28</v>
      </c>
      <c r="V154" s="1276"/>
      <c r="W154" s="1276">
        <v>5479.1599999999971</v>
      </c>
      <c r="X154" s="887"/>
      <c r="Y154" s="887">
        <f t="shared" si="109"/>
        <v>16676.419999999995</v>
      </c>
      <c r="Z154" s="1294"/>
      <c r="AA154" s="1294">
        <f t="shared" si="110"/>
        <v>22388.439999999995</v>
      </c>
      <c r="AB154" s="1276"/>
      <c r="AC154" s="1276">
        <v>11475.779999999999</v>
      </c>
      <c r="AD154" s="604"/>
      <c r="AE154" s="4226">
        <f t="shared" si="111"/>
        <v>33864.219999999994</v>
      </c>
      <c r="AF154" s="1276"/>
      <c r="AG154" s="1276">
        <v>2870.4800000000009</v>
      </c>
      <c r="AH154" s="604"/>
      <c r="AI154" s="4226">
        <f t="shared" si="112"/>
        <v>36734.699999999997</v>
      </c>
      <c r="AJ154" s="1276"/>
      <c r="AK154" s="1276">
        <v>10720.039999999992</v>
      </c>
      <c r="AL154" s="887"/>
      <c r="AM154" s="887">
        <f t="shared" si="113"/>
        <v>25066.299999999992</v>
      </c>
      <c r="AN154" s="604"/>
      <c r="AO154" s="4226">
        <f t="shared" si="114"/>
        <v>47454.739999999991</v>
      </c>
      <c r="AP154" s="1276"/>
      <c r="AQ154" s="1276">
        <v>3419.2200000000007</v>
      </c>
      <c r="AR154" s="604"/>
      <c r="AS154" s="4226">
        <f t="shared" si="115"/>
        <v>50873.959999999992</v>
      </c>
      <c r="AT154" s="1276"/>
      <c r="AU154" s="1276">
        <v>8500.7800000000043</v>
      </c>
      <c r="AV154" s="604"/>
      <c r="AW154" s="4226">
        <f t="shared" si="116"/>
        <v>59374.74</v>
      </c>
      <c r="AX154" s="1276"/>
      <c r="AY154" s="1276">
        <v>7580.3999999999978</v>
      </c>
      <c r="AZ154" s="887"/>
      <c r="BA154" s="887">
        <f t="shared" si="102"/>
        <v>19500.400000000001</v>
      </c>
      <c r="BB154" s="1294"/>
      <c r="BC154" s="1294">
        <f t="shared" si="103"/>
        <v>44566.7</v>
      </c>
      <c r="BD154" s="604"/>
      <c r="BE154" s="604">
        <f t="shared" si="104"/>
        <v>66955.139999999985</v>
      </c>
    </row>
    <row r="155" spans="2:57" ht="18.75" x14ac:dyDescent="0.25">
      <c r="B155" s="1329" t="s">
        <v>1786</v>
      </c>
      <c r="C155" s="699" t="s">
        <v>393</v>
      </c>
      <c r="D155" s="3182"/>
      <c r="E155" s="1276"/>
      <c r="F155" s="1276"/>
      <c r="G155" s="1276"/>
      <c r="H155" s="604"/>
      <c r="I155" s="4226">
        <f t="shared" si="105"/>
        <v>0</v>
      </c>
      <c r="J155" s="1276"/>
      <c r="K155" s="1276"/>
      <c r="L155" s="887"/>
      <c r="M155" s="887">
        <f t="shared" si="106"/>
        <v>0</v>
      </c>
      <c r="N155" s="1276"/>
      <c r="O155" s="1276"/>
      <c r="P155" s="604"/>
      <c r="Q155" s="4226">
        <f t="shared" si="107"/>
        <v>0</v>
      </c>
      <c r="R155" s="1276"/>
      <c r="S155" s="1276"/>
      <c r="T155" s="604"/>
      <c r="U155" s="4226">
        <f t="shared" si="108"/>
        <v>0</v>
      </c>
      <c r="V155" s="1276"/>
      <c r="W155" s="1276"/>
      <c r="X155" s="887"/>
      <c r="Y155" s="887">
        <f t="shared" si="109"/>
        <v>0</v>
      </c>
      <c r="Z155" s="1294"/>
      <c r="AA155" s="1294">
        <f t="shared" si="110"/>
        <v>0</v>
      </c>
      <c r="AB155" s="1276"/>
      <c r="AC155" s="1276"/>
      <c r="AD155" s="604"/>
      <c r="AE155" s="4226">
        <f t="shared" si="111"/>
        <v>0</v>
      </c>
      <c r="AF155" s="1276"/>
      <c r="AG155" s="1276"/>
      <c r="AH155" s="604"/>
      <c r="AI155" s="4226">
        <f t="shared" si="112"/>
        <v>0</v>
      </c>
      <c r="AJ155" s="1276"/>
      <c r="AK155" s="1276"/>
      <c r="AL155" s="887"/>
      <c r="AM155" s="887">
        <f t="shared" si="113"/>
        <v>0</v>
      </c>
      <c r="AN155" s="604"/>
      <c r="AO155" s="4226">
        <f t="shared" si="114"/>
        <v>0</v>
      </c>
      <c r="AP155" s="1276"/>
      <c r="AQ155" s="1276">
        <v>1923.54</v>
      </c>
      <c r="AR155" s="604"/>
      <c r="AS155" s="4226">
        <f t="shared" si="115"/>
        <v>1923.54</v>
      </c>
      <c r="AT155" s="1276"/>
      <c r="AU155" s="1276">
        <v>60.14</v>
      </c>
      <c r="AV155" s="604"/>
      <c r="AW155" s="4226">
        <f t="shared" si="116"/>
        <v>1983.68</v>
      </c>
      <c r="AX155" s="1276"/>
      <c r="AY155" s="1276">
        <v>0</v>
      </c>
      <c r="AZ155" s="887"/>
      <c r="BA155" s="887">
        <f t="shared" si="102"/>
        <v>1983.68</v>
      </c>
      <c r="BB155" s="1294"/>
      <c r="BC155" s="1294">
        <f t="shared" si="103"/>
        <v>1983.68</v>
      </c>
      <c r="BD155" s="604"/>
      <c r="BE155" s="604">
        <f t="shared" si="104"/>
        <v>1983.68</v>
      </c>
    </row>
    <row r="156" spans="2:57" ht="19.5" customHeight="1" x14ac:dyDescent="0.25">
      <c r="B156" s="1329" t="s">
        <v>1874</v>
      </c>
      <c r="C156" s="699" t="s">
        <v>393</v>
      </c>
      <c r="D156" s="3182"/>
      <c r="E156" s="1276">
        <v>0</v>
      </c>
      <c r="F156" s="1276"/>
      <c r="G156" s="1276">
        <v>0</v>
      </c>
      <c r="H156" s="604"/>
      <c r="I156" s="4226">
        <f t="shared" si="105"/>
        <v>0</v>
      </c>
      <c r="J156" s="1276"/>
      <c r="K156" s="1276">
        <v>0</v>
      </c>
      <c r="L156" s="887"/>
      <c r="M156" s="887">
        <f t="shared" si="106"/>
        <v>0</v>
      </c>
      <c r="N156" s="1276"/>
      <c r="O156" s="1276">
        <v>0</v>
      </c>
      <c r="P156" s="604"/>
      <c r="Q156" s="4226">
        <f t="shared" si="107"/>
        <v>0</v>
      </c>
      <c r="R156" s="1276"/>
      <c r="S156" s="1276">
        <v>0</v>
      </c>
      <c r="T156" s="604"/>
      <c r="U156" s="4226">
        <f t="shared" si="108"/>
        <v>0</v>
      </c>
      <c r="V156" s="1276"/>
      <c r="W156" s="1276">
        <v>0</v>
      </c>
      <c r="X156" s="887"/>
      <c r="Y156" s="887">
        <f t="shared" si="109"/>
        <v>0</v>
      </c>
      <c r="Z156" s="1294"/>
      <c r="AA156" s="1294">
        <f t="shared" si="110"/>
        <v>0</v>
      </c>
      <c r="AB156" s="1276"/>
      <c r="AC156" s="1276">
        <v>0</v>
      </c>
      <c r="AD156" s="604"/>
      <c r="AE156" s="4226">
        <f t="shared" si="111"/>
        <v>0</v>
      </c>
      <c r="AF156" s="1276"/>
      <c r="AG156" s="1276">
        <v>0</v>
      </c>
      <c r="AH156" s="604"/>
      <c r="AI156" s="4226">
        <f t="shared" si="112"/>
        <v>0</v>
      </c>
      <c r="AJ156" s="1276"/>
      <c r="AK156" s="1276">
        <v>0</v>
      </c>
      <c r="AL156" s="887"/>
      <c r="AM156" s="887">
        <f t="shared" si="113"/>
        <v>0</v>
      </c>
      <c r="AN156" s="604"/>
      <c r="AO156" s="4226">
        <f t="shared" si="114"/>
        <v>0</v>
      </c>
      <c r="AP156" s="1276"/>
      <c r="AQ156" s="1276">
        <v>0</v>
      </c>
      <c r="AR156" s="604"/>
      <c r="AS156" s="4226">
        <f t="shared" si="115"/>
        <v>0</v>
      </c>
      <c r="AT156" s="1276"/>
      <c r="AU156" s="1276"/>
      <c r="AV156" s="604"/>
      <c r="AW156" s="4226">
        <f t="shared" si="116"/>
        <v>0</v>
      </c>
      <c r="AX156" s="1276"/>
      <c r="AY156" s="1276">
        <v>598.74</v>
      </c>
      <c r="AZ156" s="887"/>
      <c r="BA156" s="887">
        <f t="shared" si="102"/>
        <v>598.74</v>
      </c>
      <c r="BB156" s="1294"/>
      <c r="BC156" s="1294">
        <f t="shared" si="103"/>
        <v>598.74</v>
      </c>
      <c r="BD156" s="604"/>
      <c r="BE156" s="604">
        <f t="shared" si="104"/>
        <v>598.74</v>
      </c>
    </row>
    <row r="157" spans="2:57" ht="19.5" customHeight="1" x14ac:dyDescent="0.25">
      <c r="B157" s="1616" t="s">
        <v>1875</v>
      </c>
      <c r="C157" s="1617" t="s">
        <v>393</v>
      </c>
      <c r="D157" s="3182"/>
      <c r="E157" s="1276">
        <v>0</v>
      </c>
      <c r="F157" s="1276"/>
      <c r="G157" s="1276">
        <v>0</v>
      </c>
      <c r="H157" s="604"/>
      <c r="I157" s="4226">
        <f t="shared" si="105"/>
        <v>0</v>
      </c>
      <c r="J157" s="1276"/>
      <c r="K157" s="1276">
        <v>0</v>
      </c>
      <c r="L157" s="887"/>
      <c r="M157" s="887">
        <f t="shared" si="106"/>
        <v>0</v>
      </c>
      <c r="N157" s="1276"/>
      <c r="O157" s="1276">
        <v>0</v>
      </c>
      <c r="P157" s="604"/>
      <c r="Q157" s="4226">
        <f t="shared" si="107"/>
        <v>0</v>
      </c>
      <c r="R157" s="1276"/>
      <c r="S157" s="1276">
        <v>0</v>
      </c>
      <c r="T157" s="604"/>
      <c r="U157" s="4226">
        <f t="shared" si="108"/>
        <v>0</v>
      </c>
      <c r="V157" s="1276"/>
      <c r="W157" s="1276">
        <v>0</v>
      </c>
      <c r="X157" s="887"/>
      <c r="Y157" s="887">
        <f t="shared" si="109"/>
        <v>0</v>
      </c>
      <c r="Z157" s="1294"/>
      <c r="AA157" s="1294">
        <f t="shared" si="110"/>
        <v>0</v>
      </c>
      <c r="AB157" s="1276"/>
      <c r="AC157" s="1276">
        <v>0</v>
      </c>
      <c r="AD157" s="604"/>
      <c r="AE157" s="4226">
        <f t="shared" si="111"/>
        <v>0</v>
      </c>
      <c r="AF157" s="1276"/>
      <c r="AG157" s="1276">
        <v>0</v>
      </c>
      <c r="AH157" s="604"/>
      <c r="AI157" s="4226">
        <f t="shared" si="112"/>
        <v>0</v>
      </c>
      <c r="AJ157" s="1276"/>
      <c r="AK157" s="1276">
        <v>0</v>
      </c>
      <c r="AL157" s="887"/>
      <c r="AM157" s="887">
        <f t="shared" si="113"/>
        <v>0</v>
      </c>
      <c r="AN157" s="604"/>
      <c r="AO157" s="4226">
        <f t="shared" si="114"/>
        <v>0</v>
      </c>
      <c r="AP157" s="1276"/>
      <c r="AQ157" s="1276">
        <v>0</v>
      </c>
      <c r="AR157" s="604"/>
      <c r="AS157" s="4226">
        <f t="shared" si="115"/>
        <v>0</v>
      </c>
      <c r="AT157" s="1276"/>
      <c r="AU157" s="1276"/>
      <c r="AV157" s="604"/>
      <c r="AW157" s="4226">
        <f t="shared" si="116"/>
        <v>0</v>
      </c>
      <c r="AX157" s="1276"/>
      <c r="AY157" s="1276">
        <f>+AY158+AY159</f>
        <v>2768.5600000000004</v>
      </c>
      <c r="AZ157" s="887"/>
      <c r="BA157" s="887">
        <f t="shared" si="102"/>
        <v>2768.5600000000004</v>
      </c>
      <c r="BB157" s="1294"/>
      <c r="BC157" s="1294">
        <f t="shared" si="103"/>
        <v>2768.5600000000004</v>
      </c>
      <c r="BD157" s="604"/>
      <c r="BE157" s="604">
        <f t="shared" si="104"/>
        <v>2768.5600000000004</v>
      </c>
    </row>
    <row r="158" spans="2:57" s="4534" customFormat="1" ht="19.5" customHeight="1" x14ac:dyDescent="0.25">
      <c r="B158" s="4585" t="s">
        <v>1876</v>
      </c>
      <c r="C158" s="1617" t="s">
        <v>393</v>
      </c>
      <c r="D158" s="4580"/>
      <c r="E158" s="4581"/>
      <c r="F158" s="4581"/>
      <c r="G158" s="4581"/>
      <c r="H158" s="4582"/>
      <c r="I158" s="4527"/>
      <c r="J158" s="4581"/>
      <c r="K158" s="4581"/>
      <c r="L158" s="4583"/>
      <c r="M158" s="4583"/>
      <c r="N158" s="4581"/>
      <c r="O158" s="4581"/>
      <c r="P158" s="4582"/>
      <c r="Q158" s="4527"/>
      <c r="R158" s="4581"/>
      <c r="S158" s="4581"/>
      <c r="T158" s="4582"/>
      <c r="U158" s="4527"/>
      <c r="V158" s="4581"/>
      <c r="W158" s="4581"/>
      <c r="X158" s="4583"/>
      <c r="Y158" s="4583"/>
      <c r="Z158" s="4584"/>
      <c r="AA158" s="4584"/>
      <c r="AB158" s="4581"/>
      <c r="AC158" s="4581"/>
      <c r="AD158" s="4582"/>
      <c r="AE158" s="4527"/>
      <c r="AF158" s="4581"/>
      <c r="AG158" s="4581"/>
      <c r="AH158" s="4582"/>
      <c r="AI158" s="4527"/>
      <c r="AJ158" s="4581"/>
      <c r="AK158" s="4581"/>
      <c r="AL158" s="4583"/>
      <c r="AM158" s="4583"/>
      <c r="AN158" s="4582"/>
      <c r="AO158" s="4527"/>
      <c r="AP158" s="4581"/>
      <c r="AQ158" s="4581"/>
      <c r="AR158" s="4582"/>
      <c r="AS158" s="4527"/>
      <c r="AT158" s="4581"/>
      <c r="AU158" s="4581"/>
      <c r="AV158" s="4582"/>
      <c r="AW158" s="4527"/>
      <c r="AX158" s="4581"/>
      <c r="AY158" s="1513">
        <v>1423.2800000000002</v>
      </c>
      <c r="AZ158" s="4583"/>
      <c r="BA158" s="4583">
        <f t="shared" si="102"/>
        <v>1423.2800000000002</v>
      </c>
      <c r="BB158" s="4584"/>
      <c r="BC158" s="4584">
        <f t="shared" si="103"/>
        <v>1423.2800000000002</v>
      </c>
      <c r="BD158" s="4582"/>
      <c r="BE158" s="4582">
        <f t="shared" si="104"/>
        <v>1423.2800000000002</v>
      </c>
    </row>
    <row r="159" spans="2:57" s="4534" customFormat="1" ht="19.5" customHeight="1" thickBot="1" x14ac:dyDescent="0.3">
      <c r="B159" s="4585" t="s">
        <v>1877</v>
      </c>
      <c r="C159" s="1617" t="s">
        <v>393</v>
      </c>
      <c r="D159" s="4580"/>
      <c r="E159" s="4581"/>
      <c r="F159" s="4581"/>
      <c r="G159" s="4581"/>
      <c r="H159" s="4582"/>
      <c r="I159" s="4527"/>
      <c r="J159" s="4581"/>
      <c r="K159" s="4581"/>
      <c r="L159" s="4583"/>
      <c r="M159" s="4583"/>
      <c r="N159" s="4581"/>
      <c r="O159" s="4581"/>
      <c r="P159" s="4582"/>
      <c r="Q159" s="4527"/>
      <c r="R159" s="4581"/>
      <c r="S159" s="4581"/>
      <c r="T159" s="4582"/>
      <c r="U159" s="4527"/>
      <c r="V159" s="4581"/>
      <c r="W159" s="4581"/>
      <c r="X159" s="4583"/>
      <c r="Y159" s="4583"/>
      <c r="Z159" s="4584"/>
      <c r="AA159" s="4584"/>
      <c r="AB159" s="4581"/>
      <c r="AC159" s="4581"/>
      <c r="AD159" s="4582"/>
      <c r="AE159" s="4527"/>
      <c r="AF159" s="4581"/>
      <c r="AG159" s="4581"/>
      <c r="AH159" s="4582"/>
      <c r="AI159" s="4527"/>
      <c r="AJ159" s="4581"/>
      <c r="AK159" s="4581"/>
      <c r="AL159" s="4583"/>
      <c r="AM159" s="4583"/>
      <c r="AN159" s="4582"/>
      <c r="AO159" s="4527"/>
      <c r="AP159" s="4581"/>
      <c r="AQ159" s="4581"/>
      <c r="AR159" s="4582"/>
      <c r="AS159" s="4527"/>
      <c r="AT159" s="4581"/>
      <c r="AU159" s="4581"/>
      <c r="AV159" s="4582"/>
      <c r="AW159" s="4527"/>
      <c r="AX159" s="4581"/>
      <c r="AY159" s="1513">
        <v>1345.28</v>
      </c>
      <c r="AZ159" s="4583"/>
      <c r="BA159" s="4583">
        <f t="shared" si="102"/>
        <v>1345.28</v>
      </c>
      <c r="BB159" s="4584"/>
      <c r="BC159" s="4584">
        <f t="shared" si="103"/>
        <v>1345.28</v>
      </c>
      <c r="BD159" s="4582"/>
      <c r="BE159" s="4582">
        <f t="shared" si="104"/>
        <v>1345.28</v>
      </c>
    </row>
    <row r="160" spans="2:57" s="334" customFormat="1" ht="26.25" thickBot="1" x14ac:dyDescent="0.3">
      <c r="B160" s="2229" t="s">
        <v>1440</v>
      </c>
      <c r="C160" s="997" t="s">
        <v>393</v>
      </c>
      <c r="D160" s="2116"/>
      <c r="E160" s="1551">
        <f>+E144+E151+E154+E155+E156+E157</f>
        <v>87602.87000000001</v>
      </c>
      <c r="F160" s="1551">
        <f>+SUM(F107:F142)+F144+F151+F154+F156+F157-F112</f>
        <v>0</v>
      </c>
      <c r="G160" s="1551">
        <f>+G144+G151+G154+G155+G156+G157</f>
        <v>77800.680000000008</v>
      </c>
      <c r="H160" s="1551">
        <f>+SUM(H107:H142)+H144+H151+H154+H156+H157-H112</f>
        <v>0</v>
      </c>
      <c r="I160" s="4226">
        <f t="shared" si="105"/>
        <v>165403.55000000002</v>
      </c>
      <c r="J160" s="1551">
        <f>+SUM(J107:J142)+J144+J151+J154+J156+J157-J112</f>
        <v>0</v>
      </c>
      <c r="K160" s="1551">
        <f>+K144+K151+K154+K155+K156+K157</f>
        <v>23884.510000000002</v>
      </c>
      <c r="L160" s="1551">
        <f>+SUM(L107:L142)+L144+L151+L154+L156+L157-L112</f>
        <v>0</v>
      </c>
      <c r="M160" s="3683">
        <f t="shared" si="106"/>
        <v>189288.06000000003</v>
      </c>
      <c r="N160" s="1551">
        <f>+SUM(N107:N142)+N144+N151+N154+N156+N157-N112</f>
        <v>0</v>
      </c>
      <c r="O160" s="1551">
        <f>+O144+O151+O154+O155+O156+O157</f>
        <v>40312.700000000004</v>
      </c>
      <c r="P160" s="1551">
        <f>+SUM(P107:P142)+P144+P151+P154+P156+P157-P112</f>
        <v>0</v>
      </c>
      <c r="Q160" s="4226">
        <f t="shared" si="107"/>
        <v>229600.76000000004</v>
      </c>
      <c r="R160" s="1551">
        <f>+SUM(R107:R142)+R144+R151+R154+R156+R157-R112</f>
        <v>0</v>
      </c>
      <c r="S160" s="1551">
        <f>+S144+S151+S154+S155+S156+S157</f>
        <v>19357.629999999997</v>
      </c>
      <c r="T160" s="1551">
        <f>+SUM(T107:T142)+T144+T151+T154+T156+T157-T112</f>
        <v>0</v>
      </c>
      <c r="U160" s="4226">
        <f t="shared" si="108"/>
        <v>248958.39000000004</v>
      </c>
      <c r="V160" s="1551">
        <f>+SUM(V107:V142)+V144+V151+V154+V156+V157-V112</f>
        <v>0</v>
      </c>
      <c r="W160" s="1551">
        <f>+W144+W151+W154+W155+W156+W157</f>
        <v>11683.149999999998</v>
      </c>
      <c r="X160" s="1551">
        <f>+SUM(X107:X142)+X144+X151+X154+X156+X157-X112</f>
        <v>0</v>
      </c>
      <c r="Y160" s="3683">
        <f t="shared" si="109"/>
        <v>71353.48</v>
      </c>
      <c r="Z160" s="3684">
        <f>+SUM(Z107:Z142)+Z144+Z151+Z154+Z156+Z157-Z112</f>
        <v>0</v>
      </c>
      <c r="AA160" s="3684">
        <f t="shared" si="110"/>
        <v>260641.54000000004</v>
      </c>
      <c r="AB160" s="1551">
        <f>+SUM(AB107:AB142)+AB144+AB151+AB154+AB156+AB157-AB112</f>
        <v>0</v>
      </c>
      <c r="AC160" s="1551">
        <f>+AC144+AC151+AC154+AC155+AC156+AC157</f>
        <v>13914.579999999998</v>
      </c>
      <c r="AD160" s="1551">
        <f>+SUM(AD107:AD142)+AD144+AD151+AD154+AD156+AD157-AD112</f>
        <v>0</v>
      </c>
      <c r="AE160" s="4226">
        <f t="shared" si="111"/>
        <v>274556.12000000005</v>
      </c>
      <c r="AF160" s="1551">
        <f>+SUM(AF107:AF142)+AF144+AF151+AF154+AF156+AF157-AF112</f>
        <v>0</v>
      </c>
      <c r="AG160" s="1551">
        <f>+AG144+AG151+AG154+AG155+AG156+AG157</f>
        <v>18250.72</v>
      </c>
      <c r="AH160" s="1551">
        <f>+SUM(AH107:AH142)+AH144+AH151+AH154+AH156+AH157-AH112</f>
        <v>0</v>
      </c>
      <c r="AI160" s="4226">
        <f t="shared" si="112"/>
        <v>292806.84000000008</v>
      </c>
      <c r="AJ160" s="1551">
        <f>+SUM(AJ107:AJ142)+AJ144+AJ151+AJ154+AJ156+AJ157-AJ112</f>
        <v>0</v>
      </c>
      <c r="AK160" s="1551">
        <f>+AK144+AK151+AK154+AK155+AK156+AK157</f>
        <v>26267.259999999991</v>
      </c>
      <c r="AL160" s="1551">
        <f>+SUM(AL107:AL142)+AL144+AL151+AL154+AL156+AL157-AL112</f>
        <v>0</v>
      </c>
      <c r="AM160" s="3683">
        <f t="shared" si="113"/>
        <v>58432.55999999999</v>
      </c>
      <c r="AN160" s="1551">
        <f>+SUM(AN107:AN142)+AN144+AN151+AN154+AN156+AN157-AN112</f>
        <v>0</v>
      </c>
      <c r="AO160" s="4226">
        <f t="shared" si="114"/>
        <v>319074.10000000009</v>
      </c>
      <c r="AP160" s="1551">
        <f>+SUM(AP107:AP142)+AP144+AP151+AP154+AP156+AP157-AP112</f>
        <v>0</v>
      </c>
      <c r="AQ160" s="1551">
        <f>+AQ144+AQ151+AQ154+AQ155+AQ156+AQ157</f>
        <v>5342.76</v>
      </c>
      <c r="AR160" s="1551">
        <f>+SUM(AR107:AR142)+AR144+AR151+AR154+AR156+AR157-AR112</f>
        <v>0</v>
      </c>
      <c r="AS160" s="4226">
        <f t="shared" si="115"/>
        <v>324416.8600000001</v>
      </c>
      <c r="AT160" s="1551">
        <f>+SUM(AT107:AT142)+AT144+AT151+AT154+AT156+AT157-AT112</f>
        <v>0</v>
      </c>
      <c r="AU160" s="1551">
        <f>+AU144+AU151+AU154+AU155+AU156+AU157</f>
        <v>20030.910000000003</v>
      </c>
      <c r="AV160" s="1551">
        <f>+SUM(AV107:AV142)+AV144+AV151+AV154+AV156+AV157-AV112</f>
        <v>0</v>
      </c>
      <c r="AW160" s="4226">
        <f t="shared" si="116"/>
        <v>344447.77000000014</v>
      </c>
      <c r="AX160" s="1551">
        <f>+SUM(AX107:AX142)+AX144+AX151+AX154+AX156+AX157-AX112</f>
        <v>0</v>
      </c>
      <c r="AY160" s="1551">
        <f>+AY144+AY151+AY154+AY155+AY156+AY157</f>
        <v>14795.169999999998</v>
      </c>
      <c r="AZ160" s="1551">
        <f>+SUM(AZ107:AZ142)+AZ144+AZ151+AZ154+AZ156+AZ157-AZ112</f>
        <v>0</v>
      </c>
      <c r="BA160" s="3683">
        <f t="shared" si="102"/>
        <v>40168.840000000004</v>
      </c>
      <c r="BB160" s="3684"/>
      <c r="BC160" s="3684">
        <f t="shared" si="103"/>
        <v>98601.4</v>
      </c>
      <c r="BD160" s="3682"/>
      <c r="BE160" s="3682">
        <f t="shared" si="104"/>
        <v>359242.94000000006</v>
      </c>
    </row>
    <row r="161" spans="2:57" s="334" customFormat="1" ht="16.5" thickBot="1" x14ac:dyDescent="0.3">
      <c r="B161" s="810"/>
      <c r="E161" s="1794"/>
      <c r="F161" s="1794"/>
      <c r="I161" s="4525"/>
      <c r="Q161" s="4525"/>
      <c r="U161" s="4525"/>
      <c r="W161" s="1486"/>
      <c r="X161" s="1486"/>
      <c r="AE161" s="4525"/>
      <c r="AI161" s="4525"/>
      <c r="AL161" s="1486"/>
      <c r="AO161" s="4525"/>
      <c r="AS161" s="4525"/>
      <c r="AW161" s="4525"/>
      <c r="AZ161" s="1486"/>
    </row>
    <row r="162" spans="2:57" s="334" customFormat="1" ht="25.5" x14ac:dyDescent="0.25">
      <c r="B162" s="5066" t="s">
        <v>1704</v>
      </c>
      <c r="C162" s="5067"/>
      <c r="D162" s="4545"/>
      <c r="E162" s="3472"/>
      <c r="F162" s="3472"/>
      <c r="G162" s="3472"/>
      <c r="H162" s="3472"/>
      <c r="I162" s="4525"/>
      <c r="J162" s="3472"/>
      <c r="K162" s="3472"/>
      <c r="L162" s="3472"/>
      <c r="M162" s="3472"/>
      <c r="N162" s="3472"/>
      <c r="O162" s="3472"/>
      <c r="P162" s="3472"/>
      <c r="Q162" s="4525"/>
      <c r="R162" s="3472"/>
      <c r="S162" s="3472"/>
      <c r="T162" s="3472"/>
      <c r="U162" s="4525"/>
      <c r="V162" s="3472"/>
      <c r="W162" s="3472"/>
      <c r="X162" s="3472"/>
      <c r="Y162" s="3472"/>
      <c r="Z162" s="3472"/>
      <c r="AA162" s="3472"/>
      <c r="AB162" s="3472"/>
      <c r="AC162" s="3472"/>
      <c r="AD162" s="3472"/>
      <c r="AE162" s="4525"/>
      <c r="AF162" s="3472"/>
      <c r="AG162" s="3472"/>
      <c r="AH162" s="3472"/>
      <c r="AI162" s="4525"/>
      <c r="AJ162" s="3472"/>
      <c r="AK162" s="3472"/>
      <c r="AL162" s="3472"/>
      <c r="AM162" s="3472"/>
      <c r="AN162" s="3472"/>
      <c r="AO162" s="4525"/>
      <c r="AP162" s="3472"/>
      <c r="AQ162" s="3472"/>
      <c r="AR162" s="3472"/>
      <c r="AS162" s="4525"/>
      <c r="AT162" s="3472"/>
      <c r="AU162" s="3472"/>
      <c r="AV162" s="3472"/>
      <c r="AW162" s="4525"/>
      <c r="AX162" s="3472"/>
      <c r="AY162" s="3472"/>
      <c r="AZ162" s="3472"/>
      <c r="BA162" s="3472"/>
      <c r="BB162" s="3472"/>
      <c r="BC162" s="3472"/>
      <c r="BD162" s="3472"/>
      <c r="BE162" s="3472"/>
    </row>
    <row r="163" spans="2:57" s="334" customFormat="1" ht="22.5" x14ac:dyDescent="0.25">
      <c r="B163" s="3466"/>
      <c r="C163" s="2188"/>
      <c r="D163" s="2188"/>
      <c r="E163" s="3473"/>
      <c r="F163" s="3473"/>
      <c r="G163" s="2188"/>
      <c r="H163" s="2188"/>
      <c r="I163" s="4525"/>
      <c r="J163" s="2188"/>
      <c r="K163" s="2188"/>
      <c r="L163" s="2188"/>
      <c r="M163" s="2188"/>
      <c r="N163" s="2188"/>
      <c r="O163" s="2188"/>
      <c r="P163" s="2188"/>
      <c r="Q163" s="4525"/>
      <c r="R163" s="2188"/>
      <c r="S163" s="2188"/>
      <c r="T163" s="2188"/>
      <c r="U163" s="4525"/>
      <c r="V163" s="2188"/>
      <c r="W163" s="2188"/>
      <c r="X163" s="2188"/>
      <c r="Y163" s="2188"/>
      <c r="Z163" s="2188"/>
      <c r="AA163" s="2188"/>
      <c r="AB163" s="2188"/>
      <c r="AC163" s="2188"/>
      <c r="AD163" s="2188"/>
      <c r="AE163" s="4525"/>
      <c r="AF163" s="2188"/>
      <c r="AG163" s="2188"/>
      <c r="AH163" s="2188"/>
      <c r="AI163" s="4525"/>
      <c r="AJ163" s="2188"/>
      <c r="AK163" s="2188"/>
      <c r="AL163" s="2188"/>
      <c r="AM163" s="2188"/>
      <c r="AN163" s="2188"/>
      <c r="AO163" s="4525"/>
      <c r="AP163" s="2188"/>
      <c r="AQ163" s="2188"/>
      <c r="AR163" s="2188"/>
      <c r="AS163" s="4525"/>
      <c r="AT163" s="2188"/>
      <c r="AU163" s="2188"/>
      <c r="AV163" s="2188"/>
      <c r="AW163" s="4525"/>
      <c r="AX163" s="2188"/>
      <c r="AY163" s="2188"/>
      <c r="AZ163" s="2188"/>
      <c r="BA163" s="2188"/>
      <c r="BB163" s="2188"/>
      <c r="BC163" s="2188"/>
      <c r="BD163" s="2188"/>
      <c r="BE163" s="2188"/>
    </row>
    <row r="164" spans="2:57" s="334" customFormat="1" x14ac:dyDescent="0.25">
      <c r="B164" s="3831" t="s">
        <v>1705</v>
      </c>
      <c r="C164" s="3627"/>
      <c r="D164" s="483"/>
      <c r="E164" s="1614"/>
      <c r="F164" s="1614"/>
      <c r="G164" s="4525"/>
      <c r="H164" s="4525"/>
      <c r="I164" s="4525"/>
      <c r="J164" s="4525"/>
      <c r="K164" s="4525"/>
      <c r="L164" s="4525"/>
      <c r="M164" s="1614"/>
      <c r="N164" s="4525"/>
      <c r="O164" s="1614"/>
      <c r="P164" s="4525"/>
      <c r="Q164" s="4525"/>
      <c r="R164" s="4525"/>
      <c r="S164" s="1614"/>
      <c r="T164" s="4525"/>
      <c r="U164" s="4525"/>
      <c r="V164" s="4525"/>
      <c r="W164" s="1614"/>
      <c r="X164" s="4525"/>
      <c r="Y164" s="1614"/>
      <c r="Z164" s="1614"/>
      <c r="AA164" s="1614"/>
      <c r="AB164" s="4525"/>
      <c r="AC164" s="1614"/>
      <c r="AD164" s="4525"/>
      <c r="AE164" s="4525"/>
      <c r="AF164" s="4525"/>
      <c r="AG164" s="1614"/>
      <c r="AH164" s="4525"/>
      <c r="AI164" s="4525"/>
      <c r="AJ164" s="4525"/>
      <c r="AK164" s="1614"/>
      <c r="AL164" s="4525"/>
      <c r="AM164" s="1614"/>
      <c r="AN164" s="4525"/>
      <c r="AO164" s="4525"/>
      <c r="AP164" s="4525"/>
      <c r="AQ164" s="1614"/>
      <c r="AR164" s="4525"/>
      <c r="AS164" s="4525"/>
      <c r="AT164" s="4525"/>
      <c r="AU164" s="1614"/>
      <c r="AV164" s="4525"/>
      <c r="AW164" s="4525"/>
      <c r="AX164" s="4525"/>
      <c r="AY164" s="1614"/>
      <c r="AZ164" s="4525"/>
      <c r="BA164" s="1614"/>
      <c r="BB164" s="1614"/>
      <c r="BC164" s="1614"/>
      <c r="BD164" s="1614"/>
      <c r="BE164" s="1614"/>
    </row>
    <row r="165" spans="2:57" s="334" customFormat="1" x14ac:dyDescent="0.25">
      <c r="B165" s="26" t="s">
        <v>1112</v>
      </c>
      <c r="C165" s="3440" t="s">
        <v>393</v>
      </c>
      <c r="D165" s="3440"/>
      <c r="E165" s="1615">
        <v>0</v>
      </c>
      <c r="F165" s="1615"/>
      <c r="G165" s="238">
        <v>20102.3</v>
      </c>
      <c r="H165" s="3436"/>
      <c r="I165" s="4226">
        <f t="shared" si="105"/>
        <v>20102.3</v>
      </c>
      <c r="J165" s="3437"/>
      <c r="K165" s="238">
        <v>0</v>
      </c>
      <c r="L165" s="3435"/>
      <c r="M165" s="4225">
        <f t="shared" si="106"/>
        <v>20102.3</v>
      </c>
      <c r="N165" s="3437"/>
      <c r="O165" s="238">
        <v>0</v>
      </c>
      <c r="P165" s="3436"/>
      <c r="Q165" s="4226">
        <f t="shared" si="107"/>
        <v>20102.3</v>
      </c>
      <c r="R165" s="3437"/>
      <c r="S165" s="238">
        <v>0</v>
      </c>
      <c r="T165" s="3436"/>
      <c r="U165" s="4226">
        <f t="shared" si="108"/>
        <v>20102.3</v>
      </c>
      <c r="V165" s="3437"/>
      <c r="W165" s="238">
        <v>0</v>
      </c>
      <c r="X165" s="3435"/>
      <c r="Y165" s="4225">
        <f t="shared" si="109"/>
        <v>0</v>
      </c>
      <c r="Z165" s="4528"/>
      <c r="AA165" s="4227">
        <f t="shared" si="110"/>
        <v>20102.3</v>
      </c>
      <c r="AB165" s="3437"/>
      <c r="AC165" s="238">
        <v>0</v>
      </c>
      <c r="AD165" s="3436"/>
      <c r="AE165" s="4226">
        <f t="shared" si="111"/>
        <v>20102.3</v>
      </c>
      <c r="AF165" s="3437"/>
      <c r="AG165" s="238">
        <v>0</v>
      </c>
      <c r="AH165" s="3436"/>
      <c r="AI165" s="4226">
        <f t="shared" si="112"/>
        <v>20102.3</v>
      </c>
      <c r="AJ165" s="3437"/>
      <c r="AK165" s="3827">
        <v>0</v>
      </c>
      <c r="AL165" s="3435"/>
      <c r="AM165" s="4225">
        <f t="shared" si="113"/>
        <v>0</v>
      </c>
      <c r="AN165" s="3436"/>
      <c r="AO165" s="4226">
        <f t="shared" si="114"/>
        <v>20102.3</v>
      </c>
      <c r="AP165" s="3836"/>
      <c r="AQ165" s="3913">
        <v>0</v>
      </c>
      <c r="AR165" s="3837"/>
      <c r="AS165" s="4226">
        <f t="shared" si="115"/>
        <v>20102.3</v>
      </c>
      <c r="AT165" s="3990"/>
      <c r="AU165" s="4107">
        <v>0</v>
      </c>
      <c r="AV165" s="3991"/>
      <c r="AW165" s="4226">
        <f t="shared" si="116"/>
        <v>20102.3</v>
      </c>
      <c r="AX165" s="4224"/>
      <c r="AY165" s="4601">
        <v>0</v>
      </c>
      <c r="AZ165" s="4526"/>
      <c r="BA165" s="4526">
        <f t="shared" si="102"/>
        <v>0</v>
      </c>
      <c r="BB165" s="4528"/>
      <c r="BC165" s="4528">
        <f t="shared" si="103"/>
        <v>0</v>
      </c>
      <c r="BD165" s="4527"/>
      <c r="BE165" s="4527">
        <f t="shared" si="104"/>
        <v>20102.3</v>
      </c>
    </row>
    <row r="166" spans="2:57" s="334" customFormat="1" x14ac:dyDescent="0.25">
      <c r="B166" s="2851" t="s">
        <v>1706</v>
      </c>
      <c r="C166" s="3627"/>
      <c r="D166" s="3627"/>
      <c r="E166" s="3628"/>
      <c r="F166" s="3628"/>
      <c r="G166" s="3628"/>
      <c r="H166" s="3628"/>
      <c r="I166" s="4224"/>
      <c r="J166" s="3628"/>
      <c r="K166" s="3628"/>
      <c r="L166" s="3628"/>
      <c r="M166" s="3628"/>
      <c r="N166" s="3628"/>
      <c r="O166" s="3628"/>
      <c r="P166" s="3628"/>
      <c r="Q166" s="4224"/>
      <c r="R166" s="3628"/>
      <c r="S166" s="3628"/>
      <c r="T166" s="3628"/>
      <c r="U166" s="4224"/>
      <c r="V166" s="3628"/>
      <c r="W166" s="3628"/>
      <c r="X166" s="3628"/>
      <c r="Y166" s="3628"/>
      <c r="Z166" s="3628"/>
      <c r="AA166" s="3628"/>
      <c r="AB166" s="3628"/>
      <c r="AC166" s="3628"/>
      <c r="AD166" s="3628"/>
      <c r="AE166" s="4224"/>
      <c r="AF166" s="3628"/>
      <c r="AG166" s="3628"/>
      <c r="AH166" s="3628"/>
      <c r="AI166" s="4224"/>
      <c r="AJ166" s="3628"/>
      <c r="AK166" s="3628"/>
      <c r="AL166" s="3628"/>
      <c r="AM166" s="3628"/>
      <c r="AN166" s="3628"/>
      <c r="AO166" s="4224"/>
      <c r="AP166" s="3628"/>
      <c r="AQ166" s="3628"/>
      <c r="AR166" s="3628"/>
      <c r="AS166" s="4224"/>
      <c r="AT166" s="3628"/>
      <c r="AU166" s="3628"/>
      <c r="AV166" s="3628"/>
      <c r="AW166" s="4224"/>
      <c r="AX166" s="3628"/>
      <c r="AY166" s="3628"/>
      <c r="AZ166" s="3628"/>
      <c r="BA166" s="3628"/>
      <c r="BB166" s="3628"/>
      <c r="BC166" s="3628"/>
      <c r="BD166" s="3628"/>
      <c r="BE166" s="3628"/>
    </row>
    <row r="167" spans="2:57" s="334" customFormat="1" x14ac:dyDescent="0.25">
      <c r="B167" s="26" t="s">
        <v>1112</v>
      </c>
      <c r="C167" s="3440" t="s">
        <v>393</v>
      </c>
      <c r="D167" s="3440"/>
      <c r="E167" s="1615">
        <v>0</v>
      </c>
      <c r="F167" s="1615"/>
      <c r="G167" s="238">
        <v>0</v>
      </c>
      <c r="H167" s="3436"/>
      <c r="I167" s="4226">
        <f t="shared" si="105"/>
        <v>0</v>
      </c>
      <c r="J167" s="3437"/>
      <c r="K167" s="238">
        <v>0</v>
      </c>
      <c r="L167" s="3435"/>
      <c r="M167" s="4225">
        <f t="shared" si="106"/>
        <v>0</v>
      </c>
      <c r="N167" s="3437"/>
      <c r="O167" s="238">
        <v>0</v>
      </c>
      <c r="P167" s="3436"/>
      <c r="Q167" s="4226">
        <f t="shared" si="107"/>
        <v>0</v>
      </c>
      <c r="R167" s="3437"/>
      <c r="S167" s="238">
        <v>0</v>
      </c>
      <c r="T167" s="3436"/>
      <c r="U167" s="4226">
        <f t="shared" si="108"/>
        <v>0</v>
      </c>
      <c r="V167" s="3437"/>
      <c r="W167" s="238">
        <v>3182.4</v>
      </c>
      <c r="X167" s="3435"/>
      <c r="Y167" s="4225">
        <f t="shared" si="109"/>
        <v>3182.4</v>
      </c>
      <c r="Z167" s="4528"/>
      <c r="AA167" s="4227">
        <f t="shared" si="110"/>
        <v>3182.4</v>
      </c>
      <c r="AB167" s="3437"/>
      <c r="AC167" s="238">
        <v>3225.6</v>
      </c>
      <c r="AD167" s="3436"/>
      <c r="AE167" s="4226">
        <f t="shared" si="111"/>
        <v>6408</v>
      </c>
      <c r="AF167" s="3437"/>
      <c r="AG167" s="238">
        <v>3112.6</v>
      </c>
      <c r="AH167" s="3436"/>
      <c r="AI167" s="4226">
        <f t="shared" si="112"/>
        <v>9520.6</v>
      </c>
      <c r="AJ167" s="3437"/>
      <c r="AK167" s="3827">
        <v>0</v>
      </c>
      <c r="AL167" s="3435"/>
      <c r="AM167" s="4225">
        <f t="shared" si="113"/>
        <v>6338.2</v>
      </c>
      <c r="AN167" s="3436"/>
      <c r="AO167" s="4226">
        <f t="shared" si="114"/>
        <v>9520.6</v>
      </c>
      <c r="AP167" s="3836"/>
      <c r="AQ167" s="3913">
        <v>0</v>
      </c>
      <c r="AR167" s="3837"/>
      <c r="AS167" s="4226">
        <f t="shared" si="115"/>
        <v>9520.6</v>
      </c>
      <c r="AT167" s="3990"/>
      <c r="AU167" s="4107">
        <v>0</v>
      </c>
      <c r="AV167" s="3991"/>
      <c r="AW167" s="4226">
        <f t="shared" si="116"/>
        <v>9520.6</v>
      </c>
      <c r="AX167" s="4224"/>
      <c r="AY167" s="4601">
        <v>0</v>
      </c>
      <c r="AZ167" s="4526"/>
      <c r="BA167" s="4526">
        <f t="shared" si="102"/>
        <v>0</v>
      </c>
      <c r="BB167" s="4528"/>
      <c r="BC167" s="4528">
        <f t="shared" si="103"/>
        <v>6338.2</v>
      </c>
      <c r="BD167" s="4527"/>
      <c r="BE167" s="4527">
        <f t="shared" si="104"/>
        <v>9520.6</v>
      </c>
    </row>
    <row r="168" spans="2:57" s="334" customFormat="1" x14ac:dyDescent="0.25">
      <c r="B168" s="2851" t="s">
        <v>381</v>
      </c>
      <c r="C168" s="3627"/>
      <c r="D168" s="483"/>
      <c r="E168" s="1614"/>
      <c r="F168" s="1614"/>
      <c r="G168" s="4224"/>
      <c r="H168" s="4224"/>
      <c r="I168" s="4224"/>
      <c r="J168" s="4224"/>
      <c r="K168" s="4224"/>
      <c r="L168" s="4224"/>
      <c r="M168" s="4224"/>
      <c r="N168" s="4224"/>
      <c r="O168" s="4224"/>
      <c r="P168" s="4224"/>
      <c r="Q168" s="4224"/>
      <c r="R168" s="4224"/>
      <c r="S168" s="4224"/>
      <c r="T168" s="4224"/>
      <c r="U168" s="4224"/>
      <c r="V168" s="4224"/>
      <c r="W168" s="4224"/>
      <c r="X168" s="4224"/>
      <c r="Y168" s="4224"/>
      <c r="Z168" s="4525"/>
      <c r="AA168" s="4224"/>
      <c r="AB168" s="4224"/>
      <c r="AC168" s="4224"/>
      <c r="AD168" s="4224"/>
      <c r="AE168" s="4224"/>
      <c r="AF168" s="4224"/>
      <c r="AG168" s="4224"/>
      <c r="AH168" s="4224"/>
      <c r="AI168" s="4224"/>
      <c r="AJ168" s="4224"/>
      <c r="AK168" s="4224"/>
      <c r="AL168" s="4224"/>
      <c r="AM168" s="4224"/>
      <c r="AN168" s="4224"/>
      <c r="AO168" s="4224"/>
      <c r="AP168" s="4224"/>
      <c r="AQ168" s="4224"/>
      <c r="AR168" s="4224"/>
      <c r="AS168" s="4224"/>
      <c r="AT168" s="4224"/>
      <c r="AU168" s="4224"/>
      <c r="AV168" s="4224"/>
      <c r="AW168" s="4224"/>
      <c r="AX168" s="4224"/>
      <c r="AY168" s="4605"/>
      <c r="AZ168" s="4525"/>
      <c r="BA168" s="4525"/>
      <c r="BB168" s="4525"/>
      <c r="BC168" s="4525"/>
      <c r="BD168" s="4525"/>
      <c r="BE168" s="4525"/>
    </row>
    <row r="169" spans="2:57" s="334" customFormat="1" x14ac:dyDescent="0.25">
      <c r="B169" s="26" t="s">
        <v>1112</v>
      </c>
      <c r="C169" s="3620" t="s">
        <v>393</v>
      </c>
      <c r="D169" s="3620"/>
      <c r="E169" s="1615"/>
      <c r="F169" s="1615"/>
      <c r="G169" s="3826"/>
      <c r="H169" s="3829"/>
      <c r="I169" s="4226">
        <f t="shared" si="105"/>
        <v>0</v>
      </c>
      <c r="J169" s="3827"/>
      <c r="K169" s="3826"/>
      <c r="L169" s="3828"/>
      <c r="M169" s="4225">
        <f t="shared" si="106"/>
        <v>0</v>
      </c>
      <c r="N169" s="3827"/>
      <c r="O169" s="3826"/>
      <c r="P169" s="3829"/>
      <c r="Q169" s="4226">
        <f t="shared" si="107"/>
        <v>0</v>
      </c>
      <c r="R169" s="3827"/>
      <c r="S169" s="3826"/>
      <c r="T169" s="3829"/>
      <c r="U169" s="4226">
        <f t="shared" si="108"/>
        <v>0</v>
      </c>
      <c r="V169" s="3827"/>
      <c r="W169" s="3826">
        <v>0</v>
      </c>
      <c r="X169" s="3828"/>
      <c r="Y169" s="4225">
        <f t="shared" si="109"/>
        <v>0</v>
      </c>
      <c r="Z169" s="4528"/>
      <c r="AA169" s="4227">
        <f t="shared" si="110"/>
        <v>0</v>
      </c>
      <c r="AB169" s="3827"/>
      <c r="AC169" s="3826">
        <v>0</v>
      </c>
      <c r="AD169" s="3829"/>
      <c r="AE169" s="4226">
        <f t="shared" si="111"/>
        <v>0</v>
      </c>
      <c r="AF169" s="3827"/>
      <c r="AG169" s="3826">
        <v>0</v>
      </c>
      <c r="AH169" s="3829"/>
      <c r="AI169" s="4226">
        <f t="shared" si="112"/>
        <v>0</v>
      </c>
      <c r="AJ169" s="3827"/>
      <c r="AK169" s="3827">
        <v>2188.3000000000002</v>
      </c>
      <c r="AL169" s="3828"/>
      <c r="AM169" s="4225">
        <f t="shared" si="113"/>
        <v>2188.3000000000002</v>
      </c>
      <c r="AN169" s="3829"/>
      <c r="AO169" s="4226">
        <f t="shared" si="114"/>
        <v>2188.3000000000002</v>
      </c>
      <c r="AP169" s="3836"/>
      <c r="AQ169" s="3913">
        <v>2125.23</v>
      </c>
      <c r="AR169" s="3837"/>
      <c r="AS169" s="4226">
        <f t="shared" si="115"/>
        <v>4313.5300000000007</v>
      </c>
      <c r="AT169" s="3990"/>
      <c r="AU169" s="4107">
        <v>6809.26</v>
      </c>
      <c r="AV169" s="3991"/>
      <c r="AW169" s="4226">
        <f t="shared" si="116"/>
        <v>11122.79</v>
      </c>
      <c r="AX169" s="4224"/>
      <c r="AY169" s="4601">
        <v>2364.6</v>
      </c>
      <c r="AZ169" s="4526"/>
      <c r="BA169" s="4526">
        <f t="shared" si="102"/>
        <v>11299.09</v>
      </c>
      <c r="BB169" s="4528"/>
      <c r="BC169" s="4528">
        <f t="shared" si="103"/>
        <v>13487.39</v>
      </c>
      <c r="BD169" s="4527"/>
      <c r="BE169" s="4527">
        <f t="shared" si="104"/>
        <v>13487.39</v>
      </c>
    </row>
    <row r="170" spans="2:57" s="334" customFormat="1" x14ac:dyDescent="0.25">
      <c r="B170" s="26" t="s">
        <v>1335</v>
      </c>
      <c r="C170" s="3620" t="s">
        <v>393</v>
      </c>
      <c r="D170" s="3620"/>
      <c r="E170" s="1615"/>
      <c r="F170" s="1615"/>
      <c r="G170" s="4600"/>
      <c r="H170" s="4603"/>
      <c r="I170" s="4603"/>
      <c r="J170" s="4601"/>
      <c r="K170" s="4600"/>
      <c r="L170" s="4602"/>
      <c r="M170" s="4602"/>
      <c r="N170" s="4601"/>
      <c r="O170" s="4600"/>
      <c r="P170" s="4603"/>
      <c r="Q170" s="4603"/>
      <c r="R170" s="4601"/>
      <c r="S170" s="4600"/>
      <c r="T170" s="4603"/>
      <c r="U170" s="4603"/>
      <c r="V170" s="4601"/>
      <c r="W170" s="4600"/>
      <c r="X170" s="4602"/>
      <c r="Y170" s="4602"/>
      <c r="Z170" s="4604"/>
      <c r="AA170" s="4604"/>
      <c r="AB170" s="4601"/>
      <c r="AC170" s="4600"/>
      <c r="AD170" s="4603"/>
      <c r="AE170" s="4603"/>
      <c r="AF170" s="4601"/>
      <c r="AG170" s="4600"/>
      <c r="AH170" s="4603"/>
      <c r="AI170" s="4603"/>
      <c r="AJ170" s="4601"/>
      <c r="AK170" s="4601"/>
      <c r="AL170" s="4602"/>
      <c r="AM170" s="4602"/>
      <c r="AN170" s="4603"/>
      <c r="AO170" s="4603"/>
      <c r="AP170" s="4601"/>
      <c r="AQ170" s="4601">
        <v>0</v>
      </c>
      <c r="AR170" s="4603"/>
      <c r="AS170" s="4603"/>
      <c r="AT170" s="4601"/>
      <c r="AU170" s="4601">
        <v>0</v>
      </c>
      <c r="AV170" s="4603"/>
      <c r="AW170" s="4603"/>
      <c r="AX170" s="4601"/>
      <c r="AY170" s="4601">
        <v>2360</v>
      </c>
      <c r="AZ170" s="4602"/>
      <c r="BA170" s="4602">
        <f t="shared" ref="BA170" si="117">+AQ170+AU170+AY170</f>
        <v>2360</v>
      </c>
      <c r="BB170" s="4604"/>
      <c r="BC170" s="4604">
        <f t="shared" ref="BC170" si="118">+BA170+AM170</f>
        <v>2360</v>
      </c>
      <c r="BD170" s="4603"/>
      <c r="BE170" s="4603">
        <f t="shared" ref="BE170" si="119">+BC170+AA170</f>
        <v>2360</v>
      </c>
    </row>
    <row r="171" spans="2:57" s="334" customFormat="1" x14ac:dyDescent="0.25">
      <c r="B171" s="2851" t="s">
        <v>1758</v>
      </c>
      <c r="C171" s="3627"/>
      <c r="D171" s="483"/>
      <c r="E171" s="1614"/>
      <c r="F171" s="1614"/>
      <c r="G171" s="4224"/>
      <c r="H171" s="4224"/>
      <c r="I171" s="4224"/>
      <c r="J171" s="4224"/>
      <c r="K171" s="4224"/>
      <c r="L171" s="4224"/>
      <c r="M171" s="4224"/>
      <c r="N171" s="4224"/>
      <c r="O171" s="4224"/>
      <c r="P171" s="4224"/>
      <c r="Q171" s="4224"/>
      <c r="R171" s="4224"/>
      <c r="S171" s="4224"/>
      <c r="T171" s="4224"/>
      <c r="U171" s="4224"/>
      <c r="V171" s="4224"/>
      <c r="W171" s="4224"/>
      <c r="X171" s="4224"/>
      <c r="Y171" s="4224"/>
      <c r="Z171" s="4525"/>
      <c r="AA171" s="4224"/>
      <c r="AB171" s="4224"/>
      <c r="AC171" s="4224"/>
      <c r="AD171" s="4224"/>
      <c r="AE171" s="4224"/>
      <c r="AF171" s="4224"/>
      <c r="AG171" s="4224"/>
      <c r="AH171" s="4224"/>
      <c r="AI171" s="4224"/>
      <c r="AJ171" s="4224"/>
      <c r="AK171" s="4224"/>
      <c r="AL171" s="4224"/>
      <c r="AM171" s="4224"/>
      <c r="AN171" s="4224"/>
      <c r="AO171" s="4224"/>
      <c r="AP171" s="4224"/>
      <c r="AQ171" s="4224"/>
      <c r="AR171" s="4224"/>
      <c r="AS171" s="4224"/>
      <c r="AT171" s="4224"/>
      <c r="AU171" s="4224"/>
      <c r="AV171" s="4224"/>
      <c r="AW171" s="4224"/>
      <c r="AX171" s="4224"/>
      <c r="AY171" s="4601"/>
      <c r="AZ171" s="4525"/>
      <c r="BA171" s="4525"/>
      <c r="BB171" s="4525"/>
      <c r="BC171" s="4525"/>
      <c r="BD171" s="4525"/>
      <c r="BE171" s="4525"/>
    </row>
    <row r="172" spans="2:57" s="334" customFormat="1" x14ac:dyDescent="0.25">
      <c r="B172" s="26" t="s">
        <v>1111</v>
      </c>
      <c r="C172" s="3620" t="s">
        <v>393</v>
      </c>
      <c r="D172" s="3620"/>
      <c r="E172" s="1615"/>
      <c r="F172" s="1615"/>
      <c r="G172" s="3826"/>
      <c r="H172" s="3829"/>
      <c r="I172" s="4226">
        <f t="shared" si="105"/>
        <v>0</v>
      </c>
      <c r="J172" s="3827"/>
      <c r="K172" s="3826"/>
      <c r="L172" s="3828"/>
      <c r="M172" s="4225">
        <f t="shared" si="106"/>
        <v>0</v>
      </c>
      <c r="N172" s="3827"/>
      <c r="O172" s="3826"/>
      <c r="P172" s="3829"/>
      <c r="Q172" s="4226">
        <f t="shared" si="107"/>
        <v>0</v>
      </c>
      <c r="R172" s="3827"/>
      <c r="S172" s="3826"/>
      <c r="T172" s="3829"/>
      <c r="U172" s="4226">
        <f t="shared" si="108"/>
        <v>0</v>
      </c>
      <c r="V172" s="3827"/>
      <c r="W172" s="3826">
        <v>0</v>
      </c>
      <c r="X172" s="3828"/>
      <c r="Y172" s="4225">
        <f t="shared" si="109"/>
        <v>0</v>
      </c>
      <c r="Z172" s="4528"/>
      <c r="AA172" s="4227">
        <f t="shared" si="110"/>
        <v>0</v>
      </c>
      <c r="AB172" s="3827"/>
      <c r="AC172" s="3826">
        <v>0</v>
      </c>
      <c r="AD172" s="3829"/>
      <c r="AE172" s="4226">
        <f t="shared" si="111"/>
        <v>0</v>
      </c>
      <c r="AF172" s="3827"/>
      <c r="AG172" s="3826">
        <v>0</v>
      </c>
      <c r="AH172" s="3829"/>
      <c r="AI172" s="4226">
        <f t="shared" si="112"/>
        <v>0</v>
      </c>
      <c r="AJ172" s="3827"/>
      <c r="AK172" s="3827">
        <v>3727.4</v>
      </c>
      <c r="AL172" s="3828"/>
      <c r="AM172" s="4225">
        <f t="shared" si="113"/>
        <v>3727.4</v>
      </c>
      <c r="AN172" s="3829"/>
      <c r="AO172" s="4226">
        <f t="shared" si="114"/>
        <v>3727.4</v>
      </c>
      <c r="AP172" s="3836"/>
      <c r="AQ172" s="3913">
        <v>0</v>
      </c>
      <c r="AR172" s="3837"/>
      <c r="AS172" s="4226">
        <f t="shared" si="115"/>
        <v>3727.4</v>
      </c>
      <c r="AT172" s="3990"/>
      <c r="AU172" s="4107">
        <v>0</v>
      </c>
      <c r="AV172" s="3991"/>
      <c r="AW172" s="4226">
        <f t="shared" si="116"/>
        <v>3727.4</v>
      </c>
      <c r="AX172" s="4224"/>
      <c r="AY172" s="4601">
        <v>0</v>
      </c>
      <c r="AZ172" s="4526"/>
      <c r="BA172" s="4526">
        <f t="shared" si="102"/>
        <v>0</v>
      </c>
      <c r="BB172" s="4528"/>
      <c r="BC172" s="4528">
        <f t="shared" si="103"/>
        <v>3727.4</v>
      </c>
      <c r="BD172" s="4527"/>
      <c r="BE172" s="4527">
        <f t="shared" si="104"/>
        <v>3727.4</v>
      </c>
    </row>
    <row r="173" spans="2:57" s="334" customFormat="1" x14ac:dyDescent="0.25">
      <c r="B173" s="2851" t="s">
        <v>1707</v>
      </c>
      <c r="C173" s="3627"/>
      <c r="D173" s="483"/>
      <c r="E173" s="1614"/>
      <c r="F173" s="1614"/>
      <c r="G173" s="4224"/>
      <c r="H173" s="4224"/>
      <c r="I173" s="4224"/>
      <c r="J173" s="4224"/>
      <c r="K173" s="4224"/>
      <c r="L173" s="4224"/>
      <c r="M173" s="4224"/>
      <c r="N173" s="4224"/>
      <c r="O173" s="4224"/>
      <c r="P173" s="4224"/>
      <c r="Q173" s="4224"/>
      <c r="R173" s="4224"/>
      <c r="S173" s="4224"/>
      <c r="T173" s="4224"/>
      <c r="U173" s="4224"/>
      <c r="V173" s="4224"/>
      <c r="W173" s="4224"/>
      <c r="X173" s="4224"/>
      <c r="Y173" s="4224"/>
      <c r="Z173" s="4525"/>
      <c r="AA173" s="4224"/>
      <c r="AB173" s="4224"/>
      <c r="AC173" s="4224"/>
      <c r="AD173" s="4224"/>
      <c r="AE173" s="4224"/>
      <c r="AF173" s="4224"/>
      <c r="AG173" s="4224"/>
      <c r="AH173" s="4224"/>
      <c r="AI173" s="4224"/>
      <c r="AJ173" s="4224"/>
      <c r="AK173" s="4224"/>
      <c r="AL173" s="4224"/>
      <c r="AM173" s="4224"/>
      <c r="AN173" s="4224"/>
      <c r="AO173" s="4224"/>
      <c r="AP173" s="4224"/>
      <c r="AQ173" s="4224"/>
      <c r="AR173" s="4224"/>
      <c r="AS173" s="4224"/>
      <c r="AT173" s="4224"/>
      <c r="AU173" s="4224"/>
      <c r="AV173" s="4224"/>
      <c r="AW173" s="4224"/>
      <c r="AX173" s="4224"/>
      <c r="AY173" s="4601"/>
      <c r="AZ173" s="4525"/>
      <c r="BA173" s="4525"/>
      <c r="BB173" s="4525"/>
      <c r="BC173" s="4525"/>
      <c r="BD173" s="4525"/>
      <c r="BE173" s="4525"/>
    </row>
    <row r="174" spans="2:57" s="334" customFormat="1" x14ac:dyDescent="0.25">
      <c r="B174" s="26" t="s">
        <v>1112</v>
      </c>
      <c r="C174" s="3440" t="s">
        <v>393</v>
      </c>
      <c r="D174" s="3440"/>
      <c r="E174" s="1615">
        <v>0</v>
      </c>
      <c r="F174" s="1615"/>
      <c r="G174" s="238">
        <v>0</v>
      </c>
      <c r="H174" s="3436"/>
      <c r="I174" s="4226">
        <f t="shared" si="105"/>
        <v>0</v>
      </c>
      <c r="J174" s="3437"/>
      <c r="K174" s="238">
        <v>0</v>
      </c>
      <c r="L174" s="3435"/>
      <c r="M174" s="4225">
        <f t="shared" si="106"/>
        <v>0</v>
      </c>
      <c r="N174" s="3437"/>
      <c r="O174" s="238">
        <v>0</v>
      </c>
      <c r="P174" s="3436"/>
      <c r="Q174" s="4226">
        <f t="shared" si="107"/>
        <v>0</v>
      </c>
      <c r="R174" s="3437"/>
      <c r="S174" s="238">
        <v>0</v>
      </c>
      <c r="T174" s="3436"/>
      <c r="U174" s="4226">
        <f t="shared" si="108"/>
        <v>0</v>
      </c>
      <c r="V174" s="3437"/>
      <c r="W174" s="238">
        <v>1954.6</v>
      </c>
      <c r="X174" s="3435"/>
      <c r="Y174" s="4225">
        <f t="shared" si="109"/>
        <v>1954.6</v>
      </c>
      <c r="Z174" s="4528"/>
      <c r="AA174" s="4227">
        <f t="shared" si="110"/>
        <v>1954.6</v>
      </c>
      <c r="AB174" s="3437"/>
      <c r="AC174" s="238">
        <v>0</v>
      </c>
      <c r="AD174" s="3436"/>
      <c r="AE174" s="4226">
        <f t="shared" si="111"/>
        <v>1954.6</v>
      </c>
      <c r="AF174" s="3437"/>
      <c r="AG174" s="238">
        <v>0</v>
      </c>
      <c r="AH174" s="3436"/>
      <c r="AI174" s="4226">
        <f t="shared" si="112"/>
        <v>1954.6</v>
      </c>
      <c r="AJ174" s="3437"/>
      <c r="AK174" s="3827">
        <v>0</v>
      </c>
      <c r="AL174" s="3435"/>
      <c r="AM174" s="4225">
        <f t="shared" si="113"/>
        <v>0</v>
      </c>
      <c r="AN174" s="3436"/>
      <c r="AO174" s="4226">
        <f t="shared" si="114"/>
        <v>1954.6</v>
      </c>
      <c r="AP174" s="3836"/>
      <c r="AQ174" s="3913">
        <v>0</v>
      </c>
      <c r="AR174" s="3837"/>
      <c r="AS174" s="4226">
        <f t="shared" si="115"/>
        <v>1954.6</v>
      </c>
      <c r="AT174" s="3990"/>
      <c r="AU174" s="4107">
        <v>0</v>
      </c>
      <c r="AV174" s="3991"/>
      <c r="AW174" s="4226">
        <f t="shared" si="116"/>
        <v>1954.6</v>
      </c>
      <c r="AX174" s="4224"/>
      <c r="AY174" s="4601">
        <v>0</v>
      </c>
      <c r="AZ174" s="4526"/>
      <c r="BA174" s="4526">
        <f t="shared" si="102"/>
        <v>0</v>
      </c>
      <c r="BB174" s="4528"/>
      <c r="BC174" s="4528">
        <f t="shared" si="103"/>
        <v>0</v>
      </c>
      <c r="BD174" s="4527"/>
      <c r="BE174" s="4527">
        <f t="shared" si="104"/>
        <v>1954.6</v>
      </c>
    </row>
    <row r="175" spans="2:57" s="334" customFormat="1" x14ac:dyDescent="0.25">
      <c r="B175" s="2851" t="s">
        <v>1708</v>
      </c>
      <c r="C175" s="3627"/>
      <c r="D175" s="483"/>
      <c r="E175" s="1614"/>
      <c r="F175" s="1614"/>
      <c r="G175" s="4224"/>
      <c r="H175" s="4224"/>
      <c r="I175" s="4224"/>
      <c r="J175" s="4224"/>
      <c r="K175" s="4224"/>
      <c r="L175" s="4224"/>
      <c r="M175" s="4224"/>
      <c r="N175" s="4224"/>
      <c r="O175" s="4224"/>
      <c r="P175" s="4224"/>
      <c r="Q175" s="4224"/>
      <c r="R175" s="4224"/>
      <c r="S175" s="4224"/>
      <c r="T175" s="4224"/>
      <c r="U175" s="4224"/>
      <c r="V175" s="4224"/>
      <c r="W175" s="4224"/>
      <c r="X175" s="4224"/>
      <c r="Y175" s="4224"/>
      <c r="Z175" s="4525"/>
      <c r="AA175" s="4224"/>
      <c r="AB175" s="4224"/>
      <c r="AC175" s="4224"/>
      <c r="AD175" s="4224"/>
      <c r="AE175" s="4224"/>
      <c r="AF175" s="4224"/>
      <c r="AG175" s="4224"/>
      <c r="AH175" s="4224"/>
      <c r="AI175" s="4224"/>
      <c r="AJ175" s="4224"/>
      <c r="AK175" s="4224"/>
      <c r="AL175" s="4224"/>
      <c r="AM175" s="4224"/>
      <c r="AN175" s="4224"/>
      <c r="AO175" s="4224"/>
      <c r="AP175" s="4224"/>
      <c r="AQ175" s="4224"/>
      <c r="AR175" s="4224"/>
      <c r="AS175" s="4224"/>
      <c r="AT175" s="4224"/>
      <c r="AU175" s="4224"/>
      <c r="AV175" s="4224"/>
      <c r="AW175" s="4224"/>
      <c r="AX175" s="4224"/>
      <c r="AY175" s="4601"/>
      <c r="AZ175" s="4525"/>
      <c r="BA175" s="4525"/>
      <c r="BB175" s="4525"/>
      <c r="BC175" s="4525"/>
      <c r="BD175" s="4525"/>
      <c r="BE175" s="4525"/>
    </row>
    <row r="176" spans="2:57" s="334" customFormat="1" x14ac:dyDescent="0.25">
      <c r="B176" s="26" t="s">
        <v>1112</v>
      </c>
      <c r="C176" s="3440" t="s">
        <v>393</v>
      </c>
      <c r="D176" s="3440"/>
      <c r="E176" s="1615">
        <v>0</v>
      </c>
      <c r="F176" s="1615"/>
      <c r="G176" s="238">
        <v>0</v>
      </c>
      <c r="H176" s="3436"/>
      <c r="I176" s="4226">
        <f t="shared" si="105"/>
        <v>0</v>
      </c>
      <c r="J176" s="3437"/>
      <c r="K176" s="238">
        <v>0</v>
      </c>
      <c r="L176" s="3435"/>
      <c r="M176" s="4225">
        <f t="shared" si="106"/>
        <v>0</v>
      </c>
      <c r="N176" s="3437"/>
      <c r="O176" s="238">
        <v>0</v>
      </c>
      <c r="P176" s="3436"/>
      <c r="Q176" s="4226">
        <f t="shared" si="107"/>
        <v>0</v>
      </c>
      <c r="R176" s="3437"/>
      <c r="S176" s="238">
        <v>0</v>
      </c>
      <c r="T176" s="3436"/>
      <c r="U176" s="4226">
        <f t="shared" si="108"/>
        <v>0</v>
      </c>
      <c r="V176" s="3437"/>
      <c r="W176" s="238">
        <v>2352.6</v>
      </c>
      <c r="X176" s="3435"/>
      <c r="Y176" s="4225">
        <f t="shared" si="109"/>
        <v>2352.6</v>
      </c>
      <c r="Z176" s="4528"/>
      <c r="AA176" s="4227">
        <f t="shared" si="110"/>
        <v>2352.6</v>
      </c>
      <c r="AB176" s="3437"/>
      <c r="AC176" s="238">
        <v>0</v>
      </c>
      <c r="AD176" s="3436"/>
      <c r="AE176" s="4226">
        <f t="shared" si="111"/>
        <v>2352.6</v>
      </c>
      <c r="AF176" s="3437"/>
      <c r="AG176" s="238">
        <v>0</v>
      </c>
      <c r="AH176" s="3436"/>
      <c r="AI176" s="4226">
        <f t="shared" si="112"/>
        <v>2352.6</v>
      </c>
      <c r="AJ176" s="3437"/>
      <c r="AK176" s="3827">
        <v>0</v>
      </c>
      <c r="AL176" s="3435"/>
      <c r="AM176" s="4225">
        <f t="shared" si="113"/>
        <v>0</v>
      </c>
      <c r="AN176" s="3436"/>
      <c r="AO176" s="4226">
        <f t="shared" si="114"/>
        <v>2352.6</v>
      </c>
      <c r="AP176" s="3836"/>
      <c r="AQ176" s="3913">
        <v>0</v>
      </c>
      <c r="AR176" s="3837"/>
      <c r="AS176" s="4226">
        <f t="shared" si="115"/>
        <v>2352.6</v>
      </c>
      <c r="AT176" s="3990"/>
      <c r="AU176" s="4107">
        <v>0</v>
      </c>
      <c r="AV176" s="3991"/>
      <c r="AW176" s="4226">
        <f t="shared" si="116"/>
        <v>2352.6</v>
      </c>
      <c r="AX176" s="4224"/>
      <c r="AY176" s="4601">
        <v>0</v>
      </c>
      <c r="AZ176" s="4526"/>
      <c r="BA176" s="4526">
        <f t="shared" si="102"/>
        <v>0</v>
      </c>
      <c r="BB176" s="4528"/>
      <c r="BC176" s="4528">
        <f t="shared" si="103"/>
        <v>0</v>
      </c>
      <c r="BD176" s="4527"/>
      <c r="BE176" s="4527">
        <f t="shared" si="104"/>
        <v>2352.6</v>
      </c>
    </row>
    <row r="177" spans="2:57" s="334" customFormat="1" x14ac:dyDescent="0.25">
      <c r="B177" s="2851" t="s">
        <v>1709</v>
      </c>
      <c r="C177" s="3627"/>
      <c r="D177" s="483"/>
      <c r="E177" s="1614"/>
      <c r="F177" s="1614"/>
      <c r="G177" s="4224"/>
      <c r="H177" s="4224"/>
      <c r="I177" s="4224"/>
      <c r="J177" s="4224"/>
      <c r="K177" s="4224"/>
      <c r="L177" s="4224"/>
      <c r="M177" s="4224"/>
      <c r="N177" s="4224"/>
      <c r="O177" s="4224"/>
      <c r="P177" s="4224"/>
      <c r="Q177" s="4224"/>
      <c r="R177" s="4224"/>
      <c r="S177" s="4224"/>
      <c r="T177" s="4224"/>
      <c r="U177" s="4224"/>
      <c r="V177" s="4224"/>
      <c r="W177" s="4224"/>
      <c r="X177" s="4224"/>
      <c r="Y177" s="4224"/>
      <c r="Z177" s="4525"/>
      <c r="AA177" s="4224"/>
      <c r="AB177" s="4224"/>
      <c r="AC177" s="4224"/>
      <c r="AD177" s="4224"/>
      <c r="AE177" s="4224"/>
      <c r="AF177" s="4224"/>
      <c r="AG177" s="4224"/>
      <c r="AH177" s="4224"/>
      <c r="AI177" s="4224"/>
      <c r="AJ177" s="4224"/>
      <c r="AK177" s="4224"/>
      <c r="AL177" s="4224"/>
      <c r="AM177" s="4224"/>
      <c r="AN177" s="4224"/>
      <c r="AO177" s="4224"/>
      <c r="AP177" s="4224"/>
      <c r="AQ177" s="4224"/>
      <c r="AR177" s="4224"/>
      <c r="AS177" s="4224"/>
      <c r="AT177" s="4224"/>
      <c r="AU177" s="4224"/>
      <c r="AV177" s="4224"/>
      <c r="AW177" s="4224"/>
      <c r="AX177" s="4224"/>
      <c r="AY177" s="4601"/>
      <c r="AZ177" s="4525"/>
      <c r="BA177" s="4525"/>
      <c r="BB177" s="4525"/>
      <c r="BC177" s="4525"/>
      <c r="BD177" s="4525"/>
      <c r="BE177" s="4525"/>
    </row>
    <row r="178" spans="2:57" s="334" customFormat="1" x14ac:dyDescent="0.25">
      <c r="B178" s="26" t="s">
        <v>1710</v>
      </c>
      <c r="C178" s="3440" t="s">
        <v>393</v>
      </c>
      <c r="D178" s="3440"/>
      <c r="E178" s="1615">
        <v>0</v>
      </c>
      <c r="F178" s="1615"/>
      <c r="G178" s="238">
        <v>0</v>
      </c>
      <c r="H178" s="3436"/>
      <c r="I178" s="4226">
        <f t="shared" si="105"/>
        <v>0</v>
      </c>
      <c r="J178" s="3437"/>
      <c r="K178" s="238">
        <v>0</v>
      </c>
      <c r="L178" s="3435"/>
      <c r="M178" s="4225">
        <f t="shared" si="106"/>
        <v>0</v>
      </c>
      <c r="N178" s="3437"/>
      <c r="O178" s="238">
        <v>0</v>
      </c>
      <c r="P178" s="3436"/>
      <c r="Q178" s="4226">
        <f t="shared" si="107"/>
        <v>0</v>
      </c>
      <c r="R178" s="3437"/>
      <c r="S178" s="238">
        <v>2489.6</v>
      </c>
      <c r="T178" s="3436"/>
      <c r="U178" s="4226">
        <f t="shared" si="108"/>
        <v>2489.6</v>
      </c>
      <c r="V178" s="3437"/>
      <c r="W178" s="238">
        <v>0</v>
      </c>
      <c r="X178" s="3435"/>
      <c r="Y178" s="4225">
        <f t="shared" si="109"/>
        <v>2489.6</v>
      </c>
      <c r="Z178" s="4528"/>
      <c r="AA178" s="4227">
        <f t="shared" si="110"/>
        <v>2489.6</v>
      </c>
      <c r="AB178" s="3437"/>
      <c r="AC178" s="238">
        <v>0</v>
      </c>
      <c r="AD178" s="3436"/>
      <c r="AE178" s="4226">
        <f t="shared" si="111"/>
        <v>2489.6</v>
      </c>
      <c r="AF178" s="3437"/>
      <c r="AG178" s="238">
        <v>0</v>
      </c>
      <c r="AH178" s="3436"/>
      <c r="AI178" s="4226">
        <f t="shared" si="112"/>
        <v>2489.6</v>
      </c>
      <c r="AJ178" s="3437"/>
      <c r="AK178" s="3827">
        <v>0</v>
      </c>
      <c r="AL178" s="3435"/>
      <c r="AM178" s="4225">
        <f t="shared" si="113"/>
        <v>0</v>
      </c>
      <c r="AN178" s="3436"/>
      <c r="AO178" s="4226">
        <f t="shared" si="114"/>
        <v>2489.6</v>
      </c>
      <c r="AP178" s="3836"/>
      <c r="AQ178" s="3913">
        <v>0</v>
      </c>
      <c r="AR178" s="3837"/>
      <c r="AS178" s="4226">
        <f t="shared" si="115"/>
        <v>2489.6</v>
      </c>
      <c r="AT178" s="3990"/>
      <c r="AU178" s="4107">
        <v>0</v>
      </c>
      <c r="AV178" s="3991"/>
      <c r="AW178" s="4226">
        <f t="shared" si="116"/>
        <v>2489.6</v>
      </c>
      <c r="AX178" s="4224"/>
      <c r="AY178" s="4601">
        <v>2398.6</v>
      </c>
      <c r="AZ178" s="4526"/>
      <c r="BA178" s="4526">
        <f t="shared" si="102"/>
        <v>2398.6</v>
      </c>
      <c r="BB178" s="4528"/>
      <c r="BC178" s="4528">
        <f t="shared" si="103"/>
        <v>2398.6</v>
      </c>
      <c r="BD178" s="4527"/>
      <c r="BE178" s="4527">
        <f t="shared" si="104"/>
        <v>4888.2</v>
      </c>
    </row>
    <row r="179" spans="2:57" s="334" customFormat="1" x14ac:dyDescent="0.25">
      <c r="B179" s="2851" t="s">
        <v>1711</v>
      </c>
      <c r="C179" s="3627"/>
      <c r="D179" s="483"/>
      <c r="E179" s="1614"/>
      <c r="F179" s="1614"/>
      <c r="G179" s="4224"/>
      <c r="H179" s="4224"/>
      <c r="I179" s="4224"/>
      <c r="J179" s="4224"/>
      <c r="K179" s="4224"/>
      <c r="L179" s="4224"/>
      <c r="M179" s="4224"/>
      <c r="N179" s="4224"/>
      <c r="O179" s="4224"/>
      <c r="P179" s="4224"/>
      <c r="Q179" s="4224"/>
      <c r="R179" s="4224"/>
      <c r="S179" s="4224"/>
      <c r="T179" s="4224"/>
      <c r="U179" s="4224"/>
      <c r="V179" s="4224"/>
      <c r="W179" s="4224"/>
      <c r="X179" s="4224"/>
      <c r="Y179" s="4224"/>
      <c r="Z179" s="4525"/>
      <c r="AA179" s="4224"/>
      <c r="AB179" s="4224"/>
      <c r="AC179" s="4224"/>
      <c r="AD179" s="4224"/>
      <c r="AE179" s="4224"/>
      <c r="AF179" s="4224"/>
      <c r="AG179" s="4224"/>
      <c r="AH179" s="4224"/>
      <c r="AI179" s="4224"/>
      <c r="AJ179" s="4224"/>
      <c r="AK179" s="4224"/>
      <c r="AL179" s="4224"/>
      <c r="AM179" s="4224"/>
      <c r="AN179" s="4224"/>
      <c r="AO179" s="4224"/>
      <c r="AP179" s="4224"/>
      <c r="AQ179" s="4224"/>
      <c r="AR179" s="4224"/>
      <c r="AS179" s="4224"/>
      <c r="AT179" s="4224"/>
      <c r="AU179" s="4224"/>
      <c r="AV179" s="4224"/>
      <c r="AW179" s="4224"/>
      <c r="AX179" s="4224"/>
      <c r="AY179" s="4601"/>
      <c r="AZ179" s="4525"/>
      <c r="BA179" s="4525"/>
      <c r="BB179" s="4525"/>
      <c r="BC179" s="4525"/>
      <c r="BD179" s="4525"/>
      <c r="BE179" s="4525"/>
    </row>
    <row r="180" spans="2:57" s="334" customFormat="1" x14ac:dyDescent="0.25">
      <c r="B180" s="26" t="s">
        <v>1712</v>
      </c>
      <c r="C180" s="3440" t="s">
        <v>393</v>
      </c>
      <c r="D180" s="3440"/>
      <c r="E180" s="1615">
        <v>0</v>
      </c>
      <c r="F180" s="1615"/>
      <c r="G180" s="238">
        <v>0</v>
      </c>
      <c r="H180" s="3436"/>
      <c r="I180" s="4226">
        <f t="shared" si="105"/>
        <v>0</v>
      </c>
      <c r="J180" s="3437"/>
      <c r="K180" s="238">
        <v>0</v>
      </c>
      <c r="L180" s="3435"/>
      <c r="M180" s="4225">
        <f t="shared" si="106"/>
        <v>0</v>
      </c>
      <c r="N180" s="3437"/>
      <c r="O180" s="238">
        <v>0</v>
      </c>
      <c r="P180" s="3436"/>
      <c r="Q180" s="4226">
        <f t="shared" si="107"/>
        <v>0</v>
      </c>
      <c r="R180" s="3437"/>
      <c r="S180" s="238">
        <v>0</v>
      </c>
      <c r="T180" s="3436"/>
      <c r="U180" s="4226">
        <f t="shared" si="108"/>
        <v>0</v>
      </c>
      <c r="V180" s="3437"/>
      <c r="W180" s="238">
        <v>99.44</v>
      </c>
      <c r="X180" s="3435"/>
      <c r="Y180" s="4225">
        <f t="shared" si="109"/>
        <v>99.44</v>
      </c>
      <c r="Z180" s="4528"/>
      <c r="AA180" s="4227">
        <f t="shared" si="110"/>
        <v>99.44</v>
      </c>
      <c r="AB180" s="3437"/>
      <c r="AC180" s="238">
        <v>0</v>
      </c>
      <c r="AD180" s="3436"/>
      <c r="AE180" s="4226">
        <f t="shared" si="111"/>
        <v>99.44</v>
      </c>
      <c r="AF180" s="3437"/>
      <c r="AG180" s="238">
        <v>0</v>
      </c>
      <c r="AH180" s="3436"/>
      <c r="AI180" s="4226">
        <f t="shared" si="112"/>
        <v>99.44</v>
      </c>
      <c r="AJ180" s="3437"/>
      <c r="AK180" s="3827">
        <v>0</v>
      </c>
      <c r="AL180" s="3435"/>
      <c r="AM180" s="4225">
        <f t="shared" si="113"/>
        <v>0</v>
      </c>
      <c r="AN180" s="3436"/>
      <c r="AO180" s="4226">
        <f t="shared" si="114"/>
        <v>99.44</v>
      </c>
      <c r="AP180" s="3836"/>
      <c r="AQ180" s="3913">
        <v>0</v>
      </c>
      <c r="AR180" s="3837"/>
      <c r="AS180" s="4226">
        <f t="shared" si="115"/>
        <v>99.44</v>
      </c>
      <c r="AT180" s="3990"/>
      <c r="AU180" s="4107">
        <v>0</v>
      </c>
      <c r="AV180" s="3991"/>
      <c r="AW180" s="4226">
        <f t="shared" si="116"/>
        <v>99.44</v>
      </c>
      <c r="AX180" s="4224"/>
      <c r="AY180" s="4601">
        <v>0</v>
      </c>
      <c r="AZ180" s="4526"/>
      <c r="BA180" s="4526">
        <f t="shared" si="102"/>
        <v>0</v>
      </c>
      <c r="BB180" s="4528"/>
      <c r="BC180" s="4528">
        <f t="shared" si="103"/>
        <v>0</v>
      </c>
      <c r="BD180" s="4527"/>
      <c r="BE180" s="4527">
        <f t="shared" si="104"/>
        <v>99.44</v>
      </c>
    </row>
    <row r="181" spans="2:57" x14ac:dyDescent="0.25">
      <c r="B181" s="2851" t="s">
        <v>1713</v>
      </c>
      <c r="C181" s="3627"/>
      <c r="D181" s="483"/>
      <c r="E181" s="1614"/>
      <c r="F181" s="1614"/>
      <c r="G181" s="4224"/>
      <c r="H181" s="4224"/>
      <c r="I181" s="4224"/>
      <c r="J181" s="4224"/>
      <c r="K181" s="4224"/>
      <c r="L181" s="4224"/>
      <c r="M181" s="4224"/>
      <c r="N181" s="4224"/>
      <c r="O181" s="4224"/>
      <c r="P181" s="4224"/>
      <c r="Q181" s="4224"/>
      <c r="R181" s="4224"/>
      <c r="S181" s="4224"/>
      <c r="T181" s="4224"/>
      <c r="U181" s="4224"/>
      <c r="V181" s="4224"/>
      <c r="W181" s="4224"/>
      <c r="X181" s="4224"/>
      <c r="Y181" s="4224"/>
      <c r="Z181" s="4525"/>
      <c r="AA181" s="4224"/>
      <c r="AB181" s="4224"/>
      <c r="AC181" s="4224"/>
      <c r="AD181" s="4224"/>
      <c r="AE181" s="4224"/>
      <c r="AF181" s="4224"/>
      <c r="AG181" s="4224"/>
      <c r="AH181" s="4224"/>
      <c r="AI181" s="4224"/>
      <c r="AJ181" s="4224"/>
      <c r="AK181" s="4224"/>
      <c r="AL181" s="4224"/>
      <c r="AM181" s="4224"/>
      <c r="AN181" s="4224"/>
      <c r="AO181" s="4224"/>
      <c r="AP181" s="4224"/>
      <c r="AQ181" s="4224"/>
      <c r="AR181" s="4224"/>
      <c r="AS181" s="4224"/>
      <c r="AT181" s="4224"/>
      <c r="AU181" s="4224"/>
      <c r="AV181" s="4224"/>
      <c r="AW181" s="4224"/>
      <c r="AX181" s="4224"/>
      <c r="AY181" s="4601"/>
      <c r="AZ181" s="4525"/>
      <c r="BA181" s="4525"/>
      <c r="BB181" s="4525"/>
      <c r="BC181" s="4525"/>
      <c r="BD181" s="4525"/>
      <c r="BE181" s="4525"/>
    </row>
    <row r="182" spans="2:57" x14ac:dyDescent="0.25">
      <c r="B182" s="26" t="s">
        <v>1111</v>
      </c>
      <c r="C182" s="3440" t="s">
        <v>393</v>
      </c>
      <c r="D182" s="3439"/>
      <c r="E182" s="1615">
        <v>0</v>
      </c>
      <c r="F182" s="1615"/>
      <c r="G182" s="238">
        <v>0</v>
      </c>
      <c r="H182" s="3436"/>
      <c r="I182" s="4226">
        <f t="shared" si="105"/>
        <v>0</v>
      </c>
      <c r="J182" s="3437"/>
      <c r="K182" s="238">
        <v>0</v>
      </c>
      <c r="L182" s="3435"/>
      <c r="M182" s="4225">
        <f t="shared" si="106"/>
        <v>0</v>
      </c>
      <c r="N182" s="3437"/>
      <c r="O182" s="238">
        <v>0</v>
      </c>
      <c r="P182" s="3436"/>
      <c r="Q182" s="4226">
        <f t="shared" si="107"/>
        <v>0</v>
      </c>
      <c r="R182" s="3437"/>
      <c r="S182" s="238">
        <v>0</v>
      </c>
      <c r="T182" s="3436"/>
      <c r="U182" s="4226">
        <f t="shared" si="108"/>
        <v>0</v>
      </c>
      <c r="V182" s="3437"/>
      <c r="W182" s="238">
        <v>0</v>
      </c>
      <c r="X182" s="3435"/>
      <c r="Y182" s="4225">
        <f t="shared" si="109"/>
        <v>0</v>
      </c>
      <c r="Z182" s="4528"/>
      <c r="AA182" s="4227">
        <f t="shared" si="110"/>
        <v>0</v>
      </c>
      <c r="AB182" s="3437"/>
      <c r="AC182" s="238">
        <v>0</v>
      </c>
      <c r="AD182" s="3436"/>
      <c r="AE182" s="4226">
        <f t="shared" si="111"/>
        <v>0</v>
      </c>
      <c r="AF182" s="3437"/>
      <c r="AG182" s="238">
        <v>199.38</v>
      </c>
      <c r="AH182" s="3436"/>
      <c r="AI182" s="4226">
        <f t="shared" si="112"/>
        <v>199.38</v>
      </c>
      <c r="AJ182" s="3437"/>
      <c r="AK182" s="3827">
        <v>0</v>
      </c>
      <c r="AL182" s="3435"/>
      <c r="AM182" s="4225">
        <f t="shared" si="113"/>
        <v>199.38</v>
      </c>
      <c r="AN182" s="3436"/>
      <c r="AO182" s="4226">
        <f t="shared" si="114"/>
        <v>199.38</v>
      </c>
      <c r="AP182" s="3836"/>
      <c r="AQ182" s="3913">
        <v>0</v>
      </c>
      <c r="AR182" s="3837"/>
      <c r="AS182" s="4226">
        <f t="shared" si="115"/>
        <v>199.38</v>
      </c>
      <c r="AT182" s="3990"/>
      <c r="AU182" s="4107">
        <v>0</v>
      </c>
      <c r="AV182" s="3991"/>
      <c r="AW182" s="4226">
        <f t="shared" si="116"/>
        <v>199.38</v>
      </c>
      <c r="AX182" s="4224"/>
      <c r="AY182" s="4601">
        <v>0</v>
      </c>
      <c r="AZ182" s="4526"/>
      <c r="BA182" s="4526">
        <f t="shared" si="102"/>
        <v>0</v>
      </c>
      <c r="BB182" s="4528"/>
      <c r="BC182" s="4528">
        <f t="shared" si="103"/>
        <v>199.38</v>
      </c>
      <c r="BD182" s="4527"/>
      <c r="BE182" s="4527">
        <f t="shared" si="104"/>
        <v>199.38</v>
      </c>
    </row>
    <row r="183" spans="2:57" s="4534" customFormat="1" ht="15" x14ac:dyDescent="0.25"/>
    <row r="184" spans="2:57" s="4534" customFormat="1" ht="15" x14ac:dyDescent="0.25"/>
    <row r="185" spans="2:57" s="4534" customFormat="1" ht="15" x14ac:dyDescent="0.25"/>
    <row r="186" spans="2:57" s="4534" customFormat="1" ht="15" x14ac:dyDescent="0.25"/>
    <row r="187" spans="2:57" s="4534" customFormat="1" ht="15" x14ac:dyDescent="0.25"/>
    <row r="188" spans="2:57" s="4534" customFormat="1" ht="15" x14ac:dyDescent="0.25"/>
    <row r="189" spans="2:57" s="4534" customFormat="1" ht="15" x14ac:dyDescent="0.25"/>
    <row r="190" spans="2:57" s="4534" customFormat="1" ht="15" x14ac:dyDescent="0.25"/>
    <row r="191" spans="2:57" s="4534" customFormat="1" ht="15" x14ac:dyDescent="0.25"/>
    <row r="192" spans="2:57" s="4534" customFormat="1" ht="15" x14ac:dyDescent="0.25"/>
    <row r="193" spans="56:56" s="4534" customFormat="1" ht="15" x14ac:dyDescent="0.25"/>
    <row r="194" spans="56:56" s="4534" customFormat="1" ht="15" x14ac:dyDescent="0.25"/>
    <row r="195" spans="56:56" s="4534" customFormat="1" ht="15" x14ac:dyDescent="0.25"/>
    <row r="196" spans="56:56" s="4534" customFormat="1" ht="15" x14ac:dyDescent="0.25"/>
    <row r="197" spans="56:56" s="4534" customFormat="1" ht="15" x14ac:dyDescent="0.25"/>
    <row r="198" spans="56:56" s="4534" customFormat="1" ht="15" x14ac:dyDescent="0.25"/>
    <row r="199" spans="56:56" s="4534" customFormat="1" ht="15" x14ac:dyDescent="0.25"/>
    <row r="200" spans="56:56" s="4534" customFormat="1" ht="15" x14ac:dyDescent="0.25"/>
    <row r="201" spans="56:56" s="4534" customFormat="1" ht="15" x14ac:dyDescent="0.25"/>
    <row r="202" spans="56:56" s="4534" customFormat="1" ht="15" x14ac:dyDescent="0.25"/>
    <row r="203" spans="56:56" s="4534" customFormat="1" ht="15" x14ac:dyDescent="0.25"/>
    <row r="204" spans="56:56" s="4534" customFormat="1" ht="15" x14ac:dyDescent="0.25"/>
    <row r="205" spans="56:56" s="4534" customFormat="1" ht="15" x14ac:dyDescent="0.25"/>
    <row r="206" spans="56:56" s="4240" customFormat="1" ht="15" x14ac:dyDescent="0.25">
      <c r="BD206" s="1741"/>
    </row>
    <row r="207" spans="56:56" s="4240" customFormat="1" ht="15" x14ac:dyDescent="0.25">
      <c r="BD207" s="1741"/>
    </row>
    <row r="208" spans="56:56" s="4240" customFormat="1" ht="15" x14ac:dyDescent="0.25">
      <c r="BD208" s="1741"/>
    </row>
    <row r="209" spans="56:56" s="4240" customFormat="1" ht="15" x14ac:dyDescent="0.25">
      <c r="BD209" s="1741"/>
    </row>
    <row r="210" spans="56:56" s="4240" customFormat="1" ht="15" x14ac:dyDescent="0.25">
      <c r="BD210" s="1741"/>
    </row>
    <row r="211" spans="56:56" s="4240" customFormat="1" ht="15" x14ac:dyDescent="0.25">
      <c r="BD211" s="1741"/>
    </row>
    <row r="212" spans="56:56" s="4240" customFormat="1" ht="15" x14ac:dyDescent="0.25">
      <c r="BD212" s="1741"/>
    </row>
    <row r="213" spans="56:56" s="4240" customFormat="1" ht="15" x14ac:dyDescent="0.25">
      <c r="BD213" s="1741"/>
    </row>
    <row r="214" spans="56:56" s="4240" customFormat="1" ht="15" x14ac:dyDescent="0.25">
      <c r="BD214" s="1741"/>
    </row>
    <row r="215" spans="56:56" s="4240" customFormat="1" ht="15" x14ac:dyDescent="0.25">
      <c r="BD215" s="1741"/>
    </row>
    <row r="216" spans="56:56" s="4240" customFormat="1" ht="15" x14ac:dyDescent="0.25">
      <c r="BD216" s="1741"/>
    </row>
    <row r="217" spans="56:56" s="4240" customFormat="1" ht="15" x14ac:dyDescent="0.25">
      <c r="BD217" s="1741"/>
    </row>
    <row r="218" spans="56:56" s="4240" customFormat="1" ht="15" x14ac:dyDescent="0.25">
      <c r="BD218" s="1741"/>
    </row>
    <row r="219" spans="56:56" s="4240" customFormat="1" ht="15" x14ac:dyDescent="0.25">
      <c r="BD219" s="1741"/>
    </row>
    <row r="220" spans="56:56" s="4240" customFormat="1" ht="15" x14ac:dyDescent="0.25">
      <c r="BD220" s="1741"/>
    </row>
    <row r="221" spans="56:56" s="4240" customFormat="1" ht="15" x14ac:dyDescent="0.25">
      <c r="BD221" s="1741"/>
    </row>
    <row r="222" spans="56:56" s="4240" customFormat="1" ht="15" x14ac:dyDescent="0.25">
      <c r="BD222" s="1741"/>
    </row>
    <row r="223" spans="56:56" s="4240" customFormat="1" ht="15" x14ac:dyDescent="0.25">
      <c r="BD223" s="1741"/>
    </row>
    <row r="224" spans="56:56" s="4240" customFormat="1" ht="15" x14ac:dyDescent="0.25">
      <c r="BD224" s="1741"/>
    </row>
    <row r="225" spans="56:56" s="4240" customFormat="1" ht="15" x14ac:dyDescent="0.25">
      <c r="BD225" s="1741"/>
    </row>
    <row r="226" spans="56:56" s="4240" customFormat="1" ht="15" x14ac:dyDescent="0.25">
      <c r="BD226" s="1741"/>
    </row>
    <row r="227" spans="56:56" s="4240" customFormat="1" ht="15" x14ac:dyDescent="0.25">
      <c r="BD227" s="1741"/>
    </row>
    <row r="228" spans="56:56" s="4240" customFormat="1" ht="15" x14ac:dyDescent="0.25">
      <c r="BD228" s="1741"/>
    </row>
    <row r="229" spans="56:56" s="4240" customFormat="1" ht="15" x14ac:dyDescent="0.25">
      <c r="BD229" s="1741"/>
    </row>
    <row r="230" spans="56:56" s="4240" customFormat="1" ht="15" x14ac:dyDescent="0.25">
      <c r="BD230" s="1741"/>
    </row>
    <row r="231" spans="56:56" s="4240" customFormat="1" ht="15" x14ac:dyDescent="0.25">
      <c r="BD231" s="1741"/>
    </row>
    <row r="232" spans="56:56" s="4240" customFormat="1" ht="15" x14ac:dyDescent="0.25">
      <c r="BD232" s="1741"/>
    </row>
    <row r="233" spans="56:56" s="4240" customFormat="1" ht="15" x14ac:dyDescent="0.25">
      <c r="BD233" s="1741"/>
    </row>
    <row r="234" spans="56:56" s="4240" customFormat="1" ht="15" x14ac:dyDescent="0.25">
      <c r="BD234" s="1741"/>
    </row>
    <row r="235" spans="56:56" s="4240" customFormat="1" ht="15" x14ac:dyDescent="0.25">
      <c r="BD235" s="1741"/>
    </row>
    <row r="236" spans="56:56" s="4240" customFormat="1" ht="15" x14ac:dyDescent="0.25">
      <c r="BD236" s="1741"/>
    </row>
    <row r="237" spans="56:56" s="4240" customFormat="1" ht="15" x14ac:dyDescent="0.25">
      <c r="BD237" s="1741"/>
    </row>
    <row r="238" spans="56:56" s="4240" customFormat="1" ht="15" x14ac:dyDescent="0.25">
      <c r="BD238" s="1741"/>
    </row>
    <row r="239" spans="56:56" s="4240" customFormat="1" ht="15" x14ac:dyDescent="0.25">
      <c r="BD239" s="1741"/>
    </row>
    <row r="240" spans="56:56" s="4240" customFormat="1" ht="15" x14ac:dyDescent="0.25">
      <c r="BD240" s="1741"/>
    </row>
    <row r="241" spans="56:56" s="4240" customFormat="1" ht="15" x14ac:dyDescent="0.25">
      <c r="BD241" s="1741"/>
    </row>
    <row r="242" spans="56:56" s="4240" customFormat="1" ht="15" x14ac:dyDescent="0.25">
      <c r="BD242" s="1741"/>
    </row>
    <row r="243" spans="56:56" s="4240" customFormat="1" ht="15" x14ac:dyDescent="0.25">
      <c r="BD243" s="1741"/>
    </row>
    <row r="244" spans="56:56" s="4240" customFormat="1" ht="15" x14ac:dyDescent="0.25">
      <c r="BD244" s="1741"/>
    </row>
    <row r="245" spans="56:56" s="4240" customFormat="1" ht="15" x14ac:dyDescent="0.25">
      <c r="BD245" s="1741"/>
    </row>
    <row r="246" spans="56:56" s="4240" customFormat="1" ht="15" x14ac:dyDescent="0.25">
      <c r="BD246" s="1741"/>
    </row>
    <row r="247" spans="56:56" s="4240" customFormat="1" ht="15" x14ac:dyDescent="0.25">
      <c r="BD247" s="1741"/>
    </row>
    <row r="248" spans="56:56" s="4240" customFormat="1" ht="15" x14ac:dyDescent="0.25">
      <c r="BD248" s="1741"/>
    </row>
    <row r="249" spans="56:56" s="4240" customFormat="1" ht="15" x14ac:dyDescent="0.25">
      <c r="BD249" s="1741"/>
    </row>
    <row r="250" spans="56:56" s="4240" customFormat="1" ht="15" x14ac:dyDescent="0.25">
      <c r="BD250" s="1741"/>
    </row>
    <row r="251" spans="56:56" s="4240" customFormat="1" ht="15" x14ac:dyDescent="0.25">
      <c r="BD251" s="1741"/>
    </row>
    <row r="252" spans="56:56" s="4240" customFormat="1" ht="15" x14ac:dyDescent="0.25">
      <c r="BD252" s="1741"/>
    </row>
    <row r="253" spans="56:56" s="4240" customFormat="1" ht="15" x14ac:dyDescent="0.25">
      <c r="BD253" s="1741"/>
    </row>
    <row r="254" spans="56:56" s="4240" customFormat="1" ht="15" x14ac:dyDescent="0.25">
      <c r="BD254" s="1741"/>
    </row>
    <row r="255" spans="56:56" s="4240" customFormat="1" ht="15" x14ac:dyDescent="0.25">
      <c r="BD255" s="1741"/>
    </row>
    <row r="256" spans="56:56" s="4240" customFormat="1" ht="15" x14ac:dyDescent="0.25">
      <c r="BD256" s="1741"/>
    </row>
    <row r="257" spans="56:56" s="4240" customFormat="1" ht="15" x14ac:dyDescent="0.25">
      <c r="BD257" s="1741"/>
    </row>
    <row r="258" spans="56:56" s="4240" customFormat="1" ht="15" x14ac:dyDescent="0.25">
      <c r="BD258" s="1741"/>
    </row>
    <row r="259" spans="56:56" s="4240" customFormat="1" ht="15" x14ac:dyDescent="0.25">
      <c r="BD259" s="1741"/>
    </row>
    <row r="260" spans="56:56" s="4240" customFormat="1" ht="15" x14ac:dyDescent="0.25">
      <c r="BD260" s="1741"/>
    </row>
    <row r="261" spans="56:56" s="4240" customFormat="1" ht="15" x14ac:dyDescent="0.25">
      <c r="BD261" s="1741"/>
    </row>
    <row r="262" spans="56:56" s="4240" customFormat="1" ht="15" x14ac:dyDescent="0.25">
      <c r="BD262" s="1741"/>
    </row>
    <row r="263" spans="56:56" s="4240" customFormat="1" ht="15" x14ac:dyDescent="0.25">
      <c r="BD263" s="1741"/>
    </row>
    <row r="264" spans="56:56" s="4240" customFormat="1" ht="15" x14ac:dyDescent="0.25">
      <c r="BD264" s="1741"/>
    </row>
    <row r="265" spans="56:56" s="4240" customFormat="1" ht="15" x14ac:dyDescent="0.25">
      <c r="BD265" s="1741"/>
    </row>
    <row r="266" spans="56:56" s="4240" customFormat="1" ht="15" x14ac:dyDescent="0.25">
      <c r="BD266" s="1741"/>
    </row>
    <row r="267" spans="56:56" s="4240" customFormat="1" ht="15" x14ac:dyDescent="0.25">
      <c r="BD267" s="1741"/>
    </row>
    <row r="268" spans="56:56" s="4240" customFormat="1" ht="15" x14ac:dyDescent="0.25">
      <c r="BD268" s="1741"/>
    </row>
    <row r="269" spans="56:56" s="4240" customFormat="1" ht="15" x14ac:dyDescent="0.25">
      <c r="BD269" s="1741"/>
    </row>
    <row r="270" spans="56:56" s="4240" customFormat="1" ht="15" x14ac:dyDescent="0.25">
      <c r="BD270" s="1741"/>
    </row>
    <row r="271" spans="56:56" s="4240" customFormat="1" ht="15" x14ac:dyDescent="0.25">
      <c r="BD271" s="1741"/>
    </row>
    <row r="272" spans="56:56" s="4240" customFormat="1" ht="15" x14ac:dyDescent="0.25">
      <c r="BD272" s="1741"/>
    </row>
    <row r="273" spans="56:56" s="4240" customFormat="1" ht="15" x14ac:dyDescent="0.25">
      <c r="BD273" s="1741"/>
    </row>
    <row r="274" spans="56:56" s="4240" customFormat="1" ht="15" x14ac:dyDescent="0.25">
      <c r="BD274" s="1741"/>
    </row>
  </sheetData>
  <mergeCells count="35">
    <mergeCell ref="BB2:BC2"/>
    <mergeCell ref="AX3:AY3"/>
    <mergeCell ref="BD3:BE3"/>
    <mergeCell ref="AZ3:BA3"/>
    <mergeCell ref="BB3:BC3"/>
    <mergeCell ref="AT3:AU3"/>
    <mergeCell ref="AV3:AW3"/>
    <mergeCell ref="AP3:AQ3"/>
    <mergeCell ref="AR3:AS3"/>
    <mergeCell ref="B2:AA2"/>
    <mergeCell ref="B3:B4"/>
    <mergeCell ref="C3:C4"/>
    <mergeCell ref="D3:E3"/>
    <mergeCell ref="F3:G3"/>
    <mergeCell ref="H3:I3"/>
    <mergeCell ref="J3:K3"/>
    <mergeCell ref="L3:M3"/>
    <mergeCell ref="N3:O3"/>
    <mergeCell ref="P3:Q3"/>
    <mergeCell ref="B162:C162"/>
    <mergeCell ref="AJ3:AK3"/>
    <mergeCell ref="AN3:AO3"/>
    <mergeCell ref="AL3:AM3"/>
    <mergeCell ref="AD3:AE3"/>
    <mergeCell ref="AF3:AG3"/>
    <mergeCell ref="AH3:AI3"/>
    <mergeCell ref="B92:C92"/>
    <mergeCell ref="B103:C103"/>
    <mergeCell ref="B105:C105"/>
    <mergeCell ref="R3:S3"/>
    <mergeCell ref="T3:U3"/>
    <mergeCell ref="V3:W3"/>
    <mergeCell ref="X3:Y3"/>
    <mergeCell ref="Z3:AA3"/>
    <mergeCell ref="AB3:AC3"/>
  </mergeCells>
  <pageMargins left="0.7" right="0.7" top="0.75" bottom="0.75" header="0.3" footer="0.3"/>
  <pageSetup paperSize="9" scale="32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  <pageSetUpPr fitToPage="1"/>
  </sheetPr>
  <dimension ref="A1:BH311"/>
  <sheetViews>
    <sheetView zoomScale="110" zoomScaleNormal="110" workbookViewId="0">
      <pane xSplit="4" topLeftCell="BC1" activePane="topRight" state="frozen"/>
      <selection pane="topRight" activeCell="AV27" sqref="AV27"/>
    </sheetView>
  </sheetViews>
  <sheetFormatPr defaultColWidth="8.85546875" defaultRowHeight="15" x14ac:dyDescent="0.25"/>
  <cols>
    <col min="1" max="1" width="9.140625" style="332"/>
    <col min="2" max="2" width="58" customWidth="1"/>
    <col min="3" max="3" width="16" customWidth="1"/>
    <col min="4" max="4" width="13.7109375" style="1803" bestFit="1" customWidth="1"/>
    <col min="5" max="5" width="9.140625" style="189" bestFit="1" customWidth="1"/>
    <col min="6" max="6" width="10.7109375" style="200" bestFit="1" customWidth="1"/>
    <col min="7" max="7" width="9.140625" style="189" bestFit="1" customWidth="1"/>
    <col min="8" max="8" width="10.7109375" style="200" bestFit="1" customWidth="1"/>
    <col min="9" max="9" width="12.28515625" style="189" hidden="1" customWidth="1"/>
    <col min="10" max="10" width="10.7109375" style="200" hidden="1" customWidth="1"/>
    <col min="11" max="11" width="9.140625" style="189" bestFit="1" customWidth="1"/>
    <col min="12" max="12" width="10.7109375" style="200" bestFit="1" customWidth="1"/>
    <col min="13" max="13" width="12.28515625" style="189" bestFit="1" customWidth="1"/>
    <col min="14" max="14" width="10.7109375" style="200" bestFit="1" customWidth="1"/>
    <col min="15" max="15" width="9.140625" style="189" bestFit="1" customWidth="1"/>
    <col min="16" max="16" width="10.7109375" style="200" bestFit="1" customWidth="1"/>
    <col min="17" max="17" width="12.28515625" style="189" hidden="1" customWidth="1"/>
    <col min="18" max="18" width="10.7109375" style="200" hidden="1" customWidth="1"/>
    <col min="19" max="19" width="9.140625" style="189" bestFit="1" customWidth="1"/>
    <col min="20" max="20" width="10.7109375" bestFit="1" customWidth="1"/>
    <col min="21" max="21" width="12.28515625" style="189" hidden="1" customWidth="1"/>
    <col min="22" max="22" width="10.7109375" hidden="1" customWidth="1"/>
    <col min="23" max="23" width="9.140625" customWidth="1"/>
    <col min="24" max="24" width="10.7109375" bestFit="1" customWidth="1"/>
    <col min="25" max="25" width="9.28515625" style="1119" customWidth="1"/>
    <col min="26" max="26" width="10.7109375" style="1119" customWidth="1"/>
    <col min="27" max="27" width="12.28515625" customWidth="1"/>
    <col min="28" max="28" width="10.7109375" customWidth="1"/>
    <col min="29" max="30" width="10.42578125" customWidth="1"/>
    <col min="31" max="32" width="14.28515625" hidden="1" customWidth="1"/>
    <col min="33" max="33" width="10.42578125" customWidth="1"/>
    <col min="34" max="34" width="12.42578125" customWidth="1"/>
    <col min="35" max="35" width="12.140625" hidden="1" customWidth="1"/>
    <col min="36" max="36" width="14.28515625" hidden="1" customWidth="1"/>
    <col min="37" max="38" width="12.42578125" customWidth="1"/>
    <col min="39" max="39" width="9.28515625" bestFit="1" customWidth="1"/>
    <col min="40" max="40" width="9.85546875" bestFit="1" customWidth="1"/>
    <col min="41" max="41" width="11.28515625" hidden="1" customWidth="1"/>
    <col min="42" max="42" width="9.85546875" hidden="1" customWidth="1"/>
    <col min="43" max="44" width="12.42578125" customWidth="1"/>
    <col min="45" max="45" width="12.140625" hidden="1" customWidth="1"/>
    <col min="46" max="46" width="12.28515625" hidden="1" customWidth="1"/>
    <col min="47" max="47" width="13.42578125" customWidth="1"/>
    <col min="48" max="48" width="15.140625" customWidth="1"/>
    <col min="49" max="49" width="12.28515625" hidden="1" customWidth="1"/>
    <col min="50" max="50" width="14" hidden="1" customWidth="1"/>
    <col min="51" max="52" width="10.5703125" customWidth="1"/>
    <col min="53" max="54" width="9.28515625" style="4240" customWidth="1"/>
    <col min="55" max="55" width="12.28515625" style="4240" customWidth="1"/>
    <col min="56" max="56" width="9.42578125" style="4240" customWidth="1"/>
    <col min="57" max="57" width="12.28515625" customWidth="1"/>
    <col min="58" max="58" width="9.42578125" customWidth="1"/>
    <col min="61" max="61" width="17.7109375" customWidth="1"/>
  </cols>
  <sheetData>
    <row r="1" spans="1:58" s="200" customFormat="1" ht="22.5" x14ac:dyDescent="0.3">
      <c r="B1" s="971" t="s">
        <v>4</v>
      </c>
      <c r="C1" s="106"/>
      <c r="D1" s="106"/>
      <c r="E1" s="106"/>
      <c r="F1" s="106"/>
      <c r="G1" s="106"/>
      <c r="H1" s="106" t="s">
        <v>130</v>
      </c>
      <c r="I1" s="106"/>
      <c r="J1" s="106"/>
      <c r="K1" s="106"/>
      <c r="L1" s="106"/>
      <c r="M1" s="106"/>
      <c r="N1" s="106"/>
      <c r="O1" s="106"/>
      <c r="P1" s="106"/>
      <c r="Q1" s="106"/>
      <c r="R1" s="106"/>
    </row>
    <row r="2" spans="1:58" s="200" customFormat="1" ht="15.75" thickBot="1" x14ac:dyDescent="0.3">
      <c r="B2" s="106"/>
      <c r="C2" s="106"/>
      <c r="D2" s="106">
        <v>365</v>
      </c>
      <c r="E2" s="59">
        <v>30</v>
      </c>
      <c r="F2" s="59">
        <v>30</v>
      </c>
      <c r="G2" s="59">
        <v>31</v>
      </c>
      <c r="H2" s="59">
        <v>31</v>
      </c>
      <c r="I2" s="59">
        <f>+E2+G2</f>
        <v>61</v>
      </c>
      <c r="J2" s="59">
        <f>+F2+H2</f>
        <v>61</v>
      </c>
      <c r="K2" s="59">
        <v>30</v>
      </c>
      <c r="L2" s="59">
        <v>30</v>
      </c>
      <c r="M2" s="59">
        <f>+I2+K2</f>
        <v>91</v>
      </c>
      <c r="N2" s="59">
        <f>+J2+L2</f>
        <v>91</v>
      </c>
      <c r="O2" s="59">
        <v>31</v>
      </c>
      <c r="P2" s="59">
        <v>31</v>
      </c>
      <c r="Q2" s="59">
        <f>+M2+O2</f>
        <v>122</v>
      </c>
      <c r="R2" s="59">
        <f>+N2+P2</f>
        <v>122</v>
      </c>
      <c r="S2" s="59">
        <v>31</v>
      </c>
      <c r="T2" s="59">
        <v>31</v>
      </c>
      <c r="U2" s="59">
        <f>+Q2+S2</f>
        <v>153</v>
      </c>
      <c r="V2" s="59">
        <f>+R2+T2</f>
        <v>153</v>
      </c>
      <c r="W2" s="59">
        <v>30</v>
      </c>
      <c r="X2" s="59">
        <v>30</v>
      </c>
      <c r="Y2" s="59">
        <f>+O2+S2+W2</f>
        <v>92</v>
      </c>
      <c r="Z2" s="59">
        <f>+P2+T2+X2</f>
        <v>92</v>
      </c>
      <c r="AA2" s="59">
        <f>+U2+W2</f>
        <v>183</v>
      </c>
      <c r="AB2" s="59">
        <f>+V2+X2</f>
        <v>183</v>
      </c>
      <c r="AC2" s="59">
        <v>31</v>
      </c>
      <c r="AD2" s="59">
        <v>31</v>
      </c>
      <c r="AE2" s="59">
        <f>+AA2+AC2</f>
        <v>214</v>
      </c>
      <c r="AF2" s="59">
        <f>+AB2+AD2</f>
        <v>214</v>
      </c>
      <c r="AG2" s="59">
        <v>30</v>
      </c>
      <c r="AH2" s="59">
        <v>30</v>
      </c>
      <c r="AI2" s="59">
        <f>+AE2+AG2</f>
        <v>244</v>
      </c>
      <c r="AJ2" s="59">
        <f>+AF2+AH2</f>
        <v>244</v>
      </c>
      <c r="AK2" s="59">
        <v>31</v>
      </c>
      <c r="AL2" s="59">
        <v>31</v>
      </c>
      <c r="AM2" s="59">
        <f>+AC2+AG2+AK2</f>
        <v>92</v>
      </c>
      <c r="AN2" s="59">
        <f>+AD2+AH2+AL2</f>
        <v>92</v>
      </c>
      <c r="AO2" s="59">
        <f>+AI2+AK2</f>
        <v>275</v>
      </c>
      <c r="AP2" s="59">
        <f>+AJ2+AL2</f>
        <v>275</v>
      </c>
      <c r="AQ2" s="1098">
        <v>31</v>
      </c>
      <c r="AR2" s="59">
        <v>31</v>
      </c>
      <c r="AS2" s="1098">
        <f>+AO2+AQ2</f>
        <v>306</v>
      </c>
      <c r="AT2" s="59">
        <f>+AP2+AR2</f>
        <v>306</v>
      </c>
      <c r="AU2" s="200">
        <v>28</v>
      </c>
      <c r="AV2" s="200">
        <v>28</v>
      </c>
      <c r="AW2" s="200">
        <f>+AS2+AU2</f>
        <v>334</v>
      </c>
      <c r="AX2" s="200">
        <f>+AT2+AV2</f>
        <v>334</v>
      </c>
      <c r="AY2" s="200">
        <v>31</v>
      </c>
      <c r="AZ2" s="200">
        <v>31</v>
      </c>
      <c r="BA2" s="59">
        <f>+AQ2+AU2+AY2</f>
        <v>90</v>
      </c>
      <c r="BB2" s="59">
        <f>+AR2+AV2+AZ2</f>
        <v>90</v>
      </c>
      <c r="BC2" s="200">
        <f>+AM2+BA2</f>
        <v>182</v>
      </c>
      <c r="BD2" s="200">
        <f>+AN2+BB2</f>
        <v>182</v>
      </c>
      <c r="BE2" s="200">
        <f>+AW2+AY2</f>
        <v>365</v>
      </c>
      <c r="BF2" s="200">
        <f>+AX2+AZ2</f>
        <v>365</v>
      </c>
    </row>
    <row r="3" spans="1:58" s="200" customFormat="1" ht="15.75" thickBot="1" x14ac:dyDescent="0.3">
      <c r="B3" s="5073" t="s">
        <v>197</v>
      </c>
      <c r="C3" s="5099" t="s">
        <v>198</v>
      </c>
      <c r="D3" s="5101" t="s">
        <v>1572</v>
      </c>
      <c r="E3" s="4879" t="s">
        <v>1323</v>
      </c>
      <c r="F3" s="4880"/>
      <c r="G3" s="4875" t="s">
        <v>1384</v>
      </c>
      <c r="H3" s="4875"/>
      <c r="I3" s="4877" t="s">
        <v>15</v>
      </c>
      <c r="J3" s="4878"/>
      <c r="K3" s="4879" t="s">
        <v>1397</v>
      </c>
      <c r="L3" s="4880"/>
      <c r="M3" s="4881" t="s">
        <v>741</v>
      </c>
      <c r="N3" s="4859"/>
      <c r="O3" s="4875" t="s">
        <v>1424</v>
      </c>
      <c r="P3" s="4875"/>
      <c r="Q3" s="4877" t="s">
        <v>18</v>
      </c>
      <c r="R3" s="4878"/>
      <c r="S3" s="4875" t="s">
        <v>1496</v>
      </c>
      <c r="T3" s="4875"/>
      <c r="U3" s="4877" t="s">
        <v>19</v>
      </c>
      <c r="V3" s="4878"/>
      <c r="W3" s="4875" t="s">
        <v>1573</v>
      </c>
      <c r="X3" s="4875"/>
      <c r="Y3" s="4858" t="s">
        <v>788</v>
      </c>
      <c r="Z3" s="4859"/>
      <c r="AA3" s="4850" t="s">
        <v>784</v>
      </c>
      <c r="AB3" s="4851"/>
      <c r="AC3" s="4875" t="s">
        <v>1634</v>
      </c>
      <c r="AD3" s="4875"/>
      <c r="AE3" s="4877" t="s">
        <v>26</v>
      </c>
      <c r="AF3" s="4878"/>
      <c r="AG3" s="4875" t="s">
        <v>1671</v>
      </c>
      <c r="AH3" s="4875"/>
      <c r="AI3" s="4877" t="s">
        <v>29</v>
      </c>
      <c r="AJ3" s="4878"/>
      <c r="AK3" s="4875" t="s">
        <v>1696</v>
      </c>
      <c r="AL3" s="4875"/>
      <c r="AM3" s="4858" t="s">
        <v>799</v>
      </c>
      <c r="AN3" s="4859"/>
      <c r="AO3" s="4877" t="s">
        <v>1221</v>
      </c>
      <c r="AP3" s="4878"/>
      <c r="AQ3" s="4875" t="s">
        <v>1760</v>
      </c>
      <c r="AR3" s="4875"/>
      <c r="AS3" s="4877" t="s">
        <v>31</v>
      </c>
      <c r="AT3" s="4878"/>
      <c r="AU3" s="5097">
        <v>44593</v>
      </c>
      <c r="AV3" s="4875"/>
      <c r="AW3" s="4877" t="s">
        <v>33</v>
      </c>
      <c r="AX3" s="4878"/>
      <c r="AY3" s="5097">
        <v>44621</v>
      </c>
      <c r="AZ3" s="4875"/>
      <c r="BA3" s="4858" t="s">
        <v>800</v>
      </c>
      <c r="BB3" s="4859"/>
      <c r="BC3" s="4850" t="s">
        <v>817</v>
      </c>
      <c r="BD3" s="4851"/>
      <c r="BE3" s="4877" t="s">
        <v>1314</v>
      </c>
      <c r="BF3" s="4878"/>
    </row>
    <row r="4" spans="1:58" s="200" customFormat="1" ht="15.75" thickBot="1" x14ac:dyDescent="0.3">
      <c r="B4" s="5098"/>
      <c r="C4" s="5100"/>
      <c r="D4" s="5102"/>
      <c r="E4" s="411" t="s">
        <v>199</v>
      </c>
      <c r="F4" s="3560" t="s">
        <v>200</v>
      </c>
      <c r="G4" s="3503" t="s">
        <v>199</v>
      </c>
      <c r="H4" s="3553" t="s">
        <v>200</v>
      </c>
      <c r="I4" s="3496" t="s">
        <v>199</v>
      </c>
      <c r="J4" s="381" t="s">
        <v>200</v>
      </c>
      <c r="K4" s="3503" t="s">
        <v>199</v>
      </c>
      <c r="L4" s="3553" t="s">
        <v>200</v>
      </c>
      <c r="M4" s="3493" t="s">
        <v>199</v>
      </c>
      <c r="N4" s="395" t="s">
        <v>200</v>
      </c>
      <c r="O4" s="3503" t="s">
        <v>199</v>
      </c>
      <c r="P4" s="3553" t="s">
        <v>200</v>
      </c>
      <c r="Q4" s="3496" t="s">
        <v>199</v>
      </c>
      <c r="R4" s="381" t="s">
        <v>200</v>
      </c>
      <c r="S4" s="3503" t="s">
        <v>199</v>
      </c>
      <c r="T4" s="3553" t="s">
        <v>200</v>
      </c>
      <c r="U4" s="3496" t="s">
        <v>199</v>
      </c>
      <c r="V4" s="381" t="s">
        <v>200</v>
      </c>
      <c r="W4" s="3503" t="s">
        <v>199</v>
      </c>
      <c r="X4" s="3553" t="s">
        <v>200</v>
      </c>
      <c r="Y4" s="3493" t="s">
        <v>199</v>
      </c>
      <c r="Z4" s="395" t="s">
        <v>200</v>
      </c>
      <c r="AA4" s="3507" t="s">
        <v>199</v>
      </c>
      <c r="AB4" s="1137" t="s">
        <v>200</v>
      </c>
      <c r="AC4" s="3503" t="s">
        <v>199</v>
      </c>
      <c r="AD4" s="3553" t="s">
        <v>200</v>
      </c>
      <c r="AE4" s="3496" t="s">
        <v>199</v>
      </c>
      <c r="AF4" s="381" t="s">
        <v>200</v>
      </c>
      <c r="AG4" s="3503" t="s">
        <v>199</v>
      </c>
      <c r="AH4" s="3553" t="s">
        <v>200</v>
      </c>
      <c r="AI4" s="3496" t="s">
        <v>199</v>
      </c>
      <c r="AJ4" s="381" t="s">
        <v>200</v>
      </c>
      <c r="AK4" s="3503" t="s">
        <v>199</v>
      </c>
      <c r="AL4" s="3553" t="s">
        <v>200</v>
      </c>
      <c r="AM4" s="3493" t="s">
        <v>199</v>
      </c>
      <c r="AN4" s="395" t="s">
        <v>200</v>
      </c>
      <c r="AO4" s="3496" t="s">
        <v>199</v>
      </c>
      <c r="AP4" s="381" t="s">
        <v>200</v>
      </c>
      <c r="AQ4" s="1471" t="s">
        <v>199</v>
      </c>
      <c r="AR4" s="374" t="s">
        <v>200</v>
      </c>
      <c r="AS4" s="1472" t="s">
        <v>199</v>
      </c>
      <c r="AT4" s="381" t="s">
        <v>200</v>
      </c>
      <c r="AU4" s="1489" t="s">
        <v>199</v>
      </c>
      <c r="AV4" s="374" t="s">
        <v>200</v>
      </c>
      <c r="AW4" s="1490" t="s">
        <v>199</v>
      </c>
      <c r="AX4" s="381" t="s">
        <v>200</v>
      </c>
      <c r="AY4" s="4236" t="s">
        <v>199</v>
      </c>
      <c r="AZ4" s="3553" t="s">
        <v>200</v>
      </c>
      <c r="BA4" s="4235" t="s">
        <v>199</v>
      </c>
      <c r="BB4" s="395" t="s">
        <v>200</v>
      </c>
      <c r="BC4" s="4234" t="s">
        <v>199</v>
      </c>
      <c r="BD4" s="1137" t="s">
        <v>200</v>
      </c>
      <c r="BE4" s="4232" t="s">
        <v>199</v>
      </c>
      <c r="BF4" s="381" t="s">
        <v>200</v>
      </c>
    </row>
    <row r="5" spans="1:58" x14ac:dyDescent="0.25">
      <c r="B5" s="2052" t="s">
        <v>21</v>
      </c>
      <c r="C5" s="3573" t="s">
        <v>195</v>
      </c>
      <c r="D5" s="57">
        <v>99</v>
      </c>
      <c r="E5" s="232">
        <f>+'Maj Production Summ'!E6</f>
        <v>99</v>
      </c>
      <c r="F5" s="232">
        <f>+'Maj Production Summ'!F6</f>
        <v>97.666666666666671</v>
      </c>
      <c r="G5" s="232">
        <f>+'Maj Production Summ'!G6</f>
        <v>99</v>
      </c>
      <c r="H5" s="232">
        <f>+'Maj Production Summ'!H6</f>
        <v>97.838709677419359</v>
      </c>
      <c r="I5" s="824">
        <f>+'Maj Production Summ'!I6</f>
        <v>99</v>
      </c>
      <c r="J5" s="824">
        <f>+'Maj Production Summ'!J6</f>
        <v>97.754098360655732</v>
      </c>
      <c r="K5" s="3543">
        <f>+'Maj Production Summ'!K6</f>
        <v>99</v>
      </c>
      <c r="L5" s="232">
        <f>+'Maj Production Summ'!L6</f>
        <v>96.266666666666666</v>
      </c>
      <c r="M5" s="1099">
        <f>+'Maj Production Summ'!M6</f>
        <v>99</v>
      </c>
      <c r="N5" s="1099">
        <f>+'Maj Production Summ'!N6</f>
        <v>97.263736263736263</v>
      </c>
      <c r="O5" s="232">
        <f>+'Maj Production Summ'!O6</f>
        <v>99</v>
      </c>
      <c r="P5" s="232">
        <f>+'Maj Production Summ'!P6</f>
        <v>97.677419354838705</v>
      </c>
      <c r="Q5" s="824">
        <f>+'Maj Production Summ'!Q6</f>
        <v>99</v>
      </c>
      <c r="R5" s="824">
        <f>+'Maj Production Summ'!R6</f>
        <v>97.368852459016395</v>
      </c>
      <c r="S5" s="232">
        <f>+'Maj Production Summ'!S6</f>
        <v>99</v>
      </c>
      <c r="T5" s="232">
        <f>+'Maj Production Summ'!T6</f>
        <v>98.967741935483872</v>
      </c>
      <c r="U5" s="1552">
        <f>+'Maj Production Summ'!U6</f>
        <v>99</v>
      </c>
      <c r="V5" s="1552">
        <f>+'Maj Production Summ'!V6</f>
        <v>97.692810457516345</v>
      </c>
      <c r="W5" s="232">
        <f>+'Maj Production Summ'!W6</f>
        <v>99</v>
      </c>
      <c r="X5" s="232">
        <f>+'Maj Production Summ'!X6</f>
        <v>97.266666666666666</v>
      </c>
      <c r="Y5" s="1099">
        <f>+'Maj Production Summ'!Y6</f>
        <v>99</v>
      </c>
      <c r="Z5" s="1099">
        <f>+'Maj Production Summ'!Z6</f>
        <v>97.978260869565219</v>
      </c>
      <c r="AA5" s="1144">
        <f>+'Maj Production Summ'!Y6</f>
        <v>99</v>
      </c>
      <c r="AB5" s="1144">
        <f>+'Maj Production Summ'!Z6</f>
        <v>97.978260869565219</v>
      </c>
      <c r="AC5" s="232">
        <f>+'Maj Production Summ'!AC6</f>
        <v>99</v>
      </c>
      <c r="AD5" s="232">
        <f>+'Maj Production Summ'!AD6</f>
        <v>95.193548387096769</v>
      </c>
      <c r="AE5" s="1552">
        <f>+'Maj Production Summ'!AE6</f>
        <v>99</v>
      </c>
      <c r="AF5" s="1552">
        <f>+'Maj Production Summ'!AF6</f>
        <v>97.271028037383175</v>
      </c>
      <c r="AG5" s="232">
        <f>+'Maj Production Summ'!AG6</f>
        <v>99</v>
      </c>
      <c r="AH5" s="232">
        <f>+'Maj Production Summ'!AH6</f>
        <v>98.533333333333331</v>
      </c>
      <c r="AI5" s="1552">
        <f>+'Maj Production Summ'!AI6</f>
        <v>99</v>
      </c>
      <c r="AJ5" s="1552">
        <f>+'Maj Production Summ'!AJ6</f>
        <v>97.426229508196727</v>
      </c>
      <c r="AK5" s="3543">
        <f>+'Maj Production Summ'!AK6</f>
        <v>99</v>
      </c>
      <c r="AL5" s="3543">
        <f>+'Maj Production Summ'!AL6</f>
        <v>99.096774193548384</v>
      </c>
      <c r="AM5" s="1099">
        <f>+'Maj Production Summ'!AM6</f>
        <v>99</v>
      </c>
      <c r="AN5" s="1099">
        <f>+'Maj Production Summ'!AN6</f>
        <v>97.597826086956516</v>
      </c>
      <c r="AO5" s="824">
        <f>+'Maj Production Summ'!AM6</f>
        <v>99</v>
      </c>
      <c r="AP5" s="824">
        <f>+'Maj Production Summ'!AN6</f>
        <v>97.597826086956516</v>
      </c>
      <c r="AQ5" s="3888">
        <f>+'Maj Production Summ'!AQ6</f>
        <v>99</v>
      </c>
      <c r="AR5" s="3888">
        <f>+'Maj Production Summ'!AR6</f>
        <v>99</v>
      </c>
      <c r="AS5" s="1552">
        <f>+'Maj Production Summ'!AS6</f>
        <v>99</v>
      </c>
      <c r="AT5" s="1552">
        <f>+'Maj Production Summ'!AT6</f>
        <v>97.754901960784309</v>
      </c>
      <c r="AU5" s="4008">
        <f>+'Maj Production Summ'!AU6</f>
        <v>99</v>
      </c>
      <c r="AV5" s="4008">
        <f>+'Maj Production Summ'!AV6</f>
        <v>98.892857142857139</v>
      </c>
      <c r="AW5" s="1552">
        <f>+'Maj Production Summ'!AW6</f>
        <v>99</v>
      </c>
      <c r="AX5" s="1552">
        <f>+'Maj Production Summ'!AX6</f>
        <v>97.850299401197603</v>
      </c>
      <c r="AY5" s="4258">
        <f>+'Maj Production Summ'!AY6</f>
        <v>99</v>
      </c>
      <c r="AZ5" s="232">
        <f>+'Maj Production Summ'!AZ6</f>
        <v>97.548387096774192</v>
      </c>
      <c r="BA5" s="1099">
        <f>+'Maj Production Summ'!BA6</f>
        <v>99</v>
      </c>
      <c r="BB5" s="1099">
        <f>+'Maj Production Summ'!BB6</f>
        <v>98.466666666666669</v>
      </c>
      <c r="BC5" s="1144">
        <f>+'Maj Production Summ'!BC6</f>
        <v>99</v>
      </c>
      <c r="BD5" s="1144">
        <f>+'Maj Production Summ'!BD6</f>
        <v>98.027472527472526</v>
      </c>
      <c r="BE5" s="1552">
        <f>+'Maj Production Summ'!BE6</f>
        <v>99</v>
      </c>
      <c r="BF5" s="1552">
        <f>+'Maj Production Summ'!BF6</f>
        <v>97.824657534246569</v>
      </c>
    </row>
    <row r="6" spans="1:58" ht="15.75" thickBot="1" x14ac:dyDescent="0.3">
      <c r="B6" s="2231" t="s">
        <v>131</v>
      </c>
      <c r="C6" s="380" t="s">
        <v>195</v>
      </c>
      <c r="D6" s="1370">
        <v>99</v>
      </c>
      <c r="E6" s="232">
        <f>+'Maj Production Summ'!E7</f>
        <v>99</v>
      </c>
      <c r="F6" s="232">
        <f>+'Maj Production Summ'!F7</f>
        <v>92.033333333333331</v>
      </c>
      <c r="G6" s="232">
        <f>+'Maj Production Summ'!G7</f>
        <v>99</v>
      </c>
      <c r="H6" s="232">
        <f>+'Maj Production Summ'!H7</f>
        <v>93.225806451612897</v>
      </c>
      <c r="I6" s="824">
        <f>+'Maj Production Summ'!I7</f>
        <v>99</v>
      </c>
      <c r="J6" s="824">
        <f>+'Maj Production Summ'!J7</f>
        <v>92.639344262295083</v>
      </c>
      <c r="K6" s="3543">
        <f>+'Maj Production Summ'!K7</f>
        <v>99</v>
      </c>
      <c r="L6" s="232">
        <f>+'Maj Production Summ'!L7</f>
        <v>95.13333333333334</v>
      </c>
      <c r="M6" s="1099">
        <f>+'Maj Production Summ'!M7</f>
        <v>99</v>
      </c>
      <c r="N6" s="1099">
        <f>+'Maj Production Summ'!N7</f>
        <v>93.461538461538467</v>
      </c>
      <c r="O6" s="232">
        <f>+'Maj Production Summ'!O7</f>
        <v>99</v>
      </c>
      <c r="P6" s="232">
        <f>+'Maj Production Summ'!P7</f>
        <v>92.935483870967744</v>
      </c>
      <c r="Q6" s="824">
        <f>+'Maj Production Summ'!Q7</f>
        <v>99</v>
      </c>
      <c r="R6" s="824">
        <f>+'Maj Production Summ'!R7</f>
        <v>93.327868852459019</v>
      </c>
      <c r="S6" s="232">
        <f>+'Maj Production Summ'!S7</f>
        <v>99</v>
      </c>
      <c r="T6" s="232">
        <f>+'Maj Production Summ'!T7</f>
        <v>97.967741935483872</v>
      </c>
      <c r="U6" s="1552">
        <f>+'Maj Production Summ'!U7</f>
        <v>99</v>
      </c>
      <c r="V6" s="1552">
        <f>+'Maj Production Summ'!V7</f>
        <v>94.267973856209153</v>
      </c>
      <c r="W6" s="232">
        <f>+'Maj Production Summ'!W7</f>
        <v>99</v>
      </c>
      <c r="X6" s="232">
        <f>+'Maj Production Summ'!X7</f>
        <v>98.13333333333334</v>
      </c>
      <c r="Y6" s="1099">
        <f>+'Maj Production Summ'!Y7</f>
        <v>99</v>
      </c>
      <c r="Z6" s="1099">
        <f>+'Maj Production Summ'!Z7</f>
        <v>96.326086956521735</v>
      </c>
      <c r="AA6" s="1144">
        <f>+'Maj Production Summ'!Y7</f>
        <v>99</v>
      </c>
      <c r="AB6" s="1144">
        <f>+'Maj Production Summ'!Z7</f>
        <v>96.326086956521735</v>
      </c>
      <c r="AC6" s="232">
        <f>+'Maj Production Summ'!AC7</f>
        <v>99</v>
      </c>
      <c r="AD6" s="232">
        <f>+'Maj Production Summ'!AD7</f>
        <v>98.838709677419359</v>
      </c>
      <c r="AE6" s="1552">
        <f>+'Maj Production Summ'!AE7</f>
        <v>99</v>
      </c>
      <c r="AF6" s="1552">
        <f>+'Maj Production Summ'!AF7</f>
        <v>95.471962616822424</v>
      </c>
      <c r="AG6" s="232">
        <f>+'Maj Production Summ'!AG7</f>
        <v>99</v>
      </c>
      <c r="AH6" s="232">
        <f>+'Maj Production Summ'!AH7</f>
        <v>98.8</v>
      </c>
      <c r="AI6" s="1552">
        <f>+'Maj Production Summ'!AI7</f>
        <v>99</v>
      </c>
      <c r="AJ6" s="1552">
        <f>+'Maj Production Summ'!AJ7</f>
        <v>95.881147540983605</v>
      </c>
      <c r="AK6" s="3543">
        <f>+'Maj Production Summ'!AK7</f>
        <v>99</v>
      </c>
      <c r="AL6" s="3543">
        <f>+'Maj Production Summ'!AL7</f>
        <v>98.387096774193552</v>
      </c>
      <c r="AM6" s="1099">
        <f>+'Maj Production Summ'!AM7</f>
        <v>99</v>
      </c>
      <c r="AN6" s="1099">
        <f>+'Maj Production Summ'!AN7</f>
        <v>98.673913043478265</v>
      </c>
      <c r="AO6" s="824">
        <f>+'Maj Production Summ'!AM7</f>
        <v>99</v>
      </c>
      <c r="AP6" s="824">
        <f>+'Maj Production Summ'!AN7</f>
        <v>98.673913043478265</v>
      </c>
      <c r="AQ6" s="3888">
        <f>+'Maj Production Summ'!AQ7</f>
        <v>99</v>
      </c>
      <c r="AR6" s="3888">
        <f>+'Maj Production Summ'!AR7</f>
        <v>98.709677419354833</v>
      </c>
      <c r="AS6" s="1552">
        <f>+'Maj Production Summ'!AS7</f>
        <v>99</v>
      </c>
      <c r="AT6" s="1552">
        <f>+'Maj Production Summ'!AT7</f>
        <v>96.421568627450966</v>
      </c>
      <c r="AU6" s="4008">
        <f>+'Maj Production Summ'!AU7</f>
        <v>99</v>
      </c>
      <c r="AV6" s="4008">
        <f>+'Maj Production Summ'!AV7</f>
        <v>98.857142857142861</v>
      </c>
      <c r="AW6" s="1552">
        <f>+'Maj Production Summ'!AW7</f>
        <v>99</v>
      </c>
      <c r="AX6" s="1552">
        <f>+'Maj Production Summ'!AX7</f>
        <v>96.625748502994</v>
      </c>
      <c r="AY6" s="4258">
        <f>+'Maj Production Summ'!AY7</f>
        <v>99</v>
      </c>
      <c r="AZ6" s="232">
        <f>+'Maj Production Summ'!AZ7</f>
        <v>98.870967741935488</v>
      </c>
      <c r="BA6" s="1099">
        <f>+'Maj Production Summ'!BA7</f>
        <v>99</v>
      </c>
      <c r="BB6" s="1099">
        <f>+'Maj Production Summ'!BB7</f>
        <v>98.811111111111117</v>
      </c>
      <c r="BC6" s="1144">
        <f>+'Maj Production Summ'!BC7</f>
        <v>99</v>
      </c>
      <c r="BD6" s="1144">
        <f>+'Maj Production Summ'!BD7</f>
        <v>98.741758241758248</v>
      </c>
      <c r="BE6" s="1552">
        <f>+'Maj Production Summ'!BE7</f>
        <v>99</v>
      </c>
      <c r="BF6" s="1552">
        <f>+'Maj Production Summ'!BF7</f>
        <v>96.816438356164383</v>
      </c>
    </row>
    <row r="7" spans="1:58" ht="15.75" thickBot="1" x14ac:dyDescent="0.3">
      <c r="A7" s="332" t="s">
        <v>515</v>
      </c>
      <c r="B7" s="2232" t="s">
        <v>237</v>
      </c>
      <c r="C7" s="2233" t="s">
        <v>196</v>
      </c>
      <c r="D7" s="2234">
        <v>280.5959302325582</v>
      </c>
      <c r="E7" s="465">
        <f t="shared" ref="E7:N7" si="0">E5+(E6*1.8343023255814)</f>
        <v>280.5959302325586</v>
      </c>
      <c r="F7" s="465">
        <f t="shared" si="0"/>
        <v>266.48362403100816</v>
      </c>
      <c r="G7" s="465">
        <f t="shared" ref="G7" si="1">G5+(G6*1.8343023255814)</f>
        <v>280.5959302325586</v>
      </c>
      <c r="H7" s="465">
        <f t="shared" si="0"/>
        <v>268.84302325581439</v>
      </c>
      <c r="I7" s="2235">
        <f t="shared" si="0"/>
        <v>280.5959302325586</v>
      </c>
      <c r="J7" s="3512">
        <f t="shared" si="0"/>
        <v>267.68266298131954</v>
      </c>
      <c r="K7" s="465">
        <f t="shared" si="0"/>
        <v>280.5959302325586</v>
      </c>
      <c r="L7" s="1775">
        <f t="shared" si="0"/>
        <v>270.76996124031052</v>
      </c>
      <c r="M7" s="2236">
        <f t="shared" si="0"/>
        <v>280.5959302325586</v>
      </c>
      <c r="N7" s="164">
        <f t="shared" si="0"/>
        <v>268.70045361615172</v>
      </c>
      <c r="O7" s="1775">
        <f t="shared" ref="O7:R7" si="2">O5+(O6*1.8343023255814)</f>
        <v>280.5959302325586</v>
      </c>
      <c r="P7" s="1775">
        <f t="shared" si="2"/>
        <v>268.14919354838753</v>
      </c>
      <c r="Q7" s="2237">
        <f t="shared" si="2"/>
        <v>280.5959302325586</v>
      </c>
      <c r="R7" s="146">
        <f t="shared" si="2"/>
        <v>268.56037933663788</v>
      </c>
      <c r="S7" s="1775">
        <f t="shared" ref="S7:V7" si="3">S5+(S6*1.8343023255814)</f>
        <v>280.5959302325586</v>
      </c>
      <c r="T7" s="1775">
        <f t="shared" si="3"/>
        <v>278.67019879970042</v>
      </c>
      <c r="U7" s="2235">
        <f t="shared" si="3"/>
        <v>280.5959302325586</v>
      </c>
      <c r="V7" s="3512">
        <f t="shared" si="3"/>
        <v>270.60877412980744</v>
      </c>
      <c r="W7" s="1775">
        <f t="shared" ref="W7:X7" si="4">W5+(W6*1.8343023255814)</f>
        <v>280.5959302325586</v>
      </c>
      <c r="X7" s="1775">
        <f t="shared" si="4"/>
        <v>277.27286821705474</v>
      </c>
      <c r="Y7" s="2238">
        <f t="shared" ref="Y7:AF7" si="5">Y5+(Y6*1.8343023255814)</f>
        <v>280.5959302325586</v>
      </c>
      <c r="Z7" s="398">
        <f t="shared" si="5"/>
        <v>274.66942618806922</v>
      </c>
      <c r="AA7" s="2239">
        <f t="shared" si="5"/>
        <v>280.5959302325586</v>
      </c>
      <c r="AB7" s="1145">
        <f t="shared" si="5"/>
        <v>274.66942618806922</v>
      </c>
      <c r="AC7" s="1775">
        <f t="shared" si="5"/>
        <v>280.5959302325586</v>
      </c>
      <c r="AD7" s="1775">
        <f t="shared" si="5"/>
        <v>276.49362340585191</v>
      </c>
      <c r="AE7" s="2235">
        <f t="shared" si="5"/>
        <v>280.5959302325586</v>
      </c>
      <c r="AF7" s="3512">
        <f t="shared" si="5"/>
        <v>272.39547109324104</v>
      </c>
      <c r="AG7" s="1775">
        <f t="shared" ref="AG7:AJ7" si="6">AG5+(AG6*1.8343023255814)</f>
        <v>280.5959302325586</v>
      </c>
      <c r="AH7" s="1775">
        <f t="shared" si="6"/>
        <v>279.7624031007756</v>
      </c>
      <c r="AI7" s="2235">
        <f t="shared" si="6"/>
        <v>280.5959302325586</v>
      </c>
      <c r="AJ7" s="3512">
        <f t="shared" si="6"/>
        <v>273.3012414220363</v>
      </c>
      <c r="AK7" s="465">
        <f t="shared" ref="AK7:AL7" si="7">AK5+(AK6*1.8343023255814)</f>
        <v>280.5959302325586</v>
      </c>
      <c r="AL7" s="465">
        <f t="shared" si="7"/>
        <v>279.5684546136539</v>
      </c>
      <c r="AM7" s="2238">
        <f t="shared" ref="AM7:AT7" si="8">AM5+(AM6*1.8343023255814)</f>
        <v>280.5959302325586</v>
      </c>
      <c r="AN7" s="398">
        <f t="shared" si="8"/>
        <v>278.59561425682551</v>
      </c>
      <c r="AO7" s="2235">
        <f t="shared" si="8"/>
        <v>280.5959302325586</v>
      </c>
      <c r="AP7" s="3512">
        <f t="shared" si="8"/>
        <v>278.59561425682551</v>
      </c>
      <c r="AQ7" s="465">
        <f t="shared" si="8"/>
        <v>280.5959302325586</v>
      </c>
      <c r="AR7" s="465">
        <f t="shared" si="8"/>
        <v>280.06339084771241</v>
      </c>
      <c r="AS7" s="2235">
        <f t="shared" si="8"/>
        <v>280.5959302325586</v>
      </c>
      <c r="AT7" s="3512">
        <f t="shared" si="8"/>
        <v>274.62120953032417</v>
      </c>
      <c r="AU7" s="465">
        <f t="shared" ref="AU7:AX7" si="9">AU5+(AU6*1.8343023255814)</f>
        <v>280.5959302325586</v>
      </c>
      <c r="AV7" s="465">
        <f t="shared" si="9"/>
        <v>280.22674418604697</v>
      </c>
      <c r="AW7" s="2235">
        <f t="shared" si="9"/>
        <v>280.5959302325586</v>
      </c>
      <c r="AX7" s="3512">
        <f t="shared" si="9"/>
        <v>275.09113459128298</v>
      </c>
      <c r="AY7" s="465">
        <f t="shared" ref="AY7:BF7" si="10">AY5+(AY6*1.8343023255814)</f>
        <v>280.5959302325586</v>
      </c>
      <c r="AZ7" s="465">
        <f t="shared" si="10"/>
        <v>278.90763315829003</v>
      </c>
      <c r="BA7" s="2238">
        <f t="shared" si="10"/>
        <v>280.5959302325586</v>
      </c>
      <c r="BB7" s="398">
        <f t="shared" si="10"/>
        <v>279.7161175710599</v>
      </c>
      <c r="BC7" s="2239">
        <f t="shared" ref="BC7:BD7" si="11">BC5+(BC6*1.8343023255814)</f>
        <v>280.5959302325586</v>
      </c>
      <c r="BD7" s="1145">
        <f t="shared" si="11"/>
        <v>279.14970930232607</v>
      </c>
      <c r="BE7" s="2235">
        <f t="shared" si="10"/>
        <v>280.5959302325586</v>
      </c>
      <c r="BF7" s="3512">
        <f t="shared" si="10"/>
        <v>275.41527556546714</v>
      </c>
    </row>
    <row r="8" spans="1:58" x14ac:dyDescent="0.25">
      <c r="A8" s="332" t="s">
        <v>515</v>
      </c>
      <c r="B8" s="2240" t="s">
        <v>148</v>
      </c>
      <c r="C8" s="140" t="s">
        <v>201</v>
      </c>
      <c r="D8" s="2241">
        <v>77</v>
      </c>
      <c r="E8" s="3492">
        <v>77</v>
      </c>
      <c r="F8" s="230">
        <v>77.760000000000005</v>
      </c>
      <c r="G8" s="3492">
        <v>77</v>
      </c>
      <c r="H8" s="119">
        <v>77.290000000000006</v>
      </c>
      <c r="I8" s="245">
        <f>+((E8*E$2)+(G8*G$2))/I$2</f>
        <v>77</v>
      </c>
      <c r="J8" s="245">
        <f>+((F8*F$2)+(H8*H$2))/J$2</f>
        <v>77.52114754098362</v>
      </c>
      <c r="K8" s="50">
        <v>77</v>
      </c>
      <c r="L8" s="119">
        <v>77.930000000000007</v>
      </c>
      <c r="M8" s="163">
        <f>+((I8*I$2)+(K8*K$2))/M$2</f>
        <v>77</v>
      </c>
      <c r="N8" s="261">
        <f>+((J8*J$2)+(L8*L$2))/N$2</f>
        <v>77.655934065934076</v>
      </c>
      <c r="O8" s="50">
        <v>77</v>
      </c>
      <c r="P8" s="312">
        <v>77.959999999999994</v>
      </c>
      <c r="Q8" s="96">
        <f>+((M8*M$2)+(O8*O$2))/Q$2</f>
        <v>77</v>
      </c>
      <c r="R8" s="96">
        <f>+((N8*N$2)+(P8*P$2))/R$2</f>
        <v>77.733196721311486</v>
      </c>
      <c r="S8" s="50">
        <v>77</v>
      </c>
      <c r="T8" s="312">
        <v>78</v>
      </c>
      <c r="U8" s="96">
        <f>+((Q8*Q$2)+(S8*S$2))/U$2</f>
        <v>77</v>
      </c>
      <c r="V8" s="96">
        <f>+((R8*R$2)+(T8*T$2))/V$2</f>
        <v>77.787254901960793</v>
      </c>
      <c r="W8" s="50">
        <v>77</v>
      </c>
      <c r="X8" s="312">
        <v>77.66</v>
      </c>
      <c r="Y8" s="261">
        <f>+((O8*O$2)+(S8*S$2)+(W8*W$2))/Y$2</f>
        <v>77</v>
      </c>
      <c r="Z8" s="261">
        <f>+((P8*P$2)+(T8*T$2)+(X8*X$2))/Z$2</f>
        <v>77.875652173913039</v>
      </c>
      <c r="AA8" s="1146">
        <f>+((U8*U$2)+(W8*W$2))/AA$2</f>
        <v>77</v>
      </c>
      <c r="AB8" s="1146">
        <f>+((V8*V$2)+(X8*X$2))/AB$2</f>
        <v>77.766393442622956</v>
      </c>
      <c r="AC8" s="50">
        <v>77</v>
      </c>
      <c r="AD8" s="312">
        <v>77.61</v>
      </c>
      <c r="AE8" s="96">
        <f>+((AA8*AA$2)+(AC8*AC$2))/AE$2</f>
        <v>77</v>
      </c>
      <c r="AF8" s="96">
        <f>+((AB8*AB$2)+(AD8*AD$2))/AF$2</f>
        <v>77.743738317757021</v>
      </c>
      <c r="AG8" s="50">
        <v>77</v>
      </c>
      <c r="AH8" s="312">
        <v>77.73</v>
      </c>
      <c r="AI8" s="96">
        <f>+((AE8*AE$2)+(AG8*AG$2))/AI$2</f>
        <v>77</v>
      </c>
      <c r="AJ8" s="96">
        <f>+((AF8*AF$2)+(AH8*AH$2))/AJ$2</f>
        <v>77.742049180327882</v>
      </c>
      <c r="AK8" s="50">
        <v>77</v>
      </c>
      <c r="AL8" s="312">
        <v>77.67</v>
      </c>
      <c r="AM8" s="261">
        <f>+((AC8*AC$2)+(AG8*AG$2)+(AK8*AK$2))/AM$2</f>
        <v>77</v>
      </c>
      <c r="AN8" s="261">
        <f>+((AD8*AD$2)+(AH8*AH$2)+(AL8*AL$2))/AN$2</f>
        <v>77.669347826086963</v>
      </c>
      <c r="AO8" s="245">
        <f>+((AI8*AI$2)+(AK8*AK$2))/AO$2</f>
        <v>77</v>
      </c>
      <c r="AP8" s="245">
        <f>+((AJ8*AJ$2)+(AL8*AL$2))/AP$2</f>
        <v>77.733927272727286</v>
      </c>
      <c r="AQ8" s="50">
        <v>77</v>
      </c>
      <c r="AR8" s="312">
        <v>77.650000000000006</v>
      </c>
      <c r="AS8" s="96">
        <f>+((AO8*AO$2)+(AQ8*AQ$2))/AS$2</f>
        <v>77</v>
      </c>
      <c r="AT8" s="96">
        <f>+((AP8*AP$2)+(AR8*AR$2))/AT$2</f>
        <v>77.72542483660132</v>
      </c>
      <c r="AU8" s="50">
        <v>77</v>
      </c>
      <c r="AV8" s="312">
        <v>77.680000000000007</v>
      </c>
      <c r="AW8" s="96">
        <f>+((AS8*AS$2)+(AU8*AU$2))/AW$2</f>
        <v>77</v>
      </c>
      <c r="AX8" s="96">
        <f>+((AT8*AT$2)+(AV8*AV$2))/AX$2</f>
        <v>77.721616766467079</v>
      </c>
      <c r="AY8" s="50">
        <v>77</v>
      </c>
      <c r="AZ8" s="312">
        <v>77.67</v>
      </c>
      <c r="BA8" s="261">
        <f>+((AQ8*AQ$2)+(AU8*AU$2)+(AY8*AY$2))/BA$2</f>
        <v>77</v>
      </c>
      <c r="BB8" s="261">
        <f>+((AR8*AR$2)+(AV8*AV$2)+(AZ8*AZ$2))/BB$2</f>
        <v>77.666222222222231</v>
      </c>
      <c r="BC8" s="1146">
        <f>+((AM8*AM$2)+(BA8*BA$2))/BC$2</f>
        <v>77</v>
      </c>
      <c r="BD8" s="1146">
        <f>+((AN8*AN$2)+(BB8*BB$2))/BD$2</f>
        <v>77.667802197802203</v>
      </c>
      <c r="BE8" s="96">
        <f>+((AW8*AW$2)+(AY8*AY$2))/BE$2</f>
        <v>77</v>
      </c>
      <c r="BF8" s="96">
        <f>+((AX8*AX$2)+(AZ8*AZ$2))/BF$2</f>
        <v>77.717232876712345</v>
      </c>
    </row>
    <row r="9" spans="1:58" ht="15.95" customHeight="1" thickBot="1" x14ac:dyDescent="0.3">
      <c r="A9" s="332" t="s">
        <v>515</v>
      </c>
      <c r="B9" s="2242" t="s">
        <v>149</v>
      </c>
      <c r="C9" s="2243" t="s">
        <v>201</v>
      </c>
      <c r="D9" s="2244">
        <v>73</v>
      </c>
      <c r="E9" s="2245">
        <v>73</v>
      </c>
      <c r="F9" s="232">
        <v>74</v>
      </c>
      <c r="G9" s="2245">
        <v>73</v>
      </c>
      <c r="H9" s="121">
        <v>74</v>
      </c>
      <c r="I9" s="245">
        <f>+((E9*E$2)+(G9*G$2))/I$2</f>
        <v>73</v>
      </c>
      <c r="J9" s="245">
        <f>+((F9*F$2)+(H9*H$2))/J$2</f>
        <v>74</v>
      </c>
      <c r="K9" s="57">
        <v>73</v>
      </c>
      <c r="L9" s="121">
        <v>74</v>
      </c>
      <c r="M9" s="163">
        <f>+((I9*I$2)+(K9*K$2))/M$2</f>
        <v>73</v>
      </c>
      <c r="N9" s="261">
        <f>+((J9*J$2)+(L9*L$2))/N$2</f>
        <v>74</v>
      </c>
      <c r="O9" s="57">
        <v>73</v>
      </c>
      <c r="P9" s="311">
        <v>74</v>
      </c>
      <c r="Q9" s="96">
        <f>+((M9*M$2)+(O9*O$2))/Q$2</f>
        <v>73</v>
      </c>
      <c r="R9" s="96">
        <f>+((N9*N$2)+(P9*P$2))/R$2</f>
        <v>74</v>
      </c>
      <c r="S9" s="57">
        <v>73</v>
      </c>
      <c r="T9" s="311">
        <v>74</v>
      </c>
      <c r="U9" s="96">
        <f>+((Q9*Q$2)+(S9*S$2))/U$2</f>
        <v>73</v>
      </c>
      <c r="V9" s="96">
        <f>+((R9*R$2)+(T9*T$2))/V$2</f>
        <v>74</v>
      </c>
      <c r="W9" s="57">
        <v>73</v>
      </c>
      <c r="X9" s="311">
        <v>73.87</v>
      </c>
      <c r="Y9" s="261">
        <f>+((O9*O$2)+(S9*S$2)+(W9*W$2))/Y$2</f>
        <v>73</v>
      </c>
      <c r="Z9" s="261">
        <f>+((P9*P$2)+(T9*T$2)+(X9*X$2))/Z$2</f>
        <v>73.957608695652183</v>
      </c>
      <c r="AA9" s="1146">
        <f>+((U9*U$2)+(W9*W$2))/AA$2</f>
        <v>73</v>
      </c>
      <c r="AB9" s="1146">
        <f>+((V9*V$2)+(X9*X$2))/AB$2</f>
        <v>73.978688524590169</v>
      </c>
      <c r="AC9" s="57">
        <v>73</v>
      </c>
      <c r="AD9" s="311">
        <v>73.94</v>
      </c>
      <c r="AE9" s="96">
        <f>+((AA9*AA$2)+(AC9*AC$2))/AE$2</f>
        <v>73</v>
      </c>
      <c r="AF9" s="96">
        <f>+((AB9*AB$2)+(AD9*AD$2))/AF$2</f>
        <v>73.973084112149536</v>
      </c>
      <c r="AG9" s="57">
        <v>73</v>
      </c>
      <c r="AH9" s="311">
        <v>73.959999999999994</v>
      </c>
      <c r="AI9" s="96">
        <f>+((AE9*AE$2)+(AG9*AG$2))/AI$2</f>
        <v>73</v>
      </c>
      <c r="AJ9" s="96">
        <f>+((AF9*AF$2)+(AH9*AH$2))/AJ$2</f>
        <v>73.971475409836074</v>
      </c>
      <c r="AK9" s="57">
        <v>73</v>
      </c>
      <c r="AL9" s="311">
        <v>73.87</v>
      </c>
      <c r="AM9" s="261">
        <f>+((AC9*AC$2)+(AG9*AG$2)+(AK9*AK$2))/AM$2</f>
        <v>73</v>
      </c>
      <c r="AN9" s="261">
        <f>+((AD9*AD$2)+(AH9*AH$2)+(AL9*AL$2))/AN$2</f>
        <v>73.922934782608692</v>
      </c>
      <c r="AO9" s="245">
        <f>+((AI9*AI$2)+(AK9*AK$2))/AO$2</f>
        <v>73</v>
      </c>
      <c r="AP9" s="245">
        <f>+((AJ9*AJ$2)+(AL9*AL$2))/AP$2</f>
        <v>73.960036363636377</v>
      </c>
      <c r="AQ9" s="57">
        <v>73</v>
      </c>
      <c r="AR9" s="311">
        <v>73.900000000000006</v>
      </c>
      <c r="AS9" s="96">
        <f>+((AO9*AO$2)+(AQ9*AQ$2))/AS$2</f>
        <v>73</v>
      </c>
      <c r="AT9" s="96">
        <f>+((AP9*AP$2)+(AR9*AR$2))/AT$2</f>
        <v>73.953954248366031</v>
      </c>
      <c r="AU9" s="57">
        <v>73</v>
      </c>
      <c r="AV9" s="311">
        <v>74</v>
      </c>
      <c r="AW9" s="96">
        <f>+((AS9*AS$2)+(AU9*AU$2))/AW$2</f>
        <v>73</v>
      </c>
      <c r="AX9" s="96">
        <f>+((AT9*AT$2)+(AV9*AV$2))/AX$2</f>
        <v>73.957814371257513</v>
      </c>
      <c r="AY9" s="57">
        <v>73</v>
      </c>
      <c r="AZ9" s="311">
        <v>74</v>
      </c>
      <c r="BA9" s="261">
        <f>+((AQ9*AQ$2)+(AU9*AU$2)+(AY9*AY$2))/BA$2</f>
        <v>73</v>
      </c>
      <c r="BB9" s="261">
        <f>+((AR9*AR$2)+(AV9*AV$2)+(AZ9*AZ$2))/BB$2</f>
        <v>73.965555555555554</v>
      </c>
      <c r="BC9" s="1146">
        <f>+((AM9*AM$2)+(BA9*BA$2))/BC$2</f>
        <v>73</v>
      </c>
      <c r="BD9" s="1146">
        <f>+((AN9*AN$2)+(BB9*BB$2))/BD$2</f>
        <v>73.944010989010991</v>
      </c>
      <c r="BE9" s="96">
        <f>+((AW9*AW$2)+(AY9*AY$2))/BE$2</f>
        <v>73</v>
      </c>
      <c r="BF9" s="96">
        <f>+((AX9*AX$2)+(AZ9*AZ$2))/BF$2</f>
        <v>73.961397260273998</v>
      </c>
    </row>
    <row r="10" spans="1:58" s="334" customFormat="1" ht="15.75" x14ac:dyDescent="0.25">
      <c r="A10" s="333" t="s">
        <v>515</v>
      </c>
      <c r="B10" s="2246" t="s">
        <v>171</v>
      </c>
      <c r="C10" s="2247"/>
      <c r="D10" s="2247"/>
      <c r="E10" s="1174"/>
      <c r="F10" s="1173"/>
      <c r="G10" s="1174"/>
      <c r="H10" s="1174"/>
      <c r="I10" s="568"/>
      <c r="J10" s="568"/>
      <c r="K10" s="568"/>
      <c r="L10" s="568"/>
      <c r="M10" s="568"/>
      <c r="N10" s="568"/>
      <c r="O10" s="568"/>
      <c r="P10" s="568"/>
      <c r="Q10" s="568"/>
      <c r="R10" s="1643"/>
      <c r="S10" s="568"/>
      <c r="T10" s="568"/>
      <c r="U10" s="568"/>
      <c r="V10" s="1643"/>
      <c r="W10" s="568"/>
      <c r="X10" s="568"/>
      <c r="Y10" s="568"/>
      <c r="Z10" s="568"/>
      <c r="AA10" s="568"/>
      <c r="AB10" s="568"/>
      <c r="AC10" s="568"/>
      <c r="AD10" s="568"/>
      <c r="AE10" s="568"/>
      <c r="AF10" s="1643"/>
      <c r="AG10" s="568"/>
      <c r="AH10" s="568"/>
      <c r="AI10" s="568"/>
      <c r="AJ10" s="1643"/>
      <c r="AK10" s="568"/>
      <c r="AL10" s="568"/>
      <c r="AM10" s="568"/>
      <c r="AN10" s="568"/>
      <c r="AO10" s="568"/>
      <c r="AP10" s="568"/>
      <c r="AQ10" s="568"/>
      <c r="AR10" s="568"/>
      <c r="AS10" s="568"/>
      <c r="AT10" s="1643"/>
      <c r="AU10" s="568"/>
      <c r="AV10" s="568"/>
      <c r="AW10" s="568"/>
      <c r="AX10" s="1643"/>
      <c r="AY10" s="568"/>
      <c r="AZ10" s="568"/>
      <c r="BA10" s="568"/>
      <c r="BB10" s="568"/>
      <c r="BC10" s="568"/>
      <c r="BD10" s="568"/>
      <c r="BE10" s="568"/>
      <c r="BF10" s="1643"/>
    </row>
    <row r="11" spans="1:58" x14ac:dyDescent="0.25">
      <c r="A11" s="332" t="s">
        <v>515</v>
      </c>
      <c r="B11" s="2248" t="s">
        <v>169</v>
      </c>
      <c r="C11" s="140" t="s">
        <v>202</v>
      </c>
      <c r="D11" s="2249">
        <v>1.2857142857142858</v>
      </c>
      <c r="E11" s="2250">
        <f t="shared" ref="E11:N11" si="12">+E5/E8</f>
        <v>1.2857142857142858</v>
      </c>
      <c r="F11" s="1992">
        <f t="shared" si="12"/>
        <v>1.2560013717421126</v>
      </c>
      <c r="G11" s="2250">
        <f t="shared" ref="G11" si="13">+G5/G8</f>
        <v>1.2857142857142858</v>
      </c>
      <c r="H11" s="1500">
        <f t="shared" si="12"/>
        <v>1.2658650495202399</v>
      </c>
      <c r="I11" s="2251">
        <f t="shared" si="12"/>
        <v>1.2857142857142858</v>
      </c>
      <c r="J11" s="209">
        <f t="shared" si="12"/>
        <v>1.2609991139382377</v>
      </c>
      <c r="K11" s="2252">
        <f t="shared" si="12"/>
        <v>1.2857142857142858</v>
      </c>
      <c r="L11" s="1500">
        <f t="shared" si="12"/>
        <v>1.2352966337311262</v>
      </c>
      <c r="M11" s="1168">
        <f t="shared" si="12"/>
        <v>1.2857142857142858</v>
      </c>
      <c r="N11" s="195">
        <f t="shared" si="12"/>
        <v>1.2524958644004476</v>
      </c>
      <c r="O11" s="2252">
        <f t="shared" ref="O11:R11" si="14">+O5/O8</f>
        <v>1.2857142857142858</v>
      </c>
      <c r="P11" s="1500">
        <f t="shared" si="14"/>
        <v>1.2529171287177874</v>
      </c>
      <c r="Q11" s="2251">
        <f t="shared" si="14"/>
        <v>1.2857142857142858</v>
      </c>
      <c r="R11" s="209">
        <f t="shared" si="14"/>
        <v>1.2526032192925569</v>
      </c>
      <c r="S11" s="2252">
        <f t="shared" ref="S11:V11" si="15">+S5/S8</f>
        <v>1.2857142857142858</v>
      </c>
      <c r="T11" s="1500">
        <f t="shared" si="15"/>
        <v>1.2688172043010753</v>
      </c>
      <c r="U11" s="2251">
        <f>+U5/U8</f>
        <v>1.2857142857142858</v>
      </c>
      <c r="V11" s="209">
        <f t="shared" si="15"/>
        <v>1.2558973906540798</v>
      </c>
      <c r="W11" s="2252">
        <f t="shared" ref="W11:X11" si="16">+W5/W8</f>
        <v>1.2857142857142858</v>
      </c>
      <c r="X11" s="1500">
        <f t="shared" si="16"/>
        <v>1.2524680230062666</v>
      </c>
      <c r="Y11" s="1168">
        <f t="shared" ref="Y11:AD11" si="17">+Y5/Y8</f>
        <v>1.2857142857142858</v>
      </c>
      <c r="Z11" s="195">
        <f t="shared" si="17"/>
        <v>1.2581372757015086</v>
      </c>
      <c r="AA11" s="2253">
        <f t="shared" si="17"/>
        <v>1.2857142857142858</v>
      </c>
      <c r="AB11" s="1147">
        <f t="shared" si="17"/>
        <v>1.2599049092054762</v>
      </c>
      <c r="AC11" s="2252">
        <f t="shared" si="17"/>
        <v>1.2857142857142858</v>
      </c>
      <c r="AD11" s="1500">
        <f t="shared" si="17"/>
        <v>1.2265629221375696</v>
      </c>
      <c r="AE11" s="2251">
        <f>+AE5/AE8</f>
        <v>1.2857142857142858</v>
      </c>
      <c r="AF11" s="209">
        <f t="shared" ref="AF11:AH11" si="18">+AF5/AF8</f>
        <v>1.2511750803622732</v>
      </c>
      <c r="AG11" s="2252">
        <f t="shared" si="18"/>
        <v>1.2857142857142858</v>
      </c>
      <c r="AH11" s="1500">
        <f t="shared" si="18"/>
        <v>1.267635833440542</v>
      </c>
      <c r="AI11" s="2251">
        <f>+AI5/AI8</f>
        <v>1.2857142857142858</v>
      </c>
      <c r="AJ11" s="209">
        <f t="shared" ref="AJ11:AL11" si="19">+AJ5/AJ8</f>
        <v>1.2531986297686863</v>
      </c>
      <c r="AK11" s="2252">
        <f t="shared" si="19"/>
        <v>1.2857142857142858</v>
      </c>
      <c r="AL11" s="1500">
        <f t="shared" si="19"/>
        <v>1.2758693729052193</v>
      </c>
      <c r="AM11" s="1168">
        <f t="shared" ref="AM11:AR11" si="20">+AM5/AM8</f>
        <v>1.2857142857142858</v>
      </c>
      <c r="AN11" s="195">
        <f t="shared" si="20"/>
        <v>1.2565809913261063</v>
      </c>
      <c r="AO11" s="2251">
        <f t="shared" si="20"/>
        <v>1.2857142857142858</v>
      </c>
      <c r="AP11" s="209">
        <f t="shared" si="20"/>
        <v>1.2555370545545359</v>
      </c>
      <c r="AQ11" s="2252">
        <f t="shared" si="20"/>
        <v>1.2857142857142858</v>
      </c>
      <c r="AR11" s="1500">
        <f t="shared" si="20"/>
        <v>1.2749517063747584</v>
      </c>
      <c r="AS11" s="2251">
        <f>+AS5/AS8</f>
        <v>1.2857142857142858</v>
      </c>
      <c r="AT11" s="209">
        <f t="shared" ref="AT11:AV11" si="21">+AT5/AT8</f>
        <v>1.2576953058319085</v>
      </c>
      <c r="AU11" s="2252">
        <f t="shared" si="21"/>
        <v>1.2857142857142858</v>
      </c>
      <c r="AV11" s="1500">
        <f t="shared" si="21"/>
        <v>1.2730800353096954</v>
      </c>
      <c r="AW11" s="2251">
        <f>+AW5/AW8</f>
        <v>1.2857142857142858</v>
      </c>
      <c r="AX11" s="209">
        <f t="shared" ref="AX11:BB11" si="22">+AX5/AX8</f>
        <v>1.258984353030276</v>
      </c>
      <c r="AY11" s="2252">
        <f t="shared" si="22"/>
        <v>1.2857142857142858</v>
      </c>
      <c r="AZ11" s="1500">
        <f t="shared" si="22"/>
        <v>1.2559339139535752</v>
      </c>
      <c r="BA11" s="1168">
        <f t="shared" si="22"/>
        <v>1.2857142857142858</v>
      </c>
      <c r="BB11" s="195">
        <f t="shared" si="22"/>
        <v>1.2678184138392778</v>
      </c>
      <c r="BC11" s="2253">
        <f>+BC5/BC8</f>
        <v>1.2857142857142858</v>
      </c>
      <c r="BD11" s="1147">
        <f t="shared" ref="BD11:BF11" si="23">+BD5/BD8</f>
        <v>1.2621378454590344</v>
      </c>
      <c r="BE11" s="2251">
        <f>+BE5/BE8</f>
        <v>1.2857142857142858</v>
      </c>
      <c r="BF11" s="209">
        <f t="shared" si="23"/>
        <v>1.258725432098591</v>
      </c>
    </row>
    <row r="12" spans="1:58" ht="15.75" thickBot="1" x14ac:dyDescent="0.3">
      <c r="A12" s="332" t="s">
        <v>515</v>
      </c>
      <c r="B12" s="2254" t="s">
        <v>170</v>
      </c>
      <c r="C12" s="380" t="s">
        <v>202</v>
      </c>
      <c r="D12" s="2255">
        <v>1.3561643835616439</v>
      </c>
      <c r="E12" s="2256">
        <f t="shared" ref="E12:N12" si="24">+E6/E9</f>
        <v>1.3561643835616439</v>
      </c>
      <c r="F12" s="357">
        <f t="shared" si="24"/>
        <v>1.2436936936936938</v>
      </c>
      <c r="G12" s="2256">
        <f t="shared" ref="G12" si="25">+G6/G9</f>
        <v>1.3561643835616439</v>
      </c>
      <c r="H12" s="309">
        <f t="shared" si="24"/>
        <v>1.2598081952920661</v>
      </c>
      <c r="I12" s="2257">
        <f t="shared" si="24"/>
        <v>1.3561643835616439</v>
      </c>
      <c r="J12" s="383">
        <f t="shared" si="24"/>
        <v>1.2518830305715551</v>
      </c>
      <c r="K12" s="530">
        <f t="shared" si="24"/>
        <v>1.3561643835616439</v>
      </c>
      <c r="L12" s="309">
        <f t="shared" si="24"/>
        <v>1.2855855855855858</v>
      </c>
      <c r="M12" s="2258">
        <f t="shared" si="24"/>
        <v>1.3561643835616439</v>
      </c>
      <c r="N12" s="397">
        <f t="shared" si="24"/>
        <v>1.2629937629937631</v>
      </c>
      <c r="O12" s="530">
        <f t="shared" ref="O12:R12" si="26">+O6/O9</f>
        <v>1.3561643835616439</v>
      </c>
      <c r="P12" s="309">
        <f t="shared" si="26"/>
        <v>1.2558849171752398</v>
      </c>
      <c r="Q12" s="2257">
        <f t="shared" si="26"/>
        <v>1.3561643835616439</v>
      </c>
      <c r="R12" s="383">
        <f t="shared" si="26"/>
        <v>1.2611874169251218</v>
      </c>
      <c r="S12" s="530">
        <f t="shared" ref="S12:V12" si="27">+S6/S9</f>
        <v>1.3561643835616439</v>
      </c>
      <c r="T12" s="309">
        <f t="shared" si="27"/>
        <v>1.3238884045335659</v>
      </c>
      <c r="U12" s="2257">
        <f t="shared" si="27"/>
        <v>1.3561643835616439</v>
      </c>
      <c r="V12" s="383">
        <f t="shared" si="27"/>
        <v>1.273891538597421</v>
      </c>
      <c r="W12" s="530">
        <f t="shared" ref="W12:X12" si="28">+W6/W9</f>
        <v>1.3561643835616439</v>
      </c>
      <c r="X12" s="309">
        <f t="shared" si="28"/>
        <v>1.328459907043906</v>
      </c>
      <c r="Y12" s="2258">
        <f t="shared" ref="Y12:AF12" si="29">+Y6/Y9</f>
        <v>1.3561643835616439</v>
      </c>
      <c r="Z12" s="397">
        <f t="shared" si="29"/>
        <v>1.3024499933863403</v>
      </c>
      <c r="AA12" s="2259">
        <f t="shared" si="29"/>
        <v>1.3561643835616439</v>
      </c>
      <c r="AB12" s="1148">
        <f t="shared" si="29"/>
        <v>1.3020788672740988</v>
      </c>
      <c r="AC12" s="530">
        <f t="shared" si="29"/>
        <v>1.3561643835616439</v>
      </c>
      <c r="AD12" s="309">
        <f t="shared" si="29"/>
        <v>1.33674208381687</v>
      </c>
      <c r="AE12" s="2257">
        <f t="shared" si="29"/>
        <v>1.3561643835616439</v>
      </c>
      <c r="AF12" s="383">
        <f t="shared" si="29"/>
        <v>1.2906310959277938</v>
      </c>
      <c r="AG12" s="530">
        <f t="shared" ref="AG12:AJ12" si="30">+AG6/AG9</f>
        <v>1.3561643835616439</v>
      </c>
      <c r="AH12" s="309">
        <f t="shared" si="30"/>
        <v>1.3358572201189833</v>
      </c>
      <c r="AI12" s="2257">
        <f t="shared" si="30"/>
        <v>1.3561643835616439</v>
      </c>
      <c r="AJ12" s="383">
        <f t="shared" si="30"/>
        <v>1.296190822337365</v>
      </c>
      <c r="AK12" s="530">
        <f t="shared" ref="AK12:AL12" si="31">+AK6/AK9</f>
        <v>1.3561643835616439</v>
      </c>
      <c r="AL12" s="309">
        <f t="shared" si="31"/>
        <v>1.331895177666083</v>
      </c>
      <c r="AM12" s="2258">
        <f t="shared" ref="AM12:AT12" si="32">+AM6/AM9</f>
        <v>1.3561643835616439</v>
      </c>
      <c r="AN12" s="397">
        <f t="shared" si="32"/>
        <v>1.3348213694932003</v>
      </c>
      <c r="AO12" s="2257">
        <f t="shared" si="32"/>
        <v>1.3561643835616439</v>
      </c>
      <c r="AP12" s="383">
        <f t="shared" si="32"/>
        <v>1.3341517648576071</v>
      </c>
      <c r="AQ12" s="530">
        <f t="shared" si="32"/>
        <v>1.3561643835616439</v>
      </c>
      <c r="AR12" s="309">
        <f t="shared" si="32"/>
        <v>1.3357195861888338</v>
      </c>
      <c r="AS12" s="2257">
        <f t="shared" si="32"/>
        <v>1.3561643835616439</v>
      </c>
      <c r="AT12" s="383">
        <f t="shared" si="32"/>
        <v>1.3038054503972833</v>
      </c>
      <c r="AU12" s="530">
        <f t="shared" ref="AU12:AX12" si="33">+AU6/AU9</f>
        <v>1.3561643835616439</v>
      </c>
      <c r="AV12" s="309">
        <f t="shared" si="33"/>
        <v>1.3359073359073359</v>
      </c>
      <c r="AW12" s="2257">
        <f t="shared" si="33"/>
        <v>1.3561643835616439</v>
      </c>
      <c r="AX12" s="383">
        <f t="shared" si="33"/>
        <v>1.3064981614782007</v>
      </c>
      <c r="AY12" s="530">
        <f t="shared" ref="AY12:BF12" si="34">+AY6/AY9</f>
        <v>1.3561643835616439</v>
      </c>
      <c r="AZ12" s="309">
        <f t="shared" si="34"/>
        <v>1.3360941586748039</v>
      </c>
      <c r="BA12" s="2258">
        <f t="shared" si="34"/>
        <v>1.3561643835616439</v>
      </c>
      <c r="BB12" s="397">
        <f t="shared" si="34"/>
        <v>1.3359071039072241</v>
      </c>
      <c r="BC12" s="2259">
        <f t="shared" ref="BC12:BD12" si="35">+BC6/BC9</f>
        <v>1.3561643835616439</v>
      </c>
      <c r="BD12" s="1148">
        <f t="shared" si="35"/>
        <v>1.3353584275599077</v>
      </c>
      <c r="BE12" s="2257">
        <f t="shared" si="34"/>
        <v>1.3561643835616439</v>
      </c>
      <c r="BF12" s="383">
        <f t="shared" si="34"/>
        <v>1.309013106059399</v>
      </c>
    </row>
    <row r="13" spans="1:58" x14ac:dyDescent="0.25">
      <c r="A13" s="332" t="s">
        <v>515</v>
      </c>
      <c r="B13" s="2260" t="s">
        <v>192</v>
      </c>
      <c r="C13" s="2261" t="s">
        <v>53</v>
      </c>
      <c r="D13" s="2262">
        <v>621522</v>
      </c>
      <c r="E13" s="2263">
        <f>(E5)*17.2*E2</f>
        <v>51084</v>
      </c>
      <c r="F13" s="3500">
        <f>(F5)*17.2*F2</f>
        <v>50396</v>
      </c>
      <c r="G13" s="3500">
        <f>(G5)*17.2*G2</f>
        <v>52786.799999999996</v>
      </c>
      <c r="H13" s="717">
        <f>H5*17.2*H2</f>
        <v>52167.6</v>
      </c>
      <c r="I13" s="1877">
        <f>+E13+G13</f>
        <v>103870.79999999999</v>
      </c>
      <c r="J13" s="100">
        <f>+F13+H13</f>
        <v>102563.6</v>
      </c>
      <c r="K13" s="3500">
        <f>(K5)*17.2*K2</f>
        <v>51084</v>
      </c>
      <c r="L13" s="190">
        <f>L5*17.2*L2</f>
        <v>49673.599999999999</v>
      </c>
      <c r="M13" s="1934">
        <f>+I13+K13</f>
        <v>154954.79999999999</v>
      </c>
      <c r="N13" s="168">
        <f>+J13+L13</f>
        <v>152237.20000000001</v>
      </c>
      <c r="O13" s="3500">
        <f>(O5)*17.2*O2</f>
        <v>52786.799999999996</v>
      </c>
      <c r="P13" s="190">
        <f>P5*17.2*P2</f>
        <v>52081.599999999999</v>
      </c>
      <c r="Q13" s="1877">
        <f>+M13+O13</f>
        <v>207741.59999999998</v>
      </c>
      <c r="R13" s="100">
        <f>+N13+P13</f>
        <v>204318.80000000002</v>
      </c>
      <c r="S13" s="3500">
        <f>(S5)*17.2*S2</f>
        <v>52786.799999999996</v>
      </c>
      <c r="T13" s="190">
        <f>T5*17.2*T2</f>
        <v>52769.599999999999</v>
      </c>
      <c r="U13" s="1877">
        <f>+Q13+S13</f>
        <v>260528.39999999997</v>
      </c>
      <c r="V13" s="100">
        <f>+R13+T13</f>
        <v>257088.40000000002</v>
      </c>
      <c r="W13" s="3500">
        <f>(W5)*17.2*W2</f>
        <v>51084</v>
      </c>
      <c r="X13" s="190">
        <f>X5*17.2*X2</f>
        <v>50189.599999999999</v>
      </c>
      <c r="Y13" s="1166">
        <f>+O13+S13+W13</f>
        <v>156657.59999999998</v>
      </c>
      <c r="Z13" s="1166">
        <f>+P13+T13+X13</f>
        <v>155040.79999999999</v>
      </c>
      <c r="AA13" s="2264">
        <f>+U13+W13</f>
        <v>311612.39999999997</v>
      </c>
      <c r="AB13" s="1124">
        <f>+V13+X13</f>
        <v>307278</v>
      </c>
      <c r="AC13" s="3500">
        <f>(AC5)*17.2*AC2</f>
        <v>52786.799999999996</v>
      </c>
      <c r="AD13" s="190">
        <f>AD5*17.2*AD2</f>
        <v>50757.2</v>
      </c>
      <c r="AE13" s="1877">
        <f>+AA13+AC13</f>
        <v>364399.19999999995</v>
      </c>
      <c r="AF13" s="100">
        <f>+AB13+AD13</f>
        <v>358035.20000000001</v>
      </c>
      <c r="AG13" s="3500">
        <f>(AG5)*17.2*AG2</f>
        <v>51084</v>
      </c>
      <c r="AH13" s="190">
        <f>AH5*17.2*AH2</f>
        <v>50843.199999999997</v>
      </c>
      <c r="AI13" s="1877">
        <f>+AE13+AG13</f>
        <v>415483.19999999995</v>
      </c>
      <c r="AJ13" s="100">
        <f>+AF13+AH13</f>
        <v>408878.4</v>
      </c>
      <c r="AK13" s="3500">
        <f>(AK5)*17.2*AK2</f>
        <v>52786.799999999996</v>
      </c>
      <c r="AL13" s="190">
        <f>AL5*17.2*AL2</f>
        <v>52838.399999999994</v>
      </c>
      <c r="AM13" s="1166">
        <f>+AC13+AG13+AK13</f>
        <v>156657.59999999998</v>
      </c>
      <c r="AN13" s="1166">
        <f>+AD13+AH13+AL13</f>
        <v>154438.79999999999</v>
      </c>
      <c r="AO13" s="1877">
        <f>+AI13+AK13</f>
        <v>468269.99999999994</v>
      </c>
      <c r="AP13" s="100">
        <f>+AJ13+AL13</f>
        <v>461716.80000000005</v>
      </c>
      <c r="AQ13" s="3500">
        <f>(AQ5)*17.2*AQ2</f>
        <v>52786.799999999996</v>
      </c>
      <c r="AR13" s="190">
        <f>AR5*17.2*AR2</f>
        <v>52786.799999999996</v>
      </c>
      <c r="AS13" s="1877">
        <f>+AO13+AQ13</f>
        <v>521056.79999999993</v>
      </c>
      <c r="AT13" s="100">
        <f>+AP13+AR13</f>
        <v>514503.60000000003</v>
      </c>
      <c r="AU13" s="3500">
        <f>(AU5)*17.2*AU2</f>
        <v>47678.400000000001</v>
      </c>
      <c r="AV13" s="190">
        <f>AV5*17.2*AV2</f>
        <v>47626.799999999996</v>
      </c>
      <c r="AW13" s="1877">
        <f>+AS13+AU13</f>
        <v>568735.19999999995</v>
      </c>
      <c r="AX13" s="100">
        <f>+AT13+AV13</f>
        <v>562130.4</v>
      </c>
      <c r="AY13" s="3500">
        <f>(AY5)*17.2*AY2</f>
        <v>52786.799999999996</v>
      </c>
      <c r="AZ13" s="190">
        <f>AZ5*17.2*AZ2</f>
        <v>52012.799999999996</v>
      </c>
      <c r="BA13" s="1166">
        <f>+AQ13+AU13+AY13</f>
        <v>153252</v>
      </c>
      <c r="BB13" s="1166">
        <f>+AR13+AV13+AZ13</f>
        <v>152426.4</v>
      </c>
      <c r="BC13" s="2264">
        <f>+AM13+BA13</f>
        <v>309909.59999999998</v>
      </c>
      <c r="BD13" s="1124">
        <f>+AN13+BB13</f>
        <v>306865.19999999995</v>
      </c>
      <c r="BE13" s="1877">
        <f>+AW13+AY13</f>
        <v>621522</v>
      </c>
      <c r="BF13" s="100">
        <f>+AX13+AZ13</f>
        <v>614143.20000000007</v>
      </c>
    </row>
    <row r="14" spans="1:58" ht="15.75" thickBot="1" x14ac:dyDescent="0.3">
      <c r="A14" s="332" t="s">
        <v>515</v>
      </c>
      <c r="B14" s="2242" t="s">
        <v>193</v>
      </c>
      <c r="C14" s="2243" t="s">
        <v>53</v>
      </c>
      <c r="D14" s="2244">
        <v>1140059.25</v>
      </c>
      <c r="E14" s="464">
        <f>+E6*31.55*E2</f>
        <v>93703.500000000015</v>
      </c>
      <c r="F14" s="464">
        <f>+F6*31.55*F2</f>
        <v>87109.55</v>
      </c>
      <c r="G14" s="464">
        <f>+G6*31.55*G2</f>
        <v>96826.950000000012</v>
      </c>
      <c r="H14" s="93">
        <f>+H6*31.55*H2</f>
        <v>91179.499999999985</v>
      </c>
      <c r="I14" s="2265">
        <f>+E14+G14</f>
        <v>190530.45</v>
      </c>
      <c r="J14" s="144">
        <f>+F14+H14</f>
        <v>178289.05</v>
      </c>
      <c r="K14" s="464">
        <f>+K6*31.55*K2</f>
        <v>93703.500000000015</v>
      </c>
      <c r="L14" s="93">
        <f>+L6*31.55*L2</f>
        <v>90043.700000000012</v>
      </c>
      <c r="M14" s="2266">
        <f>+I14+K14</f>
        <v>284233.95</v>
      </c>
      <c r="N14" s="184">
        <f>+J14+L14</f>
        <v>268332.75</v>
      </c>
      <c r="O14" s="464">
        <f>+O6*31.55*O2</f>
        <v>96826.950000000012</v>
      </c>
      <c r="P14" s="93">
        <f>+P6*31.55*P2</f>
        <v>90895.55</v>
      </c>
      <c r="Q14" s="2265">
        <f>+M14+O14</f>
        <v>381060.9</v>
      </c>
      <c r="R14" s="144">
        <f>+N14+P14</f>
        <v>359228.3</v>
      </c>
      <c r="S14" s="464">
        <f>+S6*31.55*S2</f>
        <v>96826.950000000012</v>
      </c>
      <c r="T14" s="93">
        <f>+T6*31.55*T2</f>
        <v>95817.349999999991</v>
      </c>
      <c r="U14" s="2265">
        <f>+Q14+S14</f>
        <v>477887.85000000003</v>
      </c>
      <c r="V14" s="144">
        <f>+R14+T14</f>
        <v>455045.64999999997</v>
      </c>
      <c r="W14" s="464">
        <f>+W6*31.55*W2</f>
        <v>93703.500000000015</v>
      </c>
      <c r="X14" s="93">
        <f>+X6*31.55*X2</f>
        <v>92883.200000000012</v>
      </c>
      <c r="Y14" s="1167">
        <f>+O14+S14+W14</f>
        <v>287357.40000000002</v>
      </c>
      <c r="Z14" s="1167">
        <f>+P14+T14+X14</f>
        <v>279596.09999999998</v>
      </c>
      <c r="AA14" s="2267">
        <f>+U14+W14</f>
        <v>571591.35000000009</v>
      </c>
      <c r="AB14" s="1149">
        <f>+V14+X14</f>
        <v>547928.85</v>
      </c>
      <c r="AC14" s="464">
        <f>+AC6*31.55*AC2</f>
        <v>96826.950000000012</v>
      </c>
      <c r="AD14" s="93">
        <f>+AD6*31.55*AD2</f>
        <v>96669.2</v>
      </c>
      <c r="AE14" s="2265">
        <f>+AA14+AC14</f>
        <v>668418.30000000005</v>
      </c>
      <c r="AF14" s="144">
        <f>+AB14+AD14</f>
        <v>644598.04999999993</v>
      </c>
      <c r="AG14" s="464">
        <f>+AG6*31.55*AG2</f>
        <v>93703.500000000015</v>
      </c>
      <c r="AH14" s="93">
        <f>+AH6*31.55*AH2</f>
        <v>93514.2</v>
      </c>
      <c r="AI14" s="2265">
        <f>+AE14+AG14</f>
        <v>762121.8</v>
      </c>
      <c r="AJ14" s="144">
        <f>+AF14+AH14</f>
        <v>738112.24999999988</v>
      </c>
      <c r="AK14" s="464">
        <f>+AK6*31.55*AK2</f>
        <v>96826.950000000012</v>
      </c>
      <c r="AL14" s="93">
        <f>+AL6*31.55*AL2</f>
        <v>96227.500000000015</v>
      </c>
      <c r="AM14" s="1167">
        <f>+AC14+AG14+AK14</f>
        <v>287357.40000000002</v>
      </c>
      <c r="AN14" s="1167">
        <f>+AD14+AH14+AL14</f>
        <v>286410.90000000002</v>
      </c>
      <c r="AO14" s="2265">
        <f>+AI14+AK14</f>
        <v>858948.75</v>
      </c>
      <c r="AP14" s="144">
        <f>+AJ14+AL14</f>
        <v>834339.74999999988</v>
      </c>
      <c r="AQ14" s="464">
        <f>+AQ6*31.55*AQ2</f>
        <v>96826.950000000012</v>
      </c>
      <c r="AR14" s="93">
        <f>+AR6*31.55*AR2</f>
        <v>96542.999999999985</v>
      </c>
      <c r="AS14" s="2265">
        <f>+AO14+AQ14</f>
        <v>955775.7</v>
      </c>
      <c r="AT14" s="144">
        <f>+AP14+AR14</f>
        <v>930882.74999999988</v>
      </c>
      <c r="AU14" s="464">
        <f>+AU6*31.55*AU2</f>
        <v>87456.6</v>
      </c>
      <c r="AV14" s="93">
        <f>+AV6*31.55*AV2</f>
        <v>87330.400000000009</v>
      </c>
      <c r="AW14" s="2265">
        <f>+AS14+AU14</f>
        <v>1043232.2999999999</v>
      </c>
      <c r="AX14" s="144">
        <f>+AT14+AV14</f>
        <v>1018213.1499999999</v>
      </c>
      <c r="AY14" s="464">
        <f>+AY6*31.55*AY2</f>
        <v>96826.950000000012</v>
      </c>
      <c r="AZ14" s="93">
        <f>+AZ6*31.55*AZ2</f>
        <v>96700.750000000015</v>
      </c>
      <c r="BA14" s="1167">
        <f>+AQ14+AU14+AY14</f>
        <v>281110.5</v>
      </c>
      <c r="BB14" s="1167">
        <f>+AR14+AV14+AZ14</f>
        <v>280574.15000000002</v>
      </c>
      <c r="BC14" s="2267">
        <f>+AM14+BA14</f>
        <v>568467.9</v>
      </c>
      <c r="BD14" s="1149">
        <f>+AN14+BB14</f>
        <v>566985.05000000005</v>
      </c>
      <c r="BE14" s="2265">
        <f>+AW14+AY14</f>
        <v>1140059.25</v>
      </c>
      <c r="BF14" s="144">
        <f>+AX14+AZ14</f>
        <v>1114913.8999999999</v>
      </c>
    </row>
    <row r="15" spans="1:58" ht="15.75" thickBot="1" x14ac:dyDescent="0.3">
      <c r="A15" s="332" t="s">
        <v>515</v>
      </c>
      <c r="B15" s="2232" t="s">
        <v>194</v>
      </c>
      <c r="C15" s="2233" t="s">
        <v>53</v>
      </c>
      <c r="D15" s="2234">
        <v>1761581.25</v>
      </c>
      <c r="E15" s="465">
        <f t="shared" ref="E15:J15" si="36">SUM(E13:E14)</f>
        <v>144787.5</v>
      </c>
      <c r="F15" s="465">
        <f t="shared" ref="F15" si="37">SUM(F13:F14)</f>
        <v>137505.54999999999</v>
      </c>
      <c r="G15" s="465">
        <f t="shared" ref="G15" si="38">SUM(G13:G14)</f>
        <v>149613.75</v>
      </c>
      <c r="H15" s="324">
        <f t="shared" si="36"/>
        <v>143347.09999999998</v>
      </c>
      <c r="I15" s="2235">
        <f t="shared" si="36"/>
        <v>294401.25</v>
      </c>
      <c r="J15" s="3512">
        <f t="shared" si="36"/>
        <v>280852.65000000002</v>
      </c>
      <c r="K15" s="2268">
        <f t="shared" ref="K15:N15" si="39">SUM(K13:K14)</f>
        <v>144787.5</v>
      </c>
      <c r="L15" s="324">
        <f t="shared" si="39"/>
        <v>139717.30000000002</v>
      </c>
      <c r="M15" s="2238">
        <f t="shared" si="39"/>
        <v>439188.75</v>
      </c>
      <c r="N15" s="398">
        <f t="shared" si="39"/>
        <v>420569.95</v>
      </c>
      <c r="O15" s="2268">
        <f t="shared" ref="O15:P15" si="40">SUM(O13:O14)</f>
        <v>149613.75</v>
      </c>
      <c r="P15" s="324">
        <f t="shared" si="40"/>
        <v>142977.15</v>
      </c>
      <c r="Q15" s="2235">
        <f t="shared" ref="Q15:T15" si="41">SUM(Q13:Q14)</f>
        <v>588802.5</v>
      </c>
      <c r="R15" s="3512">
        <f t="shared" si="41"/>
        <v>563547.1</v>
      </c>
      <c r="S15" s="2268">
        <f t="shared" si="41"/>
        <v>149613.75</v>
      </c>
      <c r="T15" s="324">
        <f t="shared" si="41"/>
        <v>148586.94999999998</v>
      </c>
      <c r="U15" s="2235">
        <f t="shared" ref="U15:X15" si="42">SUM(U13:U14)</f>
        <v>738416.25</v>
      </c>
      <c r="V15" s="3512">
        <f t="shared" si="42"/>
        <v>712134.05</v>
      </c>
      <c r="W15" s="2268">
        <f t="shared" si="42"/>
        <v>144787.5</v>
      </c>
      <c r="X15" s="324">
        <f t="shared" si="42"/>
        <v>143072.80000000002</v>
      </c>
      <c r="Y15" s="2269">
        <f t="shared" ref="Y15:Z15" si="43">SUM(Y13:Y14)</f>
        <v>444015</v>
      </c>
      <c r="Z15" s="1165">
        <f t="shared" si="43"/>
        <v>434636.89999999997</v>
      </c>
      <c r="AA15" s="2239">
        <f t="shared" ref="AA15:AN15" si="44">SUM(AA13:AA14)</f>
        <v>883203.75</v>
      </c>
      <c r="AB15" s="1145">
        <f t="shared" si="44"/>
        <v>855206.85</v>
      </c>
      <c r="AC15" s="2268">
        <f t="shared" si="44"/>
        <v>149613.75</v>
      </c>
      <c r="AD15" s="324">
        <f t="shared" si="44"/>
        <v>147426.4</v>
      </c>
      <c r="AE15" s="2235">
        <f t="shared" si="44"/>
        <v>1032817.5</v>
      </c>
      <c r="AF15" s="3512">
        <f t="shared" si="44"/>
        <v>1002633.25</v>
      </c>
      <c r="AG15" s="2268">
        <f t="shared" ref="AG15:AJ15" si="45">SUM(AG13:AG14)</f>
        <v>144787.5</v>
      </c>
      <c r="AH15" s="324">
        <f t="shared" si="45"/>
        <v>144357.4</v>
      </c>
      <c r="AI15" s="2235">
        <f t="shared" si="45"/>
        <v>1177605</v>
      </c>
      <c r="AJ15" s="3512">
        <f t="shared" si="45"/>
        <v>1146990.6499999999</v>
      </c>
      <c r="AK15" s="2268">
        <f t="shared" ref="AK15:AL15" si="46">SUM(AK13:AK14)</f>
        <v>149613.75</v>
      </c>
      <c r="AL15" s="324">
        <f t="shared" si="46"/>
        <v>149065.90000000002</v>
      </c>
      <c r="AM15" s="2269">
        <f t="shared" si="44"/>
        <v>444015</v>
      </c>
      <c r="AN15" s="1165">
        <f t="shared" si="44"/>
        <v>440849.7</v>
      </c>
      <c r="AO15" s="2235">
        <f t="shared" ref="AO15:AT15" si="47">SUM(AO13:AO14)</f>
        <v>1327218.75</v>
      </c>
      <c r="AP15" s="3512">
        <f t="shared" si="47"/>
        <v>1296056.5499999998</v>
      </c>
      <c r="AQ15" s="2268">
        <f t="shared" si="47"/>
        <v>149613.75</v>
      </c>
      <c r="AR15" s="324">
        <f t="shared" si="47"/>
        <v>149329.79999999999</v>
      </c>
      <c r="AS15" s="2235">
        <f t="shared" si="47"/>
        <v>1476832.5</v>
      </c>
      <c r="AT15" s="3512">
        <f t="shared" si="47"/>
        <v>1445386.3499999999</v>
      </c>
      <c r="AU15" s="2268">
        <f t="shared" ref="AU15:AX15" si="48">SUM(AU13:AU14)</f>
        <v>135135</v>
      </c>
      <c r="AV15" s="324">
        <f t="shared" si="48"/>
        <v>134957.20000000001</v>
      </c>
      <c r="AW15" s="2235">
        <f t="shared" si="48"/>
        <v>1611967.5</v>
      </c>
      <c r="AX15" s="3512">
        <f t="shared" si="48"/>
        <v>1580343.5499999998</v>
      </c>
      <c r="AY15" s="2268">
        <f t="shared" ref="AY15:BF15" si="49">SUM(AY13:AY14)</f>
        <v>149613.75</v>
      </c>
      <c r="AZ15" s="324">
        <f t="shared" si="49"/>
        <v>148713.55000000002</v>
      </c>
      <c r="BA15" s="2269">
        <f t="shared" si="49"/>
        <v>434362.5</v>
      </c>
      <c r="BB15" s="1165">
        <f t="shared" si="49"/>
        <v>433000.55000000005</v>
      </c>
      <c r="BC15" s="2239">
        <f t="shared" ref="BC15:BD15" si="50">SUM(BC13:BC14)</f>
        <v>878377.5</v>
      </c>
      <c r="BD15" s="1145">
        <f t="shared" si="50"/>
        <v>873850.25</v>
      </c>
      <c r="BE15" s="2235">
        <f t="shared" si="49"/>
        <v>1761581.25</v>
      </c>
      <c r="BF15" s="3512">
        <f t="shared" si="49"/>
        <v>1729057.1</v>
      </c>
    </row>
    <row r="16" spans="1:58" s="334" customFormat="1" ht="16.5" thickBot="1" x14ac:dyDescent="0.3">
      <c r="A16" s="333" t="s">
        <v>515</v>
      </c>
      <c r="B16" s="2270" t="s">
        <v>550</v>
      </c>
      <c r="C16" s="2271"/>
      <c r="D16" s="2271"/>
      <c r="E16" s="1182"/>
      <c r="F16" s="1180"/>
      <c r="G16" s="1182"/>
      <c r="H16" s="1182"/>
      <c r="I16" s="1641"/>
      <c r="J16" s="1641"/>
      <c r="K16" s="1641"/>
      <c r="L16" s="1641"/>
      <c r="M16" s="1641"/>
      <c r="N16" s="1641"/>
      <c r="O16" s="1641"/>
      <c r="P16" s="1641"/>
      <c r="Q16" s="1641"/>
      <c r="R16" s="1641"/>
      <c r="S16" s="1641"/>
      <c r="T16" s="1641"/>
      <c r="U16" s="1641"/>
      <c r="V16" s="1641"/>
      <c r="W16" s="1641"/>
      <c r="X16" s="1641"/>
      <c r="Y16" s="1181"/>
      <c r="Z16" s="1181"/>
      <c r="AA16" s="1181"/>
      <c r="AB16" s="1181"/>
      <c r="AC16" s="1641"/>
      <c r="AD16" s="1641"/>
      <c r="AE16" s="1641"/>
      <c r="AF16" s="1641"/>
      <c r="AG16" s="1641"/>
      <c r="AH16" s="1641"/>
      <c r="AI16" s="1641"/>
      <c r="AJ16" s="1641"/>
      <c r="AK16" s="1641"/>
      <c r="AL16" s="1641"/>
      <c r="AM16" s="1181"/>
      <c r="AN16" s="1181"/>
      <c r="AO16" s="1181"/>
      <c r="AP16" s="1181"/>
      <c r="AQ16" s="1641"/>
      <c r="AR16" s="1641"/>
      <c r="AS16" s="1641"/>
      <c r="AT16" s="1641"/>
      <c r="AU16" s="1641"/>
      <c r="AV16" s="1641"/>
      <c r="AW16" s="1641"/>
      <c r="AX16" s="1641"/>
      <c r="AY16" s="1641"/>
      <c r="AZ16" s="1641"/>
      <c r="BA16" s="1181"/>
      <c r="BB16" s="1181"/>
      <c r="BC16" s="1181"/>
      <c r="BD16" s="1181"/>
      <c r="BE16" s="1641"/>
      <c r="BF16" s="1641"/>
    </row>
    <row r="17" spans="1:60" x14ac:dyDescent="0.25">
      <c r="A17" s="332" t="s">
        <v>515</v>
      </c>
      <c r="B17" s="2260" t="s">
        <v>172</v>
      </c>
      <c r="C17" s="2261" t="s">
        <v>53</v>
      </c>
      <c r="D17" s="2262">
        <v>438173.01</v>
      </c>
      <c r="E17" s="3500">
        <f>+E13*E33/100</f>
        <v>36014.22</v>
      </c>
      <c r="F17" s="190">
        <f>+'Maj Production Summ'!F13</f>
        <v>36261</v>
      </c>
      <c r="G17" s="363">
        <f>+G13*G33/100</f>
        <v>37214.693999999996</v>
      </c>
      <c r="H17" s="190">
        <f>+'Maj Production Summ'!H13</f>
        <v>37251</v>
      </c>
      <c r="I17" s="1877">
        <f>+E17+G17</f>
        <v>73228.91399999999</v>
      </c>
      <c r="J17" s="100">
        <f>+F17+H17</f>
        <v>73512</v>
      </c>
      <c r="K17" s="3500">
        <f>+K13*K33/100</f>
        <v>36014.22</v>
      </c>
      <c r="L17" s="190">
        <f>+'Maj Production Summ'!L13</f>
        <v>35020</v>
      </c>
      <c r="M17" s="1934">
        <f>+I17+K17</f>
        <v>109243.13399999999</v>
      </c>
      <c r="N17" s="168">
        <f>+J17+L17</f>
        <v>108532</v>
      </c>
      <c r="O17" s="3500">
        <f>+O13*O33/100</f>
        <v>37214.693999999996</v>
      </c>
      <c r="P17" s="190">
        <f>+'Maj Production Summ'!P13</f>
        <v>36719</v>
      </c>
      <c r="Q17" s="1877">
        <f>+M17+O17</f>
        <v>146457.82799999998</v>
      </c>
      <c r="R17" s="100">
        <f>+N17+P17</f>
        <v>145251</v>
      </c>
      <c r="S17" s="3500">
        <f>+S13*S33/100</f>
        <v>37214.693999999996</v>
      </c>
      <c r="T17" s="190">
        <f>+'Maj Production Summ'!T13</f>
        <v>36826</v>
      </c>
      <c r="U17" s="1877">
        <f>+Q17+S17</f>
        <v>183672.52199999997</v>
      </c>
      <c r="V17" s="100">
        <f>+R17+T17</f>
        <v>182077</v>
      </c>
      <c r="W17" s="3500">
        <f>+W13*W33/100</f>
        <v>36014.22</v>
      </c>
      <c r="X17" s="190">
        <f>+'Maj Production Summ'!X13</f>
        <v>34880</v>
      </c>
      <c r="Y17" s="2266">
        <f>+O17+S17+W17</f>
        <v>110443.60799999999</v>
      </c>
      <c r="Z17" s="184">
        <f>+P17+T17+X17</f>
        <v>108425</v>
      </c>
      <c r="AA17" s="2272">
        <f>+U17+W17</f>
        <v>219686.74199999997</v>
      </c>
      <c r="AB17" s="1149">
        <f>+V17+X17</f>
        <v>216957</v>
      </c>
      <c r="AC17" s="3500">
        <f>+AC13*AC33/100</f>
        <v>37214.693999999996</v>
      </c>
      <c r="AD17" s="190">
        <f>+'Maj Production Summ'!AD13</f>
        <v>34994</v>
      </c>
      <c r="AE17" s="1877">
        <f>+AA17+AC17</f>
        <v>256901.43599999996</v>
      </c>
      <c r="AF17" s="100">
        <f>+AB17+AD17</f>
        <v>251951</v>
      </c>
      <c r="AG17" s="3500">
        <f>+AG13*AG33/100</f>
        <v>36014.22</v>
      </c>
      <c r="AH17" s="190">
        <f>+'Maj Production Summ'!AH13</f>
        <v>35102</v>
      </c>
      <c r="AI17" s="1877">
        <f>+AE17+AG17</f>
        <v>292915.65599999996</v>
      </c>
      <c r="AJ17" s="100">
        <f>+AF17+AH17</f>
        <v>287053</v>
      </c>
      <c r="AK17" s="3500">
        <f>+AK13*AK33/100</f>
        <v>37214.693999999996</v>
      </c>
      <c r="AL17" s="190">
        <f>+'Maj Production Summ'!AL13</f>
        <v>36508</v>
      </c>
      <c r="AM17" s="2266">
        <f>+AC17+AG17+AK17</f>
        <v>110443.60799999998</v>
      </c>
      <c r="AN17" s="184">
        <f>+AD17+AH17+AL17</f>
        <v>106604</v>
      </c>
      <c r="AO17" s="2265">
        <f>+AI17+AK17</f>
        <v>330130.34999999998</v>
      </c>
      <c r="AP17" s="144">
        <f>+AJ17+AL17</f>
        <v>323561</v>
      </c>
      <c r="AQ17" s="3500">
        <f>+AQ13*AQ33/100</f>
        <v>37214.693999999996</v>
      </c>
      <c r="AR17" s="190">
        <f>+'Maj Production Summ'!AR13</f>
        <v>36437</v>
      </c>
      <c r="AS17" s="1877">
        <f>+AO17+AQ17</f>
        <v>367345.04399999999</v>
      </c>
      <c r="AT17" s="100">
        <f>+AP17+AR17</f>
        <v>359998</v>
      </c>
      <c r="AU17" s="3500">
        <f>+AU13*AU33/100</f>
        <v>33613.272000000004</v>
      </c>
      <c r="AV17" s="190">
        <f>+'Maj Production Summ'!AV13</f>
        <v>32896</v>
      </c>
      <c r="AW17" s="1877">
        <f>+AS17+AU17</f>
        <v>400958.31599999999</v>
      </c>
      <c r="AX17" s="100">
        <f>+AT17+AV17</f>
        <v>392894</v>
      </c>
      <c r="AY17" s="3500">
        <f>+AY13*AY33/100</f>
        <v>37214.693999999996</v>
      </c>
      <c r="AZ17" s="190">
        <f>+'Maj Production Summ'!AZ13</f>
        <v>35912</v>
      </c>
      <c r="BA17" s="2266">
        <f>+AQ17+AU17+AY17</f>
        <v>108042.66</v>
      </c>
      <c r="BB17" s="184">
        <f>+AR17+AV17+AZ17</f>
        <v>105245</v>
      </c>
      <c r="BC17" s="2272">
        <f>+AM17+BA17</f>
        <v>218486.26799999998</v>
      </c>
      <c r="BD17" s="1149">
        <f>+AN17+BB17</f>
        <v>211849</v>
      </c>
      <c r="BE17" s="1877">
        <f>+AW17+AY17</f>
        <v>438173.01</v>
      </c>
      <c r="BF17" s="100">
        <f>+AX17+AZ17</f>
        <v>428806</v>
      </c>
    </row>
    <row r="18" spans="1:60" ht="15.75" thickBot="1" x14ac:dyDescent="0.3">
      <c r="A18" s="332" t="s">
        <v>515</v>
      </c>
      <c r="B18" s="2242" t="s">
        <v>173</v>
      </c>
      <c r="C18" s="2243" t="s">
        <v>53</v>
      </c>
      <c r="D18" s="2273">
        <v>803741.77124999987</v>
      </c>
      <c r="E18" s="3544">
        <f>+E14*E33/100</f>
        <v>66060.967500000013</v>
      </c>
      <c r="F18" s="93">
        <f>+'Maj Production Summ'!F14</f>
        <v>62677</v>
      </c>
      <c r="G18" s="2274">
        <f>+G14*G33/100</f>
        <v>68262.999750000003</v>
      </c>
      <c r="H18" s="93">
        <f>+'Maj Production Summ'!H14</f>
        <v>65108</v>
      </c>
      <c r="I18" s="2275">
        <f>+E18+G18</f>
        <v>134323.96725000002</v>
      </c>
      <c r="J18" s="101">
        <f>+F18+H18</f>
        <v>127785</v>
      </c>
      <c r="K18" s="3544">
        <f>+K14*K33/100</f>
        <v>66060.967500000013</v>
      </c>
      <c r="L18" s="93">
        <f>+'Maj Production Summ'!L14</f>
        <v>63481</v>
      </c>
      <c r="M18" s="2276">
        <f>+I18+K18</f>
        <v>200384.93475000001</v>
      </c>
      <c r="N18" s="169">
        <f>+J18+L18</f>
        <v>191266</v>
      </c>
      <c r="O18" s="3544">
        <f>+O14*O33/100</f>
        <v>68262.999750000003</v>
      </c>
      <c r="P18" s="1642">
        <f>+'Maj Production Summ'!P14</f>
        <v>64084</v>
      </c>
      <c r="Q18" s="2275">
        <f>+M18+O18</f>
        <v>268647.93450000003</v>
      </c>
      <c r="R18" s="101">
        <f>+N18+P18</f>
        <v>255350</v>
      </c>
      <c r="S18" s="3544">
        <f>+S14*S33/100</f>
        <v>68262.999750000003</v>
      </c>
      <c r="T18" s="1642">
        <f>+'Maj Production Summ'!T14</f>
        <v>66868</v>
      </c>
      <c r="U18" s="2275">
        <f>+Q18+S18</f>
        <v>336910.93425000005</v>
      </c>
      <c r="V18" s="101">
        <f>+R18+T18</f>
        <v>322218</v>
      </c>
      <c r="W18" s="3544">
        <f>+W14*W33/100</f>
        <v>66060.967500000013</v>
      </c>
      <c r="X18" s="1642">
        <f>+'Maj Production Summ'!X14</f>
        <v>64551</v>
      </c>
      <c r="Y18" s="2266">
        <f>+O18+S18+W18</f>
        <v>202586.967</v>
      </c>
      <c r="Z18" s="184">
        <f>+P18+T18+X18</f>
        <v>195503</v>
      </c>
      <c r="AA18" s="2277">
        <f>+U18+W18</f>
        <v>402971.90175000008</v>
      </c>
      <c r="AB18" s="1150">
        <f>+V18+X18</f>
        <v>386769</v>
      </c>
      <c r="AC18" s="3544">
        <f>+AC14*AC33/100</f>
        <v>68262.999750000003</v>
      </c>
      <c r="AD18" s="1642">
        <f>+'Maj Production Summ'!AD14</f>
        <v>66648</v>
      </c>
      <c r="AE18" s="2275">
        <f>+AA18+AC18</f>
        <v>471234.90150000009</v>
      </c>
      <c r="AF18" s="101">
        <f>+AB18+AD18</f>
        <v>453417</v>
      </c>
      <c r="AG18" s="3544">
        <f>+AG14*AG33/100</f>
        <v>66060.967500000013</v>
      </c>
      <c r="AH18" s="1642">
        <f>+'Maj Production Summ'!AH14</f>
        <v>64562</v>
      </c>
      <c r="AI18" s="2275">
        <f>+AE18+AG18</f>
        <v>537295.86900000006</v>
      </c>
      <c r="AJ18" s="101">
        <f>+AF18+AH18</f>
        <v>517979</v>
      </c>
      <c r="AK18" s="3544">
        <f>+AK14*AK33/100</f>
        <v>68262.999750000003</v>
      </c>
      <c r="AL18" s="1642">
        <f>+'Maj Production Summ'!AL14</f>
        <v>66487</v>
      </c>
      <c r="AM18" s="2266">
        <f>+AC18+AG18+AK18</f>
        <v>202586.967</v>
      </c>
      <c r="AN18" s="184">
        <f>+AD18+AH18+AL18</f>
        <v>197697</v>
      </c>
      <c r="AO18" s="2279">
        <f>+AI18+AK18</f>
        <v>605558.86875000002</v>
      </c>
      <c r="AP18" s="385">
        <f>+AJ18+AL18</f>
        <v>584466</v>
      </c>
      <c r="AQ18" s="3886">
        <f>+AQ14*AQ33/100</f>
        <v>68262.999750000003</v>
      </c>
      <c r="AR18" s="1642">
        <f>+'Maj Production Summ'!AR14</f>
        <v>66640</v>
      </c>
      <c r="AS18" s="2275">
        <f>+AO18+AQ18</f>
        <v>673821.86849999998</v>
      </c>
      <c r="AT18" s="101">
        <f>+AP18+AR18</f>
        <v>651106</v>
      </c>
      <c r="AU18" s="4009">
        <f>+AU14*AU33/100</f>
        <v>61656.903000000006</v>
      </c>
      <c r="AV18" s="1642">
        <f>+'Maj Production Summ'!AV14</f>
        <v>60320</v>
      </c>
      <c r="AW18" s="2275">
        <f>+AS18+AU18</f>
        <v>735478.77150000003</v>
      </c>
      <c r="AX18" s="101">
        <f>+AT18+AV18</f>
        <v>711426</v>
      </c>
      <c r="AY18" s="4259">
        <f>+AY14*AY33/100</f>
        <v>68262.999750000003</v>
      </c>
      <c r="AZ18" s="1642">
        <f>+'Maj Production Summ'!AZ14</f>
        <v>66766</v>
      </c>
      <c r="BA18" s="2266">
        <f>+AQ18+AU18+AY18</f>
        <v>198182.90250000003</v>
      </c>
      <c r="BB18" s="184">
        <f>+AR18+AV18+AZ18</f>
        <v>193726</v>
      </c>
      <c r="BC18" s="2277">
        <f>+AM18+BA18</f>
        <v>400769.86950000003</v>
      </c>
      <c r="BD18" s="1150">
        <f>+AN18+BB18</f>
        <v>391423</v>
      </c>
      <c r="BE18" s="2275">
        <f>+AW18+AY18</f>
        <v>803741.77124999999</v>
      </c>
      <c r="BF18" s="101">
        <f>+AX18+AZ18</f>
        <v>778192</v>
      </c>
    </row>
    <row r="19" spans="1:60" ht="15.75" thickBot="1" x14ac:dyDescent="0.3">
      <c r="A19" s="332" t="s">
        <v>515</v>
      </c>
      <c r="B19" s="2232" t="s">
        <v>81</v>
      </c>
      <c r="C19" s="2233" t="s">
        <v>53</v>
      </c>
      <c r="D19" s="2234">
        <v>1241914.78125</v>
      </c>
      <c r="E19" s="2268">
        <f t="shared" ref="E19" si="51">SUM(E17:E18)</f>
        <v>102075.18750000001</v>
      </c>
      <c r="F19" s="324">
        <f t="shared" ref="F19:J19" si="52">SUM(F17:F18)</f>
        <v>98938</v>
      </c>
      <c r="G19" s="2268">
        <f t="shared" ref="G19" si="53">SUM(G17:G18)</f>
        <v>105477.69375000001</v>
      </c>
      <c r="H19" s="324">
        <f t="shared" si="52"/>
        <v>102359</v>
      </c>
      <c r="I19" s="2235">
        <f t="shared" si="52"/>
        <v>207552.88125000001</v>
      </c>
      <c r="J19" s="3512">
        <f t="shared" si="52"/>
        <v>201297</v>
      </c>
      <c r="K19" s="2268">
        <f t="shared" ref="K19" si="54">SUM(K17:K18)</f>
        <v>102075.18750000001</v>
      </c>
      <c r="L19" s="324">
        <f t="shared" ref="L19:O19" si="55">SUM(L17:L18)</f>
        <v>98501</v>
      </c>
      <c r="M19" s="2238">
        <f t="shared" si="55"/>
        <v>309628.06874999998</v>
      </c>
      <c r="N19" s="398">
        <f t="shared" si="55"/>
        <v>299798</v>
      </c>
      <c r="O19" s="2268">
        <f t="shared" si="55"/>
        <v>105477.69375000001</v>
      </c>
      <c r="P19" s="324">
        <f t="shared" ref="P19" si="56">SUM(P17:P18)</f>
        <v>100803</v>
      </c>
      <c r="Q19" s="2235">
        <f t="shared" ref="Q19:T19" si="57">SUM(Q17:Q18)</f>
        <v>415105.76250000001</v>
      </c>
      <c r="R19" s="3512">
        <f t="shared" si="57"/>
        <v>400601</v>
      </c>
      <c r="S19" s="2268">
        <f t="shared" si="57"/>
        <v>105477.69375000001</v>
      </c>
      <c r="T19" s="324">
        <f t="shared" si="57"/>
        <v>103694</v>
      </c>
      <c r="U19" s="2235">
        <f t="shared" ref="U19:X19" si="58">SUM(U17:U18)</f>
        <v>520583.45625000005</v>
      </c>
      <c r="V19" s="3512">
        <f t="shared" si="58"/>
        <v>504295</v>
      </c>
      <c r="W19" s="2268">
        <f t="shared" si="58"/>
        <v>102075.18750000001</v>
      </c>
      <c r="X19" s="324">
        <f t="shared" si="58"/>
        <v>99431</v>
      </c>
      <c r="Y19" s="2238">
        <f t="shared" ref="Y19:Z19" si="59">SUM(Y17:Y18)</f>
        <v>313030.57500000001</v>
      </c>
      <c r="Z19" s="398">
        <f t="shared" si="59"/>
        <v>303928</v>
      </c>
      <c r="AA19" s="2239">
        <f t="shared" ref="AA19:AN19" si="60">SUM(AA17:AA18)</f>
        <v>622658.64375000005</v>
      </c>
      <c r="AB19" s="1145">
        <f t="shared" si="60"/>
        <v>603726</v>
      </c>
      <c r="AC19" s="2268">
        <f t="shared" si="60"/>
        <v>105477.69375000001</v>
      </c>
      <c r="AD19" s="324">
        <f t="shared" si="60"/>
        <v>101642</v>
      </c>
      <c r="AE19" s="2235">
        <f t="shared" si="60"/>
        <v>728136.33750000002</v>
      </c>
      <c r="AF19" s="3512">
        <f t="shared" si="60"/>
        <v>705368</v>
      </c>
      <c r="AG19" s="2268">
        <f t="shared" ref="AG19:AJ19" si="61">SUM(AG17:AG18)</f>
        <v>102075.18750000001</v>
      </c>
      <c r="AH19" s="324">
        <f t="shared" si="61"/>
        <v>99664</v>
      </c>
      <c r="AI19" s="2235">
        <f t="shared" si="61"/>
        <v>830211.52500000002</v>
      </c>
      <c r="AJ19" s="3512">
        <f t="shared" si="61"/>
        <v>805032</v>
      </c>
      <c r="AK19" s="2268">
        <f t="shared" ref="AK19:AL19" si="62">SUM(AK17:AK18)</f>
        <v>105477.69375000001</v>
      </c>
      <c r="AL19" s="324">
        <f t="shared" si="62"/>
        <v>102995</v>
      </c>
      <c r="AM19" s="2238">
        <f t="shared" si="60"/>
        <v>313030.57499999995</v>
      </c>
      <c r="AN19" s="398">
        <f t="shared" si="60"/>
        <v>304301</v>
      </c>
      <c r="AO19" s="2235">
        <f t="shared" ref="AO19:AT19" si="63">SUM(AO17:AO18)</f>
        <v>935689.21875</v>
      </c>
      <c r="AP19" s="3512">
        <f t="shared" si="63"/>
        <v>908027</v>
      </c>
      <c r="AQ19" s="2268">
        <f t="shared" si="63"/>
        <v>105477.69375000001</v>
      </c>
      <c r="AR19" s="324">
        <f t="shared" si="63"/>
        <v>103077</v>
      </c>
      <c r="AS19" s="2235">
        <f t="shared" si="63"/>
        <v>1041166.9125</v>
      </c>
      <c r="AT19" s="3512">
        <f t="shared" si="63"/>
        <v>1011104</v>
      </c>
      <c r="AU19" s="2268">
        <f t="shared" ref="AU19:AX19" si="64">SUM(AU17:AU18)</f>
        <v>95270.175000000017</v>
      </c>
      <c r="AV19" s="324">
        <f t="shared" si="64"/>
        <v>93216</v>
      </c>
      <c r="AW19" s="2235">
        <f t="shared" si="64"/>
        <v>1136437.0874999999</v>
      </c>
      <c r="AX19" s="3512">
        <f t="shared" si="64"/>
        <v>1104320</v>
      </c>
      <c r="AY19" s="2268">
        <f t="shared" ref="AY19:BF19" si="65">SUM(AY17:AY18)</f>
        <v>105477.69375000001</v>
      </c>
      <c r="AZ19" s="324">
        <f t="shared" si="65"/>
        <v>102678</v>
      </c>
      <c r="BA19" s="2238">
        <f t="shared" si="65"/>
        <v>306225.5625</v>
      </c>
      <c r="BB19" s="398">
        <f t="shared" si="65"/>
        <v>298971</v>
      </c>
      <c r="BC19" s="2239">
        <f t="shared" ref="BC19:BD19" si="66">SUM(BC17:BC18)</f>
        <v>619256.13749999995</v>
      </c>
      <c r="BD19" s="1145">
        <f t="shared" si="66"/>
        <v>603272</v>
      </c>
      <c r="BE19" s="2235">
        <f t="shared" si="65"/>
        <v>1241914.78125</v>
      </c>
      <c r="BF19" s="3512">
        <f t="shared" si="65"/>
        <v>1206998</v>
      </c>
    </row>
    <row r="20" spans="1:60" x14ac:dyDescent="0.25">
      <c r="A20" s="332" t="s">
        <v>515</v>
      </c>
      <c r="B20" s="2240" t="s">
        <v>175</v>
      </c>
      <c r="C20" s="140" t="s">
        <v>53</v>
      </c>
      <c r="D20" s="2241">
        <v>6215.2199999999993</v>
      </c>
      <c r="E20" s="3490">
        <f>+E13*E34/100</f>
        <v>510.84</v>
      </c>
      <c r="F20" s="354">
        <v>506</v>
      </c>
      <c r="G20" s="3490">
        <f>+G13*G34/100</f>
        <v>527.86799999999994</v>
      </c>
      <c r="H20" s="57">
        <v>694</v>
      </c>
      <c r="I20" s="2265">
        <f>+E20+G20</f>
        <v>1038.7079999999999</v>
      </c>
      <c r="J20" s="144">
        <f>+F20+H20</f>
        <v>1200</v>
      </c>
      <c r="K20" s="3490">
        <f>+K13*K34/100</f>
        <v>510.84</v>
      </c>
      <c r="L20" s="57">
        <v>546</v>
      </c>
      <c r="M20" s="2266">
        <f>+I20+K20</f>
        <v>1549.5479999999998</v>
      </c>
      <c r="N20" s="184">
        <f>+J20+L20</f>
        <v>1746</v>
      </c>
      <c r="O20" s="3490">
        <f>+O13*O34/100</f>
        <v>527.86799999999994</v>
      </c>
      <c r="P20" s="311">
        <v>552</v>
      </c>
      <c r="Q20" s="2265">
        <f>+M20+O20</f>
        <v>2077.4159999999997</v>
      </c>
      <c r="R20" s="144">
        <f>+N20+P20</f>
        <v>2298</v>
      </c>
      <c r="S20" s="3490">
        <f>+S13*S34/100</f>
        <v>527.86799999999994</v>
      </c>
      <c r="T20" s="311">
        <v>620</v>
      </c>
      <c r="U20" s="2265">
        <f>+Q20+S20</f>
        <v>2605.2839999999997</v>
      </c>
      <c r="V20" s="144">
        <f>+R20+T20</f>
        <v>2918</v>
      </c>
      <c r="W20" s="3490">
        <f>+W13*W34/100</f>
        <v>510.84</v>
      </c>
      <c r="X20" s="311">
        <v>663</v>
      </c>
      <c r="Y20" s="2266">
        <f t="shared" ref="Y20:Y21" si="67">+O20+S20+W20</f>
        <v>1566.5759999999998</v>
      </c>
      <c r="Z20" s="184">
        <f t="shared" ref="Z20:Z21" si="68">+P20+T20+X20</f>
        <v>1835</v>
      </c>
      <c r="AA20" s="2272">
        <f>+U20+W20</f>
        <v>3116.1239999999998</v>
      </c>
      <c r="AB20" s="1149">
        <f>+V20+X20</f>
        <v>3581</v>
      </c>
      <c r="AC20" s="3490">
        <f>+AC13*AC34/100</f>
        <v>527.86799999999994</v>
      </c>
      <c r="AD20" s="311">
        <v>914</v>
      </c>
      <c r="AE20" s="2265">
        <f>+AA20+AC20</f>
        <v>3643.9919999999997</v>
      </c>
      <c r="AF20" s="144">
        <f>+AB20+AD20</f>
        <v>4495</v>
      </c>
      <c r="AG20" s="3490">
        <f>+AG13*AG34/100</f>
        <v>510.84</v>
      </c>
      <c r="AH20" s="311">
        <v>835</v>
      </c>
      <c r="AI20" s="2265">
        <f>+AE20+AG20</f>
        <v>4154.8319999999994</v>
      </c>
      <c r="AJ20" s="144">
        <f>+AF20+AH20</f>
        <v>5330</v>
      </c>
      <c r="AK20" s="3490">
        <f>+AK13*AK34/100</f>
        <v>527.86799999999994</v>
      </c>
      <c r="AL20" s="311">
        <v>1220</v>
      </c>
      <c r="AM20" s="2266">
        <f t="shared" ref="AM20:AM21" si="69">+AC20+AG20+AK20</f>
        <v>1566.5759999999998</v>
      </c>
      <c r="AN20" s="184">
        <f t="shared" ref="AN20:AN21" si="70">+AD20+AH20+AL20</f>
        <v>2969</v>
      </c>
      <c r="AO20" s="2265">
        <f>+AI20+AK20</f>
        <v>4682.6999999999989</v>
      </c>
      <c r="AP20" s="144">
        <f>+AJ20+AL20</f>
        <v>6550</v>
      </c>
      <c r="AQ20" s="3490">
        <f>+AQ13*AQ34/100</f>
        <v>527.86799999999994</v>
      </c>
      <c r="AR20" s="311">
        <v>1320</v>
      </c>
      <c r="AS20" s="2265">
        <f>+AO20+AQ20</f>
        <v>5210.5679999999993</v>
      </c>
      <c r="AT20" s="144">
        <f>+AP20+AR20</f>
        <v>7870</v>
      </c>
      <c r="AU20" s="3490">
        <f>+AU13*AU34/100</f>
        <v>476.78399999999999</v>
      </c>
      <c r="AV20" s="311">
        <v>1095</v>
      </c>
      <c r="AW20" s="2265">
        <f>+AS20+AU20</f>
        <v>5687.351999999999</v>
      </c>
      <c r="AX20" s="144">
        <f>+AT20+AV20</f>
        <v>8965</v>
      </c>
      <c r="AY20" s="3490">
        <f>+AY13*AY34/100</f>
        <v>527.86799999999994</v>
      </c>
      <c r="AZ20" s="311">
        <v>1253</v>
      </c>
      <c r="BA20" s="2266">
        <f t="shared" ref="BA20:BA21" si="71">+AQ20+AU20+AY20</f>
        <v>1532.52</v>
      </c>
      <c r="BB20" s="184">
        <f t="shared" ref="BB20:BB21" si="72">+AR20+AV20+AZ20</f>
        <v>3668</v>
      </c>
      <c r="BC20" s="2272">
        <f>+AM20+BA20</f>
        <v>3099.0959999999995</v>
      </c>
      <c r="BD20" s="1149">
        <f>+AN20+BB20</f>
        <v>6637</v>
      </c>
      <c r="BE20" s="2265">
        <f>+AW20+AY20</f>
        <v>6215.2199999999993</v>
      </c>
      <c r="BF20" s="144">
        <f>+AX20+AZ20</f>
        <v>10218</v>
      </c>
    </row>
    <row r="21" spans="1:60" ht="15.75" thickBot="1" x14ac:dyDescent="0.3">
      <c r="A21" s="332" t="s">
        <v>515</v>
      </c>
      <c r="B21" s="2231" t="s">
        <v>176</v>
      </c>
      <c r="C21" s="380" t="s">
        <v>53</v>
      </c>
      <c r="D21" s="2278">
        <v>11400.592500000001</v>
      </c>
      <c r="E21" s="2023">
        <f>+E14*E34/100</f>
        <v>937.0350000000002</v>
      </c>
      <c r="F21" s="248">
        <v>874</v>
      </c>
      <c r="G21" s="2023">
        <f>+G14*G34/100</f>
        <v>968.26950000000011</v>
      </c>
      <c r="H21" s="51">
        <v>1214</v>
      </c>
      <c r="I21" s="2279">
        <f>+E21+G21</f>
        <v>1905.3045000000002</v>
      </c>
      <c r="J21" s="144">
        <f>+F21+H21</f>
        <v>2088</v>
      </c>
      <c r="K21" s="2023">
        <f>+K14*K34/100</f>
        <v>937.0350000000002</v>
      </c>
      <c r="L21" s="57">
        <v>991</v>
      </c>
      <c r="M21" s="2280">
        <f>+I21+K21</f>
        <v>2842.3395000000005</v>
      </c>
      <c r="N21" s="184">
        <f>+J21+L21</f>
        <v>3079</v>
      </c>
      <c r="O21" s="2023">
        <f>+O14*O34/100</f>
        <v>968.26950000000011</v>
      </c>
      <c r="P21" s="311">
        <v>963</v>
      </c>
      <c r="Q21" s="2279">
        <f>+M21+O21</f>
        <v>3810.6090000000004</v>
      </c>
      <c r="R21" s="144">
        <f>+N21+P21</f>
        <v>4042</v>
      </c>
      <c r="S21" s="2023">
        <f>+S14*S34/100</f>
        <v>968.26950000000011</v>
      </c>
      <c r="T21" s="311">
        <v>1126</v>
      </c>
      <c r="U21" s="2279">
        <f>+Q21+S21</f>
        <v>4778.8785000000007</v>
      </c>
      <c r="V21" s="144">
        <f>+R21+T21</f>
        <v>5168</v>
      </c>
      <c r="W21" s="2023">
        <f>+W14*W34/100</f>
        <v>937.0350000000002</v>
      </c>
      <c r="X21" s="311">
        <v>1228</v>
      </c>
      <c r="Y21" s="2266">
        <f t="shared" si="67"/>
        <v>2873.5740000000005</v>
      </c>
      <c r="Z21" s="184">
        <f t="shared" si="68"/>
        <v>3317</v>
      </c>
      <c r="AA21" s="2277">
        <f>+U21+W21</f>
        <v>5715.9135000000006</v>
      </c>
      <c r="AB21" s="1149">
        <f>+V21+X21</f>
        <v>6396</v>
      </c>
      <c r="AC21" s="2023">
        <f>+AC14*AC34/100</f>
        <v>968.26950000000011</v>
      </c>
      <c r="AD21" s="311">
        <v>1741</v>
      </c>
      <c r="AE21" s="2279">
        <f>+AA21+AC21</f>
        <v>6684.1830000000009</v>
      </c>
      <c r="AF21" s="144">
        <f>+AB21+AD21</f>
        <v>8137</v>
      </c>
      <c r="AG21" s="2023">
        <f>+AG14*AG34/100</f>
        <v>937.0350000000002</v>
      </c>
      <c r="AH21" s="311">
        <v>1535</v>
      </c>
      <c r="AI21" s="2279">
        <f>+AE21+AG21</f>
        <v>7621.2180000000008</v>
      </c>
      <c r="AJ21" s="144">
        <f>+AF21+AH21</f>
        <v>9672</v>
      </c>
      <c r="AK21" s="2023">
        <f>+AK14*AK34/100</f>
        <v>968.26950000000011</v>
      </c>
      <c r="AL21" s="311">
        <v>2222</v>
      </c>
      <c r="AM21" s="2266">
        <f t="shared" si="69"/>
        <v>2873.5740000000005</v>
      </c>
      <c r="AN21" s="184">
        <f t="shared" si="70"/>
        <v>5498</v>
      </c>
      <c r="AO21" s="2279">
        <f>+AI21+AK21</f>
        <v>8589.4875000000011</v>
      </c>
      <c r="AP21" s="144">
        <f>+AJ21+AL21</f>
        <v>11894</v>
      </c>
      <c r="AQ21" s="2023">
        <f>+AQ14*AQ34/100</f>
        <v>968.26950000000011</v>
      </c>
      <c r="AR21" s="311">
        <v>2415</v>
      </c>
      <c r="AS21" s="2279">
        <f>+AO21+AQ21</f>
        <v>9557.7570000000014</v>
      </c>
      <c r="AT21" s="144">
        <f>+AP21+AR21</f>
        <v>14309</v>
      </c>
      <c r="AU21" s="2023">
        <f>+AU14*AU34/100</f>
        <v>874.56600000000003</v>
      </c>
      <c r="AV21" s="311">
        <v>2007</v>
      </c>
      <c r="AW21" s="2279">
        <f>+AS21+AU21</f>
        <v>10432.323000000002</v>
      </c>
      <c r="AX21" s="144">
        <f>+AT21+AV21</f>
        <v>16316</v>
      </c>
      <c r="AY21" s="2023">
        <f>+AY14*AY34/100</f>
        <v>968.26950000000011</v>
      </c>
      <c r="AZ21" s="311">
        <v>2329</v>
      </c>
      <c r="BA21" s="2266">
        <f t="shared" si="71"/>
        <v>2811.1050000000005</v>
      </c>
      <c r="BB21" s="184">
        <f t="shared" si="72"/>
        <v>6751</v>
      </c>
      <c r="BC21" s="2277">
        <f>+AM21+BA21</f>
        <v>5684.679000000001</v>
      </c>
      <c r="BD21" s="1149">
        <f>+AN21+BB21</f>
        <v>12249</v>
      </c>
      <c r="BE21" s="2279">
        <f>+AW21+AY21</f>
        <v>11400.592500000002</v>
      </c>
      <c r="BF21" s="144">
        <f>+AX21+AZ21</f>
        <v>18645</v>
      </c>
    </row>
    <row r="22" spans="1:60" ht="15.75" thickBot="1" x14ac:dyDescent="0.3">
      <c r="A22" s="332" t="s">
        <v>515</v>
      </c>
      <c r="B22" s="2232" t="s">
        <v>165</v>
      </c>
      <c r="C22" s="2233" t="s">
        <v>53</v>
      </c>
      <c r="D22" s="2234">
        <v>17615.8125</v>
      </c>
      <c r="E22" s="2268">
        <f t="shared" ref="E22" si="73">SUM(E20:E21)</f>
        <v>1447.8750000000002</v>
      </c>
      <c r="F22" s="358">
        <f t="shared" ref="F22:K22" si="74">SUM(F20:F21)</f>
        <v>1380</v>
      </c>
      <c r="G22" s="2268">
        <f t="shared" si="74"/>
        <v>1496.1375</v>
      </c>
      <c r="H22" s="325">
        <f t="shared" si="74"/>
        <v>1908</v>
      </c>
      <c r="I22" s="2235">
        <f t="shared" si="74"/>
        <v>2944.0124999999998</v>
      </c>
      <c r="J22" s="3512">
        <f t="shared" si="74"/>
        <v>3288</v>
      </c>
      <c r="K22" s="2268">
        <f t="shared" si="74"/>
        <v>1447.8750000000002</v>
      </c>
      <c r="L22" s="325">
        <f t="shared" ref="L22:O22" si="75">SUM(L20:L21)</f>
        <v>1537</v>
      </c>
      <c r="M22" s="2238">
        <f t="shared" si="75"/>
        <v>4391.8875000000007</v>
      </c>
      <c r="N22" s="398">
        <f t="shared" si="75"/>
        <v>4825</v>
      </c>
      <c r="O22" s="2268">
        <f t="shared" si="75"/>
        <v>1496.1375</v>
      </c>
      <c r="P22" s="969">
        <f t="shared" ref="P22" si="76">SUM(P20:P21)</f>
        <v>1515</v>
      </c>
      <c r="Q22" s="2235">
        <f t="shared" ref="Q22:T22" si="77">SUM(Q20:Q21)</f>
        <v>5888.0249999999996</v>
      </c>
      <c r="R22" s="3512">
        <f t="shared" si="77"/>
        <v>6340</v>
      </c>
      <c r="S22" s="2268">
        <f t="shared" si="77"/>
        <v>1496.1375</v>
      </c>
      <c r="T22" s="969">
        <f t="shared" si="77"/>
        <v>1746</v>
      </c>
      <c r="U22" s="2235">
        <f t="shared" ref="U22:X22" si="78">SUM(U20:U21)</f>
        <v>7384.1625000000004</v>
      </c>
      <c r="V22" s="3512">
        <f t="shared" si="78"/>
        <v>8086</v>
      </c>
      <c r="W22" s="2268">
        <f t="shared" si="78"/>
        <v>1447.8750000000002</v>
      </c>
      <c r="X22" s="969">
        <f t="shared" si="78"/>
        <v>1891</v>
      </c>
      <c r="Y22" s="2238">
        <f t="shared" ref="Y22:Z22" si="79">SUM(Y20:Y21)</f>
        <v>4440.1500000000005</v>
      </c>
      <c r="Z22" s="398">
        <f t="shared" si="79"/>
        <v>5152</v>
      </c>
      <c r="AA22" s="2239">
        <f t="shared" ref="AA22:AN22" si="80">SUM(AA20:AA21)</f>
        <v>8832.0375000000004</v>
      </c>
      <c r="AB22" s="1145">
        <f t="shared" si="80"/>
        <v>9977</v>
      </c>
      <c r="AC22" s="2268">
        <f t="shared" si="80"/>
        <v>1496.1375</v>
      </c>
      <c r="AD22" s="969">
        <f t="shared" si="80"/>
        <v>2655</v>
      </c>
      <c r="AE22" s="2235">
        <f t="shared" si="80"/>
        <v>10328.175000000001</v>
      </c>
      <c r="AF22" s="3512">
        <f t="shared" si="80"/>
        <v>12632</v>
      </c>
      <c r="AG22" s="2268">
        <f t="shared" ref="AG22:AJ22" si="81">SUM(AG20:AG21)</f>
        <v>1447.8750000000002</v>
      </c>
      <c r="AH22" s="969">
        <f t="shared" si="81"/>
        <v>2370</v>
      </c>
      <c r="AI22" s="2235">
        <f t="shared" si="81"/>
        <v>11776.05</v>
      </c>
      <c r="AJ22" s="3512">
        <f t="shared" si="81"/>
        <v>15002</v>
      </c>
      <c r="AK22" s="2268">
        <f t="shared" ref="AK22:AL22" si="82">SUM(AK20:AK21)</f>
        <v>1496.1375</v>
      </c>
      <c r="AL22" s="969">
        <f t="shared" si="82"/>
        <v>3442</v>
      </c>
      <c r="AM22" s="2238">
        <f t="shared" si="80"/>
        <v>4440.1500000000005</v>
      </c>
      <c r="AN22" s="398">
        <f t="shared" si="80"/>
        <v>8467</v>
      </c>
      <c r="AO22" s="2235">
        <f t="shared" ref="AO22:AT22" si="83">SUM(AO20:AO21)</f>
        <v>13272.1875</v>
      </c>
      <c r="AP22" s="3512">
        <f t="shared" si="83"/>
        <v>18444</v>
      </c>
      <c r="AQ22" s="2268">
        <f t="shared" si="83"/>
        <v>1496.1375</v>
      </c>
      <c r="AR22" s="969">
        <f t="shared" si="83"/>
        <v>3735</v>
      </c>
      <c r="AS22" s="2235">
        <f t="shared" si="83"/>
        <v>14768.325000000001</v>
      </c>
      <c r="AT22" s="3512">
        <f t="shared" si="83"/>
        <v>22179</v>
      </c>
      <c r="AU22" s="2268">
        <f t="shared" ref="AU22:AX22" si="84">SUM(AU20:AU21)</f>
        <v>1351.35</v>
      </c>
      <c r="AV22" s="969">
        <f t="shared" si="84"/>
        <v>3102</v>
      </c>
      <c r="AW22" s="2235">
        <f t="shared" si="84"/>
        <v>16119.675000000001</v>
      </c>
      <c r="AX22" s="3512">
        <f t="shared" si="84"/>
        <v>25281</v>
      </c>
      <c r="AY22" s="2268">
        <f t="shared" ref="AY22:BF22" si="85">SUM(AY20:AY21)</f>
        <v>1496.1375</v>
      </c>
      <c r="AZ22" s="969">
        <f t="shared" si="85"/>
        <v>3582</v>
      </c>
      <c r="BA22" s="2238">
        <f t="shared" si="85"/>
        <v>4343.625</v>
      </c>
      <c r="BB22" s="398">
        <f t="shared" si="85"/>
        <v>10419</v>
      </c>
      <c r="BC22" s="2239">
        <f t="shared" ref="BC22:BD22" si="86">SUM(BC20:BC21)</f>
        <v>8783.7750000000015</v>
      </c>
      <c r="BD22" s="1145">
        <f t="shared" si="86"/>
        <v>18886</v>
      </c>
      <c r="BE22" s="2235">
        <f t="shared" si="85"/>
        <v>17615.8125</v>
      </c>
      <c r="BF22" s="3512">
        <f t="shared" si="85"/>
        <v>28863</v>
      </c>
    </row>
    <row r="23" spans="1:60" x14ac:dyDescent="0.25">
      <c r="A23" s="332" t="s">
        <v>515</v>
      </c>
      <c r="B23" s="2240" t="s">
        <v>177</v>
      </c>
      <c r="C23" s="140" t="s">
        <v>53</v>
      </c>
      <c r="D23" s="2241">
        <v>21753.27</v>
      </c>
      <c r="E23" s="3490">
        <f>+E13*E35/100</f>
        <v>1787.94</v>
      </c>
      <c r="F23" s="354">
        <v>1027</v>
      </c>
      <c r="G23" s="3490">
        <f>+G13*G35/100</f>
        <v>1847.5379999999998</v>
      </c>
      <c r="H23" s="57">
        <v>1180</v>
      </c>
      <c r="I23" s="3497">
        <f>+E23+G23</f>
        <v>3635.4780000000001</v>
      </c>
      <c r="J23" s="144">
        <f>+F23+H23</f>
        <v>2207</v>
      </c>
      <c r="K23" s="3490">
        <f>+K13*K35/100</f>
        <v>1787.94</v>
      </c>
      <c r="L23" s="57">
        <v>1737</v>
      </c>
      <c r="M23" s="3494">
        <f>+I23+K23</f>
        <v>5423.4179999999997</v>
      </c>
      <c r="N23" s="184">
        <f>+J23+L23</f>
        <v>3944</v>
      </c>
      <c r="O23" s="3490">
        <f>+O13*O35/100</f>
        <v>1847.5379999999998</v>
      </c>
      <c r="P23" s="311">
        <v>1835</v>
      </c>
      <c r="Q23" s="3497">
        <f>+M23+O23</f>
        <v>7270.9559999999992</v>
      </c>
      <c r="R23" s="144">
        <f>+N23+P23</f>
        <v>5779</v>
      </c>
      <c r="S23" s="3490">
        <f>+S13*S35/100</f>
        <v>1847.5379999999998</v>
      </c>
      <c r="T23" s="311">
        <v>2186</v>
      </c>
      <c r="U23" s="3497">
        <f>+Q23+S23</f>
        <v>9118.4939999999988</v>
      </c>
      <c r="V23" s="144">
        <f>+R23+T23</f>
        <v>7965</v>
      </c>
      <c r="W23" s="3490">
        <f>+W13*W35/100</f>
        <v>1787.94</v>
      </c>
      <c r="X23" s="311">
        <v>2154</v>
      </c>
      <c r="Y23" s="2266">
        <f t="shared" ref="Y23:Y24" si="87">+O23+S23+W23</f>
        <v>5483.0159999999996</v>
      </c>
      <c r="Z23" s="184">
        <f t="shared" ref="Z23:Z24" si="88">+P23+T23+X23</f>
        <v>6175</v>
      </c>
      <c r="AA23" s="3506">
        <f>+U23+W23</f>
        <v>10906.433999999999</v>
      </c>
      <c r="AB23" s="1149">
        <f>+V23+X23</f>
        <v>10119</v>
      </c>
      <c r="AC23" s="3490">
        <f>+AC13*AC35/100</f>
        <v>1847.5379999999998</v>
      </c>
      <c r="AD23" s="311">
        <v>2218</v>
      </c>
      <c r="AE23" s="3497">
        <f>+AA23+AC23</f>
        <v>12753.972</v>
      </c>
      <c r="AF23" s="144">
        <f>+AB23+AD23</f>
        <v>12337</v>
      </c>
      <c r="AG23" s="3490">
        <f>+AG13*AG35/100</f>
        <v>1787.94</v>
      </c>
      <c r="AH23" s="311">
        <v>2246</v>
      </c>
      <c r="AI23" s="3497">
        <f>+AE23+AG23</f>
        <v>14541.912</v>
      </c>
      <c r="AJ23" s="144">
        <f>+AF23+AH23</f>
        <v>14583</v>
      </c>
      <c r="AK23" s="3490">
        <f>+AK13*AK35/100</f>
        <v>1847.5379999999998</v>
      </c>
      <c r="AL23" s="311">
        <v>1966</v>
      </c>
      <c r="AM23" s="2266">
        <f t="shared" ref="AM23:AM24" si="89">+AC23+AG23+AK23</f>
        <v>5483.0159999999996</v>
      </c>
      <c r="AN23" s="184">
        <f t="shared" ref="AN23:AN24" si="90">+AD23+AH23+AL23</f>
        <v>6430</v>
      </c>
      <c r="AO23" s="3497">
        <f>+AI23+AK23</f>
        <v>16389.45</v>
      </c>
      <c r="AP23" s="144">
        <f>+AJ23+AL23</f>
        <v>16549</v>
      </c>
      <c r="AQ23" s="3490">
        <f>+AQ13*AQ35/100</f>
        <v>1847.5379999999998</v>
      </c>
      <c r="AR23" s="311">
        <v>1899</v>
      </c>
      <c r="AS23" s="3497">
        <f>+AO23+AQ23</f>
        <v>18236.988000000001</v>
      </c>
      <c r="AT23" s="144">
        <f>+AP23+AR23</f>
        <v>18448</v>
      </c>
      <c r="AU23" s="3490">
        <f>+AU13*AU35/100</f>
        <v>1668.7439999999999</v>
      </c>
      <c r="AV23" s="311">
        <v>1787</v>
      </c>
      <c r="AW23" s="3497">
        <f>+AS23+AU23</f>
        <v>19905.732</v>
      </c>
      <c r="AX23" s="144">
        <f>+AT23+AV23</f>
        <v>20235</v>
      </c>
      <c r="AY23" s="3490">
        <f>+AY13*AY35/100</f>
        <v>1847.5379999999998</v>
      </c>
      <c r="AZ23" s="311">
        <v>1908</v>
      </c>
      <c r="BA23" s="2266">
        <f t="shared" ref="BA23:BA24" si="91">+AQ23+AU23+AY23</f>
        <v>5363.82</v>
      </c>
      <c r="BB23" s="184">
        <f t="shared" ref="BB23:BB24" si="92">+AR23+AV23+AZ23</f>
        <v>5594</v>
      </c>
      <c r="BC23" s="3506">
        <f>+AM23+BA23</f>
        <v>10846.835999999999</v>
      </c>
      <c r="BD23" s="1149">
        <f>+AN23+BB23</f>
        <v>12024</v>
      </c>
      <c r="BE23" s="3497">
        <f>+AW23+AY23</f>
        <v>21753.27</v>
      </c>
      <c r="BF23" s="144">
        <f>+AX23+AZ23</f>
        <v>22143</v>
      </c>
    </row>
    <row r="24" spans="1:60" ht="15.75" thickBot="1" x14ac:dyDescent="0.3">
      <c r="A24" s="332" t="s">
        <v>515</v>
      </c>
      <c r="B24" s="2231" t="s">
        <v>178</v>
      </c>
      <c r="C24" s="380" t="s">
        <v>53</v>
      </c>
      <c r="D24" s="2278">
        <v>39902.073749999996</v>
      </c>
      <c r="E24" s="2023">
        <f>+E14*E35/100</f>
        <v>3279.6225000000004</v>
      </c>
      <c r="F24" s="248">
        <v>1776</v>
      </c>
      <c r="G24" s="2023">
        <f>+G14*G35/100</f>
        <v>3388.9432500000007</v>
      </c>
      <c r="H24" s="51">
        <v>2062</v>
      </c>
      <c r="I24" s="3498">
        <f>+E24+G24</f>
        <v>6668.5657500000016</v>
      </c>
      <c r="J24" s="385">
        <f>+F24+H24</f>
        <v>3838</v>
      </c>
      <c r="K24" s="2023">
        <f>+K14*K35/100</f>
        <v>3279.6225000000004</v>
      </c>
      <c r="L24" s="57">
        <v>3148</v>
      </c>
      <c r="M24" s="3495">
        <f>+I24+K24</f>
        <v>9948.1882500000029</v>
      </c>
      <c r="N24" s="399">
        <f>+J24+L24</f>
        <v>6986</v>
      </c>
      <c r="O24" s="2023">
        <f>+O14*O35/100</f>
        <v>3388.9432500000007</v>
      </c>
      <c r="P24" s="311">
        <v>3203</v>
      </c>
      <c r="Q24" s="3498">
        <f>+M24+O24</f>
        <v>13337.131500000003</v>
      </c>
      <c r="R24" s="385">
        <f>+N24+P24</f>
        <v>10189</v>
      </c>
      <c r="S24" s="2023">
        <f>+S14*S35/100</f>
        <v>3388.9432500000007</v>
      </c>
      <c r="T24" s="311">
        <v>3970</v>
      </c>
      <c r="U24" s="3498">
        <f>+Q24+S24</f>
        <v>16726.074750000003</v>
      </c>
      <c r="V24" s="385">
        <f>+R24+T24</f>
        <v>14159</v>
      </c>
      <c r="W24" s="2023">
        <f>+W14*W35/100</f>
        <v>3279.6225000000004</v>
      </c>
      <c r="X24" s="311">
        <v>3987</v>
      </c>
      <c r="Y24" s="2266">
        <f t="shared" si="87"/>
        <v>10057.509000000002</v>
      </c>
      <c r="Z24" s="184">
        <f t="shared" si="88"/>
        <v>11160</v>
      </c>
      <c r="AA24" s="3505">
        <f>+U24+W24</f>
        <v>20005.697250000005</v>
      </c>
      <c r="AB24" s="1150">
        <f>+V24+X24</f>
        <v>18146</v>
      </c>
      <c r="AC24" s="2023">
        <f>+AC14*AC35/100</f>
        <v>3388.9432500000007</v>
      </c>
      <c r="AD24" s="311">
        <v>4225</v>
      </c>
      <c r="AE24" s="3498">
        <f>+AA24+AC24</f>
        <v>23394.640500000005</v>
      </c>
      <c r="AF24" s="385">
        <f>+AB24+AD24</f>
        <v>22371</v>
      </c>
      <c r="AG24" s="2023">
        <f>+AG14*AG35/100</f>
        <v>3279.6225000000004</v>
      </c>
      <c r="AH24" s="311">
        <v>4132</v>
      </c>
      <c r="AI24" s="3498">
        <f>+AE24+AG24</f>
        <v>26674.263000000006</v>
      </c>
      <c r="AJ24" s="385">
        <f>+AF24+AH24</f>
        <v>26503</v>
      </c>
      <c r="AK24" s="2023">
        <f>+AK14*AK35/100</f>
        <v>3388.9432500000007</v>
      </c>
      <c r="AL24" s="311">
        <v>3580</v>
      </c>
      <c r="AM24" s="2266">
        <f t="shared" si="89"/>
        <v>10057.509000000002</v>
      </c>
      <c r="AN24" s="184">
        <f t="shared" si="90"/>
        <v>11937</v>
      </c>
      <c r="AO24" s="3498">
        <f>+AI24+AK24</f>
        <v>30063.206250000007</v>
      </c>
      <c r="AP24" s="385">
        <f>+AJ24+AL24</f>
        <v>30083</v>
      </c>
      <c r="AQ24" s="2023">
        <f>+AQ14*AQ35/100</f>
        <v>3388.9432500000007</v>
      </c>
      <c r="AR24" s="311">
        <v>3473</v>
      </c>
      <c r="AS24" s="3892">
        <f>+AO24+AQ24</f>
        <v>33452.149500000007</v>
      </c>
      <c r="AT24" s="385">
        <f>+AP24+AR24</f>
        <v>33556</v>
      </c>
      <c r="AU24" s="2023">
        <f>+AU14*AU35/100</f>
        <v>3060.9810000000002</v>
      </c>
      <c r="AV24" s="311">
        <v>3277</v>
      </c>
      <c r="AW24" s="4018">
        <f>+AS24+AU24</f>
        <v>36513.130500000007</v>
      </c>
      <c r="AX24" s="385">
        <f>+AT24+AV24</f>
        <v>36833</v>
      </c>
      <c r="AY24" s="2023">
        <f>+AY14*AY35/100</f>
        <v>3388.9432500000007</v>
      </c>
      <c r="AZ24" s="311">
        <v>3547</v>
      </c>
      <c r="BA24" s="2266">
        <f t="shared" si="91"/>
        <v>9838.8675000000021</v>
      </c>
      <c r="BB24" s="184">
        <f t="shared" si="92"/>
        <v>10297</v>
      </c>
      <c r="BC24" s="4267">
        <f>+AM24+BA24</f>
        <v>19896.376500000006</v>
      </c>
      <c r="BD24" s="1150">
        <f>+AN24+BB24</f>
        <v>22234</v>
      </c>
      <c r="BE24" s="4265">
        <f>+AW24+AY24</f>
        <v>39902.07375000001</v>
      </c>
      <c r="BF24" s="385">
        <f>+AX24+AZ24</f>
        <v>40380</v>
      </c>
    </row>
    <row r="25" spans="1:60" ht="15.75" thickBot="1" x14ac:dyDescent="0.3">
      <c r="A25" s="332" t="s">
        <v>515</v>
      </c>
      <c r="B25" s="2232" t="s">
        <v>166</v>
      </c>
      <c r="C25" s="2233" t="s">
        <v>53</v>
      </c>
      <c r="D25" s="2234">
        <v>61655.343749999993</v>
      </c>
      <c r="E25" s="2268">
        <f t="shared" ref="E25" si="93">SUM(E23:E24)</f>
        <v>5067.5625</v>
      </c>
      <c r="F25" s="358">
        <f t="shared" ref="F25:J25" si="94">SUM(F23:F24)</f>
        <v>2803</v>
      </c>
      <c r="G25" s="2268">
        <f t="shared" ref="G25" si="95">SUM(G23:G24)</f>
        <v>5236.4812500000007</v>
      </c>
      <c r="H25" s="325">
        <f t="shared" si="94"/>
        <v>3242</v>
      </c>
      <c r="I25" s="3511">
        <f t="shared" si="94"/>
        <v>10304.043750000001</v>
      </c>
      <c r="J25" s="3512">
        <f t="shared" si="94"/>
        <v>6045</v>
      </c>
      <c r="K25" s="2268">
        <f t="shared" ref="K25" si="96">SUM(K23:K24)</f>
        <v>5067.5625</v>
      </c>
      <c r="L25" s="325">
        <f t="shared" ref="L25:O25" si="97">SUM(L23:L24)</f>
        <v>4885</v>
      </c>
      <c r="M25" s="2281">
        <f t="shared" si="97"/>
        <v>15371.606250000003</v>
      </c>
      <c r="N25" s="398">
        <f t="shared" si="97"/>
        <v>10930</v>
      </c>
      <c r="O25" s="2268">
        <f t="shared" si="97"/>
        <v>5236.4812500000007</v>
      </c>
      <c r="P25" s="969">
        <f t="shared" ref="P25" si="98">SUM(P23:P24)</f>
        <v>5038</v>
      </c>
      <c r="Q25" s="3511">
        <f t="shared" ref="Q25:T25" si="99">SUM(Q23:Q24)</f>
        <v>20608.087500000001</v>
      </c>
      <c r="R25" s="3512">
        <f t="shared" si="99"/>
        <v>15968</v>
      </c>
      <c r="S25" s="2268">
        <f t="shared" si="99"/>
        <v>5236.4812500000007</v>
      </c>
      <c r="T25" s="969">
        <f t="shared" si="99"/>
        <v>6156</v>
      </c>
      <c r="U25" s="3511">
        <f t="shared" ref="U25:X25" si="100">SUM(U23:U24)</f>
        <v>25844.568750000002</v>
      </c>
      <c r="V25" s="3512">
        <f t="shared" si="100"/>
        <v>22124</v>
      </c>
      <c r="W25" s="2268">
        <f t="shared" si="100"/>
        <v>5067.5625</v>
      </c>
      <c r="X25" s="969">
        <f t="shared" si="100"/>
        <v>6141</v>
      </c>
      <c r="Y25" s="2281">
        <f t="shared" ref="Y25:Z25" si="101">SUM(Y23:Y24)</f>
        <v>15540.525000000001</v>
      </c>
      <c r="Z25" s="398">
        <f t="shared" si="101"/>
        <v>17335</v>
      </c>
      <c r="AA25" s="2282">
        <f t="shared" ref="AA25:AN25" si="102">SUM(AA23:AA24)</f>
        <v>30912.131250000006</v>
      </c>
      <c r="AB25" s="1145">
        <f t="shared" si="102"/>
        <v>28265</v>
      </c>
      <c r="AC25" s="2268">
        <f t="shared" si="102"/>
        <v>5236.4812500000007</v>
      </c>
      <c r="AD25" s="969">
        <f t="shared" si="102"/>
        <v>6443</v>
      </c>
      <c r="AE25" s="3511">
        <f t="shared" si="102"/>
        <v>36148.612500000003</v>
      </c>
      <c r="AF25" s="3512">
        <f t="shared" si="102"/>
        <v>34708</v>
      </c>
      <c r="AG25" s="2268">
        <f t="shared" ref="AG25:AJ25" si="103">SUM(AG23:AG24)</f>
        <v>5067.5625</v>
      </c>
      <c r="AH25" s="969">
        <f t="shared" si="103"/>
        <v>6378</v>
      </c>
      <c r="AI25" s="3511">
        <f t="shared" si="103"/>
        <v>41216.175000000003</v>
      </c>
      <c r="AJ25" s="3512">
        <f t="shared" si="103"/>
        <v>41086</v>
      </c>
      <c r="AK25" s="2268">
        <f t="shared" ref="AK25:AL25" si="104">SUM(AK23:AK24)</f>
        <v>5236.4812500000007</v>
      </c>
      <c r="AL25" s="969">
        <f t="shared" si="104"/>
        <v>5546</v>
      </c>
      <c r="AM25" s="2281">
        <f t="shared" si="102"/>
        <v>15540.525000000001</v>
      </c>
      <c r="AN25" s="398">
        <f t="shared" si="102"/>
        <v>18367</v>
      </c>
      <c r="AO25" s="3511">
        <f t="shared" ref="AO25:AT25" si="105">SUM(AO23:AO24)</f>
        <v>46452.656250000007</v>
      </c>
      <c r="AP25" s="3512">
        <f t="shared" si="105"/>
        <v>46632</v>
      </c>
      <c r="AQ25" s="2268">
        <f t="shared" si="105"/>
        <v>5236.4812500000007</v>
      </c>
      <c r="AR25" s="969">
        <f t="shared" si="105"/>
        <v>5372</v>
      </c>
      <c r="AS25" s="3511">
        <f t="shared" si="105"/>
        <v>51689.137500000012</v>
      </c>
      <c r="AT25" s="3512">
        <f t="shared" si="105"/>
        <v>52004</v>
      </c>
      <c r="AU25" s="2268">
        <f t="shared" ref="AU25:AX25" si="106">SUM(AU23:AU24)</f>
        <v>4729.7250000000004</v>
      </c>
      <c r="AV25" s="969">
        <f t="shared" si="106"/>
        <v>5064</v>
      </c>
      <c r="AW25" s="3511">
        <f t="shared" si="106"/>
        <v>56418.862500000003</v>
      </c>
      <c r="AX25" s="3512">
        <f t="shared" si="106"/>
        <v>57068</v>
      </c>
      <c r="AY25" s="2268">
        <f t="shared" ref="AY25:BF25" si="107">SUM(AY23:AY24)</f>
        <v>5236.4812500000007</v>
      </c>
      <c r="AZ25" s="969">
        <f t="shared" si="107"/>
        <v>5455</v>
      </c>
      <c r="BA25" s="2281">
        <f t="shared" si="107"/>
        <v>15202.687500000002</v>
      </c>
      <c r="BB25" s="398">
        <f t="shared" si="107"/>
        <v>15891</v>
      </c>
      <c r="BC25" s="2282">
        <f t="shared" ref="BC25:BD25" si="108">SUM(BC23:BC24)</f>
        <v>30743.212500000005</v>
      </c>
      <c r="BD25" s="1145">
        <f t="shared" si="108"/>
        <v>34258</v>
      </c>
      <c r="BE25" s="3511">
        <f t="shared" si="107"/>
        <v>61655.343750000015</v>
      </c>
      <c r="BF25" s="3512">
        <f t="shared" si="107"/>
        <v>62523</v>
      </c>
    </row>
    <row r="26" spans="1:60" x14ac:dyDescent="0.25">
      <c r="A26" s="332" t="s">
        <v>515</v>
      </c>
      <c r="B26" s="2240" t="s">
        <v>179</v>
      </c>
      <c r="C26" s="140" t="s">
        <v>53</v>
      </c>
      <c r="D26" s="2241">
        <v>6215.2199999999993</v>
      </c>
      <c r="E26" s="3490">
        <f>+E13*E36/100</f>
        <v>510.84</v>
      </c>
      <c r="F26" s="354">
        <v>507</v>
      </c>
      <c r="G26" s="3490">
        <f>+G13*G36/100</f>
        <v>527.86799999999994</v>
      </c>
      <c r="H26" s="57">
        <v>522</v>
      </c>
      <c r="I26" s="3497">
        <f>+E26+G26</f>
        <v>1038.7079999999999</v>
      </c>
      <c r="J26" s="144">
        <f>+F26+H26</f>
        <v>1029</v>
      </c>
      <c r="K26" s="3490">
        <f>+K13*K36/100</f>
        <v>510.84</v>
      </c>
      <c r="L26" s="57">
        <v>449</v>
      </c>
      <c r="M26" s="3494">
        <f>+I26+K26</f>
        <v>1549.5479999999998</v>
      </c>
      <c r="N26" s="184">
        <f>+J26+L26</f>
        <v>1478</v>
      </c>
      <c r="O26" s="3490">
        <f>+O13*O36/100</f>
        <v>527.86799999999994</v>
      </c>
      <c r="P26" s="311">
        <v>476</v>
      </c>
      <c r="Q26" s="3497">
        <f>+M26+O26</f>
        <v>2077.4159999999997</v>
      </c>
      <c r="R26" s="144">
        <f>+N26+P26</f>
        <v>1954</v>
      </c>
      <c r="S26" s="3490">
        <f>+S13*S36/100</f>
        <v>527.86799999999994</v>
      </c>
      <c r="T26" s="311">
        <v>472</v>
      </c>
      <c r="U26" s="3497">
        <f>+Q26+S26</f>
        <v>2605.2839999999997</v>
      </c>
      <c r="V26" s="144">
        <f>+R26+T26</f>
        <v>2426</v>
      </c>
      <c r="W26" s="3490">
        <f>+W13*W36/100</f>
        <v>510.84</v>
      </c>
      <c r="X26" s="311">
        <v>446</v>
      </c>
      <c r="Y26" s="2266">
        <f t="shared" ref="Y26:Y27" si="109">+O26+S26+W26</f>
        <v>1566.5759999999998</v>
      </c>
      <c r="Z26" s="184">
        <f t="shared" ref="Z26:Z27" si="110">+P26+T26+X26</f>
        <v>1394</v>
      </c>
      <c r="AA26" s="3506">
        <f>+U26+W26</f>
        <v>3116.1239999999998</v>
      </c>
      <c r="AB26" s="1149">
        <f>+V26+X26</f>
        <v>2872</v>
      </c>
      <c r="AC26" s="3490">
        <f>+AC13*AC36/100</f>
        <v>527.86799999999994</v>
      </c>
      <c r="AD26" s="311">
        <v>449</v>
      </c>
      <c r="AE26" s="3497">
        <f>+AA26+AC26</f>
        <v>3643.9919999999997</v>
      </c>
      <c r="AF26" s="144">
        <f>+AB26+AD26</f>
        <v>3321</v>
      </c>
      <c r="AG26" s="3490">
        <f>+AG13*AG36/100</f>
        <v>510.84</v>
      </c>
      <c r="AH26" s="311">
        <v>458</v>
      </c>
      <c r="AI26" s="3497">
        <f>+AE26+AG26</f>
        <v>4154.8319999999994</v>
      </c>
      <c r="AJ26" s="144">
        <f>+AF26+AH26</f>
        <v>3779</v>
      </c>
      <c r="AK26" s="3490">
        <f>+AK13*AK36/100</f>
        <v>527.86799999999994</v>
      </c>
      <c r="AL26" s="311">
        <v>464</v>
      </c>
      <c r="AM26" s="2266">
        <f t="shared" ref="AM26:AM27" si="111">+AC26+AG26+AK26</f>
        <v>1566.5759999999998</v>
      </c>
      <c r="AN26" s="184">
        <f t="shared" ref="AN26:AN27" si="112">+AD26+AH26+AL26</f>
        <v>1371</v>
      </c>
      <c r="AO26" s="3497">
        <f>+AI26+AK26</f>
        <v>4682.6999999999989</v>
      </c>
      <c r="AP26" s="144">
        <f>+AJ26+AL26</f>
        <v>4243</v>
      </c>
      <c r="AQ26" s="3490">
        <f>+AQ13*AQ36/100</f>
        <v>527.86799999999994</v>
      </c>
      <c r="AR26" s="311">
        <v>462</v>
      </c>
      <c r="AS26" s="3497">
        <f>+AO26+AQ26</f>
        <v>5210.5679999999993</v>
      </c>
      <c r="AT26" s="144">
        <f>+AP26+AR26</f>
        <v>4705</v>
      </c>
      <c r="AU26" s="3490">
        <f>+AU13*AU36/100</f>
        <v>476.78399999999999</v>
      </c>
      <c r="AV26" s="311">
        <v>418</v>
      </c>
      <c r="AW26" s="3497">
        <f>+AS26+AU26</f>
        <v>5687.351999999999</v>
      </c>
      <c r="AX26" s="144">
        <f>+AT26+AV26</f>
        <v>5123</v>
      </c>
      <c r="AY26" s="3490">
        <f>+AY13*AY36/100</f>
        <v>527.86799999999994</v>
      </c>
      <c r="AZ26" s="311">
        <v>457</v>
      </c>
      <c r="BA26" s="2266">
        <f t="shared" ref="BA26:BA27" si="113">+AQ26+AU26+AY26</f>
        <v>1532.52</v>
      </c>
      <c r="BB26" s="184">
        <f t="shared" ref="BB26:BB27" si="114">+AR26+AV26+AZ26</f>
        <v>1337</v>
      </c>
      <c r="BC26" s="3506">
        <f>+AM26+BA26</f>
        <v>3099.0959999999995</v>
      </c>
      <c r="BD26" s="1149">
        <f>+AN26+BB26</f>
        <v>2708</v>
      </c>
      <c r="BE26" s="3497">
        <f>+AW26+AY26</f>
        <v>6215.2199999999993</v>
      </c>
      <c r="BF26" s="144">
        <f>+AX26+AZ26</f>
        <v>5580</v>
      </c>
    </row>
    <row r="27" spans="1:60" ht="15.75" thickBot="1" x14ac:dyDescent="0.3">
      <c r="A27" s="332" t="s">
        <v>515</v>
      </c>
      <c r="B27" s="2231" t="s">
        <v>180</v>
      </c>
      <c r="C27" s="380" t="s">
        <v>53</v>
      </c>
      <c r="D27" s="2278">
        <v>11400.592500000001</v>
      </c>
      <c r="E27" s="2023">
        <f>+E14*E36/100</f>
        <v>937.0350000000002</v>
      </c>
      <c r="F27" s="248">
        <v>876</v>
      </c>
      <c r="G27" s="2023">
        <f>+G14*G36/100</f>
        <v>968.26950000000011</v>
      </c>
      <c r="H27" s="51">
        <v>913</v>
      </c>
      <c r="I27" s="3497">
        <f>+E27+G27</f>
        <v>1905.3045000000002</v>
      </c>
      <c r="J27" s="385">
        <f>+F27+H27</f>
        <v>1789</v>
      </c>
      <c r="K27" s="2023">
        <f>+K14*K36/100</f>
        <v>937.0350000000002</v>
      </c>
      <c r="L27" s="57">
        <v>814</v>
      </c>
      <c r="M27" s="3494">
        <f>+I27+K27</f>
        <v>2842.3395000000005</v>
      </c>
      <c r="N27" s="399">
        <f>+J27+L27</f>
        <v>2603</v>
      </c>
      <c r="O27" s="2023">
        <f>+O14*O36/100</f>
        <v>968.26950000000011</v>
      </c>
      <c r="P27" s="311">
        <v>831</v>
      </c>
      <c r="Q27" s="3497">
        <f>+M27+O27</f>
        <v>3810.6090000000004</v>
      </c>
      <c r="R27" s="385">
        <f>+N27+P27</f>
        <v>3434</v>
      </c>
      <c r="S27" s="2023">
        <f>+S14*S36/100</f>
        <v>968.26950000000011</v>
      </c>
      <c r="T27" s="311">
        <v>857</v>
      </c>
      <c r="U27" s="3497">
        <f>+Q27+S27</f>
        <v>4778.8785000000007</v>
      </c>
      <c r="V27" s="385">
        <f>+R27+T27</f>
        <v>4291</v>
      </c>
      <c r="W27" s="2023">
        <f>+W14*W36/100</f>
        <v>937.0350000000002</v>
      </c>
      <c r="X27" s="311">
        <v>826</v>
      </c>
      <c r="Y27" s="2266">
        <f t="shared" si="109"/>
        <v>2873.5740000000005</v>
      </c>
      <c r="Z27" s="184">
        <f t="shared" si="110"/>
        <v>2514</v>
      </c>
      <c r="AA27" s="3506">
        <f>+U27+W27</f>
        <v>5715.9135000000006</v>
      </c>
      <c r="AB27" s="1150">
        <f>+V27+X27</f>
        <v>5117</v>
      </c>
      <c r="AC27" s="2023">
        <f>+AC14*AC36/100</f>
        <v>968.26950000000011</v>
      </c>
      <c r="AD27" s="311">
        <v>855</v>
      </c>
      <c r="AE27" s="3497">
        <f>+AA27+AC27</f>
        <v>6684.1830000000009</v>
      </c>
      <c r="AF27" s="385">
        <f>+AB27+AD27</f>
        <v>5972</v>
      </c>
      <c r="AG27" s="2023">
        <f>+AG14*AG36/100</f>
        <v>937.0350000000002</v>
      </c>
      <c r="AH27" s="311">
        <v>842</v>
      </c>
      <c r="AI27" s="3497">
        <f>+AE27+AG27</f>
        <v>7621.2180000000008</v>
      </c>
      <c r="AJ27" s="385">
        <f>+AF27+AH27</f>
        <v>6814</v>
      </c>
      <c r="AK27" s="2023">
        <f>+AK14*AK36/100</f>
        <v>968.26950000000011</v>
      </c>
      <c r="AL27" s="311">
        <v>844</v>
      </c>
      <c r="AM27" s="2266">
        <f t="shared" si="111"/>
        <v>2873.5740000000005</v>
      </c>
      <c r="AN27" s="184">
        <f t="shared" si="112"/>
        <v>2541</v>
      </c>
      <c r="AO27" s="3497">
        <f>+AI27+AK27</f>
        <v>8589.4875000000011</v>
      </c>
      <c r="AP27" s="385">
        <f>+AJ27+AL27</f>
        <v>7658</v>
      </c>
      <c r="AQ27" s="2023">
        <f>+AQ14*AQ36/100</f>
        <v>968.26950000000011</v>
      </c>
      <c r="AR27" s="311">
        <v>845</v>
      </c>
      <c r="AS27" s="3497">
        <f>+AO27+AQ27</f>
        <v>9557.7570000000014</v>
      </c>
      <c r="AT27" s="385">
        <f>+AP27+AR27</f>
        <v>8503</v>
      </c>
      <c r="AU27" s="2023">
        <f>+AU14*AU36/100</f>
        <v>874.56600000000003</v>
      </c>
      <c r="AV27" s="311">
        <v>767</v>
      </c>
      <c r="AW27" s="3497">
        <f>+AS27+AU27</f>
        <v>10432.323000000002</v>
      </c>
      <c r="AX27" s="385">
        <f>+AT27+AV27</f>
        <v>9270</v>
      </c>
      <c r="AY27" s="2023">
        <f>+AY14*AY36/100</f>
        <v>968.26950000000011</v>
      </c>
      <c r="AZ27" s="311">
        <v>851</v>
      </c>
      <c r="BA27" s="2266">
        <f t="shared" si="113"/>
        <v>2811.1050000000005</v>
      </c>
      <c r="BB27" s="184">
        <f t="shared" si="114"/>
        <v>2463</v>
      </c>
      <c r="BC27" s="3506">
        <f>+AM27+BA27</f>
        <v>5684.679000000001</v>
      </c>
      <c r="BD27" s="1150">
        <f>+AN27+BB27</f>
        <v>5004</v>
      </c>
      <c r="BE27" s="3497">
        <f>+AW27+AY27</f>
        <v>11400.592500000002</v>
      </c>
      <c r="BF27" s="385">
        <f>+AX27+AZ27</f>
        <v>10121</v>
      </c>
    </row>
    <row r="28" spans="1:60" ht="15.75" thickBot="1" x14ac:dyDescent="0.3">
      <c r="A28" s="332" t="s">
        <v>515</v>
      </c>
      <c r="B28" s="2232" t="s">
        <v>167</v>
      </c>
      <c r="C28" s="2233" t="s">
        <v>53</v>
      </c>
      <c r="D28" s="2234">
        <v>17615.8125</v>
      </c>
      <c r="E28" s="2268">
        <f t="shared" ref="E28" si="115">SUM(E26:E27)</f>
        <v>1447.8750000000002</v>
      </c>
      <c r="F28" s="358">
        <f t="shared" ref="F28:K28" si="116">SUM(F26:F27)</f>
        <v>1383</v>
      </c>
      <c r="G28" s="2268">
        <f t="shared" si="116"/>
        <v>1496.1375</v>
      </c>
      <c r="H28" s="325">
        <f t="shared" si="116"/>
        <v>1435</v>
      </c>
      <c r="I28" s="3511">
        <f t="shared" si="116"/>
        <v>2944.0124999999998</v>
      </c>
      <c r="J28" s="3512">
        <f t="shared" si="116"/>
        <v>2818</v>
      </c>
      <c r="K28" s="2268">
        <f t="shared" si="116"/>
        <v>1447.8750000000002</v>
      </c>
      <c r="L28" s="325">
        <f t="shared" ref="L28:O28" si="117">SUM(L26:L27)</f>
        <v>1263</v>
      </c>
      <c r="M28" s="2281">
        <f t="shared" si="117"/>
        <v>4391.8875000000007</v>
      </c>
      <c r="N28" s="398">
        <f t="shared" si="117"/>
        <v>4081</v>
      </c>
      <c r="O28" s="2268">
        <f t="shared" si="117"/>
        <v>1496.1375</v>
      </c>
      <c r="P28" s="325">
        <f t="shared" ref="P28" si="118">SUM(P26:P27)</f>
        <v>1307</v>
      </c>
      <c r="Q28" s="3511">
        <f t="shared" ref="Q28:T28" si="119">SUM(Q26:Q27)</f>
        <v>5888.0249999999996</v>
      </c>
      <c r="R28" s="3512">
        <f t="shared" si="119"/>
        <v>5388</v>
      </c>
      <c r="S28" s="2268">
        <f t="shared" si="119"/>
        <v>1496.1375</v>
      </c>
      <c r="T28" s="325">
        <f t="shared" si="119"/>
        <v>1329</v>
      </c>
      <c r="U28" s="3511">
        <f t="shared" ref="U28:X28" si="120">SUM(U26:U27)</f>
        <v>7384.1625000000004</v>
      </c>
      <c r="V28" s="3512">
        <f t="shared" si="120"/>
        <v>6717</v>
      </c>
      <c r="W28" s="2268">
        <f t="shared" si="120"/>
        <v>1447.8750000000002</v>
      </c>
      <c r="X28" s="325">
        <f t="shared" si="120"/>
        <v>1272</v>
      </c>
      <c r="Y28" s="2281">
        <f t="shared" ref="Y28:Z28" si="121">SUM(Y26:Y27)</f>
        <v>4440.1500000000005</v>
      </c>
      <c r="Z28" s="398">
        <f t="shared" si="121"/>
        <v>3908</v>
      </c>
      <c r="AA28" s="2282">
        <f t="shared" ref="AA28:AN28" si="122">SUM(AA26:AA27)</f>
        <v>8832.0375000000004</v>
      </c>
      <c r="AB28" s="1145">
        <f t="shared" si="122"/>
        <v>7989</v>
      </c>
      <c r="AC28" s="2268">
        <f t="shared" si="122"/>
        <v>1496.1375</v>
      </c>
      <c r="AD28" s="325">
        <f t="shared" si="122"/>
        <v>1304</v>
      </c>
      <c r="AE28" s="3511">
        <f t="shared" si="122"/>
        <v>10328.175000000001</v>
      </c>
      <c r="AF28" s="3512">
        <f t="shared" si="122"/>
        <v>9293</v>
      </c>
      <c r="AG28" s="2268">
        <f t="shared" ref="AG28:AJ28" si="123">SUM(AG26:AG27)</f>
        <v>1447.8750000000002</v>
      </c>
      <c r="AH28" s="325">
        <f t="shared" si="123"/>
        <v>1300</v>
      </c>
      <c r="AI28" s="3511">
        <f t="shared" si="123"/>
        <v>11776.05</v>
      </c>
      <c r="AJ28" s="3512">
        <f t="shared" si="123"/>
        <v>10593</v>
      </c>
      <c r="AK28" s="2268">
        <f t="shared" ref="AK28:AL28" si="124">SUM(AK26:AK27)</f>
        <v>1496.1375</v>
      </c>
      <c r="AL28" s="325">
        <f t="shared" si="124"/>
        <v>1308</v>
      </c>
      <c r="AM28" s="2281">
        <f t="shared" si="122"/>
        <v>4440.1500000000005</v>
      </c>
      <c r="AN28" s="398">
        <f t="shared" si="122"/>
        <v>3912</v>
      </c>
      <c r="AO28" s="3511">
        <f t="shared" ref="AO28:AT28" si="125">SUM(AO26:AO27)</f>
        <v>13272.1875</v>
      </c>
      <c r="AP28" s="3512">
        <f t="shared" si="125"/>
        <v>11901</v>
      </c>
      <c r="AQ28" s="2268">
        <f t="shared" si="125"/>
        <v>1496.1375</v>
      </c>
      <c r="AR28" s="325">
        <f t="shared" si="125"/>
        <v>1307</v>
      </c>
      <c r="AS28" s="3511">
        <f t="shared" si="125"/>
        <v>14768.325000000001</v>
      </c>
      <c r="AT28" s="3512">
        <f t="shared" si="125"/>
        <v>13208</v>
      </c>
      <c r="AU28" s="2268">
        <f t="shared" ref="AU28:AX28" si="126">SUM(AU26:AU27)</f>
        <v>1351.35</v>
      </c>
      <c r="AV28" s="325">
        <f t="shared" si="126"/>
        <v>1185</v>
      </c>
      <c r="AW28" s="3511">
        <f t="shared" si="126"/>
        <v>16119.675000000001</v>
      </c>
      <c r="AX28" s="3512">
        <f t="shared" si="126"/>
        <v>14393</v>
      </c>
      <c r="AY28" s="2268">
        <f t="shared" ref="AY28:BF28" si="127">SUM(AY26:AY27)</f>
        <v>1496.1375</v>
      </c>
      <c r="AZ28" s="325">
        <f t="shared" si="127"/>
        <v>1308</v>
      </c>
      <c r="BA28" s="2281">
        <f t="shared" si="127"/>
        <v>4343.625</v>
      </c>
      <c r="BB28" s="398">
        <f t="shared" si="127"/>
        <v>3800</v>
      </c>
      <c r="BC28" s="2282">
        <f t="shared" ref="BC28:BD28" si="128">SUM(BC26:BC27)</f>
        <v>8783.7750000000015</v>
      </c>
      <c r="BD28" s="1145">
        <f t="shared" si="128"/>
        <v>7712</v>
      </c>
      <c r="BE28" s="3511">
        <f t="shared" si="127"/>
        <v>17615.8125</v>
      </c>
      <c r="BF28" s="3512">
        <f t="shared" si="127"/>
        <v>15701</v>
      </c>
    </row>
    <row r="29" spans="1:60" s="412" customFormat="1" x14ac:dyDescent="0.25">
      <c r="A29" s="412" t="s">
        <v>515</v>
      </c>
      <c r="B29" s="2240" t="s">
        <v>181</v>
      </c>
      <c r="C29" s="140" t="s">
        <v>53</v>
      </c>
      <c r="D29" s="2241">
        <v>472356.72</v>
      </c>
      <c r="E29" s="363">
        <f t="shared" ref="E29" si="129">+E17+E20+E23+E26</f>
        <v>38823.839999999997</v>
      </c>
      <c r="F29" s="354">
        <f t="shared" ref="F29:H30" si="130">+F17+F20+F23+F26</f>
        <v>38301</v>
      </c>
      <c r="G29" s="363">
        <f t="shared" si="130"/>
        <v>40117.968000000001</v>
      </c>
      <c r="H29" s="190">
        <f t="shared" si="130"/>
        <v>39647</v>
      </c>
      <c r="I29" s="2265">
        <f>+E29+G29</f>
        <v>78941.80799999999</v>
      </c>
      <c r="J29" s="144">
        <f>+F29+H29</f>
        <v>77948</v>
      </c>
      <c r="K29" s="363">
        <f t="shared" ref="K29:L29" si="131">+K17+K20+K23+K26</f>
        <v>38823.839999999997</v>
      </c>
      <c r="L29" s="190">
        <f t="shared" si="131"/>
        <v>37752</v>
      </c>
      <c r="M29" s="2266">
        <f>+I29+K29</f>
        <v>117765.64799999999</v>
      </c>
      <c r="N29" s="184">
        <f>+J29+L29</f>
        <v>115700</v>
      </c>
      <c r="O29" s="363">
        <f t="shared" ref="O29" si="132">+O17+O20+O23+O26</f>
        <v>40117.968000000001</v>
      </c>
      <c r="P29" s="190">
        <f t="shared" ref="P29" si="133">+P17+P20+P23+P26</f>
        <v>39582</v>
      </c>
      <c r="Q29" s="2265">
        <f>+M29+O29</f>
        <v>157883.61599999998</v>
      </c>
      <c r="R29" s="144">
        <f>+N29+P29</f>
        <v>155282</v>
      </c>
      <c r="S29" s="363">
        <f t="shared" ref="S29:T30" si="134">+S17+S20+S23+S26</f>
        <v>40117.968000000001</v>
      </c>
      <c r="T29" s="190">
        <f t="shared" si="134"/>
        <v>40104</v>
      </c>
      <c r="U29" s="2265">
        <f>+Q29+S29</f>
        <v>198001.58399999997</v>
      </c>
      <c r="V29" s="144">
        <f>+R29+T29</f>
        <v>195386</v>
      </c>
      <c r="W29" s="363">
        <f t="shared" ref="W29:X29" si="135">+W17+W20+W23+W26</f>
        <v>38823.839999999997</v>
      </c>
      <c r="X29" s="190">
        <f t="shared" si="135"/>
        <v>38143</v>
      </c>
      <c r="Y29" s="2266">
        <f t="shared" ref="Y29:Y30" si="136">+O29+S29+W29</f>
        <v>119059.776</v>
      </c>
      <c r="Z29" s="184">
        <f t="shared" ref="Z29:Z30" si="137">+P29+T29+X29</f>
        <v>117829</v>
      </c>
      <c r="AA29" s="2272">
        <f>+U29+W29</f>
        <v>236825.42399999997</v>
      </c>
      <c r="AB29" s="1149">
        <f>+V29+X29</f>
        <v>233529</v>
      </c>
      <c r="AC29" s="363">
        <f t="shared" ref="AC29:AD29" si="138">+AC17+AC20+AC23+AC26</f>
        <v>40117.968000000001</v>
      </c>
      <c r="AD29" s="190">
        <f t="shared" si="138"/>
        <v>38575</v>
      </c>
      <c r="AE29" s="2265">
        <f>+AA29+AC29</f>
        <v>276943.39199999999</v>
      </c>
      <c r="AF29" s="144">
        <f>+AB29+AD29</f>
        <v>272104</v>
      </c>
      <c r="AG29" s="363">
        <f t="shared" ref="AG29:AH30" si="139">+AG17+AG20+AG23+AG26</f>
        <v>38823.839999999997</v>
      </c>
      <c r="AH29" s="190">
        <f t="shared" si="139"/>
        <v>38641</v>
      </c>
      <c r="AI29" s="2265">
        <f>+AE29+AG29</f>
        <v>315767.23199999996</v>
      </c>
      <c r="AJ29" s="144">
        <f>+AF29+AH29</f>
        <v>310745</v>
      </c>
      <c r="AK29" s="363">
        <f t="shared" ref="AK29:AL30" si="140">+AK17+AK20+AK23+AK26</f>
        <v>40117.968000000001</v>
      </c>
      <c r="AL29" s="190">
        <f t="shared" si="140"/>
        <v>40158</v>
      </c>
      <c r="AM29" s="2266">
        <f t="shared" ref="AM29:AM30" si="141">+AC29+AG29+AK29</f>
        <v>119059.77599999998</v>
      </c>
      <c r="AN29" s="184">
        <f t="shared" ref="AN29:AN30" si="142">+AD29+AH29+AL29</f>
        <v>117374</v>
      </c>
      <c r="AO29" s="2265">
        <f>+AI29+AK29</f>
        <v>355885.19999999995</v>
      </c>
      <c r="AP29" s="144">
        <f>+AJ29+AL29</f>
        <v>350903</v>
      </c>
      <c r="AQ29" s="363">
        <f t="shared" ref="AQ29:AR29" si="143">+AQ17+AQ20+AQ23+AQ26</f>
        <v>40117.968000000001</v>
      </c>
      <c r="AR29" s="190">
        <f t="shared" si="143"/>
        <v>40118</v>
      </c>
      <c r="AS29" s="2265">
        <f>+AO29+AQ29</f>
        <v>396003.16799999995</v>
      </c>
      <c r="AT29" s="144">
        <f>+AP29+AR29</f>
        <v>391021</v>
      </c>
      <c r="AU29" s="363">
        <f t="shared" ref="AU29:AV29" si="144">+AU17+AU20+AU23+AU26</f>
        <v>36235.584000000003</v>
      </c>
      <c r="AV29" s="190">
        <f t="shared" si="144"/>
        <v>36196</v>
      </c>
      <c r="AW29" s="2265">
        <f>+AS29+AU29</f>
        <v>432238.75199999998</v>
      </c>
      <c r="AX29" s="144">
        <f>+AT29+AV29</f>
        <v>427217</v>
      </c>
      <c r="AY29" s="363">
        <f t="shared" ref="AY29:AZ29" si="145">+AY17+AY20+AY23+AY26</f>
        <v>40117.968000000001</v>
      </c>
      <c r="AZ29" s="190">
        <f t="shared" si="145"/>
        <v>39530</v>
      </c>
      <c r="BA29" s="2266">
        <f t="shared" ref="BA29:BA30" si="146">+AQ29+AU29+AY29</f>
        <v>116471.51999999999</v>
      </c>
      <c r="BB29" s="184">
        <f t="shared" ref="BB29:BB30" si="147">+AR29+AV29+AZ29</f>
        <v>115844</v>
      </c>
      <c r="BC29" s="2272">
        <f>+AM29+BA29</f>
        <v>235531.29599999997</v>
      </c>
      <c r="BD29" s="1149">
        <f>+AN29+BB29</f>
        <v>233218</v>
      </c>
      <c r="BE29" s="2265">
        <f>+AW29+AY29</f>
        <v>472356.72</v>
      </c>
      <c r="BF29" s="144">
        <f>+AX29+AZ29</f>
        <v>466747</v>
      </c>
    </row>
    <row r="30" spans="1:60" s="412" customFormat="1" ht="15.75" thickBot="1" x14ac:dyDescent="0.3">
      <c r="A30" s="412" t="s">
        <v>515</v>
      </c>
      <c r="B30" s="2231" t="s">
        <v>182</v>
      </c>
      <c r="C30" s="380" t="s">
        <v>53</v>
      </c>
      <c r="D30" s="1507">
        <v>866445.02999999991</v>
      </c>
      <c r="E30" s="151">
        <f t="shared" ref="E30" si="148">+E18+E21+E24+E27</f>
        <v>71214.660000000018</v>
      </c>
      <c r="F30" s="3543">
        <f t="shared" si="130"/>
        <v>66203</v>
      </c>
      <c r="G30" s="151">
        <f t="shared" si="130"/>
        <v>73588.481999999989</v>
      </c>
      <c r="H30" s="54">
        <f t="shared" si="130"/>
        <v>69297</v>
      </c>
      <c r="I30" s="2279">
        <f>+E30+G30</f>
        <v>144803.14199999999</v>
      </c>
      <c r="J30" s="385">
        <f>+F30+H30</f>
        <v>135500</v>
      </c>
      <c r="K30" s="151">
        <f t="shared" ref="K30:L30" si="149">+K18+K21+K24+K27</f>
        <v>71214.660000000018</v>
      </c>
      <c r="L30" s="54">
        <f t="shared" si="149"/>
        <v>68434</v>
      </c>
      <c r="M30" s="2280">
        <f>+I30+K30</f>
        <v>216017.80200000003</v>
      </c>
      <c r="N30" s="399">
        <f>+J30+L30</f>
        <v>203934</v>
      </c>
      <c r="O30" s="151">
        <f t="shared" ref="O30" si="150">+O18+O21+O24+O27</f>
        <v>73588.481999999989</v>
      </c>
      <c r="P30" s="54">
        <f t="shared" ref="P30" si="151">+P18+P21+P24+P27</f>
        <v>69081</v>
      </c>
      <c r="Q30" s="2279">
        <f>+M30+O30</f>
        <v>289606.28399999999</v>
      </c>
      <c r="R30" s="385">
        <f>+N30+P30</f>
        <v>273015</v>
      </c>
      <c r="S30" s="151">
        <f t="shared" si="134"/>
        <v>73588.481999999989</v>
      </c>
      <c r="T30" s="54">
        <f t="shared" si="134"/>
        <v>72821</v>
      </c>
      <c r="U30" s="2279">
        <f>+Q30+S30</f>
        <v>363194.76599999995</v>
      </c>
      <c r="V30" s="385">
        <f>+R30+T30</f>
        <v>345836</v>
      </c>
      <c r="W30" s="151">
        <f t="shared" ref="W30:X30" si="152">+W18+W21+W24+W27</f>
        <v>71214.660000000018</v>
      </c>
      <c r="X30" s="54">
        <f t="shared" si="152"/>
        <v>70592</v>
      </c>
      <c r="Y30" s="2266">
        <f t="shared" si="136"/>
        <v>218391.62400000001</v>
      </c>
      <c r="Z30" s="184">
        <f t="shared" si="137"/>
        <v>212494</v>
      </c>
      <c r="AA30" s="2277">
        <f>+U30+W30</f>
        <v>434409.42599999998</v>
      </c>
      <c r="AB30" s="1150">
        <f>+V30+X30</f>
        <v>416428</v>
      </c>
      <c r="AC30" s="151">
        <f t="shared" ref="AC30:AD30" si="153">+AC18+AC21+AC24+AC27</f>
        <v>73588.481999999989</v>
      </c>
      <c r="AD30" s="54">
        <f t="shared" si="153"/>
        <v>73469</v>
      </c>
      <c r="AE30" s="2279">
        <f>+AA30+AC30</f>
        <v>507997.90799999994</v>
      </c>
      <c r="AF30" s="385">
        <f>+AB30+AD30</f>
        <v>489897</v>
      </c>
      <c r="AG30" s="151">
        <f t="shared" ref="AG30" si="154">+AG18+AG21+AG24+AG27</f>
        <v>71214.660000000018</v>
      </c>
      <c r="AH30" s="54">
        <f t="shared" si="139"/>
        <v>71071</v>
      </c>
      <c r="AI30" s="2279">
        <f>+AE30+AG30</f>
        <v>579212.56799999997</v>
      </c>
      <c r="AJ30" s="385">
        <f>+AF30+AH30</f>
        <v>560968</v>
      </c>
      <c r="AK30" s="151">
        <f t="shared" si="140"/>
        <v>73588.481999999989</v>
      </c>
      <c r="AL30" s="54">
        <f t="shared" si="140"/>
        <v>73133</v>
      </c>
      <c r="AM30" s="2266">
        <f t="shared" si="141"/>
        <v>218391.62399999998</v>
      </c>
      <c r="AN30" s="184">
        <f t="shared" si="142"/>
        <v>217673</v>
      </c>
      <c r="AO30" s="2279">
        <f>+AI30+AK30</f>
        <v>652801.04999999993</v>
      </c>
      <c r="AP30" s="385">
        <f>+AJ30+AL30</f>
        <v>634101</v>
      </c>
      <c r="AQ30" s="151">
        <f t="shared" ref="AQ30:AR30" si="155">+AQ18+AQ21+AQ24+AQ27</f>
        <v>73588.481999999989</v>
      </c>
      <c r="AR30" s="54">
        <f t="shared" si="155"/>
        <v>73373</v>
      </c>
      <c r="AS30" s="2279">
        <f>+AO30+AQ30</f>
        <v>726389.53199999989</v>
      </c>
      <c r="AT30" s="385">
        <f>+AP30+AR30</f>
        <v>707474</v>
      </c>
      <c r="AU30" s="151">
        <f t="shared" ref="AU30:AV30" si="156">+AU18+AU21+AU24+AU27</f>
        <v>66467.016000000018</v>
      </c>
      <c r="AV30" s="54">
        <f t="shared" si="156"/>
        <v>66371</v>
      </c>
      <c r="AW30" s="2279">
        <f>+AS30+AU30</f>
        <v>792856.54799999995</v>
      </c>
      <c r="AX30" s="385">
        <f>+AT30+AV30</f>
        <v>773845</v>
      </c>
      <c r="AY30" s="151">
        <f t="shared" ref="AY30:AZ30" si="157">+AY18+AY21+AY24+AY27</f>
        <v>73588.481999999989</v>
      </c>
      <c r="AZ30" s="54">
        <f t="shared" si="157"/>
        <v>73493</v>
      </c>
      <c r="BA30" s="2266">
        <f t="shared" si="146"/>
        <v>213643.98</v>
      </c>
      <c r="BB30" s="184">
        <f t="shared" si="147"/>
        <v>213237</v>
      </c>
      <c r="BC30" s="2277">
        <f>+AM30+BA30</f>
        <v>432035.60399999999</v>
      </c>
      <c r="BD30" s="1150">
        <f>+AN30+BB30</f>
        <v>430910</v>
      </c>
      <c r="BE30" s="2279">
        <f>+AW30+AY30</f>
        <v>866445.02999999991</v>
      </c>
      <c r="BF30" s="385">
        <f>+AX30+AZ30</f>
        <v>847338</v>
      </c>
      <c r="BG30" s="412">
        <f>0.88*1000000</f>
        <v>880000</v>
      </c>
      <c r="BH30" s="4480">
        <f>+BF30/BG30</f>
        <v>0.96288409090909088</v>
      </c>
    </row>
    <row r="31" spans="1:60" s="412" customFormat="1" ht="15.75" thickBot="1" x14ac:dyDescent="0.3">
      <c r="A31" s="412" t="s">
        <v>515</v>
      </c>
      <c r="B31" s="2232" t="s">
        <v>168</v>
      </c>
      <c r="C31" s="2233" t="s">
        <v>53</v>
      </c>
      <c r="D31" s="2234">
        <v>1338801.75</v>
      </c>
      <c r="E31" s="2268">
        <f t="shared" ref="E31" si="158">SUM(E29:E30)</f>
        <v>110038.50000000001</v>
      </c>
      <c r="F31" s="358">
        <f t="shared" ref="F31:J31" si="159">SUM(F29:F30)</f>
        <v>104504</v>
      </c>
      <c r="G31" s="2268">
        <f t="shared" ref="G31" si="160">SUM(G29:G30)</f>
        <v>113706.44999999998</v>
      </c>
      <c r="H31" s="324">
        <f t="shared" si="159"/>
        <v>108944</v>
      </c>
      <c r="I31" s="2235">
        <f t="shared" si="159"/>
        <v>223744.94999999998</v>
      </c>
      <c r="J31" s="3512">
        <f t="shared" si="159"/>
        <v>213448</v>
      </c>
      <c r="K31" s="2268">
        <f t="shared" ref="K31" si="161">SUM(K29:K30)</f>
        <v>110038.50000000001</v>
      </c>
      <c r="L31" s="324">
        <f t="shared" ref="L31:O31" si="162">SUM(L29:L30)</f>
        <v>106186</v>
      </c>
      <c r="M31" s="2238">
        <f t="shared" si="162"/>
        <v>333783.45</v>
      </c>
      <c r="N31" s="398">
        <f t="shared" si="162"/>
        <v>319634</v>
      </c>
      <c r="O31" s="2268">
        <f t="shared" si="162"/>
        <v>113706.44999999998</v>
      </c>
      <c r="P31" s="324">
        <f t="shared" ref="P31" si="163">SUM(P29:P30)</f>
        <v>108663</v>
      </c>
      <c r="Q31" s="2235">
        <f t="shared" ref="Q31:T31" si="164">SUM(Q29:Q30)</f>
        <v>447489.89999999997</v>
      </c>
      <c r="R31" s="3512">
        <f t="shared" si="164"/>
        <v>428297</v>
      </c>
      <c r="S31" s="2268">
        <f t="shared" si="164"/>
        <v>113706.44999999998</v>
      </c>
      <c r="T31" s="324">
        <f t="shared" si="164"/>
        <v>112925</v>
      </c>
      <c r="U31" s="2235">
        <f t="shared" ref="U31:X31" si="165">SUM(U29:U30)</f>
        <v>561196.34999999986</v>
      </c>
      <c r="V31" s="3512">
        <f t="shared" si="165"/>
        <v>541222</v>
      </c>
      <c r="W31" s="2268">
        <f t="shared" si="165"/>
        <v>110038.50000000001</v>
      </c>
      <c r="X31" s="324">
        <f t="shared" si="165"/>
        <v>108735</v>
      </c>
      <c r="Y31" s="2238">
        <f t="shared" ref="Y31:Z31" si="166">SUM(Y29:Y30)</f>
        <v>337451.4</v>
      </c>
      <c r="Z31" s="398">
        <f t="shared" si="166"/>
        <v>330323</v>
      </c>
      <c r="AA31" s="2239">
        <f t="shared" ref="AA31:AN31" si="167">SUM(AA29:AA30)</f>
        <v>671234.85</v>
      </c>
      <c r="AB31" s="1145">
        <f t="shared" si="167"/>
        <v>649957</v>
      </c>
      <c r="AC31" s="2268">
        <f t="shared" si="167"/>
        <v>113706.44999999998</v>
      </c>
      <c r="AD31" s="324">
        <f t="shared" si="167"/>
        <v>112044</v>
      </c>
      <c r="AE31" s="2235">
        <f t="shared" si="167"/>
        <v>784941.29999999993</v>
      </c>
      <c r="AF31" s="3512">
        <f t="shared" si="167"/>
        <v>762001</v>
      </c>
      <c r="AG31" s="2268">
        <f t="shared" ref="AG31:AJ31" si="168">SUM(AG29:AG30)</f>
        <v>110038.50000000001</v>
      </c>
      <c r="AH31" s="324">
        <f t="shared" si="168"/>
        <v>109712</v>
      </c>
      <c r="AI31" s="2235">
        <f t="shared" si="168"/>
        <v>894979.79999999993</v>
      </c>
      <c r="AJ31" s="3512">
        <f t="shared" si="168"/>
        <v>871713</v>
      </c>
      <c r="AK31" s="2268">
        <f t="shared" ref="AK31:AL31" si="169">SUM(AK29:AK30)</f>
        <v>113706.44999999998</v>
      </c>
      <c r="AL31" s="324">
        <f t="shared" si="169"/>
        <v>113291</v>
      </c>
      <c r="AM31" s="2238">
        <f t="shared" si="167"/>
        <v>337451.39999999997</v>
      </c>
      <c r="AN31" s="398">
        <f t="shared" si="167"/>
        <v>335047</v>
      </c>
      <c r="AO31" s="2235">
        <f t="shared" ref="AO31:AT31" si="170">SUM(AO29:AO30)</f>
        <v>1008686.2499999999</v>
      </c>
      <c r="AP31" s="3512">
        <f t="shared" si="170"/>
        <v>985004</v>
      </c>
      <c r="AQ31" s="2268">
        <f t="shared" si="170"/>
        <v>113706.44999999998</v>
      </c>
      <c r="AR31" s="324">
        <f t="shared" si="170"/>
        <v>113491</v>
      </c>
      <c r="AS31" s="2235">
        <f t="shared" si="170"/>
        <v>1122392.6999999997</v>
      </c>
      <c r="AT31" s="3512">
        <f t="shared" si="170"/>
        <v>1098495</v>
      </c>
      <c r="AU31" s="2268">
        <f t="shared" ref="AU31:AX31" si="171">SUM(AU29:AU30)</f>
        <v>102702.60000000002</v>
      </c>
      <c r="AV31" s="324">
        <f t="shared" si="171"/>
        <v>102567</v>
      </c>
      <c r="AW31" s="2235">
        <f t="shared" si="171"/>
        <v>1225095.2999999998</v>
      </c>
      <c r="AX31" s="3512">
        <f t="shared" si="171"/>
        <v>1201062</v>
      </c>
      <c r="AY31" s="2268">
        <f t="shared" ref="AY31:BF31" si="172">SUM(AY29:AY30)</f>
        <v>113706.44999999998</v>
      </c>
      <c r="AZ31" s="324">
        <f t="shared" si="172"/>
        <v>113023</v>
      </c>
      <c r="BA31" s="2238">
        <f t="shared" si="172"/>
        <v>330115.5</v>
      </c>
      <c r="BB31" s="398">
        <f t="shared" si="172"/>
        <v>329081</v>
      </c>
      <c r="BC31" s="2239">
        <f t="shared" ref="BC31:BD31" si="173">SUM(BC29:BC30)</f>
        <v>667566.89999999991</v>
      </c>
      <c r="BD31" s="1145">
        <f t="shared" si="173"/>
        <v>664128</v>
      </c>
      <c r="BE31" s="2235">
        <f t="shared" si="172"/>
        <v>1338801.75</v>
      </c>
      <c r="BF31" s="3512">
        <f t="shared" si="172"/>
        <v>1314085</v>
      </c>
      <c r="BH31" s="4479"/>
    </row>
    <row r="32" spans="1:60" s="334" customFormat="1" ht="16.5" thickBot="1" x14ac:dyDescent="0.3">
      <c r="A32" s="333" t="s">
        <v>515</v>
      </c>
      <c r="B32" s="2270" t="s">
        <v>470</v>
      </c>
      <c r="C32" s="2271"/>
      <c r="D32" s="2271"/>
      <c r="E32" s="1182"/>
      <c r="F32" s="1180"/>
      <c r="G32" s="1182"/>
      <c r="H32" s="1182"/>
      <c r="I32" s="1181"/>
      <c r="J32" s="1181"/>
      <c r="K32" s="1181"/>
      <c r="L32" s="1181"/>
      <c r="M32" s="1181"/>
      <c r="N32" s="1181"/>
      <c r="O32" s="1181"/>
      <c r="P32" s="1181"/>
      <c r="Q32" s="1181"/>
      <c r="R32" s="1181"/>
      <c r="S32" s="1181"/>
      <c r="T32" s="1181"/>
      <c r="U32" s="1181"/>
      <c r="V32" s="1181"/>
      <c r="W32" s="1181"/>
      <c r="X32" s="1181"/>
      <c r="Y32" s="1181"/>
      <c r="Z32" s="1181"/>
      <c r="AA32" s="1181"/>
      <c r="AB32" s="1181"/>
      <c r="AC32" s="1181"/>
      <c r="AD32" s="1181"/>
      <c r="AE32" s="1181"/>
      <c r="AF32" s="1181"/>
      <c r="AG32" s="1181"/>
      <c r="AH32" s="1181"/>
      <c r="AI32" s="1181"/>
      <c r="AJ32" s="1181"/>
      <c r="AK32" s="1181"/>
      <c r="AL32" s="1181"/>
      <c r="AM32" s="1181"/>
      <c r="AN32" s="1181"/>
      <c r="AO32" s="1181"/>
      <c r="AP32" s="1181"/>
      <c r="AQ32" s="1181"/>
      <c r="AR32" s="1181"/>
      <c r="AS32" s="1181"/>
      <c r="AT32" s="1181"/>
      <c r="AU32" s="1181"/>
      <c r="AV32" s="4104"/>
      <c r="AW32" s="1181"/>
      <c r="AX32" s="4105"/>
      <c r="AY32" s="1181"/>
      <c r="AZ32" s="4104"/>
      <c r="BA32" s="1181"/>
      <c r="BB32" s="1181"/>
      <c r="BC32" s="1181"/>
      <c r="BD32" s="1181"/>
      <c r="BE32" s="1181"/>
      <c r="BF32" s="4105"/>
    </row>
    <row r="33" spans="1:58" x14ac:dyDescent="0.25">
      <c r="A33" s="332" t="s">
        <v>515</v>
      </c>
      <c r="B33" s="2260" t="s">
        <v>27</v>
      </c>
      <c r="C33" s="2261" t="s">
        <v>52</v>
      </c>
      <c r="D33" s="2283">
        <v>70.5</v>
      </c>
      <c r="E33" s="2284">
        <v>70.5</v>
      </c>
      <c r="F33" s="359">
        <f t="shared" ref="F33:J33" si="174">+F19/F15*100</f>
        <v>71.952004846349851</v>
      </c>
      <c r="G33" s="2284">
        <v>70.5</v>
      </c>
      <c r="H33" s="328">
        <f t="shared" si="174"/>
        <v>71.406397478567769</v>
      </c>
      <c r="I33" s="2285">
        <f t="shared" si="174"/>
        <v>70.5</v>
      </c>
      <c r="J33" s="386">
        <f t="shared" si="174"/>
        <v>71.673527025648497</v>
      </c>
      <c r="K33" s="2286">
        <v>70.5</v>
      </c>
      <c r="L33" s="328">
        <f t="shared" ref="L33:N33" si="175">+L19/L15*100</f>
        <v>70.500217224352312</v>
      </c>
      <c r="M33" s="2287">
        <f>+M19/M15*100</f>
        <v>70.5</v>
      </c>
      <c r="N33" s="400">
        <f t="shared" si="175"/>
        <v>71.283742454733158</v>
      </c>
      <c r="O33" s="2286">
        <v>70.5</v>
      </c>
      <c r="P33" s="328">
        <f t="shared" ref="P33:R33" si="176">+P19/P15*100</f>
        <v>70.502874060645354</v>
      </c>
      <c r="Q33" s="2285">
        <f t="shared" si="176"/>
        <v>70.5</v>
      </c>
      <c r="R33" s="386">
        <f t="shared" si="176"/>
        <v>71.085628867578237</v>
      </c>
      <c r="S33" s="2286">
        <v>70.5</v>
      </c>
      <c r="T33" s="328">
        <f t="shared" ref="T33:V33" si="177">+T19/T15*100</f>
        <v>69.786747759476867</v>
      </c>
      <c r="U33" s="2285">
        <f t="shared" si="177"/>
        <v>70.5</v>
      </c>
      <c r="V33" s="386">
        <f t="shared" si="177"/>
        <v>70.814616995213186</v>
      </c>
      <c r="W33" s="2286">
        <v>70.5</v>
      </c>
      <c r="X33" s="328">
        <f t="shared" ref="X33" si="178">+X19/X15*100</f>
        <v>69.496787649364506</v>
      </c>
      <c r="Y33" s="2287">
        <f>+Y19/Y15*100</f>
        <v>70.5</v>
      </c>
      <c r="Z33" s="400">
        <f t="shared" ref="Z33" si="179">+Z19/Z15*100</f>
        <v>69.926874593482523</v>
      </c>
      <c r="AA33" s="2288">
        <f t="shared" ref="AA33:AB33" si="180">+AA19/AA15*100</f>
        <v>70.5</v>
      </c>
      <c r="AB33" s="1151">
        <f t="shared" si="180"/>
        <v>70.594149240034739</v>
      </c>
      <c r="AC33" s="2286">
        <v>70.5</v>
      </c>
      <c r="AD33" s="328">
        <f t="shared" ref="AD33:AF33" si="181">+AD19/AD15*100</f>
        <v>68.944232511951725</v>
      </c>
      <c r="AE33" s="2285">
        <f t="shared" si="181"/>
        <v>70.5</v>
      </c>
      <c r="AF33" s="386">
        <f t="shared" si="181"/>
        <v>70.351546789416759</v>
      </c>
      <c r="AG33" s="2286">
        <v>70.5</v>
      </c>
      <c r="AH33" s="328">
        <f t="shared" ref="AH33:AJ33" si="182">+AH19/AH15*100</f>
        <v>69.039758266635459</v>
      </c>
      <c r="AI33" s="2285">
        <f t="shared" si="182"/>
        <v>70.5</v>
      </c>
      <c r="AJ33" s="386">
        <f t="shared" si="182"/>
        <v>70.186448337656458</v>
      </c>
      <c r="AK33" s="2286">
        <v>70.5</v>
      </c>
      <c r="AL33" s="328">
        <f t="shared" ref="AL33" si="183">+AL19/AL15*100</f>
        <v>69.093602225592832</v>
      </c>
      <c r="AM33" s="2287">
        <f>+AM19/AM15*100</f>
        <v>70.499999999999986</v>
      </c>
      <c r="AN33" s="400">
        <f t="shared" ref="AN33:AP33" si="184">+AN19/AN15*100</f>
        <v>69.026019525475462</v>
      </c>
      <c r="AO33" s="2285">
        <f t="shared" si="184"/>
        <v>70.5</v>
      </c>
      <c r="AP33" s="386">
        <f t="shared" si="184"/>
        <v>70.060754679261493</v>
      </c>
      <c r="AQ33" s="2286">
        <v>70.5</v>
      </c>
      <c r="AR33" s="328">
        <f t="shared" ref="AR33:AT33" si="185">+AR19/AR15*100</f>
        <v>69.026409999879462</v>
      </c>
      <c r="AS33" s="2285">
        <f t="shared" si="185"/>
        <v>70.5</v>
      </c>
      <c r="AT33" s="386">
        <f t="shared" si="185"/>
        <v>69.953891566777287</v>
      </c>
      <c r="AU33" s="2286">
        <v>70.5</v>
      </c>
      <c r="AV33" s="328">
        <f t="shared" ref="AV33:AX33" si="186">+AV19/AV15*100</f>
        <v>69.070786886509197</v>
      </c>
      <c r="AW33" s="2285">
        <f t="shared" si="186"/>
        <v>70.5</v>
      </c>
      <c r="AX33" s="386">
        <f t="shared" si="186"/>
        <v>69.878476740073395</v>
      </c>
      <c r="AY33" s="2286">
        <v>70.5</v>
      </c>
      <c r="AZ33" s="328">
        <f t="shared" ref="AZ33:BF33" si="187">+AZ19/AZ15*100</f>
        <v>69.044145607444634</v>
      </c>
      <c r="BA33" s="2287">
        <f>+BA19/BA15*100</f>
        <v>70.5</v>
      </c>
      <c r="BB33" s="400">
        <f t="shared" ref="BB33:BD33" si="188">+BB19/BB15*100</f>
        <v>69.046332620131764</v>
      </c>
      <c r="BC33" s="2288">
        <f t="shared" si="188"/>
        <v>70.5</v>
      </c>
      <c r="BD33" s="1151">
        <f t="shared" si="188"/>
        <v>69.036084844056518</v>
      </c>
      <c r="BE33" s="2285">
        <f t="shared" si="187"/>
        <v>70.5</v>
      </c>
      <c r="BF33" s="386">
        <f t="shared" si="187"/>
        <v>69.806717198639646</v>
      </c>
    </row>
    <row r="34" spans="1:58" x14ac:dyDescent="0.25">
      <c r="A34" s="332" t="s">
        <v>515</v>
      </c>
      <c r="B34" s="2052" t="s">
        <v>1</v>
      </c>
      <c r="C34" s="3573" t="s">
        <v>52</v>
      </c>
      <c r="D34" s="244">
        <v>1</v>
      </c>
      <c r="E34" s="2289">
        <v>1</v>
      </c>
      <c r="F34" s="230">
        <f t="shared" ref="F34:J34" si="189">+F22/F15*100</f>
        <v>1.0035958548582222</v>
      </c>
      <c r="G34" s="2289">
        <v>1</v>
      </c>
      <c r="H34" s="225">
        <f t="shared" si="189"/>
        <v>1.3310349494339266</v>
      </c>
      <c r="I34" s="120">
        <f t="shared" si="189"/>
        <v>1</v>
      </c>
      <c r="J34" s="245">
        <f t="shared" si="189"/>
        <v>1.1707206608162677</v>
      </c>
      <c r="K34" s="118">
        <v>1</v>
      </c>
      <c r="L34" s="225">
        <f t="shared" ref="L34:N34" si="190">+L22/L15*100</f>
        <v>1.1000785156884649</v>
      </c>
      <c r="M34" s="173">
        <f t="shared" si="190"/>
        <v>1.0000000000000002</v>
      </c>
      <c r="N34" s="261">
        <f t="shared" si="190"/>
        <v>1.147252674614532</v>
      </c>
      <c r="O34" s="118">
        <v>1</v>
      </c>
      <c r="P34" s="225">
        <f t="shared" ref="P34:R34" si="191">+P22/P15*100</f>
        <v>1.0596098747247376</v>
      </c>
      <c r="Q34" s="120">
        <f t="shared" si="191"/>
        <v>1</v>
      </c>
      <c r="R34" s="245">
        <f t="shared" si="191"/>
        <v>1.1250168796893818</v>
      </c>
      <c r="S34" s="118">
        <v>1</v>
      </c>
      <c r="T34" s="225">
        <f t="shared" ref="T34:V34" si="192">+T22/T15*100</f>
        <v>1.175069546820902</v>
      </c>
      <c r="U34" s="120">
        <f t="shared" si="192"/>
        <v>1</v>
      </c>
      <c r="V34" s="245">
        <f t="shared" si="192"/>
        <v>1.1354603813706141</v>
      </c>
      <c r="W34" s="118">
        <v>1</v>
      </c>
      <c r="X34" s="225">
        <f t="shared" ref="X34" si="193">+X22/X15*100</f>
        <v>1.3217047545026026</v>
      </c>
      <c r="Y34" s="173">
        <f t="shared" ref="Y34:AB34" si="194">+Y22/Y15*100</f>
        <v>1.0000000000000002</v>
      </c>
      <c r="Z34" s="261">
        <f t="shared" si="194"/>
        <v>1.1853572487747819</v>
      </c>
      <c r="AA34" s="1862">
        <f t="shared" si="194"/>
        <v>1</v>
      </c>
      <c r="AB34" s="1146">
        <f t="shared" si="194"/>
        <v>1.1666183450237799</v>
      </c>
      <c r="AC34" s="118">
        <v>1</v>
      </c>
      <c r="AD34" s="225">
        <f t="shared" ref="AD34:AF34" si="195">+AD22/AD15*100</f>
        <v>1.80089861788662</v>
      </c>
      <c r="AE34" s="120">
        <f t="shared" si="195"/>
        <v>1</v>
      </c>
      <c r="AF34" s="245">
        <f t="shared" si="195"/>
        <v>1.2598824146316712</v>
      </c>
      <c r="AG34" s="118">
        <v>1</v>
      </c>
      <c r="AH34" s="225">
        <f t="shared" ref="AH34:AJ34" si="196">+AH22/AH15*100</f>
        <v>1.6417585797472107</v>
      </c>
      <c r="AI34" s="120">
        <f t="shared" si="196"/>
        <v>1</v>
      </c>
      <c r="AJ34" s="245">
        <f t="shared" si="196"/>
        <v>1.3079444021623021</v>
      </c>
      <c r="AK34" s="118">
        <v>1</v>
      </c>
      <c r="AL34" s="225">
        <f t="shared" ref="AL34" si="197">+AL22/AL15*100</f>
        <v>2.3090458649496628</v>
      </c>
      <c r="AM34" s="173">
        <f t="shared" ref="AM34:AP34" si="198">+AM22/AM15*100</f>
        <v>1.0000000000000002</v>
      </c>
      <c r="AN34" s="261">
        <f t="shared" si="198"/>
        <v>1.9206092235063335</v>
      </c>
      <c r="AO34" s="120">
        <f t="shared" si="198"/>
        <v>1</v>
      </c>
      <c r="AP34" s="245">
        <f t="shared" si="198"/>
        <v>1.4230860528423703</v>
      </c>
      <c r="AQ34" s="118">
        <v>1</v>
      </c>
      <c r="AR34" s="225">
        <f t="shared" ref="AR34:AT34" si="199">+AR22/AR15*100</f>
        <v>2.5011752510215643</v>
      </c>
      <c r="AS34" s="120">
        <f t="shared" si="199"/>
        <v>1</v>
      </c>
      <c r="AT34" s="245">
        <f t="shared" si="199"/>
        <v>1.5344686214865666</v>
      </c>
      <c r="AU34" s="118">
        <v>1</v>
      </c>
      <c r="AV34" s="225">
        <f t="shared" ref="AV34:AX34" si="200">+AV22/AV15*100</f>
        <v>2.298506489464808</v>
      </c>
      <c r="AW34" s="120">
        <f t="shared" si="200"/>
        <v>1</v>
      </c>
      <c r="AX34" s="245">
        <f t="shared" si="200"/>
        <v>1.5997154542757492</v>
      </c>
      <c r="AY34" s="118">
        <v>1</v>
      </c>
      <c r="AZ34" s="225">
        <f t="shared" ref="AZ34:BF34" si="201">+AZ22/AZ15*100</f>
        <v>2.4086574491698971</v>
      </c>
      <c r="BA34" s="173">
        <f t="shared" si="201"/>
        <v>1</v>
      </c>
      <c r="BB34" s="261">
        <f t="shared" si="201"/>
        <v>2.4062325094044335</v>
      </c>
      <c r="BC34" s="1862">
        <f t="shared" ref="BC34:BD34" si="202">+BC22/BC15*100</f>
        <v>1.0000000000000002</v>
      </c>
      <c r="BD34" s="1146">
        <f t="shared" si="202"/>
        <v>2.1612398691881132</v>
      </c>
      <c r="BE34" s="120">
        <f t="shared" si="201"/>
        <v>1</v>
      </c>
      <c r="BF34" s="245">
        <f t="shared" si="201"/>
        <v>1.6692913149022086</v>
      </c>
    </row>
    <row r="35" spans="1:58" x14ac:dyDescent="0.25">
      <c r="A35" s="332" t="s">
        <v>515</v>
      </c>
      <c r="B35" s="2052" t="s">
        <v>28</v>
      </c>
      <c r="C35" s="3573" t="s">
        <v>52</v>
      </c>
      <c r="D35" s="244">
        <v>3.5</v>
      </c>
      <c r="E35" s="2289">
        <v>3.5</v>
      </c>
      <c r="F35" s="230">
        <f t="shared" ref="F35:J35" si="203">+F25/F15*100</f>
        <v>2.0384631747591282</v>
      </c>
      <c r="G35" s="2289">
        <v>3.5</v>
      </c>
      <c r="H35" s="225">
        <f t="shared" si="203"/>
        <v>2.261643242172322</v>
      </c>
      <c r="I35" s="120">
        <f t="shared" si="203"/>
        <v>3.5000000000000004</v>
      </c>
      <c r="J35" s="245">
        <f t="shared" si="203"/>
        <v>2.1523742076138501</v>
      </c>
      <c r="K35" s="118">
        <v>3.5</v>
      </c>
      <c r="L35" s="225">
        <f t="shared" ref="L35:N35" si="204">+L25/L15*100</f>
        <v>3.496345835483508</v>
      </c>
      <c r="M35" s="173">
        <f t="shared" si="204"/>
        <v>3.5000000000000004</v>
      </c>
      <c r="N35" s="261">
        <f t="shared" si="204"/>
        <v>2.5988542452926082</v>
      </c>
      <c r="O35" s="118">
        <v>3.5</v>
      </c>
      <c r="P35" s="225">
        <f t="shared" ref="P35:R35" si="205">+P25/P15*100</f>
        <v>3.5236399662463551</v>
      </c>
      <c r="Q35" s="120">
        <f t="shared" si="205"/>
        <v>3.5000000000000004</v>
      </c>
      <c r="R35" s="245">
        <f t="shared" si="205"/>
        <v>2.833480999192437</v>
      </c>
      <c r="S35" s="118">
        <v>3.5</v>
      </c>
      <c r="T35" s="225">
        <f t="shared" ref="T35:V35" si="206">+T25/T15*100</f>
        <v>4.1430287114716338</v>
      </c>
      <c r="U35" s="120">
        <f t="shared" si="206"/>
        <v>3.5000000000000004</v>
      </c>
      <c r="V35" s="245">
        <f t="shared" si="206"/>
        <v>3.1067184612222936</v>
      </c>
      <c r="W35" s="118">
        <v>3.5</v>
      </c>
      <c r="X35" s="225">
        <f t="shared" ref="X35" si="207">+X25/X15*100</f>
        <v>4.2922204639875634</v>
      </c>
      <c r="Y35" s="173">
        <f t="shared" ref="Y35:AB35" si="208">+Y25/Y15*100</f>
        <v>3.5000000000000004</v>
      </c>
      <c r="Z35" s="261">
        <f t="shared" si="208"/>
        <v>3.9883866280106455</v>
      </c>
      <c r="AA35" s="1862">
        <f t="shared" si="208"/>
        <v>3.5000000000000004</v>
      </c>
      <c r="AB35" s="1146">
        <f t="shared" si="208"/>
        <v>3.3050483634456387</v>
      </c>
      <c r="AC35" s="118">
        <v>3.5</v>
      </c>
      <c r="AD35" s="225">
        <f t="shared" ref="AD35:AF35" si="209">+AD25/AD15*100</f>
        <v>4.3703163069843667</v>
      </c>
      <c r="AE35" s="120">
        <f t="shared" si="209"/>
        <v>3.5000000000000004</v>
      </c>
      <c r="AF35" s="245">
        <f t="shared" si="209"/>
        <v>3.4616845192397121</v>
      </c>
      <c r="AG35" s="118">
        <v>3.5</v>
      </c>
      <c r="AH35" s="225">
        <f t="shared" ref="AH35:AJ35" si="210">+AH25/AH15*100</f>
        <v>4.4182009373956586</v>
      </c>
      <c r="AI35" s="120">
        <f t="shared" si="210"/>
        <v>3.5000000000000004</v>
      </c>
      <c r="AJ35" s="245">
        <f t="shared" si="210"/>
        <v>3.5820693045754122</v>
      </c>
      <c r="AK35" s="118">
        <v>3.5</v>
      </c>
      <c r="AL35" s="225">
        <f t="shared" ref="AL35" si="211">+AL25/AL15*100</f>
        <v>3.7205021403285388</v>
      </c>
      <c r="AM35" s="173">
        <f t="shared" ref="AM35:AP35" si="212">+AM25/AM15*100</f>
        <v>3.5000000000000004</v>
      </c>
      <c r="AN35" s="261">
        <f t="shared" si="212"/>
        <v>4.1662725414126394</v>
      </c>
      <c r="AO35" s="120">
        <f t="shared" si="212"/>
        <v>3.5000000000000004</v>
      </c>
      <c r="AP35" s="245">
        <f t="shared" si="212"/>
        <v>3.5979911524693895</v>
      </c>
      <c r="AQ35" s="118">
        <v>3.5</v>
      </c>
      <c r="AR35" s="225">
        <f t="shared" ref="AR35:AT35" si="213">+AR25/AR15*100</f>
        <v>3.5974065457798785</v>
      </c>
      <c r="AS35" s="120">
        <f t="shared" si="213"/>
        <v>3.5000000000000009</v>
      </c>
      <c r="AT35" s="245">
        <f t="shared" si="213"/>
        <v>3.5979307539468603</v>
      </c>
      <c r="AU35" s="118">
        <v>3.5</v>
      </c>
      <c r="AV35" s="225">
        <f t="shared" ref="AV35:AX35" si="214">+AV25/AV15*100</f>
        <v>3.752300729416437</v>
      </c>
      <c r="AW35" s="120">
        <f t="shared" si="214"/>
        <v>3.5000000000000004</v>
      </c>
      <c r="AX35" s="245">
        <f t="shared" si="214"/>
        <v>3.6111135455325525</v>
      </c>
      <c r="AY35" s="118">
        <v>3.5</v>
      </c>
      <c r="AZ35" s="225">
        <f t="shared" ref="AZ35:BF35" si="215">+AZ25/AZ15*100</f>
        <v>3.668125735684475</v>
      </c>
      <c r="BA35" s="173">
        <f t="shared" si="215"/>
        <v>3.5000000000000004</v>
      </c>
      <c r="BB35" s="261">
        <f t="shared" si="215"/>
        <v>3.6699722436842164</v>
      </c>
      <c r="BC35" s="1862">
        <f t="shared" ref="BC35:BD35" si="216">+BC25/BC15*100</f>
        <v>3.5000000000000004</v>
      </c>
      <c r="BD35" s="1146">
        <f t="shared" si="216"/>
        <v>3.9203513416629447</v>
      </c>
      <c r="BE35" s="120">
        <f t="shared" si="215"/>
        <v>3.5000000000000009</v>
      </c>
      <c r="BF35" s="245">
        <f t="shared" si="215"/>
        <v>3.616017076590472</v>
      </c>
    </row>
    <row r="36" spans="1:58" ht="15.95" customHeight="1" thickBot="1" x14ac:dyDescent="0.3">
      <c r="A36" s="332" t="s">
        <v>515</v>
      </c>
      <c r="B36" s="2231" t="s">
        <v>203</v>
      </c>
      <c r="C36" s="380" t="s">
        <v>52</v>
      </c>
      <c r="D36" s="2290">
        <v>1</v>
      </c>
      <c r="E36" s="2291">
        <v>1</v>
      </c>
      <c r="F36" s="360">
        <f t="shared" ref="F36:J36" si="217">+F28/F15*100</f>
        <v>1.0057775849774793</v>
      </c>
      <c r="G36" s="2291">
        <v>1</v>
      </c>
      <c r="H36" s="307">
        <f t="shared" si="217"/>
        <v>1.0010666417388285</v>
      </c>
      <c r="I36" s="2292">
        <f t="shared" si="217"/>
        <v>1</v>
      </c>
      <c r="J36" s="246">
        <f t="shared" si="217"/>
        <v>1.003373121101047</v>
      </c>
      <c r="K36" s="2293">
        <v>1</v>
      </c>
      <c r="L36" s="307">
        <f t="shared" ref="L36:N36" si="218">+L28/L15*100</f>
        <v>0.9039682272703522</v>
      </c>
      <c r="M36" s="2294">
        <f t="shared" si="218"/>
        <v>1.0000000000000002</v>
      </c>
      <c r="N36" s="262">
        <f t="shared" si="218"/>
        <v>0.97034987877759693</v>
      </c>
      <c r="O36" s="2293">
        <v>1</v>
      </c>
      <c r="P36" s="307">
        <f t="shared" ref="P36:R36" si="219">+P28/P15*100</f>
        <v>0.91413208334338736</v>
      </c>
      <c r="Q36" s="2292">
        <f t="shared" si="219"/>
        <v>1</v>
      </c>
      <c r="R36" s="246">
        <f t="shared" si="219"/>
        <v>0.95608690027861021</v>
      </c>
      <c r="S36" s="2293">
        <v>1</v>
      </c>
      <c r="T36" s="307">
        <f t="shared" ref="T36:V36" si="220">+T28/T15*100</f>
        <v>0.89442578907501646</v>
      </c>
      <c r="U36" s="2292">
        <f t="shared" si="220"/>
        <v>1</v>
      </c>
      <c r="V36" s="246">
        <f t="shared" si="220"/>
        <v>0.94322129379995245</v>
      </c>
      <c r="W36" s="2293">
        <v>1</v>
      </c>
      <c r="X36" s="307">
        <f t="shared" ref="X36" si="221">+X28/X15*100</f>
        <v>0.88905787822702831</v>
      </c>
      <c r="Y36" s="2294">
        <f t="shared" ref="Y36:AB36" si="222">+Y28/Y15*100</f>
        <v>1.0000000000000002</v>
      </c>
      <c r="Z36" s="262">
        <f t="shared" si="222"/>
        <v>0.89914132923366619</v>
      </c>
      <c r="AA36" s="2295">
        <f t="shared" si="222"/>
        <v>1</v>
      </c>
      <c r="AB36" s="1152">
        <f t="shared" si="222"/>
        <v>0.93415996375613686</v>
      </c>
      <c r="AC36" s="2293">
        <v>1</v>
      </c>
      <c r="AD36" s="307">
        <f t="shared" ref="AD36:AF36" si="223">+AD28/AD15*100</f>
        <v>0.88450915168517985</v>
      </c>
      <c r="AE36" s="2292">
        <f t="shared" si="223"/>
        <v>1</v>
      </c>
      <c r="AF36" s="246">
        <f t="shared" si="223"/>
        <v>0.92685934762287203</v>
      </c>
      <c r="AG36" s="2293">
        <v>1</v>
      </c>
      <c r="AH36" s="307">
        <f t="shared" ref="AH36:AJ36" si="224">+AH28/AH15*100</f>
        <v>0.90054268087399747</v>
      </c>
      <c r="AI36" s="2292">
        <f t="shared" si="224"/>
        <v>1</v>
      </c>
      <c r="AJ36" s="246">
        <f t="shared" si="224"/>
        <v>0.92354719718072686</v>
      </c>
      <c r="AK36" s="2293">
        <v>1</v>
      </c>
      <c r="AL36" s="307">
        <f t="shared" ref="AL36" si="225">+AL28/AL15*100</f>
        <v>0.8774642624503658</v>
      </c>
      <c r="AM36" s="2294">
        <f t="shared" ref="AM36:AP36" si="226">+AM28/AM15*100</f>
        <v>1.0000000000000002</v>
      </c>
      <c r="AN36" s="262">
        <f t="shared" si="226"/>
        <v>0.88737726259085581</v>
      </c>
      <c r="AO36" s="2292">
        <f t="shared" si="226"/>
        <v>1</v>
      </c>
      <c r="AP36" s="246">
        <f t="shared" si="226"/>
        <v>0.91824697001068378</v>
      </c>
      <c r="AQ36" s="2293">
        <v>1</v>
      </c>
      <c r="AR36" s="307">
        <f t="shared" ref="AR36:AT36" si="227">+AR28/AR15*100</f>
        <v>0.87524392318211097</v>
      </c>
      <c r="AS36" s="2292">
        <f t="shared" si="227"/>
        <v>1</v>
      </c>
      <c r="AT36" s="246">
        <f t="shared" si="227"/>
        <v>0.91380411887797341</v>
      </c>
      <c r="AU36" s="2293">
        <v>1</v>
      </c>
      <c r="AV36" s="307">
        <f t="shared" ref="AV36:AX36" si="228">+AV28/AV15*100</f>
        <v>0.87805615409922555</v>
      </c>
      <c r="AW36" s="2292">
        <f t="shared" si="228"/>
        <v>1</v>
      </c>
      <c r="AX36" s="246">
        <f t="shared" si="228"/>
        <v>0.91075133631544869</v>
      </c>
      <c r="AY36" s="2293">
        <v>1</v>
      </c>
      <c r="AZ36" s="307">
        <f t="shared" ref="AZ36:BF36" si="229">+AZ28/AZ15*100</f>
        <v>0.87954325614579154</v>
      </c>
      <c r="BA36" s="2294">
        <f t="shared" si="229"/>
        <v>1</v>
      </c>
      <c r="BB36" s="262">
        <f t="shared" si="229"/>
        <v>0.87759703769429376</v>
      </c>
      <c r="BC36" s="2295">
        <f t="shared" ref="BC36:BD36" si="230">+BC28/BC15*100</f>
        <v>1.0000000000000002</v>
      </c>
      <c r="BD36" s="1152">
        <f t="shared" si="230"/>
        <v>0.88253107440319434</v>
      </c>
      <c r="BE36" s="2292">
        <f t="shared" si="229"/>
        <v>1</v>
      </c>
      <c r="BF36" s="246">
        <f t="shared" si="229"/>
        <v>0.9080671771915455</v>
      </c>
    </row>
    <row r="37" spans="1:58" ht="16.5" thickBot="1" x14ac:dyDescent="0.3">
      <c r="A37" s="332" t="s">
        <v>515</v>
      </c>
      <c r="B37" s="2296" t="s">
        <v>204</v>
      </c>
      <c r="C37" s="1194" t="s">
        <v>52</v>
      </c>
      <c r="D37" s="2297">
        <v>76</v>
      </c>
      <c r="E37" s="2298">
        <f t="shared" ref="E37:J37" si="231">SUM(E33:E36)</f>
        <v>76</v>
      </c>
      <c r="F37" s="250">
        <f t="shared" si="231"/>
        <v>75.99984146094468</v>
      </c>
      <c r="G37" s="2298">
        <f t="shared" ref="G37" si="232">SUM(G33:G36)</f>
        <v>76</v>
      </c>
      <c r="H37" s="55">
        <f t="shared" si="231"/>
        <v>76.000142311912853</v>
      </c>
      <c r="I37" s="2299">
        <f t="shared" si="231"/>
        <v>76</v>
      </c>
      <c r="J37" s="99">
        <f t="shared" si="231"/>
        <v>75.999995015179664</v>
      </c>
      <c r="K37" s="2300">
        <f t="shared" ref="K37:N37" si="233">SUM(K33:K36)</f>
        <v>76</v>
      </c>
      <c r="L37" s="55">
        <f t="shared" si="233"/>
        <v>76.000609802794642</v>
      </c>
      <c r="M37" s="2301">
        <f t="shared" si="233"/>
        <v>76</v>
      </c>
      <c r="N37" s="166">
        <f t="shared" si="233"/>
        <v>76.000199253417904</v>
      </c>
      <c r="O37" s="2300">
        <f t="shared" ref="O37:P37" si="234">SUM(O33:O36)</f>
        <v>76</v>
      </c>
      <c r="P37" s="55">
        <f t="shared" si="234"/>
        <v>76.000255984959836</v>
      </c>
      <c r="Q37" s="2299">
        <f t="shared" ref="Q37:T37" si="235">SUM(Q33:Q36)</f>
        <v>76</v>
      </c>
      <c r="R37" s="99">
        <f t="shared" si="235"/>
        <v>76.000213646738658</v>
      </c>
      <c r="S37" s="2300">
        <f t="shared" si="235"/>
        <v>76</v>
      </c>
      <c r="T37" s="55">
        <f t="shared" si="235"/>
        <v>75.999271806844419</v>
      </c>
      <c r="U37" s="2299">
        <f t="shared" ref="U37:X37" si="236">SUM(U33:U36)</f>
        <v>76</v>
      </c>
      <c r="V37" s="99">
        <f t="shared" si="236"/>
        <v>76.000017131606057</v>
      </c>
      <c r="W37" s="2300">
        <f t="shared" si="236"/>
        <v>76</v>
      </c>
      <c r="X37" s="55">
        <f t="shared" si="236"/>
        <v>75.999770746081708</v>
      </c>
      <c r="Y37" s="2301">
        <f t="shared" ref="Y37:Z37" si="237">SUM(Y33:Y36)</f>
        <v>76</v>
      </c>
      <c r="Z37" s="166">
        <f t="shared" si="237"/>
        <v>75.999759799501618</v>
      </c>
      <c r="AA37" s="2302">
        <f t="shared" ref="AA37:AN37" si="238">SUM(AA33:AA36)</f>
        <v>76</v>
      </c>
      <c r="AB37" s="1127">
        <f t="shared" si="238"/>
        <v>75.999975912260282</v>
      </c>
      <c r="AC37" s="2300">
        <f t="shared" si="238"/>
        <v>76</v>
      </c>
      <c r="AD37" s="55">
        <f t="shared" si="238"/>
        <v>75.999956588507885</v>
      </c>
      <c r="AE37" s="2299">
        <f t="shared" si="238"/>
        <v>76</v>
      </c>
      <c r="AF37" s="99">
        <f t="shared" si="238"/>
        <v>75.999973070911011</v>
      </c>
      <c r="AG37" s="2300">
        <f t="shared" ref="AG37:AJ37" si="239">SUM(AG33:AG36)</f>
        <v>76</v>
      </c>
      <c r="AH37" s="55">
        <f t="shared" si="239"/>
        <v>76.000260464652314</v>
      </c>
      <c r="AI37" s="2299">
        <f t="shared" si="239"/>
        <v>76</v>
      </c>
      <c r="AJ37" s="99">
        <f t="shared" si="239"/>
        <v>76.000009241574901</v>
      </c>
      <c r="AK37" s="2300">
        <f t="shared" ref="AK37:AL37" si="240">SUM(AK33:AK36)</f>
        <v>76</v>
      </c>
      <c r="AL37" s="55">
        <f t="shared" si="240"/>
        <v>76.000614493321393</v>
      </c>
      <c r="AM37" s="2301">
        <f t="shared" si="238"/>
        <v>75.999999999999986</v>
      </c>
      <c r="AN37" s="166">
        <f t="shared" si="238"/>
        <v>76.000278552985293</v>
      </c>
      <c r="AO37" s="2299">
        <f t="shared" ref="AO37:AT37" si="241">SUM(AO33:AO36)</f>
        <v>76</v>
      </c>
      <c r="AP37" s="99">
        <f t="shared" si="241"/>
        <v>76.000078854583933</v>
      </c>
      <c r="AQ37" s="2300">
        <f t="shared" si="241"/>
        <v>76</v>
      </c>
      <c r="AR37" s="55">
        <f t="shared" si="241"/>
        <v>76.000235719863014</v>
      </c>
      <c r="AS37" s="2299">
        <f t="shared" si="241"/>
        <v>76</v>
      </c>
      <c r="AT37" s="99">
        <f t="shared" si="241"/>
        <v>76.000095061088686</v>
      </c>
      <c r="AU37" s="2300">
        <f t="shared" ref="AU37:AX37" si="242">SUM(AU33:AU36)</f>
        <v>76</v>
      </c>
      <c r="AV37" s="55">
        <f t="shared" si="242"/>
        <v>75.99965025948967</v>
      </c>
      <c r="AW37" s="2299">
        <f t="shared" si="242"/>
        <v>76</v>
      </c>
      <c r="AX37" s="99">
        <f t="shared" si="242"/>
        <v>76.000057076197137</v>
      </c>
      <c r="AY37" s="2300">
        <f t="shared" ref="AY37:BF37" si="243">SUM(AY33:AY36)</f>
        <v>76</v>
      </c>
      <c r="AZ37" s="55">
        <f t="shared" si="243"/>
        <v>76.000472048444792</v>
      </c>
      <c r="BA37" s="2301">
        <f t="shared" si="243"/>
        <v>76</v>
      </c>
      <c r="BB37" s="166">
        <f t="shared" si="243"/>
        <v>76.000134410914711</v>
      </c>
      <c r="BC37" s="2302">
        <f t="shared" ref="BC37:BD37" si="244">SUM(BC33:BC36)</f>
        <v>76</v>
      </c>
      <c r="BD37" s="1127">
        <f t="shared" si="244"/>
        <v>76.000207129310766</v>
      </c>
      <c r="BE37" s="2299">
        <f t="shared" si="243"/>
        <v>76</v>
      </c>
      <c r="BF37" s="99">
        <f t="shared" si="243"/>
        <v>76.000092767323864</v>
      </c>
    </row>
    <row r="38" spans="1:58" s="334" customFormat="1" ht="15.75" x14ac:dyDescent="0.25">
      <c r="A38" s="333" t="s">
        <v>515</v>
      </c>
      <c r="B38" s="2246" t="s">
        <v>205</v>
      </c>
      <c r="C38" s="2247"/>
      <c r="D38" s="2247"/>
      <c r="E38" s="1174"/>
      <c r="F38" s="1173"/>
      <c r="G38" s="1174"/>
      <c r="H38" s="1174"/>
      <c r="I38" s="568"/>
      <c r="J38" s="568"/>
      <c r="K38" s="568"/>
      <c r="L38" s="568"/>
      <c r="M38" s="568"/>
      <c r="N38" s="568"/>
      <c r="O38" s="568"/>
      <c r="P38" s="568"/>
      <c r="Q38" s="568"/>
      <c r="R38" s="568"/>
      <c r="S38" s="568"/>
      <c r="T38" s="568"/>
      <c r="U38" s="568"/>
      <c r="V38" s="568"/>
      <c r="W38" s="568"/>
      <c r="X38" s="568"/>
      <c r="Y38" s="568"/>
      <c r="Z38" s="568"/>
      <c r="AA38" s="568"/>
      <c r="AB38" s="568"/>
      <c r="AC38" s="568"/>
      <c r="AD38" s="568"/>
      <c r="AE38" s="568"/>
      <c r="AF38" s="568"/>
      <c r="AG38" s="568"/>
      <c r="AH38" s="568"/>
      <c r="AI38" s="568"/>
      <c r="AJ38" s="568"/>
      <c r="AK38" s="568"/>
      <c r="AL38" s="568"/>
      <c r="AM38" s="568"/>
      <c r="AN38" s="568"/>
      <c r="AO38" s="568"/>
      <c r="AP38" s="568"/>
      <c r="AQ38" s="568"/>
      <c r="AR38" s="568"/>
      <c r="AS38" s="568"/>
      <c r="AT38" s="568"/>
      <c r="AU38" s="568"/>
      <c r="AV38" s="568"/>
      <c r="AW38" s="568"/>
      <c r="AX38" s="568"/>
      <c r="AY38" s="568"/>
      <c r="AZ38" s="568"/>
      <c r="BA38" s="568"/>
      <c r="BB38" s="568"/>
      <c r="BC38" s="568"/>
      <c r="BD38" s="568"/>
      <c r="BE38" s="568"/>
      <c r="BF38" s="568"/>
    </row>
    <row r="39" spans="1:58" x14ac:dyDescent="0.25">
      <c r="B39" s="2303" t="s">
        <v>206</v>
      </c>
      <c r="C39" s="3573" t="s">
        <v>53</v>
      </c>
      <c r="D39" s="251">
        <v>18024.137999999999</v>
      </c>
      <c r="E39" s="3502">
        <v>1481.44</v>
      </c>
      <c r="F39" s="238">
        <v>1462</v>
      </c>
      <c r="G39" s="3502">
        <v>1530.82</v>
      </c>
      <c r="H39" s="50">
        <v>1512.9</v>
      </c>
      <c r="I39" s="143">
        <f>+E39+G39</f>
        <v>3012.26</v>
      </c>
      <c r="J39" s="96">
        <f>+F39+H39</f>
        <v>2974.9</v>
      </c>
      <c r="K39" s="823">
        <v>1481.4359999999999</v>
      </c>
      <c r="L39" s="50">
        <v>1416.7</v>
      </c>
      <c r="M39" s="167">
        <f>+I39+K39</f>
        <v>4493.6959999999999</v>
      </c>
      <c r="N39" s="163">
        <f>+J39+L39</f>
        <v>4391.6000000000004</v>
      </c>
      <c r="O39" s="823">
        <v>1530.8172</v>
      </c>
      <c r="P39" s="312">
        <v>1433.3</v>
      </c>
      <c r="Q39" s="143">
        <f>+M39+O39</f>
        <v>6024.5131999999994</v>
      </c>
      <c r="R39" s="96">
        <f>+N39+P39</f>
        <v>5824.9000000000005</v>
      </c>
      <c r="S39" s="823">
        <v>1530.8172</v>
      </c>
      <c r="T39" s="312">
        <v>1448.6</v>
      </c>
      <c r="U39" s="143">
        <f>+Q39+S39</f>
        <v>7555.3303999999989</v>
      </c>
      <c r="V39" s="96">
        <f>+R39+T39</f>
        <v>7273.5</v>
      </c>
      <c r="W39" s="823">
        <v>1481.4359999999999</v>
      </c>
      <c r="X39" s="312">
        <v>1379.6</v>
      </c>
      <c r="Y39" s="2266">
        <f t="shared" ref="Y39:Y40" si="245">+O39+S39+W39</f>
        <v>4543.0703999999996</v>
      </c>
      <c r="Z39" s="184">
        <f t="shared" ref="Z39:Z40" si="246">+P39+T39+X39</f>
        <v>4261.5</v>
      </c>
      <c r="AA39" s="1789">
        <f>+U39+W39</f>
        <v>9036.7663999999986</v>
      </c>
      <c r="AB39" s="1118">
        <f>+V39+X39</f>
        <v>8653.1</v>
      </c>
      <c r="AC39" s="823">
        <v>1530.8172</v>
      </c>
      <c r="AD39" s="312">
        <v>1398</v>
      </c>
      <c r="AE39" s="143">
        <f>+AA39+AC39</f>
        <v>10567.583599999998</v>
      </c>
      <c r="AF39" s="96">
        <f>+AB39+AD39</f>
        <v>10051.1</v>
      </c>
      <c r="AG39" s="1094">
        <v>1481.4359999999999</v>
      </c>
      <c r="AH39" s="3551">
        <v>1386.8</v>
      </c>
      <c r="AI39" s="3547">
        <f>+AE39+AG39</f>
        <v>12049.019599999998</v>
      </c>
      <c r="AJ39" s="3547">
        <f>+AF39+AH39</f>
        <v>11437.9</v>
      </c>
      <c r="AK39" s="3551">
        <v>1530.8172</v>
      </c>
      <c r="AL39" s="1094">
        <v>1427.3</v>
      </c>
      <c r="AM39" s="2266">
        <f t="shared" ref="AM39:AM40" si="247">+AC39+AG39+AK39</f>
        <v>4543.0704000000005</v>
      </c>
      <c r="AN39" s="184">
        <f t="shared" ref="AN39:AN40" si="248">+AD39+AH39+AL39</f>
        <v>4212.1000000000004</v>
      </c>
      <c r="AO39" s="143">
        <f>+AI39+AK39</f>
        <v>13579.836799999997</v>
      </c>
      <c r="AP39" s="96">
        <f>+AJ39+AL39</f>
        <v>12865.199999999999</v>
      </c>
      <c r="AQ39" s="3873">
        <v>1530.8172</v>
      </c>
      <c r="AR39" s="1094">
        <v>1436.2</v>
      </c>
      <c r="AS39" s="3874">
        <f>+AO39+AQ39</f>
        <v>15110.653999999997</v>
      </c>
      <c r="AT39" s="3874">
        <f>+AP39+AR39</f>
        <v>14301.4</v>
      </c>
      <c r="AU39" s="3990">
        <v>1382.6736000000001</v>
      </c>
      <c r="AV39" s="1094">
        <v>1194.0999999999999</v>
      </c>
      <c r="AW39" s="3991">
        <f>+AS39+AU39</f>
        <v>16493.327599999997</v>
      </c>
      <c r="AX39" s="3991">
        <f>+AT39+AV39</f>
        <v>15495.5</v>
      </c>
      <c r="AY39" s="4224">
        <v>1530.8172</v>
      </c>
      <c r="AZ39" s="1094">
        <v>1353</v>
      </c>
      <c r="BA39" s="2266">
        <f t="shared" ref="BA39:BA40" si="249">+AQ39+AU39+AY39</f>
        <v>4444.308</v>
      </c>
      <c r="BB39" s="184">
        <f t="shared" ref="BB39:BB40" si="250">+AR39+AV39+AZ39</f>
        <v>3983.3</v>
      </c>
      <c r="BC39" s="1789">
        <f>+AM39+BA39</f>
        <v>8987.3784000000014</v>
      </c>
      <c r="BD39" s="1118">
        <f>+AN39+BB39</f>
        <v>8195.4000000000015</v>
      </c>
      <c r="BE39" s="4226">
        <f>+AW39+AY39</f>
        <v>18024.144799999998</v>
      </c>
      <c r="BF39" s="4226">
        <f>+AX39+AZ39</f>
        <v>16848.5</v>
      </c>
    </row>
    <row r="40" spans="1:58" ht="15.95" customHeight="1" thickBot="1" x14ac:dyDescent="0.3">
      <c r="B40" s="2254" t="s">
        <v>207</v>
      </c>
      <c r="C40" s="380" t="s">
        <v>53</v>
      </c>
      <c r="D40" s="2278">
        <v>33061.718599999993</v>
      </c>
      <c r="E40" s="3491">
        <v>2717.4</v>
      </c>
      <c r="F40" s="3542">
        <v>2613.29</v>
      </c>
      <c r="G40" s="3491">
        <v>2807.98</v>
      </c>
      <c r="H40" s="51">
        <v>2732.85</v>
      </c>
      <c r="I40" s="4018">
        <f>+E40+G40</f>
        <v>5525.38</v>
      </c>
      <c r="J40" s="385">
        <f>+F40+H40</f>
        <v>5346.1399999999994</v>
      </c>
      <c r="K40" s="1996">
        <v>2717.4014999999999</v>
      </c>
      <c r="L40" s="51">
        <v>2701.31</v>
      </c>
      <c r="M40" s="4019">
        <f>+I40+K40</f>
        <v>8242.781500000001</v>
      </c>
      <c r="N40" s="399">
        <f>+J40+L40</f>
        <v>8047.4499999999989</v>
      </c>
      <c r="O40" s="1996">
        <v>2807.9816000000001</v>
      </c>
      <c r="P40" s="313">
        <v>2722.55</v>
      </c>
      <c r="Q40" s="4018">
        <f>+M40+O40</f>
        <v>11050.7631</v>
      </c>
      <c r="R40" s="385">
        <f>+N40+P40</f>
        <v>10770</v>
      </c>
      <c r="S40" s="1996">
        <v>2807.9816000000001</v>
      </c>
      <c r="T40" s="313">
        <v>2869.97</v>
      </c>
      <c r="U40" s="4018">
        <f>+Q40+S40</f>
        <v>13858.744699999999</v>
      </c>
      <c r="V40" s="385">
        <f>+R40+T40</f>
        <v>13639.97</v>
      </c>
      <c r="W40" s="1996">
        <v>2717.4014999999999</v>
      </c>
      <c r="X40" s="313">
        <v>2782.08</v>
      </c>
      <c r="Y40" s="2335">
        <f t="shared" si="245"/>
        <v>8333.3647000000001</v>
      </c>
      <c r="Z40" s="1368">
        <f t="shared" si="246"/>
        <v>8374.6</v>
      </c>
      <c r="AA40" s="4020">
        <f>+U40+W40</f>
        <v>16576.146199999999</v>
      </c>
      <c r="AB40" s="1150">
        <f>+V40+X40</f>
        <v>16422.05</v>
      </c>
      <c r="AC40" s="1996">
        <v>2807.9816000000001</v>
      </c>
      <c r="AD40" s="313">
        <v>2894.54</v>
      </c>
      <c r="AE40" s="4018">
        <f>+AA40+AC40</f>
        <v>19384.127799999998</v>
      </c>
      <c r="AF40" s="385">
        <f>+AB40+AD40</f>
        <v>19316.59</v>
      </c>
      <c r="AG40" s="3686">
        <v>2717.4014999999999</v>
      </c>
      <c r="AH40" s="551">
        <v>2800.98</v>
      </c>
      <c r="AI40" s="716">
        <f>+AE40+AG40</f>
        <v>22101.529299999998</v>
      </c>
      <c r="AJ40" s="716">
        <f>+AF40+AH40</f>
        <v>22117.57</v>
      </c>
      <c r="AK40" s="551">
        <v>2807.9816000000001</v>
      </c>
      <c r="AL40" s="3686">
        <v>2886.83</v>
      </c>
      <c r="AM40" s="2335">
        <f t="shared" si="247"/>
        <v>8333.3647000000001</v>
      </c>
      <c r="AN40" s="1368">
        <f t="shared" si="248"/>
        <v>8582.35</v>
      </c>
      <c r="AO40" s="4018">
        <f>+AI40+AK40</f>
        <v>24909.510899999997</v>
      </c>
      <c r="AP40" s="385">
        <f>+AJ40+AL40</f>
        <v>25004.400000000001</v>
      </c>
      <c r="AQ40" s="551">
        <v>2807.9816000000001</v>
      </c>
      <c r="AR40" s="3686">
        <v>2896.29</v>
      </c>
      <c r="AS40" s="716">
        <f>+AO40+AQ40</f>
        <v>27717.492499999997</v>
      </c>
      <c r="AT40" s="716">
        <f>+AP40+AR40</f>
        <v>27900.690000000002</v>
      </c>
      <c r="AU40" s="551">
        <v>2536.2413999999999</v>
      </c>
      <c r="AV40" s="3686">
        <v>2619.91</v>
      </c>
      <c r="AW40" s="716">
        <f>+AS40+AU40</f>
        <v>30253.733899999996</v>
      </c>
      <c r="AX40" s="716">
        <f>+AT40+AV40</f>
        <v>30520.600000000002</v>
      </c>
      <c r="AY40" s="551">
        <v>2807.9816000000001</v>
      </c>
      <c r="AZ40" s="3686">
        <v>2901</v>
      </c>
      <c r="BA40" s="2335">
        <f t="shared" si="249"/>
        <v>8152.2046</v>
      </c>
      <c r="BB40" s="1368">
        <f t="shared" si="250"/>
        <v>8417.2000000000007</v>
      </c>
      <c r="BC40" s="4267">
        <f>+AM40+BA40</f>
        <v>16485.569299999999</v>
      </c>
      <c r="BD40" s="1150">
        <f>+AN40+BB40</f>
        <v>16999.550000000003</v>
      </c>
      <c r="BE40" s="716">
        <f>+AW40+AY40</f>
        <v>33061.715499999998</v>
      </c>
      <c r="BF40" s="716">
        <f>+AX40+AZ40</f>
        <v>33421.600000000006</v>
      </c>
    </row>
    <row r="41" spans="1:58" ht="16.5" thickBot="1" x14ac:dyDescent="0.3">
      <c r="B41" s="2304" t="s">
        <v>38</v>
      </c>
      <c r="C41" s="4050" t="s">
        <v>53</v>
      </c>
      <c r="D41" s="247">
        <v>51085.856599999992</v>
      </c>
      <c r="E41" s="247">
        <f t="shared" ref="E41:J41" si="251">SUM(E39:E40)</f>
        <v>4198.84</v>
      </c>
      <c r="F41" s="247">
        <f t="shared" si="251"/>
        <v>4075.29</v>
      </c>
      <c r="G41" s="247">
        <f t="shared" ref="G41" si="252">SUM(G39:G40)</f>
        <v>4338.8</v>
      </c>
      <c r="H41" s="247">
        <f t="shared" si="251"/>
        <v>4245.75</v>
      </c>
      <c r="I41" s="4054">
        <f t="shared" si="251"/>
        <v>8537.64</v>
      </c>
      <c r="J41" s="4054">
        <f t="shared" si="251"/>
        <v>8321.0399999999991</v>
      </c>
      <c r="K41" s="557">
        <f t="shared" ref="K41:N41" si="253">SUM(K39:K40)</f>
        <v>4198.8374999999996</v>
      </c>
      <c r="L41" s="247">
        <f t="shared" si="253"/>
        <v>4118.01</v>
      </c>
      <c r="M41" s="4055">
        <f t="shared" si="253"/>
        <v>12736.477500000001</v>
      </c>
      <c r="N41" s="4055">
        <f t="shared" si="253"/>
        <v>12439.05</v>
      </c>
      <c r="O41" s="557">
        <f t="shared" ref="O41:P41" si="254">SUM(O39:O40)</f>
        <v>4338.7988000000005</v>
      </c>
      <c r="P41" s="247">
        <f t="shared" si="254"/>
        <v>4155.8500000000004</v>
      </c>
      <c r="Q41" s="4054">
        <f t="shared" ref="Q41:T41" si="255">SUM(Q39:Q40)</f>
        <v>17075.276299999998</v>
      </c>
      <c r="R41" s="4054">
        <f t="shared" si="255"/>
        <v>16594.900000000001</v>
      </c>
      <c r="S41" s="557">
        <f t="shared" si="255"/>
        <v>4338.7988000000005</v>
      </c>
      <c r="T41" s="247">
        <f t="shared" si="255"/>
        <v>4318.57</v>
      </c>
      <c r="U41" s="4054">
        <f t="shared" ref="U41:X41" si="256">SUM(U39:U40)</f>
        <v>21414.075099999998</v>
      </c>
      <c r="V41" s="4054">
        <f t="shared" si="256"/>
        <v>20913.47</v>
      </c>
      <c r="W41" s="557">
        <f t="shared" si="256"/>
        <v>4198.8374999999996</v>
      </c>
      <c r="X41" s="247">
        <f t="shared" si="256"/>
        <v>4161.68</v>
      </c>
      <c r="Y41" s="4055">
        <f t="shared" ref="Y41:Z41" si="257">SUM(Y39:Y40)</f>
        <v>12876.435099999999</v>
      </c>
      <c r="Z41" s="4055">
        <f t="shared" si="257"/>
        <v>12636.1</v>
      </c>
      <c r="AA41" s="4056">
        <f t="shared" ref="AA41:AN41" si="258">SUM(AA39:AA40)</f>
        <v>25612.912599999996</v>
      </c>
      <c r="AB41" s="4056">
        <f t="shared" si="258"/>
        <v>25075.15</v>
      </c>
      <c r="AC41" s="557">
        <f t="shared" si="258"/>
        <v>4338.7988000000005</v>
      </c>
      <c r="AD41" s="247">
        <f t="shared" si="258"/>
        <v>4292.54</v>
      </c>
      <c r="AE41" s="4054">
        <f t="shared" si="258"/>
        <v>29951.711399999997</v>
      </c>
      <c r="AF41" s="4054">
        <f t="shared" si="258"/>
        <v>29367.690000000002</v>
      </c>
      <c r="AG41" s="557">
        <f t="shared" ref="AG41:AJ41" si="259">SUM(AG39:AG40)</f>
        <v>4198.8374999999996</v>
      </c>
      <c r="AH41" s="247">
        <f t="shared" si="259"/>
        <v>4187.78</v>
      </c>
      <c r="AI41" s="4054">
        <f t="shared" si="259"/>
        <v>34150.548899999994</v>
      </c>
      <c r="AJ41" s="4054">
        <f t="shared" si="259"/>
        <v>33555.47</v>
      </c>
      <c r="AK41" s="557">
        <f t="shared" ref="AK41:AL41" si="260">SUM(AK39:AK40)</f>
        <v>4338.7988000000005</v>
      </c>
      <c r="AL41" s="247">
        <f t="shared" si="260"/>
        <v>4314.13</v>
      </c>
      <c r="AM41" s="4055">
        <f t="shared" si="258"/>
        <v>12876.435100000001</v>
      </c>
      <c r="AN41" s="4055">
        <f t="shared" si="258"/>
        <v>12794.45</v>
      </c>
      <c r="AO41" s="4054">
        <f t="shared" ref="AO41:AT41" si="261">SUM(AO39:AO40)</f>
        <v>38489.347699999998</v>
      </c>
      <c r="AP41" s="4054">
        <f t="shared" si="261"/>
        <v>37869.599999999999</v>
      </c>
      <c r="AQ41" s="557">
        <f t="shared" si="261"/>
        <v>4338.7988000000005</v>
      </c>
      <c r="AR41" s="247">
        <f t="shared" si="261"/>
        <v>4332.49</v>
      </c>
      <c r="AS41" s="4054">
        <f t="shared" si="261"/>
        <v>42828.146499999995</v>
      </c>
      <c r="AT41" s="4054">
        <f t="shared" si="261"/>
        <v>42202.090000000004</v>
      </c>
      <c r="AU41" s="557">
        <f t="shared" ref="AU41:AX41" si="262">SUM(AU39:AU40)</f>
        <v>3918.915</v>
      </c>
      <c r="AV41" s="247">
        <f t="shared" si="262"/>
        <v>3814.0099999999998</v>
      </c>
      <c r="AW41" s="4054">
        <f t="shared" si="262"/>
        <v>46747.061499999996</v>
      </c>
      <c r="AX41" s="98">
        <f t="shared" si="262"/>
        <v>46016.100000000006</v>
      </c>
      <c r="AY41" s="557">
        <f t="shared" ref="AY41:BF41" si="263">SUM(AY39:AY40)</f>
        <v>4338.7988000000005</v>
      </c>
      <c r="AZ41" s="247">
        <f t="shared" si="263"/>
        <v>4254</v>
      </c>
      <c r="BA41" s="4055">
        <f t="shared" si="263"/>
        <v>12596.5126</v>
      </c>
      <c r="BB41" s="4055">
        <f t="shared" si="263"/>
        <v>12400.5</v>
      </c>
      <c r="BC41" s="4056">
        <f t="shared" ref="BC41:BD41" si="264">SUM(BC39:BC40)</f>
        <v>25472.947700000001</v>
      </c>
      <c r="BD41" s="4056">
        <f t="shared" si="264"/>
        <v>25194.950000000004</v>
      </c>
      <c r="BE41" s="4054">
        <f t="shared" si="263"/>
        <v>51085.8603</v>
      </c>
      <c r="BF41" s="98">
        <f t="shared" si="263"/>
        <v>50270.100000000006</v>
      </c>
    </row>
    <row r="42" spans="1:58" x14ac:dyDescent="0.25">
      <c r="B42" s="2248" t="s">
        <v>208</v>
      </c>
      <c r="C42" s="140" t="s">
        <v>53</v>
      </c>
      <c r="D42" s="2241">
        <v>5959.77</v>
      </c>
      <c r="E42" s="3492">
        <v>488.7</v>
      </c>
      <c r="F42" s="3543">
        <v>528.5</v>
      </c>
      <c r="G42" s="3492">
        <v>505.73</v>
      </c>
      <c r="H42" s="57">
        <v>436.8</v>
      </c>
      <c r="I42" s="3497">
        <f>+E42+G42</f>
        <v>994.43000000000006</v>
      </c>
      <c r="J42" s="144">
        <f>+F42+H42</f>
        <v>965.3</v>
      </c>
      <c r="K42" s="1101">
        <v>488.7</v>
      </c>
      <c r="L42" s="57">
        <v>312.2</v>
      </c>
      <c r="M42" s="3494">
        <f>+I42+K42</f>
        <v>1483.13</v>
      </c>
      <c r="N42" s="184">
        <f>+J42+L42</f>
        <v>1277.5</v>
      </c>
      <c r="O42" s="1101">
        <v>505.73</v>
      </c>
      <c r="P42" s="311">
        <v>282.10000000000002</v>
      </c>
      <c r="Q42" s="3497">
        <f>+M42+O42</f>
        <v>1988.8600000000001</v>
      </c>
      <c r="R42" s="144">
        <f>+N42+P42</f>
        <v>1559.6</v>
      </c>
      <c r="S42" s="1101">
        <v>505.73</v>
      </c>
      <c r="T42" s="311">
        <v>477.5</v>
      </c>
      <c r="U42" s="3497">
        <f>+Q42+S42</f>
        <v>2494.59</v>
      </c>
      <c r="V42" s="144">
        <f>+R42+T42</f>
        <v>2037.1</v>
      </c>
      <c r="W42" s="1101">
        <v>488.7</v>
      </c>
      <c r="X42" s="311">
        <v>355.5</v>
      </c>
      <c r="Y42" s="2266">
        <f t="shared" ref="Y42:Y43" si="265">+O42+S42+W42</f>
        <v>1500.16</v>
      </c>
      <c r="Z42" s="184">
        <f t="shared" ref="Z42:Z43" si="266">+P42+T42+X42</f>
        <v>1115.0999999999999</v>
      </c>
      <c r="AA42" s="3506">
        <f>+U42+W42</f>
        <v>2983.29</v>
      </c>
      <c r="AB42" s="1149">
        <f>+V42+X42</f>
        <v>2392.6</v>
      </c>
      <c r="AC42" s="1101">
        <v>507.43</v>
      </c>
      <c r="AD42" s="311">
        <v>407.5</v>
      </c>
      <c r="AE42" s="3497">
        <f>+AA42+AC42</f>
        <v>3490.72</v>
      </c>
      <c r="AF42" s="144">
        <f>+AB42+AD42</f>
        <v>2800.1</v>
      </c>
      <c r="AG42" s="3185">
        <v>490.41</v>
      </c>
      <c r="AH42" s="4012">
        <v>401</v>
      </c>
      <c r="AI42" s="1552">
        <f>+AE42+AG42</f>
        <v>3981.1299999999997</v>
      </c>
      <c r="AJ42" s="1552">
        <f>+AF42+AH42</f>
        <v>3201.1</v>
      </c>
      <c r="AK42" s="4012">
        <v>507.43</v>
      </c>
      <c r="AL42" s="3185">
        <v>457</v>
      </c>
      <c r="AM42" s="2266">
        <f t="shared" ref="AM42:AM43" si="267">+AC42+AG42+AK42</f>
        <v>1505.27</v>
      </c>
      <c r="AN42" s="184">
        <f t="shared" ref="AN42:AN43" si="268">+AD42+AH42+AL42</f>
        <v>1265.5</v>
      </c>
      <c r="AO42" s="3497">
        <f>+AI42+AK42</f>
        <v>4488.5599999999995</v>
      </c>
      <c r="AP42" s="144">
        <f>+AJ42+AL42</f>
        <v>3658.1</v>
      </c>
      <c r="AQ42" s="4012">
        <v>507.43</v>
      </c>
      <c r="AR42" s="3185">
        <v>517</v>
      </c>
      <c r="AS42" s="1552">
        <f>+AO42+AQ42</f>
        <v>4995.99</v>
      </c>
      <c r="AT42" s="1552">
        <f>+AP42+AR42</f>
        <v>4175.1000000000004</v>
      </c>
      <c r="AU42" s="4012">
        <v>456.35</v>
      </c>
      <c r="AV42" s="3185">
        <v>490.5</v>
      </c>
      <c r="AW42" s="1552">
        <f>+AS42+AU42</f>
        <v>5452.34</v>
      </c>
      <c r="AX42" s="1552">
        <f>+AT42+AV42</f>
        <v>4665.6000000000004</v>
      </c>
      <c r="AY42" s="4262">
        <v>507.43</v>
      </c>
      <c r="AZ42" s="3185">
        <v>591</v>
      </c>
      <c r="BA42" s="2266">
        <f t="shared" ref="BA42:BA43" si="269">+AQ42+AU42+AY42</f>
        <v>1471.21</v>
      </c>
      <c r="BB42" s="184">
        <f t="shared" ref="BB42:BB43" si="270">+AR42+AV42+AZ42</f>
        <v>1598.5</v>
      </c>
      <c r="BC42" s="3506">
        <f>+AM42+BA42</f>
        <v>2976.48</v>
      </c>
      <c r="BD42" s="1149">
        <f>+AN42+BB42</f>
        <v>2864</v>
      </c>
      <c r="BE42" s="1552">
        <f>+AW42+AY42</f>
        <v>5959.77</v>
      </c>
      <c r="BF42" s="1552">
        <f>+AX42+AZ42</f>
        <v>5256.6</v>
      </c>
    </row>
    <row r="43" spans="1:58" ht="15.75" thickBot="1" x14ac:dyDescent="0.3">
      <c r="B43" s="2254" t="s">
        <v>209</v>
      </c>
      <c r="C43" s="380" t="s">
        <v>53</v>
      </c>
      <c r="D43" s="2278">
        <v>10619.731999999998</v>
      </c>
      <c r="E43" s="3491">
        <v>871.44</v>
      </c>
      <c r="F43" s="3542">
        <v>350.5</v>
      </c>
      <c r="G43" s="3491">
        <v>902.67700000000002</v>
      </c>
      <c r="H43" s="51">
        <v>291</v>
      </c>
      <c r="I43" s="4018">
        <f>+E43+G43</f>
        <v>1774.1170000000002</v>
      </c>
      <c r="J43" s="1369">
        <f>+F43+H43</f>
        <v>641.5</v>
      </c>
      <c r="K43" s="1996">
        <v>871.44299999999998</v>
      </c>
      <c r="L43" s="1370">
        <v>225</v>
      </c>
      <c r="M43" s="4019">
        <f>+I43+K43</f>
        <v>2645.5600000000004</v>
      </c>
      <c r="N43" s="1368">
        <f>+J43+L43</f>
        <v>866.5</v>
      </c>
      <c r="O43" s="1996">
        <v>902.67700000000002</v>
      </c>
      <c r="P43" s="1371">
        <v>313</v>
      </c>
      <c r="Q43" s="4018">
        <f>+M43+O43</f>
        <v>3548.2370000000005</v>
      </c>
      <c r="R43" s="1369">
        <f>+N43+P43</f>
        <v>1179.5</v>
      </c>
      <c r="S43" s="1996">
        <v>902.67700000000002</v>
      </c>
      <c r="T43" s="1371">
        <v>290</v>
      </c>
      <c r="U43" s="4018">
        <f>+Q43+S43</f>
        <v>4450.9140000000007</v>
      </c>
      <c r="V43" s="1369">
        <f>+R43+T43</f>
        <v>1469.5</v>
      </c>
      <c r="W43" s="1996">
        <v>871.44299999999998</v>
      </c>
      <c r="X43" s="1371">
        <v>336</v>
      </c>
      <c r="Y43" s="2335">
        <f t="shared" si="265"/>
        <v>2676.797</v>
      </c>
      <c r="Z43" s="1368">
        <f t="shared" si="266"/>
        <v>939</v>
      </c>
      <c r="AA43" s="4020">
        <f>+U43+W43</f>
        <v>5322.3570000000009</v>
      </c>
      <c r="AB43" s="2216">
        <f>+V43+X43</f>
        <v>1805.5</v>
      </c>
      <c r="AC43" s="1996">
        <v>902.67700000000002</v>
      </c>
      <c r="AD43" s="1371">
        <v>270.5</v>
      </c>
      <c r="AE43" s="4018">
        <f>+AA43+AC43</f>
        <v>6225.0340000000006</v>
      </c>
      <c r="AF43" s="1369">
        <f>+AB43+AD43</f>
        <v>2076</v>
      </c>
      <c r="AG43" s="3686">
        <v>868.31899999999996</v>
      </c>
      <c r="AH43" s="551">
        <v>241</v>
      </c>
      <c r="AI43" s="716">
        <f>+AE43+AG43</f>
        <v>7093.353000000001</v>
      </c>
      <c r="AJ43" s="716">
        <f>+AF43+AH43</f>
        <v>2317</v>
      </c>
      <c r="AK43" s="551">
        <v>902.67700000000002</v>
      </c>
      <c r="AL43" s="1381">
        <v>279.5</v>
      </c>
      <c r="AM43" s="2335">
        <f t="shared" si="267"/>
        <v>2673.6730000000002</v>
      </c>
      <c r="AN43" s="1368">
        <f t="shared" si="268"/>
        <v>791</v>
      </c>
      <c r="AO43" s="4018">
        <f>+AI43+AK43</f>
        <v>7996.0300000000007</v>
      </c>
      <c r="AP43" s="1369">
        <f>+AJ43+AL43</f>
        <v>2596.5</v>
      </c>
      <c r="AQ43" s="551">
        <v>905.80100000000004</v>
      </c>
      <c r="AR43" s="1381">
        <v>268.5</v>
      </c>
      <c r="AS43" s="716">
        <f>+AO43+AQ43</f>
        <v>8901.8310000000001</v>
      </c>
      <c r="AT43" s="716">
        <f>+AP43+AR43</f>
        <v>2865</v>
      </c>
      <c r="AU43" s="551">
        <v>812.09699999999998</v>
      </c>
      <c r="AV43" s="1381">
        <v>432.1</v>
      </c>
      <c r="AW43" s="716">
        <f>+AS43+AU43</f>
        <v>9713.9279999999999</v>
      </c>
      <c r="AX43" s="716">
        <f>+AT43+AV43</f>
        <v>3297.1</v>
      </c>
      <c r="AY43" s="551">
        <v>905.80100000000004</v>
      </c>
      <c r="AZ43" s="1381">
        <v>357</v>
      </c>
      <c r="BA43" s="2335">
        <f t="shared" si="269"/>
        <v>2623.6990000000001</v>
      </c>
      <c r="BB43" s="1368">
        <f t="shared" si="270"/>
        <v>1057.5999999999999</v>
      </c>
      <c r="BC43" s="4267">
        <f>+AM43+BA43</f>
        <v>5297.3720000000003</v>
      </c>
      <c r="BD43" s="2216">
        <f>+AN43+BB43</f>
        <v>1848.6</v>
      </c>
      <c r="BE43" s="716">
        <f>+AW43+AY43</f>
        <v>10619.728999999999</v>
      </c>
      <c r="BF43" s="716">
        <f>+AX43+AZ43</f>
        <v>3654.1</v>
      </c>
    </row>
    <row r="44" spans="1:58" ht="16.5" thickBot="1" x14ac:dyDescent="0.3">
      <c r="B44" s="2304" t="s">
        <v>39</v>
      </c>
      <c r="C44" s="4050" t="s">
        <v>53</v>
      </c>
      <c r="D44" s="247">
        <v>16579.502</v>
      </c>
      <c r="E44" s="247">
        <f t="shared" ref="E44:J44" si="271">SUM(E42:E43)</f>
        <v>1360.14</v>
      </c>
      <c r="F44" s="247">
        <f t="shared" si="271"/>
        <v>879</v>
      </c>
      <c r="G44" s="247">
        <f t="shared" ref="G44" si="272">SUM(G42:G43)</f>
        <v>1408.4070000000002</v>
      </c>
      <c r="H44" s="247">
        <f t="shared" si="271"/>
        <v>727.8</v>
      </c>
      <c r="I44" s="4054">
        <f t="shared" si="271"/>
        <v>2768.5470000000005</v>
      </c>
      <c r="J44" s="4054">
        <f t="shared" si="271"/>
        <v>1606.8</v>
      </c>
      <c r="K44" s="247">
        <f t="shared" ref="K44:N44" si="273">SUM(K42:K43)</f>
        <v>1360.143</v>
      </c>
      <c r="L44" s="247">
        <f t="shared" si="273"/>
        <v>537.20000000000005</v>
      </c>
      <c r="M44" s="4055">
        <f t="shared" si="273"/>
        <v>4128.6900000000005</v>
      </c>
      <c r="N44" s="4055">
        <f t="shared" si="273"/>
        <v>2144</v>
      </c>
      <c r="O44" s="247">
        <f t="shared" ref="O44:P44" si="274">SUM(O42:O43)</f>
        <v>1408.4070000000002</v>
      </c>
      <c r="P44" s="247">
        <f t="shared" si="274"/>
        <v>595.1</v>
      </c>
      <c r="Q44" s="4054">
        <f t="shared" ref="Q44:T44" si="275">SUM(Q42:Q43)</f>
        <v>5537.0970000000007</v>
      </c>
      <c r="R44" s="4054">
        <f t="shared" si="275"/>
        <v>2739.1</v>
      </c>
      <c r="S44" s="247">
        <f t="shared" si="275"/>
        <v>1408.4070000000002</v>
      </c>
      <c r="T44" s="247">
        <f t="shared" si="275"/>
        <v>767.5</v>
      </c>
      <c r="U44" s="4054">
        <f t="shared" ref="U44:X44" si="276">SUM(U42:U43)</f>
        <v>6945.5040000000008</v>
      </c>
      <c r="V44" s="4054">
        <f t="shared" si="276"/>
        <v>3506.6</v>
      </c>
      <c r="W44" s="247">
        <f t="shared" si="276"/>
        <v>1360.143</v>
      </c>
      <c r="X44" s="247">
        <f t="shared" si="276"/>
        <v>691.5</v>
      </c>
      <c r="Y44" s="4055">
        <f t="shared" ref="Y44:Z44" si="277">SUM(Y42:Y43)</f>
        <v>4176.9570000000003</v>
      </c>
      <c r="Z44" s="4055">
        <f t="shared" si="277"/>
        <v>2054.1</v>
      </c>
      <c r="AA44" s="4056">
        <f t="shared" ref="AA44:AN44" si="278">SUM(AA42:AA43)</f>
        <v>8305.6470000000008</v>
      </c>
      <c r="AB44" s="4056">
        <f t="shared" si="278"/>
        <v>4198.1000000000004</v>
      </c>
      <c r="AC44" s="247">
        <f t="shared" si="278"/>
        <v>1410.107</v>
      </c>
      <c r="AD44" s="247">
        <f t="shared" si="278"/>
        <v>678</v>
      </c>
      <c r="AE44" s="4054">
        <f t="shared" si="278"/>
        <v>9715.7540000000008</v>
      </c>
      <c r="AF44" s="4054">
        <f t="shared" si="278"/>
        <v>4876.1000000000004</v>
      </c>
      <c r="AG44" s="247">
        <f t="shared" ref="AG44:AJ44" si="279">SUM(AG42:AG43)</f>
        <v>1358.729</v>
      </c>
      <c r="AH44" s="247">
        <f t="shared" si="279"/>
        <v>642</v>
      </c>
      <c r="AI44" s="4054">
        <f t="shared" si="279"/>
        <v>11074.483</v>
      </c>
      <c r="AJ44" s="4054">
        <f t="shared" si="279"/>
        <v>5518.1</v>
      </c>
      <c r="AK44" s="247">
        <f t="shared" ref="AK44:AL44" si="280">SUM(AK42:AK43)</f>
        <v>1410.107</v>
      </c>
      <c r="AL44" s="247">
        <f t="shared" si="280"/>
        <v>736.5</v>
      </c>
      <c r="AM44" s="4055">
        <f t="shared" si="278"/>
        <v>4178.9430000000002</v>
      </c>
      <c r="AN44" s="4055">
        <f t="shared" si="278"/>
        <v>2056.5</v>
      </c>
      <c r="AO44" s="4054">
        <f t="shared" ref="AO44:AT44" si="281">SUM(AO42:AO43)</f>
        <v>12484.59</v>
      </c>
      <c r="AP44" s="4054">
        <f t="shared" si="281"/>
        <v>6254.6</v>
      </c>
      <c r="AQ44" s="247">
        <f t="shared" si="281"/>
        <v>1413.231</v>
      </c>
      <c r="AR44" s="247">
        <f t="shared" si="281"/>
        <v>785.5</v>
      </c>
      <c r="AS44" s="4054">
        <f t="shared" si="281"/>
        <v>13897.821</v>
      </c>
      <c r="AT44" s="4054">
        <f t="shared" si="281"/>
        <v>7040.1</v>
      </c>
      <c r="AU44" s="247">
        <f t="shared" ref="AU44:AX44" si="282">SUM(AU42:AU43)</f>
        <v>1268.4470000000001</v>
      </c>
      <c r="AV44" s="247">
        <f t="shared" si="282"/>
        <v>922.6</v>
      </c>
      <c r="AW44" s="4054">
        <f t="shared" si="282"/>
        <v>15166.268</v>
      </c>
      <c r="AX44" s="98">
        <f t="shared" si="282"/>
        <v>7962.7000000000007</v>
      </c>
      <c r="AY44" s="247">
        <f t="shared" ref="AY44:BF44" si="283">SUM(AY42:AY43)</f>
        <v>1413.231</v>
      </c>
      <c r="AZ44" s="247">
        <f t="shared" si="283"/>
        <v>948</v>
      </c>
      <c r="BA44" s="4055">
        <f t="shared" si="283"/>
        <v>4094.9090000000001</v>
      </c>
      <c r="BB44" s="4055">
        <f t="shared" si="283"/>
        <v>2656.1</v>
      </c>
      <c r="BC44" s="4056">
        <f t="shared" ref="BC44:BD44" si="284">SUM(BC42:BC43)</f>
        <v>8273.8520000000008</v>
      </c>
      <c r="BD44" s="4056">
        <f t="shared" si="284"/>
        <v>4712.6000000000004</v>
      </c>
      <c r="BE44" s="4054">
        <f t="shared" si="283"/>
        <v>16579.499</v>
      </c>
      <c r="BF44" s="98">
        <f t="shared" si="283"/>
        <v>8910.7000000000007</v>
      </c>
    </row>
    <row r="45" spans="1:58" x14ac:dyDescent="0.25">
      <c r="B45" s="2240" t="s">
        <v>219</v>
      </c>
      <c r="C45" s="140" t="s">
        <v>53</v>
      </c>
      <c r="D45" s="2241">
        <v>2503.1160000000004</v>
      </c>
      <c r="E45" s="3492">
        <v>205.3</v>
      </c>
      <c r="F45" s="232">
        <v>162.80000000000001</v>
      </c>
      <c r="G45" s="3492">
        <v>212.40700000000001</v>
      </c>
      <c r="H45" s="57">
        <v>60.32</v>
      </c>
      <c r="I45" s="122">
        <f>+E45+G45</f>
        <v>417.70699999999999</v>
      </c>
      <c r="J45" s="298">
        <f>+F45+H45</f>
        <v>223.12</v>
      </c>
      <c r="K45" s="1101">
        <v>205.25551200000001</v>
      </c>
      <c r="L45" s="121">
        <v>0</v>
      </c>
      <c r="M45" s="577">
        <f>+I45+K45</f>
        <v>622.96251200000006</v>
      </c>
      <c r="N45" s="290">
        <f>+J45+L45</f>
        <v>223.12</v>
      </c>
      <c r="O45" s="2305">
        <v>212.40727200000001</v>
      </c>
      <c r="P45" s="968">
        <v>0</v>
      </c>
      <c r="Q45" s="122">
        <f>+M45+O45</f>
        <v>835.3697840000001</v>
      </c>
      <c r="R45" s="298">
        <f>+N45+P45</f>
        <v>223.12</v>
      </c>
      <c r="S45" s="2305">
        <v>212.40727200000001</v>
      </c>
      <c r="T45" s="968">
        <v>201.6</v>
      </c>
      <c r="U45" s="122">
        <f>+Q45+S45</f>
        <v>1047.7770560000001</v>
      </c>
      <c r="V45" s="298">
        <f>+R45+T45</f>
        <v>424.72</v>
      </c>
      <c r="W45" s="2305">
        <v>205.25551200000001</v>
      </c>
      <c r="X45" s="968">
        <v>165.6</v>
      </c>
      <c r="Y45" s="2266">
        <f t="shared" ref="Y45" si="285">+O45+S45+W45</f>
        <v>630.07005600000002</v>
      </c>
      <c r="Z45" s="184">
        <f t="shared" ref="Z45" si="286">+P45+T45+X45</f>
        <v>367.2</v>
      </c>
      <c r="AA45" s="1129">
        <f>+U45+W45</f>
        <v>1253.0325680000001</v>
      </c>
      <c r="AB45" s="1153">
        <f>+V45+X45</f>
        <v>590.32000000000005</v>
      </c>
      <c r="AC45" s="2305">
        <v>213.12244800000002</v>
      </c>
      <c r="AD45" s="968">
        <v>164</v>
      </c>
      <c r="AE45" s="122">
        <f>+AA45+AC45</f>
        <v>1466.1550160000002</v>
      </c>
      <c r="AF45" s="298">
        <f>+AB45+AD45</f>
        <v>754.32</v>
      </c>
      <c r="AG45" s="3687">
        <v>205.970688</v>
      </c>
      <c r="AH45" s="3665">
        <v>159</v>
      </c>
      <c r="AI45" s="824">
        <f>+AE45+AG45</f>
        <v>1672.125704</v>
      </c>
      <c r="AJ45" s="824">
        <f>+AF45+AH45</f>
        <v>913.32</v>
      </c>
      <c r="AK45" s="4012">
        <v>213.12244800000002</v>
      </c>
      <c r="AL45" s="3185">
        <v>85.85</v>
      </c>
      <c r="AM45" s="2266">
        <f t="shared" ref="AM45" si="287">+AC45+AG45+AK45</f>
        <v>632.21558400000004</v>
      </c>
      <c r="AN45" s="184">
        <f t="shared" ref="AN45" si="288">+AD45+AH45+AL45</f>
        <v>408.85</v>
      </c>
      <c r="AO45" s="122">
        <f>+AI45+AK45</f>
        <v>1885.2481520000001</v>
      </c>
      <c r="AP45" s="298">
        <f>+AJ45+AL45</f>
        <v>999.17000000000007</v>
      </c>
      <c r="AQ45" s="4012">
        <v>213.12244800000002</v>
      </c>
      <c r="AR45" s="3185">
        <v>121.6</v>
      </c>
      <c r="AS45" s="824">
        <f>+AO45+AQ45</f>
        <v>2098.3706000000002</v>
      </c>
      <c r="AT45" s="824">
        <f>+AP45+AR45</f>
        <v>1120.77</v>
      </c>
      <c r="AU45" s="4012">
        <v>191.667168</v>
      </c>
      <c r="AV45" s="3687">
        <v>92.95</v>
      </c>
      <c r="AW45" s="824">
        <f>+AS45+AU45</f>
        <v>2290.0377680000001</v>
      </c>
      <c r="AX45" s="824">
        <f>+AT45+AV45</f>
        <v>1213.72</v>
      </c>
      <c r="AY45" s="4262">
        <v>213.12244800000002</v>
      </c>
      <c r="AZ45" s="3687">
        <v>175.6</v>
      </c>
      <c r="BA45" s="2266">
        <f t="shared" ref="BA45" si="289">+AQ45+AU45+AY45</f>
        <v>617.9120640000001</v>
      </c>
      <c r="BB45" s="184">
        <f t="shared" ref="BB45" si="290">+AR45+AV45+AZ45</f>
        <v>390.15</v>
      </c>
      <c r="BC45" s="1129">
        <f>+AM45+BA45</f>
        <v>1250.1276480000001</v>
      </c>
      <c r="BD45" s="1153">
        <f>+AN45+BB45</f>
        <v>799</v>
      </c>
      <c r="BE45" s="1552">
        <f>+AW45+AY45</f>
        <v>2503.1602160000002</v>
      </c>
      <c r="BF45" s="1552">
        <f>+AX45+AZ45</f>
        <v>1389.32</v>
      </c>
    </row>
    <row r="46" spans="1:58" s="334" customFormat="1" ht="15.75" x14ac:dyDescent="0.25">
      <c r="A46" s="333"/>
      <c r="B46" s="2306" t="s">
        <v>210</v>
      </c>
      <c r="C46" s="626"/>
      <c r="D46" s="626"/>
      <c r="E46" s="626"/>
      <c r="F46" s="1179"/>
      <c r="G46" s="626"/>
      <c r="H46" s="626"/>
      <c r="I46" s="625"/>
      <c r="J46" s="625"/>
      <c r="K46" s="625"/>
      <c r="L46" s="625"/>
      <c r="M46" s="625"/>
      <c r="N46" s="625"/>
      <c r="O46" s="625"/>
      <c r="P46" s="625"/>
      <c r="Q46" s="625"/>
      <c r="R46" s="625"/>
      <c r="S46" s="625"/>
      <c r="T46" s="625"/>
      <c r="U46" s="625"/>
      <c r="V46" s="625"/>
      <c r="W46" s="625"/>
      <c r="X46" s="625"/>
      <c r="Y46" s="625"/>
      <c r="Z46" s="625"/>
      <c r="AA46" s="625"/>
      <c r="AB46" s="625"/>
      <c r="AC46" s="625"/>
      <c r="AD46" s="625"/>
      <c r="AE46" s="625"/>
      <c r="AF46" s="625"/>
      <c r="AG46" s="625"/>
      <c r="AH46" s="2697"/>
      <c r="AI46" s="2697"/>
      <c r="AJ46" s="2697"/>
      <c r="AK46" s="2697"/>
      <c r="AL46" s="625"/>
      <c r="AM46" s="625"/>
      <c r="AN46" s="625"/>
      <c r="AO46" s="625"/>
      <c r="AP46" s="625"/>
      <c r="AQ46" s="2697"/>
      <c r="AR46" s="625"/>
      <c r="AS46" s="2697"/>
      <c r="AT46" s="2697"/>
      <c r="AU46" s="2697"/>
      <c r="AV46" s="625"/>
      <c r="AW46" s="2697"/>
      <c r="AX46" s="2697"/>
      <c r="AY46" s="2697"/>
      <c r="AZ46" s="625"/>
      <c r="BA46" s="625"/>
      <c r="BB46" s="625"/>
      <c r="BC46" s="625"/>
      <c r="BD46" s="625"/>
      <c r="BE46" s="2697"/>
      <c r="BF46" s="2697"/>
    </row>
    <row r="47" spans="1:58" x14ac:dyDescent="0.25">
      <c r="B47" s="2303" t="s">
        <v>211</v>
      </c>
      <c r="C47" s="3573" t="s">
        <v>53</v>
      </c>
      <c r="D47" s="251">
        <v>675.84132</v>
      </c>
      <c r="E47" s="2307">
        <v>55.4</v>
      </c>
      <c r="F47" s="230">
        <v>33.131999999999998</v>
      </c>
      <c r="G47" s="2307">
        <v>57.349963000000002</v>
      </c>
      <c r="H47" s="119">
        <v>31.341999999999999</v>
      </c>
      <c r="I47" s="120">
        <f>+E47+G47</f>
        <v>112.74996300000001</v>
      </c>
      <c r="J47" s="245">
        <f>+F47+H47</f>
        <v>64.47399999999999</v>
      </c>
      <c r="K47" s="1109">
        <v>55.418988239999997</v>
      </c>
      <c r="L47" s="119">
        <v>9.6229999999999993</v>
      </c>
      <c r="M47" s="173">
        <f>+I47+K47</f>
        <v>168.16895124000001</v>
      </c>
      <c r="N47" s="261">
        <f>+J47+L47</f>
        <v>74.096999999999994</v>
      </c>
      <c r="O47" s="1109">
        <v>57.349963440000003</v>
      </c>
      <c r="P47" s="967">
        <v>0</v>
      </c>
      <c r="Q47" s="120">
        <f>+M47+O47</f>
        <v>225.51891468000002</v>
      </c>
      <c r="R47" s="245">
        <f>+N47+P47</f>
        <v>74.096999999999994</v>
      </c>
      <c r="S47" s="1109">
        <v>57.349963440000003</v>
      </c>
      <c r="T47" s="967">
        <v>25.452999999999999</v>
      </c>
      <c r="U47" s="120">
        <f>+Q47+S47</f>
        <v>282.86887812000003</v>
      </c>
      <c r="V47" s="245">
        <f>+R47+T47</f>
        <v>99.55</v>
      </c>
      <c r="W47" s="1109">
        <v>55.418988239999997</v>
      </c>
      <c r="X47" s="967">
        <v>29.821999999999999</v>
      </c>
      <c r="Y47" s="2266">
        <f t="shared" ref="Y47:Y51" si="291">+O47+S47+W47</f>
        <v>170.11891512</v>
      </c>
      <c r="Z47" s="184">
        <f t="shared" ref="Z47:Z51" si="292">+P47+T47+X47</f>
        <v>55.274999999999999</v>
      </c>
      <c r="AA47" s="1862">
        <f>+U47+W47</f>
        <v>338.28786636000001</v>
      </c>
      <c r="AB47" s="1146">
        <f>+V47+X47</f>
        <v>129.37199999999999</v>
      </c>
      <c r="AC47" s="1109">
        <v>57.543060960000005</v>
      </c>
      <c r="AD47" s="967">
        <v>31.17</v>
      </c>
      <c r="AE47" s="120">
        <f>+AA47+AC47</f>
        <v>395.83092732</v>
      </c>
      <c r="AF47" s="245">
        <f>+AB47+AD47</f>
        <v>160.54199999999997</v>
      </c>
      <c r="AG47" s="978">
        <v>55.612085759999999</v>
      </c>
      <c r="AH47" s="449">
        <v>23.8</v>
      </c>
      <c r="AI47" s="687">
        <f>+AE47+AG47</f>
        <v>451.44301308000001</v>
      </c>
      <c r="AJ47" s="687">
        <f>+AF47+AH47</f>
        <v>184.34199999999998</v>
      </c>
      <c r="AK47" s="449">
        <v>57.543060960000005</v>
      </c>
      <c r="AL47" s="2368">
        <v>5.4630000000000001</v>
      </c>
      <c r="AM47" s="2266">
        <f t="shared" ref="AM47:AM51" si="293">+AC47+AG47+AK47</f>
        <v>170.69820768</v>
      </c>
      <c r="AN47" s="184">
        <f t="shared" ref="AN47:AN51" si="294">+AD47+AH47+AL47</f>
        <v>60.433</v>
      </c>
      <c r="AO47" s="120">
        <f>+AI47+AK47</f>
        <v>508.98607404000001</v>
      </c>
      <c r="AP47" s="245">
        <f>+AJ47+AL47</f>
        <v>189.80499999999998</v>
      </c>
      <c r="AQ47" s="449">
        <v>57.543060960000005</v>
      </c>
      <c r="AR47" s="978">
        <v>50.234999999999999</v>
      </c>
      <c r="AS47" s="687">
        <f>+AO47+AQ47</f>
        <v>566.529135</v>
      </c>
      <c r="AT47" s="687">
        <f>+AP47+AR47</f>
        <v>240.03999999999996</v>
      </c>
      <c r="AU47" s="449">
        <v>51.750135360000002</v>
      </c>
      <c r="AV47" s="978">
        <v>51.911999999999999</v>
      </c>
      <c r="AW47" s="687">
        <f>+AS47+AU47</f>
        <v>618.27927036000006</v>
      </c>
      <c r="AX47" s="687">
        <f>+AT47+AV47</f>
        <v>291.95199999999994</v>
      </c>
      <c r="AY47" s="449">
        <v>57.543060960000005</v>
      </c>
      <c r="AZ47" s="978">
        <v>56.414000000000001</v>
      </c>
      <c r="BA47" s="2266">
        <f t="shared" ref="BA47:BA51" si="295">+AQ47+AU47+AY47</f>
        <v>166.83625728000001</v>
      </c>
      <c r="BB47" s="184">
        <f t="shared" ref="BB47:BB51" si="296">+AR47+AV47+AZ47</f>
        <v>158.56099999999998</v>
      </c>
      <c r="BC47" s="1862">
        <f t="shared" ref="BC47:BD51" si="297">+AM47+BA47</f>
        <v>337.53446496000004</v>
      </c>
      <c r="BD47" s="1146">
        <f t="shared" si="297"/>
        <v>218.99399999999997</v>
      </c>
      <c r="BE47" s="4226">
        <f>+AW47+AY47</f>
        <v>675.8223313200001</v>
      </c>
      <c r="BF47" s="4226">
        <f>+AX47+AZ47</f>
        <v>348.36599999999993</v>
      </c>
    </row>
    <row r="48" spans="1:58" x14ac:dyDescent="0.25">
      <c r="B48" s="2303" t="s">
        <v>212</v>
      </c>
      <c r="C48" s="3573" t="s">
        <v>53</v>
      </c>
      <c r="D48" s="251">
        <v>901.12175999999999</v>
      </c>
      <c r="E48" s="2307">
        <v>73.900000000000006</v>
      </c>
      <c r="F48" s="230">
        <v>50.497</v>
      </c>
      <c r="G48" s="2307">
        <v>76.466617999999997</v>
      </c>
      <c r="H48" s="119">
        <v>28.908999999999999</v>
      </c>
      <c r="I48" s="120">
        <f t="shared" ref="I48:I51" si="298">+E48+G48</f>
        <v>150.36661800000002</v>
      </c>
      <c r="J48" s="245">
        <f t="shared" ref="J48:J51" si="299">+F48+H48</f>
        <v>79.406000000000006</v>
      </c>
      <c r="K48" s="1109">
        <v>73.891984320000006</v>
      </c>
      <c r="L48" s="119">
        <v>15.146000000000001</v>
      </c>
      <c r="M48" s="173">
        <f t="shared" ref="M48:M51" si="300">+I48+K48</f>
        <v>224.25860232000002</v>
      </c>
      <c r="N48" s="261">
        <f t="shared" ref="N48:N51" si="301">+J48+L48</f>
        <v>94.552000000000007</v>
      </c>
      <c r="O48" s="1109">
        <v>76.466617920000004</v>
      </c>
      <c r="P48" s="967">
        <v>2.3279999999999998</v>
      </c>
      <c r="Q48" s="120">
        <f t="shared" ref="Q48:Q51" si="302">+M48+O48</f>
        <v>300.72522024</v>
      </c>
      <c r="R48" s="245">
        <f t="shared" ref="R48:R51" si="303">+N48+P48</f>
        <v>96.88000000000001</v>
      </c>
      <c r="S48" s="1109">
        <v>76.466617920000004</v>
      </c>
      <c r="T48" s="967">
        <v>36.392000000000003</v>
      </c>
      <c r="U48" s="120">
        <f t="shared" ref="U48:U51" si="304">+Q48+S48</f>
        <v>377.19183815999997</v>
      </c>
      <c r="V48" s="245">
        <f t="shared" ref="V48:V51" si="305">+R48+T48</f>
        <v>133.27200000000002</v>
      </c>
      <c r="W48" s="1109">
        <v>73.891984320000006</v>
      </c>
      <c r="X48" s="967">
        <v>34.799999999999997</v>
      </c>
      <c r="Y48" s="2266">
        <f t="shared" si="291"/>
        <v>226.82522016000001</v>
      </c>
      <c r="Z48" s="184">
        <f t="shared" si="292"/>
        <v>73.52000000000001</v>
      </c>
      <c r="AA48" s="1862">
        <f t="shared" ref="AA48:AA51" si="306">+U48+W48</f>
        <v>451.08382247999998</v>
      </c>
      <c r="AB48" s="1146">
        <f t="shared" ref="AB48:AB51" si="307">+V48+X48</f>
        <v>168.072</v>
      </c>
      <c r="AC48" s="1109">
        <v>76.724081280000007</v>
      </c>
      <c r="AD48" s="967">
        <v>35.393999999999998</v>
      </c>
      <c r="AE48" s="120">
        <f t="shared" ref="AE48:AE51" si="308">+AA48+AC48</f>
        <v>527.80790376000004</v>
      </c>
      <c r="AF48" s="245">
        <f t="shared" ref="AF48:AF51" si="309">+AB48+AD48</f>
        <v>203.46600000000001</v>
      </c>
      <c r="AG48" s="978">
        <v>74.149447679999994</v>
      </c>
      <c r="AH48" s="449">
        <v>27.684000000000001</v>
      </c>
      <c r="AI48" s="687">
        <f t="shared" ref="AI48:AI51" si="310">+AE48+AG48</f>
        <v>601.95735144000002</v>
      </c>
      <c r="AJ48" s="687">
        <f t="shared" ref="AJ48:AJ51" si="311">+AF48+AH48</f>
        <v>231.15</v>
      </c>
      <c r="AK48" s="449">
        <v>76.724081280000007</v>
      </c>
      <c r="AL48" s="2368">
        <v>5.4820000000000002</v>
      </c>
      <c r="AM48" s="2266">
        <f t="shared" si="293"/>
        <v>227.59761023999999</v>
      </c>
      <c r="AN48" s="184">
        <f t="shared" si="294"/>
        <v>68.56</v>
      </c>
      <c r="AO48" s="120">
        <f t="shared" ref="AO48:AO51" si="312">+AI48+AK48</f>
        <v>678.68143271999998</v>
      </c>
      <c r="AP48" s="245">
        <f t="shared" ref="AP48:AP51" si="313">+AJ48+AL48</f>
        <v>236.63200000000001</v>
      </c>
      <c r="AQ48" s="449">
        <v>76.724081280000007</v>
      </c>
      <c r="AR48" s="978">
        <v>53.23</v>
      </c>
      <c r="AS48" s="687">
        <f t="shared" ref="AS48:AS51" si="314">+AO48+AQ48</f>
        <v>755.40551400000004</v>
      </c>
      <c r="AT48" s="687">
        <f t="shared" ref="AT48:AT51" si="315">+AP48+AR48</f>
        <v>289.86200000000002</v>
      </c>
      <c r="AU48" s="449">
        <v>69.000180479999997</v>
      </c>
      <c r="AV48" s="978">
        <v>54.616</v>
      </c>
      <c r="AW48" s="687">
        <f t="shared" ref="AW48:AW51" si="316">+AS48+AU48</f>
        <v>824.40569448000008</v>
      </c>
      <c r="AX48" s="687">
        <f t="shared" ref="AX48:AX51" si="317">+AT48+AV48</f>
        <v>344.47800000000001</v>
      </c>
      <c r="AY48" s="449">
        <v>76.724081280000007</v>
      </c>
      <c r="AZ48" s="978">
        <v>71.308000000000007</v>
      </c>
      <c r="BA48" s="2266">
        <f t="shared" si="295"/>
        <v>222.44834304</v>
      </c>
      <c r="BB48" s="184">
        <f t="shared" si="296"/>
        <v>179.154</v>
      </c>
      <c r="BC48" s="1862">
        <f t="shared" si="297"/>
        <v>450.04595327999999</v>
      </c>
      <c r="BD48" s="1146">
        <f t="shared" si="297"/>
        <v>247.714</v>
      </c>
      <c r="BE48" s="4226">
        <f t="shared" ref="BE48:BE51" si="318">+AW48+AY48</f>
        <v>901.12977576000003</v>
      </c>
      <c r="BF48" s="4226">
        <f t="shared" ref="BF48:BF51" si="319">+AX48+AZ48</f>
        <v>415.786</v>
      </c>
    </row>
    <row r="49" spans="1:58" x14ac:dyDescent="0.25">
      <c r="B49" s="2303" t="s">
        <v>213</v>
      </c>
      <c r="C49" s="3573" t="s">
        <v>53</v>
      </c>
      <c r="D49" s="251">
        <v>112.64022</v>
      </c>
      <c r="E49" s="2307">
        <v>9.1999999999999993</v>
      </c>
      <c r="F49" s="230">
        <v>16.106999999999999</v>
      </c>
      <c r="G49" s="2307">
        <v>9.5583270000000002</v>
      </c>
      <c r="H49" s="119">
        <v>0</v>
      </c>
      <c r="I49" s="120">
        <f t="shared" si="298"/>
        <v>18.758327000000001</v>
      </c>
      <c r="J49" s="245">
        <f t="shared" si="299"/>
        <v>16.106999999999999</v>
      </c>
      <c r="K49" s="1109">
        <v>9.2364980400000007</v>
      </c>
      <c r="L49" s="119">
        <v>0.89</v>
      </c>
      <c r="M49" s="173">
        <f t="shared" si="300"/>
        <v>27.994825040000002</v>
      </c>
      <c r="N49" s="261">
        <f t="shared" si="301"/>
        <v>16.997</v>
      </c>
      <c r="O49" s="1109">
        <v>9.5583272400000006</v>
      </c>
      <c r="P49" s="967">
        <v>0</v>
      </c>
      <c r="Q49" s="120">
        <f t="shared" si="302"/>
        <v>37.553152280000006</v>
      </c>
      <c r="R49" s="245">
        <f t="shared" si="303"/>
        <v>16.997</v>
      </c>
      <c r="S49" s="1109">
        <v>9.5583272400000006</v>
      </c>
      <c r="T49" s="967">
        <v>0</v>
      </c>
      <c r="U49" s="120">
        <f t="shared" si="304"/>
        <v>47.111479520000003</v>
      </c>
      <c r="V49" s="245">
        <f t="shared" si="305"/>
        <v>16.997</v>
      </c>
      <c r="W49" s="1109">
        <v>9.2364980400000007</v>
      </c>
      <c r="X49" s="967">
        <v>0</v>
      </c>
      <c r="Y49" s="2266">
        <f t="shared" si="291"/>
        <v>28.353152520000002</v>
      </c>
      <c r="Z49" s="184">
        <f t="shared" si="292"/>
        <v>0</v>
      </c>
      <c r="AA49" s="1862">
        <f t="shared" si="306"/>
        <v>56.347977560000004</v>
      </c>
      <c r="AB49" s="1146">
        <f t="shared" si="307"/>
        <v>16.997</v>
      </c>
      <c r="AC49" s="1109">
        <v>9.5905101600000009</v>
      </c>
      <c r="AD49" s="967">
        <v>11.276</v>
      </c>
      <c r="AE49" s="120">
        <f t="shared" si="308"/>
        <v>65.938487720000012</v>
      </c>
      <c r="AF49" s="245">
        <f t="shared" si="309"/>
        <v>28.273</v>
      </c>
      <c r="AG49" s="978">
        <v>9.2686809599999993</v>
      </c>
      <c r="AH49" s="449">
        <v>0</v>
      </c>
      <c r="AI49" s="687">
        <f t="shared" si="310"/>
        <v>75.207168680000009</v>
      </c>
      <c r="AJ49" s="687">
        <f t="shared" si="311"/>
        <v>28.273</v>
      </c>
      <c r="AK49" s="449">
        <v>9.5905101600000009</v>
      </c>
      <c r="AL49" s="978">
        <v>0</v>
      </c>
      <c r="AM49" s="2266">
        <f t="shared" si="293"/>
        <v>28.449701279999999</v>
      </c>
      <c r="AN49" s="184">
        <f t="shared" si="294"/>
        <v>11.276</v>
      </c>
      <c r="AO49" s="120">
        <f t="shared" si="312"/>
        <v>84.797678840000003</v>
      </c>
      <c r="AP49" s="245">
        <f t="shared" si="313"/>
        <v>28.273</v>
      </c>
      <c r="AQ49" s="449">
        <v>9.5905101600000009</v>
      </c>
      <c r="AR49" s="978">
        <v>0</v>
      </c>
      <c r="AS49" s="687">
        <f t="shared" si="314"/>
        <v>94.388189000000011</v>
      </c>
      <c r="AT49" s="687">
        <f t="shared" si="315"/>
        <v>28.273</v>
      </c>
      <c r="AU49" s="449">
        <v>8.6250225599999997</v>
      </c>
      <c r="AV49" s="978">
        <v>11.282</v>
      </c>
      <c r="AW49" s="687">
        <f t="shared" si="316"/>
        <v>103.01321156000002</v>
      </c>
      <c r="AX49" s="687">
        <f t="shared" si="317"/>
        <v>39.555</v>
      </c>
      <c r="AY49" s="449">
        <v>9.5905101600000009</v>
      </c>
      <c r="AZ49" s="978">
        <v>0</v>
      </c>
      <c r="BA49" s="2266">
        <f t="shared" si="295"/>
        <v>27.80604288</v>
      </c>
      <c r="BB49" s="184">
        <f t="shared" si="296"/>
        <v>11.282</v>
      </c>
      <c r="BC49" s="1862">
        <f t="shared" si="297"/>
        <v>56.255744159999999</v>
      </c>
      <c r="BD49" s="1146">
        <f t="shared" si="297"/>
        <v>22.558</v>
      </c>
      <c r="BE49" s="4226">
        <f t="shared" si="318"/>
        <v>112.60372172000001</v>
      </c>
      <c r="BF49" s="4226">
        <f t="shared" si="319"/>
        <v>39.555</v>
      </c>
    </row>
    <row r="50" spans="1:58" x14ac:dyDescent="0.25">
      <c r="B50" s="2303" t="s">
        <v>214</v>
      </c>
      <c r="C50" s="3573" t="s">
        <v>53</v>
      </c>
      <c r="D50" s="251">
        <v>62.5779</v>
      </c>
      <c r="E50" s="2307">
        <v>5.0999999999999996</v>
      </c>
      <c r="F50" s="230">
        <v>3.1789999999999998</v>
      </c>
      <c r="G50" s="2307">
        <v>5.3101820000000002</v>
      </c>
      <c r="H50" s="119">
        <v>5.23</v>
      </c>
      <c r="I50" s="120">
        <f t="shared" si="298"/>
        <v>10.410181999999999</v>
      </c>
      <c r="J50" s="245">
        <f t="shared" si="299"/>
        <v>8.4090000000000007</v>
      </c>
      <c r="K50" s="1109">
        <v>5.1313877999999997</v>
      </c>
      <c r="L50" s="119">
        <v>2.0230000000000001</v>
      </c>
      <c r="M50" s="173">
        <f t="shared" si="300"/>
        <v>15.541569799999998</v>
      </c>
      <c r="N50" s="261">
        <f t="shared" si="301"/>
        <v>10.432</v>
      </c>
      <c r="O50" s="1109">
        <v>5.3101818000000005</v>
      </c>
      <c r="P50" s="967">
        <v>0</v>
      </c>
      <c r="Q50" s="120">
        <f t="shared" si="302"/>
        <v>20.8517516</v>
      </c>
      <c r="R50" s="245">
        <f t="shared" si="303"/>
        <v>10.432</v>
      </c>
      <c r="S50" s="1109">
        <v>5.3101818000000005</v>
      </c>
      <c r="T50" s="967">
        <v>0</v>
      </c>
      <c r="U50" s="120">
        <f t="shared" si="304"/>
        <v>26.161933400000002</v>
      </c>
      <c r="V50" s="245">
        <f t="shared" si="305"/>
        <v>10.432</v>
      </c>
      <c r="W50" s="1109">
        <v>5.1313877999999997</v>
      </c>
      <c r="X50" s="967">
        <v>3.6749999999999998</v>
      </c>
      <c r="Y50" s="2266">
        <f t="shared" si="291"/>
        <v>15.7517514</v>
      </c>
      <c r="Z50" s="184">
        <f t="shared" si="292"/>
        <v>3.6749999999999998</v>
      </c>
      <c r="AA50" s="1862">
        <f t="shared" si="306"/>
        <v>31.293321200000001</v>
      </c>
      <c r="AB50" s="1146">
        <f t="shared" si="307"/>
        <v>14.106999999999999</v>
      </c>
      <c r="AC50" s="1109">
        <v>5.3280612000000005</v>
      </c>
      <c r="AD50" s="967">
        <v>2.552</v>
      </c>
      <c r="AE50" s="120">
        <f t="shared" si="308"/>
        <v>36.621382400000002</v>
      </c>
      <c r="AF50" s="245">
        <f t="shared" si="309"/>
        <v>16.658999999999999</v>
      </c>
      <c r="AG50" s="978">
        <v>5.1492671999999997</v>
      </c>
      <c r="AH50" s="449">
        <v>4.899</v>
      </c>
      <c r="AI50" s="687">
        <f t="shared" si="310"/>
        <v>41.770649599999999</v>
      </c>
      <c r="AJ50" s="687">
        <f t="shared" si="311"/>
        <v>21.558</v>
      </c>
      <c r="AK50" s="449">
        <v>5.3280612000000005</v>
      </c>
      <c r="AL50" s="978">
        <v>0</v>
      </c>
      <c r="AM50" s="2266">
        <f t="shared" si="293"/>
        <v>15.805389600000002</v>
      </c>
      <c r="AN50" s="184">
        <f t="shared" si="294"/>
        <v>7.4510000000000005</v>
      </c>
      <c r="AO50" s="120">
        <f t="shared" si="312"/>
        <v>47.098710799999999</v>
      </c>
      <c r="AP50" s="245">
        <f t="shared" si="313"/>
        <v>21.558</v>
      </c>
      <c r="AQ50" s="449">
        <v>5.3280612000000005</v>
      </c>
      <c r="AR50" s="978">
        <v>10.952999999999999</v>
      </c>
      <c r="AS50" s="687">
        <f t="shared" si="314"/>
        <v>52.426772</v>
      </c>
      <c r="AT50" s="687">
        <f t="shared" si="315"/>
        <v>32.510999999999996</v>
      </c>
      <c r="AU50" s="449">
        <v>4.7916791999999999</v>
      </c>
      <c r="AV50" s="978">
        <v>10.095000000000001</v>
      </c>
      <c r="AW50" s="687">
        <f t="shared" si="316"/>
        <v>57.218451199999997</v>
      </c>
      <c r="AX50" s="687">
        <f t="shared" si="317"/>
        <v>42.605999999999995</v>
      </c>
      <c r="AY50" s="449">
        <v>5.3280612000000005</v>
      </c>
      <c r="AZ50" s="978">
        <v>9.0310000000000006</v>
      </c>
      <c r="BA50" s="2266">
        <f t="shared" si="295"/>
        <v>15.447801600000002</v>
      </c>
      <c r="BB50" s="184">
        <f t="shared" si="296"/>
        <v>30.079000000000001</v>
      </c>
      <c r="BC50" s="1862">
        <f t="shared" si="297"/>
        <v>31.253191200000003</v>
      </c>
      <c r="BD50" s="1146">
        <f t="shared" si="297"/>
        <v>37.53</v>
      </c>
      <c r="BE50" s="4226">
        <f t="shared" si="318"/>
        <v>62.546512399999997</v>
      </c>
      <c r="BF50" s="4226">
        <f t="shared" si="319"/>
        <v>51.636999999999993</v>
      </c>
    </row>
    <row r="51" spans="1:58" ht="15.95" customHeight="1" thickBot="1" x14ac:dyDescent="0.3">
      <c r="B51" s="2254" t="s">
        <v>215</v>
      </c>
      <c r="C51" s="380" t="s">
        <v>53</v>
      </c>
      <c r="D51" s="2278">
        <v>250.3116</v>
      </c>
      <c r="E51" s="3563">
        <v>20.5</v>
      </c>
      <c r="F51" s="360">
        <v>6.65</v>
      </c>
      <c r="G51" s="3563">
        <v>21.240727</v>
      </c>
      <c r="H51" s="379">
        <v>0</v>
      </c>
      <c r="I51" s="2292">
        <f t="shared" si="298"/>
        <v>41.740727</v>
      </c>
      <c r="J51" s="246">
        <f t="shared" si="299"/>
        <v>6.65</v>
      </c>
      <c r="K51" s="2309">
        <v>20.525551199999999</v>
      </c>
      <c r="L51" s="379">
        <v>5.7350000000000003</v>
      </c>
      <c r="M51" s="2294">
        <f t="shared" si="300"/>
        <v>62.266278200000002</v>
      </c>
      <c r="N51" s="262">
        <f t="shared" si="301"/>
        <v>12.385000000000002</v>
      </c>
      <c r="O51" s="2309">
        <v>21.240727200000002</v>
      </c>
      <c r="P51" s="4047">
        <v>0</v>
      </c>
      <c r="Q51" s="2292">
        <f t="shared" si="302"/>
        <v>83.507005399999997</v>
      </c>
      <c r="R51" s="246">
        <f t="shared" si="303"/>
        <v>12.385000000000002</v>
      </c>
      <c r="S51" s="2309">
        <v>21.240727200000002</v>
      </c>
      <c r="T51" s="4047">
        <v>4.5</v>
      </c>
      <c r="U51" s="2292">
        <f t="shared" si="304"/>
        <v>104.74773260000001</v>
      </c>
      <c r="V51" s="246">
        <f t="shared" si="305"/>
        <v>16.885000000000002</v>
      </c>
      <c r="W51" s="2309">
        <v>20.525551199999999</v>
      </c>
      <c r="X51" s="4047">
        <v>6.65</v>
      </c>
      <c r="Y51" s="2335">
        <f t="shared" si="291"/>
        <v>63.007005599999999</v>
      </c>
      <c r="Z51" s="1368">
        <f t="shared" si="292"/>
        <v>11.15</v>
      </c>
      <c r="AA51" s="2295">
        <f t="shared" si="306"/>
        <v>125.2732838</v>
      </c>
      <c r="AB51" s="1152">
        <f t="shared" si="307"/>
        <v>23.535000000000004</v>
      </c>
      <c r="AC51" s="2309">
        <v>21.312244800000002</v>
      </c>
      <c r="AD51" s="4047">
        <v>7</v>
      </c>
      <c r="AE51" s="2292">
        <f t="shared" si="308"/>
        <v>146.5855286</v>
      </c>
      <c r="AF51" s="246">
        <f t="shared" si="309"/>
        <v>30.535000000000004</v>
      </c>
      <c r="AG51" s="3688">
        <v>20.597068799999999</v>
      </c>
      <c r="AH51" s="4048">
        <v>0.69499999999999995</v>
      </c>
      <c r="AI51" s="1631">
        <f t="shared" si="310"/>
        <v>167.18259739999999</v>
      </c>
      <c r="AJ51" s="1631">
        <f t="shared" si="311"/>
        <v>31.230000000000004</v>
      </c>
      <c r="AK51" s="4048">
        <v>21.312244800000002</v>
      </c>
      <c r="AL51" s="3688">
        <v>0.5</v>
      </c>
      <c r="AM51" s="2335">
        <f t="shared" si="293"/>
        <v>63.221558400000006</v>
      </c>
      <c r="AN51" s="1368">
        <f t="shared" si="294"/>
        <v>8.1950000000000003</v>
      </c>
      <c r="AO51" s="2292">
        <f t="shared" si="312"/>
        <v>188.49484219999999</v>
      </c>
      <c r="AP51" s="246">
        <f t="shared" si="313"/>
        <v>31.730000000000004</v>
      </c>
      <c r="AQ51" s="4048">
        <v>21.312244800000002</v>
      </c>
      <c r="AR51" s="3688">
        <v>4.5</v>
      </c>
      <c r="AS51" s="1631">
        <f t="shared" si="314"/>
        <v>209.807087</v>
      </c>
      <c r="AT51" s="1631">
        <f t="shared" si="315"/>
        <v>36.230000000000004</v>
      </c>
      <c r="AU51" s="4048">
        <v>19.1667168</v>
      </c>
      <c r="AV51" s="3688">
        <v>6.5</v>
      </c>
      <c r="AW51" s="1631">
        <f t="shared" si="316"/>
        <v>228.97380379999998</v>
      </c>
      <c r="AX51" s="1631">
        <f t="shared" si="317"/>
        <v>42.730000000000004</v>
      </c>
      <c r="AY51" s="4048">
        <v>21.312244800000002</v>
      </c>
      <c r="AZ51" s="3688">
        <v>12</v>
      </c>
      <c r="BA51" s="2335">
        <f t="shared" si="295"/>
        <v>61.791206400000007</v>
      </c>
      <c r="BB51" s="1368">
        <f t="shared" si="296"/>
        <v>23</v>
      </c>
      <c r="BC51" s="2295">
        <f t="shared" si="297"/>
        <v>125.01276480000001</v>
      </c>
      <c r="BD51" s="1152">
        <f t="shared" si="297"/>
        <v>31.195</v>
      </c>
      <c r="BE51" s="716">
        <f t="shared" si="318"/>
        <v>250.28604859999999</v>
      </c>
      <c r="BF51" s="716">
        <f t="shared" si="319"/>
        <v>54.730000000000004</v>
      </c>
    </row>
    <row r="52" spans="1:58" ht="16.5" thickBot="1" x14ac:dyDescent="0.3">
      <c r="B52" s="2304" t="s">
        <v>557</v>
      </c>
      <c r="C52" s="4050" t="s">
        <v>53</v>
      </c>
      <c r="D52" s="247">
        <v>2002.4928</v>
      </c>
      <c r="E52" s="250">
        <f t="shared" ref="E52:J52" si="320">SUM(E47:E51)</f>
        <v>164.1</v>
      </c>
      <c r="F52" s="250">
        <f t="shared" si="320"/>
        <v>109.565</v>
      </c>
      <c r="G52" s="250">
        <f t="shared" ref="G52" si="321">SUM(G47:G51)</f>
        <v>169.92581699999997</v>
      </c>
      <c r="H52" s="250">
        <f t="shared" si="320"/>
        <v>65.480999999999995</v>
      </c>
      <c r="I52" s="4051">
        <f t="shared" si="320"/>
        <v>334.02581700000002</v>
      </c>
      <c r="J52" s="4051">
        <f t="shared" si="320"/>
        <v>175.04599999999999</v>
      </c>
      <c r="K52" s="250">
        <f t="shared" ref="K52:N52" si="322">SUM(K47:K51)</f>
        <v>164.20440959999999</v>
      </c>
      <c r="L52" s="250">
        <f t="shared" si="322"/>
        <v>33.417000000000002</v>
      </c>
      <c r="M52" s="4052">
        <f t="shared" si="322"/>
        <v>498.23022660000004</v>
      </c>
      <c r="N52" s="4052">
        <f t="shared" si="322"/>
        <v>208.46299999999999</v>
      </c>
      <c r="O52" s="250">
        <f t="shared" ref="O52:P52" si="323">SUM(O47:O51)</f>
        <v>169.92581760000004</v>
      </c>
      <c r="P52" s="250">
        <f t="shared" si="323"/>
        <v>2.3279999999999998</v>
      </c>
      <c r="Q52" s="4051">
        <f t="shared" ref="Q52:T52" si="324">SUM(Q47:Q51)</f>
        <v>668.1560442</v>
      </c>
      <c r="R52" s="4051">
        <f t="shared" si="324"/>
        <v>210.79099999999997</v>
      </c>
      <c r="S52" s="250">
        <f t="shared" si="324"/>
        <v>169.92581760000004</v>
      </c>
      <c r="T52" s="250">
        <f t="shared" si="324"/>
        <v>66.344999999999999</v>
      </c>
      <c r="U52" s="4051">
        <f t="shared" ref="U52:X52" si="325">SUM(U47:U51)</f>
        <v>838.08186179999984</v>
      </c>
      <c r="V52" s="4051">
        <f t="shared" si="325"/>
        <v>277.13600000000002</v>
      </c>
      <c r="W52" s="250">
        <f t="shared" si="325"/>
        <v>164.20440959999999</v>
      </c>
      <c r="X52" s="250">
        <f t="shared" si="325"/>
        <v>74.947000000000003</v>
      </c>
      <c r="Y52" s="4052">
        <f t="shared" ref="Y52:Z52" si="326">SUM(Y47:Y51)</f>
        <v>504.0560448</v>
      </c>
      <c r="Z52" s="4052">
        <f t="shared" si="326"/>
        <v>143.62000000000003</v>
      </c>
      <c r="AA52" s="4053">
        <f t="shared" ref="AA52:AN52" si="327">SUM(AA47:AA51)</f>
        <v>1002.2862714</v>
      </c>
      <c r="AB52" s="4053">
        <f t="shared" si="327"/>
        <v>352.08300000000003</v>
      </c>
      <c r="AC52" s="250">
        <f t="shared" si="327"/>
        <v>170.49795840000002</v>
      </c>
      <c r="AD52" s="250">
        <f t="shared" si="327"/>
        <v>87.391999999999996</v>
      </c>
      <c r="AE52" s="4051">
        <f t="shared" si="327"/>
        <v>1172.7842298</v>
      </c>
      <c r="AF52" s="4051">
        <f t="shared" si="327"/>
        <v>439.47500000000002</v>
      </c>
      <c r="AG52" s="250">
        <f t="shared" ref="AG52:AJ52" si="328">SUM(AG47:AG51)</f>
        <v>164.77655039999999</v>
      </c>
      <c r="AH52" s="250">
        <f t="shared" si="328"/>
        <v>57.078000000000003</v>
      </c>
      <c r="AI52" s="4051">
        <f t="shared" si="328"/>
        <v>1337.5607802000002</v>
      </c>
      <c r="AJ52" s="4051">
        <f t="shared" si="328"/>
        <v>496.553</v>
      </c>
      <c r="AK52" s="250">
        <f t="shared" ref="AK52:AL52" si="329">SUM(AK47:AK51)</f>
        <v>170.49795840000002</v>
      </c>
      <c r="AL52" s="250">
        <f t="shared" si="329"/>
        <v>11.445</v>
      </c>
      <c r="AM52" s="4052">
        <f t="shared" si="327"/>
        <v>505.77246719999999</v>
      </c>
      <c r="AN52" s="4052">
        <f t="shared" si="327"/>
        <v>155.91499999999999</v>
      </c>
      <c r="AO52" s="4051">
        <f t="shared" ref="AO52:AT52" si="330">SUM(AO47:AO51)</f>
        <v>1508.0587386</v>
      </c>
      <c r="AP52" s="4051">
        <f t="shared" si="330"/>
        <v>507.99800000000005</v>
      </c>
      <c r="AQ52" s="250">
        <f t="shared" si="330"/>
        <v>170.49795840000002</v>
      </c>
      <c r="AR52" s="250">
        <f t="shared" si="330"/>
        <v>118.91800000000001</v>
      </c>
      <c r="AS52" s="4051">
        <f t="shared" si="330"/>
        <v>1678.556697</v>
      </c>
      <c r="AT52" s="4051">
        <f t="shared" si="330"/>
        <v>626.91600000000005</v>
      </c>
      <c r="AU52" s="250">
        <f t="shared" ref="AU52:AX52" si="331">SUM(AU47:AU51)</f>
        <v>153.3337344</v>
      </c>
      <c r="AV52" s="250">
        <f t="shared" si="331"/>
        <v>134.40499999999997</v>
      </c>
      <c r="AW52" s="4051">
        <f t="shared" si="331"/>
        <v>1831.8904314000001</v>
      </c>
      <c r="AX52" s="99">
        <f t="shared" si="331"/>
        <v>761.32099999999991</v>
      </c>
      <c r="AY52" s="250">
        <f t="shared" ref="AY52:BF52" si="332">SUM(AY47:AY51)</f>
        <v>170.49795840000002</v>
      </c>
      <c r="AZ52" s="250">
        <f t="shared" si="332"/>
        <v>148.75300000000001</v>
      </c>
      <c r="BA52" s="4052">
        <f t="shared" si="332"/>
        <v>494.3296512</v>
      </c>
      <c r="BB52" s="4052">
        <f t="shared" si="332"/>
        <v>402.07599999999996</v>
      </c>
      <c r="BC52" s="4053">
        <f t="shared" ref="BC52:BD52" si="333">SUM(BC47:BC51)</f>
        <v>1000.1021183999999</v>
      </c>
      <c r="BD52" s="4053">
        <f t="shared" si="333"/>
        <v>557.99099999999999</v>
      </c>
      <c r="BE52" s="4054">
        <f t="shared" si="332"/>
        <v>2002.3883898000001</v>
      </c>
      <c r="BF52" s="98">
        <f t="shared" si="332"/>
        <v>910.07399999999984</v>
      </c>
    </row>
    <row r="53" spans="1:58" s="334" customFormat="1" ht="21.75" customHeight="1" x14ac:dyDescent="0.25">
      <c r="A53" s="333"/>
      <c r="B53" s="2332" t="s">
        <v>555</v>
      </c>
      <c r="C53" s="1372"/>
      <c r="D53" s="1372"/>
      <c r="E53" s="1372"/>
      <c r="F53" s="4049"/>
      <c r="G53" s="1372"/>
      <c r="H53" s="1372"/>
      <c r="I53" s="1372"/>
      <c r="J53" s="1372"/>
      <c r="K53" s="1372"/>
      <c r="L53" s="1372"/>
      <c r="M53" s="1372"/>
      <c r="N53" s="1372"/>
      <c r="O53" s="1372"/>
      <c r="P53" s="1372"/>
      <c r="Q53" s="1372"/>
      <c r="R53" s="1372"/>
      <c r="S53" s="1372"/>
      <c r="T53" s="1372"/>
      <c r="U53" s="1372"/>
      <c r="V53" s="1372"/>
      <c r="W53" s="1372"/>
      <c r="X53" s="1372"/>
      <c r="Y53" s="1372"/>
      <c r="Z53" s="1372"/>
      <c r="AA53" s="1372"/>
      <c r="AB53" s="1372"/>
      <c r="AC53" s="1372"/>
      <c r="AD53" s="1372"/>
      <c r="AE53" s="1372"/>
      <c r="AF53" s="1372"/>
      <c r="AG53" s="1372"/>
      <c r="AH53" s="1372"/>
      <c r="AI53" s="1372"/>
      <c r="AJ53" s="1372"/>
      <c r="AK53" s="1372"/>
      <c r="AL53" s="1372"/>
      <c r="AM53" s="1372"/>
      <c r="AN53" s="1372"/>
      <c r="AO53" s="1372"/>
      <c r="AP53" s="1372"/>
      <c r="AQ53" s="1372"/>
      <c r="AR53" s="1372"/>
      <c r="AS53" s="1372"/>
      <c r="AT53" s="1372"/>
      <c r="AU53" s="1372"/>
      <c r="AV53" s="1372"/>
      <c r="AW53" s="1372"/>
      <c r="AX53" s="1372"/>
      <c r="AY53" s="1372"/>
      <c r="AZ53" s="1372"/>
      <c r="BA53" s="1372"/>
      <c r="BB53" s="1372"/>
      <c r="BC53" s="1372"/>
      <c r="BD53" s="1372"/>
      <c r="BE53" s="1372"/>
      <c r="BF53" s="1372"/>
    </row>
    <row r="54" spans="1:58" ht="15.75" customHeight="1" x14ac:dyDescent="0.25">
      <c r="B54" s="2310" t="s">
        <v>206</v>
      </c>
      <c r="C54" s="111" t="s">
        <v>554</v>
      </c>
      <c r="D54" s="1615">
        <v>29.000078302403885</v>
      </c>
      <c r="E54" s="2437">
        <f>+E39*1000/E13</f>
        <v>29.000078302403885</v>
      </c>
      <c r="F54" s="361">
        <f>+F39/F13*1000</f>
        <v>29.010238907849832</v>
      </c>
      <c r="G54" s="2437">
        <f>+G39*1000/G13</f>
        <v>29.000053043563923</v>
      </c>
      <c r="H54" s="361">
        <f t="shared" ref="H54:J55" si="334">+H39/H13*1000</f>
        <v>29.000759091850114</v>
      </c>
      <c r="I54" s="2436">
        <f t="shared" si="334"/>
        <v>29.000065465944235</v>
      </c>
      <c r="J54" s="2436">
        <f t="shared" si="334"/>
        <v>29.005417126543918</v>
      </c>
      <c r="K54" s="2437">
        <f>+K39*1000/K13</f>
        <v>29</v>
      </c>
      <c r="L54" s="361">
        <f t="shared" ref="L54:N55" si="335">+L39/L13*1000</f>
        <v>28.520179733298978</v>
      </c>
      <c r="M54" s="2435">
        <f t="shared" si="335"/>
        <v>29.000043883764814</v>
      </c>
      <c r="N54" s="2435">
        <f t="shared" si="335"/>
        <v>28.847088622228995</v>
      </c>
      <c r="O54" s="2437">
        <v>29</v>
      </c>
      <c r="P54" s="361">
        <v>28</v>
      </c>
      <c r="Q54" s="2436">
        <f t="shared" ref="Q54:R55" si="336">+Q39/Q13*1000</f>
        <v>29.000032732972116</v>
      </c>
      <c r="R54" s="2436">
        <f t="shared" si="336"/>
        <v>28.508879261232934</v>
      </c>
      <c r="S54" s="2437">
        <v>29</v>
      </c>
      <c r="T54" s="361">
        <v>29</v>
      </c>
      <c r="U54" s="2436">
        <f t="shared" ref="U54:V54" si="337">+U39/U13*1000</f>
        <v>29.000026100801296</v>
      </c>
      <c r="V54" s="2436">
        <f t="shared" si="337"/>
        <v>28.291824913142715</v>
      </c>
      <c r="W54" s="2437">
        <v>29</v>
      </c>
      <c r="X54" s="361">
        <v>29</v>
      </c>
      <c r="Y54" s="2435">
        <f t="shared" ref="Y54:AB54" si="338">+Y39/Y13*1000</f>
        <v>29</v>
      </c>
      <c r="Z54" s="2435">
        <f t="shared" si="338"/>
        <v>27.486313280117237</v>
      </c>
      <c r="AA54" s="2438">
        <f t="shared" si="338"/>
        <v>29.000021821981406</v>
      </c>
      <c r="AB54" s="2438">
        <f t="shared" si="338"/>
        <v>28.160493103964487</v>
      </c>
      <c r="AC54" s="2437">
        <v>29</v>
      </c>
      <c r="AD54" s="361">
        <v>27.6</v>
      </c>
      <c r="AE54" s="2436">
        <f t="shared" ref="AE54:AF54" si="339">+AE39/AE13*1000</f>
        <v>29.000018660853261</v>
      </c>
      <c r="AF54" s="2436">
        <f t="shared" si="339"/>
        <v>28.072938079831257</v>
      </c>
      <c r="AG54" s="2437">
        <v>29</v>
      </c>
      <c r="AH54" s="361">
        <v>27.6</v>
      </c>
      <c r="AI54" s="2436">
        <f t="shared" ref="AI54:AJ54" si="340">+AI39/AI13*1000</f>
        <v>29.000016366486058</v>
      </c>
      <c r="AJ54" s="2436">
        <f t="shared" si="340"/>
        <v>27.97384258987513</v>
      </c>
      <c r="AK54" s="2437">
        <v>29</v>
      </c>
      <c r="AL54" s="361">
        <v>27</v>
      </c>
      <c r="AM54" s="2435">
        <f t="shared" ref="AM54:AP54" si="341">+AM39/AM13*1000</f>
        <v>29.000000000000007</v>
      </c>
      <c r="AN54" s="2435">
        <f t="shared" si="341"/>
        <v>27.27358668935527</v>
      </c>
      <c r="AO54" s="2436">
        <f t="shared" si="341"/>
        <v>29.000014521536716</v>
      </c>
      <c r="AP54" s="2436">
        <f t="shared" si="341"/>
        <v>27.863833414768528</v>
      </c>
      <c r="AQ54" s="2437">
        <v>29</v>
      </c>
      <c r="AR54" s="361">
        <v>27</v>
      </c>
      <c r="AS54" s="2436">
        <f t="shared" ref="AS54:AT54" si="342">+AS39/AS13*1000</f>
        <v>29.000013050400643</v>
      </c>
      <c r="AT54" s="2436">
        <f t="shared" si="342"/>
        <v>27.796501326715692</v>
      </c>
      <c r="AU54" s="2437">
        <v>29</v>
      </c>
      <c r="AV54" s="361">
        <v>27</v>
      </c>
      <c r="AW54" s="2436">
        <f t="shared" ref="AW54:AX54" si="343">+AW39/AW13*1000</f>
        <v>29.000011956355081</v>
      </c>
      <c r="AX54" s="2436">
        <f t="shared" si="343"/>
        <v>27.565668037167178</v>
      </c>
      <c r="AY54" s="2437">
        <v>29</v>
      </c>
      <c r="AZ54" s="361">
        <v>26</v>
      </c>
      <c r="BA54" s="2435">
        <f t="shared" ref="BA54:BD54" si="344">+BA39/BA13*1000</f>
        <v>29</v>
      </c>
      <c r="BB54" s="2435">
        <f t="shared" si="344"/>
        <v>26.132612198411824</v>
      </c>
      <c r="BC54" s="2438">
        <f t="shared" si="344"/>
        <v>29.000000000000007</v>
      </c>
      <c r="BD54" s="2438">
        <f t="shared" si="344"/>
        <v>26.706840658373782</v>
      </c>
      <c r="BE54" s="2436">
        <f t="shared" ref="BE54:BF54" si="345">+BE39/BE13*1000</f>
        <v>29.000010940883829</v>
      </c>
      <c r="BF54" s="2436">
        <f t="shared" si="345"/>
        <v>27.434155421732257</v>
      </c>
    </row>
    <row r="55" spans="1:58" ht="15.75" customHeight="1" thickBot="1" x14ac:dyDescent="0.3">
      <c r="B55" s="2311" t="s">
        <v>207</v>
      </c>
      <c r="C55" s="112" t="s">
        <v>554</v>
      </c>
      <c r="D55" s="1615">
        <v>28.999983992060056</v>
      </c>
      <c r="E55" s="2437">
        <f>+E40*1000/E14</f>
        <v>28.999983992060056</v>
      </c>
      <c r="F55" s="361">
        <f>+F40/F14*1000</f>
        <v>30.000040179291474</v>
      </c>
      <c r="G55" s="2437">
        <f>+G40*1000/G14</f>
        <v>28.999983992060059</v>
      </c>
      <c r="H55" s="361">
        <f t="shared" si="334"/>
        <v>29.972197697947458</v>
      </c>
      <c r="I55" s="2436">
        <f t="shared" si="334"/>
        <v>28.999983992060059</v>
      </c>
      <c r="J55" s="2436">
        <f t="shared" si="334"/>
        <v>29.985801147069882</v>
      </c>
      <c r="K55" s="2437">
        <f>+K40*1000/K14</f>
        <v>28.999999999999996</v>
      </c>
      <c r="L55" s="361">
        <f t="shared" si="335"/>
        <v>29.999988894281326</v>
      </c>
      <c r="M55" s="2435">
        <f t="shared" si="335"/>
        <v>28.999989269402899</v>
      </c>
      <c r="N55" s="2435">
        <f>+N40/N14*1000</f>
        <v>29.990562091284044</v>
      </c>
      <c r="O55" s="2437">
        <v>29</v>
      </c>
      <c r="P55" s="361">
        <v>30</v>
      </c>
      <c r="Q55" s="2436">
        <f t="shared" si="336"/>
        <v>28.999992127242653</v>
      </c>
      <c r="R55" s="2436">
        <f t="shared" si="336"/>
        <v>29.980934130189635</v>
      </c>
      <c r="S55" s="2437">
        <v>29</v>
      </c>
      <c r="T55" s="361">
        <v>30</v>
      </c>
      <c r="U55" s="2436">
        <f t="shared" ref="U55:V55" si="346">+U40/U14*1000</f>
        <v>28.99999382700355</v>
      </c>
      <c r="V55" s="2436">
        <f t="shared" si="346"/>
        <v>29.974948667238113</v>
      </c>
      <c r="W55" s="2437">
        <v>29</v>
      </c>
      <c r="X55" s="361">
        <v>30</v>
      </c>
      <c r="Y55" s="2435">
        <f t="shared" ref="Y55:AB55" si="347">+Y40/Y14*1000</f>
        <v>29.000000347998693</v>
      </c>
      <c r="Z55" s="2435">
        <f t="shared" si="347"/>
        <v>29.952492184261516</v>
      </c>
      <c r="AA55" s="2438">
        <f t="shared" si="347"/>
        <v>28.999994838970178</v>
      </c>
      <c r="AB55" s="2438">
        <f t="shared" si="347"/>
        <v>29.971135850941231</v>
      </c>
      <c r="AC55" s="2437">
        <v>29</v>
      </c>
      <c r="AD55" s="361">
        <v>30</v>
      </c>
      <c r="AE55" s="2436">
        <f t="shared" ref="AE55:AF55" si="348">+AE40/AE14*1000</f>
        <v>28.999995661399453</v>
      </c>
      <c r="AF55" s="2436">
        <f t="shared" si="348"/>
        <v>29.966876257227277</v>
      </c>
      <c r="AG55" s="2437">
        <v>29</v>
      </c>
      <c r="AH55" s="361">
        <v>30</v>
      </c>
      <c r="AI55" s="2436">
        <f t="shared" ref="AI55:AJ55" si="349">+AI40/AI14*1000</f>
        <v>28.999996194833944</v>
      </c>
      <c r="AJ55" s="2436">
        <f t="shared" si="349"/>
        <v>29.965049353943122</v>
      </c>
      <c r="AK55" s="2437">
        <v>29</v>
      </c>
      <c r="AL55" s="361">
        <v>30</v>
      </c>
      <c r="AM55" s="2435">
        <f t="shared" ref="AM55:AP55" si="350">+AM40/AM14*1000</f>
        <v>29.000000347998693</v>
      </c>
      <c r="AN55" s="2435">
        <f t="shared" si="350"/>
        <v>29.965165431902207</v>
      </c>
      <c r="AO55" s="2436">
        <f t="shared" si="350"/>
        <v>28.999996681990627</v>
      </c>
      <c r="AP55" s="2436">
        <f t="shared" si="350"/>
        <v>29.969086334433911</v>
      </c>
      <c r="AQ55" s="2437">
        <v>29</v>
      </c>
      <c r="AR55" s="361">
        <v>30</v>
      </c>
      <c r="AS55" s="2436">
        <f t="shared" ref="AS55:AT55" si="351">+AS40/AS14*1000</f>
        <v>28.999997070442362</v>
      </c>
      <c r="AT55" s="2436">
        <f t="shared" si="351"/>
        <v>29.972292428880014</v>
      </c>
      <c r="AU55" s="2437">
        <v>29</v>
      </c>
      <c r="AV55" s="361">
        <v>30</v>
      </c>
      <c r="AW55" s="2436">
        <f t="shared" ref="AW55:AX55" si="352">+AW40/AW14*1000</f>
        <v>28.999997316034023</v>
      </c>
      <c r="AX55" s="2436">
        <f t="shared" si="352"/>
        <v>29.974666895629863</v>
      </c>
      <c r="AY55" s="2437">
        <v>29</v>
      </c>
      <c r="AZ55" s="361">
        <v>30</v>
      </c>
      <c r="BA55" s="2435">
        <f t="shared" ref="BA55:BD55" si="353">+BA40/BA14*1000</f>
        <v>29.000000355731999</v>
      </c>
      <c r="BB55" s="2435">
        <f t="shared" si="353"/>
        <v>29.999912679054717</v>
      </c>
      <c r="BC55" s="2438">
        <f t="shared" si="353"/>
        <v>29.000000351822855</v>
      </c>
      <c r="BD55" s="2438">
        <f t="shared" si="353"/>
        <v>29.982360205088302</v>
      </c>
      <c r="BE55" s="2436">
        <f t="shared" ref="BE55:BF55" si="354">+BE40/BE14*1000</f>
        <v>28.999997587844664</v>
      </c>
      <c r="BF55" s="2436">
        <f t="shared" si="354"/>
        <v>29.976843951806512</v>
      </c>
    </row>
    <row r="56" spans="1:58" s="334" customFormat="1" ht="15.75" customHeight="1" thickBot="1" x14ac:dyDescent="0.3">
      <c r="A56" s="333"/>
      <c r="B56" s="2312" t="s">
        <v>38</v>
      </c>
      <c r="C56" s="916" t="s">
        <v>554</v>
      </c>
      <c r="D56" s="3587">
        <v>29.000017266683933</v>
      </c>
      <c r="E56" s="3582">
        <f t="shared" ref="E56:O56" si="355">+((E54*E13)+(E55*E14))/E15</f>
        <v>29.000017266683933</v>
      </c>
      <c r="F56" s="3582">
        <f t="shared" si="355"/>
        <v>29.637276459022928</v>
      </c>
      <c r="G56" s="3582">
        <f t="shared" ref="G56" si="356">+((G54*G13)+(G55*G14))/G15</f>
        <v>29.000008354847065</v>
      </c>
      <c r="H56" s="3582">
        <f t="shared" si="355"/>
        <v>29.618666858276175</v>
      </c>
      <c r="I56" s="3583">
        <f t="shared" si="355"/>
        <v>29.000012737717654</v>
      </c>
      <c r="J56" s="3583">
        <f t="shared" si="355"/>
        <v>29.627778124934903</v>
      </c>
      <c r="K56" s="3582">
        <f t="shared" ref="K56" si="357">+((K54*K13)+(K55*K14))/K15</f>
        <v>29</v>
      </c>
      <c r="L56" s="3582">
        <f t="shared" si="355"/>
        <v>29.473873314185141</v>
      </c>
      <c r="M56" s="3585">
        <f t="shared" si="355"/>
        <v>29.000008538470077</v>
      </c>
      <c r="N56" s="3585">
        <f t="shared" si="355"/>
        <v>29.576649496712729</v>
      </c>
      <c r="O56" s="3582">
        <f t="shared" si="355"/>
        <v>29</v>
      </c>
      <c r="P56" s="3582">
        <f t="shared" ref="P56:S56" si="358">+((P54*P13)+(P55*P14))/P15</f>
        <v>29.271469601960874</v>
      </c>
      <c r="Q56" s="3583">
        <f t="shared" si="358"/>
        <v>29.00000645377694</v>
      </c>
      <c r="R56" s="3583">
        <f t="shared" si="358"/>
        <v>29.447228102140887</v>
      </c>
      <c r="S56" s="3582">
        <f t="shared" si="358"/>
        <v>29</v>
      </c>
      <c r="T56" s="3582">
        <f t="shared" ref="T56:W56" si="359">+((T54*T13)+(T55*T14))/T15</f>
        <v>29.644857102188315</v>
      </c>
      <c r="U56" s="3583">
        <f t="shared" si="359"/>
        <v>29.000005213861421</v>
      </c>
      <c r="V56" s="3583">
        <f t="shared" si="359"/>
        <v>29.367322065276895</v>
      </c>
      <c r="W56" s="3582">
        <f t="shared" si="359"/>
        <v>29</v>
      </c>
      <c r="X56" s="3582">
        <f t="shared" ref="X56" si="360">+((X54*X13)+(X55*X14))/X15</f>
        <v>29.649202364111137</v>
      </c>
      <c r="Y56" s="3585">
        <f t="shared" ref="Y56:AF56" si="361">+((Y54*Y13)+(Y55*Y14))/Y15</f>
        <v>29.000000225217615</v>
      </c>
      <c r="Z56" s="3585">
        <f t="shared" si="361"/>
        <v>29.0727731584686</v>
      </c>
      <c r="AA56" s="3588">
        <f t="shared" si="361"/>
        <v>29.000004359130038</v>
      </c>
      <c r="AB56" s="3588">
        <f t="shared" si="361"/>
        <v>29.320567299010762</v>
      </c>
      <c r="AC56" s="3582">
        <f t="shared" si="361"/>
        <v>29</v>
      </c>
      <c r="AD56" s="3582">
        <f t="shared" si="361"/>
        <v>29.173707829805245</v>
      </c>
      <c r="AE56" s="3583">
        <f t="shared" si="361"/>
        <v>29.00000377607854</v>
      </c>
      <c r="AF56" s="3583">
        <f t="shared" si="361"/>
        <v>29.290560631217847</v>
      </c>
      <c r="AG56" s="3582">
        <f t="shared" ref="AG56:AJ56" si="362">+((AG54*AG13)+(AG55*AG14))/AG15</f>
        <v>29</v>
      </c>
      <c r="AH56" s="3582">
        <f t="shared" si="362"/>
        <v>29.154711292943766</v>
      </c>
      <c r="AI56" s="3583">
        <f t="shared" si="362"/>
        <v>29.000003311806591</v>
      </c>
      <c r="AJ56" s="3583">
        <f t="shared" si="362"/>
        <v>29.25522540222974</v>
      </c>
      <c r="AK56" s="3582">
        <f t="shared" ref="AK56:AL56" si="363">+((AK54*AK13)+(AK55*AK14))/AK15</f>
        <v>29</v>
      </c>
      <c r="AL56" s="3582">
        <f t="shared" si="363"/>
        <v>28.936609915480336</v>
      </c>
      <c r="AM56" s="3585">
        <f t="shared" ref="AM56:AT56" si="364">+((AM54*AM13)+(AM55*AM14))/AM15</f>
        <v>29.000000225217619</v>
      </c>
      <c r="AN56" s="3585">
        <f t="shared" si="364"/>
        <v>29.02224953311752</v>
      </c>
      <c r="AO56" s="3583">
        <f t="shared" si="364"/>
        <v>29.000002976148423</v>
      </c>
      <c r="AP56" s="3583">
        <f t="shared" si="364"/>
        <v>29.219095416785638</v>
      </c>
      <c r="AQ56" s="3630">
        <f t="shared" si="364"/>
        <v>29</v>
      </c>
      <c r="AR56" s="3630">
        <f t="shared" si="364"/>
        <v>28.939525801280119</v>
      </c>
      <c r="AS56" s="3631">
        <f t="shared" si="364"/>
        <v>29.000002708499437</v>
      </c>
      <c r="AT56" s="3631">
        <f t="shared" si="364"/>
        <v>29.197791995199072</v>
      </c>
      <c r="AU56" s="3630">
        <f t="shared" ref="AU56:AX56" si="365">+((AU54*AU13)+(AU55*AU14))/AU15</f>
        <v>29.000000000000004</v>
      </c>
      <c r="AV56" s="3630">
        <f t="shared" si="365"/>
        <v>28.94129101670752</v>
      </c>
      <c r="AW56" s="3631">
        <f t="shared" si="365"/>
        <v>29.000002481439608</v>
      </c>
      <c r="AX56" s="3631">
        <f t="shared" si="365"/>
        <v>29.117782649222068</v>
      </c>
      <c r="AY56" s="3630">
        <f t="shared" ref="AY56:BF56" si="366">+((AY54*AY13)+(AY55*AY14))/AY15</f>
        <v>29</v>
      </c>
      <c r="AZ56" s="3630">
        <f t="shared" si="366"/>
        <v>28.600993655251994</v>
      </c>
      <c r="BA56" s="3629">
        <f t="shared" si="366"/>
        <v>29.000000230222451</v>
      </c>
      <c r="BB56" s="3629">
        <f t="shared" si="366"/>
        <v>28.638531752442344</v>
      </c>
      <c r="BC56" s="3588">
        <f t="shared" ref="BC56:BD56" si="367">+((BC54*BC13)+(BC55*BC14))/BC15</f>
        <v>29.000000227692539</v>
      </c>
      <c r="BD56" s="3588">
        <f t="shared" si="367"/>
        <v>28.832113969184082</v>
      </c>
      <c r="BE56" s="3631">
        <f t="shared" si="366"/>
        <v>29.00000229907079</v>
      </c>
      <c r="BF56" s="3631">
        <f t="shared" si="366"/>
        <v>29.073707282425783</v>
      </c>
    </row>
    <row r="57" spans="1:58" s="334" customFormat="1" ht="15.75" customHeight="1" x14ac:dyDescent="0.25">
      <c r="A57" s="333"/>
      <c r="B57" s="2313" t="s">
        <v>1616</v>
      </c>
      <c r="C57" s="2314" t="s">
        <v>554</v>
      </c>
      <c r="D57" s="1614">
        <v>10</v>
      </c>
      <c r="E57" s="2437">
        <v>10</v>
      </c>
      <c r="F57" s="2437">
        <v>10.8</v>
      </c>
      <c r="G57" s="2437">
        <v>10</v>
      </c>
      <c r="H57" s="2437">
        <v>10.8</v>
      </c>
      <c r="I57" s="2436">
        <v>10</v>
      </c>
      <c r="J57" s="2436">
        <v>10.8</v>
      </c>
      <c r="K57" s="2437">
        <v>10</v>
      </c>
      <c r="L57" s="2437">
        <v>10.199999999999999</v>
      </c>
      <c r="M57" s="2435">
        <v>10</v>
      </c>
      <c r="N57" s="2435">
        <f>+((J57*$J$2)+(L57*$L$2))/$N$2</f>
        <v>10.602197802197804</v>
      </c>
      <c r="O57" s="2437">
        <v>10</v>
      </c>
      <c r="P57" s="2437">
        <v>10.8</v>
      </c>
      <c r="Q57" s="2436">
        <v>10</v>
      </c>
      <c r="R57" s="2436">
        <v>10.8</v>
      </c>
      <c r="S57" s="2437">
        <v>10</v>
      </c>
      <c r="T57" s="2437">
        <v>9.6999999999999993</v>
      </c>
      <c r="U57" s="2436">
        <v>10</v>
      </c>
      <c r="V57" s="2436">
        <v>10.8</v>
      </c>
      <c r="W57" s="2437">
        <v>10</v>
      </c>
      <c r="X57" s="2437">
        <v>9.6999999999999993</v>
      </c>
      <c r="Y57" s="2435">
        <f>+((O57*O13)+(S13*S57)+(W57*W13))/Y13</f>
        <v>10.000000000000002</v>
      </c>
      <c r="Z57" s="2435">
        <f>+((P57*P13)+(T13*T57)+(X57*X13))/Z13</f>
        <v>10.069514089194586</v>
      </c>
      <c r="AA57" s="2438">
        <f>+((U57*U13)+(W13*W57))/AA13</f>
        <v>10</v>
      </c>
      <c r="AB57" s="2438">
        <f>+((V57*V13)+(X13*X57))/AB13</f>
        <v>10.620330254687937</v>
      </c>
      <c r="AC57" s="2437">
        <v>10</v>
      </c>
      <c r="AD57" s="2437">
        <v>6.8</v>
      </c>
      <c r="AE57" s="2436">
        <f>+((AC57*AC13)+(AA13*AA57))/AE13</f>
        <v>10</v>
      </c>
      <c r="AF57" s="2436">
        <f>+((AD57*AD13)+(AB13*AB57))/AF13</f>
        <v>10.078737509607993</v>
      </c>
      <c r="AG57" s="2437">
        <v>10</v>
      </c>
      <c r="AH57" s="2437">
        <v>10</v>
      </c>
      <c r="AI57" s="2436">
        <f>+((AG57*AG13)+(AE13*AE57))/AI13</f>
        <v>10</v>
      </c>
      <c r="AJ57" s="2436">
        <f>+((AH57*AH13)+(AF13*AF57))/AJ13</f>
        <v>10.068946659936058</v>
      </c>
      <c r="AK57" s="2437">
        <v>10</v>
      </c>
      <c r="AL57" s="2437">
        <v>10</v>
      </c>
      <c r="AM57" s="2435">
        <f>+((AC57*AC13)+(AG13*AG57)+(AK57*AK13))/AM13</f>
        <v>10.000000000000002</v>
      </c>
      <c r="AN57" s="2435">
        <f>+((AD57*AD13)+(AH13*AH57)+(AL57*AL13))/AN13</f>
        <v>8.9483015926049667</v>
      </c>
      <c r="AO57" s="2436">
        <f>+((AI57*AI13)+(AK13*AK57))/AO13</f>
        <v>10.000000000000002</v>
      </c>
      <c r="AP57" s="2436">
        <f>+((AJ57*AJ13)+(AL13*AL57))/AP13</f>
        <v>10.061056474444939</v>
      </c>
      <c r="AQ57" s="2437">
        <v>10</v>
      </c>
      <c r="AR57" s="2437">
        <v>10.199999999999999</v>
      </c>
      <c r="AS57" s="2436">
        <f>+((AQ57*AQ13)+(AO13*AO57))/AS13</f>
        <v>10.000000000000002</v>
      </c>
      <c r="AT57" s="2436">
        <f>+((AR57*AR13)+(AP13*AP57))/AT13</f>
        <v>10.075311737371711</v>
      </c>
      <c r="AU57" s="2437">
        <v>10</v>
      </c>
      <c r="AV57" s="2437">
        <v>10.199999999999999</v>
      </c>
      <c r="AW57" s="2436">
        <f>+((AU57*AU13)+(AS13*AS57))/AW13</f>
        <v>10</v>
      </c>
      <c r="AX57" s="2436">
        <f>+((AV57*AV13)+(AT13*AT57))/AX13</f>
        <v>10.085876017379597</v>
      </c>
      <c r="AY57" s="2437">
        <v>10</v>
      </c>
      <c r="AZ57" s="2437">
        <v>11</v>
      </c>
      <c r="BA57" s="2435">
        <f>+((AQ57*AQ13)+(AU13*AU57)+(AY57*AY13))/BA13</f>
        <v>10</v>
      </c>
      <c r="BB57" s="2435">
        <f>+((AR57*AR13)+(AV13*AV57)+(AZ57*AZ13))/BB13</f>
        <v>10.472985781990518</v>
      </c>
      <c r="BC57" s="2438">
        <f>+((BA57*BA13)+(AM13*AM57))/BC13</f>
        <v>10</v>
      </c>
      <c r="BD57" s="2438">
        <f>+((BB57*BB13)+(AN13*AN57))/BD13</f>
        <v>9.7056443024494143</v>
      </c>
      <c r="BE57" s="2436">
        <f>+((AY57*AY13)+(AW13*AW57))/BE13</f>
        <v>10</v>
      </c>
      <c r="BF57" s="2436">
        <f>+((AZ57*AZ13)+(AX13*AX57))/BF13</f>
        <v>10.163294684366772</v>
      </c>
    </row>
    <row r="58" spans="1:58" s="334" customFormat="1" ht="15.75" customHeight="1" thickBot="1" x14ac:dyDescent="0.3">
      <c r="A58" s="333"/>
      <c r="B58" s="2315" t="s">
        <v>556</v>
      </c>
      <c r="C58" s="2316" t="s">
        <v>554</v>
      </c>
      <c r="D58" s="1614">
        <v>10</v>
      </c>
      <c r="E58" s="2437">
        <v>10</v>
      </c>
      <c r="F58" s="2437">
        <v>10.43</v>
      </c>
      <c r="G58" s="2437">
        <v>10</v>
      </c>
      <c r="H58" s="2437">
        <v>10.43</v>
      </c>
      <c r="I58" s="2436">
        <v>10</v>
      </c>
      <c r="J58" s="2436">
        <v>10.43</v>
      </c>
      <c r="K58" s="2437">
        <v>10</v>
      </c>
      <c r="L58" s="2437">
        <v>10.5</v>
      </c>
      <c r="M58" s="2435">
        <v>10</v>
      </c>
      <c r="N58" s="2435">
        <f>+((J58*$J$2)+(L58*$L$2))/$N$2</f>
        <v>10.453076923076923</v>
      </c>
      <c r="O58" s="2437">
        <v>10</v>
      </c>
      <c r="P58" s="2437">
        <v>10.5</v>
      </c>
      <c r="Q58" s="2436">
        <v>10</v>
      </c>
      <c r="R58" s="2436">
        <v>9.5</v>
      </c>
      <c r="S58" s="2437">
        <v>10</v>
      </c>
      <c r="T58" s="2437">
        <v>10.5</v>
      </c>
      <c r="U58" s="2436">
        <v>10</v>
      </c>
      <c r="V58" s="2436">
        <v>9.5</v>
      </c>
      <c r="W58" s="2437">
        <v>10</v>
      </c>
      <c r="X58" s="2437">
        <v>10.5</v>
      </c>
      <c r="Y58" s="2435">
        <f>+((O58*O14)+(S14*S58)+(W58*W14))/Y14</f>
        <v>10</v>
      </c>
      <c r="Z58" s="2435">
        <f>+((P58*P14)+(T14*T58)+(X58*X14))/Z14</f>
        <v>10.5</v>
      </c>
      <c r="AA58" s="2438">
        <f>+((U58*U14)+(W14*W58))/AA14</f>
        <v>9.9999999999999982</v>
      </c>
      <c r="AB58" s="2438">
        <f>+((V58*V14)+(X14*X58))/AB14</f>
        <v>9.6695168998675651</v>
      </c>
      <c r="AC58" s="2437">
        <v>10</v>
      </c>
      <c r="AD58" s="2437">
        <v>10.5</v>
      </c>
      <c r="AE58" s="2436">
        <f>+((AC58*AC14)+(AA14*AA58))/AE14</f>
        <v>10</v>
      </c>
      <c r="AF58" s="2436">
        <f>+((AD58*AD14)+(AB14*AB58))/AF14</f>
        <v>9.7940629435661499</v>
      </c>
      <c r="AG58" s="2437">
        <v>10</v>
      </c>
      <c r="AH58" s="2437">
        <v>10.5</v>
      </c>
      <c r="AI58" s="2436">
        <f>+((AG58*AG14)+(AE14*AE58))/AI14</f>
        <v>10</v>
      </c>
      <c r="AJ58" s="2436">
        <f>+((AH58*AH14)+(AF14*AF58))/AJ14</f>
        <v>9.8835007480230832</v>
      </c>
      <c r="AK58" s="2437">
        <v>10</v>
      </c>
      <c r="AL58" s="2437">
        <v>10.5</v>
      </c>
      <c r="AM58" s="2435">
        <f>+((AC58*AC14)+(AG14*AG58)+(AK58*AK14))/AM14</f>
        <v>10</v>
      </c>
      <c r="AN58" s="2435">
        <f>+((AD58*AD14)+(AH14*AH58)+(AL58*AL14))/AN14</f>
        <v>10.5</v>
      </c>
      <c r="AO58" s="2436">
        <f>+((AI58*AI14)+(AK14*AK58))/AO14</f>
        <v>10</v>
      </c>
      <c r="AP58" s="2436">
        <f>+((AJ58*AJ14)+(AL14*AL58))/AP14</f>
        <v>9.9546038948761595</v>
      </c>
      <c r="AQ58" s="2437">
        <v>10</v>
      </c>
      <c r="AR58" s="2437">
        <v>10.5</v>
      </c>
      <c r="AS58" s="2436">
        <f>+((AQ58*AQ14)+(AO14*AO58))/AS14</f>
        <v>10</v>
      </c>
      <c r="AT58" s="2436">
        <f>+((AR58*AR14)+(AP14*AP58))/AT14</f>
        <v>10.011167598712083</v>
      </c>
      <c r="AU58" s="2437">
        <v>10</v>
      </c>
      <c r="AV58" s="2437">
        <v>10.5</v>
      </c>
      <c r="AW58" s="2436">
        <f>+((AU58*AU14)+(AS14*AS58))/AW14</f>
        <v>10</v>
      </c>
      <c r="AX58" s="2436">
        <f>+((AV58*AV14)+(AT14*AT58))/AX14</f>
        <v>10.05309391751619</v>
      </c>
      <c r="AY58" s="2437">
        <v>10</v>
      </c>
      <c r="AZ58" s="2437">
        <v>10.5</v>
      </c>
      <c r="BA58" s="2435">
        <f>+((AQ58*AQ14)+(AU14*AU58)+(AY58*AY14))/BA14</f>
        <v>10</v>
      </c>
      <c r="BB58" s="2435">
        <f>+((AR58*AR14)+(AV14*AV58)+(AZ58*AZ14))/BB14</f>
        <v>10.5</v>
      </c>
      <c r="BC58" s="2438">
        <f>+((BA58*BA14)+(AM14*AM58))/BC14</f>
        <v>10</v>
      </c>
      <c r="BD58" s="2438">
        <f>+((BB58*BB14)+(AN14*AN58))/BD14</f>
        <v>10.5</v>
      </c>
      <c r="BE58" s="2436">
        <f>+((AY58*AY14)+(AW14*AW58))/BE14</f>
        <v>10</v>
      </c>
      <c r="BF58" s="2436">
        <f>+((AZ58*AZ14)+(AX14*AX58))/BF14</f>
        <v>10.091855792631161</v>
      </c>
    </row>
    <row r="59" spans="1:58" s="334" customFormat="1" ht="15.75" customHeight="1" thickBot="1" x14ac:dyDescent="0.3">
      <c r="A59" s="333"/>
      <c r="B59" s="2312" t="s">
        <v>1617</v>
      </c>
      <c r="C59" s="916" t="s">
        <v>554</v>
      </c>
      <c r="D59" s="3587">
        <v>10</v>
      </c>
      <c r="E59" s="3582">
        <f>+((E57*E13)+(E58*E14))/E15</f>
        <v>10</v>
      </c>
      <c r="F59" s="3582">
        <f>+((F57*F13)+(F58*F14))/F15</f>
        <v>10.565605581011095</v>
      </c>
      <c r="G59" s="3582">
        <f t="shared" ref="G59" si="368">+((G57*G13)+(G58*G14))/G15</f>
        <v>10</v>
      </c>
      <c r="H59" s="3582">
        <f>+((H57*H13)+(H58*H14))/H15</f>
        <v>10.564652267119461</v>
      </c>
      <c r="I59" s="3583">
        <f t="shared" ref="I59:O59" si="369">+((I57*I13)+(I58*I14))/I15</f>
        <v>10</v>
      </c>
      <c r="J59" s="3583">
        <f t="shared" si="369"/>
        <v>10.565119009914985</v>
      </c>
      <c r="K59" s="3582">
        <f t="shared" ref="K59" si="370">+((K57*K13)+(K58*K14))/K15</f>
        <v>10</v>
      </c>
      <c r="L59" s="3582">
        <f>+((L57*L13)+(L58*L14))/L15</f>
        <v>10.393341196831029</v>
      </c>
      <c r="M59" s="3585">
        <f t="shared" si="369"/>
        <v>10</v>
      </c>
      <c r="N59" s="3585">
        <f t="shared" si="369"/>
        <v>10.507055446979786</v>
      </c>
      <c r="O59" s="3582">
        <f t="shared" si="369"/>
        <v>10</v>
      </c>
      <c r="P59" s="3582">
        <f>+((P57*P13)+(P58*P14))/P15</f>
        <v>10.60927955970587</v>
      </c>
      <c r="Q59" s="3583">
        <f t="shared" ref="Q59:S59" si="371">+((Q57*Q13)+(Q58*Q14))/Q15</f>
        <v>10</v>
      </c>
      <c r="R59" s="3583">
        <f t="shared" si="371"/>
        <v>9.9713260701723083</v>
      </c>
      <c r="S59" s="3582">
        <f t="shared" si="371"/>
        <v>10</v>
      </c>
      <c r="T59" s="3582">
        <f>+((T57*T13)+(T58*T14))/T15</f>
        <v>10.215885681750652</v>
      </c>
      <c r="U59" s="3583">
        <f t="shared" ref="U59:W59" si="372">+((U57*U13)+(U58*U14))/U15</f>
        <v>10</v>
      </c>
      <c r="V59" s="3583">
        <f t="shared" si="372"/>
        <v>9.9693146185047592</v>
      </c>
      <c r="W59" s="3582">
        <f t="shared" si="372"/>
        <v>10</v>
      </c>
      <c r="X59" s="3582">
        <f>+((X57*X13)+(X58*X14))/X15</f>
        <v>10.219361891288909</v>
      </c>
      <c r="Y59" s="3585">
        <f t="shared" ref="Y59:Z59" si="373">+((Y57*Y13)+(Y58*Y14))/Y15</f>
        <v>10</v>
      </c>
      <c r="Z59" s="3585">
        <f t="shared" si="373"/>
        <v>10.346439913408179</v>
      </c>
      <c r="AA59" s="3588">
        <f t="shared" ref="AA59:AC59" si="374">+((AA57*AA13)+(AA58*AA14))/AA15</f>
        <v>10</v>
      </c>
      <c r="AB59" s="3588">
        <f t="shared" si="374"/>
        <v>10.011146560624484</v>
      </c>
      <c r="AC59" s="3582">
        <f t="shared" si="374"/>
        <v>10</v>
      </c>
      <c r="AD59" s="3582">
        <f>+((AD57*AD13)+(AD58*AD14))/AD15</f>
        <v>9.2261329042830873</v>
      </c>
      <c r="AE59" s="3583">
        <f t="shared" ref="AE59:AG59" si="375">+((AE57*AE13)+(AE58*AE14))/AE15</f>
        <v>10</v>
      </c>
      <c r="AF59" s="3583">
        <f t="shared" si="375"/>
        <v>9.8957187735395777</v>
      </c>
      <c r="AG59" s="3582">
        <f t="shared" si="375"/>
        <v>10</v>
      </c>
      <c r="AH59" s="3582">
        <f>+((AH57*AH13)+(AH58*AH14))/AH15</f>
        <v>10.323898186029952</v>
      </c>
      <c r="AI59" s="3583">
        <f t="shared" ref="AI59:AK59" si="376">+((AI57*AI13)+(AI58*AI14))/AI15</f>
        <v>10</v>
      </c>
      <c r="AJ59" s="3583">
        <f t="shared" si="376"/>
        <v>9.9496083730063525</v>
      </c>
      <c r="AK59" s="3582">
        <f t="shared" si="376"/>
        <v>10</v>
      </c>
      <c r="AL59" s="3582">
        <f>+((AL57*AL13)+(AL58*AL14))/AL15</f>
        <v>10.322768319246721</v>
      </c>
      <c r="AM59" s="3585">
        <f t="shared" ref="AM59:AQ59" si="377">+((AM57*AM13)+(AM58*AM14))/AM15</f>
        <v>10</v>
      </c>
      <c r="AN59" s="3585">
        <f t="shared" si="377"/>
        <v>9.9564078414933714</v>
      </c>
      <c r="AO59" s="3583">
        <f t="shared" si="377"/>
        <v>10</v>
      </c>
      <c r="AP59" s="3583">
        <f t="shared" si="377"/>
        <v>9.9925273515264443</v>
      </c>
      <c r="AQ59" s="3630">
        <f t="shared" si="377"/>
        <v>10</v>
      </c>
      <c r="AR59" s="3630">
        <f>+((AR57*AR13)+(AR58*AR14))/AR15</f>
        <v>10.393952580128012</v>
      </c>
      <c r="AS59" s="3631">
        <f t="shared" ref="AS59:AU59" si="378">+((AS57*AS13)+(AS58*AS14))/AS15</f>
        <v>10</v>
      </c>
      <c r="AT59" s="3631">
        <f t="shared" si="378"/>
        <v>10.034000518269735</v>
      </c>
      <c r="AU59" s="3630">
        <f t="shared" si="378"/>
        <v>10</v>
      </c>
      <c r="AV59" s="3630">
        <f>+((AV57*AV13)+(AV58*AV14))/AV15</f>
        <v>10.394129101670751</v>
      </c>
      <c r="AW59" s="3631">
        <f t="shared" ref="AW59:AY59" si="379">+((AW57*AW13)+(AW58*AW14))/AW15</f>
        <v>10</v>
      </c>
      <c r="AX59" s="3631">
        <f t="shared" si="379"/>
        <v>10.064754556058398</v>
      </c>
      <c r="AY59" s="3630">
        <f t="shared" si="379"/>
        <v>10</v>
      </c>
      <c r="AZ59" s="3630">
        <f>+((AZ57*AZ13)+(AZ58*AZ14))/AZ15</f>
        <v>10.6748757930935</v>
      </c>
      <c r="BA59" s="3629">
        <f t="shared" ref="BA59:BD59" si="380">+((BA57*BA13)+(BA58*BA14))/BA15</f>
        <v>10</v>
      </c>
      <c r="BB59" s="3629">
        <f t="shared" si="380"/>
        <v>10.490490358499542</v>
      </c>
      <c r="BC59" s="3588">
        <f t="shared" si="380"/>
        <v>10</v>
      </c>
      <c r="BD59" s="3588">
        <f t="shared" si="380"/>
        <v>10.221050466026643</v>
      </c>
      <c r="BE59" s="3631">
        <f t="shared" ref="BE59:BF59" si="381">+((BE57*BE13)+(BE58*BE14))/BE15</f>
        <v>10</v>
      </c>
      <c r="BF59" s="3631">
        <f t="shared" si="381"/>
        <v>10.117230148154157</v>
      </c>
    </row>
    <row r="60" spans="1:58" s="334" customFormat="1" ht="16.5" thickBot="1" x14ac:dyDescent="0.3">
      <c r="A60" s="333"/>
      <c r="B60" s="2317" t="s">
        <v>553</v>
      </c>
      <c r="C60" s="916" t="s">
        <v>554</v>
      </c>
      <c r="D60" s="3582">
        <v>4.2</v>
      </c>
      <c r="E60" s="3689">
        <v>4.2</v>
      </c>
      <c r="F60" s="3689">
        <f>+(F45*1000)/F13</f>
        <v>3.2304151123105007</v>
      </c>
      <c r="G60" s="3689">
        <v>4.2</v>
      </c>
      <c r="H60" s="3689">
        <f>+(H45*1000)/H13</f>
        <v>1.1562732423956632</v>
      </c>
      <c r="I60" s="2432">
        <v>4.2</v>
      </c>
      <c r="J60" s="2432">
        <f>+J45/J13*1000</f>
        <v>2.1754306596102322</v>
      </c>
      <c r="K60" s="3689">
        <v>4.2</v>
      </c>
      <c r="L60" s="3689">
        <f>+(L45*1000)/L13</f>
        <v>0</v>
      </c>
      <c r="M60" s="2433">
        <v>4.2</v>
      </c>
      <c r="N60" s="2433">
        <f>+N45/N13*1000</f>
        <v>1.4656076175862403</v>
      </c>
      <c r="O60" s="3689">
        <v>4.2</v>
      </c>
      <c r="P60" s="3689">
        <f>+(P45*1000)/P13</f>
        <v>0</v>
      </c>
      <c r="Q60" s="2432">
        <f>+Q45/Q13*1000</f>
        <v>4.0211964478948854</v>
      </c>
      <c r="R60" s="2432">
        <f>+R45/R13*1000</f>
        <v>1.0920189429460234</v>
      </c>
      <c r="S60" s="3689">
        <v>4.2</v>
      </c>
      <c r="T60" s="3689">
        <f>+(T45*1000)/T13</f>
        <v>3.8203814317334226</v>
      </c>
      <c r="U60" s="2432">
        <f>+U45/U13*1000</f>
        <v>4.0217383440730465</v>
      </c>
      <c r="V60" s="2432">
        <f>+V45/V13*1000</f>
        <v>1.6520387539850105</v>
      </c>
      <c r="W60" s="3689">
        <v>4.2</v>
      </c>
      <c r="X60" s="3689">
        <f>+(X45*1000)/X13</f>
        <v>3.2994883402139088</v>
      </c>
      <c r="Y60" s="2433">
        <v>4.2</v>
      </c>
      <c r="Z60" s="2433">
        <f>+Z45/Z13*1000</f>
        <v>2.3684088317397745</v>
      </c>
      <c r="AA60" s="2434">
        <v>4.2</v>
      </c>
      <c r="AB60" s="2434">
        <f>+AB45/AB13*1000</f>
        <v>1.9211267972324737</v>
      </c>
      <c r="AC60" s="3689">
        <v>4.2</v>
      </c>
      <c r="AD60" s="3689">
        <f>+(AD45*1000)/AD13</f>
        <v>3.2310686956727324</v>
      </c>
      <c r="AE60" s="2432">
        <f>+AE45/AE13*1000</f>
        <v>4.0234858254354027</v>
      </c>
      <c r="AF60" s="2432">
        <f>+AF45/AF13*1000</f>
        <v>2.1068319539531308</v>
      </c>
      <c r="AG60" s="3689">
        <v>4.2</v>
      </c>
      <c r="AH60" s="3689">
        <f>+(AH45*1000)/AH13</f>
        <v>3.1272618560594143</v>
      </c>
      <c r="AI60" s="2432">
        <v>4.2</v>
      </c>
      <c r="AJ60" s="2432">
        <f>+AJ45/AJ13*1000</f>
        <v>2.2337203432609791</v>
      </c>
      <c r="AK60" s="3689">
        <v>4.2</v>
      </c>
      <c r="AL60" s="3689">
        <f>+(AL45*1000)/AL13</f>
        <v>1.6247653221899228</v>
      </c>
      <c r="AM60" s="2433">
        <v>4.2</v>
      </c>
      <c r="AN60" s="2433">
        <f>+AN45/AN13*1000</f>
        <v>2.6473269670575017</v>
      </c>
      <c r="AO60" s="2432">
        <v>4.2</v>
      </c>
      <c r="AP60" s="2432">
        <f>+AP45/AP13*1000</f>
        <v>2.1640321513100673</v>
      </c>
      <c r="AQ60" s="3689">
        <v>4.2</v>
      </c>
      <c r="AR60" s="3689">
        <v>4.2</v>
      </c>
      <c r="AS60" s="2432">
        <v>4.2</v>
      </c>
      <c r="AT60" s="2432">
        <f>+AT45/AT13*1000</f>
        <v>2.1783521048249224</v>
      </c>
      <c r="AU60" s="3689">
        <v>4.2</v>
      </c>
      <c r="AV60" s="3689">
        <v>4.2</v>
      </c>
      <c r="AW60" s="2432">
        <v>4.2</v>
      </c>
      <c r="AX60" s="2432">
        <f>+AX45/AX13*1000</f>
        <v>2.159143145433871</v>
      </c>
      <c r="AY60" s="3689">
        <v>4.2</v>
      </c>
      <c r="AZ60" s="3689">
        <v>4.2</v>
      </c>
      <c r="BA60" s="2433">
        <v>4.2</v>
      </c>
      <c r="BB60" s="2433">
        <f>+BB45/BB13*1000</f>
        <v>2.559595975500307</v>
      </c>
      <c r="BC60" s="2434">
        <v>4.2</v>
      </c>
      <c r="BD60" s="2434">
        <f>+BD45/BD13*1000</f>
        <v>2.603749138058014</v>
      </c>
      <c r="BE60" s="2432">
        <v>4.2</v>
      </c>
      <c r="BF60" s="2432">
        <f>+BF45/BF13*1000</f>
        <v>2.262208553314601</v>
      </c>
    </row>
    <row r="61" spans="1:58" x14ac:dyDescent="0.25">
      <c r="B61" s="2240" t="s">
        <v>216</v>
      </c>
      <c r="C61" s="140" t="s">
        <v>53</v>
      </c>
      <c r="D61" s="3572">
        <v>144</v>
      </c>
      <c r="E61" s="230">
        <v>12</v>
      </c>
      <c r="F61" s="230">
        <v>9</v>
      </c>
      <c r="G61" s="230">
        <v>12</v>
      </c>
      <c r="H61" s="230">
        <v>5.5</v>
      </c>
      <c r="I61" s="687">
        <f t="shared" ref="I61:I63" si="382">+E61+G61</f>
        <v>24</v>
      </c>
      <c r="J61" s="687">
        <f>+F61+H61</f>
        <v>14.5</v>
      </c>
      <c r="K61" s="230">
        <v>12</v>
      </c>
      <c r="L61" s="230">
        <v>4.6059999999999999</v>
      </c>
      <c r="M61" s="869">
        <f t="shared" ref="M61:M63" si="383">+I61+K61</f>
        <v>36</v>
      </c>
      <c r="N61" s="869">
        <f>+J61+L61</f>
        <v>19.106000000000002</v>
      </c>
      <c r="O61" s="230">
        <v>12</v>
      </c>
      <c r="P61" s="230">
        <v>2.2000000000000002</v>
      </c>
      <c r="Q61" s="687">
        <f t="shared" ref="Q61:Q63" si="384">+M61+O61</f>
        <v>48</v>
      </c>
      <c r="R61" s="687">
        <f>+N61+P61</f>
        <v>21.306000000000001</v>
      </c>
      <c r="S61" s="230">
        <v>12</v>
      </c>
      <c r="T61" s="230">
        <v>9.3000000000000007</v>
      </c>
      <c r="U61" s="687">
        <f t="shared" ref="U61:U63" si="385">+Q61+S61</f>
        <v>60</v>
      </c>
      <c r="V61" s="687">
        <f>+R61+T61</f>
        <v>30.606000000000002</v>
      </c>
      <c r="W61" s="230">
        <v>12</v>
      </c>
      <c r="X61" s="230">
        <v>2.5</v>
      </c>
      <c r="Y61" s="3549">
        <f t="shared" ref="Y61:Y63" si="386">+O61+S61+W61</f>
        <v>36</v>
      </c>
      <c r="Z61" s="3549">
        <f t="shared" ref="Z61:Z63" si="387">+P61+T61+X61</f>
        <v>14</v>
      </c>
      <c r="AA61" s="1135">
        <f t="shared" ref="AA61:AA63" si="388">+U61+W61</f>
        <v>72</v>
      </c>
      <c r="AB61" s="1135">
        <f>+V61+X61</f>
        <v>33.106000000000002</v>
      </c>
      <c r="AC61" s="230">
        <v>12</v>
      </c>
      <c r="AD61" s="230">
        <v>4.7699999999999996</v>
      </c>
      <c r="AE61" s="687">
        <f t="shared" ref="AE61:AE63" si="389">+AA61+AC61</f>
        <v>84</v>
      </c>
      <c r="AF61" s="687">
        <f>+AB61+AD61</f>
        <v>37.876000000000005</v>
      </c>
      <c r="AG61" s="230">
        <v>12</v>
      </c>
      <c r="AH61" s="230">
        <v>6</v>
      </c>
      <c r="AI61" s="687">
        <f t="shared" ref="AI61:AI63" si="390">+AE61+AG61</f>
        <v>96</v>
      </c>
      <c r="AJ61" s="687">
        <f>+AF61+AH61</f>
        <v>43.876000000000005</v>
      </c>
      <c r="AK61" s="230">
        <v>12</v>
      </c>
      <c r="AL61" s="230">
        <v>8</v>
      </c>
      <c r="AM61" s="869">
        <f t="shared" ref="AM61:AM63" si="391">+AC61+AG61+AK61</f>
        <v>36</v>
      </c>
      <c r="AN61" s="869">
        <f t="shared" ref="AN61:AN63" si="392">+AD61+AH61+AL61</f>
        <v>18.77</v>
      </c>
      <c r="AO61" s="687">
        <f t="shared" ref="AO61:AO63" si="393">+AI61+AK61</f>
        <v>108</v>
      </c>
      <c r="AP61" s="687">
        <f>+AJ61+AL61</f>
        <v>51.876000000000005</v>
      </c>
      <c r="AQ61" s="230">
        <v>12</v>
      </c>
      <c r="AR61" s="230">
        <v>8</v>
      </c>
      <c r="AS61" s="687">
        <f t="shared" ref="AS61:AS63" si="394">+AO61+AQ61</f>
        <v>120</v>
      </c>
      <c r="AT61" s="687">
        <f>+AP61+AR61</f>
        <v>59.876000000000005</v>
      </c>
      <c r="AU61" s="230">
        <v>12</v>
      </c>
      <c r="AV61" s="230">
        <v>7</v>
      </c>
      <c r="AW61" s="687">
        <f t="shared" ref="AW61:AW63" si="395">+AS61+AU61</f>
        <v>132</v>
      </c>
      <c r="AX61" s="687">
        <f>+AT61+AV61</f>
        <v>66.876000000000005</v>
      </c>
      <c r="AY61" s="230">
        <v>12</v>
      </c>
      <c r="AZ61" s="230">
        <v>0</v>
      </c>
      <c r="BA61" s="869">
        <f t="shared" ref="BA61:BA63" si="396">+AQ61+AU61+AY61</f>
        <v>36</v>
      </c>
      <c r="BB61" s="869">
        <f t="shared" ref="BB61:BB63" si="397">+AR61+AV61+AZ61</f>
        <v>15</v>
      </c>
      <c r="BC61" s="1135">
        <f t="shared" ref="BC61:BD63" si="398">+AM61+BA61</f>
        <v>72</v>
      </c>
      <c r="BD61" s="1135">
        <f t="shared" si="398"/>
        <v>33.769999999999996</v>
      </c>
      <c r="BE61" s="687">
        <f t="shared" ref="BE61:BE63" si="399">+AW61+AY61</f>
        <v>144</v>
      </c>
      <c r="BF61" s="687">
        <f>+AX61+AZ61</f>
        <v>66.876000000000005</v>
      </c>
    </row>
    <row r="62" spans="1:58" x14ac:dyDescent="0.25">
      <c r="B62" s="2052" t="s">
        <v>217</v>
      </c>
      <c r="C62" s="3573" t="s">
        <v>53</v>
      </c>
      <c r="D62" s="3572">
        <v>18</v>
      </c>
      <c r="E62" s="230">
        <v>1.5</v>
      </c>
      <c r="F62" s="230">
        <v>0.28999999999999998</v>
      </c>
      <c r="G62" s="230">
        <v>1.5</v>
      </c>
      <c r="H62" s="230">
        <v>0.3</v>
      </c>
      <c r="I62" s="3547">
        <f t="shared" si="382"/>
        <v>3</v>
      </c>
      <c r="J62" s="687">
        <f>+F62+H62</f>
        <v>0.59</v>
      </c>
      <c r="K62" s="230">
        <v>1.5</v>
      </c>
      <c r="L62" s="230">
        <v>0.5</v>
      </c>
      <c r="M62" s="3549">
        <f t="shared" si="383"/>
        <v>4.5</v>
      </c>
      <c r="N62" s="869">
        <f>+J62+L62</f>
        <v>1.0899999999999999</v>
      </c>
      <c r="O62" s="230">
        <v>1.5</v>
      </c>
      <c r="P62" s="230">
        <v>0.3</v>
      </c>
      <c r="Q62" s="3547">
        <f t="shared" si="384"/>
        <v>6</v>
      </c>
      <c r="R62" s="687">
        <f>+N62+P62</f>
        <v>1.39</v>
      </c>
      <c r="S62" s="230">
        <v>1.5</v>
      </c>
      <c r="T62" s="230">
        <v>0.26</v>
      </c>
      <c r="U62" s="3547">
        <f t="shared" si="385"/>
        <v>7.5</v>
      </c>
      <c r="V62" s="687">
        <f>+R62+T62</f>
        <v>1.65</v>
      </c>
      <c r="W62" s="230">
        <v>1.5</v>
      </c>
      <c r="X62" s="230">
        <v>0.26</v>
      </c>
      <c r="Y62" s="3549">
        <f t="shared" si="386"/>
        <v>4.5</v>
      </c>
      <c r="Z62" s="3549">
        <f t="shared" si="387"/>
        <v>0.82000000000000006</v>
      </c>
      <c r="AA62" s="1134">
        <f t="shared" si="388"/>
        <v>9</v>
      </c>
      <c r="AB62" s="1135">
        <f>+V62+X62</f>
        <v>1.91</v>
      </c>
      <c r="AC62" s="230">
        <v>1.5</v>
      </c>
      <c r="AD62" s="230">
        <v>0.54</v>
      </c>
      <c r="AE62" s="3547">
        <f t="shared" si="389"/>
        <v>10.5</v>
      </c>
      <c r="AF62" s="687">
        <f>+AB62+AD62</f>
        <v>2.4500000000000002</v>
      </c>
      <c r="AG62" s="230">
        <v>1.5</v>
      </c>
      <c r="AH62" s="230">
        <v>0.3</v>
      </c>
      <c r="AI62" s="3547">
        <f t="shared" si="390"/>
        <v>12</v>
      </c>
      <c r="AJ62" s="687">
        <f>+AF62+AH62</f>
        <v>2.75</v>
      </c>
      <c r="AK62" s="230">
        <v>1.5</v>
      </c>
      <c r="AL62" s="230">
        <v>0.31</v>
      </c>
      <c r="AM62" s="869">
        <f t="shared" si="391"/>
        <v>4.5</v>
      </c>
      <c r="AN62" s="869">
        <f t="shared" si="392"/>
        <v>1.1500000000000001</v>
      </c>
      <c r="AO62" s="3547">
        <f t="shared" si="393"/>
        <v>13.5</v>
      </c>
      <c r="AP62" s="687">
        <f>+AJ62+AL62</f>
        <v>3.06</v>
      </c>
      <c r="AQ62" s="230">
        <v>1.5</v>
      </c>
      <c r="AR62" s="230">
        <v>0.48</v>
      </c>
      <c r="AS62" s="3874">
        <f t="shared" si="394"/>
        <v>15</v>
      </c>
      <c r="AT62" s="687">
        <f>+AP62+AR62</f>
        <v>3.54</v>
      </c>
      <c r="AU62" s="230">
        <v>1.5</v>
      </c>
      <c r="AV62" s="449">
        <v>3</v>
      </c>
      <c r="AW62" s="3991">
        <f t="shared" si="395"/>
        <v>16.5</v>
      </c>
      <c r="AX62" s="687">
        <f>+AT62+AV62</f>
        <v>6.54</v>
      </c>
      <c r="AY62" s="230">
        <v>1.5</v>
      </c>
      <c r="AZ62" s="449">
        <v>0.5</v>
      </c>
      <c r="BA62" s="869">
        <f t="shared" si="396"/>
        <v>4.5</v>
      </c>
      <c r="BB62" s="869">
        <f t="shared" si="397"/>
        <v>3.98</v>
      </c>
      <c r="BC62" s="4227">
        <f t="shared" si="398"/>
        <v>9</v>
      </c>
      <c r="BD62" s="1135">
        <f t="shared" si="398"/>
        <v>5.13</v>
      </c>
      <c r="BE62" s="4226">
        <f t="shared" si="399"/>
        <v>18</v>
      </c>
      <c r="BF62" s="687">
        <f>+AX62+AZ62</f>
        <v>7.04</v>
      </c>
    </row>
    <row r="63" spans="1:58" ht="15.75" thickBot="1" x14ac:dyDescent="0.3">
      <c r="B63" s="2231" t="s">
        <v>218</v>
      </c>
      <c r="C63" s="380" t="s">
        <v>53</v>
      </c>
      <c r="D63" s="3572">
        <v>48</v>
      </c>
      <c r="E63" s="230">
        <v>4</v>
      </c>
      <c r="F63" s="230">
        <v>0</v>
      </c>
      <c r="G63" s="230">
        <v>4</v>
      </c>
      <c r="H63" s="230">
        <v>0</v>
      </c>
      <c r="I63" s="3547">
        <f t="shared" si="382"/>
        <v>8</v>
      </c>
      <c r="J63" s="3547">
        <f>+F63+H63</f>
        <v>0</v>
      </c>
      <c r="K63" s="230">
        <v>4</v>
      </c>
      <c r="L63" s="230">
        <v>0</v>
      </c>
      <c r="M63" s="3549">
        <f t="shared" si="383"/>
        <v>12</v>
      </c>
      <c r="N63" s="3549">
        <f>+J63+L63</f>
        <v>0</v>
      </c>
      <c r="O63" s="230">
        <v>4</v>
      </c>
      <c r="P63" s="230">
        <v>0</v>
      </c>
      <c r="Q63" s="3547">
        <f t="shared" si="384"/>
        <v>16</v>
      </c>
      <c r="R63" s="3547">
        <f>+N63+P63</f>
        <v>0</v>
      </c>
      <c r="S63" s="230">
        <v>4</v>
      </c>
      <c r="T63" s="230">
        <v>0</v>
      </c>
      <c r="U63" s="3547">
        <f t="shared" si="385"/>
        <v>20</v>
      </c>
      <c r="V63" s="3547">
        <f>+R63+T63</f>
        <v>0</v>
      </c>
      <c r="W63" s="230">
        <v>4</v>
      </c>
      <c r="X63" s="230">
        <v>0</v>
      </c>
      <c r="Y63" s="3549">
        <f t="shared" si="386"/>
        <v>12</v>
      </c>
      <c r="Z63" s="3549">
        <f t="shared" si="387"/>
        <v>0</v>
      </c>
      <c r="AA63" s="1134">
        <f t="shared" si="388"/>
        <v>24</v>
      </c>
      <c r="AB63" s="1134">
        <f>+V63+X63</f>
        <v>0</v>
      </c>
      <c r="AC63" s="230">
        <v>4</v>
      </c>
      <c r="AD63" s="230">
        <v>0</v>
      </c>
      <c r="AE63" s="3547">
        <f t="shared" si="389"/>
        <v>28</v>
      </c>
      <c r="AF63" s="3547">
        <f>+AB63+AD63</f>
        <v>0</v>
      </c>
      <c r="AG63" s="230">
        <v>4</v>
      </c>
      <c r="AH63" s="230">
        <v>0</v>
      </c>
      <c r="AI63" s="3547">
        <f t="shared" si="390"/>
        <v>32</v>
      </c>
      <c r="AJ63" s="3547">
        <f>+AF63+AH63</f>
        <v>0</v>
      </c>
      <c r="AK63" s="230">
        <v>4</v>
      </c>
      <c r="AL63" s="230">
        <v>0</v>
      </c>
      <c r="AM63" s="869">
        <f t="shared" si="391"/>
        <v>12</v>
      </c>
      <c r="AN63" s="869">
        <f t="shared" si="392"/>
        <v>0</v>
      </c>
      <c r="AO63" s="3547">
        <f t="shared" si="393"/>
        <v>36</v>
      </c>
      <c r="AP63" s="3547">
        <f>+AJ63+AL63</f>
        <v>0</v>
      </c>
      <c r="AQ63" s="230">
        <v>4</v>
      </c>
      <c r="AR63" s="230">
        <v>0</v>
      </c>
      <c r="AS63" s="3874">
        <f t="shared" si="394"/>
        <v>40</v>
      </c>
      <c r="AT63" s="3874">
        <f>+AP63+AR63</f>
        <v>0</v>
      </c>
      <c r="AU63" s="230">
        <v>4</v>
      </c>
      <c r="AV63" s="230">
        <v>0</v>
      </c>
      <c r="AW63" s="3991">
        <f t="shared" si="395"/>
        <v>44</v>
      </c>
      <c r="AX63" s="3991">
        <f>+AT63+AV63</f>
        <v>0</v>
      </c>
      <c r="AY63" s="230">
        <v>4</v>
      </c>
      <c r="AZ63" s="230">
        <v>0</v>
      </c>
      <c r="BA63" s="869">
        <f t="shared" si="396"/>
        <v>12</v>
      </c>
      <c r="BB63" s="869">
        <f t="shared" si="397"/>
        <v>0</v>
      </c>
      <c r="BC63" s="4227">
        <f t="shared" si="398"/>
        <v>24</v>
      </c>
      <c r="BD63" s="4227">
        <f t="shared" si="398"/>
        <v>0</v>
      </c>
      <c r="BE63" s="4226">
        <f t="shared" si="399"/>
        <v>48</v>
      </c>
      <c r="BF63" s="4226">
        <f>+AX63+AZ63</f>
        <v>0</v>
      </c>
    </row>
    <row r="64" spans="1:58" s="334" customFormat="1" ht="18.75" x14ac:dyDescent="0.25">
      <c r="A64" s="333"/>
      <c r="B64" s="895" t="s">
        <v>953</v>
      </c>
      <c r="C64" s="892"/>
      <c r="D64" s="1372"/>
      <c r="E64" s="1175"/>
      <c r="F64" s="1178"/>
      <c r="G64" s="1175"/>
      <c r="H64" s="1175"/>
      <c r="I64" s="1372"/>
      <c r="J64" s="1372"/>
      <c r="K64" s="1372"/>
      <c r="L64" s="1372"/>
      <c r="M64" s="1372"/>
      <c r="N64" s="1372"/>
      <c r="O64" s="1372"/>
      <c r="P64" s="1372"/>
      <c r="Q64" s="1372"/>
      <c r="R64" s="1372"/>
      <c r="S64" s="1372"/>
      <c r="T64" s="1372"/>
      <c r="U64" s="1372"/>
      <c r="V64" s="1372"/>
      <c r="W64" s="1372"/>
      <c r="X64" s="1372"/>
      <c r="Y64" s="1372"/>
      <c r="Z64" s="1372"/>
      <c r="AA64" s="1372"/>
      <c r="AB64" s="1372"/>
      <c r="AC64" s="1372"/>
      <c r="AD64" s="1372"/>
      <c r="AE64" s="1372"/>
      <c r="AF64" s="1372"/>
      <c r="AG64" s="1372"/>
      <c r="AH64" s="1372"/>
      <c r="AI64" s="1372"/>
      <c r="AJ64" s="1372"/>
      <c r="AK64" s="1372"/>
      <c r="AL64" s="1372"/>
      <c r="AM64" s="1372"/>
      <c r="AN64" s="1372"/>
      <c r="AO64" s="1372"/>
      <c r="AP64" s="1372"/>
      <c r="AQ64" s="1372"/>
      <c r="AR64" s="1372"/>
      <c r="AS64" s="1372"/>
      <c r="AT64" s="1372"/>
      <c r="AU64" s="1372"/>
      <c r="AV64" s="1372"/>
      <c r="AW64" s="1372"/>
      <c r="AX64" s="1372"/>
      <c r="AY64" s="1372"/>
      <c r="AZ64" s="1372"/>
      <c r="BA64" s="1372"/>
      <c r="BB64" s="1372"/>
      <c r="BC64" s="1372"/>
      <c r="BD64" s="1372"/>
      <c r="BE64" s="1372"/>
      <c r="BF64" s="1372"/>
    </row>
    <row r="65" spans="1:58" s="334" customFormat="1" ht="18.75" x14ac:dyDescent="0.25">
      <c r="A65" s="333"/>
      <c r="B65" s="897" t="s">
        <v>765</v>
      </c>
      <c r="C65" s="849"/>
      <c r="D65" s="849"/>
      <c r="E65" s="1170"/>
      <c r="F65" s="1169"/>
      <c r="G65" s="1170"/>
      <c r="H65" s="1170"/>
      <c r="I65" s="849"/>
      <c r="J65" s="849"/>
      <c r="K65" s="849"/>
      <c r="L65" s="849"/>
      <c r="M65" s="849"/>
      <c r="N65" s="849"/>
      <c r="O65" s="849"/>
      <c r="P65" s="849"/>
      <c r="Q65" s="849"/>
      <c r="R65" s="849"/>
      <c r="S65" s="849"/>
      <c r="T65" s="849"/>
      <c r="U65" s="849"/>
      <c r="V65" s="849"/>
      <c r="W65" s="849"/>
      <c r="X65" s="849"/>
      <c r="Y65" s="849"/>
      <c r="Z65" s="849"/>
      <c r="AA65" s="849"/>
      <c r="AB65" s="849"/>
      <c r="AC65" s="849"/>
      <c r="AD65" s="849"/>
      <c r="AE65" s="849"/>
      <c r="AF65" s="849"/>
      <c r="AG65" s="849"/>
      <c r="AH65" s="849"/>
      <c r="AI65" s="849"/>
      <c r="AJ65" s="849"/>
      <c r="AK65" s="849"/>
      <c r="AL65" s="849"/>
      <c r="AM65" s="849"/>
      <c r="AN65" s="849"/>
      <c r="AO65" s="849"/>
      <c r="AP65" s="849"/>
      <c r="AQ65" s="849"/>
      <c r="AR65" s="849"/>
      <c r="AS65" s="849"/>
      <c r="AT65" s="849"/>
      <c r="AU65" s="849"/>
      <c r="AV65" s="849"/>
      <c r="AW65" s="849"/>
      <c r="AX65" s="849"/>
      <c r="AY65" s="849"/>
      <c r="AZ65" s="849"/>
      <c r="BA65" s="849"/>
      <c r="BB65" s="849"/>
      <c r="BC65" s="849"/>
      <c r="BD65" s="849"/>
      <c r="BE65" s="849"/>
      <c r="BF65" s="849"/>
    </row>
    <row r="66" spans="1:58" x14ac:dyDescent="0.25">
      <c r="B66" s="28" t="s">
        <v>10</v>
      </c>
      <c r="C66" s="2318" t="s">
        <v>53</v>
      </c>
      <c r="D66" s="823">
        <v>330933.88467202889</v>
      </c>
      <c r="E66" s="823">
        <v>27200</v>
      </c>
      <c r="F66" s="3543">
        <v>25810</v>
      </c>
      <c r="G66" s="823">
        <v>28106.713</v>
      </c>
      <c r="H66" s="57">
        <v>26795</v>
      </c>
      <c r="I66" s="3497">
        <f>+E66+G66</f>
        <v>55306.713000000003</v>
      </c>
      <c r="J66" s="144">
        <f>+F66+H66</f>
        <v>52605</v>
      </c>
      <c r="K66" s="1101">
        <v>27200</v>
      </c>
      <c r="L66" s="57">
        <v>25770</v>
      </c>
      <c r="M66" s="3494">
        <f>+I66+K66</f>
        <v>82506.713000000003</v>
      </c>
      <c r="N66" s="184">
        <f>+J66+L66</f>
        <v>78375</v>
      </c>
      <c r="O66" s="1101">
        <v>28106.713492692867</v>
      </c>
      <c r="P66" s="57">
        <v>26190</v>
      </c>
      <c r="Q66" s="3497">
        <f>+M66+O66</f>
        <v>110613.42649269287</v>
      </c>
      <c r="R66" s="144">
        <f>+N66+P66</f>
        <v>104565</v>
      </c>
      <c r="S66" s="1101">
        <v>28106.713492692867</v>
      </c>
      <c r="T66" s="57">
        <v>25235</v>
      </c>
      <c r="U66" s="3497">
        <f>+Q66+S66</f>
        <v>138720.13998538573</v>
      </c>
      <c r="V66" s="144">
        <f>+R66+T66</f>
        <v>129800</v>
      </c>
      <c r="W66" s="1101">
        <v>27200.045315509233</v>
      </c>
      <c r="X66" s="57">
        <v>22565</v>
      </c>
      <c r="Y66" s="2266">
        <f t="shared" ref="Y66:Z66" si="400">+O66+S66+W66</f>
        <v>83413.472300894966</v>
      </c>
      <c r="Z66" s="2266">
        <f t="shared" si="400"/>
        <v>73990</v>
      </c>
      <c r="AA66" s="3506">
        <f t="shared" ref="AA66:AA69" si="401">+U66+W66</f>
        <v>165920.18530089495</v>
      </c>
      <c r="AB66" s="1149">
        <f>+V66+X66</f>
        <v>152365</v>
      </c>
      <c r="AC66" s="1101">
        <v>28106.713492692867</v>
      </c>
      <c r="AD66" s="57">
        <v>22190</v>
      </c>
      <c r="AE66" s="3497">
        <f>+AA66+AC66</f>
        <v>194026.89879358781</v>
      </c>
      <c r="AF66" s="144">
        <f>+AB66+AD66</f>
        <v>174555</v>
      </c>
      <c r="AG66" s="1101">
        <v>27200.045315509233</v>
      </c>
      <c r="AH66" s="57">
        <v>21535</v>
      </c>
      <c r="AI66" s="3497">
        <f>+AE66+AG66</f>
        <v>221226.94410909704</v>
      </c>
      <c r="AJ66" s="144">
        <f>+AF66+AH66</f>
        <v>196090</v>
      </c>
      <c r="AK66" s="1101">
        <v>28106.713492692867</v>
      </c>
      <c r="AL66" s="57">
        <v>21250</v>
      </c>
      <c r="AM66" s="2266">
        <f t="shared" ref="AM66:AM69" si="402">+AC66+AG66+AK66</f>
        <v>83413.472300894966</v>
      </c>
      <c r="AN66" s="184">
        <f t="shared" ref="AN66:AN69" si="403">+AD66+AH66+AL66</f>
        <v>64975</v>
      </c>
      <c r="AO66" s="3497">
        <f t="shared" ref="AO66:AO69" si="404">+AI66+AK66</f>
        <v>249333.65760178989</v>
      </c>
      <c r="AP66" s="1366">
        <f>+AJ66+AL66</f>
        <v>217340</v>
      </c>
      <c r="AQ66" s="3990">
        <v>28106.713492692867</v>
      </c>
      <c r="AR66" s="3989">
        <v>17675</v>
      </c>
      <c r="AS66" s="3991">
        <f>+AO66+AQ66</f>
        <v>277440.37109448278</v>
      </c>
      <c r="AT66" s="3991">
        <f>+AP66+AR66</f>
        <v>235015</v>
      </c>
      <c r="AU66" s="3990">
        <v>25386.708961141954</v>
      </c>
      <c r="AV66" s="3989">
        <v>26265</v>
      </c>
      <c r="AW66" s="3504">
        <f>+AS66+AU66</f>
        <v>302827.08005562471</v>
      </c>
      <c r="AX66" s="144">
        <f>+AT66+AV66</f>
        <v>261280</v>
      </c>
      <c r="AY66" s="4224">
        <v>28106.713492692867</v>
      </c>
      <c r="AZ66" s="4223">
        <v>24610</v>
      </c>
      <c r="BA66" s="2266">
        <f t="shared" ref="BA66:BA69" si="405">+AQ66+AU66+AY66</f>
        <v>81600.135946527691</v>
      </c>
      <c r="BB66" s="184">
        <f t="shared" ref="BB66:BB69" si="406">+AR66+AV66+AZ66</f>
        <v>68550</v>
      </c>
      <c r="BC66" s="3506">
        <f t="shared" ref="BC66:BD69" si="407">+AM66+BA66</f>
        <v>165013.60824742267</v>
      </c>
      <c r="BD66" s="1149">
        <f t="shared" si="407"/>
        <v>133525</v>
      </c>
      <c r="BE66" s="3504">
        <f>+AW66+AY66</f>
        <v>330933.79354831757</v>
      </c>
      <c r="BF66" s="144">
        <f>+AX66+AZ66</f>
        <v>285890</v>
      </c>
    </row>
    <row r="67" spans="1:58" x14ac:dyDescent="0.25">
      <c r="B67" s="2319" t="s">
        <v>11</v>
      </c>
      <c r="C67" s="2318" t="s">
        <v>53</v>
      </c>
      <c r="D67" s="1996">
        <v>77452.611306219551</v>
      </c>
      <c r="E67" s="1996">
        <v>6366</v>
      </c>
      <c r="F67" s="3543">
        <v>6685</v>
      </c>
      <c r="G67" s="1996">
        <v>6578.1670000000004</v>
      </c>
      <c r="H67" s="57">
        <v>6840</v>
      </c>
      <c r="I67" s="3497">
        <f t="shared" ref="I67:I69" si="408">+E67+G67</f>
        <v>12944.167000000001</v>
      </c>
      <c r="J67" s="144">
        <f t="shared" ref="J67:J69" si="409">+F67+H67</f>
        <v>13525</v>
      </c>
      <c r="K67" s="1996">
        <v>6366</v>
      </c>
      <c r="L67" s="57">
        <v>6770</v>
      </c>
      <c r="M67" s="3494">
        <f t="shared" ref="M67:M69" si="410">+I67+K67</f>
        <v>19310.167000000001</v>
      </c>
      <c r="N67" s="184">
        <f t="shared" ref="N67:N69" si="411">+J67+L67</f>
        <v>20295</v>
      </c>
      <c r="O67" s="1996">
        <v>6578.1669876515225</v>
      </c>
      <c r="P67" s="57">
        <v>7440</v>
      </c>
      <c r="Q67" s="3497">
        <f t="shared" ref="Q67:Q69" si="412">+M67+O67</f>
        <v>25888.333987651524</v>
      </c>
      <c r="R67" s="144">
        <f t="shared" ref="R67:R69" si="413">+N67+P67</f>
        <v>27735</v>
      </c>
      <c r="S67" s="1996">
        <v>6578.1669876515225</v>
      </c>
      <c r="T67" s="57">
        <v>6945</v>
      </c>
      <c r="U67" s="3497">
        <f t="shared" ref="U67:U69" si="414">+Q67+S67</f>
        <v>32466.500975303046</v>
      </c>
      <c r="V67" s="144">
        <f t="shared" ref="V67:V69" si="415">+R67+T67</f>
        <v>34680</v>
      </c>
      <c r="W67" s="1996">
        <v>6365.9680525659905</v>
      </c>
      <c r="X67" s="57">
        <v>4365</v>
      </c>
      <c r="Y67" s="2266">
        <f t="shared" ref="Y67:Y69" si="416">+O67+S67+W67</f>
        <v>19522.302027869035</v>
      </c>
      <c r="Z67" s="2266">
        <f t="shared" ref="Z67:Z69" si="417">+P67+T67+X67</f>
        <v>18750</v>
      </c>
      <c r="AA67" s="3506">
        <f t="shared" si="401"/>
        <v>38832.46902786904</v>
      </c>
      <c r="AB67" s="1149">
        <f t="shared" ref="AB67:AB69" si="418">+V67+X67</f>
        <v>39045</v>
      </c>
      <c r="AC67" s="1996">
        <v>6578.1669876515225</v>
      </c>
      <c r="AD67" s="57">
        <v>4850</v>
      </c>
      <c r="AE67" s="3497">
        <f t="shared" ref="AE67:AE69" si="419">+AA67+AC67</f>
        <v>45410.636015520562</v>
      </c>
      <c r="AF67" s="144">
        <f t="shared" ref="AF67:AF69" si="420">+AB67+AD67</f>
        <v>43895</v>
      </c>
      <c r="AG67" s="1996">
        <v>6365.9680525659905</v>
      </c>
      <c r="AH67" s="57">
        <v>5525</v>
      </c>
      <c r="AI67" s="3497">
        <f t="shared" ref="AI67:AI69" si="421">+AE67+AG67</f>
        <v>51776.604068086555</v>
      </c>
      <c r="AJ67" s="144">
        <f t="shared" ref="AJ67:AJ69" si="422">+AF67+AH67</f>
        <v>49420</v>
      </c>
      <c r="AK67" s="1996">
        <v>6578.1669876515225</v>
      </c>
      <c r="AL67" s="57">
        <v>4115</v>
      </c>
      <c r="AM67" s="2266">
        <f t="shared" si="402"/>
        <v>19522.302027869035</v>
      </c>
      <c r="AN67" s="184">
        <f t="shared" si="403"/>
        <v>14490</v>
      </c>
      <c r="AO67" s="3497">
        <f t="shared" si="404"/>
        <v>58354.771055738078</v>
      </c>
      <c r="AP67" s="1366">
        <f t="shared" ref="AP67:AP69" si="423">+AJ67+AL67</f>
        <v>53535</v>
      </c>
      <c r="AQ67" s="3990">
        <v>6578.1669876515225</v>
      </c>
      <c r="AR67" s="3989">
        <v>7355</v>
      </c>
      <c r="AS67" s="3991">
        <f t="shared" ref="AS67:AS69" si="424">+AO67+AQ67</f>
        <v>64932.9380433896</v>
      </c>
      <c r="AT67" s="3991">
        <f t="shared" ref="AT67:AT69" si="425">+AP67+AR67</f>
        <v>60890</v>
      </c>
      <c r="AU67" s="3990">
        <v>5941.5701823949248</v>
      </c>
      <c r="AV67" s="3989">
        <v>6530</v>
      </c>
      <c r="AW67" s="3504">
        <f t="shared" ref="AW67:AW69" si="426">+AS67+AU67</f>
        <v>70874.508225784521</v>
      </c>
      <c r="AX67" s="144">
        <f t="shared" ref="AX67:AX69" si="427">+AT67+AV67</f>
        <v>67420</v>
      </c>
      <c r="AY67" s="4224">
        <v>6578.1669876515225</v>
      </c>
      <c r="AZ67" s="4223">
        <v>2840</v>
      </c>
      <c r="BA67" s="2266">
        <f t="shared" si="405"/>
        <v>19097.904157697969</v>
      </c>
      <c r="BB67" s="184">
        <f t="shared" si="406"/>
        <v>16725</v>
      </c>
      <c r="BC67" s="3506">
        <f t="shared" si="407"/>
        <v>38620.206185567004</v>
      </c>
      <c r="BD67" s="1149">
        <f t="shared" si="407"/>
        <v>31215</v>
      </c>
      <c r="BE67" s="3504">
        <f t="shared" ref="BE67:BE69" si="428">+AW67+AY67</f>
        <v>77452.675213436043</v>
      </c>
      <c r="BF67" s="144">
        <f t="shared" ref="BF67:BF69" si="429">+AX67+AZ67</f>
        <v>70260</v>
      </c>
    </row>
    <row r="68" spans="1:58" x14ac:dyDescent="0.25">
      <c r="B68" s="28" t="s">
        <v>707</v>
      </c>
      <c r="C68" s="2318" t="s">
        <v>53</v>
      </c>
      <c r="D68" s="823">
        <v>63370.318341452366</v>
      </c>
      <c r="E68" s="823">
        <v>5209</v>
      </c>
      <c r="F68" s="3543">
        <v>4955</v>
      </c>
      <c r="G68" s="823">
        <v>5382.1369999999997</v>
      </c>
      <c r="H68" s="57">
        <v>5570</v>
      </c>
      <c r="I68" s="3497">
        <f t="shared" si="408"/>
        <v>10591.136999999999</v>
      </c>
      <c r="J68" s="144">
        <f t="shared" si="409"/>
        <v>10525</v>
      </c>
      <c r="K68" s="823">
        <v>5209</v>
      </c>
      <c r="L68" s="57">
        <v>4885</v>
      </c>
      <c r="M68" s="3494">
        <f t="shared" si="410"/>
        <v>15800.136999999999</v>
      </c>
      <c r="N68" s="184">
        <f t="shared" si="411"/>
        <v>15410</v>
      </c>
      <c r="O68" s="823">
        <v>5382.1366262603369</v>
      </c>
      <c r="P68" s="57">
        <v>330</v>
      </c>
      <c r="Q68" s="3497">
        <f t="shared" si="412"/>
        <v>21182.273626260336</v>
      </c>
      <c r="R68" s="144">
        <f t="shared" si="413"/>
        <v>15740</v>
      </c>
      <c r="S68" s="823">
        <v>5382.1366262603369</v>
      </c>
      <c r="T68" s="57">
        <v>1865</v>
      </c>
      <c r="U68" s="3497">
        <f t="shared" si="414"/>
        <v>26564.410252520673</v>
      </c>
      <c r="V68" s="144">
        <f t="shared" si="415"/>
        <v>17605</v>
      </c>
      <c r="W68" s="823">
        <v>5208.5193157358117</v>
      </c>
      <c r="X68" s="57">
        <v>5735</v>
      </c>
      <c r="Y68" s="2266">
        <f t="shared" si="416"/>
        <v>15972.792568256486</v>
      </c>
      <c r="Z68" s="2266">
        <f t="shared" si="417"/>
        <v>7930</v>
      </c>
      <c r="AA68" s="3506">
        <f t="shared" si="401"/>
        <v>31772.929568256484</v>
      </c>
      <c r="AB68" s="1149">
        <f t="shared" si="418"/>
        <v>23340</v>
      </c>
      <c r="AC68" s="823">
        <v>5382.1366262603369</v>
      </c>
      <c r="AD68" s="57">
        <v>5545</v>
      </c>
      <c r="AE68" s="3497">
        <f t="shared" si="419"/>
        <v>37155.066194516825</v>
      </c>
      <c r="AF68" s="144">
        <f t="shared" si="420"/>
        <v>28885</v>
      </c>
      <c r="AG68" s="823">
        <v>5208.5193157358117</v>
      </c>
      <c r="AH68" s="57">
        <v>5225</v>
      </c>
      <c r="AI68" s="3497">
        <f t="shared" si="421"/>
        <v>42363.58551025264</v>
      </c>
      <c r="AJ68" s="144">
        <f t="shared" si="422"/>
        <v>34110</v>
      </c>
      <c r="AK68" s="823">
        <v>5382.1366262603369</v>
      </c>
      <c r="AL68" s="57">
        <v>4745</v>
      </c>
      <c r="AM68" s="2266">
        <f t="shared" si="402"/>
        <v>15972.792568256486</v>
      </c>
      <c r="AN68" s="184">
        <f t="shared" si="403"/>
        <v>15515</v>
      </c>
      <c r="AO68" s="3497">
        <f t="shared" si="404"/>
        <v>47745.722136512981</v>
      </c>
      <c r="AP68" s="1366">
        <f t="shared" si="423"/>
        <v>38855</v>
      </c>
      <c r="AQ68" s="3990">
        <v>5382.1366262603369</v>
      </c>
      <c r="AR68" s="3989">
        <v>4485</v>
      </c>
      <c r="AS68" s="3991">
        <f t="shared" si="424"/>
        <v>53127.858762773321</v>
      </c>
      <c r="AT68" s="3991">
        <f t="shared" si="425"/>
        <v>43340</v>
      </c>
      <c r="AU68" s="3990">
        <v>4861.2846946867576</v>
      </c>
      <c r="AV68" s="3989">
        <v>5955</v>
      </c>
      <c r="AW68" s="3504">
        <f t="shared" si="426"/>
        <v>57989.143457460079</v>
      </c>
      <c r="AX68" s="144">
        <f t="shared" si="427"/>
        <v>49295</v>
      </c>
      <c r="AY68" s="4224">
        <v>5382.1366262603369</v>
      </c>
      <c r="AZ68" s="4223">
        <v>4515</v>
      </c>
      <c r="BA68" s="2266">
        <f t="shared" si="405"/>
        <v>15625.557947207431</v>
      </c>
      <c r="BB68" s="184">
        <f t="shared" si="406"/>
        <v>14955</v>
      </c>
      <c r="BC68" s="3506">
        <f t="shared" si="407"/>
        <v>31598.350515463917</v>
      </c>
      <c r="BD68" s="1149">
        <f t="shared" si="407"/>
        <v>30470</v>
      </c>
      <c r="BE68" s="3504">
        <f t="shared" si="428"/>
        <v>63371.280083720412</v>
      </c>
      <c r="BF68" s="144">
        <f t="shared" si="429"/>
        <v>53810</v>
      </c>
    </row>
    <row r="69" spans="1:58" ht="15.75" customHeight="1" thickBot="1" x14ac:dyDescent="0.3">
      <c r="B69" s="28" t="s">
        <v>688</v>
      </c>
      <c r="C69" s="2318" t="s">
        <v>53</v>
      </c>
      <c r="D69" s="823">
        <v>0</v>
      </c>
      <c r="E69" s="823">
        <v>0</v>
      </c>
      <c r="F69" s="3543">
        <v>0</v>
      </c>
      <c r="G69" s="823">
        <v>0</v>
      </c>
      <c r="H69" s="57">
        <v>0</v>
      </c>
      <c r="I69" s="3497">
        <f t="shared" si="408"/>
        <v>0</v>
      </c>
      <c r="J69" s="144">
        <f t="shared" si="409"/>
        <v>0</v>
      </c>
      <c r="K69" s="823"/>
      <c r="L69" s="57"/>
      <c r="M69" s="3494">
        <f t="shared" si="410"/>
        <v>0</v>
      </c>
      <c r="N69" s="184">
        <f t="shared" si="411"/>
        <v>0</v>
      </c>
      <c r="O69" s="823">
        <v>0</v>
      </c>
      <c r="P69" s="57">
        <v>4260</v>
      </c>
      <c r="Q69" s="3497">
        <f t="shared" si="412"/>
        <v>0</v>
      </c>
      <c r="R69" s="144">
        <f t="shared" si="413"/>
        <v>4260</v>
      </c>
      <c r="S69" s="823">
        <v>0</v>
      </c>
      <c r="T69" s="57">
        <v>4620</v>
      </c>
      <c r="U69" s="3497">
        <f t="shared" si="414"/>
        <v>0</v>
      </c>
      <c r="V69" s="144">
        <f t="shared" si="415"/>
        <v>8880</v>
      </c>
      <c r="W69" s="823">
        <v>0</v>
      </c>
      <c r="X69" s="57">
        <v>4395</v>
      </c>
      <c r="Y69" s="2266">
        <f t="shared" si="416"/>
        <v>0</v>
      </c>
      <c r="Z69" s="2266">
        <f t="shared" si="417"/>
        <v>13275</v>
      </c>
      <c r="AA69" s="3506">
        <f t="shared" si="401"/>
        <v>0</v>
      </c>
      <c r="AB69" s="1149">
        <f t="shared" si="418"/>
        <v>13275</v>
      </c>
      <c r="AC69" s="823">
        <v>0</v>
      </c>
      <c r="AD69" s="57">
        <v>4440</v>
      </c>
      <c r="AE69" s="3497">
        <f t="shared" si="419"/>
        <v>0</v>
      </c>
      <c r="AF69" s="144">
        <f t="shared" si="420"/>
        <v>17715</v>
      </c>
      <c r="AG69" s="823"/>
      <c r="AH69" s="57">
        <v>4810</v>
      </c>
      <c r="AI69" s="3497">
        <f t="shared" si="421"/>
        <v>0</v>
      </c>
      <c r="AJ69" s="144">
        <f t="shared" si="422"/>
        <v>22525</v>
      </c>
      <c r="AK69" s="823">
        <v>0</v>
      </c>
      <c r="AL69" s="57">
        <v>8420</v>
      </c>
      <c r="AM69" s="2266">
        <f t="shared" si="402"/>
        <v>0</v>
      </c>
      <c r="AN69" s="184">
        <f t="shared" si="403"/>
        <v>17670</v>
      </c>
      <c r="AO69" s="3497">
        <f t="shared" si="404"/>
        <v>0</v>
      </c>
      <c r="AP69" s="1366">
        <f t="shared" si="423"/>
        <v>30945</v>
      </c>
      <c r="AQ69" s="3990">
        <v>0</v>
      </c>
      <c r="AR69" s="3989">
        <v>8220</v>
      </c>
      <c r="AS69" s="3991">
        <f t="shared" si="424"/>
        <v>0</v>
      </c>
      <c r="AT69" s="3991">
        <f t="shared" si="425"/>
        <v>39165</v>
      </c>
      <c r="AU69" s="3990">
        <v>0</v>
      </c>
      <c r="AV69" s="3989">
        <v>0</v>
      </c>
      <c r="AW69" s="3504">
        <f t="shared" si="426"/>
        <v>0</v>
      </c>
      <c r="AX69" s="144">
        <f t="shared" si="427"/>
        <v>39165</v>
      </c>
      <c r="AY69" s="4224">
        <v>0</v>
      </c>
      <c r="AZ69" s="4223">
        <v>3725</v>
      </c>
      <c r="BA69" s="2266">
        <f t="shared" si="405"/>
        <v>0</v>
      </c>
      <c r="BB69" s="184">
        <f t="shared" si="406"/>
        <v>11945</v>
      </c>
      <c r="BC69" s="3506">
        <f t="shared" si="407"/>
        <v>0</v>
      </c>
      <c r="BD69" s="1149">
        <f t="shared" si="407"/>
        <v>29615</v>
      </c>
      <c r="BE69" s="3504">
        <f t="shared" si="428"/>
        <v>0</v>
      </c>
      <c r="BF69" s="144">
        <f t="shared" si="429"/>
        <v>42890</v>
      </c>
    </row>
    <row r="70" spans="1:58" ht="16.5" thickBot="1" x14ac:dyDescent="0.3">
      <c r="B70" s="32" t="s">
        <v>14</v>
      </c>
      <c r="C70" s="2320" t="s">
        <v>53</v>
      </c>
      <c r="D70" s="2321">
        <f>SUM(D66:D69)</f>
        <v>471756.81431970082</v>
      </c>
      <c r="E70" s="2321">
        <f>SUM(E66:E69)</f>
        <v>38775</v>
      </c>
      <c r="F70" s="2321">
        <f t="shared" ref="F70:V70" si="430">SUM(F66:F69)</f>
        <v>37450</v>
      </c>
      <c r="G70" s="2321">
        <f t="shared" si="430"/>
        <v>40067.017</v>
      </c>
      <c r="H70" s="2321">
        <f t="shared" si="430"/>
        <v>39205</v>
      </c>
      <c r="I70" s="2321">
        <f t="shared" si="430"/>
        <v>78842.017000000007</v>
      </c>
      <c r="J70" s="2321">
        <f t="shared" si="430"/>
        <v>76655</v>
      </c>
      <c r="K70" s="2321">
        <f t="shared" si="430"/>
        <v>38775</v>
      </c>
      <c r="L70" s="2321">
        <f t="shared" si="430"/>
        <v>37425</v>
      </c>
      <c r="M70" s="2321">
        <f t="shared" si="430"/>
        <v>117617.01700000001</v>
      </c>
      <c r="N70" s="2321">
        <f t="shared" si="430"/>
        <v>114080</v>
      </c>
      <c r="O70" s="2321">
        <f t="shared" si="430"/>
        <v>40067.017106604733</v>
      </c>
      <c r="P70" s="2321">
        <f t="shared" si="430"/>
        <v>38220</v>
      </c>
      <c r="Q70" s="2321">
        <f>SUM(Q66:Q69)</f>
        <v>157684.03410660475</v>
      </c>
      <c r="R70" s="2321">
        <f>SUM(R66:R69)</f>
        <v>152300</v>
      </c>
      <c r="S70" s="2321">
        <f t="shared" si="430"/>
        <v>40067.017106604733</v>
      </c>
      <c r="T70" s="2321">
        <f t="shared" si="430"/>
        <v>38665</v>
      </c>
      <c r="U70" s="2321">
        <f t="shared" si="430"/>
        <v>197751.05121320943</v>
      </c>
      <c r="V70" s="2321">
        <f t="shared" si="430"/>
        <v>190965</v>
      </c>
      <c r="W70" s="2321">
        <f t="shared" ref="W70:AF70" si="431">SUM(W66:W69)</f>
        <v>38774.532683811034</v>
      </c>
      <c r="X70" s="2321">
        <f t="shared" si="431"/>
        <v>37060</v>
      </c>
      <c r="Y70" s="2321">
        <f t="shared" si="431"/>
        <v>118908.56689702049</v>
      </c>
      <c r="Z70" s="2321">
        <f t="shared" si="431"/>
        <v>113945</v>
      </c>
      <c r="AA70" s="2321">
        <f t="shared" si="431"/>
        <v>236525.58389702049</v>
      </c>
      <c r="AB70" s="2321">
        <f t="shared" si="431"/>
        <v>228025</v>
      </c>
      <c r="AC70" s="2321">
        <f t="shared" si="431"/>
        <v>40067.017106604733</v>
      </c>
      <c r="AD70" s="2321">
        <f t="shared" si="431"/>
        <v>37025</v>
      </c>
      <c r="AE70" s="2321">
        <f t="shared" si="431"/>
        <v>276592.6010036252</v>
      </c>
      <c r="AF70" s="2321">
        <f t="shared" si="431"/>
        <v>265050</v>
      </c>
      <c r="AG70" s="2321">
        <f t="shared" ref="AG70:AJ70" si="432">SUM(AG66:AG69)</f>
        <v>38774.532683811034</v>
      </c>
      <c r="AH70" s="2321">
        <f t="shared" si="432"/>
        <v>37095</v>
      </c>
      <c r="AI70" s="2321">
        <f t="shared" si="432"/>
        <v>315367.13368743623</v>
      </c>
      <c r="AJ70" s="2321">
        <f t="shared" si="432"/>
        <v>302145</v>
      </c>
      <c r="AK70" s="2321">
        <f t="shared" ref="AK70:AL70" si="433">SUM(AK66:AK69)</f>
        <v>40067.017106604733</v>
      </c>
      <c r="AL70" s="2321">
        <f t="shared" si="433"/>
        <v>38530</v>
      </c>
      <c r="AM70" s="3690">
        <f t="shared" ref="AM70:AT70" si="434">SUM(AM66:AM69)</f>
        <v>118908.56689702049</v>
      </c>
      <c r="AN70" s="185">
        <f t="shared" si="434"/>
        <v>112650</v>
      </c>
      <c r="AO70" s="97">
        <f t="shared" si="434"/>
        <v>355434.15079404094</v>
      </c>
      <c r="AP70" s="145">
        <f t="shared" si="434"/>
        <v>340675</v>
      </c>
      <c r="AQ70" s="4046">
        <f t="shared" si="434"/>
        <v>40067.017106604733</v>
      </c>
      <c r="AR70" s="4046">
        <f t="shared" si="434"/>
        <v>37735</v>
      </c>
      <c r="AS70" s="4046">
        <f t="shared" si="434"/>
        <v>395501.1679006457</v>
      </c>
      <c r="AT70" s="4046">
        <f t="shared" si="434"/>
        <v>378410</v>
      </c>
      <c r="AU70" s="4046">
        <f t="shared" ref="AU70:AX70" si="435">SUM(AU66:AU69)</f>
        <v>36189.563838223636</v>
      </c>
      <c r="AV70" s="4046">
        <f t="shared" si="435"/>
        <v>38750</v>
      </c>
      <c r="AW70" s="2321">
        <f t="shared" si="435"/>
        <v>431690.73173886933</v>
      </c>
      <c r="AX70" s="2321">
        <f t="shared" si="435"/>
        <v>417160</v>
      </c>
      <c r="AY70" s="4046">
        <f t="shared" ref="AY70:BF70" si="436">SUM(AY66:AY69)</f>
        <v>40067.017106604733</v>
      </c>
      <c r="AZ70" s="4046">
        <f t="shared" si="436"/>
        <v>35690</v>
      </c>
      <c r="BA70" s="3690">
        <f t="shared" si="436"/>
        <v>116323.59805143309</v>
      </c>
      <c r="BB70" s="185">
        <f t="shared" si="436"/>
        <v>112175</v>
      </c>
      <c r="BC70" s="2321">
        <f t="shared" ref="BC70:BD70" si="437">SUM(BC66:BC69)</f>
        <v>235232.1649484536</v>
      </c>
      <c r="BD70" s="2321">
        <f t="shared" si="437"/>
        <v>224825</v>
      </c>
      <c r="BE70" s="2321">
        <f t="shared" si="436"/>
        <v>471757.74884547404</v>
      </c>
      <c r="BF70" s="2321">
        <f t="shared" si="436"/>
        <v>452850</v>
      </c>
    </row>
    <row r="71" spans="1:58" x14ac:dyDescent="0.25">
      <c r="B71" s="27" t="s">
        <v>725</v>
      </c>
      <c r="C71" s="2322" t="s">
        <v>53</v>
      </c>
      <c r="D71" s="2323">
        <v>154905.2226124391</v>
      </c>
      <c r="E71" s="2323">
        <v>12732</v>
      </c>
      <c r="F71" s="151">
        <v>11585</v>
      </c>
      <c r="G71" s="2323">
        <v>13156.334000000001</v>
      </c>
      <c r="H71" s="57">
        <v>12860</v>
      </c>
      <c r="I71" s="3497">
        <f t="shared" ref="I71:I72" si="438">+E71+G71</f>
        <v>25888.334000000003</v>
      </c>
      <c r="J71" s="144">
        <f t="shared" ref="J71:J72" si="439">+F71+H71</f>
        <v>24445</v>
      </c>
      <c r="K71" s="2323">
        <v>12732</v>
      </c>
      <c r="L71" s="57">
        <v>11525</v>
      </c>
      <c r="M71" s="3494">
        <f t="shared" ref="M71:M72" si="440">+I71+K71</f>
        <v>38620.334000000003</v>
      </c>
      <c r="N71" s="184">
        <f t="shared" ref="N71:N72" si="441">+J71+L71</f>
        <v>35970</v>
      </c>
      <c r="O71" s="2323">
        <v>13156.333975303045</v>
      </c>
      <c r="P71" s="57">
        <v>12330</v>
      </c>
      <c r="Q71" s="3497">
        <f t="shared" ref="Q71:Q72" si="442">+M71+O71</f>
        <v>51776.667975303048</v>
      </c>
      <c r="R71" s="144">
        <f t="shared" ref="R71:R72" si="443">+N71+P71</f>
        <v>48300</v>
      </c>
      <c r="S71" s="2323">
        <v>13156.333975303045</v>
      </c>
      <c r="T71" s="57">
        <v>12290</v>
      </c>
      <c r="U71" s="3497">
        <f t="shared" ref="U71:U72" si="444">+Q71+S71</f>
        <v>64933.001950606093</v>
      </c>
      <c r="V71" s="144">
        <f t="shared" ref="V71:V72" si="445">+R71+T71</f>
        <v>60590</v>
      </c>
      <c r="W71" s="2323">
        <v>12731.936105131981</v>
      </c>
      <c r="X71" s="57">
        <v>12265</v>
      </c>
      <c r="Y71" s="2266">
        <f t="shared" ref="Y71:Y72" si="446">+O71+S71+W71</f>
        <v>39044.604055738069</v>
      </c>
      <c r="Z71" s="184">
        <f t="shared" ref="Z71:Z72" si="447">+P71+T71+X71</f>
        <v>36885</v>
      </c>
      <c r="AA71" s="3506">
        <f t="shared" ref="AA71:AA72" si="448">+U71+W71</f>
        <v>77664.938055738079</v>
      </c>
      <c r="AB71" s="1149">
        <f t="shared" ref="AB71:AB72" si="449">+V71+X71</f>
        <v>72855</v>
      </c>
      <c r="AC71" s="2323">
        <v>13156.333975303045</v>
      </c>
      <c r="AD71" s="57">
        <v>13655</v>
      </c>
      <c r="AE71" s="3497">
        <f t="shared" ref="AE71:AE72" si="450">+AA71+AC71</f>
        <v>90821.272031041124</v>
      </c>
      <c r="AF71" s="144">
        <f t="shared" ref="AF71:AF72" si="451">+AB71+AD71</f>
        <v>86510</v>
      </c>
      <c r="AG71" s="2323">
        <v>12731.936105131981</v>
      </c>
      <c r="AH71" s="57">
        <v>13005</v>
      </c>
      <c r="AI71" s="3497">
        <f t="shared" ref="AI71:AI72" si="452">+AE71+AG71</f>
        <v>103553.20813617311</v>
      </c>
      <c r="AJ71" s="144">
        <f t="shared" ref="AJ71:AJ72" si="453">+AF71+AH71</f>
        <v>99515</v>
      </c>
      <c r="AK71" s="2323">
        <v>13156.333975303045</v>
      </c>
      <c r="AL71" s="57">
        <v>12690</v>
      </c>
      <c r="AM71" s="2266">
        <f t="shared" ref="AM71:AM72" si="454">+AC71+AG71+AK71</f>
        <v>39044.604055738069</v>
      </c>
      <c r="AN71" s="184">
        <f t="shared" ref="AN71:AN72" si="455">+AD71+AH71+AL71</f>
        <v>39350</v>
      </c>
      <c r="AO71" s="3497">
        <f t="shared" ref="AO71:AO72" si="456">+AI71+AK71</f>
        <v>116709.54211147616</v>
      </c>
      <c r="AP71" s="144">
        <f t="shared" ref="AP71:AP72" si="457">+AJ71+AL71</f>
        <v>112205</v>
      </c>
      <c r="AQ71" s="2323">
        <v>13156.333975303045</v>
      </c>
      <c r="AR71" s="57">
        <v>10175</v>
      </c>
      <c r="AS71" s="3497">
        <f t="shared" ref="AS71:AS72" si="458">+AO71+AQ71</f>
        <v>129865.8760867792</v>
      </c>
      <c r="AT71" s="144">
        <f t="shared" ref="AT71:AT72" si="459">+AP71+AR71</f>
        <v>122380</v>
      </c>
      <c r="AU71" s="2323">
        <v>11883.14036478985</v>
      </c>
      <c r="AV71" s="57">
        <v>370</v>
      </c>
      <c r="AW71" s="3497">
        <f t="shared" ref="AW71:AW72" si="460">+AS71+AU71</f>
        <v>141749.01645156904</v>
      </c>
      <c r="AX71" s="144">
        <f t="shared" ref="AX71:AX72" si="461">+AT71+AV71</f>
        <v>122750</v>
      </c>
      <c r="AY71" s="2323">
        <v>13156.333975303045</v>
      </c>
      <c r="AZ71" s="57">
        <v>9790</v>
      </c>
      <c r="BA71" s="2266">
        <f t="shared" ref="BA71:BA72" si="462">+AQ71+AU71+AY71</f>
        <v>38195.808315395938</v>
      </c>
      <c r="BB71" s="184">
        <f t="shared" ref="BB71:BB72" si="463">+AR71+AV71+AZ71</f>
        <v>20335</v>
      </c>
      <c r="BC71" s="3506">
        <f>+AM71+BA71</f>
        <v>77240.412371134007</v>
      </c>
      <c r="BD71" s="1149">
        <f>+AN71+BB71</f>
        <v>59685</v>
      </c>
      <c r="BE71" s="3497">
        <f t="shared" ref="BE71:BE72" si="464">+AW71+AY71</f>
        <v>154905.35042687209</v>
      </c>
      <c r="BF71" s="144">
        <f t="shared" ref="BF71:BF72" si="465">+AX71+AZ71</f>
        <v>132540</v>
      </c>
    </row>
    <row r="72" spans="1:58" ht="15.75" thickBot="1" x14ac:dyDescent="0.3">
      <c r="B72" s="2319" t="s">
        <v>710</v>
      </c>
      <c r="C72" s="2322" t="s">
        <v>53</v>
      </c>
      <c r="D72" s="2324">
        <v>42246.878894301582</v>
      </c>
      <c r="E72" s="2324">
        <v>3472</v>
      </c>
      <c r="F72" s="151">
        <v>3290</v>
      </c>
      <c r="G72" s="2324">
        <v>3588.0909999999999</v>
      </c>
      <c r="H72" s="57">
        <v>3200</v>
      </c>
      <c r="I72" s="3497">
        <f t="shared" si="438"/>
        <v>7060.0910000000003</v>
      </c>
      <c r="J72" s="144">
        <f t="shared" si="439"/>
        <v>6490</v>
      </c>
      <c r="K72" s="2324">
        <v>3472</v>
      </c>
      <c r="L72" s="57">
        <v>3260</v>
      </c>
      <c r="M72" s="3494">
        <f t="shared" si="440"/>
        <v>10532.091</v>
      </c>
      <c r="N72" s="184">
        <f t="shared" si="441"/>
        <v>9750</v>
      </c>
      <c r="O72" s="2324">
        <v>3588.0910841735586</v>
      </c>
      <c r="P72" s="57">
        <v>3760</v>
      </c>
      <c r="Q72" s="3497">
        <f t="shared" si="442"/>
        <v>14120.182084173559</v>
      </c>
      <c r="R72" s="144">
        <f t="shared" si="443"/>
        <v>13510</v>
      </c>
      <c r="S72" s="2324">
        <v>3588.0910841735586</v>
      </c>
      <c r="T72" s="57">
        <v>3895</v>
      </c>
      <c r="U72" s="3497">
        <f t="shared" si="444"/>
        <v>17708.273168347117</v>
      </c>
      <c r="V72" s="144">
        <f t="shared" si="445"/>
        <v>17405</v>
      </c>
      <c r="W72" s="2324">
        <v>3472.3462104905402</v>
      </c>
      <c r="X72" s="57">
        <v>2805</v>
      </c>
      <c r="Y72" s="2266">
        <f t="shared" si="446"/>
        <v>10648.528378837658</v>
      </c>
      <c r="Z72" s="184">
        <f t="shared" si="447"/>
        <v>10460</v>
      </c>
      <c r="AA72" s="3506">
        <f t="shared" si="448"/>
        <v>21180.619378837659</v>
      </c>
      <c r="AB72" s="1149">
        <f t="shared" si="449"/>
        <v>20210</v>
      </c>
      <c r="AC72" s="2324">
        <v>3588.0910841735586</v>
      </c>
      <c r="AD72" s="57">
        <v>360</v>
      </c>
      <c r="AE72" s="3497">
        <f t="shared" si="450"/>
        <v>24768.710463011215</v>
      </c>
      <c r="AF72" s="144">
        <f t="shared" si="451"/>
        <v>20570</v>
      </c>
      <c r="AG72" s="2324">
        <v>3472.3462104905402</v>
      </c>
      <c r="AH72" s="57">
        <v>1760</v>
      </c>
      <c r="AI72" s="3497">
        <f t="shared" si="452"/>
        <v>28241.056673501756</v>
      </c>
      <c r="AJ72" s="144">
        <f t="shared" si="453"/>
        <v>22330</v>
      </c>
      <c r="AK72" s="2324">
        <v>3588.0910841735586</v>
      </c>
      <c r="AL72" s="57">
        <v>4620</v>
      </c>
      <c r="AM72" s="2266">
        <f t="shared" si="454"/>
        <v>10648.528378837658</v>
      </c>
      <c r="AN72" s="184">
        <f t="shared" si="455"/>
        <v>6740</v>
      </c>
      <c r="AO72" s="3497">
        <f t="shared" si="456"/>
        <v>31829.147757675317</v>
      </c>
      <c r="AP72" s="144">
        <f t="shared" si="457"/>
        <v>26950</v>
      </c>
      <c r="AQ72" s="2324">
        <v>3588.0910841735586</v>
      </c>
      <c r="AR72" s="57">
        <v>4525</v>
      </c>
      <c r="AS72" s="3497">
        <f t="shared" si="458"/>
        <v>35417.238841848877</v>
      </c>
      <c r="AT72" s="144">
        <f t="shared" si="459"/>
        <v>31475</v>
      </c>
      <c r="AU72" s="2324">
        <v>3240.8564631245044</v>
      </c>
      <c r="AV72" s="57">
        <v>7760</v>
      </c>
      <c r="AW72" s="3497">
        <f t="shared" si="460"/>
        <v>38658.09530497338</v>
      </c>
      <c r="AX72" s="144">
        <f t="shared" si="461"/>
        <v>39235</v>
      </c>
      <c r="AY72" s="2324">
        <v>3588.0910841735586</v>
      </c>
      <c r="AZ72" s="57">
        <v>5685</v>
      </c>
      <c r="BA72" s="2266">
        <f t="shared" si="462"/>
        <v>10417.038631471622</v>
      </c>
      <c r="BB72" s="184">
        <f t="shared" si="463"/>
        <v>17970</v>
      </c>
      <c r="BC72" s="3506">
        <f>+AM72+BA72</f>
        <v>21065.567010309278</v>
      </c>
      <c r="BD72" s="1149">
        <f>+AN72+BB72</f>
        <v>24710</v>
      </c>
      <c r="BE72" s="3497">
        <f t="shared" si="464"/>
        <v>42246.18638914694</v>
      </c>
      <c r="BF72" s="144">
        <f t="shared" si="465"/>
        <v>44920</v>
      </c>
    </row>
    <row r="73" spans="1:58" ht="16.5" thickBot="1" x14ac:dyDescent="0.3">
      <c r="B73" s="32" t="s">
        <v>152</v>
      </c>
      <c r="C73" s="2325" t="s">
        <v>53</v>
      </c>
      <c r="D73" s="52">
        <f>SUM(D71:D72)</f>
        <v>197152.10150674067</v>
      </c>
      <c r="E73" s="52">
        <f>SUM(E71:E72)</f>
        <v>16204</v>
      </c>
      <c r="F73" s="52">
        <f t="shared" ref="F73:V73" si="466">SUM(F71:F72)</f>
        <v>14875</v>
      </c>
      <c r="G73" s="52">
        <f t="shared" si="466"/>
        <v>16744.424999999999</v>
      </c>
      <c r="H73" s="52">
        <f t="shared" si="466"/>
        <v>16060</v>
      </c>
      <c r="I73" s="52">
        <f t="shared" si="466"/>
        <v>32948.425000000003</v>
      </c>
      <c r="J73" s="52">
        <f t="shared" si="466"/>
        <v>30935</v>
      </c>
      <c r="K73" s="52">
        <f t="shared" si="466"/>
        <v>16204</v>
      </c>
      <c r="L73" s="52">
        <f t="shared" si="466"/>
        <v>14785</v>
      </c>
      <c r="M73" s="52">
        <f t="shared" si="466"/>
        <v>49152.425000000003</v>
      </c>
      <c r="N73" s="52">
        <f t="shared" si="466"/>
        <v>45720</v>
      </c>
      <c r="O73" s="52">
        <f t="shared" si="466"/>
        <v>16744.425059476605</v>
      </c>
      <c r="P73" s="52">
        <f t="shared" si="466"/>
        <v>16090</v>
      </c>
      <c r="Q73" s="52">
        <f t="shared" si="466"/>
        <v>65896.850059476608</v>
      </c>
      <c r="R73" s="52">
        <f t="shared" si="466"/>
        <v>61810</v>
      </c>
      <c r="S73" s="52">
        <f t="shared" si="466"/>
        <v>16744.425059476605</v>
      </c>
      <c r="T73" s="52">
        <f t="shared" si="466"/>
        <v>16185</v>
      </c>
      <c r="U73" s="52">
        <f t="shared" si="466"/>
        <v>82641.275118953214</v>
      </c>
      <c r="V73" s="319">
        <f t="shared" si="466"/>
        <v>77995</v>
      </c>
      <c r="W73" s="1373">
        <f t="shared" ref="W73:X73" si="467">SUM(W71:W72)</f>
        <v>16204.28231562252</v>
      </c>
      <c r="X73" s="199">
        <f t="shared" si="467"/>
        <v>15070</v>
      </c>
      <c r="Y73" s="1373">
        <f t="shared" ref="Y73:AF73" si="468">SUM(Y71:Y72)</f>
        <v>49693.132434575731</v>
      </c>
      <c r="Z73" s="199">
        <f t="shared" si="468"/>
        <v>47345</v>
      </c>
      <c r="AA73" s="1373">
        <f t="shared" si="468"/>
        <v>98845.557434575734</v>
      </c>
      <c r="AB73" s="199">
        <f t="shared" si="468"/>
        <v>93065</v>
      </c>
      <c r="AC73" s="52">
        <f t="shared" si="468"/>
        <v>16744.425059476605</v>
      </c>
      <c r="AD73" s="52">
        <f t="shared" si="468"/>
        <v>14015</v>
      </c>
      <c r="AE73" s="52">
        <f t="shared" si="468"/>
        <v>115589.98249405234</v>
      </c>
      <c r="AF73" s="319">
        <f t="shared" si="468"/>
        <v>107080</v>
      </c>
      <c r="AG73" s="52">
        <f t="shared" ref="AG73:AJ73" si="469">SUM(AG71:AG72)</f>
        <v>16204.28231562252</v>
      </c>
      <c r="AH73" s="52">
        <f t="shared" si="469"/>
        <v>14765</v>
      </c>
      <c r="AI73" s="52">
        <f t="shared" si="469"/>
        <v>131794.26480967487</v>
      </c>
      <c r="AJ73" s="319">
        <f t="shared" si="469"/>
        <v>121845</v>
      </c>
      <c r="AK73" s="52">
        <f t="shared" ref="AK73:AL73" si="470">SUM(AK71:AK72)</f>
        <v>16744.425059476605</v>
      </c>
      <c r="AL73" s="52">
        <f t="shared" si="470"/>
        <v>17310</v>
      </c>
      <c r="AM73" s="871">
        <f t="shared" ref="AM73:AT73" si="471">SUM(AM71:AM72)</f>
        <v>49693.132434575731</v>
      </c>
      <c r="AN73" s="185">
        <f t="shared" si="471"/>
        <v>46090</v>
      </c>
      <c r="AO73" s="97">
        <f t="shared" si="471"/>
        <v>148538.68986915148</v>
      </c>
      <c r="AP73" s="145">
        <f t="shared" si="471"/>
        <v>139155</v>
      </c>
      <c r="AQ73" s="52">
        <f t="shared" si="471"/>
        <v>16744.425059476605</v>
      </c>
      <c r="AR73" s="52">
        <f t="shared" si="471"/>
        <v>14700</v>
      </c>
      <c r="AS73" s="52">
        <f t="shared" si="471"/>
        <v>165283.11492862809</v>
      </c>
      <c r="AT73" s="319">
        <f t="shared" si="471"/>
        <v>153855</v>
      </c>
      <c r="AU73" s="52">
        <f t="shared" ref="AU73:AX73" si="472">SUM(AU71:AU72)</f>
        <v>15123.996827914354</v>
      </c>
      <c r="AV73" s="52">
        <f t="shared" si="472"/>
        <v>8130</v>
      </c>
      <c r="AW73" s="52">
        <f t="shared" si="472"/>
        <v>180407.11175654241</v>
      </c>
      <c r="AX73" s="319">
        <f t="shared" si="472"/>
        <v>161985</v>
      </c>
      <c r="AY73" s="52">
        <f t="shared" ref="AY73:BF73" si="473">SUM(AY71:AY72)</f>
        <v>16744.425059476605</v>
      </c>
      <c r="AZ73" s="52">
        <f t="shared" si="473"/>
        <v>15475</v>
      </c>
      <c r="BA73" s="871">
        <f t="shared" si="473"/>
        <v>48612.846946867561</v>
      </c>
      <c r="BB73" s="185">
        <f t="shared" si="473"/>
        <v>38305</v>
      </c>
      <c r="BC73" s="1373">
        <f t="shared" ref="BC73:BD73" si="474">SUM(BC71:BC72)</f>
        <v>98305.979381443292</v>
      </c>
      <c r="BD73" s="199">
        <f t="shared" si="474"/>
        <v>84395</v>
      </c>
      <c r="BE73" s="52">
        <f t="shared" si="473"/>
        <v>197151.53681601904</v>
      </c>
      <c r="BF73" s="319">
        <f t="shared" si="473"/>
        <v>177460</v>
      </c>
    </row>
    <row r="74" spans="1:58" ht="16.5" thickBot="1" x14ac:dyDescent="0.3">
      <c r="B74" s="2326" t="s">
        <v>13</v>
      </c>
      <c r="C74" s="2327" t="s">
        <v>53</v>
      </c>
      <c r="D74" s="521">
        <f>+D70+D73</f>
        <v>668908.91582644149</v>
      </c>
      <c r="E74" s="521">
        <f>+E70+E73</f>
        <v>54979</v>
      </c>
      <c r="F74" s="521">
        <f t="shared" ref="F74:V74" si="475">+F70+F73</f>
        <v>52325</v>
      </c>
      <c r="G74" s="521">
        <f t="shared" si="475"/>
        <v>56811.441999999995</v>
      </c>
      <c r="H74" s="521">
        <f t="shared" si="475"/>
        <v>55265</v>
      </c>
      <c r="I74" s="521">
        <f t="shared" si="475"/>
        <v>111790.44200000001</v>
      </c>
      <c r="J74" s="521">
        <f t="shared" si="475"/>
        <v>107590</v>
      </c>
      <c r="K74" s="521">
        <f t="shared" si="475"/>
        <v>54979</v>
      </c>
      <c r="L74" s="521">
        <f t="shared" si="475"/>
        <v>52210</v>
      </c>
      <c r="M74" s="521">
        <f t="shared" si="475"/>
        <v>166769.44200000001</v>
      </c>
      <c r="N74" s="521">
        <f t="shared" si="475"/>
        <v>159800</v>
      </c>
      <c r="O74" s="521">
        <f t="shared" si="475"/>
        <v>56811.442166081339</v>
      </c>
      <c r="P74" s="521">
        <f t="shared" si="475"/>
        <v>54310</v>
      </c>
      <c r="Q74" s="521">
        <f t="shared" si="475"/>
        <v>223580.88416608138</v>
      </c>
      <c r="R74" s="521">
        <f t="shared" si="475"/>
        <v>214110</v>
      </c>
      <c r="S74" s="521">
        <f t="shared" si="475"/>
        <v>56811.442166081339</v>
      </c>
      <c r="T74" s="521">
        <f t="shared" si="475"/>
        <v>54850</v>
      </c>
      <c r="U74" s="521">
        <f t="shared" si="475"/>
        <v>280392.32633216266</v>
      </c>
      <c r="V74" s="528">
        <f t="shared" si="475"/>
        <v>268960</v>
      </c>
      <c r="W74" s="1373">
        <f t="shared" ref="W74:X74" si="476">+W70+W73</f>
        <v>54978.814999433554</v>
      </c>
      <c r="X74" s="199">
        <f t="shared" si="476"/>
        <v>52130</v>
      </c>
      <c r="Y74" s="1373">
        <f t="shared" ref="Y74:AF74" si="477">+Y70+Y73</f>
        <v>168601.6993315962</v>
      </c>
      <c r="Z74" s="199">
        <f t="shared" si="477"/>
        <v>161290</v>
      </c>
      <c r="AA74" s="1373">
        <f t="shared" si="477"/>
        <v>335371.14133159624</v>
      </c>
      <c r="AB74" s="199">
        <f t="shared" si="477"/>
        <v>321090</v>
      </c>
      <c r="AC74" s="521">
        <f t="shared" si="477"/>
        <v>56811.442166081339</v>
      </c>
      <c r="AD74" s="521">
        <f t="shared" si="477"/>
        <v>51040</v>
      </c>
      <c r="AE74" s="521">
        <f t="shared" si="477"/>
        <v>392182.58349767752</v>
      </c>
      <c r="AF74" s="528">
        <f t="shared" si="477"/>
        <v>372130</v>
      </c>
      <c r="AG74" s="521">
        <f t="shared" ref="AG74:AJ74" si="478">+AG70+AG73</f>
        <v>54978.814999433554</v>
      </c>
      <c r="AH74" s="521">
        <f t="shared" si="478"/>
        <v>51860</v>
      </c>
      <c r="AI74" s="521">
        <f t="shared" si="478"/>
        <v>447161.39849711111</v>
      </c>
      <c r="AJ74" s="528">
        <f t="shared" si="478"/>
        <v>423990</v>
      </c>
      <c r="AK74" s="521">
        <f t="shared" ref="AK74:AL74" si="479">+AK70+AK73</f>
        <v>56811.442166081339</v>
      </c>
      <c r="AL74" s="521">
        <f t="shared" si="479"/>
        <v>55840</v>
      </c>
      <c r="AM74" s="871">
        <f t="shared" ref="AM74:AT74" si="480">+AM70+AM73</f>
        <v>168601.6993315962</v>
      </c>
      <c r="AN74" s="185">
        <f t="shared" si="480"/>
        <v>158740</v>
      </c>
      <c r="AO74" s="97">
        <f t="shared" si="480"/>
        <v>503972.84066319244</v>
      </c>
      <c r="AP74" s="145">
        <f t="shared" si="480"/>
        <v>479830</v>
      </c>
      <c r="AQ74" s="521">
        <f t="shared" si="480"/>
        <v>56811.442166081339</v>
      </c>
      <c r="AR74" s="521">
        <f t="shared" si="480"/>
        <v>52435</v>
      </c>
      <c r="AS74" s="521">
        <f t="shared" si="480"/>
        <v>560784.28282927372</v>
      </c>
      <c r="AT74" s="528">
        <f t="shared" si="480"/>
        <v>532265</v>
      </c>
      <c r="AU74" s="521">
        <f t="shared" ref="AU74:AX74" si="481">+AU70+AU73</f>
        <v>51313.560666137986</v>
      </c>
      <c r="AV74" s="521">
        <f t="shared" si="481"/>
        <v>46880</v>
      </c>
      <c r="AW74" s="521">
        <f t="shared" si="481"/>
        <v>612097.8434954118</v>
      </c>
      <c r="AX74" s="528">
        <f t="shared" si="481"/>
        <v>579145</v>
      </c>
      <c r="AY74" s="521">
        <f t="shared" ref="AY74:BF74" si="482">+AY70+AY73</f>
        <v>56811.442166081339</v>
      </c>
      <c r="AZ74" s="521">
        <f t="shared" si="482"/>
        <v>51165</v>
      </c>
      <c r="BA74" s="871">
        <f t="shared" si="482"/>
        <v>164936.44499830063</v>
      </c>
      <c r="BB74" s="185">
        <f t="shared" si="482"/>
        <v>150480</v>
      </c>
      <c r="BC74" s="1373">
        <f t="shared" ref="BC74:BD74" si="483">+BC70+BC73</f>
        <v>333538.1443298969</v>
      </c>
      <c r="BD74" s="199">
        <f t="shared" si="483"/>
        <v>309220</v>
      </c>
      <c r="BE74" s="521">
        <f t="shared" si="482"/>
        <v>668909.28566149308</v>
      </c>
      <c r="BF74" s="528">
        <f t="shared" si="482"/>
        <v>630310</v>
      </c>
    </row>
    <row r="75" spans="1:58" s="1364" customFormat="1" x14ac:dyDescent="0.25">
      <c r="A75" s="332"/>
      <c r="B75" s="2328" t="s">
        <v>1435</v>
      </c>
      <c r="C75" s="2329" t="s">
        <v>53</v>
      </c>
      <c r="D75" s="5110">
        <v>35186</v>
      </c>
      <c r="E75" s="5110">
        <v>2892</v>
      </c>
      <c r="F75" s="238"/>
      <c r="G75" s="5110">
        <v>2988.3829999999998</v>
      </c>
      <c r="H75" s="57">
        <v>1750</v>
      </c>
      <c r="I75" s="5079">
        <f>+E75+G75</f>
        <v>5880.3829999999998</v>
      </c>
      <c r="J75" s="144">
        <f t="shared" ref="J75:J77" si="484">+F75+H75</f>
        <v>1750</v>
      </c>
      <c r="K75" s="5112">
        <v>2892</v>
      </c>
      <c r="L75" s="57">
        <v>2080</v>
      </c>
      <c r="M75" s="5115">
        <f>+I75+K75</f>
        <v>8772.3829999999998</v>
      </c>
      <c r="N75" s="184">
        <f t="shared" ref="N75:N77" si="485">+J75+L75</f>
        <v>3830</v>
      </c>
      <c r="O75" s="5103">
        <v>2988.383152173913</v>
      </c>
      <c r="P75" s="57">
        <v>95</v>
      </c>
      <c r="Q75" s="5079">
        <f>+M75+O75</f>
        <v>11760.766152173914</v>
      </c>
      <c r="R75" s="144">
        <f t="shared" ref="R75:R77" si="486">+N75+P75</f>
        <v>3925</v>
      </c>
      <c r="S75" s="5103">
        <v>2988</v>
      </c>
      <c r="T75" s="57">
        <v>2885</v>
      </c>
      <c r="U75" s="5079">
        <f>+Q75+S75</f>
        <v>14748.766152173914</v>
      </c>
      <c r="V75" s="144">
        <f t="shared" ref="V75:V77" si="487">+R75+T75</f>
        <v>6810</v>
      </c>
      <c r="W75" s="5104">
        <v>2892</v>
      </c>
      <c r="X75" s="57">
        <v>2860</v>
      </c>
      <c r="Y75" s="5115">
        <f>+W75+S75+O75</f>
        <v>8868.3831521739121</v>
      </c>
      <c r="Z75" s="184">
        <f t="shared" ref="Z75:Z77" si="488">+P75+T75+X75</f>
        <v>5840</v>
      </c>
      <c r="AA75" s="5118">
        <f>+Y75+M75</f>
        <v>17640.766152173914</v>
      </c>
      <c r="AB75" s="1149">
        <f t="shared" ref="AB75:AB77" si="489">+V75+X75</f>
        <v>9670</v>
      </c>
      <c r="AC75" s="5103">
        <v>2988</v>
      </c>
      <c r="AD75" s="57">
        <v>2720</v>
      </c>
      <c r="AE75" s="4838">
        <f>+AA75+AC75</f>
        <v>20628.766152173914</v>
      </c>
      <c r="AF75" s="3547">
        <f t="shared" ref="AF75:AF77" si="490">+AB75+AD75</f>
        <v>12390</v>
      </c>
      <c r="AG75" s="4835">
        <v>2892</v>
      </c>
      <c r="AH75" s="238">
        <v>0</v>
      </c>
      <c r="AI75" s="4838">
        <f>+AE75+AG75</f>
        <v>23520.766152173914</v>
      </c>
      <c r="AJ75" s="3547">
        <f t="shared" ref="AJ75:AJ77" si="491">+AF75+AH75</f>
        <v>12390</v>
      </c>
      <c r="AK75" s="4835">
        <v>2988</v>
      </c>
      <c r="AL75" s="238">
        <v>0</v>
      </c>
      <c r="AM75" s="5128">
        <f>+AC75+AG75+AK75</f>
        <v>8868</v>
      </c>
      <c r="AN75" s="1166">
        <f t="shared" ref="AN75:AN76" si="492">+AD75+AH75+AL75</f>
        <v>2720</v>
      </c>
      <c r="AO75" s="5130">
        <f>+AI75+AK75</f>
        <v>26508.766152173914</v>
      </c>
      <c r="AP75" s="1552">
        <f t="shared" ref="AP75:AP76" si="493">+AJ75+AL75</f>
        <v>12390</v>
      </c>
      <c r="AQ75" s="4835">
        <v>2988</v>
      </c>
      <c r="AR75" s="3872">
        <v>940</v>
      </c>
      <c r="AS75" s="4838">
        <f>+AO75+AQ75</f>
        <v>29496.766152173914</v>
      </c>
      <c r="AT75" s="3874">
        <f t="shared" ref="AT75:AT77" si="494">+AP75+AR75</f>
        <v>13330</v>
      </c>
      <c r="AU75" s="4835">
        <v>2699</v>
      </c>
      <c r="AV75" s="3989">
        <v>5210</v>
      </c>
      <c r="AW75" s="4838">
        <f>+AS75+AU75</f>
        <v>32195.766152173914</v>
      </c>
      <c r="AX75" s="3991">
        <f t="shared" ref="AX75:AX77" si="495">+AT75+AV75</f>
        <v>18540</v>
      </c>
      <c r="AY75" s="4835">
        <v>2988</v>
      </c>
      <c r="AZ75" s="4223">
        <v>0</v>
      </c>
      <c r="BA75" s="5128">
        <f>+AY75+AU75+AQ75</f>
        <v>8675</v>
      </c>
      <c r="BB75" s="1166">
        <f t="shared" ref="BB75:BB77" si="496">+AR75+AV75+AZ75</f>
        <v>6150</v>
      </c>
      <c r="BC75" s="5118">
        <f>+AM75+BA75</f>
        <v>17543</v>
      </c>
      <c r="BD75" s="1149">
        <f>+AN75+BB75</f>
        <v>8870</v>
      </c>
      <c r="BE75" s="4838">
        <f>+AW75+AY75</f>
        <v>35183.766152173914</v>
      </c>
      <c r="BF75" s="4226">
        <f t="shared" ref="BF75:BF77" si="497">+AX75+AZ75</f>
        <v>18540</v>
      </c>
    </row>
    <row r="76" spans="1:58" s="1364" customFormat="1" x14ac:dyDescent="0.25">
      <c r="A76" s="332"/>
      <c r="B76" s="2328" t="s">
        <v>1224</v>
      </c>
      <c r="C76" s="2329" t="s">
        <v>53</v>
      </c>
      <c r="D76" s="5089"/>
      <c r="E76" s="5089"/>
      <c r="F76" s="238">
        <v>1900</v>
      </c>
      <c r="G76" s="5089"/>
      <c r="H76" s="57"/>
      <c r="I76" s="5080"/>
      <c r="J76" s="144">
        <f t="shared" si="484"/>
        <v>1900</v>
      </c>
      <c r="K76" s="5113"/>
      <c r="L76" s="57">
        <v>0</v>
      </c>
      <c r="M76" s="5116"/>
      <c r="N76" s="184">
        <f t="shared" si="485"/>
        <v>1900</v>
      </c>
      <c r="O76" s="5104"/>
      <c r="P76" s="57">
        <v>0</v>
      </c>
      <c r="Q76" s="5080"/>
      <c r="R76" s="144">
        <f t="shared" si="486"/>
        <v>1900</v>
      </c>
      <c r="S76" s="5104"/>
      <c r="T76" s="57">
        <v>0</v>
      </c>
      <c r="U76" s="5080"/>
      <c r="V76" s="144">
        <f t="shared" si="487"/>
        <v>1900</v>
      </c>
      <c r="W76" s="5104"/>
      <c r="X76" s="57">
        <v>0</v>
      </c>
      <c r="Y76" s="5116"/>
      <c r="Z76" s="184">
        <f t="shared" si="488"/>
        <v>0</v>
      </c>
      <c r="AA76" s="5119"/>
      <c r="AB76" s="1149">
        <f t="shared" si="489"/>
        <v>1900</v>
      </c>
      <c r="AC76" s="5104"/>
      <c r="AD76" s="57">
        <v>1715</v>
      </c>
      <c r="AE76" s="4838"/>
      <c r="AF76" s="3547">
        <f t="shared" si="490"/>
        <v>3615</v>
      </c>
      <c r="AG76" s="4835"/>
      <c r="AH76" s="238">
        <v>3705</v>
      </c>
      <c r="AI76" s="4838"/>
      <c r="AJ76" s="3547">
        <f t="shared" si="491"/>
        <v>7320</v>
      </c>
      <c r="AK76" s="4835"/>
      <c r="AL76" s="238">
        <v>1905</v>
      </c>
      <c r="AM76" s="5129"/>
      <c r="AN76" s="3549">
        <f t="shared" si="492"/>
        <v>7325</v>
      </c>
      <c r="AO76" s="5131"/>
      <c r="AP76" s="3547">
        <f t="shared" si="493"/>
        <v>9225</v>
      </c>
      <c r="AQ76" s="4835"/>
      <c r="AR76" s="3872">
        <v>4315</v>
      </c>
      <c r="AS76" s="4838"/>
      <c r="AT76" s="3874">
        <f t="shared" si="494"/>
        <v>13540</v>
      </c>
      <c r="AU76" s="4835"/>
      <c r="AV76" s="3989">
        <v>0</v>
      </c>
      <c r="AW76" s="4838"/>
      <c r="AX76" s="3991">
        <f t="shared" si="495"/>
        <v>13540</v>
      </c>
      <c r="AY76" s="4835"/>
      <c r="AZ76" s="4223">
        <v>0</v>
      </c>
      <c r="BA76" s="5129"/>
      <c r="BB76" s="4225">
        <f t="shared" si="496"/>
        <v>4315</v>
      </c>
      <c r="BC76" s="5119"/>
      <c r="BD76" s="1149">
        <f>+AN76+BB76</f>
        <v>11640</v>
      </c>
      <c r="BE76" s="4838"/>
      <c r="BF76" s="4226">
        <f t="shared" si="497"/>
        <v>13540</v>
      </c>
    </row>
    <row r="77" spans="1:58" ht="15.75" thickBot="1" x14ac:dyDescent="0.3">
      <c r="B77" s="2328" t="s">
        <v>1851</v>
      </c>
      <c r="C77" s="2329" t="s">
        <v>53</v>
      </c>
      <c r="D77" s="5111"/>
      <c r="E77" s="5111"/>
      <c r="F77" s="238">
        <v>855</v>
      </c>
      <c r="G77" s="5111"/>
      <c r="H77" s="1370">
        <v>0</v>
      </c>
      <c r="I77" s="5081"/>
      <c r="J77" s="144">
        <f t="shared" si="484"/>
        <v>855</v>
      </c>
      <c r="K77" s="5114"/>
      <c r="L77" s="1370">
        <v>0</v>
      </c>
      <c r="M77" s="5117"/>
      <c r="N77" s="184">
        <f t="shared" si="485"/>
        <v>855</v>
      </c>
      <c r="O77" s="5105"/>
      <c r="P77" s="1370">
        <v>2575</v>
      </c>
      <c r="Q77" s="5081"/>
      <c r="R77" s="144">
        <f t="shared" si="486"/>
        <v>3430</v>
      </c>
      <c r="S77" s="5105"/>
      <c r="T77" s="1370">
        <v>0</v>
      </c>
      <c r="U77" s="5081"/>
      <c r="V77" s="144">
        <f t="shared" si="487"/>
        <v>3430</v>
      </c>
      <c r="W77" s="5105"/>
      <c r="X77" s="1370">
        <v>0</v>
      </c>
      <c r="Y77" s="5117"/>
      <c r="Z77" s="184">
        <f t="shared" si="488"/>
        <v>2575</v>
      </c>
      <c r="AA77" s="5127"/>
      <c r="AB77" s="1149">
        <f t="shared" si="489"/>
        <v>3430</v>
      </c>
      <c r="AC77" s="5105"/>
      <c r="AD77" s="1370">
        <v>0</v>
      </c>
      <c r="AE77" s="4838"/>
      <c r="AF77" s="3547">
        <f t="shared" si="490"/>
        <v>3430</v>
      </c>
      <c r="AG77" s="4835"/>
      <c r="AH77" s="238">
        <v>0</v>
      </c>
      <c r="AI77" s="4838"/>
      <c r="AJ77" s="3547">
        <f t="shared" si="491"/>
        <v>3430</v>
      </c>
      <c r="AK77" s="4835"/>
      <c r="AL77" s="238">
        <v>0</v>
      </c>
      <c r="AM77" s="5129"/>
      <c r="AN77" s="1368">
        <f t="shared" ref="AN77" si="498">+AD77+AH77+AL77</f>
        <v>0</v>
      </c>
      <c r="AO77" s="5131"/>
      <c r="AP77" s="1369">
        <f>+AJ77+AL77</f>
        <v>3430</v>
      </c>
      <c r="AQ77" s="4835"/>
      <c r="AR77" s="3872">
        <v>0</v>
      </c>
      <c r="AS77" s="4838"/>
      <c r="AT77" s="3874">
        <f t="shared" si="494"/>
        <v>3430</v>
      </c>
      <c r="AU77" s="4835"/>
      <c r="AV77" s="3989">
        <v>0</v>
      </c>
      <c r="AW77" s="4838"/>
      <c r="AX77" s="3991">
        <f t="shared" si="495"/>
        <v>3430</v>
      </c>
      <c r="AY77" s="4835"/>
      <c r="AZ77" s="4223">
        <v>5680</v>
      </c>
      <c r="BA77" s="5129"/>
      <c r="BB77" s="1368">
        <f t="shared" si="496"/>
        <v>5680</v>
      </c>
      <c r="BC77" s="5120"/>
      <c r="BD77" s="1149">
        <f>+AN77+BB77</f>
        <v>5680</v>
      </c>
      <c r="BE77" s="4838"/>
      <c r="BF77" s="4226">
        <f t="shared" si="497"/>
        <v>9110</v>
      </c>
    </row>
    <row r="78" spans="1:58" ht="16.5" thickBot="1" x14ac:dyDescent="0.3">
      <c r="B78" s="2330" t="s">
        <v>12</v>
      </c>
      <c r="C78" s="2331" t="s">
        <v>53</v>
      </c>
      <c r="D78" s="1382">
        <f>+D74+D75+D76+D77</f>
        <v>704094.91582644149</v>
      </c>
      <c r="E78" s="1382">
        <f>+E74+E75+E76+E77</f>
        <v>57871</v>
      </c>
      <c r="F78" s="1382">
        <f t="shared" ref="F78:V78" si="499">+F74+F75+F76+F77</f>
        <v>55080</v>
      </c>
      <c r="G78" s="1382">
        <f t="shared" si="499"/>
        <v>59799.824999999997</v>
      </c>
      <c r="H78" s="1382">
        <f t="shared" si="499"/>
        <v>57015</v>
      </c>
      <c r="I78" s="1382">
        <f t="shared" si="499"/>
        <v>117670.82500000001</v>
      </c>
      <c r="J78" s="1382">
        <f t="shared" si="499"/>
        <v>112095</v>
      </c>
      <c r="K78" s="1382">
        <f t="shared" si="499"/>
        <v>57871</v>
      </c>
      <c r="L78" s="1382">
        <f t="shared" si="499"/>
        <v>54290</v>
      </c>
      <c r="M78" s="1382">
        <f t="shared" si="499"/>
        <v>175541.82500000001</v>
      </c>
      <c r="N78" s="1382">
        <f t="shared" si="499"/>
        <v>166385</v>
      </c>
      <c r="O78" s="1382">
        <f t="shared" si="499"/>
        <v>59799.825318255251</v>
      </c>
      <c r="P78" s="1382">
        <f t="shared" si="499"/>
        <v>56980</v>
      </c>
      <c r="Q78" s="1382">
        <f t="shared" si="499"/>
        <v>235341.6503182553</v>
      </c>
      <c r="R78" s="1382">
        <f t="shared" si="499"/>
        <v>223365</v>
      </c>
      <c r="S78" s="1382">
        <f t="shared" si="499"/>
        <v>59799.442166081339</v>
      </c>
      <c r="T78" s="1382">
        <f t="shared" si="499"/>
        <v>57735</v>
      </c>
      <c r="U78" s="1382">
        <f>+U74+U75+U76+U77</f>
        <v>295141.09248433658</v>
      </c>
      <c r="V78" s="1382">
        <f t="shared" si="499"/>
        <v>281100</v>
      </c>
      <c r="W78" s="1382">
        <f t="shared" ref="W78:AD78" si="500">+W74+W75+W76+W77</f>
        <v>57870.814999433554</v>
      </c>
      <c r="X78" s="1382">
        <f t="shared" si="500"/>
        <v>54990</v>
      </c>
      <c r="Y78" s="1382">
        <f t="shared" si="500"/>
        <v>177470.08248377012</v>
      </c>
      <c r="Z78" s="1382">
        <f t="shared" si="500"/>
        <v>169705</v>
      </c>
      <c r="AA78" s="1382">
        <f t="shared" si="500"/>
        <v>353011.90748377016</v>
      </c>
      <c r="AB78" s="1382">
        <f t="shared" si="500"/>
        <v>336090</v>
      </c>
      <c r="AC78" s="1382">
        <f t="shared" si="500"/>
        <v>59799.442166081339</v>
      </c>
      <c r="AD78" s="1382">
        <f t="shared" si="500"/>
        <v>55475</v>
      </c>
      <c r="AE78" s="1382">
        <f>+AE74+AE75+AE76+AE77</f>
        <v>412811.34964985144</v>
      </c>
      <c r="AF78" s="1382">
        <f t="shared" ref="AF78:AP78" si="501">+AF74+AF75+AF76+AF77</f>
        <v>391565</v>
      </c>
      <c r="AG78" s="1382">
        <f t="shared" si="501"/>
        <v>57870.814999433554</v>
      </c>
      <c r="AH78" s="1382">
        <f t="shared" si="501"/>
        <v>55565</v>
      </c>
      <c r="AI78" s="1382">
        <f t="shared" si="501"/>
        <v>470682.16464928503</v>
      </c>
      <c r="AJ78" s="1382">
        <f t="shared" si="501"/>
        <v>447130</v>
      </c>
      <c r="AK78" s="1382">
        <f t="shared" si="501"/>
        <v>59799.442166081339</v>
      </c>
      <c r="AL78" s="1382">
        <f t="shared" si="501"/>
        <v>57745</v>
      </c>
      <c r="AM78" s="1382">
        <f t="shared" si="501"/>
        <v>177469.6993315962</v>
      </c>
      <c r="AN78" s="1382">
        <f t="shared" si="501"/>
        <v>168785</v>
      </c>
      <c r="AO78" s="1382">
        <f t="shared" si="501"/>
        <v>530481.60681536631</v>
      </c>
      <c r="AP78" s="1382">
        <f t="shared" si="501"/>
        <v>504875</v>
      </c>
      <c r="AQ78" s="1382">
        <f t="shared" ref="AQ78:AT78" si="502">+AQ74+AQ75+AQ76+AQ77</f>
        <v>59799.442166081339</v>
      </c>
      <c r="AR78" s="1382">
        <f t="shared" si="502"/>
        <v>57690</v>
      </c>
      <c r="AS78" s="1382">
        <f t="shared" si="502"/>
        <v>590281.04898144759</v>
      </c>
      <c r="AT78" s="1382">
        <f t="shared" si="502"/>
        <v>562565</v>
      </c>
      <c r="AU78" s="1382">
        <f t="shared" ref="AU78:AX78" si="503">+AU74+AU75+AU76+AU77</f>
        <v>54012.560666137986</v>
      </c>
      <c r="AV78" s="1382">
        <f t="shared" si="503"/>
        <v>52090</v>
      </c>
      <c r="AW78" s="1382">
        <f t="shared" si="503"/>
        <v>644293.60964758566</v>
      </c>
      <c r="AX78" s="1382">
        <f t="shared" si="503"/>
        <v>614655</v>
      </c>
      <c r="AY78" s="1382">
        <f t="shared" ref="AY78:BF78" si="504">+AY74+AY75+AY76+AY77</f>
        <v>59799.442166081339</v>
      </c>
      <c r="AZ78" s="1382">
        <f t="shared" si="504"/>
        <v>56845</v>
      </c>
      <c r="BA78" s="1382">
        <f t="shared" si="504"/>
        <v>173611.44499830063</v>
      </c>
      <c r="BB78" s="1382">
        <f t="shared" si="504"/>
        <v>166625</v>
      </c>
      <c r="BC78" s="1382">
        <f t="shared" ref="BC78:BD78" si="505">+BC74+BC75+BC76+BC77</f>
        <v>351081.1443298969</v>
      </c>
      <c r="BD78" s="1382">
        <f t="shared" si="505"/>
        <v>335410</v>
      </c>
      <c r="BE78" s="1382">
        <f t="shared" si="504"/>
        <v>704093.05181366694</v>
      </c>
      <c r="BF78" s="1382">
        <f t="shared" si="504"/>
        <v>671500</v>
      </c>
    </row>
    <row r="79" spans="1:58" s="334" customFormat="1" ht="19.5" thickBot="1" x14ac:dyDescent="0.35">
      <c r="A79" s="333"/>
      <c r="B79" s="2332" t="s">
        <v>220</v>
      </c>
      <c r="C79" s="2333"/>
      <c r="D79" s="1175"/>
      <c r="E79" s="1175"/>
      <c r="F79" s="1178"/>
      <c r="G79" s="1175"/>
      <c r="H79" s="1175"/>
      <c r="I79" s="1372"/>
      <c r="J79" s="1372"/>
      <c r="K79" s="1372"/>
      <c r="L79" s="1372"/>
      <c r="M79" s="1372"/>
      <c r="N79" s="1372"/>
      <c r="O79" s="1372"/>
      <c r="P79" s="1372"/>
      <c r="Q79" s="1372"/>
      <c r="R79" s="1372"/>
      <c r="S79" s="1372"/>
      <c r="T79" s="1372"/>
      <c r="U79" s="1372"/>
      <c r="V79" s="1372"/>
      <c r="W79" s="1372"/>
      <c r="X79" s="1372"/>
      <c r="Y79" s="1372"/>
      <c r="Z79" s="1372"/>
      <c r="AA79" s="1372"/>
      <c r="AB79" s="1372"/>
      <c r="AC79" s="1372"/>
      <c r="AD79" s="1372"/>
      <c r="AE79" s="1372"/>
      <c r="AF79" s="1372"/>
      <c r="AG79" s="1372"/>
      <c r="AH79" s="1372"/>
      <c r="AI79" s="1372"/>
      <c r="AJ79" s="1372"/>
      <c r="AK79" s="1372"/>
      <c r="AL79" s="1372"/>
      <c r="AM79" s="1372"/>
      <c r="AN79" s="1372"/>
      <c r="AO79" s="1372"/>
      <c r="AP79" s="1372"/>
      <c r="AQ79" s="4057"/>
      <c r="AR79" s="4057"/>
      <c r="AS79" s="4057"/>
      <c r="AT79" s="4057"/>
      <c r="AU79" s="4057"/>
      <c r="AV79" s="4057"/>
      <c r="AW79" s="1372"/>
      <c r="AX79" s="1372"/>
      <c r="AY79" s="4057"/>
      <c r="AZ79" s="4057"/>
      <c r="BA79" s="1372"/>
      <c r="BB79" s="1372"/>
      <c r="BC79" s="1372"/>
      <c r="BD79" s="1372"/>
      <c r="BE79" s="1372"/>
      <c r="BF79" s="1372"/>
    </row>
    <row r="80" spans="1:58" x14ac:dyDescent="0.25">
      <c r="B80" s="28" t="s">
        <v>10</v>
      </c>
      <c r="C80" s="4373" t="s">
        <v>53</v>
      </c>
      <c r="D80" s="4224">
        <v>594117.20290019258</v>
      </c>
      <c r="E80" s="4224">
        <v>48832</v>
      </c>
      <c r="F80" s="4223">
        <v>44922</v>
      </c>
      <c r="G80" s="4224">
        <v>50459.2693</v>
      </c>
      <c r="H80" s="4223">
        <v>47092</v>
      </c>
      <c r="I80" s="3504">
        <f t="shared" ref="I80:I83" si="506">+E80+G80</f>
        <v>99291.2693</v>
      </c>
      <c r="J80" s="144">
        <f t="shared" ref="J80:J83" si="507">+F80+H80</f>
        <v>92014</v>
      </c>
      <c r="K80" s="3551">
        <v>48832</v>
      </c>
      <c r="L80" s="40">
        <v>43332</v>
      </c>
      <c r="M80" s="3494">
        <f>+I80+K80</f>
        <v>148123.26929999999</v>
      </c>
      <c r="N80" s="184">
        <f>+J80+L80</f>
        <v>135346</v>
      </c>
      <c r="O80" s="3551">
        <v>50459.269287413619</v>
      </c>
      <c r="P80" s="40">
        <v>38955.199999999997</v>
      </c>
      <c r="Q80" s="3497">
        <f>+M80+O80</f>
        <v>198582.53858741361</v>
      </c>
      <c r="R80" s="144">
        <f>+N80+P80</f>
        <v>174301.2</v>
      </c>
      <c r="S80" s="3551">
        <v>50459.269287413619</v>
      </c>
      <c r="T80" s="40">
        <v>41455.699999999997</v>
      </c>
      <c r="U80" s="3497">
        <f t="shared" ref="U80:U83" si="508">+Q80+S80</f>
        <v>249041.80787482724</v>
      </c>
      <c r="V80" s="144">
        <f t="shared" ref="V80:V83" si="509">+R80+T80</f>
        <v>215756.90000000002</v>
      </c>
      <c r="W80" s="3551">
        <v>48831.550923303497</v>
      </c>
      <c r="X80" s="40">
        <v>39398</v>
      </c>
      <c r="Y80" s="2266">
        <f t="shared" ref="Y80:Y83" si="510">+O80+S80+W80</f>
        <v>149750.08949813072</v>
      </c>
      <c r="Z80" s="184">
        <f t="shared" ref="Z80:Z83" si="511">+P80+T80+X80</f>
        <v>119808.9</v>
      </c>
      <c r="AA80" s="1139">
        <f>+U80+W80</f>
        <v>297873.35879813076</v>
      </c>
      <c r="AB80" s="1118">
        <f t="shared" ref="AB80" si="512">+V80+X80</f>
        <v>255154.90000000002</v>
      </c>
      <c r="AC80" s="3551">
        <v>50459.269287413619</v>
      </c>
      <c r="AD80" s="40">
        <v>40504</v>
      </c>
      <c r="AE80" s="3497">
        <f t="shared" ref="AE80:AE83" si="513">+AA80+AC80</f>
        <v>348332.62808554439</v>
      </c>
      <c r="AF80" s="144">
        <f t="shared" ref="AF80:AF83" si="514">+AB80+AD80</f>
        <v>295658.90000000002</v>
      </c>
      <c r="AG80" s="3551">
        <v>48831.550923303497</v>
      </c>
      <c r="AH80" s="40">
        <v>42271.5</v>
      </c>
      <c r="AI80" s="3497">
        <f t="shared" ref="AI80:AI83" si="515">+AE80+AG80</f>
        <v>397164.17900884792</v>
      </c>
      <c r="AJ80" s="144">
        <f t="shared" ref="AJ80:AJ83" si="516">+AF80+AH80</f>
        <v>337930.4</v>
      </c>
      <c r="AK80" s="3551">
        <v>50459.269287413619</v>
      </c>
      <c r="AL80" s="40">
        <v>37417</v>
      </c>
      <c r="AM80" s="2266">
        <f t="shared" ref="AM80:AM82" si="517">+AC80+AG80+AK80</f>
        <v>149750.08949813075</v>
      </c>
      <c r="AN80" s="184">
        <f t="shared" ref="AN80:AN82" si="518">+AD80+AH80+AL80</f>
        <v>120192.5</v>
      </c>
      <c r="AO80" s="1077">
        <f>+AI80+AK80</f>
        <v>447623.44829626154</v>
      </c>
      <c r="AP80" s="1325">
        <f t="shared" ref="AP80:AP82" si="519">+AJ80+AL80</f>
        <v>375347.4</v>
      </c>
      <c r="AQ80" s="931">
        <v>50459.269287413619</v>
      </c>
      <c r="AR80" s="354">
        <v>34065</v>
      </c>
      <c r="AS80" s="947">
        <f t="shared" ref="AS80:AS83" si="520">+AO80+AQ80</f>
        <v>498082.71758367517</v>
      </c>
      <c r="AT80" s="947">
        <f t="shared" ref="AT80:AT83" si="521">+AP80+AR80</f>
        <v>409412.4</v>
      </c>
      <c r="AU80" s="715">
        <v>45576.114195083261</v>
      </c>
      <c r="AV80" s="190">
        <v>47297.264000000003</v>
      </c>
      <c r="AW80" s="3504">
        <f t="shared" ref="AW80:AW83" si="522">+AS80+AU80</f>
        <v>543658.83177875844</v>
      </c>
      <c r="AX80" s="144">
        <f t="shared" ref="AX80:AX83" si="523">+AT80+AV80</f>
        <v>456709.66400000005</v>
      </c>
      <c r="AY80" s="715">
        <v>50459.269287413619</v>
      </c>
      <c r="AZ80" s="190">
        <v>48492</v>
      </c>
      <c r="BA80" s="2266">
        <f t="shared" ref="BA80:BA83" si="524">+AQ80+AU80+AY80</f>
        <v>146494.65276991049</v>
      </c>
      <c r="BB80" s="184">
        <f t="shared" ref="BB80:BB83" si="525">+AR80+AV80+AZ80</f>
        <v>129854.264</v>
      </c>
      <c r="BC80" s="1139">
        <f t="shared" ref="BC80:BD83" si="526">+AM80+BA80</f>
        <v>296244.74226804124</v>
      </c>
      <c r="BD80" s="1118">
        <f t="shared" si="526"/>
        <v>250046.764</v>
      </c>
      <c r="BE80" s="3504">
        <f t="shared" ref="BE80:BE83" si="527">+AW80+AY80</f>
        <v>594118.10106617201</v>
      </c>
      <c r="BF80" s="144">
        <f t="shared" ref="BF80:BF83" si="528">+AX80+AZ80</f>
        <v>505201.66400000005</v>
      </c>
    </row>
    <row r="81" spans="1:58" s="660" customFormat="1" x14ac:dyDescent="0.25">
      <c r="A81" s="332"/>
      <c r="B81" s="2319" t="s">
        <v>998</v>
      </c>
      <c r="C81" s="4373" t="s">
        <v>53</v>
      </c>
      <c r="D81" s="4224">
        <v>129155.91367395491</v>
      </c>
      <c r="E81" s="4224">
        <v>10616</v>
      </c>
      <c r="F81" s="4223">
        <v>10529.7</v>
      </c>
      <c r="G81" s="4224">
        <v>10969.4064</v>
      </c>
      <c r="H81" s="4223">
        <v>11154.1</v>
      </c>
      <c r="I81" s="3504">
        <f t="shared" si="506"/>
        <v>21585.4064</v>
      </c>
      <c r="J81" s="144">
        <f t="shared" si="507"/>
        <v>21683.800000000003</v>
      </c>
      <c r="K81" s="3551">
        <v>10616</v>
      </c>
      <c r="L81" s="40">
        <v>10984</v>
      </c>
      <c r="M81" s="3494">
        <f t="shared" ref="M81:M83" si="529">+I81+K81</f>
        <v>32201.4064</v>
      </c>
      <c r="N81" s="184">
        <f t="shared" ref="N81:N83" si="530">+J81+L81</f>
        <v>32667.800000000003</v>
      </c>
      <c r="O81" s="3551">
        <v>10969.406366829047</v>
      </c>
      <c r="P81" s="40">
        <v>11986.9</v>
      </c>
      <c r="Q81" s="3497">
        <f t="shared" ref="Q81:Q83" si="531">+M81+O81</f>
        <v>43170.812766829047</v>
      </c>
      <c r="R81" s="144">
        <f t="shared" ref="R81:R83" si="532">+N81+P81</f>
        <v>44654.700000000004</v>
      </c>
      <c r="S81" s="3551">
        <v>10969.406366829047</v>
      </c>
      <c r="T81" s="40">
        <v>12059.4</v>
      </c>
      <c r="U81" s="3497">
        <f t="shared" si="508"/>
        <v>54140.219133658095</v>
      </c>
      <c r="V81" s="144">
        <f t="shared" si="509"/>
        <v>56714.100000000006</v>
      </c>
      <c r="W81" s="3551">
        <v>10615.55454854424</v>
      </c>
      <c r="X81" s="40">
        <v>11740.1</v>
      </c>
      <c r="Y81" s="2266">
        <f t="shared" si="510"/>
        <v>32554.367282202336</v>
      </c>
      <c r="Z81" s="184">
        <f t="shared" si="511"/>
        <v>35786.400000000001</v>
      </c>
      <c r="AA81" s="1139">
        <f t="shared" ref="AA81:AA83" si="533">+U81+W81</f>
        <v>64755.773682202336</v>
      </c>
      <c r="AB81" s="1118">
        <f t="shared" ref="AB81:AB83" si="534">+V81+X81</f>
        <v>68454.200000000012</v>
      </c>
      <c r="AC81" s="3551">
        <v>10969.406366829047</v>
      </c>
      <c r="AD81" s="40">
        <v>11754.6</v>
      </c>
      <c r="AE81" s="3497">
        <f t="shared" si="513"/>
        <v>75725.180049031391</v>
      </c>
      <c r="AF81" s="144">
        <f t="shared" si="514"/>
        <v>80208.800000000017</v>
      </c>
      <c r="AG81" s="3551">
        <v>10615.55454854424</v>
      </c>
      <c r="AH81" s="40">
        <v>11272</v>
      </c>
      <c r="AI81" s="3497">
        <f t="shared" si="515"/>
        <v>86340.734597575633</v>
      </c>
      <c r="AJ81" s="144">
        <f t="shared" si="516"/>
        <v>91480.800000000017</v>
      </c>
      <c r="AK81" s="3551">
        <v>10969.406366829047</v>
      </c>
      <c r="AL81" s="40">
        <v>9992</v>
      </c>
      <c r="AM81" s="2266">
        <f t="shared" si="517"/>
        <v>32554.367282202336</v>
      </c>
      <c r="AN81" s="184">
        <f t="shared" si="518"/>
        <v>33018.6</v>
      </c>
      <c r="AO81" s="1077">
        <f t="shared" ref="AO81:AO82" si="535">+AI81+AK81</f>
        <v>97310.14096440468</v>
      </c>
      <c r="AP81" s="1325">
        <f t="shared" si="519"/>
        <v>101472.80000000002</v>
      </c>
      <c r="AQ81" s="3502">
        <v>10969.406366829047</v>
      </c>
      <c r="AR81" s="3989">
        <v>12768</v>
      </c>
      <c r="AS81" s="3991">
        <f t="shared" si="520"/>
        <v>108279.54733123373</v>
      </c>
      <c r="AT81" s="3991">
        <f t="shared" si="521"/>
        <v>114240.80000000002</v>
      </c>
      <c r="AU81" s="3990">
        <v>9907.8509119746232</v>
      </c>
      <c r="AV81" s="40">
        <v>12887.655000000001</v>
      </c>
      <c r="AW81" s="3504">
        <f t="shared" si="522"/>
        <v>118187.39824320836</v>
      </c>
      <c r="AX81" s="144">
        <f t="shared" si="523"/>
        <v>127128.45500000002</v>
      </c>
      <c r="AY81" s="4224">
        <v>10969.406366829047</v>
      </c>
      <c r="AZ81" s="40">
        <v>10970</v>
      </c>
      <c r="BA81" s="2266">
        <f t="shared" si="524"/>
        <v>31846.663645632718</v>
      </c>
      <c r="BB81" s="184">
        <f t="shared" si="525"/>
        <v>36625.654999999999</v>
      </c>
      <c r="BC81" s="1139">
        <f t="shared" si="526"/>
        <v>64401.030927835054</v>
      </c>
      <c r="BD81" s="1118">
        <f t="shared" si="526"/>
        <v>69644.255000000005</v>
      </c>
      <c r="BE81" s="3504">
        <f t="shared" si="527"/>
        <v>129156.8046100374</v>
      </c>
      <c r="BF81" s="144">
        <f t="shared" si="528"/>
        <v>138098.45500000002</v>
      </c>
    </row>
    <row r="82" spans="1:58" x14ac:dyDescent="0.25">
      <c r="B82" s="2319" t="s">
        <v>11</v>
      </c>
      <c r="C82" s="4373" t="s">
        <v>53</v>
      </c>
      <c r="D82" s="4224">
        <v>116240.32230655942</v>
      </c>
      <c r="E82" s="4224">
        <v>9554</v>
      </c>
      <c r="F82" s="4223">
        <v>7726.6</v>
      </c>
      <c r="G82" s="4224">
        <v>9872.4657000000007</v>
      </c>
      <c r="H82" s="4223">
        <v>8148.2</v>
      </c>
      <c r="I82" s="3504">
        <f t="shared" si="506"/>
        <v>19426.465700000001</v>
      </c>
      <c r="J82" s="144">
        <f t="shared" si="507"/>
        <v>15874.8</v>
      </c>
      <c r="K82" s="3551">
        <v>9554</v>
      </c>
      <c r="L82" s="40">
        <v>8115</v>
      </c>
      <c r="M82" s="3494">
        <f t="shared" si="529"/>
        <v>28980.465700000001</v>
      </c>
      <c r="N82" s="184">
        <f t="shared" si="530"/>
        <v>23989.8</v>
      </c>
      <c r="O82" s="3551">
        <v>9872.465730146143</v>
      </c>
      <c r="P82" s="40">
        <v>8324</v>
      </c>
      <c r="Q82" s="3497">
        <f t="shared" si="531"/>
        <v>38852.931430146142</v>
      </c>
      <c r="R82" s="144">
        <f t="shared" si="532"/>
        <v>32313.8</v>
      </c>
      <c r="S82" s="3551">
        <v>9872.465730146143</v>
      </c>
      <c r="T82" s="40">
        <v>8556.6</v>
      </c>
      <c r="U82" s="3497">
        <f t="shared" si="508"/>
        <v>48725.397160292283</v>
      </c>
      <c r="V82" s="144">
        <f t="shared" si="509"/>
        <v>40870.400000000001</v>
      </c>
      <c r="W82" s="3551">
        <v>9553.9990936898157</v>
      </c>
      <c r="X82" s="40">
        <v>9431</v>
      </c>
      <c r="Y82" s="2266">
        <f t="shared" si="510"/>
        <v>29298.9305539821</v>
      </c>
      <c r="Z82" s="184">
        <f t="shared" si="511"/>
        <v>26311.599999999999</v>
      </c>
      <c r="AA82" s="1139">
        <f t="shared" si="533"/>
        <v>58279.3962539821</v>
      </c>
      <c r="AB82" s="1118">
        <f t="shared" si="534"/>
        <v>50301.4</v>
      </c>
      <c r="AC82" s="3551">
        <v>9872.465730146143</v>
      </c>
      <c r="AD82" s="40">
        <v>8360.7999999999993</v>
      </c>
      <c r="AE82" s="3497">
        <f t="shared" si="513"/>
        <v>68151.861984128249</v>
      </c>
      <c r="AF82" s="144">
        <f t="shared" si="514"/>
        <v>58662.2</v>
      </c>
      <c r="AG82" s="3551">
        <v>9553.9990936898157</v>
      </c>
      <c r="AH82" s="40">
        <v>9010</v>
      </c>
      <c r="AI82" s="3497">
        <f t="shared" si="515"/>
        <v>77705.861077818059</v>
      </c>
      <c r="AJ82" s="144">
        <f t="shared" si="516"/>
        <v>67672.2</v>
      </c>
      <c r="AK82" s="3551">
        <v>9872.465730146143</v>
      </c>
      <c r="AL82" s="40">
        <v>9381</v>
      </c>
      <c r="AM82" s="2266">
        <f t="shared" si="517"/>
        <v>29298.9305539821</v>
      </c>
      <c r="AN82" s="184">
        <f t="shared" si="518"/>
        <v>26751.8</v>
      </c>
      <c r="AO82" s="1077">
        <f t="shared" si="535"/>
        <v>87578.3268079642</v>
      </c>
      <c r="AP82" s="1325">
        <f t="shared" si="519"/>
        <v>77053.2</v>
      </c>
      <c r="AQ82" s="3502">
        <v>9872.465730146143</v>
      </c>
      <c r="AR82" s="3989">
        <v>12176</v>
      </c>
      <c r="AS82" s="3991">
        <f t="shared" si="520"/>
        <v>97450.792538110341</v>
      </c>
      <c r="AT82" s="3991">
        <f t="shared" si="521"/>
        <v>89229.2</v>
      </c>
      <c r="AU82" s="3990">
        <v>8917.0658207771612</v>
      </c>
      <c r="AV82" s="40">
        <v>9322.1579999999994</v>
      </c>
      <c r="AW82" s="3504">
        <f t="shared" si="522"/>
        <v>106367.8583588875</v>
      </c>
      <c r="AX82" s="144">
        <f t="shared" si="523"/>
        <v>98551.357999999993</v>
      </c>
      <c r="AY82" s="4224">
        <v>9872.465730146143</v>
      </c>
      <c r="AZ82" s="40">
        <v>6515</v>
      </c>
      <c r="BA82" s="2266">
        <f t="shared" si="524"/>
        <v>28661.997281069445</v>
      </c>
      <c r="BB82" s="184">
        <f t="shared" si="525"/>
        <v>28013.157999999999</v>
      </c>
      <c r="BC82" s="1139">
        <f t="shared" si="526"/>
        <v>57960.927835051545</v>
      </c>
      <c r="BD82" s="1118">
        <f t="shared" si="526"/>
        <v>54764.957999999999</v>
      </c>
      <c r="BE82" s="3504">
        <f t="shared" si="527"/>
        <v>116240.32408903365</v>
      </c>
      <c r="BF82" s="144">
        <f t="shared" si="528"/>
        <v>105066.35799999999</v>
      </c>
    </row>
    <row r="83" spans="1:58" s="1505" customFormat="1" ht="15.75" thickBot="1" x14ac:dyDescent="0.3">
      <c r="A83" s="332"/>
      <c r="B83" s="2319" t="s">
        <v>688</v>
      </c>
      <c r="C83" s="4373"/>
      <c r="D83" s="4224">
        <v>0</v>
      </c>
      <c r="E83" s="4224"/>
      <c r="F83" s="4223"/>
      <c r="G83" s="4224"/>
      <c r="H83" s="4223"/>
      <c r="I83" s="3504">
        <f t="shared" si="506"/>
        <v>0</v>
      </c>
      <c r="J83" s="144">
        <f t="shared" si="507"/>
        <v>0</v>
      </c>
      <c r="K83" s="3545"/>
      <c r="L83" s="1507">
        <v>3373</v>
      </c>
      <c r="M83" s="3494">
        <f t="shared" si="529"/>
        <v>0</v>
      </c>
      <c r="N83" s="184">
        <f t="shared" si="530"/>
        <v>3373</v>
      </c>
      <c r="O83" s="3545">
        <v>0</v>
      </c>
      <c r="P83" s="1507">
        <v>7990.8</v>
      </c>
      <c r="Q83" s="3497">
        <f t="shared" si="531"/>
        <v>0</v>
      </c>
      <c r="R83" s="144">
        <f t="shared" si="532"/>
        <v>11363.8</v>
      </c>
      <c r="S83" s="3545">
        <v>0</v>
      </c>
      <c r="T83" s="1507">
        <v>8423.5</v>
      </c>
      <c r="U83" s="3497">
        <f t="shared" si="508"/>
        <v>0</v>
      </c>
      <c r="V83" s="144">
        <f t="shared" si="509"/>
        <v>19787.3</v>
      </c>
      <c r="W83" s="3545">
        <v>0</v>
      </c>
      <c r="X83" s="1507">
        <v>10182.299999999999</v>
      </c>
      <c r="Y83" s="2266">
        <f t="shared" si="510"/>
        <v>0</v>
      </c>
      <c r="Z83" s="184">
        <f t="shared" si="511"/>
        <v>26596.6</v>
      </c>
      <c r="AA83" s="1139">
        <f t="shared" si="533"/>
        <v>0</v>
      </c>
      <c r="AB83" s="1118">
        <f t="shared" si="534"/>
        <v>29969.599999999999</v>
      </c>
      <c r="AC83" s="3545">
        <v>0</v>
      </c>
      <c r="AD83" s="1507">
        <v>12371.4</v>
      </c>
      <c r="AE83" s="3497">
        <f t="shared" si="513"/>
        <v>0</v>
      </c>
      <c r="AF83" s="144">
        <f t="shared" si="514"/>
        <v>42341</v>
      </c>
      <c r="AG83" s="3545">
        <v>0</v>
      </c>
      <c r="AH83" s="1507">
        <v>9521</v>
      </c>
      <c r="AI83" s="3497">
        <f t="shared" si="515"/>
        <v>0</v>
      </c>
      <c r="AJ83" s="144">
        <f t="shared" si="516"/>
        <v>51862</v>
      </c>
      <c r="AK83" s="3545">
        <v>0</v>
      </c>
      <c r="AL83" s="1507">
        <v>14430</v>
      </c>
      <c r="AM83" s="2266">
        <f t="shared" ref="AM83" si="536">+AC83+AG83+AK83</f>
        <v>0</v>
      </c>
      <c r="AN83" s="184">
        <f t="shared" ref="AN83" si="537">+AD83+AH83+AL83</f>
        <v>36322.400000000001</v>
      </c>
      <c r="AO83" s="1077">
        <f t="shared" ref="AO83" si="538">+AI83+AK83</f>
        <v>0</v>
      </c>
      <c r="AP83" s="1325">
        <f t="shared" ref="AP83" si="539">+AJ83+AL83</f>
        <v>66292</v>
      </c>
      <c r="AQ83" s="2014">
        <v>0</v>
      </c>
      <c r="AR83" s="248">
        <v>12210</v>
      </c>
      <c r="AS83" s="1595">
        <f t="shared" si="520"/>
        <v>0</v>
      </c>
      <c r="AT83" s="1595">
        <f t="shared" si="521"/>
        <v>78502</v>
      </c>
      <c r="AU83" s="555">
        <v>0</v>
      </c>
      <c r="AV83" s="93">
        <v>0</v>
      </c>
      <c r="AW83" s="3504">
        <f t="shared" si="522"/>
        <v>0</v>
      </c>
      <c r="AX83" s="144">
        <f t="shared" si="523"/>
        <v>78502</v>
      </c>
      <c r="AY83" s="555">
        <v>0</v>
      </c>
      <c r="AZ83" s="93">
        <v>6316</v>
      </c>
      <c r="BA83" s="2266">
        <f t="shared" si="524"/>
        <v>0</v>
      </c>
      <c r="BB83" s="184">
        <f t="shared" si="525"/>
        <v>18526</v>
      </c>
      <c r="BC83" s="1139">
        <f t="shared" si="526"/>
        <v>0</v>
      </c>
      <c r="BD83" s="1118">
        <f t="shared" si="526"/>
        <v>54848.4</v>
      </c>
      <c r="BE83" s="3504">
        <f t="shared" si="527"/>
        <v>0</v>
      </c>
      <c r="BF83" s="144">
        <f t="shared" si="528"/>
        <v>84818</v>
      </c>
    </row>
    <row r="84" spans="1:58" ht="16.5" thickBot="1" x14ac:dyDescent="0.3">
      <c r="B84" s="32" t="s">
        <v>14</v>
      </c>
      <c r="C84" s="2325" t="s">
        <v>53</v>
      </c>
      <c r="D84" s="4046">
        <f>SUM(D80:D83)</f>
        <v>839513.4388807069</v>
      </c>
      <c r="E84" s="4046">
        <f>SUM(E80:E83)</f>
        <v>69002</v>
      </c>
      <c r="F84" s="4046">
        <f t="shared" ref="F84:V84" si="540">SUM(F80:F83)</f>
        <v>63178.299999999996</v>
      </c>
      <c r="G84" s="4046">
        <f t="shared" si="540"/>
        <v>71301.141399999993</v>
      </c>
      <c r="H84" s="4046">
        <f t="shared" si="540"/>
        <v>66394.3</v>
      </c>
      <c r="I84" s="2321">
        <f t="shared" si="540"/>
        <v>140303.14139999999</v>
      </c>
      <c r="J84" s="2321">
        <f t="shared" si="540"/>
        <v>129572.6</v>
      </c>
      <c r="K84" s="2321">
        <f t="shared" si="540"/>
        <v>69002</v>
      </c>
      <c r="L84" s="2321">
        <f t="shared" si="540"/>
        <v>65804</v>
      </c>
      <c r="M84" s="2321">
        <f t="shared" si="540"/>
        <v>209305.14139999999</v>
      </c>
      <c r="N84" s="2321">
        <f t="shared" si="540"/>
        <v>195376.59999999998</v>
      </c>
      <c r="O84" s="2321">
        <f t="shared" si="540"/>
        <v>71301.141384388815</v>
      </c>
      <c r="P84" s="2321">
        <f t="shared" si="540"/>
        <v>67256.899999999994</v>
      </c>
      <c r="Q84" s="2321">
        <f>SUM(Q80:Q83)</f>
        <v>280606.28278438881</v>
      </c>
      <c r="R84" s="2321">
        <f>SUM(R80:R83)</f>
        <v>262633.5</v>
      </c>
      <c r="S84" s="2321">
        <f t="shared" si="540"/>
        <v>71301.141384388815</v>
      </c>
      <c r="T84" s="2321">
        <f t="shared" si="540"/>
        <v>70495.199999999997</v>
      </c>
      <c r="U84" s="2321">
        <f t="shared" si="540"/>
        <v>351907.42416877765</v>
      </c>
      <c r="V84" s="2321">
        <f t="shared" si="540"/>
        <v>333128.7</v>
      </c>
      <c r="W84" s="2321">
        <f t="shared" ref="W84:AF84" si="541">SUM(W80:W83)</f>
        <v>69001.104565537549</v>
      </c>
      <c r="X84" s="2321">
        <f t="shared" si="541"/>
        <v>70751.399999999994</v>
      </c>
      <c r="Y84" s="2321">
        <f t="shared" si="541"/>
        <v>211603.38733431516</v>
      </c>
      <c r="Z84" s="2321">
        <f t="shared" si="541"/>
        <v>208503.5</v>
      </c>
      <c r="AA84" s="2321">
        <f t="shared" si="541"/>
        <v>420908.52873431519</v>
      </c>
      <c r="AB84" s="2321">
        <f t="shared" si="541"/>
        <v>403880.10000000003</v>
      </c>
      <c r="AC84" s="2321">
        <f t="shared" si="541"/>
        <v>71301.141384388815</v>
      </c>
      <c r="AD84" s="2321">
        <f t="shared" si="541"/>
        <v>72990.799999999988</v>
      </c>
      <c r="AE84" s="2321">
        <f t="shared" si="541"/>
        <v>492209.67011870403</v>
      </c>
      <c r="AF84" s="2321">
        <f t="shared" si="541"/>
        <v>476870.90000000008</v>
      </c>
      <c r="AG84" s="2321">
        <f t="shared" ref="AG84:AP84" si="542">SUM(AG80:AG83)</f>
        <v>69001.104565537549</v>
      </c>
      <c r="AH84" s="2321">
        <f t="shared" si="542"/>
        <v>72074.5</v>
      </c>
      <c r="AI84" s="2321">
        <f t="shared" si="542"/>
        <v>561210.77468424162</v>
      </c>
      <c r="AJ84" s="2321">
        <f t="shared" si="542"/>
        <v>548945.40000000014</v>
      </c>
      <c r="AK84" s="2321">
        <f t="shared" si="542"/>
        <v>71301.141384388815</v>
      </c>
      <c r="AL84" s="2321">
        <f t="shared" si="542"/>
        <v>71220</v>
      </c>
      <c r="AM84" s="2321">
        <f t="shared" si="542"/>
        <v>211603.38733431516</v>
      </c>
      <c r="AN84" s="2321">
        <f t="shared" si="542"/>
        <v>216285.3</v>
      </c>
      <c r="AO84" s="2321">
        <f t="shared" si="542"/>
        <v>632511.91606863041</v>
      </c>
      <c r="AP84" s="2321">
        <f t="shared" si="542"/>
        <v>620165.4</v>
      </c>
      <c r="AQ84" s="4046">
        <f t="shared" ref="AQ84:AT84" si="543">SUM(AQ80:AQ83)</f>
        <v>71301.141384388815</v>
      </c>
      <c r="AR84" s="4046">
        <f t="shared" si="543"/>
        <v>71219</v>
      </c>
      <c r="AS84" s="4046">
        <f t="shared" si="543"/>
        <v>703813.05745301931</v>
      </c>
      <c r="AT84" s="4046">
        <f t="shared" si="543"/>
        <v>691384.4</v>
      </c>
      <c r="AU84" s="4046">
        <f t="shared" ref="AU84:AX84" si="544">SUM(AU80:AU83)</f>
        <v>64401.030927835047</v>
      </c>
      <c r="AV84" s="4046">
        <f t="shared" si="544"/>
        <v>69507.077000000005</v>
      </c>
      <c r="AW84" s="2321">
        <f t="shared" si="544"/>
        <v>768214.08838085434</v>
      </c>
      <c r="AX84" s="2321">
        <f t="shared" si="544"/>
        <v>760891.47700000007</v>
      </c>
      <c r="AY84" s="4046">
        <f t="shared" ref="AY84:BF84" si="545">SUM(AY80:AY83)</f>
        <v>71301.141384388815</v>
      </c>
      <c r="AZ84" s="4046">
        <f t="shared" si="545"/>
        <v>72293</v>
      </c>
      <c r="BA84" s="2321">
        <f t="shared" si="545"/>
        <v>207003.31369661266</v>
      </c>
      <c r="BB84" s="2321">
        <f t="shared" si="545"/>
        <v>213019.07699999999</v>
      </c>
      <c r="BC84" s="2321">
        <f t="shared" ref="BC84:BD84" si="546">SUM(BC80:BC83)</f>
        <v>418606.70103092783</v>
      </c>
      <c r="BD84" s="2321">
        <f t="shared" si="546"/>
        <v>429304.37699999998</v>
      </c>
      <c r="BE84" s="2321">
        <f t="shared" si="545"/>
        <v>839515.22976524301</v>
      </c>
      <c r="BF84" s="2321">
        <f t="shared" si="545"/>
        <v>833184.47700000007</v>
      </c>
    </row>
    <row r="85" spans="1:58" x14ac:dyDescent="0.25">
      <c r="B85" s="27" t="s">
        <v>720</v>
      </c>
      <c r="C85" s="2322" t="s">
        <v>53</v>
      </c>
      <c r="D85" s="3543">
        <v>309974.19281749177</v>
      </c>
      <c r="E85" s="3543">
        <v>25477</v>
      </c>
      <c r="F85" s="3543">
        <v>20456.900000000001</v>
      </c>
      <c r="G85" s="3543">
        <v>26326.5753</v>
      </c>
      <c r="H85" s="57">
        <v>24050.5</v>
      </c>
      <c r="I85" s="3497">
        <f t="shared" ref="I85:I86" si="547">+E85+G85</f>
        <v>51803.575299999997</v>
      </c>
      <c r="J85" s="144">
        <f t="shared" ref="J85:J86" si="548">+F85+H85</f>
        <v>44507.4</v>
      </c>
      <c r="K85" s="3551">
        <v>25477</v>
      </c>
      <c r="L85" s="57">
        <v>23748</v>
      </c>
      <c r="M85" s="3494">
        <f t="shared" ref="M85:M86" si="549">+I85+K85</f>
        <v>77280.575299999997</v>
      </c>
      <c r="N85" s="184">
        <f t="shared" ref="N85:N86" si="550">+J85+L85</f>
        <v>68255.399999999994</v>
      </c>
      <c r="O85" s="3551">
        <v>26326.575280389708</v>
      </c>
      <c r="P85" s="57">
        <v>24305.599999999999</v>
      </c>
      <c r="Q85" s="3497">
        <f t="shared" ref="Q85:Q86" si="551">+M85+O85</f>
        <v>103607.1505803897</v>
      </c>
      <c r="R85" s="144">
        <f t="shared" ref="R85:R86" si="552">+N85+P85</f>
        <v>92561</v>
      </c>
      <c r="S85" s="3551">
        <v>26326.575280389708</v>
      </c>
      <c r="T85" s="57">
        <v>24554.9</v>
      </c>
      <c r="U85" s="3497">
        <f t="shared" ref="U85:U86" si="553">+Q85+S85</f>
        <v>129933.72586077941</v>
      </c>
      <c r="V85" s="144">
        <f t="shared" ref="V85:V86" si="554">+R85+T85</f>
        <v>117115.9</v>
      </c>
      <c r="W85" s="3551">
        <v>25477.330916506176</v>
      </c>
      <c r="X85" s="57">
        <v>23129.3</v>
      </c>
      <c r="Y85" s="2266">
        <f t="shared" ref="Y85:Y86" si="555">+O85+S85+W85</f>
        <v>78130.48147728559</v>
      </c>
      <c r="Z85" s="184">
        <f t="shared" ref="Z85:Z86" si="556">+P85+T85+X85</f>
        <v>71989.8</v>
      </c>
      <c r="AA85" s="1134">
        <f>+U85+W85</f>
        <v>155411.05677728559</v>
      </c>
      <c r="AB85" s="1118">
        <f>+V85+X85</f>
        <v>140245.19999999998</v>
      </c>
      <c r="AC85" s="3551">
        <v>26326.575280389708</v>
      </c>
      <c r="AD85" s="57">
        <v>25358.6</v>
      </c>
      <c r="AE85" s="3497">
        <f t="shared" ref="AE85:AE86" si="557">+AA85+AC85</f>
        <v>181737.63205767531</v>
      </c>
      <c r="AF85" s="144">
        <f t="shared" ref="AF85:AF86" si="558">+AB85+AD85</f>
        <v>165603.79999999999</v>
      </c>
      <c r="AG85" s="3551">
        <v>25477.330916506176</v>
      </c>
      <c r="AH85" s="57">
        <v>23186.5</v>
      </c>
      <c r="AI85" s="3497">
        <f t="shared" ref="AI85:AI86" si="559">+AE85+AG85</f>
        <v>207214.96297418149</v>
      </c>
      <c r="AJ85" s="144">
        <f t="shared" ref="AJ85:AJ86" si="560">+AF85+AH85</f>
        <v>188790.3</v>
      </c>
      <c r="AK85" s="3551">
        <v>26326.575280389708</v>
      </c>
      <c r="AL85" s="57">
        <v>20940</v>
      </c>
      <c r="AM85" s="2266">
        <f t="shared" ref="AM85:AM86" si="561">+AC85+AG85+AK85</f>
        <v>78130.48147728559</v>
      </c>
      <c r="AN85" s="184">
        <f t="shared" ref="AN85:AN86" si="562">+AD85+AH85+AL85</f>
        <v>69485.100000000006</v>
      </c>
      <c r="AO85" s="3547">
        <f>+AI85+AK85</f>
        <v>233541.53825457121</v>
      </c>
      <c r="AP85" s="96">
        <f>+AJ85+AL85</f>
        <v>209730.3</v>
      </c>
      <c r="AQ85" s="3873">
        <v>26326.575280389708</v>
      </c>
      <c r="AR85" s="57">
        <v>19162</v>
      </c>
      <c r="AS85" s="3497">
        <f t="shared" ref="AS85:AS86" si="563">+AO85+AQ85</f>
        <v>259868.11353496092</v>
      </c>
      <c r="AT85" s="144">
        <f t="shared" ref="AT85:AT86" si="564">+AP85+AR85</f>
        <v>228892.3</v>
      </c>
      <c r="AU85" s="3990">
        <v>23778.842188739098</v>
      </c>
      <c r="AV85" s="57">
        <v>6305.84</v>
      </c>
      <c r="AW85" s="3497">
        <f t="shared" ref="AW85:AW86" si="565">+AS85+AU85</f>
        <v>283646.9557237</v>
      </c>
      <c r="AX85" s="144">
        <f t="shared" ref="AX85:AX86" si="566">+AT85+AV85</f>
        <v>235198.13999999998</v>
      </c>
      <c r="AY85" s="4224">
        <v>26326.575280389708</v>
      </c>
      <c r="AZ85" s="57">
        <v>17656</v>
      </c>
      <c r="BA85" s="2266">
        <f t="shared" ref="BA85:BA86" si="567">+AQ85+AU85+AY85</f>
        <v>76431.992749518511</v>
      </c>
      <c r="BB85" s="184">
        <f t="shared" ref="BB85:BB86" si="568">+AR85+AV85+AZ85</f>
        <v>43123.839999999997</v>
      </c>
      <c r="BC85" s="4227">
        <f>+AM85+BA85</f>
        <v>154562.4742268041</v>
      </c>
      <c r="BD85" s="1118">
        <f>+AN85+BB85</f>
        <v>112608.94</v>
      </c>
      <c r="BE85" s="3497">
        <f t="shared" ref="BE85:BE86" si="569">+AW85+AY85</f>
        <v>309973.53100408969</v>
      </c>
      <c r="BF85" s="144">
        <f t="shared" ref="BF85:BF86" si="570">+AX85+AZ85</f>
        <v>252854.13999999998</v>
      </c>
    </row>
    <row r="86" spans="1:58" ht="15.75" thickBot="1" x14ac:dyDescent="0.3">
      <c r="B86" s="2319" t="s">
        <v>710</v>
      </c>
      <c r="C86" s="2334" t="s">
        <v>53</v>
      </c>
      <c r="D86" s="3542">
        <v>77493.548204372943</v>
      </c>
      <c r="E86" s="3542">
        <v>6369</v>
      </c>
      <c r="F86" s="3543">
        <v>6639</v>
      </c>
      <c r="G86" s="3542">
        <v>6581.6437999999998</v>
      </c>
      <c r="H86" s="57">
        <v>5073</v>
      </c>
      <c r="I86" s="3497">
        <f t="shared" si="547"/>
        <v>12950.6438</v>
      </c>
      <c r="J86" s="144">
        <f t="shared" si="548"/>
        <v>11712</v>
      </c>
      <c r="K86" s="3551">
        <v>6369</v>
      </c>
      <c r="L86" s="57">
        <v>4948</v>
      </c>
      <c r="M86" s="3494">
        <f t="shared" si="549"/>
        <v>19319.643799999998</v>
      </c>
      <c r="N86" s="184">
        <f t="shared" si="550"/>
        <v>16660</v>
      </c>
      <c r="O86" s="3551">
        <v>6581.6438200974271</v>
      </c>
      <c r="P86" s="57">
        <v>4994.3</v>
      </c>
      <c r="Q86" s="3497">
        <f t="shared" si="551"/>
        <v>25901.287620097424</v>
      </c>
      <c r="R86" s="144">
        <f t="shared" si="552"/>
        <v>21654.3</v>
      </c>
      <c r="S86" s="3551">
        <v>6581.6438200974271</v>
      </c>
      <c r="T86" s="57">
        <v>5503.2</v>
      </c>
      <c r="U86" s="3497">
        <f t="shared" si="553"/>
        <v>32482.93144019485</v>
      </c>
      <c r="V86" s="144">
        <f t="shared" si="554"/>
        <v>27157.5</v>
      </c>
      <c r="W86" s="3551">
        <v>6369.3327291265441</v>
      </c>
      <c r="X86" s="57">
        <v>2884.6</v>
      </c>
      <c r="Y86" s="2335">
        <f t="shared" si="555"/>
        <v>19532.620369321397</v>
      </c>
      <c r="Z86" s="184">
        <f t="shared" si="556"/>
        <v>13382.1</v>
      </c>
      <c r="AA86" s="1134">
        <f>+U86+W86</f>
        <v>38852.264169321395</v>
      </c>
      <c r="AB86" s="1118">
        <f>+V86+X86</f>
        <v>30042.1</v>
      </c>
      <c r="AC86" s="3551">
        <v>6581.6438200974271</v>
      </c>
      <c r="AD86" s="57">
        <v>0</v>
      </c>
      <c r="AE86" s="3497">
        <f t="shared" si="557"/>
        <v>45433.907989418825</v>
      </c>
      <c r="AF86" s="144">
        <f t="shared" si="558"/>
        <v>30042.1</v>
      </c>
      <c r="AG86" s="3551">
        <v>6369.3327291265441</v>
      </c>
      <c r="AH86" s="57">
        <v>5077.5</v>
      </c>
      <c r="AI86" s="3497">
        <f t="shared" si="559"/>
        <v>51803.24071854537</v>
      </c>
      <c r="AJ86" s="144">
        <f t="shared" si="560"/>
        <v>35119.599999999999</v>
      </c>
      <c r="AK86" s="3551">
        <v>6581.6438200974271</v>
      </c>
      <c r="AL86" s="57">
        <v>8460</v>
      </c>
      <c r="AM86" s="2335">
        <f t="shared" si="561"/>
        <v>19532.620369321397</v>
      </c>
      <c r="AN86" s="184">
        <f t="shared" si="562"/>
        <v>13537.5</v>
      </c>
      <c r="AO86" s="3547">
        <f>+AI86+AK86</f>
        <v>58384.8845386428</v>
      </c>
      <c r="AP86" s="96">
        <f>+AJ86+AL86</f>
        <v>43579.6</v>
      </c>
      <c r="AQ86" s="3873">
        <v>6581.6438200974271</v>
      </c>
      <c r="AR86" s="57">
        <v>8659</v>
      </c>
      <c r="AS86" s="3497">
        <f t="shared" si="563"/>
        <v>64966.52835874023</v>
      </c>
      <c r="AT86" s="144">
        <f t="shared" si="564"/>
        <v>52238.6</v>
      </c>
      <c r="AU86" s="3990">
        <v>5944.7105471847744</v>
      </c>
      <c r="AV86" s="57">
        <v>13505.48</v>
      </c>
      <c r="AW86" s="3497">
        <f t="shared" si="565"/>
        <v>70911.238905924998</v>
      </c>
      <c r="AX86" s="144">
        <f t="shared" si="566"/>
        <v>65744.08</v>
      </c>
      <c r="AY86" s="4224">
        <v>6581.6438200974271</v>
      </c>
      <c r="AZ86" s="57">
        <v>9119</v>
      </c>
      <c r="BA86" s="2335">
        <f t="shared" si="567"/>
        <v>19107.998187379628</v>
      </c>
      <c r="BB86" s="184">
        <f t="shared" si="568"/>
        <v>31283.48</v>
      </c>
      <c r="BC86" s="4227">
        <f>+AM86+BA86</f>
        <v>38640.618556701025</v>
      </c>
      <c r="BD86" s="1118">
        <f>+AN86+BB86</f>
        <v>44820.979999999996</v>
      </c>
      <c r="BE86" s="3497">
        <f t="shared" si="569"/>
        <v>77492.882726022421</v>
      </c>
      <c r="BF86" s="144">
        <f t="shared" si="570"/>
        <v>74863.08</v>
      </c>
    </row>
    <row r="87" spans="1:58" ht="16.5" thickBot="1" x14ac:dyDescent="0.3">
      <c r="B87" s="32" t="s">
        <v>152</v>
      </c>
      <c r="C87" s="2325" t="s">
        <v>53</v>
      </c>
      <c r="D87" s="2321">
        <f>SUM(D85:D86)</f>
        <v>387467.7410218647</v>
      </c>
      <c r="E87" s="2321">
        <f>SUM(E85:E86)</f>
        <v>31846</v>
      </c>
      <c r="F87" s="2321">
        <f t="shared" ref="F87:V87" si="571">SUM(F85:F86)</f>
        <v>27095.9</v>
      </c>
      <c r="G87" s="2321">
        <f t="shared" si="571"/>
        <v>32908.219100000002</v>
      </c>
      <c r="H87" s="2321">
        <f t="shared" si="571"/>
        <v>29123.5</v>
      </c>
      <c r="I87" s="2321">
        <f t="shared" si="571"/>
        <v>64754.219099999995</v>
      </c>
      <c r="J87" s="2321">
        <f t="shared" si="571"/>
        <v>56219.4</v>
      </c>
      <c r="K87" s="2321">
        <f t="shared" si="571"/>
        <v>31846</v>
      </c>
      <c r="L87" s="2321">
        <f t="shared" si="571"/>
        <v>28696</v>
      </c>
      <c r="M87" s="2321">
        <f t="shared" si="571"/>
        <v>96600.219099999988</v>
      </c>
      <c r="N87" s="2321">
        <f t="shared" si="571"/>
        <v>84915.4</v>
      </c>
      <c r="O87" s="2321">
        <f t="shared" si="571"/>
        <v>32908.219100487135</v>
      </c>
      <c r="P87" s="2321">
        <f t="shared" si="571"/>
        <v>29299.899999999998</v>
      </c>
      <c r="Q87" s="2321">
        <f t="shared" si="571"/>
        <v>129508.43820048713</v>
      </c>
      <c r="R87" s="2321">
        <f t="shared" si="571"/>
        <v>114215.3</v>
      </c>
      <c r="S87" s="2321">
        <f t="shared" si="571"/>
        <v>32908.219100487135</v>
      </c>
      <c r="T87" s="2321">
        <f t="shared" si="571"/>
        <v>30058.100000000002</v>
      </c>
      <c r="U87" s="2321">
        <f t="shared" si="571"/>
        <v>162416.65730097424</v>
      </c>
      <c r="V87" s="2321">
        <f t="shared" si="571"/>
        <v>144273.4</v>
      </c>
      <c r="W87" s="2321">
        <f t="shared" ref="W87:X87" si="572">SUM(W85:W86)</f>
        <v>31846.663645632721</v>
      </c>
      <c r="X87" s="2321">
        <f t="shared" si="572"/>
        <v>26013.899999999998</v>
      </c>
      <c r="Y87" s="2321">
        <f t="shared" ref="Y87:AF87" si="573">SUM(Y85:Y86)</f>
        <v>97663.101846606995</v>
      </c>
      <c r="Z87" s="2321">
        <f t="shared" si="573"/>
        <v>85371.900000000009</v>
      </c>
      <c r="AA87" s="2321">
        <f t="shared" si="573"/>
        <v>194263.32094660698</v>
      </c>
      <c r="AB87" s="2321">
        <f t="shared" si="573"/>
        <v>170287.3</v>
      </c>
      <c r="AC87" s="2321">
        <f t="shared" si="573"/>
        <v>32908.219100487135</v>
      </c>
      <c r="AD87" s="2321">
        <f t="shared" si="573"/>
        <v>25358.6</v>
      </c>
      <c r="AE87" s="2321">
        <f t="shared" si="573"/>
        <v>227171.54004709414</v>
      </c>
      <c r="AF87" s="2321">
        <f t="shared" si="573"/>
        <v>195645.9</v>
      </c>
      <c r="AG87" s="2321">
        <f t="shared" ref="AG87:AH87" si="574">SUM(AG85:AG86)</f>
        <v>31846.663645632721</v>
      </c>
      <c r="AH87" s="2321">
        <f t="shared" si="574"/>
        <v>28264</v>
      </c>
      <c r="AI87" s="2321">
        <f t="shared" ref="AI87:AP87" si="575">SUM(AI85:AI86)</f>
        <v>259018.20369272685</v>
      </c>
      <c r="AJ87" s="2321">
        <f t="shared" si="575"/>
        <v>223909.9</v>
      </c>
      <c r="AK87" s="2321">
        <f t="shared" si="575"/>
        <v>32908.219100487135</v>
      </c>
      <c r="AL87" s="2321">
        <f t="shared" si="575"/>
        <v>29400</v>
      </c>
      <c r="AM87" s="2321">
        <f t="shared" si="575"/>
        <v>97663.101846606995</v>
      </c>
      <c r="AN87" s="2321">
        <f t="shared" si="575"/>
        <v>83022.600000000006</v>
      </c>
      <c r="AO87" s="2321">
        <f t="shared" si="575"/>
        <v>291926.42279321398</v>
      </c>
      <c r="AP87" s="2321">
        <f t="shared" si="575"/>
        <v>253309.9</v>
      </c>
      <c r="AQ87" s="2321">
        <f t="shared" ref="AQ87:AT87" si="576">SUM(AQ85:AQ86)</f>
        <v>32908.219100487135</v>
      </c>
      <c r="AR87" s="2321">
        <f t="shared" si="576"/>
        <v>27821</v>
      </c>
      <c r="AS87" s="2321">
        <f t="shared" si="576"/>
        <v>324834.64189370116</v>
      </c>
      <c r="AT87" s="2321">
        <f t="shared" si="576"/>
        <v>281130.89999999997</v>
      </c>
      <c r="AU87" s="2321">
        <f t="shared" ref="AU87:AX87" si="577">SUM(AU85:AU86)</f>
        <v>29723.552735923873</v>
      </c>
      <c r="AV87" s="2321">
        <f t="shared" si="577"/>
        <v>19811.32</v>
      </c>
      <c r="AW87" s="2321">
        <f t="shared" si="577"/>
        <v>354558.19462962501</v>
      </c>
      <c r="AX87" s="2321">
        <f t="shared" si="577"/>
        <v>300942.21999999997</v>
      </c>
      <c r="AY87" s="2321">
        <f t="shared" ref="AY87:BF87" si="578">SUM(AY85:AY86)</f>
        <v>32908.219100487135</v>
      </c>
      <c r="AZ87" s="2321">
        <f t="shared" si="578"/>
        <v>26775</v>
      </c>
      <c r="BA87" s="2321">
        <f t="shared" si="578"/>
        <v>95539.990936898132</v>
      </c>
      <c r="BB87" s="2321">
        <f t="shared" si="578"/>
        <v>74407.319999999992</v>
      </c>
      <c r="BC87" s="2321">
        <f t="shared" ref="BC87:BD87" si="579">SUM(BC85:BC86)</f>
        <v>193203.09278350513</v>
      </c>
      <c r="BD87" s="2321">
        <f t="shared" si="579"/>
        <v>157429.91999999998</v>
      </c>
      <c r="BE87" s="2321">
        <f t="shared" si="578"/>
        <v>387466.41373011214</v>
      </c>
      <c r="BF87" s="2321">
        <f t="shared" si="578"/>
        <v>327717.21999999997</v>
      </c>
    </row>
    <row r="88" spans="1:58" ht="16.5" thickBot="1" x14ac:dyDescent="0.3">
      <c r="B88" s="32" t="s">
        <v>13</v>
      </c>
      <c r="C88" s="2325" t="s">
        <v>53</v>
      </c>
      <c r="D88" s="52">
        <f>+D84+D87</f>
        <v>1226981.1799025717</v>
      </c>
      <c r="E88" s="52">
        <f>+E84+E87</f>
        <v>100848</v>
      </c>
      <c r="F88" s="52">
        <f t="shared" ref="F88:V88" si="580">+F84+F87</f>
        <v>90274.2</v>
      </c>
      <c r="G88" s="52">
        <f t="shared" si="580"/>
        <v>104209.3605</v>
      </c>
      <c r="H88" s="52">
        <f t="shared" si="580"/>
        <v>95517.8</v>
      </c>
      <c r="I88" s="52">
        <f t="shared" si="580"/>
        <v>205057.36049999998</v>
      </c>
      <c r="J88" s="52">
        <f t="shared" si="580"/>
        <v>185792</v>
      </c>
      <c r="K88" s="52">
        <f t="shared" si="580"/>
        <v>100848</v>
      </c>
      <c r="L88" s="52">
        <f t="shared" si="580"/>
        <v>94500</v>
      </c>
      <c r="M88" s="52">
        <f t="shared" si="580"/>
        <v>305905.36049999995</v>
      </c>
      <c r="N88" s="52">
        <f t="shared" si="580"/>
        <v>280292</v>
      </c>
      <c r="O88" s="52">
        <f t="shared" si="580"/>
        <v>104209.36048487594</v>
      </c>
      <c r="P88" s="52">
        <f t="shared" si="580"/>
        <v>96556.799999999988</v>
      </c>
      <c r="Q88" s="52">
        <f t="shared" si="580"/>
        <v>410114.72098487592</v>
      </c>
      <c r="R88" s="52">
        <f t="shared" si="580"/>
        <v>376848.8</v>
      </c>
      <c r="S88" s="52">
        <f t="shared" si="580"/>
        <v>104209.36048487594</v>
      </c>
      <c r="T88" s="52">
        <f t="shared" si="580"/>
        <v>100553.3</v>
      </c>
      <c r="U88" s="52">
        <f t="shared" si="580"/>
        <v>514324.08146975189</v>
      </c>
      <c r="V88" s="52">
        <f t="shared" si="580"/>
        <v>477402.1</v>
      </c>
      <c r="W88" s="52">
        <f t="shared" ref="W88:X88" si="581">+W84+W87</f>
        <v>100847.76821117027</v>
      </c>
      <c r="X88" s="52">
        <f t="shared" si="581"/>
        <v>96765.299999999988</v>
      </c>
      <c r="Y88" s="52">
        <f t="shared" ref="Y88:AF88" si="582">+Y84+Y87</f>
        <v>309266.48918092216</v>
      </c>
      <c r="Z88" s="52">
        <f t="shared" si="582"/>
        <v>293875.40000000002</v>
      </c>
      <c r="AA88" s="52">
        <f t="shared" si="582"/>
        <v>615171.84968092223</v>
      </c>
      <c r="AB88" s="52">
        <f t="shared" si="582"/>
        <v>574167.4</v>
      </c>
      <c r="AC88" s="52">
        <f t="shared" si="582"/>
        <v>104209.36048487594</v>
      </c>
      <c r="AD88" s="52">
        <f t="shared" si="582"/>
        <v>98349.4</v>
      </c>
      <c r="AE88" s="52">
        <f t="shared" si="582"/>
        <v>719381.2101657982</v>
      </c>
      <c r="AF88" s="52">
        <f t="shared" si="582"/>
        <v>672516.8</v>
      </c>
      <c r="AG88" s="52">
        <f t="shared" ref="AG88:AH88" si="583">+AG84+AG87</f>
        <v>100847.76821117027</v>
      </c>
      <c r="AH88" s="521">
        <f t="shared" si="583"/>
        <v>100338.5</v>
      </c>
      <c r="AI88" s="52">
        <f t="shared" ref="AI88:AP88" si="584">+AI84+AI87</f>
        <v>820228.97837696853</v>
      </c>
      <c r="AJ88" s="52">
        <f t="shared" si="584"/>
        <v>772855.30000000016</v>
      </c>
      <c r="AK88" s="52">
        <f t="shared" si="584"/>
        <v>104209.36048487594</v>
      </c>
      <c r="AL88" s="52">
        <f t="shared" si="584"/>
        <v>100620</v>
      </c>
      <c r="AM88" s="52">
        <f t="shared" si="584"/>
        <v>309266.48918092216</v>
      </c>
      <c r="AN88" s="52">
        <f t="shared" si="584"/>
        <v>299307.90000000002</v>
      </c>
      <c r="AO88" s="52">
        <f t="shared" si="584"/>
        <v>924438.33886184439</v>
      </c>
      <c r="AP88" s="52">
        <f t="shared" si="584"/>
        <v>873475.3</v>
      </c>
      <c r="AQ88" s="52">
        <f t="shared" ref="AQ88:AT88" si="585">+AQ84+AQ87</f>
        <v>104209.36048487594</v>
      </c>
      <c r="AR88" s="521">
        <f t="shared" si="585"/>
        <v>99040</v>
      </c>
      <c r="AS88" s="521">
        <f t="shared" si="585"/>
        <v>1028647.6993467205</v>
      </c>
      <c r="AT88" s="521">
        <f t="shared" si="585"/>
        <v>972515.3</v>
      </c>
      <c r="AU88" s="521">
        <f t="shared" ref="AU88:AX88" si="586">+AU84+AU87</f>
        <v>94124.583663758924</v>
      </c>
      <c r="AV88" s="52">
        <f t="shared" si="586"/>
        <v>89318.396999999997</v>
      </c>
      <c r="AW88" s="52">
        <f t="shared" si="586"/>
        <v>1122772.2830104793</v>
      </c>
      <c r="AX88" s="52">
        <f t="shared" si="586"/>
        <v>1061833.6970000002</v>
      </c>
      <c r="AY88" s="521">
        <f t="shared" ref="AY88:BF88" si="587">+AY84+AY87</f>
        <v>104209.36048487594</v>
      </c>
      <c r="AZ88" s="52">
        <f t="shared" si="587"/>
        <v>99068</v>
      </c>
      <c r="BA88" s="521">
        <f t="shared" si="587"/>
        <v>302543.30463351076</v>
      </c>
      <c r="BB88" s="52">
        <f t="shared" si="587"/>
        <v>287426.397</v>
      </c>
      <c r="BC88" s="52">
        <f t="shared" ref="BC88:BD88" si="588">+BC84+BC87</f>
        <v>611809.79381443292</v>
      </c>
      <c r="BD88" s="52">
        <f t="shared" si="588"/>
        <v>586734.29700000002</v>
      </c>
      <c r="BE88" s="52">
        <f t="shared" si="587"/>
        <v>1226981.6434953553</v>
      </c>
      <c r="BF88" s="52">
        <f t="shared" si="587"/>
        <v>1160901.6970000002</v>
      </c>
    </row>
    <row r="89" spans="1:58" s="1364" customFormat="1" x14ac:dyDescent="0.25">
      <c r="A89" s="332"/>
      <c r="B89" s="2336" t="s">
        <v>1223</v>
      </c>
      <c r="C89" s="2337" t="s">
        <v>53</v>
      </c>
      <c r="D89" s="5106">
        <v>64541</v>
      </c>
      <c r="E89" s="5106">
        <v>5305</v>
      </c>
      <c r="F89" s="3543">
        <v>5450.5</v>
      </c>
      <c r="G89" s="5088">
        <v>5481.5982000000004</v>
      </c>
      <c r="H89" s="54">
        <v>4678.8</v>
      </c>
      <c r="I89" s="5079">
        <f>+E89+G89</f>
        <v>10786.5982</v>
      </c>
      <c r="J89" s="144">
        <f t="shared" ref="J89:J91" si="589">+F89+H89</f>
        <v>10129.299999999999</v>
      </c>
      <c r="K89" s="5103">
        <v>5305</v>
      </c>
      <c r="L89" s="57">
        <v>4450</v>
      </c>
      <c r="M89" s="4839">
        <f>+K89+I89</f>
        <v>16091.5982</v>
      </c>
      <c r="N89" s="184">
        <f t="shared" ref="N89:N91" si="590">+J89+L89</f>
        <v>14579.3</v>
      </c>
      <c r="O89" s="5094">
        <v>5481.5981657608691</v>
      </c>
      <c r="P89" s="57">
        <v>585.9</v>
      </c>
      <c r="Q89" s="4838">
        <f>+M89+O89</f>
        <v>21573.196365760869</v>
      </c>
      <c r="R89" s="144">
        <f t="shared" ref="R89:R91" si="591">+N89+P89</f>
        <v>15165.199999999999</v>
      </c>
      <c r="S89" s="5094">
        <v>5482</v>
      </c>
      <c r="T89" s="57">
        <v>3719.4</v>
      </c>
      <c r="U89" s="4838">
        <f>+Q89+S89</f>
        <v>27055.196365760869</v>
      </c>
      <c r="V89" s="144">
        <f t="shared" ref="V89:V91" si="592">+R89+T89</f>
        <v>18884.599999999999</v>
      </c>
      <c r="W89" s="5094">
        <v>5305</v>
      </c>
      <c r="X89" s="57">
        <v>0</v>
      </c>
      <c r="Y89" s="5115">
        <f>+O89+S89+W89</f>
        <v>16268.598165760868</v>
      </c>
      <c r="Z89" s="184">
        <f t="shared" ref="Z89:Z90" si="593">+P89+T89+X89</f>
        <v>4305.3</v>
      </c>
      <c r="AA89" s="5118">
        <f>+Y89+M89</f>
        <v>32360.196365760869</v>
      </c>
      <c r="AB89" s="1118">
        <f t="shared" ref="AB89:AB90" si="594">+V89+X89</f>
        <v>18884.599999999999</v>
      </c>
      <c r="AC89" s="5094">
        <v>5482</v>
      </c>
      <c r="AD89" s="57">
        <v>0</v>
      </c>
      <c r="AE89" s="4838">
        <f>+AA89+AC89</f>
        <v>37842.196365760872</v>
      </c>
      <c r="AF89" s="144">
        <f t="shared" ref="AF89:AF91" si="595">+AB89+AD89</f>
        <v>18884.599999999999</v>
      </c>
      <c r="AG89" s="5094">
        <v>5305</v>
      </c>
      <c r="AH89" s="238">
        <v>0</v>
      </c>
      <c r="AI89" s="4838">
        <f>+AE89+AG89</f>
        <v>43147.196365760872</v>
      </c>
      <c r="AJ89" s="144">
        <f t="shared" ref="AJ89:AJ91" si="596">+AF89+AH89</f>
        <v>18884.599999999999</v>
      </c>
      <c r="AK89" s="5094">
        <v>5482</v>
      </c>
      <c r="AL89" s="57">
        <v>0</v>
      </c>
      <c r="AM89" s="5128">
        <f>+AC89+AG89+AK89</f>
        <v>16269</v>
      </c>
      <c r="AN89" s="3549">
        <f t="shared" ref="AN89:AN90" si="597">+AD89+AH89+AL89</f>
        <v>0</v>
      </c>
      <c r="AO89" s="5130">
        <f t="shared" ref="AO89" si="598">+AI89+AK89</f>
        <v>48629.196365760872</v>
      </c>
      <c r="AP89" s="3547">
        <f t="shared" ref="AP89:AP90" si="599">+AJ89+AL89</f>
        <v>18884.599999999999</v>
      </c>
      <c r="AQ89" s="5094">
        <v>5482</v>
      </c>
      <c r="AR89" s="3989">
        <v>0</v>
      </c>
      <c r="AS89" s="4838">
        <f>+AO89+AQ89</f>
        <v>54111.196365760872</v>
      </c>
      <c r="AT89" s="3991">
        <f t="shared" ref="AT89:AT91" si="600">+AP89+AR89</f>
        <v>18884.599999999999</v>
      </c>
      <c r="AU89" s="4835">
        <v>4951</v>
      </c>
      <c r="AV89" s="57">
        <v>0</v>
      </c>
      <c r="AW89" s="4838">
        <f>+AS89+AU89</f>
        <v>59062.196365760872</v>
      </c>
      <c r="AX89" s="144">
        <f t="shared" ref="AX89:AX91" si="601">+AT89+AV89</f>
        <v>18884.599999999999</v>
      </c>
      <c r="AY89" s="4835">
        <v>5482</v>
      </c>
      <c r="AZ89" s="57">
        <v>0</v>
      </c>
      <c r="BA89" s="4839">
        <f t="shared" ref="BA89" si="602">+AQ89+AU89+AY89</f>
        <v>15915</v>
      </c>
      <c r="BB89" s="4225">
        <f t="shared" ref="BB89:BB91" si="603">+AR89+AV89+AZ89</f>
        <v>0</v>
      </c>
      <c r="BC89" s="5121">
        <f>+AM89+BA89</f>
        <v>32184</v>
      </c>
      <c r="BD89" s="1118">
        <f>+AN89+BB89</f>
        <v>0</v>
      </c>
      <c r="BE89" s="4838">
        <f>+AW89+AY89</f>
        <v>64544.196365760872</v>
      </c>
      <c r="BF89" s="144">
        <f t="shared" ref="BF89:BF91" si="604">+AX89+AZ89</f>
        <v>18884.599999999999</v>
      </c>
    </row>
    <row r="90" spans="1:58" s="1364" customFormat="1" x14ac:dyDescent="0.25">
      <c r="A90" s="332"/>
      <c r="B90" s="28" t="s">
        <v>1295</v>
      </c>
      <c r="C90" s="2337" t="s">
        <v>53</v>
      </c>
      <c r="D90" s="5107"/>
      <c r="E90" s="5107"/>
      <c r="F90" s="3543"/>
      <c r="G90" s="5089"/>
      <c r="H90" s="54"/>
      <c r="I90" s="5080"/>
      <c r="J90" s="144">
        <f t="shared" si="589"/>
        <v>0</v>
      </c>
      <c r="K90" s="5104"/>
      <c r="L90" s="57"/>
      <c r="M90" s="4839"/>
      <c r="N90" s="184">
        <f t="shared" si="590"/>
        <v>0</v>
      </c>
      <c r="O90" s="5095"/>
      <c r="P90" s="57">
        <v>2742.4</v>
      </c>
      <c r="Q90" s="4838"/>
      <c r="R90" s="144">
        <f t="shared" si="591"/>
        <v>2742.4</v>
      </c>
      <c r="S90" s="5095"/>
      <c r="T90" s="57">
        <v>1021</v>
      </c>
      <c r="U90" s="4838"/>
      <c r="V90" s="144">
        <f t="shared" si="592"/>
        <v>3763.4</v>
      </c>
      <c r="W90" s="5095"/>
      <c r="X90" s="57">
        <v>5304.2</v>
      </c>
      <c r="Y90" s="5116"/>
      <c r="Z90" s="184">
        <f t="shared" si="593"/>
        <v>9067.6</v>
      </c>
      <c r="AA90" s="5119"/>
      <c r="AB90" s="1118">
        <f t="shared" si="594"/>
        <v>9067.6</v>
      </c>
      <c r="AC90" s="5095"/>
      <c r="AD90" s="57">
        <v>7880.6</v>
      </c>
      <c r="AE90" s="4838"/>
      <c r="AF90" s="144">
        <f t="shared" si="595"/>
        <v>16948.2</v>
      </c>
      <c r="AG90" s="5095"/>
      <c r="AH90" s="238">
        <v>2423.1</v>
      </c>
      <c r="AI90" s="4838"/>
      <c r="AJ90" s="144">
        <f t="shared" si="596"/>
        <v>19371.3</v>
      </c>
      <c r="AK90" s="5095"/>
      <c r="AL90" s="57">
        <v>5125</v>
      </c>
      <c r="AM90" s="5129"/>
      <c r="AN90" s="3549">
        <f t="shared" si="597"/>
        <v>15428.7</v>
      </c>
      <c r="AO90" s="5131"/>
      <c r="AP90" s="3547">
        <f t="shared" si="599"/>
        <v>24496.3</v>
      </c>
      <c r="AQ90" s="5095"/>
      <c r="AR90" s="3989">
        <v>0</v>
      </c>
      <c r="AS90" s="4838"/>
      <c r="AT90" s="3991">
        <f t="shared" si="600"/>
        <v>24496.3</v>
      </c>
      <c r="AU90" s="4835"/>
      <c r="AV90" s="57">
        <v>6649.076</v>
      </c>
      <c r="AW90" s="4838"/>
      <c r="AX90" s="144">
        <f t="shared" si="601"/>
        <v>31145.376</v>
      </c>
      <c r="AY90" s="4835"/>
      <c r="AZ90" s="57">
        <v>7198</v>
      </c>
      <c r="BA90" s="4839"/>
      <c r="BB90" s="4225">
        <f t="shared" si="603"/>
        <v>13847.076000000001</v>
      </c>
      <c r="BC90" s="5122"/>
      <c r="BD90" s="1118">
        <f>+AN90+BB90</f>
        <v>29275.776000000002</v>
      </c>
      <c r="BE90" s="4838"/>
      <c r="BF90" s="144">
        <f t="shared" si="604"/>
        <v>38343.376000000004</v>
      </c>
    </row>
    <row r="91" spans="1:58" ht="15.75" thickBot="1" x14ac:dyDescent="0.3">
      <c r="B91" s="28" t="s">
        <v>1791</v>
      </c>
      <c r="C91" s="2337" t="s">
        <v>53</v>
      </c>
      <c r="D91" s="5108"/>
      <c r="E91" s="5108"/>
      <c r="F91" s="3543"/>
      <c r="G91" s="5090"/>
      <c r="H91" s="54">
        <v>0</v>
      </c>
      <c r="I91" s="5081"/>
      <c r="J91" s="144">
        <f t="shared" si="589"/>
        <v>0</v>
      </c>
      <c r="K91" s="5109"/>
      <c r="L91" s="57"/>
      <c r="M91" s="4839"/>
      <c r="N91" s="184">
        <f t="shared" si="590"/>
        <v>0</v>
      </c>
      <c r="O91" s="5096"/>
      <c r="P91" s="57">
        <v>0</v>
      </c>
      <c r="Q91" s="4838"/>
      <c r="R91" s="144">
        <f t="shared" si="591"/>
        <v>0</v>
      </c>
      <c r="S91" s="5096"/>
      <c r="T91" s="57">
        <v>0</v>
      </c>
      <c r="U91" s="4838"/>
      <c r="V91" s="144">
        <f t="shared" si="592"/>
        <v>0</v>
      </c>
      <c r="W91" s="5096"/>
      <c r="X91" s="57">
        <v>0</v>
      </c>
      <c r="Y91" s="5117"/>
      <c r="Z91" s="184">
        <f t="shared" ref="Z91" si="605">+P91+T91+X91</f>
        <v>0</v>
      </c>
      <c r="AA91" s="5127"/>
      <c r="AB91" s="1149">
        <f t="shared" ref="AB91" si="606">+V91+X91</f>
        <v>0</v>
      </c>
      <c r="AC91" s="5096"/>
      <c r="AD91" s="57">
        <v>0</v>
      </c>
      <c r="AE91" s="4838"/>
      <c r="AF91" s="144">
        <f t="shared" si="595"/>
        <v>0</v>
      </c>
      <c r="AG91" s="5096"/>
      <c r="AH91" s="238">
        <v>0</v>
      </c>
      <c r="AI91" s="4838"/>
      <c r="AJ91" s="144">
        <f t="shared" si="596"/>
        <v>0</v>
      </c>
      <c r="AK91" s="5096"/>
      <c r="AL91" s="57">
        <v>0</v>
      </c>
      <c r="AM91" s="5132"/>
      <c r="AN91" s="184">
        <f t="shared" ref="AN91" si="607">+AD91+AH91+AL91</f>
        <v>0</v>
      </c>
      <c r="AO91" s="5133"/>
      <c r="AP91" s="144">
        <f t="shared" ref="AP91" si="608">+AJ91+AL91</f>
        <v>0</v>
      </c>
      <c r="AQ91" s="5096"/>
      <c r="AR91" s="3989">
        <v>7052</v>
      </c>
      <c r="AS91" s="4838"/>
      <c r="AT91" s="3991">
        <f t="shared" si="600"/>
        <v>7052</v>
      </c>
      <c r="AU91" s="4835"/>
      <c r="AV91" s="57">
        <v>0</v>
      </c>
      <c r="AW91" s="4838"/>
      <c r="AX91" s="144">
        <f t="shared" si="601"/>
        <v>7052</v>
      </c>
      <c r="AY91" s="4835"/>
      <c r="AZ91" s="57">
        <v>0</v>
      </c>
      <c r="BA91" s="4839"/>
      <c r="BB91" s="184">
        <f t="shared" si="603"/>
        <v>7052</v>
      </c>
      <c r="BC91" s="5123"/>
      <c r="BD91" s="1149">
        <f>+AN91+BB91</f>
        <v>7052</v>
      </c>
      <c r="BE91" s="4838"/>
      <c r="BF91" s="144">
        <f t="shared" si="604"/>
        <v>7052</v>
      </c>
    </row>
    <row r="92" spans="1:58" ht="16.5" thickBot="1" x14ac:dyDescent="0.3">
      <c r="B92" s="32" t="s">
        <v>12</v>
      </c>
      <c r="C92" s="2320" t="s">
        <v>53</v>
      </c>
      <c r="D92" s="1373">
        <f>SUM(D88:D91)</f>
        <v>1291522.1799025717</v>
      </c>
      <c r="E92" s="1373">
        <f>SUM(E88:E91)</f>
        <v>106153</v>
      </c>
      <c r="F92" s="1373">
        <f t="shared" ref="F92:V92" si="609">SUM(F88:F91)</f>
        <v>95724.7</v>
      </c>
      <c r="G92" s="1373">
        <f t="shared" si="609"/>
        <v>109690.95869999999</v>
      </c>
      <c r="H92" s="1373">
        <f t="shared" si="609"/>
        <v>100196.6</v>
      </c>
      <c r="I92" s="1373">
        <f t="shared" si="609"/>
        <v>215843.95869999999</v>
      </c>
      <c r="J92" s="1373">
        <f t="shared" si="609"/>
        <v>195921.3</v>
      </c>
      <c r="K92" s="1373">
        <f t="shared" si="609"/>
        <v>106153</v>
      </c>
      <c r="L92" s="1373">
        <f t="shared" si="609"/>
        <v>98950</v>
      </c>
      <c r="M92" s="1373">
        <f t="shared" si="609"/>
        <v>321996.95869999996</v>
      </c>
      <c r="N92" s="1373">
        <f t="shared" si="609"/>
        <v>294871.3</v>
      </c>
      <c r="O92" s="1373">
        <f t="shared" si="609"/>
        <v>109690.95865063681</v>
      </c>
      <c r="P92" s="1373">
        <f t="shared" si="609"/>
        <v>99885.099999999977</v>
      </c>
      <c r="Q92" s="1373">
        <f t="shared" si="609"/>
        <v>431687.9173506368</v>
      </c>
      <c r="R92" s="1373">
        <f t="shared" si="609"/>
        <v>394756.4</v>
      </c>
      <c r="S92" s="1373">
        <f t="shared" si="609"/>
        <v>109691.36048487594</v>
      </c>
      <c r="T92" s="1373">
        <f t="shared" si="609"/>
        <v>105293.7</v>
      </c>
      <c r="U92" s="1373">
        <f t="shared" si="609"/>
        <v>541379.27783551277</v>
      </c>
      <c r="V92" s="1373">
        <f t="shared" si="609"/>
        <v>500050.1</v>
      </c>
      <c r="W92" s="1373">
        <f t="shared" ref="W92:AF92" si="610">SUM(W88:W91)</f>
        <v>106152.76821117027</v>
      </c>
      <c r="X92" s="1373">
        <f t="shared" si="610"/>
        <v>102069.49999999999</v>
      </c>
      <c r="Y92" s="1373">
        <f t="shared" si="610"/>
        <v>325535.08734668302</v>
      </c>
      <c r="Z92" s="1373">
        <f t="shared" si="610"/>
        <v>307248.3</v>
      </c>
      <c r="AA92" s="1373">
        <f t="shared" si="610"/>
        <v>647532.0460466831</v>
      </c>
      <c r="AB92" s="1373">
        <f t="shared" si="610"/>
        <v>602119.6</v>
      </c>
      <c r="AC92" s="1373">
        <f t="shared" si="610"/>
        <v>109691.36048487594</v>
      </c>
      <c r="AD92" s="1373">
        <f t="shared" si="610"/>
        <v>106230</v>
      </c>
      <c r="AE92" s="1373">
        <f t="shared" si="610"/>
        <v>757223.40653155907</v>
      </c>
      <c r="AF92" s="1373">
        <f t="shared" si="610"/>
        <v>708349.6</v>
      </c>
      <c r="AG92" s="1373">
        <f t="shared" ref="AG92:AP92" si="611">SUM(AG88:AG91)</f>
        <v>106152.76821117027</v>
      </c>
      <c r="AH92" s="3474">
        <f t="shared" si="611"/>
        <v>102761.60000000001</v>
      </c>
      <c r="AI92" s="3474">
        <f t="shared" si="611"/>
        <v>863376.1747427294</v>
      </c>
      <c r="AJ92" s="3474">
        <f t="shared" si="611"/>
        <v>811111.20000000019</v>
      </c>
      <c r="AK92" s="3474">
        <f t="shared" si="611"/>
        <v>109691.36048487594</v>
      </c>
      <c r="AL92" s="3474">
        <f t="shared" si="611"/>
        <v>105745</v>
      </c>
      <c r="AM92" s="3474">
        <f t="shared" si="611"/>
        <v>325535.48918092216</v>
      </c>
      <c r="AN92" s="3474">
        <f t="shared" si="611"/>
        <v>314736.60000000003</v>
      </c>
      <c r="AO92" s="3474">
        <f t="shared" si="611"/>
        <v>973067.53522760526</v>
      </c>
      <c r="AP92" s="3474">
        <f t="shared" si="611"/>
        <v>916856.20000000007</v>
      </c>
      <c r="AQ92" s="3474">
        <f t="shared" ref="AQ92:AT92" si="612">SUM(AQ88:AQ91)</f>
        <v>109691.36048487594</v>
      </c>
      <c r="AR92" s="3474">
        <f t="shared" si="612"/>
        <v>106092</v>
      </c>
      <c r="AS92" s="3474">
        <f t="shared" si="612"/>
        <v>1082758.8957124813</v>
      </c>
      <c r="AT92" s="3474">
        <f t="shared" si="612"/>
        <v>1022948.2000000001</v>
      </c>
      <c r="AU92" s="3474">
        <f t="shared" ref="AU92:AX92" si="613">SUM(AU88:AU91)</f>
        <v>99075.583663758924</v>
      </c>
      <c r="AV92" s="3474">
        <f t="shared" si="613"/>
        <v>95967.472999999998</v>
      </c>
      <c r="AW92" s="3474">
        <f t="shared" si="613"/>
        <v>1181834.4793762402</v>
      </c>
      <c r="AX92" s="3474">
        <f t="shared" si="613"/>
        <v>1118915.6730000002</v>
      </c>
      <c r="AY92" s="3474">
        <f t="shared" ref="AY92:BF92" si="614">SUM(AY88:AY91)</f>
        <v>109691.36048487594</v>
      </c>
      <c r="AZ92" s="3474">
        <f t="shared" si="614"/>
        <v>106266</v>
      </c>
      <c r="BA92" s="3474">
        <f t="shared" si="614"/>
        <v>318458.30463351076</v>
      </c>
      <c r="BB92" s="3474">
        <f t="shared" si="614"/>
        <v>308325.473</v>
      </c>
      <c r="BC92" s="1373">
        <f t="shared" ref="BC92:BD92" si="615">SUM(BC88:BC91)</f>
        <v>643993.79381443292</v>
      </c>
      <c r="BD92" s="1373">
        <f t="shared" si="615"/>
        <v>623062.07299999997</v>
      </c>
      <c r="BE92" s="3474">
        <f t="shared" si="614"/>
        <v>1291525.8398611161</v>
      </c>
      <c r="BF92" s="3474">
        <f t="shared" si="614"/>
        <v>1225181.6730000002</v>
      </c>
    </row>
    <row r="93" spans="1:58" s="334" customFormat="1" ht="18.75" x14ac:dyDescent="0.3">
      <c r="A93" s="333"/>
      <c r="B93" s="895" t="s">
        <v>766</v>
      </c>
      <c r="C93" s="2340"/>
      <c r="D93" s="1175"/>
      <c r="E93" s="1175"/>
      <c r="F93" s="1178"/>
      <c r="G93" s="1175"/>
      <c r="H93" s="1175"/>
      <c r="I93" s="1372"/>
      <c r="J93" s="1372"/>
      <c r="K93" s="1372"/>
      <c r="L93" s="1372"/>
      <c r="M93" s="1372"/>
      <c r="N93" s="1372"/>
      <c r="O93" s="1372"/>
      <c r="P93" s="1372"/>
      <c r="Q93" s="1372"/>
      <c r="R93" s="1372"/>
      <c r="S93" s="1372"/>
      <c r="T93" s="1372"/>
      <c r="U93" s="1372"/>
      <c r="V93" s="1372"/>
      <c r="W93" s="1372"/>
      <c r="X93" s="1372"/>
      <c r="Y93" s="1372"/>
      <c r="Z93" s="1372"/>
      <c r="AA93" s="1372"/>
      <c r="AB93" s="1372"/>
      <c r="AC93" s="1372"/>
      <c r="AD93" s="1372"/>
      <c r="AE93" s="1372"/>
      <c r="AF93" s="1372"/>
      <c r="AG93" s="1372"/>
      <c r="AH93" s="1372"/>
      <c r="AI93" s="1372"/>
      <c r="AJ93" s="1372"/>
      <c r="AK93" s="1372"/>
      <c r="AL93" s="1372"/>
      <c r="AM93" s="892"/>
      <c r="AN93" s="892"/>
      <c r="AO93" s="892"/>
      <c r="AP93" s="892"/>
      <c r="AQ93" s="1372"/>
      <c r="AR93" s="1372"/>
      <c r="AS93" s="1372"/>
      <c r="AT93" s="1372"/>
      <c r="AU93" s="1372"/>
      <c r="AV93" s="1372"/>
      <c r="AW93" s="1372"/>
      <c r="AX93" s="1372"/>
      <c r="AY93" s="1372"/>
      <c r="AZ93" s="1372"/>
      <c r="BA93" s="892"/>
      <c r="BB93" s="892"/>
      <c r="BC93" s="1372"/>
      <c r="BD93" s="1372"/>
      <c r="BE93" s="1372"/>
      <c r="BF93" s="1372"/>
    </row>
    <row r="94" spans="1:58" x14ac:dyDescent="0.25">
      <c r="B94" s="28" t="s">
        <v>10</v>
      </c>
      <c r="C94" s="2318" t="s">
        <v>53</v>
      </c>
      <c r="D94" s="3490">
        <f>+D80+D66</f>
        <v>925051.08757222141</v>
      </c>
      <c r="E94" s="3490">
        <f>+E80+E66</f>
        <v>76032</v>
      </c>
      <c r="F94" s="3490">
        <f>+F80+F66</f>
        <v>70732</v>
      </c>
      <c r="G94" s="3490">
        <f>+G80+G66</f>
        <v>78565.982300000003</v>
      </c>
      <c r="H94" s="3490">
        <f>+H80+H66</f>
        <v>73887</v>
      </c>
      <c r="I94" s="3497">
        <f t="shared" ref="I94:I97" si="616">+E94+G94</f>
        <v>154597.9823</v>
      </c>
      <c r="J94" s="144">
        <f t="shared" ref="J94:J97" si="617">+F94+H94</f>
        <v>144619</v>
      </c>
      <c r="K94" s="3490">
        <f>+K80+K66</f>
        <v>76032</v>
      </c>
      <c r="L94" s="3490">
        <f>+L80+L66</f>
        <v>69102</v>
      </c>
      <c r="M94" s="3494">
        <f t="shared" ref="M94:M97" si="618">+I94+K94</f>
        <v>230629.9823</v>
      </c>
      <c r="N94" s="184">
        <f t="shared" ref="N94:N97" si="619">+J94+L94</f>
        <v>213721</v>
      </c>
      <c r="O94" s="3490">
        <f>+O80+O66</f>
        <v>78565.982780106482</v>
      </c>
      <c r="P94" s="3490">
        <f>+P80+P66</f>
        <v>65145.2</v>
      </c>
      <c r="Q94" s="3497">
        <f>+M94+O94</f>
        <v>309195.96508010651</v>
      </c>
      <c r="R94" s="152">
        <f>+N94+P94</f>
        <v>278866.2</v>
      </c>
      <c r="S94" s="3490">
        <f>+S80+S66</f>
        <v>78565.982780106482</v>
      </c>
      <c r="T94" s="3490">
        <f>+T80+T66</f>
        <v>66690.7</v>
      </c>
      <c r="U94" s="3497">
        <f t="shared" ref="U94:U97" si="620">+Q94+S94</f>
        <v>387761.947860213</v>
      </c>
      <c r="V94" s="144">
        <f t="shared" ref="V94:V97" si="621">+R94+T94</f>
        <v>345556.9</v>
      </c>
      <c r="W94" s="3490">
        <f t="shared" ref="W94:AB94" si="622">+W80+W66</f>
        <v>76031.596238812723</v>
      </c>
      <c r="X94" s="3490">
        <f t="shared" si="622"/>
        <v>61963</v>
      </c>
      <c r="Y94" s="3494">
        <f t="shared" si="622"/>
        <v>233163.56179902569</v>
      </c>
      <c r="Z94" s="3494">
        <f t="shared" si="622"/>
        <v>193798.9</v>
      </c>
      <c r="AA94" s="3506">
        <f t="shared" si="622"/>
        <v>463793.54409902572</v>
      </c>
      <c r="AB94" s="3506">
        <f t="shared" si="622"/>
        <v>407519.9</v>
      </c>
      <c r="AC94" s="3490">
        <f>+AC80+AC66</f>
        <v>78565.982780106482</v>
      </c>
      <c r="AD94" s="3490">
        <f>+AD80+AD66</f>
        <v>62694</v>
      </c>
      <c r="AE94" s="3497">
        <f t="shared" ref="AE94:AE97" si="623">+AA94+AC94</f>
        <v>542359.52687913226</v>
      </c>
      <c r="AF94" s="144">
        <f t="shared" ref="AF94:AF97" si="624">+AB94+AD94</f>
        <v>470213.9</v>
      </c>
      <c r="AG94" s="3490">
        <f>+AG80+AG66</f>
        <v>76031.596238812723</v>
      </c>
      <c r="AH94" s="3490">
        <f>+AH80+AH66</f>
        <v>63806.5</v>
      </c>
      <c r="AI94" s="3497">
        <f t="shared" ref="AI94:AI97" si="625">+AE94+AG94</f>
        <v>618391.12311794492</v>
      </c>
      <c r="AJ94" s="144">
        <f t="shared" ref="AJ94:AJ97" si="626">+AF94+AH94</f>
        <v>534020.4</v>
      </c>
      <c r="AK94" s="3490">
        <f>+AK80+AK66</f>
        <v>78565.982780106482</v>
      </c>
      <c r="AL94" s="3490">
        <f>+AL80+AL66</f>
        <v>58667</v>
      </c>
      <c r="AM94" s="2266">
        <f t="shared" ref="AM94:AM97" si="627">+AC94+AG94+AK94</f>
        <v>233163.56179902569</v>
      </c>
      <c r="AN94" s="184">
        <f t="shared" ref="AN94:AN97" si="628">+AD94+AH94+AL94</f>
        <v>185167.5</v>
      </c>
      <c r="AO94" s="3497">
        <f>+AI94+AK94</f>
        <v>696957.10589805141</v>
      </c>
      <c r="AP94" s="152">
        <f>+AJ94+AL94</f>
        <v>592687.4</v>
      </c>
      <c r="AQ94" s="3490">
        <f>+AQ80+AQ66</f>
        <v>78565.982780106482</v>
      </c>
      <c r="AR94" s="3490">
        <f>+AR80+AR66</f>
        <v>51740</v>
      </c>
      <c r="AS94" s="3497">
        <f t="shared" ref="AS94:AS97" si="629">+AO94+AQ94</f>
        <v>775523.08867815789</v>
      </c>
      <c r="AT94" s="144">
        <f t="shared" ref="AT94:AT97" si="630">+AP94+AR94</f>
        <v>644427.4</v>
      </c>
      <c r="AU94" s="3490">
        <f>+AU80+AU66</f>
        <v>70962.823156225219</v>
      </c>
      <c r="AV94" s="3490">
        <f>+AV80+AV66</f>
        <v>73562.263999999996</v>
      </c>
      <c r="AW94" s="3497">
        <f t="shared" ref="AW94:AW97" si="631">+AS94+AU94</f>
        <v>846485.91183438315</v>
      </c>
      <c r="AX94" s="144">
        <f t="shared" ref="AX94:AX97" si="632">+AT94+AV94</f>
        <v>717989.66399999999</v>
      </c>
      <c r="AY94" s="3490">
        <f>+AY80+AY66</f>
        <v>78565.982780106482</v>
      </c>
      <c r="AZ94" s="3490">
        <f>+AZ80+AZ66</f>
        <v>73102</v>
      </c>
      <c r="BA94" s="2266">
        <f t="shared" ref="BA94:BA97" si="633">+AQ94+AU94+AY94</f>
        <v>228094.78871643817</v>
      </c>
      <c r="BB94" s="184">
        <f t="shared" ref="BB94:BB97" si="634">+AR94+AV94+AZ94</f>
        <v>198404.264</v>
      </c>
      <c r="BC94" s="3506">
        <f t="shared" ref="BC94:BD97" si="635">+AM94+BA94</f>
        <v>461258.35051546386</v>
      </c>
      <c r="BD94" s="3506">
        <f t="shared" si="635"/>
        <v>383571.76399999997</v>
      </c>
      <c r="BE94" s="3497">
        <f t="shared" ref="BE94:BE97" si="636">+AW94+AY94</f>
        <v>925051.89461448963</v>
      </c>
      <c r="BF94" s="144">
        <f t="shared" ref="BF94:BF97" si="637">+AX94+AZ94</f>
        <v>791091.66399999999</v>
      </c>
    </row>
    <row r="95" spans="1:58" x14ac:dyDescent="0.25">
      <c r="B95" s="28" t="s">
        <v>11</v>
      </c>
      <c r="C95" s="2318" t="s">
        <v>53</v>
      </c>
      <c r="D95" s="3501">
        <f>D82+D67</f>
        <v>193692.93361277896</v>
      </c>
      <c r="E95" s="3501">
        <f>E82+E67</f>
        <v>15920</v>
      </c>
      <c r="F95" s="3501">
        <f>F82+F67</f>
        <v>14411.6</v>
      </c>
      <c r="G95" s="3501">
        <f>G82+G67</f>
        <v>16450.632700000002</v>
      </c>
      <c r="H95" s="3501">
        <f>H82+H67</f>
        <v>14988.2</v>
      </c>
      <c r="I95" s="3497">
        <f t="shared" si="616"/>
        <v>32370.632700000002</v>
      </c>
      <c r="J95" s="144">
        <f t="shared" si="617"/>
        <v>29399.800000000003</v>
      </c>
      <c r="K95" s="3501">
        <f>K82+K67</f>
        <v>15920</v>
      </c>
      <c r="L95" s="3501">
        <f>L82+L67</f>
        <v>14885</v>
      </c>
      <c r="M95" s="3494">
        <f t="shared" si="618"/>
        <v>48290.632700000002</v>
      </c>
      <c r="N95" s="184">
        <f t="shared" si="619"/>
        <v>44284.800000000003</v>
      </c>
      <c r="O95" s="3501">
        <f>O82+O67</f>
        <v>16450.632717797664</v>
      </c>
      <c r="P95" s="3501">
        <f>P82+P67</f>
        <v>15764</v>
      </c>
      <c r="Q95" s="3497">
        <f t="shared" ref="Q95:Q97" si="638">+M95+O95</f>
        <v>64741.265417797666</v>
      </c>
      <c r="R95" s="152">
        <f t="shared" ref="R95:R97" si="639">+N95+P95</f>
        <v>60048.800000000003</v>
      </c>
      <c r="S95" s="3501">
        <f>S82+S67</f>
        <v>16450.632717797664</v>
      </c>
      <c r="T95" s="3501">
        <f>T82+T67</f>
        <v>15501.6</v>
      </c>
      <c r="U95" s="3497">
        <f t="shared" si="620"/>
        <v>81191.898135595329</v>
      </c>
      <c r="V95" s="144">
        <f t="shared" si="621"/>
        <v>75550.400000000009</v>
      </c>
      <c r="W95" s="3501">
        <f t="shared" ref="W95:AB95" si="640">W82+W67</f>
        <v>15919.967146255807</v>
      </c>
      <c r="X95" s="3501">
        <f t="shared" si="640"/>
        <v>13796</v>
      </c>
      <c r="Y95" s="167">
        <f t="shared" si="640"/>
        <v>48821.232581851131</v>
      </c>
      <c r="Z95" s="167">
        <f t="shared" si="640"/>
        <v>45061.599999999999</v>
      </c>
      <c r="AA95" s="1789">
        <f t="shared" si="640"/>
        <v>97111.865281851147</v>
      </c>
      <c r="AB95" s="1789">
        <f t="shared" si="640"/>
        <v>89346.4</v>
      </c>
      <c r="AC95" s="3501">
        <f>AC82+AC67</f>
        <v>16450.632717797664</v>
      </c>
      <c r="AD95" s="3501">
        <f>AD82+AD67</f>
        <v>13210.8</v>
      </c>
      <c r="AE95" s="3497">
        <f t="shared" si="623"/>
        <v>113562.49799964881</v>
      </c>
      <c r="AF95" s="144">
        <f t="shared" si="624"/>
        <v>102557.2</v>
      </c>
      <c r="AG95" s="3501">
        <f>AG82+AG67</f>
        <v>15919.967146255807</v>
      </c>
      <c r="AH95" s="3501">
        <f>AH82+AH67</f>
        <v>14535</v>
      </c>
      <c r="AI95" s="3497">
        <f t="shared" si="625"/>
        <v>129482.46514590461</v>
      </c>
      <c r="AJ95" s="144">
        <f t="shared" si="626"/>
        <v>117092.2</v>
      </c>
      <c r="AK95" s="3501">
        <f>AK82+AK67</f>
        <v>16450.632717797664</v>
      </c>
      <c r="AL95" s="3501">
        <f>AL82+AL67</f>
        <v>13496</v>
      </c>
      <c r="AM95" s="2266">
        <f t="shared" si="627"/>
        <v>48821.232581851131</v>
      </c>
      <c r="AN95" s="184">
        <f t="shared" si="628"/>
        <v>41241.800000000003</v>
      </c>
      <c r="AO95" s="3497">
        <f t="shared" ref="AO95:AO97" si="641">+AI95+AK95</f>
        <v>145933.09786370228</v>
      </c>
      <c r="AP95" s="152">
        <f t="shared" ref="AP95:AP97" si="642">+AJ95+AL95</f>
        <v>130588.2</v>
      </c>
      <c r="AQ95" s="3501">
        <f>AQ82+AQ67</f>
        <v>16450.632717797664</v>
      </c>
      <c r="AR95" s="3501">
        <f>AR82+AR67</f>
        <v>19531</v>
      </c>
      <c r="AS95" s="3497">
        <f t="shared" si="629"/>
        <v>162383.73058149993</v>
      </c>
      <c r="AT95" s="144">
        <f t="shared" si="630"/>
        <v>150119.20000000001</v>
      </c>
      <c r="AU95" s="3501">
        <f>AU82+AU67</f>
        <v>14858.636003172087</v>
      </c>
      <c r="AV95" s="3501">
        <f>AV82+AV67</f>
        <v>15852.157999999999</v>
      </c>
      <c r="AW95" s="3497">
        <f t="shared" si="631"/>
        <v>177242.36658467201</v>
      </c>
      <c r="AX95" s="144">
        <f t="shared" si="632"/>
        <v>165971.35800000001</v>
      </c>
      <c r="AY95" s="3501">
        <f>AY82+AY67</f>
        <v>16450.632717797664</v>
      </c>
      <c r="AZ95" s="3501">
        <f>AZ82+AZ67</f>
        <v>9355</v>
      </c>
      <c r="BA95" s="2266">
        <f t="shared" si="633"/>
        <v>47759.901438767411</v>
      </c>
      <c r="BB95" s="184">
        <f t="shared" si="634"/>
        <v>44738.157999999996</v>
      </c>
      <c r="BC95" s="1789">
        <f t="shared" si="635"/>
        <v>96581.134020618541</v>
      </c>
      <c r="BD95" s="1789">
        <f t="shared" si="635"/>
        <v>85979.957999999999</v>
      </c>
      <c r="BE95" s="3497">
        <f t="shared" si="636"/>
        <v>193692.99930246966</v>
      </c>
      <c r="BF95" s="144">
        <f t="shared" si="637"/>
        <v>175326.35800000001</v>
      </c>
    </row>
    <row r="96" spans="1:58" s="1555" customFormat="1" x14ac:dyDescent="0.25">
      <c r="A96" s="332"/>
      <c r="B96" s="2319" t="s">
        <v>1402</v>
      </c>
      <c r="C96" s="2318" t="s">
        <v>53</v>
      </c>
      <c r="D96" s="3501">
        <f>+D83+D69</f>
        <v>0</v>
      </c>
      <c r="E96" s="3501">
        <f>+E83+E69</f>
        <v>0</v>
      </c>
      <c r="F96" s="3501">
        <f>+F83+F69</f>
        <v>0</v>
      </c>
      <c r="G96" s="3501">
        <f>+G83+G69</f>
        <v>0</v>
      </c>
      <c r="H96" s="3501">
        <f>+H83+H69</f>
        <v>0</v>
      </c>
      <c r="I96" s="3497">
        <f t="shared" si="616"/>
        <v>0</v>
      </c>
      <c r="J96" s="144">
        <f t="shared" si="617"/>
        <v>0</v>
      </c>
      <c r="K96" s="3501">
        <f>+K83+K69</f>
        <v>0</v>
      </c>
      <c r="L96" s="3501">
        <f>+L83+L69</f>
        <v>3373</v>
      </c>
      <c r="M96" s="3494">
        <f t="shared" si="618"/>
        <v>0</v>
      </c>
      <c r="N96" s="184">
        <f t="shared" si="619"/>
        <v>3373</v>
      </c>
      <c r="O96" s="3501">
        <f>+O83+O69</f>
        <v>0</v>
      </c>
      <c r="P96" s="3501">
        <f>+P83+P69</f>
        <v>12250.8</v>
      </c>
      <c r="Q96" s="3497">
        <f t="shared" si="638"/>
        <v>0</v>
      </c>
      <c r="R96" s="152">
        <f t="shared" si="639"/>
        <v>15623.8</v>
      </c>
      <c r="S96" s="3501">
        <f>+S83+S69</f>
        <v>0</v>
      </c>
      <c r="T96" s="3501">
        <f>+T83+T69</f>
        <v>13043.5</v>
      </c>
      <c r="U96" s="3497">
        <f t="shared" si="620"/>
        <v>0</v>
      </c>
      <c r="V96" s="144">
        <f t="shared" si="621"/>
        <v>28667.3</v>
      </c>
      <c r="W96" s="3501">
        <f t="shared" ref="W96:AB96" si="643">+W83+W69</f>
        <v>0</v>
      </c>
      <c r="X96" s="3501">
        <f t="shared" si="643"/>
        <v>14577.3</v>
      </c>
      <c r="Y96" s="167">
        <f t="shared" si="643"/>
        <v>0</v>
      </c>
      <c r="Z96" s="167">
        <f t="shared" si="643"/>
        <v>39871.599999999999</v>
      </c>
      <c r="AA96" s="1789">
        <f t="shared" si="643"/>
        <v>0</v>
      </c>
      <c r="AB96" s="1789">
        <f t="shared" si="643"/>
        <v>43244.6</v>
      </c>
      <c r="AC96" s="3501">
        <f>+AC83+AC69</f>
        <v>0</v>
      </c>
      <c r="AD96" s="3501">
        <f>+AD83+AD69</f>
        <v>16811.400000000001</v>
      </c>
      <c r="AE96" s="3497">
        <f t="shared" si="623"/>
        <v>0</v>
      </c>
      <c r="AF96" s="144">
        <f t="shared" si="624"/>
        <v>60056</v>
      </c>
      <c r="AG96" s="3501">
        <f>+AG83+AG69</f>
        <v>0</v>
      </c>
      <c r="AH96" s="3501">
        <f>+AH83+AH69</f>
        <v>14331</v>
      </c>
      <c r="AI96" s="3497">
        <f t="shared" si="625"/>
        <v>0</v>
      </c>
      <c r="AJ96" s="144">
        <f t="shared" si="626"/>
        <v>74387</v>
      </c>
      <c r="AK96" s="3501">
        <f>+AK83+AK69</f>
        <v>0</v>
      </c>
      <c r="AL96" s="3501">
        <f>+AL83+AL69</f>
        <v>22850</v>
      </c>
      <c r="AM96" s="2266">
        <f t="shared" ref="AM96" si="644">+AC96+AG96+AK96</f>
        <v>0</v>
      </c>
      <c r="AN96" s="184">
        <f t="shared" ref="AN96" si="645">+AD96+AH96+AL96</f>
        <v>53992.4</v>
      </c>
      <c r="AO96" s="3497">
        <f t="shared" ref="AO96" si="646">+AI96+AK96</f>
        <v>0</v>
      </c>
      <c r="AP96" s="152">
        <f t="shared" ref="AP96" si="647">+AJ96+AL96</f>
        <v>97237</v>
      </c>
      <c r="AQ96" s="3501">
        <f>+AQ83+AQ69</f>
        <v>0</v>
      </c>
      <c r="AR96" s="3501">
        <f>+AR83+AR69</f>
        <v>20430</v>
      </c>
      <c r="AS96" s="3497">
        <f t="shared" si="629"/>
        <v>0</v>
      </c>
      <c r="AT96" s="144">
        <f t="shared" si="630"/>
        <v>117667</v>
      </c>
      <c r="AU96" s="3501">
        <f>+AU83+AU69</f>
        <v>0</v>
      </c>
      <c r="AV96" s="3501">
        <f>+AV83+AV69</f>
        <v>0</v>
      </c>
      <c r="AW96" s="3497">
        <f t="shared" si="631"/>
        <v>0</v>
      </c>
      <c r="AX96" s="144">
        <f t="shared" si="632"/>
        <v>117667</v>
      </c>
      <c r="AY96" s="3501">
        <f>+AY83+AY69</f>
        <v>0</v>
      </c>
      <c r="AZ96" s="3501">
        <f>+AZ83+AZ69</f>
        <v>10041</v>
      </c>
      <c r="BA96" s="2266">
        <f t="shared" si="633"/>
        <v>0</v>
      </c>
      <c r="BB96" s="184">
        <f t="shared" si="634"/>
        <v>30471</v>
      </c>
      <c r="BC96" s="1789">
        <f t="shared" si="635"/>
        <v>0</v>
      </c>
      <c r="BD96" s="1789">
        <f t="shared" si="635"/>
        <v>84463.4</v>
      </c>
      <c r="BE96" s="3497">
        <f t="shared" si="636"/>
        <v>0</v>
      </c>
      <c r="BF96" s="144">
        <f t="shared" si="637"/>
        <v>127708</v>
      </c>
    </row>
    <row r="97" spans="1:58" ht="15.75" thickBot="1" x14ac:dyDescent="0.3">
      <c r="B97" s="2319" t="s">
        <v>722</v>
      </c>
      <c r="C97" s="2341" t="s">
        <v>53</v>
      </c>
      <c r="D97" s="3501">
        <f>D68+D81</f>
        <v>192526.23201540729</v>
      </c>
      <c r="E97" s="3501">
        <f>E68+E81</f>
        <v>15825</v>
      </c>
      <c r="F97" s="3501">
        <f>F68+F81</f>
        <v>15484.7</v>
      </c>
      <c r="G97" s="3501">
        <f>G68+G81</f>
        <v>16351.543399999999</v>
      </c>
      <c r="H97" s="3501">
        <f>H68+H81</f>
        <v>16724.099999999999</v>
      </c>
      <c r="I97" s="3497">
        <f t="shared" si="616"/>
        <v>32176.543399999999</v>
      </c>
      <c r="J97" s="144">
        <f t="shared" si="617"/>
        <v>32208.799999999999</v>
      </c>
      <c r="K97" s="3501">
        <f>K68+K81</f>
        <v>15825</v>
      </c>
      <c r="L97" s="3501">
        <f>L68+L81</f>
        <v>15869</v>
      </c>
      <c r="M97" s="3494">
        <f t="shared" si="618"/>
        <v>48001.543399999995</v>
      </c>
      <c r="N97" s="184">
        <f t="shared" si="619"/>
        <v>48077.8</v>
      </c>
      <c r="O97" s="3501">
        <f>O68+O81</f>
        <v>16351.542993089384</v>
      </c>
      <c r="P97" s="3501">
        <f>P68+P81</f>
        <v>12316.9</v>
      </c>
      <c r="Q97" s="3497">
        <f t="shared" si="638"/>
        <v>64353.086393089383</v>
      </c>
      <c r="R97" s="152">
        <f t="shared" si="639"/>
        <v>60394.700000000004</v>
      </c>
      <c r="S97" s="3501">
        <f>S68+S81</f>
        <v>16351.542993089384</v>
      </c>
      <c r="T97" s="3501">
        <f>T68+T81</f>
        <v>13924.4</v>
      </c>
      <c r="U97" s="3497">
        <f t="shared" si="620"/>
        <v>80704.629386178771</v>
      </c>
      <c r="V97" s="144">
        <f t="shared" si="621"/>
        <v>74319.100000000006</v>
      </c>
      <c r="W97" s="3501">
        <f t="shared" ref="W97:AB97" si="648">W68+W81</f>
        <v>15824.073864280052</v>
      </c>
      <c r="X97" s="3501">
        <f t="shared" si="648"/>
        <v>17475.099999999999</v>
      </c>
      <c r="Y97" s="167">
        <f t="shared" si="648"/>
        <v>48527.159850458818</v>
      </c>
      <c r="Z97" s="167">
        <f t="shared" si="648"/>
        <v>43716.4</v>
      </c>
      <c r="AA97" s="1789">
        <f t="shared" si="648"/>
        <v>96528.703250458813</v>
      </c>
      <c r="AB97" s="1789">
        <f t="shared" si="648"/>
        <v>91794.200000000012</v>
      </c>
      <c r="AC97" s="3501">
        <f>AC68+AC81</f>
        <v>16351.542993089384</v>
      </c>
      <c r="AD97" s="3501">
        <f>AD68+AD81</f>
        <v>17299.599999999999</v>
      </c>
      <c r="AE97" s="3497">
        <f t="shared" si="623"/>
        <v>112880.2462435482</v>
      </c>
      <c r="AF97" s="144">
        <f t="shared" si="624"/>
        <v>109093.80000000002</v>
      </c>
      <c r="AG97" s="3501">
        <f>AG68+AG81</f>
        <v>15824.073864280052</v>
      </c>
      <c r="AH97" s="3501">
        <f>AH68+AH81</f>
        <v>16497</v>
      </c>
      <c r="AI97" s="3497">
        <f t="shared" si="625"/>
        <v>128704.32010782826</v>
      </c>
      <c r="AJ97" s="144">
        <f t="shared" si="626"/>
        <v>125590.80000000002</v>
      </c>
      <c r="AK97" s="3501">
        <f>AK68+AK81</f>
        <v>16351.542993089384</v>
      </c>
      <c r="AL97" s="3501">
        <f>AL68+AL81</f>
        <v>14737</v>
      </c>
      <c r="AM97" s="2266">
        <f t="shared" si="627"/>
        <v>48527.159850458818</v>
      </c>
      <c r="AN97" s="184">
        <f t="shared" si="628"/>
        <v>48533.599999999999</v>
      </c>
      <c r="AO97" s="3497">
        <f t="shared" si="641"/>
        <v>145055.86310091763</v>
      </c>
      <c r="AP97" s="152">
        <f t="shared" si="642"/>
        <v>140327.80000000002</v>
      </c>
      <c r="AQ97" s="3501">
        <f>AQ68+AQ81</f>
        <v>16351.542993089384</v>
      </c>
      <c r="AR97" s="3501">
        <f>AR68+AR81</f>
        <v>17253</v>
      </c>
      <c r="AS97" s="3497">
        <f t="shared" si="629"/>
        <v>161407.40609400702</v>
      </c>
      <c r="AT97" s="144">
        <f t="shared" si="630"/>
        <v>157580.80000000002</v>
      </c>
      <c r="AU97" s="3501">
        <f>AU68+AU81</f>
        <v>14769.135606661381</v>
      </c>
      <c r="AV97" s="3501">
        <f>AV68+AV81</f>
        <v>18842.654999999999</v>
      </c>
      <c r="AW97" s="3497">
        <f t="shared" si="631"/>
        <v>176176.5417006684</v>
      </c>
      <c r="AX97" s="144">
        <f t="shared" si="632"/>
        <v>176423.45500000002</v>
      </c>
      <c r="AY97" s="3501">
        <f>AY68+AY81</f>
        <v>16351.542993089384</v>
      </c>
      <c r="AZ97" s="3501">
        <f>AZ68+AZ81</f>
        <v>15485</v>
      </c>
      <c r="BA97" s="2266">
        <f t="shared" si="633"/>
        <v>47472.221592840149</v>
      </c>
      <c r="BB97" s="184">
        <f t="shared" si="634"/>
        <v>51580.654999999999</v>
      </c>
      <c r="BC97" s="1789">
        <f t="shared" si="635"/>
        <v>95999.381443298975</v>
      </c>
      <c r="BD97" s="1789">
        <f t="shared" si="635"/>
        <v>100114.255</v>
      </c>
      <c r="BE97" s="3497">
        <f t="shared" si="636"/>
        <v>192528.08469375779</v>
      </c>
      <c r="BF97" s="144">
        <f t="shared" si="637"/>
        <v>191908.45500000002</v>
      </c>
    </row>
    <row r="98" spans="1:58" ht="16.5" thickBot="1" x14ac:dyDescent="0.3">
      <c r="B98" s="32" t="s">
        <v>14</v>
      </c>
      <c r="C98" s="2325" t="s">
        <v>53</v>
      </c>
      <c r="D98" s="1373">
        <f>SUM(D94:D97)</f>
        <v>1311270.2532004076</v>
      </c>
      <c r="E98" s="1373">
        <f>SUM(E94:E97)</f>
        <v>107777</v>
      </c>
      <c r="F98" s="1373">
        <f t="shared" ref="F98:V98" si="649">SUM(F94:F97)</f>
        <v>100628.3</v>
      </c>
      <c r="G98" s="1373">
        <f t="shared" si="649"/>
        <v>111368.1584</v>
      </c>
      <c r="H98" s="1373">
        <f t="shared" si="649"/>
        <v>105599.29999999999</v>
      </c>
      <c r="I98" s="1373">
        <f t="shared" si="649"/>
        <v>219145.15839999999</v>
      </c>
      <c r="J98" s="1373">
        <f t="shared" si="649"/>
        <v>206227.59999999998</v>
      </c>
      <c r="K98" s="1373">
        <f t="shared" si="649"/>
        <v>107777</v>
      </c>
      <c r="L98" s="1373">
        <f t="shared" si="649"/>
        <v>103229</v>
      </c>
      <c r="M98" s="1373">
        <f t="shared" si="649"/>
        <v>326922.15839999996</v>
      </c>
      <c r="N98" s="1373">
        <f t="shared" si="649"/>
        <v>309456.59999999998</v>
      </c>
      <c r="O98" s="1373">
        <f t="shared" si="649"/>
        <v>111368.15849099353</v>
      </c>
      <c r="P98" s="1373">
        <f t="shared" si="649"/>
        <v>105476.9</v>
      </c>
      <c r="Q98" s="1373">
        <f>SUM(Q94:Q97)</f>
        <v>438290.31689099356</v>
      </c>
      <c r="R98" s="1373">
        <f>SUM(R94:R97)</f>
        <v>414933.5</v>
      </c>
      <c r="S98" s="1373">
        <f t="shared" si="649"/>
        <v>111368.15849099353</v>
      </c>
      <c r="T98" s="1373">
        <f t="shared" si="649"/>
        <v>109160.2</v>
      </c>
      <c r="U98" s="1373">
        <f t="shared" si="649"/>
        <v>549658.47538198705</v>
      </c>
      <c r="V98" s="1373">
        <f t="shared" si="649"/>
        <v>524093.70000000007</v>
      </c>
      <c r="W98" s="1373">
        <f t="shared" ref="W98:X98" si="650">SUM(W94:W97)</f>
        <v>107775.63724934858</v>
      </c>
      <c r="X98" s="1373">
        <f t="shared" si="650"/>
        <v>107811.4</v>
      </c>
      <c r="Y98" s="871">
        <f t="shared" ref="Y98:AF98" si="651">SUM(Y94:Y97)</f>
        <v>330511.95423133567</v>
      </c>
      <c r="Z98" s="871">
        <f t="shared" si="651"/>
        <v>322448.5</v>
      </c>
      <c r="AA98" s="1130">
        <f t="shared" si="651"/>
        <v>657434.11263133574</v>
      </c>
      <c r="AB98" s="1130">
        <f t="shared" si="651"/>
        <v>631905.10000000009</v>
      </c>
      <c r="AC98" s="1373">
        <f t="shared" si="651"/>
        <v>111368.15849099353</v>
      </c>
      <c r="AD98" s="1373">
        <f t="shared" si="651"/>
        <v>110015.80000000002</v>
      </c>
      <c r="AE98" s="1373">
        <f t="shared" si="651"/>
        <v>768802.27112232929</v>
      </c>
      <c r="AF98" s="1373">
        <f t="shared" si="651"/>
        <v>741920.9</v>
      </c>
      <c r="AG98" s="1373">
        <f t="shared" ref="AG98:AP98" si="652">SUM(AG94:AG97)</f>
        <v>107775.63724934858</v>
      </c>
      <c r="AH98" s="1373">
        <f t="shared" si="652"/>
        <v>109169.5</v>
      </c>
      <c r="AI98" s="1373">
        <f t="shared" si="652"/>
        <v>876577.90837167774</v>
      </c>
      <c r="AJ98" s="1373">
        <f t="shared" si="652"/>
        <v>851090.4</v>
      </c>
      <c r="AK98" s="1373">
        <f t="shared" si="652"/>
        <v>111368.15849099353</v>
      </c>
      <c r="AL98" s="1373">
        <f t="shared" si="652"/>
        <v>109750</v>
      </c>
      <c r="AM98" s="1373">
        <f t="shared" si="652"/>
        <v>330511.95423133567</v>
      </c>
      <c r="AN98" s="1373">
        <f t="shared" si="652"/>
        <v>328935.3</v>
      </c>
      <c r="AO98" s="1373">
        <f t="shared" si="652"/>
        <v>987946.06686267129</v>
      </c>
      <c r="AP98" s="2321">
        <f t="shared" si="652"/>
        <v>960840.4</v>
      </c>
      <c r="AQ98" s="1373">
        <f t="shared" ref="AQ98:AT98" si="653">SUM(AQ94:AQ97)</f>
        <v>111368.15849099353</v>
      </c>
      <c r="AR98" s="1373">
        <f t="shared" si="653"/>
        <v>108954</v>
      </c>
      <c r="AS98" s="1373">
        <f t="shared" si="653"/>
        <v>1099314.2253536647</v>
      </c>
      <c r="AT98" s="1373">
        <f t="shared" si="653"/>
        <v>1069794.4000000001</v>
      </c>
      <c r="AU98" s="1373">
        <f t="shared" ref="AU98:AX98" si="654">SUM(AU94:AU97)</f>
        <v>100590.59476605868</v>
      </c>
      <c r="AV98" s="1373">
        <f t="shared" si="654"/>
        <v>108257.07699999999</v>
      </c>
      <c r="AW98" s="1373">
        <f t="shared" si="654"/>
        <v>1199904.8201197237</v>
      </c>
      <c r="AX98" s="1373">
        <f t="shared" si="654"/>
        <v>1178051.477</v>
      </c>
      <c r="AY98" s="1373">
        <f t="shared" ref="AY98:BF98" si="655">SUM(AY94:AY97)</f>
        <v>111368.15849099353</v>
      </c>
      <c r="AZ98" s="1373">
        <f t="shared" si="655"/>
        <v>107983</v>
      </c>
      <c r="BA98" s="1373">
        <f t="shared" si="655"/>
        <v>323326.91174804571</v>
      </c>
      <c r="BB98" s="1373">
        <f t="shared" si="655"/>
        <v>325194.07700000005</v>
      </c>
      <c r="BC98" s="1130">
        <f t="shared" ref="BC98:BD98" si="656">SUM(BC94:BC97)</f>
        <v>653838.86597938137</v>
      </c>
      <c r="BD98" s="1130">
        <f t="shared" si="656"/>
        <v>654129.37699999998</v>
      </c>
      <c r="BE98" s="1373">
        <f t="shared" si="655"/>
        <v>1311272.9786107172</v>
      </c>
      <c r="BF98" s="1373">
        <f t="shared" si="655"/>
        <v>1286034.477</v>
      </c>
    </row>
    <row r="99" spans="1:58" x14ac:dyDescent="0.25">
      <c r="B99" s="27" t="s">
        <v>709</v>
      </c>
      <c r="C99" s="2322" t="s">
        <v>53</v>
      </c>
      <c r="D99" s="151">
        <f t="shared" ref="D99" si="657">+D85+D71</f>
        <v>464879.4154299309</v>
      </c>
      <c r="E99" s="151">
        <f t="shared" ref="E99:H100" si="658">+E85+E71</f>
        <v>38209</v>
      </c>
      <c r="F99" s="151">
        <f t="shared" si="658"/>
        <v>32041.9</v>
      </c>
      <c r="G99" s="151">
        <f t="shared" si="658"/>
        <v>39482.909299999999</v>
      </c>
      <c r="H99" s="151">
        <f t="shared" si="658"/>
        <v>36910.5</v>
      </c>
      <c r="I99" s="3497">
        <f t="shared" ref="I99:I100" si="659">+E99+G99</f>
        <v>77691.909299999999</v>
      </c>
      <c r="J99" s="144">
        <f t="shared" ref="J99:J100" si="660">+F99+H99</f>
        <v>68952.399999999994</v>
      </c>
      <c r="K99" s="151">
        <f>+K85+K71</f>
        <v>38209</v>
      </c>
      <c r="L99" s="151">
        <f>+L85+L71</f>
        <v>35273</v>
      </c>
      <c r="M99" s="3494">
        <f t="shared" ref="M99:M100" si="661">+I99+K99</f>
        <v>115900.9093</v>
      </c>
      <c r="N99" s="184">
        <f t="shared" ref="N99:N100" si="662">+J99+L99</f>
        <v>104225.4</v>
      </c>
      <c r="O99" s="151">
        <f>+O85+O71</f>
        <v>39482.90925569275</v>
      </c>
      <c r="P99" s="151">
        <f>+P85+P71</f>
        <v>36635.599999999999</v>
      </c>
      <c r="Q99" s="3497">
        <f>+M99+O99</f>
        <v>155383.81855569273</v>
      </c>
      <c r="R99" s="152">
        <f t="shared" ref="R99:R100" si="663">+N99+P99</f>
        <v>140861</v>
      </c>
      <c r="S99" s="151">
        <f>+S85+S71</f>
        <v>39482.90925569275</v>
      </c>
      <c r="T99" s="151">
        <f>+T85+T71</f>
        <v>36844.9</v>
      </c>
      <c r="U99" s="3497">
        <f t="shared" ref="U99:U100" si="664">+Q99+S99</f>
        <v>194866.72781138547</v>
      </c>
      <c r="V99" s="144">
        <f t="shared" ref="V99:V100" si="665">+R99+T99</f>
        <v>177705.9</v>
      </c>
      <c r="W99" s="151">
        <f t="shared" ref="W99:AB99" si="666">+W85+W71</f>
        <v>38209.267021638159</v>
      </c>
      <c r="X99" s="151">
        <f t="shared" si="666"/>
        <v>35394.300000000003</v>
      </c>
      <c r="Y99" s="1122">
        <f t="shared" si="666"/>
        <v>117175.08553302367</v>
      </c>
      <c r="Z99" s="1122">
        <f t="shared" si="666"/>
        <v>108874.8</v>
      </c>
      <c r="AA99" s="1998">
        <f t="shared" si="666"/>
        <v>233075.99483302367</v>
      </c>
      <c r="AB99" s="1998">
        <f t="shared" si="666"/>
        <v>213100.19999999998</v>
      </c>
      <c r="AC99" s="151">
        <f>+AC85+AC71</f>
        <v>39482.90925569275</v>
      </c>
      <c r="AD99" s="151">
        <f>+AD85+AD71</f>
        <v>39013.599999999999</v>
      </c>
      <c r="AE99" s="3497">
        <f t="shared" ref="AE99:AE100" si="667">+AA99+AC99</f>
        <v>272558.90408871643</v>
      </c>
      <c r="AF99" s="144">
        <f t="shared" ref="AF99:AF100" si="668">+AB99+AD99</f>
        <v>252113.8</v>
      </c>
      <c r="AG99" s="151">
        <f>+AG85+AG71</f>
        <v>38209.267021638159</v>
      </c>
      <c r="AH99" s="151">
        <f>+AH85+AH71</f>
        <v>36191.5</v>
      </c>
      <c r="AI99" s="3497">
        <f t="shared" ref="AI99:AI100" si="669">+AE99+AG99</f>
        <v>310768.1711103546</v>
      </c>
      <c r="AJ99" s="144">
        <f t="shared" ref="AJ99:AJ100" si="670">+AF99+AH99</f>
        <v>288305.3</v>
      </c>
      <c r="AK99" s="151">
        <f>+AK85+AK71</f>
        <v>39482.90925569275</v>
      </c>
      <c r="AL99" s="151">
        <f>+AL85+AL71</f>
        <v>33630</v>
      </c>
      <c r="AM99" s="2266">
        <f t="shared" ref="AM99:AM100" si="671">+AC99+AG99+AK99</f>
        <v>117175.08553302365</v>
      </c>
      <c r="AN99" s="184">
        <f t="shared" ref="AN99:AN100" si="672">+AD99+AH99+AL99</f>
        <v>108835.1</v>
      </c>
      <c r="AO99" s="3497">
        <f t="shared" ref="AO99:AO100" si="673">+AI99+AK99</f>
        <v>350251.08036604733</v>
      </c>
      <c r="AP99" s="152">
        <f t="shared" ref="AP99:AP100" si="674">+AJ99+AL99</f>
        <v>321935.3</v>
      </c>
      <c r="AQ99" s="151">
        <f>+AQ85+AQ71</f>
        <v>39482.90925569275</v>
      </c>
      <c r="AR99" s="151">
        <f>+AR85+AR71</f>
        <v>29337</v>
      </c>
      <c r="AS99" s="3497">
        <f t="shared" ref="AS99:AS100" si="675">+AO99+AQ99</f>
        <v>389733.98962174007</v>
      </c>
      <c r="AT99" s="144">
        <f t="shared" ref="AT99:AT100" si="676">+AP99+AR99</f>
        <v>351272.3</v>
      </c>
      <c r="AU99" s="151">
        <f>+AU85+AU71</f>
        <v>35661.982553528949</v>
      </c>
      <c r="AV99" s="151">
        <f>+AV85+AV71</f>
        <v>6675.84</v>
      </c>
      <c r="AW99" s="3497">
        <f t="shared" ref="AW99:AW100" si="677">+AS99+AU99</f>
        <v>425395.97217526904</v>
      </c>
      <c r="AX99" s="144">
        <f t="shared" ref="AX99:AX100" si="678">+AT99+AV99</f>
        <v>357948.14</v>
      </c>
      <c r="AY99" s="151">
        <f>+AY85+AY71</f>
        <v>39482.90925569275</v>
      </c>
      <c r="AZ99" s="151">
        <f>+AZ85+AZ71</f>
        <v>27446</v>
      </c>
      <c r="BA99" s="2266">
        <f t="shared" ref="BA99:BA100" si="679">+AQ99+AU99+AY99</f>
        <v>114627.80106491446</v>
      </c>
      <c r="BB99" s="184">
        <f t="shared" ref="BB99:BB100" si="680">+AR99+AV99+AZ99</f>
        <v>63458.84</v>
      </c>
      <c r="BC99" s="1998">
        <f>+AM99+BA99</f>
        <v>231802.88659793811</v>
      </c>
      <c r="BD99" s="1998">
        <f>+AN99+BB99</f>
        <v>172293.94</v>
      </c>
      <c r="BE99" s="3497">
        <f t="shared" ref="BE99:BE100" si="681">+AW99+AY99</f>
        <v>464878.88143096177</v>
      </c>
      <c r="BF99" s="144">
        <f t="shared" ref="BF99:BF100" si="682">+AX99+AZ99</f>
        <v>385394.14</v>
      </c>
    </row>
    <row r="100" spans="1:58" ht="15.75" thickBot="1" x14ac:dyDescent="0.3">
      <c r="B100" s="2336" t="s">
        <v>710</v>
      </c>
      <c r="C100" s="2322" t="s">
        <v>53</v>
      </c>
      <c r="D100" s="39">
        <f t="shared" ref="D100" si="683">+D86+D72</f>
        <v>119740.42709867453</v>
      </c>
      <c r="E100" s="39">
        <f t="shared" si="658"/>
        <v>9841</v>
      </c>
      <c r="F100" s="39">
        <f t="shared" si="658"/>
        <v>9929</v>
      </c>
      <c r="G100" s="39">
        <f t="shared" si="658"/>
        <v>10169.7348</v>
      </c>
      <c r="H100" s="39">
        <f t="shared" si="658"/>
        <v>8273</v>
      </c>
      <c r="I100" s="3497">
        <f t="shared" si="659"/>
        <v>20010.734799999998</v>
      </c>
      <c r="J100" s="144">
        <f t="shared" si="660"/>
        <v>18202</v>
      </c>
      <c r="K100" s="39">
        <f>+K86+K72</f>
        <v>9841</v>
      </c>
      <c r="L100" s="39">
        <f>+L86+L72</f>
        <v>8208</v>
      </c>
      <c r="M100" s="3494">
        <f t="shared" si="661"/>
        <v>29851.734799999998</v>
      </c>
      <c r="N100" s="184">
        <f t="shared" si="662"/>
        <v>26410</v>
      </c>
      <c r="O100" s="39">
        <f>+O86+O72</f>
        <v>10169.734904270987</v>
      </c>
      <c r="P100" s="39">
        <f>+P86+P72</f>
        <v>8754.2999999999993</v>
      </c>
      <c r="Q100" s="3497">
        <f>+M100+O100</f>
        <v>40021.469704270989</v>
      </c>
      <c r="R100" s="152">
        <f t="shared" si="663"/>
        <v>35164.300000000003</v>
      </c>
      <c r="S100" s="39">
        <f>+S86+S72</f>
        <v>10169.734904270987</v>
      </c>
      <c r="T100" s="39">
        <f>+T86+T72</f>
        <v>9398.2000000000007</v>
      </c>
      <c r="U100" s="3497">
        <f t="shared" si="664"/>
        <v>50191.204608541972</v>
      </c>
      <c r="V100" s="144">
        <f t="shared" si="665"/>
        <v>44562.5</v>
      </c>
      <c r="W100" s="39">
        <f t="shared" ref="W100:AB100" si="684">+W86+W72</f>
        <v>9841.6789396170843</v>
      </c>
      <c r="X100" s="39">
        <f t="shared" si="684"/>
        <v>5689.6</v>
      </c>
      <c r="Y100" s="162">
        <f t="shared" si="684"/>
        <v>30181.148748159056</v>
      </c>
      <c r="Z100" s="162">
        <f t="shared" si="684"/>
        <v>23842.1</v>
      </c>
      <c r="AA100" s="1139">
        <f t="shared" si="684"/>
        <v>60032.88354815905</v>
      </c>
      <c r="AB100" s="1139">
        <f t="shared" si="684"/>
        <v>50252.1</v>
      </c>
      <c r="AC100" s="39">
        <f>+AC86+AC72</f>
        <v>10169.734904270987</v>
      </c>
      <c r="AD100" s="39">
        <f>+AD86+AD72</f>
        <v>360</v>
      </c>
      <c r="AE100" s="3497">
        <f t="shared" si="667"/>
        <v>70202.618452430033</v>
      </c>
      <c r="AF100" s="144">
        <f t="shared" si="668"/>
        <v>50612.1</v>
      </c>
      <c r="AG100" s="39">
        <f>+AG86+AG72</f>
        <v>9841.6789396170843</v>
      </c>
      <c r="AH100" s="39">
        <f>+AH86+AH72</f>
        <v>6837.5</v>
      </c>
      <c r="AI100" s="3497">
        <f t="shared" si="669"/>
        <v>80044.297392047112</v>
      </c>
      <c r="AJ100" s="144">
        <f t="shared" si="670"/>
        <v>57449.599999999999</v>
      </c>
      <c r="AK100" s="39">
        <f>+AK86+AK72</f>
        <v>10169.734904270987</v>
      </c>
      <c r="AL100" s="39">
        <f>+AL86+AL72</f>
        <v>13080</v>
      </c>
      <c r="AM100" s="2266">
        <f t="shared" si="671"/>
        <v>30181.148748159056</v>
      </c>
      <c r="AN100" s="184">
        <f t="shared" si="672"/>
        <v>20277.5</v>
      </c>
      <c r="AO100" s="3497">
        <f t="shared" si="673"/>
        <v>90214.032296318095</v>
      </c>
      <c r="AP100" s="152">
        <f t="shared" si="674"/>
        <v>70529.600000000006</v>
      </c>
      <c r="AQ100" s="39">
        <f>+AQ86+AQ72</f>
        <v>10169.734904270987</v>
      </c>
      <c r="AR100" s="39">
        <f>+AR86+AR72</f>
        <v>13184</v>
      </c>
      <c r="AS100" s="3497">
        <f t="shared" si="675"/>
        <v>100383.76720058908</v>
      </c>
      <c r="AT100" s="144">
        <f t="shared" si="676"/>
        <v>83713.600000000006</v>
      </c>
      <c r="AU100" s="39">
        <f>+AU86+AU72</f>
        <v>9185.567010309278</v>
      </c>
      <c r="AV100" s="39">
        <f>+AV86+AV72</f>
        <v>21265.48</v>
      </c>
      <c r="AW100" s="3497">
        <f t="shared" si="677"/>
        <v>109569.33421089835</v>
      </c>
      <c r="AX100" s="144">
        <f t="shared" si="678"/>
        <v>104979.08</v>
      </c>
      <c r="AY100" s="39">
        <f>+AY86+AY72</f>
        <v>10169.734904270987</v>
      </c>
      <c r="AZ100" s="39">
        <f>+AZ86+AZ72</f>
        <v>14804</v>
      </c>
      <c r="BA100" s="2266">
        <f t="shared" si="679"/>
        <v>29525.036818851251</v>
      </c>
      <c r="BB100" s="184">
        <f t="shared" si="680"/>
        <v>49253.479999999996</v>
      </c>
      <c r="BC100" s="1139">
        <f>+AM100+BA100</f>
        <v>59706.18556701031</v>
      </c>
      <c r="BD100" s="1139">
        <f>+AN100+BB100</f>
        <v>69530.98</v>
      </c>
      <c r="BE100" s="3497">
        <f t="shared" si="681"/>
        <v>119739.06911516933</v>
      </c>
      <c r="BF100" s="144">
        <f t="shared" si="682"/>
        <v>119783.08</v>
      </c>
    </row>
    <row r="101" spans="1:58" ht="16.5" thickBot="1" x14ac:dyDescent="0.3">
      <c r="B101" s="32" t="s">
        <v>152</v>
      </c>
      <c r="C101" s="2325" t="s">
        <v>53</v>
      </c>
      <c r="D101" s="52">
        <f>SUM(D99:D100)</f>
        <v>584619.84252860537</v>
      </c>
      <c r="E101" s="52">
        <f>SUM(E99:E100)</f>
        <v>48050</v>
      </c>
      <c r="F101" s="52">
        <f t="shared" ref="F101:V101" si="685">SUM(F99:F100)</f>
        <v>41970.9</v>
      </c>
      <c r="G101" s="52">
        <f t="shared" si="685"/>
        <v>49652.644099999998</v>
      </c>
      <c r="H101" s="52">
        <f t="shared" si="685"/>
        <v>45183.5</v>
      </c>
      <c r="I101" s="52">
        <f t="shared" si="685"/>
        <v>97702.644100000005</v>
      </c>
      <c r="J101" s="52">
        <f t="shared" si="685"/>
        <v>87154.4</v>
      </c>
      <c r="K101" s="52">
        <f t="shared" si="685"/>
        <v>48050</v>
      </c>
      <c r="L101" s="52">
        <f t="shared" si="685"/>
        <v>43481</v>
      </c>
      <c r="M101" s="52">
        <f t="shared" si="685"/>
        <v>145752.6441</v>
      </c>
      <c r="N101" s="52">
        <f t="shared" si="685"/>
        <v>130635.4</v>
      </c>
      <c r="O101" s="52">
        <f t="shared" si="685"/>
        <v>49652.644159963733</v>
      </c>
      <c r="P101" s="52">
        <f t="shared" si="685"/>
        <v>45389.899999999994</v>
      </c>
      <c r="Q101" s="52">
        <f t="shared" si="685"/>
        <v>195405.28825996374</v>
      </c>
      <c r="R101" s="52">
        <f t="shared" si="685"/>
        <v>176025.3</v>
      </c>
      <c r="S101" s="52">
        <f t="shared" si="685"/>
        <v>49652.644159963733</v>
      </c>
      <c r="T101" s="52">
        <f t="shared" si="685"/>
        <v>46243.100000000006</v>
      </c>
      <c r="U101" s="52">
        <f t="shared" si="685"/>
        <v>245057.93241992744</v>
      </c>
      <c r="V101" s="52">
        <f t="shared" si="685"/>
        <v>222268.4</v>
      </c>
      <c r="W101" s="52">
        <f t="shared" ref="W101:X101" si="686">SUM(W99:W100)</f>
        <v>48050.945961255245</v>
      </c>
      <c r="X101" s="52">
        <f t="shared" si="686"/>
        <v>41083.9</v>
      </c>
      <c r="Y101" s="2025">
        <f t="shared" ref="Y101:AF101" si="687">SUM(Y99:Y100)</f>
        <v>147356.23428118273</v>
      </c>
      <c r="Z101" s="2025">
        <f t="shared" si="687"/>
        <v>132716.9</v>
      </c>
      <c r="AA101" s="2026">
        <f t="shared" si="687"/>
        <v>293108.87838118273</v>
      </c>
      <c r="AB101" s="2026">
        <f t="shared" si="687"/>
        <v>263352.3</v>
      </c>
      <c r="AC101" s="52">
        <f t="shared" si="687"/>
        <v>49652.644159963733</v>
      </c>
      <c r="AD101" s="52">
        <f t="shared" si="687"/>
        <v>39373.599999999999</v>
      </c>
      <c r="AE101" s="52">
        <f t="shared" si="687"/>
        <v>342761.52254114649</v>
      </c>
      <c r="AF101" s="52">
        <f t="shared" si="687"/>
        <v>302725.89999999997</v>
      </c>
      <c r="AG101" s="52">
        <f t="shared" ref="AG101:AH101" si="688">SUM(AG99:AG100)</f>
        <v>48050.945961255245</v>
      </c>
      <c r="AH101" s="52">
        <f t="shared" si="688"/>
        <v>43029</v>
      </c>
      <c r="AI101" s="52">
        <f t="shared" ref="AI101:AP101" si="689">SUM(AI99:AI100)</f>
        <v>390812.46850240172</v>
      </c>
      <c r="AJ101" s="52">
        <f t="shared" si="689"/>
        <v>345754.89999999997</v>
      </c>
      <c r="AK101" s="52">
        <f t="shared" si="689"/>
        <v>49652.644159963733</v>
      </c>
      <c r="AL101" s="52">
        <f t="shared" si="689"/>
        <v>46710</v>
      </c>
      <c r="AM101" s="52">
        <f t="shared" si="689"/>
        <v>147356.2342811827</v>
      </c>
      <c r="AN101" s="52">
        <f t="shared" si="689"/>
        <v>129112.6</v>
      </c>
      <c r="AO101" s="52">
        <f t="shared" si="689"/>
        <v>440465.11266236543</v>
      </c>
      <c r="AP101" s="52">
        <f t="shared" si="689"/>
        <v>392464.9</v>
      </c>
      <c r="AQ101" s="52">
        <f t="shared" ref="AQ101:AT101" si="690">SUM(AQ99:AQ100)</f>
        <v>49652.644159963733</v>
      </c>
      <c r="AR101" s="52">
        <f t="shared" si="690"/>
        <v>42521</v>
      </c>
      <c r="AS101" s="52">
        <f t="shared" si="690"/>
        <v>490117.75682232913</v>
      </c>
      <c r="AT101" s="52">
        <f t="shared" si="690"/>
        <v>434985.9</v>
      </c>
      <c r="AU101" s="52">
        <f t="shared" ref="AU101:AX101" si="691">SUM(AU99:AU100)</f>
        <v>44847.549563838227</v>
      </c>
      <c r="AV101" s="52">
        <f t="shared" si="691"/>
        <v>27941.32</v>
      </c>
      <c r="AW101" s="52">
        <f t="shared" si="691"/>
        <v>534965.30638616742</v>
      </c>
      <c r="AX101" s="52">
        <f t="shared" si="691"/>
        <v>462927.22000000003</v>
      </c>
      <c r="AY101" s="52">
        <f t="shared" ref="AY101:BF101" si="692">SUM(AY99:AY100)</f>
        <v>49652.644159963733</v>
      </c>
      <c r="AZ101" s="52">
        <f t="shared" si="692"/>
        <v>42250</v>
      </c>
      <c r="BA101" s="52">
        <f t="shared" si="692"/>
        <v>144152.83788376569</v>
      </c>
      <c r="BB101" s="52">
        <f t="shared" si="692"/>
        <v>112712.31999999999</v>
      </c>
      <c r="BC101" s="2026">
        <f t="shared" ref="BC101:BD101" si="693">SUM(BC99:BC100)</f>
        <v>291509.07216494845</v>
      </c>
      <c r="BD101" s="2026">
        <f t="shared" si="693"/>
        <v>241824.91999999998</v>
      </c>
      <c r="BE101" s="52">
        <f t="shared" si="692"/>
        <v>584617.95054613112</v>
      </c>
      <c r="BF101" s="52">
        <f t="shared" si="692"/>
        <v>505177.22000000003</v>
      </c>
    </row>
    <row r="102" spans="1:58" ht="16.5" thickBot="1" x14ac:dyDescent="0.3">
      <c r="B102" s="32" t="s">
        <v>13</v>
      </c>
      <c r="C102" s="2325" t="s">
        <v>53</v>
      </c>
      <c r="D102" s="52">
        <f>+D98+D101</f>
        <v>1895890.095729013</v>
      </c>
      <c r="E102" s="52">
        <f>+E98+E101</f>
        <v>155827</v>
      </c>
      <c r="F102" s="52">
        <f t="shared" ref="F102:V102" si="694">+F98+F101</f>
        <v>142599.20000000001</v>
      </c>
      <c r="G102" s="52">
        <f t="shared" si="694"/>
        <v>161020.80249999999</v>
      </c>
      <c r="H102" s="52">
        <f t="shared" si="694"/>
        <v>150782.79999999999</v>
      </c>
      <c r="I102" s="52">
        <f t="shared" si="694"/>
        <v>316847.80249999999</v>
      </c>
      <c r="J102" s="52">
        <f t="shared" si="694"/>
        <v>293382</v>
      </c>
      <c r="K102" s="52">
        <f t="shared" si="694"/>
        <v>155827</v>
      </c>
      <c r="L102" s="52">
        <f t="shared" si="694"/>
        <v>146710</v>
      </c>
      <c r="M102" s="52">
        <f t="shared" si="694"/>
        <v>472674.80249999999</v>
      </c>
      <c r="N102" s="52">
        <f t="shared" si="694"/>
        <v>440092</v>
      </c>
      <c r="O102" s="52">
        <f t="shared" si="694"/>
        <v>161020.80265095725</v>
      </c>
      <c r="P102" s="52">
        <f t="shared" si="694"/>
        <v>150866.79999999999</v>
      </c>
      <c r="Q102" s="52">
        <f t="shared" si="694"/>
        <v>633695.60515095736</v>
      </c>
      <c r="R102" s="52">
        <f t="shared" si="694"/>
        <v>590958.80000000005</v>
      </c>
      <c r="S102" s="52">
        <f t="shared" si="694"/>
        <v>161020.80265095725</v>
      </c>
      <c r="T102" s="52">
        <f t="shared" si="694"/>
        <v>155403.29999999999</v>
      </c>
      <c r="U102" s="52">
        <f t="shared" si="694"/>
        <v>794716.40780191449</v>
      </c>
      <c r="V102" s="52">
        <f t="shared" si="694"/>
        <v>746362.10000000009</v>
      </c>
      <c r="W102" s="52">
        <f t="shared" ref="W102:X102" si="695">+W98+W101</f>
        <v>155826.58321060383</v>
      </c>
      <c r="X102" s="52">
        <f t="shared" si="695"/>
        <v>148895.29999999999</v>
      </c>
      <c r="Y102" s="2025">
        <f t="shared" ref="Y102:AF102" si="696">+Y98+Y101</f>
        <v>477868.18851251842</v>
      </c>
      <c r="Z102" s="2025">
        <f t="shared" si="696"/>
        <v>455165.4</v>
      </c>
      <c r="AA102" s="2026">
        <f t="shared" si="696"/>
        <v>950542.99101251853</v>
      </c>
      <c r="AB102" s="2026">
        <f t="shared" si="696"/>
        <v>895257.40000000014</v>
      </c>
      <c r="AC102" s="52">
        <f t="shared" si="696"/>
        <v>161020.80265095725</v>
      </c>
      <c r="AD102" s="52">
        <f t="shared" si="696"/>
        <v>149389.40000000002</v>
      </c>
      <c r="AE102" s="52">
        <f t="shared" si="696"/>
        <v>1111563.7936634757</v>
      </c>
      <c r="AF102" s="52">
        <f t="shared" si="696"/>
        <v>1044646.8</v>
      </c>
      <c r="AG102" s="52">
        <f t="shared" ref="AG102:AH102" si="697">+AG98+AG101</f>
        <v>155826.58321060383</v>
      </c>
      <c r="AH102" s="52">
        <f t="shared" si="697"/>
        <v>152198.5</v>
      </c>
      <c r="AI102" s="52">
        <f t="shared" ref="AI102:AP102" si="698">+AI98+AI101</f>
        <v>1267390.3768740795</v>
      </c>
      <c r="AJ102" s="52">
        <f t="shared" si="698"/>
        <v>1196845.3</v>
      </c>
      <c r="AK102" s="52">
        <f t="shared" si="698"/>
        <v>161020.80265095725</v>
      </c>
      <c r="AL102" s="52">
        <f t="shared" si="698"/>
        <v>156460</v>
      </c>
      <c r="AM102" s="52">
        <f t="shared" si="698"/>
        <v>477868.18851251836</v>
      </c>
      <c r="AN102" s="52">
        <f t="shared" si="698"/>
        <v>458047.9</v>
      </c>
      <c r="AO102" s="52">
        <f t="shared" si="698"/>
        <v>1428411.1795250368</v>
      </c>
      <c r="AP102" s="52">
        <f t="shared" si="698"/>
        <v>1353305.3</v>
      </c>
      <c r="AQ102" s="52">
        <f t="shared" ref="AQ102:AT102" si="699">+AQ98+AQ101</f>
        <v>161020.80265095725</v>
      </c>
      <c r="AR102" s="52">
        <f t="shared" si="699"/>
        <v>151475</v>
      </c>
      <c r="AS102" s="52">
        <f t="shared" si="699"/>
        <v>1589431.9821759937</v>
      </c>
      <c r="AT102" s="52">
        <f t="shared" si="699"/>
        <v>1504780.3000000003</v>
      </c>
      <c r="AU102" s="52">
        <f t="shared" ref="AU102:AX102" si="700">+AU98+AU101</f>
        <v>145438.1443298969</v>
      </c>
      <c r="AV102" s="52">
        <f t="shared" si="700"/>
        <v>136198.397</v>
      </c>
      <c r="AW102" s="52">
        <f t="shared" si="700"/>
        <v>1734870.1265058911</v>
      </c>
      <c r="AX102" s="52">
        <f t="shared" si="700"/>
        <v>1640978.6969999999</v>
      </c>
      <c r="AY102" s="52">
        <f t="shared" ref="AY102:BF102" si="701">+AY98+AY101</f>
        <v>161020.80265095725</v>
      </c>
      <c r="AZ102" s="52">
        <f t="shared" si="701"/>
        <v>150233</v>
      </c>
      <c r="BA102" s="52">
        <f t="shared" si="701"/>
        <v>467479.7496318114</v>
      </c>
      <c r="BB102" s="52">
        <f t="shared" si="701"/>
        <v>437906.39700000006</v>
      </c>
      <c r="BC102" s="2026">
        <f t="shared" ref="BC102:BD102" si="702">+BC98+BC101</f>
        <v>945347.93814432982</v>
      </c>
      <c r="BD102" s="2026">
        <f t="shared" si="702"/>
        <v>895954.29700000002</v>
      </c>
      <c r="BE102" s="52">
        <f t="shared" si="701"/>
        <v>1895890.9291568482</v>
      </c>
      <c r="BF102" s="52">
        <f t="shared" si="701"/>
        <v>1791211.6969999999</v>
      </c>
    </row>
    <row r="103" spans="1:58" s="1364" customFormat="1" x14ac:dyDescent="0.25">
      <c r="A103" s="332"/>
      <c r="B103" s="2336" t="s">
        <v>1223</v>
      </c>
      <c r="C103" s="2337"/>
      <c r="D103" s="5076">
        <f>+D75+D89</f>
        <v>99727</v>
      </c>
      <c r="E103" s="5076">
        <f>+E75+E89</f>
        <v>8197</v>
      </c>
      <c r="F103" s="3490">
        <f>+F75+F89</f>
        <v>5450.5</v>
      </c>
      <c r="G103" s="5076">
        <f t="shared" ref="G103" si="703">+G75+G89</f>
        <v>8469.9812000000002</v>
      </c>
      <c r="H103" s="3490">
        <f>+H75+H89</f>
        <v>6428.8</v>
      </c>
      <c r="I103" s="5079">
        <f>+E103+G103</f>
        <v>16666.981200000002</v>
      </c>
      <c r="J103" s="144">
        <f t="shared" ref="J103:J105" si="704">+F103+H103</f>
        <v>11879.3</v>
      </c>
      <c r="K103" s="5076">
        <f t="shared" ref="K103" si="705">+K75+K89</f>
        <v>8197</v>
      </c>
      <c r="L103" s="3490">
        <f>+L75+L89</f>
        <v>6530</v>
      </c>
      <c r="M103" s="5115">
        <f>+I103+K103</f>
        <v>24863.981200000002</v>
      </c>
      <c r="N103" s="184">
        <f t="shared" ref="N103:N105" si="706">+J103+L103</f>
        <v>18409.3</v>
      </c>
      <c r="O103" s="5076">
        <f t="shared" ref="O103" si="707">+O75+O89</f>
        <v>8469.9813179347821</v>
      </c>
      <c r="P103" s="3490">
        <f>+P75+P89</f>
        <v>680.9</v>
      </c>
      <c r="Q103" s="5079">
        <f>+M103+O103</f>
        <v>33333.962517934786</v>
      </c>
      <c r="R103" s="152">
        <f t="shared" ref="R103:R105" si="708">+N103+P103</f>
        <v>19090.2</v>
      </c>
      <c r="S103" s="5076">
        <f t="shared" ref="S103" si="709">+S75+S89</f>
        <v>8470</v>
      </c>
      <c r="T103" s="3490">
        <f>+T75+T89</f>
        <v>6604.4</v>
      </c>
      <c r="U103" s="5079">
        <f>+Q103+S103</f>
        <v>41803.962517934786</v>
      </c>
      <c r="V103" s="144">
        <f t="shared" ref="V103:V105" si="710">+R103+T103</f>
        <v>25694.6</v>
      </c>
      <c r="W103" s="5076">
        <f t="shared" ref="W103:Y103" si="711">+W75+W89</f>
        <v>8197</v>
      </c>
      <c r="X103" s="3490">
        <f>+X75+X89</f>
        <v>2860</v>
      </c>
      <c r="Y103" s="5134">
        <f t="shared" si="711"/>
        <v>25136.98131793478</v>
      </c>
      <c r="Z103" s="3494">
        <f>+Z75+Z89</f>
        <v>10145.299999999999</v>
      </c>
      <c r="AA103" s="5124">
        <f t="shared" ref="AA103" si="712">+AA75+AA89</f>
        <v>50000.962517934779</v>
      </c>
      <c r="AB103" s="3506">
        <f>+AB75+AB89</f>
        <v>28554.6</v>
      </c>
      <c r="AC103" s="5076">
        <f t="shared" ref="AC103" si="713">+AC75+AC89</f>
        <v>8470</v>
      </c>
      <c r="AD103" s="3490">
        <f>+AD75+AD89</f>
        <v>2720</v>
      </c>
      <c r="AE103" s="5079">
        <f>+AA103+AC103</f>
        <v>58470.962517934779</v>
      </c>
      <c r="AF103" s="144">
        <f t="shared" ref="AF103" si="714">+AB103+AD103</f>
        <v>31274.6</v>
      </c>
      <c r="AG103" s="5076">
        <f t="shared" ref="AG103" si="715">+AG75+AG89</f>
        <v>8197</v>
      </c>
      <c r="AH103" s="3490">
        <f>+AH75+AH89</f>
        <v>0</v>
      </c>
      <c r="AI103" s="5079">
        <f>+AE103+AG103</f>
        <v>66667.962517934779</v>
      </c>
      <c r="AJ103" s="144">
        <f t="shared" ref="AJ103" si="716">+AF103+AH103</f>
        <v>31274.6</v>
      </c>
      <c r="AK103" s="5076">
        <f t="shared" ref="AK103" si="717">+AK75+AK89</f>
        <v>8470</v>
      </c>
      <c r="AL103" s="3490">
        <f>+AL75+AL89</f>
        <v>0</v>
      </c>
      <c r="AM103" s="5115">
        <f t="shared" ref="AM103" si="718">+AC103+AG103+AK103</f>
        <v>25137</v>
      </c>
      <c r="AN103" s="184">
        <f t="shared" ref="AN103:AN105" si="719">+AD103+AH103+AL103</f>
        <v>2720</v>
      </c>
      <c r="AO103" s="5079">
        <f t="shared" ref="AO103" si="720">+AI103+AK103</f>
        <v>75137.962517934779</v>
      </c>
      <c r="AP103" s="152">
        <f t="shared" ref="AP103:AP105" si="721">+AJ103+AL103</f>
        <v>31274.6</v>
      </c>
      <c r="AQ103" s="5076">
        <f t="shared" ref="AQ103" si="722">+AQ75+AQ89</f>
        <v>8470</v>
      </c>
      <c r="AR103" s="3490">
        <f>+AR75+AR89</f>
        <v>940</v>
      </c>
      <c r="AS103" s="5079">
        <f>+AO103+AQ103</f>
        <v>83607.962517934779</v>
      </c>
      <c r="AT103" s="144">
        <f t="shared" ref="AT103" si="723">+AP103+AR103</f>
        <v>32214.6</v>
      </c>
      <c r="AU103" s="5076">
        <f t="shared" ref="AU103" si="724">+AU75+AU89</f>
        <v>7650</v>
      </c>
      <c r="AV103" s="3490">
        <f>+AV75+AV89</f>
        <v>5210</v>
      </c>
      <c r="AW103" s="5079">
        <f>+AS103+AU103</f>
        <v>91257.962517934779</v>
      </c>
      <c r="AX103" s="144">
        <f t="shared" ref="AX103" si="725">+AT103+AV103</f>
        <v>37424.6</v>
      </c>
      <c r="AY103" s="5076">
        <f t="shared" ref="AY103" si="726">+AY75+AY89</f>
        <v>8470</v>
      </c>
      <c r="AZ103" s="3490">
        <f>+AZ75+AZ89</f>
        <v>0</v>
      </c>
      <c r="BA103" s="5115">
        <f t="shared" ref="BA103" si="727">+AQ103+AU103+AY103</f>
        <v>24590</v>
      </c>
      <c r="BB103" s="184">
        <f t="shared" ref="BB103:BB105" si="728">+AR103+AV103+AZ103</f>
        <v>6150</v>
      </c>
      <c r="BC103" s="5124">
        <f>+AM103+BA103</f>
        <v>49727</v>
      </c>
      <c r="BD103" s="3506">
        <f>+AN103+BB103</f>
        <v>8870</v>
      </c>
      <c r="BE103" s="5079">
        <f>+AW103+AY103</f>
        <v>99727.962517934779</v>
      </c>
      <c r="BF103" s="144">
        <f t="shared" ref="BF103" si="729">+AX103+AZ103</f>
        <v>37424.6</v>
      </c>
    </row>
    <row r="104" spans="1:58" x14ac:dyDescent="0.25">
      <c r="A104" s="333"/>
      <c r="B104" s="2336" t="s">
        <v>1224</v>
      </c>
      <c r="C104" s="2337" t="s">
        <v>53</v>
      </c>
      <c r="D104" s="5077"/>
      <c r="E104" s="5077"/>
      <c r="F104" s="3490">
        <f>+F76+F90</f>
        <v>1900</v>
      </c>
      <c r="G104" s="5077"/>
      <c r="H104" s="3490">
        <f>+H76+H90</f>
        <v>0</v>
      </c>
      <c r="I104" s="5080"/>
      <c r="J104" s="144">
        <f t="shared" si="704"/>
        <v>1900</v>
      </c>
      <c r="K104" s="5077"/>
      <c r="L104" s="3490">
        <f>+L76+L90</f>
        <v>0</v>
      </c>
      <c r="M104" s="5116"/>
      <c r="N104" s="184">
        <f t="shared" si="706"/>
        <v>1900</v>
      </c>
      <c r="O104" s="5077"/>
      <c r="P104" s="3490">
        <f>+P76+P90</f>
        <v>2742.4</v>
      </c>
      <c r="Q104" s="5080"/>
      <c r="R104" s="152">
        <f t="shared" si="708"/>
        <v>4642.3999999999996</v>
      </c>
      <c r="S104" s="5077"/>
      <c r="T104" s="3490">
        <f>+T76+T90</f>
        <v>1021</v>
      </c>
      <c r="U104" s="5080"/>
      <c r="V104" s="144">
        <f>+R104+T104</f>
        <v>5663.4</v>
      </c>
      <c r="W104" s="5077"/>
      <c r="X104" s="3490">
        <f>+X76+X90</f>
        <v>5304.2</v>
      </c>
      <c r="Y104" s="5135"/>
      <c r="Z104" s="3494">
        <f>+Z76+Z90</f>
        <v>9067.6</v>
      </c>
      <c r="AA104" s="5125"/>
      <c r="AB104" s="3506">
        <f>+AB76+AB90</f>
        <v>10967.6</v>
      </c>
      <c r="AC104" s="5077"/>
      <c r="AD104" s="3490">
        <f>+AD76+AD90</f>
        <v>9595.6</v>
      </c>
      <c r="AE104" s="5080"/>
      <c r="AF104" s="144">
        <f>+AB104+AD104</f>
        <v>20563.2</v>
      </c>
      <c r="AG104" s="5077"/>
      <c r="AH104" s="3490">
        <f>+AH76+AH90</f>
        <v>6128.1</v>
      </c>
      <c r="AI104" s="5080"/>
      <c r="AJ104" s="144">
        <f>+AF104+AH104</f>
        <v>26691.300000000003</v>
      </c>
      <c r="AK104" s="5077"/>
      <c r="AL104" s="3490">
        <f>+AL76+AL90</f>
        <v>7030</v>
      </c>
      <c r="AM104" s="5116"/>
      <c r="AN104" s="184">
        <f t="shared" si="719"/>
        <v>22753.7</v>
      </c>
      <c r="AO104" s="5080"/>
      <c r="AP104" s="152">
        <f t="shared" si="721"/>
        <v>33721.300000000003</v>
      </c>
      <c r="AQ104" s="5077"/>
      <c r="AR104" s="3490">
        <f>+AR76+AR90</f>
        <v>4315</v>
      </c>
      <c r="AS104" s="5080"/>
      <c r="AT104" s="144">
        <f>+AP104+AR104</f>
        <v>38036.300000000003</v>
      </c>
      <c r="AU104" s="5077"/>
      <c r="AV104" s="3490">
        <f>+AV76+AV90</f>
        <v>6649.076</v>
      </c>
      <c r="AW104" s="5080"/>
      <c r="AX104" s="144">
        <f>+AT104+AV104</f>
        <v>44685.376000000004</v>
      </c>
      <c r="AY104" s="5077"/>
      <c r="AZ104" s="3490">
        <f>+AZ76+AZ90</f>
        <v>7198</v>
      </c>
      <c r="BA104" s="5116"/>
      <c r="BB104" s="184">
        <f t="shared" si="728"/>
        <v>18162.076000000001</v>
      </c>
      <c r="BC104" s="5125"/>
      <c r="BD104" s="3506">
        <f>+AN104+BB104</f>
        <v>40915.775999999998</v>
      </c>
      <c r="BE104" s="5080"/>
      <c r="BF104" s="144">
        <f>+AX104+AZ104</f>
        <v>51883.376000000004</v>
      </c>
    </row>
    <row r="105" spans="1:58" ht="15.75" customHeight="1" thickBot="1" x14ac:dyDescent="0.3">
      <c r="B105" s="28" t="s">
        <v>1791</v>
      </c>
      <c r="C105" s="2337" t="s">
        <v>53</v>
      </c>
      <c r="D105" s="5078"/>
      <c r="E105" s="5078"/>
      <c r="F105" s="3490">
        <f>+F77+F91</f>
        <v>855</v>
      </c>
      <c r="G105" s="5078"/>
      <c r="H105" s="3490">
        <f>+H77+H91</f>
        <v>0</v>
      </c>
      <c r="I105" s="5081"/>
      <c r="J105" s="144">
        <f t="shared" si="704"/>
        <v>855</v>
      </c>
      <c r="K105" s="5078"/>
      <c r="L105" s="3490">
        <f>+L77+L91</f>
        <v>0</v>
      </c>
      <c r="M105" s="5117"/>
      <c r="N105" s="184">
        <f t="shared" si="706"/>
        <v>855</v>
      </c>
      <c r="O105" s="5078"/>
      <c r="P105" s="3490">
        <f>+P77+P91</f>
        <v>2575</v>
      </c>
      <c r="Q105" s="5081"/>
      <c r="R105" s="152">
        <f t="shared" si="708"/>
        <v>3430</v>
      </c>
      <c r="S105" s="5078"/>
      <c r="T105" s="3490">
        <f>+T77+T91</f>
        <v>0</v>
      </c>
      <c r="U105" s="5081"/>
      <c r="V105" s="144">
        <f t="shared" si="710"/>
        <v>3430</v>
      </c>
      <c r="W105" s="5078"/>
      <c r="X105" s="3490">
        <f>+X77+X91</f>
        <v>0</v>
      </c>
      <c r="Y105" s="5136"/>
      <c r="Z105" s="3494">
        <f>+Z77+Z91</f>
        <v>2575</v>
      </c>
      <c r="AA105" s="5126"/>
      <c r="AB105" s="3506">
        <f>+AB77+AB91</f>
        <v>3430</v>
      </c>
      <c r="AC105" s="5078"/>
      <c r="AD105" s="3490">
        <f>+AD77+AD91</f>
        <v>0</v>
      </c>
      <c r="AE105" s="5081"/>
      <c r="AF105" s="144">
        <f t="shared" ref="AF105" si="730">+AB105+AD105</f>
        <v>3430</v>
      </c>
      <c r="AG105" s="5078"/>
      <c r="AH105" s="3490">
        <f>+AH77+AH91</f>
        <v>0</v>
      </c>
      <c r="AI105" s="5081"/>
      <c r="AJ105" s="144">
        <f t="shared" ref="AJ105" si="731">+AF105+AH105</f>
        <v>3430</v>
      </c>
      <c r="AK105" s="5078"/>
      <c r="AL105" s="3490">
        <f>+AL77+AL91</f>
        <v>0</v>
      </c>
      <c r="AM105" s="5117"/>
      <c r="AN105" s="184">
        <f t="shared" si="719"/>
        <v>0</v>
      </c>
      <c r="AO105" s="5081"/>
      <c r="AP105" s="152">
        <f t="shared" si="721"/>
        <v>3430</v>
      </c>
      <c r="AQ105" s="5078"/>
      <c r="AR105" s="3490">
        <f>+AR77+AR91</f>
        <v>7052</v>
      </c>
      <c r="AS105" s="5081"/>
      <c r="AT105" s="144">
        <f t="shared" ref="AT105" si="732">+AP105+AR105</f>
        <v>10482</v>
      </c>
      <c r="AU105" s="5078"/>
      <c r="AV105" s="3490">
        <f>+AV77+AV91</f>
        <v>0</v>
      </c>
      <c r="AW105" s="5081"/>
      <c r="AX105" s="144">
        <f t="shared" ref="AX105" si="733">+AT105+AV105</f>
        <v>10482</v>
      </c>
      <c r="AY105" s="5078"/>
      <c r="AZ105" s="3490">
        <f>+AZ77+AZ91</f>
        <v>5680</v>
      </c>
      <c r="BA105" s="5117"/>
      <c r="BB105" s="184">
        <f t="shared" si="728"/>
        <v>12732</v>
      </c>
      <c r="BC105" s="5126"/>
      <c r="BD105" s="3506">
        <f>+AN105+BB105</f>
        <v>12732</v>
      </c>
      <c r="BE105" s="5081"/>
      <c r="BF105" s="144">
        <f t="shared" ref="BF105" si="734">+AX105+AZ105</f>
        <v>16162</v>
      </c>
    </row>
    <row r="106" spans="1:58" ht="16.5" thickBot="1" x14ac:dyDescent="0.3">
      <c r="B106" s="2326" t="s">
        <v>12</v>
      </c>
      <c r="C106" s="2342" t="s">
        <v>53</v>
      </c>
      <c r="D106" s="56">
        <f>SUM(D102:D105)</f>
        <v>1995617.095729013</v>
      </c>
      <c r="E106" s="56">
        <f>SUM(E102:E105)</f>
        <v>164024</v>
      </c>
      <c r="F106" s="56">
        <f t="shared" ref="F106:V106" si="735">SUM(F102:F105)</f>
        <v>150804.70000000001</v>
      </c>
      <c r="G106" s="56">
        <f t="shared" si="735"/>
        <v>169490.7837</v>
      </c>
      <c r="H106" s="56">
        <f t="shared" si="735"/>
        <v>157211.59999999998</v>
      </c>
      <c r="I106" s="56">
        <f t="shared" si="735"/>
        <v>333514.78369999997</v>
      </c>
      <c r="J106" s="56">
        <f t="shared" si="735"/>
        <v>308016.3</v>
      </c>
      <c r="K106" s="56">
        <f t="shared" si="735"/>
        <v>164024</v>
      </c>
      <c r="L106" s="56">
        <f t="shared" si="735"/>
        <v>153240</v>
      </c>
      <c r="M106" s="56">
        <f t="shared" si="735"/>
        <v>497538.78369999997</v>
      </c>
      <c r="N106" s="56">
        <f t="shared" si="735"/>
        <v>461256.3</v>
      </c>
      <c r="O106" s="56">
        <f t="shared" si="735"/>
        <v>169490.78396889204</v>
      </c>
      <c r="P106" s="56">
        <f t="shared" si="735"/>
        <v>156865.09999999998</v>
      </c>
      <c r="Q106" s="56">
        <f t="shared" si="735"/>
        <v>667029.56766889209</v>
      </c>
      <c r="R106" s="56">
        <f t="shared" si="735"/>
        <v>618121.4</v>
      </c>
      <c r="S106" s="56">
        <f t="shared" si="735"/>
        <v>169490.80265095725</v>
      </c>
      <c r="T106" s="56">
        <f t="shared" si="735"/>
        <v>163028.69999999998</v>
      </c>
      <c r="U106" s="56">
        <f t="shared" si="735"/>
        <v>836520.37031984923</v>
      </c>
      <c r="V106" s="56">
        <f t="shared" si="735"/>
        <v>781150.10000000009</v>
      </c>
      <c r="W106" s="56">
        <f t="shared" ref="W106:X106" si="736">SUM(W102:W105)</f>
        <v>164023.58321060383</v>
      </c>
      <c r="X106" s="56">
        <f t="shared" si="736"/>
        <v>157059.5</v>
      </c>
      <c r="Y106" s="159">
        <f t="shared" ref="Y106:AF106" si="737">SUM(Y102:Y105)</f>
        <v>503005.16983045317</v>
      </c>
      <c r="Z106" s="159">
        <f t="shared" si="737"/>
        <v>476953.3</v>
      </c>
      <c r="AA106" s="1126">
        <f t="shared" si="737"/>
        <v>1000543.9535304533</v>
      </c>
      <c r="AB106" s="1126">
        <f t="shared" si="737"/>
        <v>938209.60000000009</v>
      </c>
      <c r="AC106" s="56">
        <f t="shared" si="737"/>
        <v>169490.80265095725</v>
      </c>
      <c r="AD106" s="56">
        <f t="shared" si="737"/>
        <v>161705.00000000003</v>
      </c>
      <c r="AE106" s="56">
        <f t="shared" si="737"/>
        <v>1170034.7561814105</v>
      </c>
      <c r="AF106" s="56">
        <f t="shared" si="737"/>
        <v>1099914.6000000001</v>
      </c>
      <c r="AG106" s="56">
        <f t="shared" ref="AG106:AP106" si="738">SUM(AG102:AG105)</f>
        <v>164023.58321060383</v>
      </c>
      <c r="AH106" s="56">
        <f t="shared" si="738"/>
        <v>158326.6</v>
      </c>
      <c r="AI106" s="56">
        <f t="shared" si="738"/>
        <v>1334058.3393920143</v>
      </c>
      <c r="AJ106" s="56">
        <f t="shared" si="738"/>
        <v>1258241.2000000002</v>
      </c>
      <c r="AK106" s="56">
        <f t="shared" si="738"/>
        <v>169490.80265095725</v>
      </c>
      <c r="AL106" s="56">
        <f t="shared" si="738"/>
        <v>163490</v>
      </c>
      <c r="AM106" s="56">
        <f t="shared" si="738"/>
        <v>503005.18851251836</v>
      </c>
      <c r="AN106" s="56">
        <f t="shared" si="738"/>
        <v>483521.60000000003</v>
      </c>
      <c r="AO106" s="56">
        <f t="shared" si="738"/>
        <v>1503549.1420429717</v>
      </c>
      <c r="AP106" s="56">
        <f t="shared" si="738"/>
        <v>1421731.2000000002</v>
      </c>
      <c r="AQ106" s="56">
        <f t="shared" ref="AQ106:AT106" si="739">SUM(AQ102:AQ105)</f>
        <v>169490.80265095725</v>
      </c>
      <c r="AR106" s="56">
        <f t="shared" si="739"/>
        <v>163782</v>
      </c>
      <c r="AS106" s="56">
        <f t="shared" si="739"/>
        <v>1673039.9446939286</v>
      </c>
      <c r="AT106" s="56">
        <f t="shared" si="739"/>
        <v>1585513.2000000004</v>
      </c>
      <c r="AU106" s="56">
        <f t="shared" ref="AU106:AX106" si="740">SUM(AU102:AU105)</f>
        <v>153088.1443298969</v>
      </c>
      <c r="AV106" s="56">
        <f t="shared" si="740"/>
        <v>148057.473</v>
      </c>
      <c r="AW106" s="56">
        <f t="shared" si="740"/>
        <v>1826128.0890238259</v>
      </c>
      <c r="AX106" s="56">
        <f t="shared" si="740"/>
        <v>1733570.673</v>
      </c>
      <c r="AY106" s="56">
        <f t="shared" ref="AY106:BF106" si="741">SUM(AY102:AY105)</f>
        <v>169490.80265095725</v>
      </c>
      <c r="AZ106" s="56">
        <f t="shared" si="741"/>
        <v>163111</v>
      </c>
      <c r="BA106" s="56">
        <f t="shared" si="741"/>
        <v>492069.7496318114</v>
      </c>
      <c r="BB106" s="56">
        <f t="shared" si="741"/>
        <v>474950.47300000006</v>
      </c>
      <c r="BC106" s="1126">
        <f t="shared" ref="BC106:BD106" si="742">SUM(BC102:BC105)</f>
        <v>995074.93814432982</v>
      </c>
      <c r="BD106" s="1126">
        <f t="shared" si="742"/>
        <v>958472.07299999997</v>
      </c>
      <c r="BE106" s="56">
        <f t="shared" si="741"/>
        <v>1995618.8916747831</v>
      </c>
      <c r="BF106" s="56">
        <f t="shared" si="741"/>
        <v>1896681.673</v>
      </c>
    </row>
    <row r="107" spans="1:58" s="334" customFormat="1" ht="18.75" x14ac:dyDescent="0.25">
      <c r="A107" s="333"/>
      <c r="B107" s="690" t="s">
        <v>1814</v>
      </c>
      <c r="C107" s="622"/>
      <c r="D107" s="689"/>
      <c r="E107" s="689"/>
      <c r="F107" s="689"/>
      <c r="G107" s="689"/>
      <c r="H107" s="689"/>
      <c r="I107" s="689"/>
      <c r="J107" s="689"/>
      <c r="K107" s="689"/>
      <c r="L107" s="689"/>
      <c r="M107" s="689"/>
      <c r="N107" s="689"/>
      <c r="O107" s="689"/>
      <c r="P107" s="689"/>
      <c r="Q107" s="689"/>
      <c r="R107" s="689"/>
      <c r="S107" s="689"/>
      <c r="T107" s="689"/>
      <c r="U107" s="689"/>
      <c r="V107" s="689"/>
      <c r="W107" s="689"/>
      <c r="X107" s="689"/>
      <c r="Y107" s="693"/>
      <c r="Z107" s="689"/>
      <c r="AA107" s="693"/>
      <c r="AB107" s="693"/>
      <c r="AC107" s="689"/>
      <c r="AD107" s="689"/>
      <c r="AE107" s="689"/>
      <c r="AF107" s="689"/>
      <c r="AG107" s="689"/>
      <c r="AH107" s="689"/>
      <c r="AI107" s="689"/>
      <c r="AJ107" s="689"/>
      <c r="AK107" s="689"/>
      <c r="AL107" s="689"/>
      <c r="AM107" s="622"/>
      <c r="AN107" s="1171"/>
      <c r="AO107" s="622"/>
      <c r="AP107" s="622"/>
      <c r="AQ107" s="689"/>
      <c r="AR107" s="689"/>
      <c r="AS107" s="689"/>
      <c r="AT107" s="689"/>
      <c r="AU107" s="689"/>
      <c r="AV107" s="689"/>
      <c r="AW107" s="689"/>
      <c r="AX107" s="689"/>
      <c r="AY107" s="689"/>
      <c r="AZ107" s="689"/>
      <c r="BA107" s="622"/>
      <c r="BB107" s="1171"/>
      <c r="BC107" s="693"/>
      <c r="BD107" s="693"/>
      <c r="BE107" s="689"/>
      <c r="BF107" s="689"/>
    </row>
    <row r="108" spans="1:58" s="334" customFormat="1" ht="19.5" thickBot="1" x14ac:dyDescent="0.3">
      <c r="A108" s="333"/>
      <c r="B108" s="2343" t="s">
        <v>767</v>
      </c>
      <c r="C108" s="2344"/>
      <c r="D108" s="2345"/>
      <c r="E108" s="2345"/>
      <c r="F108" s="2345"/>
      <c r="G108" s="2345"/>
      <c r="H108" s="2345"/>
      <c r="I108" s="2345"/>
      <c r="J108" s="2345"/>
      <c r="K108" s="2345"/>
      <c r="L108" s="2345"/>
      <c r="M108" s="2345"/>
      <c r="N108" s="2345"/>
      <c r="O108" s="2345"/>
      <c r="P108" s="2345"/>
      <c r="Q108" s="2345"/>
      <c r="R108" s="2345"/>
      <c r="S108" s="2345"/>
      <c r="T108" s="2345"/>
      <c r="U108" s="2345"/>
      <c r="V108" s="2345"/>
      <c r="W108" s="2345"/>
      <c r="X108" s="2345"/>
      <c r="Y108" s="1172"/>
      <c r="Z108" s="1172"/>
      <c r="AA108" s="1172"/>
      <c r="AB108" s="1172"/>
      <c r="AC108" s="2345"/>
      <c r="AD108" s="2345"/>
      <c r="AE108" s="2345"/>
      <c r="AF108" s="2345"/>
      <c r="AG108" s="2345"/>
      <c r="AH108" s="2345"/>
      <c r="AI108" s="2345"/>
      <c r="AJ108" s="2345"/>
      <c r="AK108" s="2345"/>
      <c r="AL108" s="2345"/>
      <c r="AM108" s="1172"/>
      <c r="AN108" s="1172"/>
      <c r="AO108" s="1172"/>
      <c r="AP108" s="1172"/>
      <c r="AQ108" s="2345"/>
      <c r="AR108" s="2345"/>
      <c r="AS108" s="2345"/>
      <c r="AT108" s="2345"/>
      <c r="AU108" s="2345"/>
      <c r="AV108" s="2345"/>
      <c r="AW108" s="2345"/>
      <c r="AX108" s="2345"/>
      <c r="AY108" s="2345"/>
      <c r="AZ108" s="2345"/>
      <c r="BA108" s="1172"/>
      <c r="BB108" s="1172"/>
      <c r="BC108" s="1172"/>
      <c r="BD108" s="1172"/>
      <c r="BE108" s="2345"/>
      <c r="BF108" s="2345"/>
    </row>
    <row r="109" spans="1:58" s="334" customFormat="1" ht="15.75" x14ac:dyDescent="0.25">
      <c r="A109" s="333"/>
      <c r="B109" s="2346" t="s">
        <v>471</v>
      </c>
      <c r="C109" s="568"/>
      <c r="D109" s="1174"/>
      <c r="E109" s="1174"/>
      <c r="F109" s="1173"/>
      <c r="G109" s="1174"/>
      <c r="H109" s="1174"/>
      <c r="I109" s="568"/>
      <c r="J109" s="568"/>
      <c r="K109" s="568"/>
      <c r="L109" s="568"/>
      <c r="M109" s="568"/>
      <c r="N109" s="568"/>
      <c r="O109" s="568"/>
      <c r="P109" s="568"/>
      <c r="Q109" s="568"/>
      <c r="R109" s="568"/>
      <c r="S109" s="568"/>
      <c r="T109" s="568"/>
      <c r="U109" s="568"/>
      <c r="V109" s="568"/>
      <c r="W109" s="568"/>
      <c r="X109" s="568"/>
      <c r="Y109" s="568"/>
      <c r="Z109" s="568"/>
      <c r="AA109" s="568"/>
      <c r="AB109" s="568"/>
      <c r="AC109" s="568"/>
      <c r="AD109" s="568"/>
      <c r="AE109" s="568"/>
      <c r="AF109" s="568"/>
      <c r="AG109" s="568"/>
      <c r="AH109" s="568"/>
      <c r="AI109" s="568"/>
      <c r="AJ109" s="568"/>
      <c r="AK109" s="568"/>
      <c r="AL109" s="568"/>
      <c r="AM109" s="568"/>
      <c r="AN109" s="568"/>
      <c r="AO109" s="568"/>
      <c r="AP109" s="568"/>
      <c r="AQ109" s="568"/>
      <c r="AR109" s="568"/>
      <c r="AS109" s="568"/>
      <c r="AT109" s="568"/>
      <c r="AU109" s="568"/>
      <c r="AV109" s="568"/>
      <c r="AW109" s="568"/>
      <c r="AX109" s="568"/>
      <c r="AY109" s="568"/>
      <c r="AZ109" s="568"/>
      <c r="BA109" s="568"/>
      <c r="BB109" s="568"/>
      <c r="BC109" s="568"/>
      <c r="BD109" s="568"/>
      <c r="BE109" s="568"/>
      <c r="BF109" s="568"/>
    </row>
    <row r="110" spans="1:58" x14ac:dyDescent="0.25">
      <c r="B110" s="26" t="s">
        <v>222</v>
      </c>
      <c r="C110" s="33" t="s">
        <v>52</v>
      </c>
      <c r="D110" s="39">
        <f t="shared" ref="D110" si="743">+D70/D78*100</f>
        <v>67.001877689454631</v>
      </c>
      <c r="E110" s="39">
        <f t="shared" ref="E110:N110" si="744">+E70/E78*100</f>
        <v>67.002471013115368</v>
      </c>
      <c r="F110" s="118">
        <f t="shared" si="744"/>
        <v>67.992011619462602</v>
      </c>
      <c r="G110" s="39">
        <f t="shared" si="744"/>
        <v>67.001896744681105</v>
      </c>
      <c r="H110" s="282">
        <f t="shared" si="744"/>
        <v>68.762606331667115</v>
      </c>
      <c r="I110" s="3497">
        <f t="shared" si="744"/>
        <v>67.002179172279966</v>
      </c>
      <c r="J110" s="388">
        <f t="shared" si="744"/>
        <v>68.383960033899811</v>
      </c>
      <c r="K110" s="39">
        <f>+K70/K78*100</f>
        <v>67.002471013115368</v>
      </c>
      <c r="L110" s="282">
        <f t="shared" ref="L110" si="745">+L70/L78*100</f>
        <v>68.93534720943083</v>
      </c>
      <c r="M110" s="3494">
        <f t="shared" si="744"/>
        <v>67.002275383658571</v>
      </c>
      <c r="N110" s="403">
        <f t="shared" si="744"/>
        <v>68.56387294527751</v>
      </c>
      <c r="O110" s="39">
        <f>+O70/O78*100</f>
        <v>67.001896566365673</v>
      </c>
      <c r="P110" s="282">
        <f>+P70/P78*100</f>
        <v>67.076167076167081</v>
      </c>
      <c r="Q110" s="3497">
        <f t="shared" ref="Q110:R110" si="746">+Q70/Q78*100</f>
        <v>67.002179126969992</v>
      </c>
      <c r="R110" s="388">
        <f t="shared" si="746"/>
        <v>68.184361918832408</v>
      </c>
      <c r="S110" s="39">
        <f>+S70/S78*100</f>
        <v>67.002325866730288</v>
      </c>
      <c r="T110" s="282">
        <f>+T70/T78*100</f>
        <v>66.969775699315832</v>
      </c>
      <c r="U110" s="3497">
        <f t="shared" ref="U110:V110" si="747">+U70/U78*100</f>
        <v>67.002208858362977</v>
      </c>
      <c r="V110" s="388">
        <f t="shared" si="747"/>
        <v>67.934898612593386</v>
      </c>
      <c r="W110" s="39">
        <f>+W70/W78*100</f>
        <v>67.001877689454631</v>
      </c>
      <c r="X110" s="282">
        <f>+X70/X78*100</f>
        <v>67.394071649390796</v>
      </c>
      <c r="Y110" s="162">
        <f t="shared" ref="Y110:AB110" si="748">+Y70/Y78*100</f>
        <v>67.002035065766549</v>
      </c>
      <c r="Z110" s="403">
        <f t="shared" si="748"/>
        <v>67.142983412392084</v>
      </c>
      <c r="AA110" s="1139">
        <f t="shared" si="748"/>
        <v>67.002154568368155</v>
      </c>
      <c r="AB110" s="1155">
        <f t="shared" si="748"/>
        <v>67.846410187747324</v>
      </c>
      <c r="AC110" s="39">
        <f>+AC70/AC78*100</f>
        <v>67.002325866730288</v>
      </c>
      <c r="AD110" s="282">
        <f>+AD70/AD78*100</f>
        <v>66.741775574583144</v>
      </c>
      <c r="AE110" s="3497">
        <f t="shared" ref="AE110:AF110" si="749">+AE70/AE78*100</f>
        <v>67.002179382478786</v>
      </c>
      <c r="AF110" s="388">
        <f t="shared" si="749"/>
        <v>67.689910998174</v>
      </c>
      <c r="AG110" s="39">
        <f>+AG70/AG78*100</f>
        <v>67.001877689454631</v>
      </c>
      <c r="AH110" s="282">
        <f>+AH70/AH78*100</f>
        <v>66.759650859353911</v>
      </c>
      <c r="AI110" s="3497">
        <f t="shared" ref="AI110:AJ110" si="750">+AI70/AI78*100</f>
        <v>67.002142289037607</v>
      </c>
      <c r="AJ110" s="388">
        <f t="shared" si="750"/>
        <v>67.574307248451234</v>
      </c>
      <c r="AK110" s="39">
        <f>+AK70/AK78*100</f>
        <v>67.002325866730288</v>
      </c>
      <c r="AL110" s="282">
        <f>+AL70/AL78*100</f>
        <v>66.724391722227026</v>
      </c>
      <c r="AM110" s="3494">
        <f t="shared" ref="AM110:AP110" si="751">+AM70/AM78*100</f>
        <v>67.002179721307698</v>
      </c>
      <c r="AN110" s="403">
        <f t="shared" si="751"/>
        <v>66.741712829931572</v>
      </c>
      <c r="AO110" s="3497">
        <f t="shared" si="751"/>
        <v>67.002162983145524</v>
      </c>
      <c r="AP110" s="388">
        <f t="shared" si="751"/>
        <v>67.477098291656347</v>
      </c>
      <c r="AQ110" s="39">
        <f>+AQ70/AQ78*100</f>
        <v>67.002325866730288</v>
      </c>
      <c r="AR110" s="282">
        <f>+AR70/AR78*100</f>
        <v>65.409949731322584</v>
      </c>
      <c r="AS110" s="3497">
        <f t="shared" ref="AS110:AT110" si="752">+AS70/AS78*100</f>
        <v>67.002179484348687</v>
      </c>
      <c r="AT110" s="388">
        <f t="shared" si="752"/>
        <v>67.265116031036413</v>
      </c>
      <c r="AU110" s="39">
        <f>+AU70/AU78*100</f>
        <v>67.002125786848509</v>
      </c>
      <c r="AV110" s="282">
        <f>+AV70/AV78*100</f>
        <v>74.390478018813582</v>
      </c>
      <c r="AW110" s="3497">
        <f t="shared" ref="AW110:AX110" si="753">+AW70/AW78*100</f>
        <v>67.002174982768281</v>
      </c>
      <c r="AX110" s="388">
        <f t="shared" si="753"/>
        <v>67.868967144170313</v>
      </c>
      <c r="AY110" s="39">
        <f>+AY70/AY78*100</f>
        <v>67.002325866730288</v>
      </c>
      <c r="AZ110" s="282">
        <f>+AZ70/AZ78*100</f>
        <v>62.784765590641221</v>
      </c>
      <c r="BA110" s="3494">
        <f t="shared" ref="BA110:BD110" si="754">+BA70/BA78*100</f>
        <v>67.002263619527895</v>
      </c>
      <c r="BB110" s="403">
        <f t="shared" si="754"/>
        <v>67.321830457614411</v>
      </c>
      <c r="BC110" s="1139">
        <f t="shared" si="754"/>
        <v>67.002221209412312</v>
      </c>
      <c r="BD110" s="1155">
        <f t="shared" si="754"/>
        <v>67.029903699949315</v>
      </c>
      <c r="BE110" s="3497">
        <f t="shared" ref="BE110:BF110" si="755">+BE70/BE78*100</f>
        <v>67.002187797518744</v>
      </c>
      <c r="BF110" s="388">
        <f t="shared" si="755"/>
        <v>67.438570364854797</v>
      </c>
    </row>
    <row r="111" spans="1:58" x14ac:dyDescent="0.25">
      <c r="B111" s="26" t="s">
        <v>223</v>
      </c>
      <c r="C111" s="33" t="s">
        <v>52</v>
      </c>
      <c r="D111" s="39">
        <f t="shared" ref="D111" si="756">+D73/D78*100</f>
        <v>28.000784706040744</v>
      </c>
      <c r="E111" s="39">
        <f t="shared" ref="E111:O111" si="757">+E73/E78*100</f>
        <v>28.00020735774395</v>
      </c>
      <c r="F111" s="118">
        <f t="shared" si="757"/>
        <v>27.006172839506171</v>
      </c>
      <c r="G111" s="39">
        <f t="shared" si="757"/>
        <v>28.000792644460081</v>
      </c>
      <c r="H111" s="306">
        <f t="shared" si="757"/>
        <v>28.168025958081206</v>
      </c>
      <c r="I111" s="143">
        <f t="shared" si="757"/>
        <v>28.00050479802449</v>
      </c>
      <c r="J111" s="243">
        <f t="shared" si="757"/>
        <v>27.597127436549357</v>
      </c>
      <c r="K111" s="39">
        <f t="shared" ref="K111:L111" si="758">+K73/K78*100</f>
        <v>28.00020735774395</v>
      </c>
      <c r="L111" s="306">
        <f t="shared" si="758"/>
        <v>27.233376312396391</v>
      </c>
      <c r="M111" s="167">
        <f t="shared" si="757"/>
        <v>28.000406740672773</v>
      </c>
      <c r="N111" s="260">
        <f t="shared" si="757"/>
        <v>27.478438561168371</v>
      </c>
      <c r="O111" s="39">
        <f t="shared" si="757"/>
        <v>28.000792594899089</v>
      </c>
      <c r="P111" s="306">
        <f>+P73/P78*100</f>
        <v>28.23797823797824</v>
      </c>
      <c r="Q111" s="143">
        <f t="shared" ref="Q111:S111" si="759">+Q73/Q78*100</f>
        <v>28.000504785431531</v>
      </c>
      <c r="R111" s="243">
        <f t="shared" si="759"/>
        <v>27.67219573344078</v>
      </c>
      <c r="S111" s="39">
        <f t="shared" si="759"/>
        <v>28.000972004006684</v>
      </c>
      <c r="T111" s="306">
        <f>+T73/T78*100</f>
        <v>28.033255391010652</v>
      </c>
      <c r="U111" s="143">
        <f t="shared" ref="U111:W111" si="760">+U73/U78*100</f>
        <v>28.000599450020353</v>
      </c>
      <c r="V111" s="243">
        <f t="shared" si="760"/>
        <v>27.746353610814655</v>
      </c>
      <c r="W111" s="39">
        <f t="shared" si="760"/>
        <v>28.000784706040736</v>
      </c>
      <c r="X111" s="306">
        <f>+X73/X78*100</f>
        <v>27.40498272413166</v>
      </c>
      <c r="Y111" s="162">
        <f t="shared" ref="Y111:AC111" si="761">+Y73/Y78*100</f>
        <v>28.000850475245727</v>
      </c>
      <c r="Z111" s="260">
        <f t="shared" si="761"/>
        <v>27.898411950148787</v>
      </c>
      <c r="AA111" s="1139">
        <f t="shared" si="761"/>
        <v>28.000629819865264</v>
      </c>
      <c r="AB111" s="1143">
        <f t="shared" si="761"/>
        <v>27.690499568567944</v>
      </c>
      <c r="AC111" s="39">
        <f t="shared" si="761"/>
        <v>28.000972004006684</v>
      </c>
      <c r="AD111" s="306">
        <f>+AD73/AD78*100</f>
        <v>25.263632266786839</v>
      </c>
      <c r="AE111" s="143">
        <f t="shared" ref="AE111:AG111" si="762">+AE73/AE78*100</f>
        <v>28.000679388320187</v>
      </c>
      <c r="AF111" s="243">
        <f t="shared" si="762"/>
        <v>27.346672966174197</v>
      </c>
      <c r="AG111" s="39">
        <f t="shared" si="762"/>
        <v>28.000784706040736</v>
      </c>
      <c r="AH111" s="306">
        <f>+AH73/AH78*100</f>
        <v>26.572482677944748</v>
      </c>
      <c r="AI111" s="143">
        <f t="shared" ref="AI111:AK111" si="763">+AI73/AI78*100</f>
        <v>28.000692337233023</v>
      </c>
      <c r="AJ111" s="243">
        <f t="shared" si="763"/>
        <v>27.250464070851876</v>
      </c>
      <c r="AK111" s="39">
        <f t="shared" si="763"/>
        <v>28.000972004006684</v>
      </c>
      <c r="AL111" s="306">
        <f>+AL73/AL78*100</f>
        <v>29.97662135249805</v>
      </c>
      <c r="AM111" s="167">
        <f t="shared" ref="AM111:AQ111" si="764">+AM73/AM78*100</f>
        <v>28.000910928307697</v>
      </c>
      <c r="AN111" s="260">
        <f t="shared" si="764"/>
        <v>27.306928933258291</v>
      </c>
      <c r="AO111" s="143">
        <f t="shared" si="764"/>
        <v>28.000723863146167</v>
      </c>
      <c r="AP111" s="243">
        <f t="shared" si="764"/>
        <v>27.562267888091114</v>
      </c>
      <c r="AQ111" s="39">
        <f t="shared" si="764"/>
        <v>28.000972004006684</v>
      </c>
      <c r="AR111" s="306">
        <f>+AR73/AR78*100</f>
        <v>25.48101924076963</v>
      </c>
      <c r="AS111" s="143">
        <f t="shared" ref="AS111:AU111" si="765">+AS73/AS78*100</f>
        <v>28.000749001485037</v>
      </c>
      <c r="AT111" s="243">
        <f t="shared" si="765"/>
        <v>27.348839689635863</v>
      </c>
      <c r="AU111" s="39">
        <f t="shared" si="765"/>
        <v>28.000888388533706</v>
      </c>
      <c r="AV111" s="306">
        <f>+AV73/AV78*100</f>
        <v>15.607602226914954</v>
      </c>
      <c r="AW111" s="143">
        <f t="shared" ref="AW111:AY111" si="766">+AW73/AW78*100</f>
        <v>28.000760686610114</v>
      </c>
      <c r="AX111" s="243">
        <f t="shared" si="766"/>
        <v>26.353808233887303</v>
      </c>
      <c r="AY111" s="39">
        <f t="shared" si="766"/>
        <v>28.000972004006684</v>
      </c>
      <c r="AZ111" s="306">
        <f>+AZ73/AZ78*100</f>
        <v>27.223150672882401</v>
      </c>
      <c r="BA111" s="167">
        <f t="shared" ref="BA111:BD111" si="767">+BA73/BA78*100</f>
        <v>28.000945990250472</v>
      </c>
      <c r="BB111" s="260">
        <f t="shared" si="767"/>
        <v>22.988747186796697</v>
      </c>
      <c r="BC111" s="1139">
        <f t="shared" si="767"/>
        <v>28.000928266620068</v>
      </c>
      <c r="BD111" s="1143">
        <f t="shared" si="767"/>
        <v>25.16174234518947</v>
      </c>
      <c r="BE111" s="143">
        <f t="shared" ref="BE111:BF111" si="768">+BE73/BE78*100</f>
        <v>28.000778634042501</v>
      </c>
      <c r="BF111" s="243">
        <f t="shared" si="768"/>
        <v>26.427401340282948</v>
      </c>
    </row>
    <row r="112" spans="1:58" x14ac:dyDescent="0.25">
      <c r="B112" s="2347" t="s">
        <v>13</v>
      </c>
      <c r="C112" s="2348" t="s">
        <v>52</v>
      </c>
      <c r="D112" s="2044">
        <f t="shared" ref="D112" si="769">SUM(D110:D111)</f>
        <v>95.002662395495378</v>
      </c>
      <c r="E112" s="2044">
        <f t="shared" ref="E112:J112" si="770">SUM(E110:E111)</f>
        <v>95.002678370859314</v>
      </c>
      <c r="F112" s="364">
        <f t="shared" si="770"/>
        <v>94.99818445896878</v>
      </c>
      <c r="G112" s="2044">
        <f t="shared" ref="G112" si="771">SUM(G110:G111)</f>
        <v>95.002689389141182</v>
      </c>
      <c r="H112" s="329">
        <f t="shared" si="770"/>
        <v>96.930632289748317</v>
      </c>
      <c r="I112" s="1592">
        <f t="shared" si="770"/>
        <v>95.00268397030446</v>
      </c>
      <c r="J112" s="389">
        <f t="shared" si="770"/>
        <v>95.981087470449168</v>
      </c>
      <c r="K112" s="2044">
        <f t="shared" ref="K112:N112" si="772">SUM(K110:K111)</f>
        <v>95.002678370859314</v>
      </c>
      <c r="L112" s="329">
        <f t="shared" ref="L112" si="773">SUM(L110:L111)</f>
        <v>96.168723521827218</v>
      </c>
      <c r="M112" s="1501">
        <f t="shared" si="772"/>
        <v>95.002682124331344</v>
      </c>
      <c r="N112" s="404">
        <f t="shared" si="772"/>
        <v>96.042311506445884</v>
      </c>
      <c r="O112" s="2044">
        <f t="shared" ref="O112:R112" si="774">SUM(O110:O111)</f>
        <v>95.002689161264755</v>
      </c>
      <c r="P112" s="329">
        <f t="shared" si="774"/>
        <v>95.314145314145321</v>
      </c>
      <c r="Q112" s="1592">
        <f t="shared" si="774"/>
        <v>95.002683912401523</v>
      </c>
      <c r="R112" s="389">
        <f t="shared" si="774"/>
        <v>95.856557652273182</v>
      </c>
      <c r="S112" s="2044">
        <f t="shared" ref="S112:V112" si="775">SUM(S110:S111)</f>
        <v>95.003297870736972</v>
      </c>
      <c r="T112" s="329">
        <f t="shared" si="775"/>
        <v>95.003031090326488</v>
      </c>
      <c r="U112" s="1592">
        <f t="shared" si="775"/>
        <v>95.002808308383322</v>
      </c>
      <c r="V112" s="389">
        <f t="shared" si="775"/>
        <v>95.681252223408038</v>
      </c>
      <c r="W112" s="2044">
        <f t="shared" ref="W112:X112" si="776">SUM(W110:W111)</f>
        <v>95.002662395495364</v>
      </c>
      <c r="X112" s="329">
        <f t="shared" si="776"/>
        <v>94.799054373522452</v>
      </c>
      <c r="Y112" s="2349">
        <f t="shared" ref="Y112:AF112" si="777">SUM(Y110:Y111)</f>
        <v>95.002885541012276</v>
      </c>
      <c r="Z112" s="404">
        <f t="shared" si="777"/>
        <v>95.041395362540868</v>
      </c>
      <c r="AA112" s="2350">
        <f t="shared" si="777"/>
        <v>95.002784388233422</v>
      </c>
      <c r="AB112" s="1156">
        <f t="shared" si="777"/>
        <v>95.536909756315268</v>
      </c>
      <c r="AC112" s="2044">
        <f t="shared" si="777"/>
        <v>95.003297870736972</v>
      </c>
      <c r="AD112" s="329">
        <f t="shared" si="777"/>
        <v>92.005407841369987</v>
      </c>
      <c r="AE112" s="1592">
        <f t="shared" si="777"/>
        <v>95.00285877079898</v>
      </c>
      <c r="AF112" s="389">
        <f t="shared" si="777"/>
        <v>95.036583964348196</v>
      </c>
      <c r="AG112" s="2044">
        <f t="shared" ref="AG112:AJ112" si="778">SUM(AG110:AG111)</f>
        <v>95.002662395495364</v>
      </c>
      <c r="AH112" s="329">
        <f t="shared" si="778"/>
        <v>93.33213353729866</v>
      </c>
      <c r="AI112" s="1592">
        <f t="shared" si="778"/>
        <v>95.002834626270626</v>
      </c>
      <c r="AJ112" s="389">
        <f t="shared" si="778"/>
        <v>94.82477131930311</v>
      </c>
      <c r="AK112" s="2044">
        <f t="shared" ref="AK112:AL112" si="779">SUM(AK110:AK111)</f>
        <v>95.003297870736972</v>
      </c>
      <c r="AL112" s="329">
        <f t="shared" si="779"/>
        <v>96.701013074725068</v>
      </c>
      <c r="AM112" s="1501">
        <f t="shared" ref="AM112:AN112" si="780">SUM(AM110:AM111)</f>
        <v>95.003090649615388</v>
      </c>
      <c r="AN112" s="404">
        <f t="shared" si="780"/>
        <v>94.048641763189863</v>
      </c>
      <c r="AO112" s="1592">
        <f t="shared" ref="AO112:AT112" si="781">SUM(AO110:AO111)</f>
        <v>95.002886846291688</v>
      </c>
      <c r="AP112" s="389">
        <f t="shared" si="781"/>
        <v>95.039366179747461</v>
      </c>
      <c r="AQ112" s="2044">
        <f t="shared" si="781"/>
        <v>95.003297870736972</v>
      </c>
      <c r="AR112" s="329">
        <f t="shared" si="781"/>
        <v>90.89096897209221</v>
      </c>
      <c r="AS112" s="1592">
        <f t="shared" si="781"/>
        <v>95.002928485833721</v>
      </c>
      <c r="AT112" s="389">
        <f t="shared" si="781"/>
        <v>94.61395572067228</v>
      </c>
      <c r="AU112" s="2044">
        <f t="shared" ref="AU112:AX112" si="782">SUM(AU110:AU111)</f>
        <v>95.003014175382219</v>
      </c>
      <c r="AV112" s="329">
        <f t="shared" si="782"/>
        <v>89.998080245728531</v>
      </c>
      <c r="AW112" s="1592">
        <f t="shared" si="782"/>
        <v>95.002935669378388</v>
      </c>
      <c r="AX112" s="389">
        <f t="shared" si="782"/>
        <v>94.222775378057619</v>
      </c>
      <c r="AY112" s="2044">
        <f t="shared" ref="AY112:BF112" si="783">SUM(AY110:AY111)</f>
        <v>95.003297870736972</v>
      </c>
      <c r="AZ112" s="329">
        <f t="shared" si="783"/>
        <v>90.007916263523626</v>
      </c>
      <c r="BA112" s="1501">
        <f t="shared" si="783"/>
        <v>95.003209609778366</v>
      </c>
      <c r="BB112" s="404">
        <f t="shared" si="783"/>
        <v>90.310577644411111</v>
      </c>
      <c r="BC112" s="2350">
        <f t="shared" ref="BC112:BD112" si="784">SUM(BC110:BC111)</f>
        <v>95.003149476032377</v>
      </c>
      <c r="BD112" s="1156">
        <f t="shared" si="784"/>
        <v>92.191646045138782</v>
      </c>
      <c r="BE112" s="1592">
        <f t="shared" si="783"/>
        <v>95.002966431561248</v>
      </c>
      <c r="BF112" s="389">
        <f t="shared" si="783"/>
        <v>93.865971705137753</v>
      </c>
    </row>
    <row r="113" spans="1:58" x14ac:dyDescent="0.25">
      <c r="B113" s="26" t="s">
        <v>226</v>
      </c>
      <c r="C113" s="33" t="s">
        <v>52</v>
      </c>
      <c r="D113" s="306">
        <f>+((+D75+D76+D77)/D78)*100</f>
        <v>4.9973376045046329</v>
      </c>
      <c r="E113" s="306">
        <f>+((+E75+E76+E77)/E78)*100</f>
        <v>4.997321629140675</v>
      </c>
      <c r="F113" s="306">
        <f>+((+F75+F76+F77)/F78)*100</f>
        <v>5.0018155410312275</v>
      </c>
      <c r="G113" s="306">
        <f t="shared" ref="G113:AO113" si="785">+((+G75+G76+G77)/G78)*100</f>
        <v>4.9973106108588103</v>
      </c>
      <c r="H113" s="306">
        <f t="shared" si="785"/>
        <v>3.0693677102516883</v>
      </c>
      <c r="I113" s="243">
        <f>+((+I75+I76+I77)/I78)*100</f>
        <v>4.9973160296955506</v>
      </c>
      <c r="J113" s="243">
        <f t="shared" si="785"/>
        <v>4.0189125295508275</v>
      </c>
      <c r="K113" s="306">
        <f t="shared" si="785"/>
        <v>4.997321629140675</v>
      </c>
      <c r="L113" s="306">
        <f t="shared" ref="L113:AT113" si="786">+((+L75+L76+L77)/L78)*100</f>
        <v>3.8312764781727759</v>
      </c>
      <c r="M113" s="260">
        <f t="shared" si="785"/>
        <v>4.9973178756686618</v>
      </c>
      <c r="N113" s="260">
        <f t="shared" si="786"/>
        <v>3.9576884935541061</v>
      </c>
      <c r="O113" s="306">
        <f t="shared" si="786"/>
        <v>4.9973108387352454</v>
      </c>
      <c r="P113" s="306">
        <f t="shared" ref="P113:S113" si="787">+((+P75+P76+P77)/P78)*100</f>
        <v>4.6858546858546859</v>
      </c>
      <c r="Q113" s="243">
        <f t="shared" si="787"/>
        <v>4.9973160875984721</v>
      </c>
      <c r="R113" s="243">
        <f t="shared" si="787"/>
        <v>4.1434423477268147</v>
      </c>
      <c r="S113" s="306">
        <f t="shared" si="787"/>
        <v>4.9967021292630296</v>
      </c>
      <c r="T113" s="306">
        <f t="shared" ref="T113:W113" si="788">+((+T75+T76+T77)/T78)*100</f>
        <v>4.9969689096735079</v>
      </c>
      <c r="U113" s="243">
        <f t="shared" si="788"/>
        <v>4.9971916916166617</v>
      </c>
      <c r="V113" s="243">
        <f t="shared" si="788"/>
        <v>4.3187477765919597</v>
      </c>
      <c r="W113" s="306">
        <f t="shared" si="788"/>
        <v>4.997337604504632</v>
      </c>
      <c r="X113" s="306">
        <f t="shared" ref="X113:Y113" si="789">+((+X75+X76+X77)/X78)*100</f>
        <v>5.2009456264775409</v>
      </c>
      <c r="Y113" s="260">
        <f t="shared" si="789"/>
        <v>4.9971144589877214</v>
      </c>
      <c r="Z113" s="260">
        <f t="shared" ref="Z113:AF113" si="790">+((+Z75+Z76+Z77)/Z78)*100</f>
        <v>4.9586046374591204</v>
      </c>
      <c r="AA113" s="1143">
        <f t="shared" si="790"/>
        <v>4.9972156117665669</v>
      </c>
      <c r="AB113" s="1143">
        <f t="shared" si="790"/>
        <v>4.4630902436847277</v>
      </c>
      <c r="AC113" s="306">
        <f t="shared" si="790"/>
        <v>4.9967021292630296</v>
      </c>
      <c r="AD113" s="306">
        <f t="shared" si="790"/>
        <v>7.9945921586300139</v>
      </c>
      <c r="AE113" s="243">
        <f t="shared" si="790"/>
        <v>4.9971412292010218</v>
      </c>
      <c r="AF113" s="243">
        <f t="shared" si="790"/>
        <v>4.9634160356518073</v>
      </c>
      <c r="AG113" s="306">
        <f t="shared" ref="AG113:AJ113" si="791">+((+AG75+AG76+AG77)/AG78)*100</f>
        <v>4.997337604504632</v>
      </c>
      <c r="AH113" s="306">
        <f t="shared" si="791"/>
        <v>6.6678664627013413</v>
      </c>
      <c r="AI113" s="243">
        <f t="shared" si="791"/>
        <v>4.9971653737293664</v>
      </c>
      <c r="AJ113" s="243">
        <f t="shared" si="791"/>
        <v>5.1752286806968888</v>
      </c>
      <c r="AK113" s="306">
        <f t="shared" ref="AK113:AL113" si="792">+((+AK75+AK76+AK77)/AK78)*100</f>
        <v>4.9967021292630296</v>
      </c>
      <c r="AL113" s="306">
        <f t="shared" si="792"/>
        <v>3.2989869252749151</v>
      </c>
      <c r="AM113" s="306">
        <f t="shared" si="785"/>
        <v>4.9969093503846187</v>
      </c>
      <c r="AN113" s="306">
        <f t="shared" si="786"/>
        <v>5.951358236810143</v>
      </c>
      <c r="AO113" s="306">
        <f t="shared" si="785"/>
        <v>4.9971131537083187</v>
      </c>
      <c r="AP113" s="306">
        <f t="shared" si="786"/>
        <v>4.9606338202525375</v>
      </c>
      <c r="AQ113" s="306">
        <f t="shared" si="786"/>
        <v>4.9967021292630296</v>
      </c>
      <c r="AR113" s="306">
        <f t="shared" si="786"/>
        <v>9.1090310279077826</v>
      </c>
      <c r="AS113" s="243">
        <f t="shared" si="786"/>
        <v>4.9970715141662954</v>
      </c>
      <c r="AT113" s="243">
        <f t="shared" si="786"/>
        <v>5.3860442793277219</v>
      </c>
      <c r="AU113" s="306">
        <f t="shared" ref="AU113:AX113" si="793">+((+AU75+AU76+AU77)/AU78)*100</f>
        <v>4.9969858246177914</v>
      </c>
      <c r="AV113" s="306">
        <f t="shared" si="793"/>
        <v>10.001919754271453</v>
      </c>
      <c r="AW113" s="243">
        <f t="shared" si="793"/>
        <v>4.9970643306216065</v>
      </c>
      <c r="AX113" s="243">
        <f t="shared" si="793"/>
        <v>5.7772246219423904</v>
      </c>
      <c r="AY113" s="306">
        <f t="shared" ref="AY113:BF113" si="794">+((+AY75+AY76+AY77)/AY78)*100</f>
        <v>4.9967021292630296</v>
      </c>
      <c r="AZ113" s="306">
        <f t="shared" si="794"/>
        <v>9.992083736476383</v>
      </c>
      <c r="BA113" s="260">
        <f t="shared" si="794"/>
        <v>4.9967903902216317</v>
      </c>
      <c r="BB113" s="260">
        <f t="shared" si="794"/>
        <v>9.6894223555888974</v>
      </c>
      <c r="BC113" s="1143">
        <f t="shared" ref="BC113:BD113" si="795">+((+BC75+BC76+BC77)/BC78)*100</f>
        <v>4.9968505239676286</v>
      </c>
      <c r="BD113" s="1143">
        <f t="shared" si="795"/>
        <v>7.8083539548612153</v>
      </c>
      <c r="BE113" s="243">
        <f t="shared" si="794"/>
        <v>4.997033568438769</v>
      </c>
      <c r="BF113" s="243">
        <f t="shared" si="794"/>
        <v>6.1340282948622491</v>
      </c>
    </row>
    <row r="114" spans="1:58" s="334" customFormat="1" ht="18.75" x14ac:dyDescent="0.3">
      <c r="A114" s="333"/>
      <c r="B114" s="2351" t="s">
        <v>221</v>
      </c>
      <c r="C114" s="1170"/>
      <c r="D114" s="1170"/>
      <c r="E114" s="1170"/>
      <c r="F114" s="1169"/>
      <c r="G114" s="1170"/>
      <c r="H114" s="1175"/>
      <c r="I114" s="1175"/>
      <c r="J114" s="849"/>
      <c r="K114" s="849"/>
      <c r="L114" s="849"/>
      <c r="M114" s="849"/>
      <c r="N114" s="849"/>
      <c r="O114" s="849"/>
      <c r="P114" s="849"/>
      <c r="Q114" s="1175"/>
      <c r="R114" s="849"/>
      <c r="S114" s="849"/>
      <c r="T114" s="849"/>
      <c r="U114" s="1175"/>
      <c r="V114" s="849"/>
      <c r="W114" s="849"/>
      <c r="X114" s="849"/>
      <c r="Y114" s="849"/>
      <c r="Z114" s="849"/>
      <c r="AA114" s="1175"/>
      <c r="AB114" s="849"/>
      <c r="AC114" s="849"/>
      <c r="AD114" s="849"/>
      <c r="AE114" s="1175"/>
      <c r="AF114" s="849"/>
      <c r="AG114" s="849"/>
      <c r="AH114" s="849"/>
      <c r="AI114" s="1175"/>
      <c r="AJ114" s="849"/>
      <c r="AK114" s="849"/>
      <c r="AL114" s="849"/>
      <c r="AM114" s="849"/>
      <c r="AN114" s="849"/>
      <c r="AO114" s="1175"/>
      <c r="AP114" s="849"/>
      <c r="AQ114" s="849"/>
      <c r="AR114" s="849"/>
      <c r="AS114" s="1175"/>
      <c r="AT114" s="849"/>
      <c r="AU114" s="849"/>
      <c r="AV114" s="849"/>
      <c r="AW114" s="1175"/>
      <c r="AX114" s="849"/>
      <c r="AY114" s="849"/>
      <c r="AZ114" s="849"/>
      <c r="BA114" s="849"/>
      <c r="BB114" s="849"/>
      <c r="BC114" s="1175"/>
      <c r="BD114" s="849"/>
      <c r="BE114" s="1175"/>
      <c r="BF114" s="849"/>
    </row>
    <row r="115" spans="1:58" x14ac:dyDescent="0.25">
      <c r="B115" s="28" t="s">
        <v>227</v>
      </c>
      <c r="C115" s="33" t="s">
        <v>52</v>
      </c>
      <c r="D115" s="1110">
        <v>8.9499999999999993</v>
      </c>
      <c r="E115" s="1110">
        <v>8.9499999999999993</v>
      </c>
      <c r="F115" s="3578">
        <v>8.1288888888888895</v>
      </c>
      <c r="G115" s="1110">
        <v>8.9499999999999993</v>
      </c>
      <c r="H115" s="181">
        <v>8.1913978000000007</v>
      </c>
      <c r="I115" s="224">
        <f>+((E115*E$78)+(G$78*G115))/I$78</f>
        <v>8.9499999999999993</v>
      </c>
      <c r="J115" s="224">
        <f>+((F115*F$78)+(H$78*H115))/J$78</f>
        <v>8.1606828633480522</v>
      </c>
      <c r="K115" s="368">
        <v>8.9499999999999993</v>
      </c>
      <c r="L115" s="376">
        <v>8.3011363636363562</v>
      </c>
      <c r="M115" s="203">
        <f>+((I115*I$78)+(K$78*K115))/M$78</f>
        <v>8.9499999999999993</v>
      </c>
      <c r="N115" s="203">
        <f>+((J115*J$78)+(L$78*L115))/N$78</f>
        <v>8.2065116371597053</v>
      </c>
      <c r="O115" s="368">
        <v>8.9499999999999993</v>
      </c>
      <c r="P115" s="376">
        <v>8.4913978494623628</v>
      </c>
      <c r="Q115" s="224">
        <f>+((M115*M$78)+(O$78*O115))/Q$78</f>
        <v>8.9499999999999975</v>
      </c>
      <c r="R115" s="224">
        <f>+((N115*N$78)+(P$78*P115))/R$78</f>
        <v>8.2791855850790554</v>
      </c>
      <c r="S115" s="368">
        <v>8.9499999999999993</v>
      </c>
      <c r="T115" s="376">
        <v>8.5903225806451626</v>
      </c>
      <c r="U115" s="224">
        <f>+((Q115*Q$78)+(S$78*S115))/U$78</f>
        <v>8.9499999999999993</v>
      </c>
      <c r="V115" s="224">
        <f>+((R115*R$78)+(T$78*T115))/V$78</f>
        <v>8.3430898698140581</v>
      </c>
      <c r="W115" s="368">
        <v>8.9499999999999993</v>
      </c>
      <c r="X115" s="376">
        <v>8.6933333333333334</v>
      </c>
      <c r="Y115" s="203">
        <f>+((O115*O$78)+(S115*S$78)+(W$78*W115))/Y$78</f>
        <v>8.9500000000000011</v>
      </c>
      <c r="Z115" s="203">
        <f>+((P115*P$78)+(T115*T$78)+(X$78*X115))/Z$78</f>
        <v>8.590486571732793</v>
      </c>
      <c r="AA115" s="1132">
        <f>+((U115*U$78)+(W$78*W115))/AA$78</f>
        <v>8.9499999999999993</v>
      </c>
      <c r="AB115" s="1132">
        <f>+((V115*V$78)+(X$78*X115))/AB$78</f>
        <v>8.4003956154742223</v>
      </c>
      <c r="AC115" s="368">
        <v>8.9499999999999993</v>
      </c>
      <c r="AD115" s="376">
        <v>9.031182795698923</v>
      </c>
      <c r="AE115" s="224">
        <f>+((AA115*AA$78)+(AC$78*AC115))/AE$78</f>
        <v>8.9499999999999993</v>
      </c>
      <c r="AF115" s="224">
        <f>+((AB115*AB$78)+(AD$78*AD115))/AF$78</f>
        <v>8.4897624353456749</v>
      </c>
      <c r="AG115" s="368">
        <v>8.9499999999999993</v>
      </c>
      <c r="AH115" s="376">
        <v>8.7899999999999974</v>
      </c>
      <c r="AI115" s="224">
        <f>+((AE115*AE$78)+(AG$78*AG115))/AI$78</f>
        <v>8.9499999999999993</v>
      </c>
      <c r="AJ115" s="224">
        <f>+((AF115*AF$78)+(AH$78*AH115))/AJ$78</f>
        <v>8.527073061517072</v>
      </c>
      <c r="AK115" s="368">
        <v>8.9499999999999993</v>
      </c>
      <c r="AL115" s="376">
        <v>8.456043956043958</v>
      </c>
      <c r="AM115" s="261">
        <f>+((AC115*AC$78)+(AG115*AG$78)+(AK$78*AK115))/AM$78</f>
        <v>8.9500000000000011</v>
      </c>
      <c r="AN115" s="261">
        <f>+((AD115*AD$78)+(AH115*AH$78)+(AL$78*AL115))/AN$78</f>
        <v>8.7550165822386816</v>
      </c>
      <c r="AO115" s="245">
        <f>+((AI115*AI$78)+(AK$78*AK115))/AO$78</f>
        <v>8.9500000000000011</v>
      </c>
      <c r="AP115" s="245">
        <f>+((AJ115*AJ$78)+(AL$78*AL115))/AP$78</f>
        <v>8.5189491185697186</v>
      </c>
      <c r="AQ115" s="368">
        <v>8.9499999999999993</v>
      </c>
      <c r="AR115" s="376">
        <v>8.2215053763440871</v>
      </c>
      <c r="AS115" s="224">
        <f>+((AO115*AO$78)+(AQ$78*AQ115))/AS$78</f>
        <v>8.9500000000000028</v>
      </c>
      <c r="AT115" s="224">
        <f>+((AP115*AP$78)+(AR$78*AR115))/AT$78</f>
        <v>8.488446813077914</v>
      </c>
      <c r="AU115" s="368">
        <v>8.9499999999999993</v>
      </c>
      <c r="AV115" s="376">
        <v>8.16071428571429</v>
      </c>
      <c r="AW115" s="224">
        <f>+((AS115*AS$78)+(AU$78*AU115))/AW$78</f>
        <v>8.9500000000000011</v>
      </c>
      <c r="AX115" s="224">
        <f>+((AT115*AT$78)+(AV$78*AV115))/AX$78</f>
        <v>8.4606725537773766</v>
      </c>
      <c r="AY115" s="368">
        <v>8.9499999999999993</v>
      </c>
      <c r="AZ115" s="376">
        <v>7.9591397849462355</v>
      </c>
      <c r="BA115" s="261">
        <f>+((AQ115*AQ$78)+(AU115*AU$78)+(AY$78*AY115))/BA$78</f>
        <v>8.9500000000000011</v>
      </c>
      <c r="BB115" s="261">
        <f>+((AR115*AR$78)+(AV115*AV$78)+(AZ$78*AZ115))/BB$78</f>
        <v>8.1129935686686654</v>
      </c>
      <c r="BC115" s="1132">
        <f t="shared" ref="BC115:BD117" si="796">+((AM115*AM$78)+(BA$78*BA115))/BC$78</f>
        <v>8.9499999999999993</v>
      </c>
      <c r="BD115" s="1132">
        <f t="shared" si="796"/>
        <v>8.4360723508916617</v>
      </c>
      <c r="BE115" s="224">
        <f>+((AW115*AW$78)+(AY$78*AY115))/BE$78</f>
        <v>8.9500000000000011</v>
      </c>
      <c r="BF115" s="224">
        <f>+((AX115*AX$78)+(AZ$78*AZ115))/BF$78</f>
        <v>8.4182159190131074</v>
      </c>
    </row>
    <row r="116" spans="1:58" x14ac:dyDescent="0.25">
      <c r="B116" s="28" t="s">
        <v>228</v>
      </c>
      <c r="C116" s="33" t="s">
        <v>52</v>
      </c>
      <c r="D116" s="1109">
        <v>10</v>
      </c>
      <c r="E116" s="1109">
        <v>10</v>
      </c>
      <c r="F116" s="230">
        <v>10.112222222222201</v>
      </c>
      <c r="G116" s="1109">
        <v>10</v>
      </c>
      <c r="H116" s="225">
        <v>10.0580645</v>
      </c>
      <c r="I116" s="245">
        <f t="shared" ref="I116:I117" si="797">+((E116*E$78)+(G$78*G116))/I$78</f>
        <v>9.9999999999999982</v>
      </c>
      <c r="J116" s="245">
        <f t="shared" ref="J116:J117" si="798">+((F116*F$78)+(H$78*H116))/J$78</f>
        <v>10.084675921918898</v>
      </c>
      <c r="K116" s="118">
        <v>10</v>
      </c>
      <c r="L116" s="225">
        <v>10.292045454545447</v>
      </c>
      <c r="M116" s="261">
        <f t="shared" ref="M116:M117" si="799">+((I116*I$78)+(K$78*K116))/M$78</f>
        <v>10</v>
      </c>
      <c r="N116" s="261">
        <f t="shared" ref="N116:N117" si="800">+((J116*J$78)+(L$78*L116))/N$78</f>
        <v>10.152338823780816</v>
      </c>
      <c r="O116" s="118">
        <v>10</v>
      </c>
      <c r="P116" s="308">
        <v>10.353763440860204</v>
      </c>
      <c r="Q116" s="245">
        <f t="shared" ref="Q116:Q117" si="801">+((M116*M$78)+(O$78*O116))/Q$78</f>
        <v>9.9999999999999982</v>
      </c>
      <c r="R116" s="245">
        <f t="shared" ref="R116:R117" si="802">+((N116*N$78)+(P$78*P116))/R$78</f>
        <v>10.20372187251801</v>
      </c>
      <c r="S116" s="118">
        <v>10</v>
      </c>
      <c r="T116" s="308">
        <v>10.337634408602145</v>
      </c>
      <c r="U116" s="245">
        <f t="shared" ref="U116:U117" si="803">+((Q116*Q$78)+(S$78*S116))/U$78</f>
        <v>10.000000000000002</v>
      </c>
      <c r="V116" s="245">
        <f t="shared" ref="V116:V117" si="804">+((R116*R$78)+(T$78*T116))/V$78</f>
        <v>10.23122610685034</v>
      </c>
      <c r="W116" s="118">
        <v>10</v>
      </c>
      <c r="X116" s="308">
        <v>10.401111111111105</v>
      </c>
      <c r="Y116" s="261">
        <f t="shared" ref="Y116:Z117" si="805">+((O116*O$78)+(S116*S$78)+(W$78*W116))/Y$78</f>
        <v>10.000000000000002</v>
      </c>
      <c r="Z116" s="261">
        <f t="shared" si="805"/>
        <v>10.363618416904975</v>
      </c>
      <c r="AA116" s="1146">
        <f t="shared" ref="AA116:AA117" si="806">+((U116*U$78)+(W$78*W116))/AA$78</f>
        <v>10</v>
      </c>
      <c r="AB116" s="1146">
        <f t="shared" ref="AB116:AB117" si="807">+((V116*V$78)+(X$78*X116))/AB$78</f>
        <v>10.259022162622006</v>
      </c>
      <c r="AC116" s="118">
        <v>10</v>
      </c>
      <c r="AD116" s="308">
        <v>10.53118279569893</v>
      </c>
      <c r="AE116" s="245">
        <f t="shared" ref="AE116:AE117" si="808">+((AA116*AA$78)+(AC$78*AC116))/AE$78</f>
        <v>10.000000000000002</v>
      </c>
      <c r="AF116" s="245">
        <f t="shared" ref="AF116:AF117" si="809">+((AB116*AB$78)+(AD$78*AD116))/AF$78</f>
        <v>10.297580540209232</v>
      </c>
      <c r="AG116" s="118">
        <v>10</v>
      </c>
      <c r="AH116" s="308">
        <v>10.350444444444443</v>
      </c>
      <c r="AI116" s="245">
        <f t="shared" ref="AI116:AI117" si="810">+((AE116*AE$78)+(AG$78*AG116))/AI$78</f>
        <v>10.000000000000002</v>
      </c>
      <c r="AJ116" s="245">
        <f t="shared" ref="AJ116:AJ117" si="811">+((AF116*AF$78)+(AH$78*AH116))/AJ$78</f>
        <v>10.304149955902272</v>
      </c>
      <c r="AK116" s="118">
        <v>10</v>
      </c>
      <c r="AL116" s="308">
        <v>9.9805494505494501</v>
      </c>
      <c r="AM116" s="261">
        <f t="shared" ref="AM116:AM117" si="812">+((AC116*AC$78)+(AG116*AG$78)+(AK$78*AK116))/AM$78</f>
        <v>10.000000000000004</v>
      </c>
      <c r="AN116" s="261">
        <f t="shared" ref="AN116:AN117" si="813">+((AD116*AD$78)+(AH116*AH$78)+(AL$78*AL116))/AN$78</f>
        <v>10.283299103409258</v>
      </c>
      <c r="AO116" s="245">
        <f t="shared" ref="AO116:AO117" si="814">+((AI116*AI$78)+(AK$78*AK116))/AO$78</f>
        <v>10.000000000000002</v>
      </c>
      <c r="AP116" s="245">
        <f t="shared" ref="AP116:AP117" si="815">+((AJ116*AJ$78)+(AL$78*AL116))/AP$78</f>
        <v>10.267138198176898</v>
      </c>
      <c r="AQ116" s="118">
        <v>10</v>
      </c>
      <c r="AR116" s="308">
        <v>10.306021505376339</v>
      </c>
      <c r="AS116" s="245">
        <f t="shared" ref="AS116:AS117" si="816">+((AO116*AO$78)+(AQ$78*AQ116))/AS$78</f>
        <v>10.000000000000004</v>
      </c>
      <c r="AT116" s="245">
        <f t="shared" ref="AT116:AT117" si="817">+((AP116*AP$78)+(AR$78*AR116))/AT$78</f>
        <v>10.271125609395753</v>
      </c>
      <c r="AU116" s="118">
        <v>10</v>
      </c>
      <c r="AV116" s="308">
        <v>10.293095238095239</v>
      </c>
      <c r="AW116" s="245">
        <f t="shared" ref="AW116:AW117" si="818">+((AS116*AS$78)+(AU$78*AU116))/AW$78</f>
        <v>10.000000000000002</v>
      </c>
      <c r="AX116" s="245">
        <f t="shared" ref="AX116:AX117" si="819">+((AT116*AT$78)+(AV$78*AV116))/AX$78</f>
        <v>10.272987463539875</v>
      </c>
      <c r="AY116" s="118">
        <v>10</v>
      </c>
      <c r="AZ116" s="308">
        <v>10.224408602150536</v>
      </c>
      <c r="BA116" s="261">
        <f t="shared" ref="BA116:BA117" si="820">+((AQ116*AQ$78)+(AU116*AU$78)+(AY$78*AY116))/BA$78</f>
        <v>10.000000000000004</v>
      </c>
      <c r="BB116" s="261">
        <f t="shared" ref="BB116:BB117" si="821">+((AR116*AR$78)+(AV116*AV$78)+(AZ$78*AZ116))/BB$78</f>
        <v>10.274137845982231</v>
      </c>
      <c r="BC116" s="1146">
        <f t="shared" si="796"/>
        <v>10.000000000000002</v>
      </c>
      <c r="BD116" s="1146">
        <f t="shared" si="796"/>
        <v>10.278747973392925</v>
      </c>
      <c r="BE116" s="245">
        <f t="shared" ref="BE116:BE117" si="822">+((AW116*AW$78)+(AY$78*AY116))/BE$78</f>
        <v>10.000000000000002</v>
      </c>
      <c r="BF116" s="245">
        <f t="shared" ref="BF116:BF117" si="823">+((AX116*AX$78)+(AZ$78*AZ116))/BF$78</f>
        <v>10.268875080255174</v>
      </c>
    </row>
    <row r="117" spans="1:58" x14ac:dyDescent="0.25">
      <c r="B117" s="28" t="s">
        <v>229</v>
      </c>
      <c r="C117" s="33" t="s">
        <v>52</v>
      </c>
      <c r="D117" s="1109">
        <v>25</v>
      </c>
      <c r="E117" s="1109">
        <v>25</v>
      </c>
      <c r="F117" s="230">
        <v>25.0277777777778</v>
      </c>
      <c r="G117" s="1109">
        <v>25</v>
      </c>
      <c r="H117" s="225">
        <v>25.160215099999999</v>
      </c>
      <c r="I117" s="245">
        <f t="shared" si="797"/>
        <v>24.999999999999996</v>
      </c>
      <c r="J117" s="245">
        <f t="shared" si="798"/>
        <v>25.09513951493377</v>
      </c>
      <c r="K117" s="118">
        <v>25</v>
      </c>
      <c r="L117" s="225">
        <v>25.064772727272725</v>
      </c>
      <c r="M117" s="261">
        <f t="shared" si="799"/>
        <v>25</v>
      </c>
      <c r="N117" s="261">
        <f t="shared" si="800"/>
        <v>25.085231092286786</v>
      </c>
      <c r="O117" s="118">
        <v>25</v>
      </c>
      <c r="P117" s="308">
        <v>25.095698924731174</v>
      </c>
      <c r="Q117" s="245">
        <f t="shared" si="801"/>
        <v>24.999999999999993</v>
      </c>
      <c r="R117" s="245">
        <f t="shared" si="802"/>
        <v>25.087901417058713</v>
      </c>
      <c r="S117" s="118">
        <v>25</v>
      </c>
      <c r="T117" s="308">
        <v>25.067741935483873</v>
      </c>
      <c r="U117" s="245">
        <f t="shared" si="803"/>
        <v>25</v>
      </c>
      <c r="V117" s="245">
        <f t="shared" si="804"/>
        <v>25.083760870389472</v>
      </c>
      <c r="W117" s="118">
        <v>25</v>
      </c>
      <c r="X117" s="308">
        <v>25.08444444444444</v>
      </c>
      <c r="Y117" s="261">
        <f t="shared" si="805"/>
        <v>25.000000000000004</v>
      </c>
      <c r="Z117" s="261">
        <f t="shared" si="805"/>
        <v>25.082540911442464</v>
      </c>
      <c r="AA117" s="1146">
        <f t="shared" si="806"/>
        <v>24.999999999999996</v>
      </c>
      <c r="AB117" s="1146">
        <f t="shared" si="807"/>
        <v>25.083872714649289</v>
      </c>
      <c r="AC117" s="118">
        <v>25</v>
      </c>
      <c r="AD117" s="308">
        <v>24.973118279569892</v>
      </c>
      <c r="AE117" s="245">
        <f t="shared" si="808"/>
        <v>25</v>
      </c>
      <c r="AF117" s="245">
        <f t="shared" si="809"/>
        <v>25.068181571962814</v>
      </c>
      <c r="AG117" s="118">
        <v>25</v>
      </c>
      <c r="AH117" s="308">
        <v>25.094444444444434</v>
      </c>
      <c r="AI117" s="245">
        <f t="shared" si="810"/>
        <v>25</v>
      </c>
      <c r="AJ117" s="245">
        <f t="shared" si="811"/>
        <v>25.071445268224398</v>
      </c>
      <c r="AK117" s="118">
        <v>25</v>
      </c>
      <c r="AL117" s="308">
        <v>25.15274725274725</v>
      </c>
      <c r="AM117" s="261">
        <f t="shared" si="812"/>
        <v>25.000000000000004</v>
      </c>
      <c r="AN117" s="261">
        <f t="shared" si="813"/>
        <v>25.074514513876142</v>
      </c>
      <c r="AO117" s="245">
        <f t="shared" si="814"/>
        <v>25.000000000000004</v>
      </c>
      <c r="AP117" s="245">
        <f t="shared" si="815"/>
        <v>25.080744170123427</v>
      </c>
      <c r="AQ117" s="118">
        <v>25</v>
      </c>
      <c r="AR117" s="308">
        <v>25.039784946236573</v>
      </c>
      <c r="AS117" s="245">
        <f t="shared" si="816"/>
        <v>25.000000000000007</v>
      </c>
      <c r="AT117" s="245">
        <f t="shared" si="817"/>
        <v>25.076543877488742</v>
      </c>
      <c r="AU117" s="118">
        <v>25</v>
      </c>
      <c r="AV117" s="308">
        <v>25.136904761904763</v>
      </c>
      <c r="AW117" s="245">
        <f t="shared" si="818"/>
        <v>25.000000000000004</v>
      </c>
      <c r="AX117" s="245">
        <f t="shared" si="819"/>
        <v>25.08165926493248</v>
      </c>
      <c r="AY117" s="118">
        <v>25</v>
      </c>
      <c r="AZ117" s="308">
        <v>25.102150537634408</v>
      </c>
      <c r="BA117" s="261">
        <f t="shared" si="820"/>
        <v>25.000000000000007</v>
      </c>
      <c r="BB117" s="261">
        <f t="shared" si="821"/>
        <v>25.091422715125791</v>
      </c>
      <c r="BC117" s="1146">
        <f t="shared" si="796"/>
        <v>24.999999999999996</v>
      </c>
      <c r="BD117" s="1146">
        <f t="shared" si="796"/>
        <v>25.082914171111238</v>
      </c>
      <c r="BE117" s="245">
        <f t="shared" si="822"/>
        <v>25.000000000000007</v>
      </c>
      <c r="BF117" s="245">
        <f t="shared" si="823"/>
        <v>25.083393928218765</v>
      </c>
    </row>
    <row r="118" spans="1:58" s="334" customFormat="1" ht="18.75" x14ac:dyDescent="0.25">
      <c r="A118" s="333"/>
      <c r="B118" s="897" t="s">
        <v>225</v>
      </c>
      <c r="C118" s="1170"/>
      <c r="D118" s="1170"/>
      <c r="E118" s="1170"/>
      <c r="F118" s="1169"/>
      <c r="G118" s="1170"/>
      <c r="H118" s="1170"/>
      <c r="I118" s="1170"/>
      <c r="J118" s="849"/>
      <c r="K118" s="849"/>
      <c r="L118" s="849"/>
      <c r="M118" s="849"/>
      <c r="N118" s="849"/>
      <c r="O118" s="849"/>
      <c r="P118" s="849"/>
      <c r="Q118" s="1170"/>
      <c r="R118" s="849"/>
      <c r="S118" s="849"/>
      <c r="T118" s="849"/>
      <c r="U118" s="1170"/>
      <c r="V118" s="849"/>
      <c r="W118" s="849"/>
      <c r="X118" s="849"/>
      <c r="Y118" s="849"/>
      <c r="Z118" s="849"/>
      <c r="AA118" s="1170"/>
      <c r="AB118" s="849"/>
      <c r="AC118" s="849"/>
      <c r="AD118" s="849"/>
      <c r="AE118" s="1170"/>
      <c r="AF118" s="849"/>
      <c r="AG118" s="849"/>
      <c r="AH118" s="849"/>
      <c r="AI118" s="1170"/>
      <c r="AJ118" s="849"/>
      <c r="AK118" s="849"/>
      <c r="AL118" s="849"/>
      <c r="AM118" s="849"/>
      <c r="AN118" s="849"/>
      <c r="AO118" s="1170"/>
      <c r="AP118" s="849"/>
      <c r="AQ118" s="849"/>
      <c r="AR118" s="849"/>
      <c r="AS118" s="1170"/>
      <c r="AT118" s="849"/>
      <c r="AU118" s="849"/>
      <c r="AV118" s="849"/>
      <c r="AW118" s="1170"/>
      <c r="AX118" s="849"/>
      <c r="AY118" s="849"/>
      <c r="AZ118" s="849"/>
      <c r="BA118" s="849"/>
      <c r="BB118" s="849"/>
      <c r="BC118" s="1170"/>
      <c r="BD118" s="849"/>
      <c r="BE118" s="1170"/>
      <c r="BF118" s="849"/>
    </row>
    <row r="119" spans="1:58" x14ac:dyDescent="0.25">
      <c r="B119" s="28" t="s">
        <v>230</v>
      </c>
      <c r="C119" s="33" t="s">
        <v>52</v>
      </c>
      <c r="D119" s="1109">
        <v>4</v>
      </c>
      <c r="E119" s="1109">
        <v>4</v>
      </c>
      <c r="F119" s="230">
        <v>3.85769230769231</v>
      </c>
      <c r="G119" s="1109">
        <v>4</v>
      </c>
      <c r="H119" s="225">
        <v>3.8783783999999999</v>
      </c>
      <c r="I119" s="245">
        <f>+((E119*E$17)+(G$17*G119))/I$17</f>
        <v>4</v>
      </c>
      <c r="J119" s="245">
        <f>+((F119*F$17)+(H$17*H119))/J$17</f>
        <v>3.8681746456038586</v>
      </c>
      <c r="K119" s="1109">
        <v>4</v>
      </c>
      <c r="L119" s="225">
        <v>3.9377777777777787</v>
      </c>
      <c r="M119" s="261">
        <f>+((I119*I$17)+(K$17*K119))/M$17</f>
        <v>4</v>
      </c>
      <c r="N119" s="261">
        <f>+((J119*J$17)+(L$17*L119))/N$17</f>
        <v>3.8906334751539515</v>
      </c>
      <c r="O119" s="1109">
        <v>4</v>
      </c>
      <c r="P119" s="308">
        <v>3.9935483870967756</v>
      </c>
      <c r="Q119" s="245">
        <f>+((M119*M$17)+(O$17*O119))/Q$17</f>
        <v>4</v>
      </c>
      <c r="R119" s="245">
        <f>+((N119*N$17)+(P$17*P119))/R$17</f>
        <v>3.9166500440700243</v>
      </c>
      <c r="S119" s="1109">
        <v>4</v>
      </c>
      <c r="T119" s="308">
        <v>4.4459770114942527</v>
      </c>
      <c r="U119" s="245">
        <f>+((Q119*Q$17)+(S$17*S119))/U$17</f>
        <v>4</v>
      </c>
      <c r="V119" s="245">
        <f>+((R119*R$17)+(T$17*T119))/V$17</f>
        <v>4.0237091174420847</v>
      </c>
      <c r="W119" s="1109">
        <v>4</v>
      </c>
      <c r="X119" s="308">
        <v>4.6744444444444424</v>
      </c>
      <c r="Y119" s="261">
        <f>+((O119*O$17)+(S119*S$17)+(W$17*W119))/Y$17</f>
        <v>4</v>
      </c>
      <c r="Z119" s="261">
        <f>+((P119*P$17)+(T119*T$17)+(X$17*X119))/Z$17</f>
        <v>4.3662557055413052</v>
      </c>
      <c r="AA119" s="1146">
        <f>+((U119*U$17)+(W$17*W119))/AA$17</f>
        <v>4</v>
      </c>
      <c r="AB119" s="1146">
        <f>+((V119*V$17)+(X$17*X119))/AB$17</f>
        <v>4.1283273054048717</v>
      </c>
      <c r="AC119" s="1109">
        <v>4</v>
      </c>
      <c r="AD119" s="308">
        <v>4.2946236559139788</v>
      </c>
      <c r="AE119" s="245">
        <f>+((AA119*AA$17)+(AC$17*AC119))/AE$17</f>
        <v>4</v>
      </c>
      <c r="AF119" s="245">
        <f>+((AB119*AB$17)+(AD$17*AD119))/AF$17</f>
        <v>4.1514245524478115</v>
      </c>
      <c r="AG119" s="1109">
        <v>4</v>
      </c>
      <c r="AH119" s="308">
        <v>4.0759036144578307</v>
      </c>
      <c r="AI119" s="245">
        <f>+((AE119*AE$17)+(AG$17*AG119))/AI$17</f>
        <v>4</v>
      </c>
      <c r="AJ119" s="245">
        <f>+((AF119*AF$17)+(AH$17*AH119))/AJ$17</f>
        <v>4.1421895471863293</v>
      </c>
      <c r="AK119" s="1109">
        <v>4</v>
      </c>
      <c r="AL119" s="308">
        <v>3.8423913043478244</v>
      </c>
      <c r="AM119" s="261">
        <f>+((AC119*AC$17)+(AG119*AG$17)+(AK$17*AK119))/AM$17</f>
        <v>4</v>
      </c>
      <c r="AN119" s="261">
        <f>+((AD119*AD$17)+(AH119*AH$17)+(AL$17*AL119))/AN$17</f>
        <v>4.0677315169119632</v>
      </c>
      <c r="AO119" s="245">
        <f>+((AI119*AI$17)+(AK$17*AK119))/AO$17</f>
        <v>4</v>
      </c>
      <c r="AP119" s="245">
        <f>+((AJ119*AJ$17)+(AL$17*AL119))/AP$17</f>
        <v>4.1083627440501411</v>
      </c>
      <c r="AQ119" s="1109">
        <v>4</v>
      </c>
      <c r="AR119" s="308">
        <v>3.8701098901098909</v>
      </c>
      <c r="AS119" s="245">
        <f>+((AO119*AO$17)+(AQ$17*AQ119))/AS$17</f>
        <v>4</v>
      </c>
      <c r="AT119" s="245">
        <f>+((AP119*AP$17)+(AR$17*AR119))/AT$17</f>
        <v>4.0842481121937944</v>
      </c>
      <c r="AU119" s="1109">
        <v>4</v>
      </c>
      <c r="AV119" s="308">
        <v>3.813414634146342</v>
      </c>
      <c r="AW119" s="245">
        <f>+((AS119*AS$17)+(AU$17*AU119))/AW$17</f>
        <v>4</v>
      </c>
      <c r="AX119" s="245">
        <f>+((AT119*AT$17)+(AV$17*AV119))/AX$17</f>
        <v>4.0615719244845172</v>
      </c>
      <c r="AY119" s="1109">
        <v>4</v>
      </c>
      <c r="AZ119" s="308">
        <v>3.79</v>
      </c>
      <c r="BA119" s="261">
        <f>+((AQ119*AQ$17)+(AU119*AU$17)+(AY$17*AY119))/BA$17</f>
        <v>4</v>
      </c>
      <c r="BB119" s="261">
        <f>+((AR119*AR$17)+(AV119*AV$17)+(AZ$17*AZ119))/BB$17</f>
        <v>3.8250535595117312</v>
      </c>
      <c r="BC119" s="1146">
        <f t="shared" ref="BC119:BD124" si="824">+((AM119*AM$17)+(BA$17*BA119))/BC$17</f>
        <v>4</v>
      </c>
      <c r="BD119" s="1146">
        <f t="shared" si="824"/>
        <v>3.9471709212679555</v>
      </c>
      <c r="BE119" s="245">
        <f>+((AW119*AW$17)+(AY$17*AY119))/BE$17</f>
        <v>4</v>
      </c>
      <c r="BF119" s="245">
        <f>+((AX119*AX$17)+(AZ$17*AZ119))/BF$17</f>
        <v>4.0388280940528345</v>
      </c>
    </row>
    <row r="120" spans="1:58" x14ac:dyDescent="0.25">
      <c r="B120" s="28" t="s">
        <v>231</v>
      </c>
      <c r="C120" s="33" t="s">
        <v>52</v>
      </c>
      <c r="D120" s="1109">
        <v>14.5</v>
      </c>
      <c r="E120" s="1109">
        <v>14.5</v>
      </c>
      <c r="F120" s="230">
        <v>14.1557692307692</v>
      </c>
      <c r="G120" s="1109">
        <v>14.5</v>
      </c>
      <c r="H120" s="225">
        <v>14.039189199999999</v>
      </c>
      <c r="I120" s="245">
        <f t="shared" ref="I120:J124" si="825">+((E120*E$17)+(G$17*G120))/I$17</f>
        <v>14.500000000000002</v>
      </c>
      <c r="J120" s="245">
        <f t="shared" si="825"/>
        <v>14.096694212728833</v>
      </c>
      <c r="K120" s="1109">
        <v>14.5</v>
      </c>
      <c r="L120" s="225">
        <v>14.208888888888882</v>
      </c>
      <c r="M120" s="261">
        <f>+((I120*I$17)+(K$17*K120))/M$17</f>
        <v>14.500000000000002</v>
      </c>
      <c r="N120" s="261">
        <f>+((J120*J$17)+(L$17*L120))/N$17</f>
        <v>14.132896047755599</v>
      </c>
      <c r="O120" s="1109">
        <v>14.5</v>
      </c>
      <c r="P120" s="308">
        <v>14.302282608695648</v>
      </c>
      <c r="Q120" s="245">
        <f>+((M120*M$17)+(O$17*O120))/Q$17</f>
        <v>14.500000000000002</v>
      </c>
      <c r="R120" s="245">
        <f>+((N120*N$17)+(P$17*P120))/R$17</f>
        <v>14.175716442321955</v>
      </c>
      <c r="S120" s="1109">
        <v>14.5</v>
      </c>
      <c r="T120" s="308">
        <v>14.05402298850575</v>
      </c>
      <c r="U120" s="245">
        <f>+((Q120*Q$17)+(S$17*S120))/U$17</f>
        <v>14.500000000000004</v>
      </c>
      <c r="V120" s="245">
        <f>+((R120*R$17)+(T$17*T120))/V$17</f>
        <v>14.151103321882603</v>
      </c>
      <c r="W120" s="1109">
        <v>14.5</v>
      </c>
      <c r="X120" s="308">
        <v>14.414772727272732</v>
      </c>
      <c r="Y120" s="261">
        <f t="shared" ref="Y120:Y124" si="826">+((O120*O$17)+(S120*S$17)+(W$17*W120))/Y$17</f>
        <v>14.5</v>
      </c>
      <c r="Z120" s="261">
        <f t="shared" ref="Z120:Z124" si="827">+((P120*P$17)+(T120*T$17)+(X$17*X120))/Z$17</f>
        <v>14.254150227444605</v>
      </c>
      <c r="AA120" s="1146">
        <f>+((U120*U$17)+(W$17*W120))/AA$17</f>
        <v>14.500000000000002</v>
      </c>
      <c r="AB120" s="1146">
        <f>+((V120*V$17)+(X$17*X120))/AB$17</f>
        <v>14.193493237211483</v>
      </c>
      <c r="AC120" s="1109">
        <v>14.5</v>
      </c>
      <c r="AD120" s="308">
        <v>14.511827956989249</v>
      </c>
      <c r="AE120" s="245">
        <f>+((AA120*AA$17)+(AC$17*AC120))/AE$17</f>
        <v>14.500000000000004</v>
      </c>
      <c r="AF120" s="245">
        <f>+((AB120*AB$17)+(AD$17*AD120))/AF$17</f>
        <v>14.237707410538452</v>
      </c>
      <c r="AG120" s="1109">
        <v>14.5</v>
      </c>
      <c r="AH120" s="308">
        <v>14.371566265060244</v>
      </c>
      <c r="AI120" s="245">
        <f>+((AE120*AE$17)+(AG$17*AG120))/AI$17</f>
        <v>14.500000000000002</v>
      </c>
      <c r="AJ120" s="245">
        <f>+((AF120*AF$17)+(AH$17*AH120))/AJ$17</f>
        <v>14.254076211810078</v>
      </c>
      <c r="AK120" s="1109">
        <v>14.5</v>
      </c>
      <c r="AL120" s="308">
        <v>13.994891304347826</v>
      </c>
      <c r="AM120" s="261">
        <f t="shared" ref="AM120:AM124" si="828">+((AC120*AC$17)+(AG120*AG$17)+(AK$17*AK120))/AM$17</f>
        <v>14.500000000000004</v>
      </c>
      <c r="AN120" s="261">
        <f t="shared" ref="AN120:AN124" si="829">+((AD120*AD$17)+(AH120*AH$17)+(AL$17*AL120))/AN$17</f>
        <v>14.288611293217487</v>
      </c>
      <c r="AO120" s="245">
        <f>+((AI120*AI$17)+(AK$17*AK120))/AO$17</f>
        <v>14.500000000000002</v>
      </c>
      <c r="AP120" s="245">
        <f>+((AJ120*AJ$17)+(AL$17*AL120))/AP$17</f>
        <v>14.224831888168998</v>
      </c>
      <c r="AQ120" s="1109">
        <v>14.5</v>
      </c>
      <c r="AR120" s="308">
        <v>14.317692307692299</v>
      </c>
      <c r="AS120" s="245">
        <f>+((AO120*AO$17)+(AQ$17*AQ120))/AS$17</f>
        <v>14.500000000000002</v>
      </c>
      <c r="AT120" s="245">
        <f>+((AP120*AP$17)+(AR$17*AR120))/AT$17</f>
        <v>14.23423070456845</v>
      </c>
      <c r="AU120" s="1109">
        <v>14.5</v>
      </c>
      <c r="AV120" s="308">
        <v>14.303048780487797</v>
      </c>
      <c r="AW120" s="245">
        <f>+((AS120*AS$17)+(AU$17*AU120))/AW$17</f>
        <v>14.500000000000002</v>
      </c>
      <c r="AX120" s="245">
        <f>+((AT120*AT$17)+(AV$17*AV120))/AX$17</f>
        <v>14.239992664347534</v>
      </c>
      <c r="AY120" s="1109">
        <v>14.5</v>
      </c>
      <c r="AZ120" s="308">
        <v>14.309444444444436</v>
      </c>
      <c r="BA120" s="261">
        <f t="shared" ref="BA120:BA124" si="830">+((AQ120*AQ$17)+(AU120*AU$17)+(AY$17*AY120))/BA$17</f>
        <v>14.499999999999998</v>
      </c>
      <c r="BB120" s="261">
        <f t="shared" ref="BB120:BB124" si="831">+((AR120*AR$17)+(AV120*AV$17)+(AZ$17*AZ120))/BB$17</f>
        <v>14.310300880680312</v>
      </c>
      <c r="BC120" s="1146">
        <f t="shared" si="824"/>
        <v>14.500000000000002</v>
      </c>
      <c r="BD120" s="1146">
        <f t="shared" si="824"/>
        <v>14.299386518177363</v>
      </c>
      <c r="BE120" s="245">
        <f>+((AW120*AW$17)+(AY$17*AY120))/BE$17</f>
        <v>14.5</v>
      </c>
      <c r="BF120" s="245">
        <f>+((AX120*AX$17)+(AZ$17*AZ120))/BF$17</f>
        <v>14.245809169542984</v>
      </c>
    </row>
    <row r="121" spans="1:58" x14ac:dyDescent="0.25">
      <c r="B121" s="28" t="s">
        <v>232</v>
      </c>
      <c r="C121" s="33" t="s">
        <v>52</v>
      </c>
      <c r="D121" s="1109">
        <v>84</v>
      </c>
      <c r="E121" s="1109">
        <v>84</v>
      </c>
      <c r="F121" s="230">
        <v>84.665384615384596</v>
      </c>
      <c r="G121" s="1109">
        <v>84</v>
      </c>
      <c r="H121" s="225">
        <v>84.777027000000004</v>
      </c>
      <c r="I121" s="245">
        <f t="shared" si="825"/>
        <v>84</v>
      </c>
      <c r="J121" s="245">
        <f t="shared" si="825"/>
        <v>84.721957562241016</v>
      </c>
      <c r="K121" s="1109">
        <v>84</v>
      </c>
      <c r="L121" s="225">
        <v>84.904444444444437</v>
      </c>
      <c r="M121" s="261">
        <f t="shared" ref="M121:M124" si="832">+((I121*I$17)+(K$17*K121))/M$17</f>
        <v>84</v>
      </c>
      <c r="N121" s="261">
        <f t="shared" ref="N121:N124" si="833">+((J121*J$17)+(L$17*L121))/N$17</f>
        <v>84.780840570153558</v>
      </c>
      <c r="O121" s="1109">
        <v>84</v>
      </c>
      <c r="P121" s="308">
        <v>84.492391304347834</v>
      </c>
      <c r="Q121" s="245">
        <f t="shared" ref="Q121:Q124" si="834">+((M121*M$17)+(O$17*O121))/Q$17</f>
        <v>84</v>
      </c>
      <c r="R121" s="245">
        <f t="shared" ref="R121:R124" si="835">+((N121*N$17)+(P$17*P121))/R$17</f>
        <v>84.707921494958754</v>
      </c>
      <c r="S121" s="1109">
        <v>84</v>
      </c>
      <c r="T121" s="308">
        <v>84.539080459770148</v>
      </c>
      <c r="U121" s="245">
        <f t="shared" ref="U121:U124" si="836">+((Q121*Q$17)+(S$17*S121))/U$17</f>
        <v>84</v>
      </c>
      <c r="V121" s="245">
        <f t="shared" ref="V121:V124" si="837">+((R121*R$17)+(T$17*T121))/V$17</f>
        <v>84.673772536211317</v>
      </c>
      <c r="W121" s="1109">
        <v>84</v>
      </c>
      <c r="X121" s="308">
        <v>84.615909090909113</v>
      </c>
      <c r="Y121" s="261">
        <f t="shared" si="826"/>
        <v>84</v>
      </c>
      <c r="Z121" s="261">
        <f t="shared" si="827"/>
        <v>84.547984343156585</v>
      </c>
      <c r="AA121" s="1146">
        <f t="shared" ref="AA121:AA124" si="838">+((U121*U$17)+(W$17*W121))/AA$17</f>
        <v>84</v>
      </c>
      <c r="AB121" s="1146">
        <f t="shared" ref="AB121:AB124" si="839">+((V121*V$17)+(X$17*X121))/AB$17</f>
        <v>84.664469877287473</v>
      </c>
      <c r="AC121" s="1109">
        <v>84</v>
      </c>
      <c r="AD121" s="308">
        <v>84.437634408602136</v>
      </c>
      <c r="AE121" s="245">
        <f t="shared" ref="AE121:AE124" si="840">+((AA121*AA$17)+(AC$17*AC121))/AE$17</f>
        <v>84</v>
      </c>
      <c r="AF121" s="245">
        <f t="shared" ref="AF121:AF124" si="841">+((AB121*AB$17)+(AD$17*AD121))/AF$17</f>
        <v>84.632964225826768</v>
      </c>
      <c r="AG121" s="1109">
        <v>84</v>
      </c>
      <c r="AH121" s="308">
        <v>84.389759036144568</v>
      </c>
      <c r="AI121" s="245">
        <f t="shared" ref="AI121:AI124" si="842">+((AE121*AE$17)+(AG$17*AG121))/AI$17</f>
        <v>84</v>
      </c>
      <c r="AJ121" s="245">
        <f t="shared" ref="AJ121:AJ124" si="843">+((AF121*AF$17)+(AH$17*AH121))/AJ$17</f>
        <v>84.603224113135994</v>
      </c>
      <c r="AK121" s="1109">
        <v>84</v>
      </c>
      <c r="AL121" s="308">
        <v>84.950760869565201</v>
      </c>
      <c r="AM121" s="261">
        <f t="shared" si="828"/>
        <v>84</v>
      </c>
      <c r="AN121" s="261">
        <f t="shared" si="829"/>
        <v>84.597597444818717</v>
      </c>
      <c r="AO121" s="245">
        <f t="shared" ref="AO121:AO124" si="844">+((AI121*AI$17)+(AK$17*AK121))/AO$17</f>
        <v>83.999999999999986</v>
      </c>
      <c r="AP121" s="245">
        <f t="shared" ref="AP121:AP124" si="845">+((AJ121*AJ$17)+(AL$17*AL121))/AP$17</f>
        <v>84.642437343110302</v>
      </c>
      <c r="AQ121" s="1109">
        <v>84</v>
      </c>
      <c r="AR121" s="308">
        <v>83.936593406593445</v>
      </c>
      <c r="AS121" s="245">
        <f t="shared" ref="AS121:AS124" si="846">+((AO121*AO$17)+(AQ$17*AQ121))/AS$17</f>
        <v>83.999999999999986</v>
      </c>
      <c r="AT121" s="245">
        <f t="shared" ref="AT121:AT124" si="847">+((AP121*AP$17)+(AR$17*AR121))/AT$17</f>
        <v>84.570995736448978</v>
      </c>
      <c r="AU121" s="1109">
        <v>84</v>
      </c>
      <c r="AV121" s="308">
        <v>84.272560975609764</v>
      </c>
      <c r="AW121" s="245">
        <f t="shared" ref="AW121:AW124" si="848">+((AS121*AS$17)+(AU$17*AU121))/AW$17</f>
        <v>83.999999999999986</v>
      </c>
      <c r="AX121" s="245">
        <f t="shared" ref="AX121:AX124" si="849">+((AT121*AT$17)+(AV$17*AV121))/AX$17</f>
        <v>84.546008564609835</v>
      </c>
      <c r="AY121" s="1109">
        <v>84</v>
      </c>
      <c r="AZ121" s="308">
        <v>84.376000000000005</v>
      </c>
      <c r="BA121" s="261">
        <f t="shared" si="830"/>
        <v>83.999999999999986</v>
      </c>
      <c r="BB121" s="261">
        <f t="shared" si="831"/>
        <v>84.191540993013476</v>
      </c>
      <c r="BC121" s="1146">
        <f t="shared" si="824"/>
        <v>84</v>
      </c>
      <c r="BD121" s="1146">
        <f t="shared" si="824"/>
        <v>84.39587163412223</v>
      </c>
      <c r="BE121" s="245">
        <f t="shared" ref="BE121:BE124" si="850">+((AW121*AW$17)+(AY$17*AY121))/BE$17</f>
        <v>83.999999999999972</v>
      </c>
      <c r="BF121" s="245">
        <f t="shared" ref="BF121:BF124" si="851">+((AX121*AX$17)+(AZ$17*AZ121))/BF$17</f>
        <v>84.531770546549765</v>
      </c>
    </row>
    <row r="122" spans="1:58" x14ac:dyDescent="0.25">
      <c r="B122" s="28" t="s">
        <v>233</v>
      </c>
      <c r="C122" s="33" t="s">
        <v>52</v>
      </c>
      <c r="D122" s="1109">
        <v>7.4</v>
      </c>
      <c r="E122" s="1109">
        <v>7.4</v>
      </c>
      <c r="F122" s="230">
        <v>7.75192307692308</v>
      </c>
      <c r="G122" s="2352">
        <v>7.4</v>
      </c>
      <c r="H122" s="296">
        <v>7.7324324000000004</v>
      </c>
      <c r="I122" s="245">
        <f t="shared" si="825"/>
        <v>7.3999999999999995</v>
      </c>
      <c r="J122" s="245">
        <f t="shared" si="825"/>
        <v>7.7420464961463136</v>
      </c>
      <c r="K122" s="1109">
        <v>7.4</v>
      </c>
      <c r="L122" s="225">
        <v>7.7000000000000046</v>
      </c>
      <c r="M122" s="261">
        <f t="shared" si="832"/>
        <v>7.3999999999999995</v>
      </c>
      <c r="N122" s="261">
        <f t="shared" si="833"/>
        <v>7.7284793611534655</v>
      </c>
      <c r="O122" s="1109">
        <v>7.4</v>
      </c>
      <c r="P122" s="308">
        <v>7.8391304347826027</v>
      </c>
      <c r="Q122" s="245">
        <f t="shared" si="834"/>
        <v>7.3999999999999995</v>
      </c>
      <c r="R122" s="245">
        <f t="shared" si="835"/>
        <v>7.7564516076274197</v>
      </c>
      <c r="S122" s="1109">
        <v>7.4</v>
      </c>
      <c r="T122" s="308">
        <v>7.8632183908045903</v>
      </c>
      <c r="U122" s="245">
        <f t="shared" si="836"/>
        <v>7.4</v>
      </c>
      <c r="V122" s="245">
        <f t="shared" si="837"/>
        <v>7.7780457329550696</v>
      </c>
      <c r="W122" s="1109">
        <v>7.4</v>
      </c>
      <c r="X122" s="308">
        <v>7.8249999999999966</v>
      </c>
      <c r="Y122" s="261">
        <f t="shared" si="826"/>
        <v>7.3999999999999995</v>
      </c>
      <c r="Z122" s="261">
        <f t="shared" si="827"/>
        <v>7.8427660677385482</v>
      </c>
      <c r="AA122" s="1146">
        <f t="shared" si="838"/>
        <v>7.3999999999999995</v>
      </c>
      <c r="AB122" s="1146">
        <f t="shared" si="839"/>
        <v>7.7855945321849944</v>
      </c>
      <c r="AC122" s="1109">
        <v>7.4</v>
      </c>
      <c r="AD122" s="308">
        <v>7.9473118279569874</v>
      </c>
      <c r="AE122" s="245">
        <f t="shared" si="840"/>
        <v>7.4</v>
      </c>
      <c r="AF122" s="245">
        <f t="shared" si="841"/>
        <v>7.8080557847628578</v>
      </c>
      <c r="AG122" s="1109">
        <v>7.4</v>
      </c>
      <c r="AH122" s="308">
        <v>7.9932530120481919</v>
      </c>
      <c r="AI122" s="245">
        <f t="shared" si="842"/>
        <v>7.3999999999999995</v>
      </c>
      <c r="AJ122" s="245">
        <f t="shared" si="843"/>
        <v>7.8307024495675099</v>
      </c>
      <c r="AK122" s="1109">
        <v>7.4</v>
      </c>
      <c r="AL122" s="308">
        <v>7.7207608695652201</v>
      </c>
      <c r="AM122" s="261">
        <f t="shared" si="828"/>
        <v>7.4</v>
      </c>
      <c r="AN122" s="261">
        <f t="shared" si="829"/>
        <v>7.8848536186496716</v>
      </c>
      <c r="AO122" s="245">
        <f t="shared" si="844"/>
        <v>7.3999999999999986</v>
      </c>
      <c r="AP122" s="245">
        <f t="shared" si="845"/>
        <v>7.8182975330209432</v>
      </c>
      <c r="AQ122" s="1109">
        <v>7.4</v>
      </c>
      <c r="AR122" s="308">
        <v>7.9875824175824164</v>
      </c>
      <c r="AS122" s="245">
        <f t="shared" si="846"/>
        <v>7.3999999999999977</v>
      </c>
      <c r="AT122" s="245">
        <f t="shared" si="847"/>
        <v>7.8354316097068315</v>
      </c>
      <c r="AU122" s="1109">
        <v>7.4</v>
      </c>
      <c r="AV122" s="308">
        <v>7.8964634146341437</v>
      </c>
      <c r="AW122" s="245">
        <f t="shared" si="848"/>
        <v>7.3999999999999977</v>
      </c>
      <c r="AX122" s="245">
        <f t="shared" si="849"/>
        <v>7.8405416451232259</v>
      </c>
      <c r="AY122" s="1109">
        <v>7.4</v>
      </c>
      <c r="AZ122" s="308">
        <v>7.8494444444444458</v>
      </c>
      <c r="BA122" s="261">
        <f t="shared" si="830"/>
        <v>7.3999999999999986</v>
      </c>
      <c r="BB122" s="261">
        <f t="shared" si="831"/>
        <v>7.9119658884141204</v>
      </c>
      <c r="BC122" s="1146">
        <f t="shared" si="824"/>
        <v>7.3999999999999995</v>
      </c>
      <c r="BD122" s="1146">
        <f t="shared" si="824"/>
        <v>7.8983227916519487</v>
      </c>
      <c r="BE122" s="245">
        <f t="shared" si="850"/>
        <v>7.3999999999999968</v>
      </c>
      <c r="BF122" s="245">
        <f t="shared" si="851"/>
        <v>7.8412872441335564</v>
      </c>
    </row>
    <row r="123" spans="1:58" x14ac:dyDescent="0.25">
      <c r="B123" s="28" t="s">
        <v>234</v>
      </c>
      <c r="C123" s="33" t="s">
        <v>52</v>
      </c>
      <c r="D123" s="1109">
        <v>64</v>
      </c>
      <c r="E123" s="1109">
        <v>64</v>
      </c>
      <c r="F123" s="230">
        <v>64.142857142857096</v>
      </c>
      <c r="G123" s="1109">
        <v>64</v>
      </c>
      <c r="H123" s="225">
        <v>64.544444400000003</v>
      </c>
      <c r="I123" s="245">
        <f t="shared" si="825"/>
        <v>64</v>
      </c>
      <c r="J123" s="245">
        <f t="shared" si="825"/>
        <v>64.346354897180618</v>
      </c>
      <c r="K123" s="1109">
        <v>64</v>
      </c>
      <c r="L123" s="225">
        <v>64.725000000000009</v>
      </c>
      <c r="M123" s="261">
        <f t="shared" si="832"/>
        <v>64</v>
      </c>
      <c r="N123" s="261">
        <f t="shared" si="833"/>
        <v>64.468532241196542</v>
      </c>
      <c r="O123" s="1109">
        <v>64</v>
      </c>
      <c r="P123" s="308">
        <v>64.260000000000005</v>
      </c>
      <c r="Q123" s="245">
        <f t="shared" si="834"/>
        <v>64</v>
      </c>
      <c r="R123" s="245">
        <f t="shared" si="835"/>
        <v>64.415815940692625</v>
      </c>
      <c r="S123" s="1109">
        <v>64</v>
      </c>
      <c r="T123" s="308">
        <v>64.2</v>
      </c>
      <c r="U123" s="245">
        <f t="shared" si="836"/>
        <v>64</v>
      </c>
      <c r="V123" s="245">
        <f t="shared" si="837"/>
        <v>64.37216606821039</v>
      </c>
      <c r="W123" s="1109">
        <v>64</v>
      </c>
      <c r="X123" s="308">
        <v>64.354545454545459</v>
      </c>
      <c r="Y123" s="261">
        <f t="shared" si="826"/>
        <v>64</v>
      </c>
      <c r="Z123" s="261">
        <f t="shared" si="827"/>
        <v>64.270036296560249</v>
      </c>
      <c r="AA123" s="1146">
        <f t="shared" si="838"/>
        <v>64</v>
      </c>
      <c r="AB123" s="1146">
        <f t="shared" si="839"/>
        <v>64.369333216517958</v>
      </c>
      <c r="AC123" s="1109">
        <v>64</v>
      </c>
      <c r="AD123" s="308">
        <v>63.583333333333336</v>
      </c>
      <c r="AE123" s="245">
        <f t="shared" si="840"/>
        <v>64</v>
      </c>
      <c r="AF123" s="245">
        <f t="shared" si="841"/>
        <v>64.260164053021242</v>
      </c>
      <c r="AG123" s="1109">
        <v>64</v>
      </c>
      <c r="AH123" s="308">
        <v>63.762499999999996</v>
      </c>
      <c r="AI123" s="245">
        <f t="shared" si="842"/>
        <v>64</v>
      </c>
      <c r="AJ123" s="245">
        <f t="shared" si="843"/>
        <v>64.199307682981043</v>
      </c>
      <c r="AK123" s="1109">
        <v>64</v>
      </c>
      <c r="AL123" s="308">
        <v>64.900833333333338</v>
      </c>
      <c r="AM123" s="261">
        <f t="shared" si="828"/>
        <v>64</v>
      </c>
      <c r="AN123" s="261">
        <f t="shared" si="829"/>
        <v>64.093524304904122</v>
      </c>
      <c r="AO123" s="245">
        <f t="shared" si="844"/>
        <v>64</v>
      </c>
      <c r="AP123" s="245">
        <f t="shared" si="845"/>
        <v>64.278462149814388</v>
      </c>
      <c r="AQ123" s="1109">
        <v>64</v>
      </c>
      <c r="AR123" s="308">
        <v>63.879999999999995</v>
      </c>
      <c r="AS123" s="245">
        <f t="shared" si="846"/>
        <v>64</v>
      </c>
      <c r="AT123" s="245">
        <f t="shared" si="847"/>
        <v>64.238132022000386</v>
      </c>
      <c r="AU123" s="1109">
        <v>64</v>
      </c>
      <c r="AV123" s="308">
        <v>64.239166666666662</v>
      </c>
      <c r="AW123" s="245">
        <f t="shared" si="848"/>
        <v>64</v>
      </c>
      <c r="AX123" s="245">
        <f t="shared" si="849"/>
        <v>64.238218650126399</v>
      </c>
      <c r="AY123" s="1109">
        <v>64</v>
      </c>
      <c r="AZ123" s="308">
        <v>64.703846153846158</v>
      </c>
      <c r="BA123" s="261">
        <f t="shared" si="830"/>
        <v>64</v>
      </c>
      <c r="BB123" s="261">
        <f t="shared" si="831"/>
        <v>64.27337840033816</v>
      </c>
      <c r="BC123" s="1146">
        <f t="shared" si="824"/>
        <v>64</v>
      </c>
      <c r="BD123" s="1146">
        <f t="shared" si="824"/>
        <v>64.182874475421585</v>
      </c>
      <c r="BE123" s="245">
        <f t="shared" si="850"/>
        <v>64</v>
      </c>
      <c r="BF123" s="245">
        <f t="shared" si="851"/>
        <v>64.277214407913334</v>
      </c>
    </row>
    <row r="124" spans="1:58" x14ac:dyDescent="0.25">
      <c r="B124" s="28" t="s">
        <v>235</v>
      </c>
      <c r="C124" s="33" t="s">
        <v>52</v>
      </c>
      <c r="D124" s="1109">
        <v>23</v>
      </c>
      <c r="E124" s="1109">
        <v>23</v>
      </c>
      <c r="F124" s="230">
        <v>22.771428571428601</v>
      </c>
      <c r="G124" s="1109">
        <v>23</v>
      </c>
      <c r="H124" s="225">
        <v>22.477777799999998</v>
      </c>
      <c r="I124" s="245">
        <f t="shared" si="825"/>
        <v>23</v>
      </c>
      <c r="J124" s="245">
        <f t="shared" si="825"/>
        <v>22.62262586049043</v>
      </c>
      <c r="K124" s="1109">
        <v>23</v>
      </c>
      <c r="L124" s="225">
        <v>22.166666666666668</v>
      </c>
      <c r="M124" s="261">
        <f t="shared" si="832"/>
        <v>23</v>
      </c>
      <c r="N124" s="261">
        <f t="shared" si="833"/>
        <v>22.475501593290819</v>
      </c>
      <c r="O124" s="1109">
        <v>23</v>
      </c>
      <c r="P124" s="308">
        <v>22.630000000000003</v>
      </c>
      <c r="Q124" s="245">
        <f t="shared" si="834"/>
        <v>23</v>
      </c>
      <c r="R124" s="245">
        <f t="shared" si="835"/>
        <v>22.514558308879383</v>
      </c>
      <c r="S124" s="1109">
        <v>23</v>
      </c>
      <c r="T124" s="308">
        <v>22.983333333333331</v>
      </c>
      <c r="U124" s="245">
        <f t="shared" si="836"/>
        <v>23.000000000000004</v>
      </c>
      <c r="V124" s="245">
        <f t="shared" si="837"/>
        <v>22.609370443583607</v>
      </c>
      <c r="W124" s="1109">
        <v>23</v>
      </c>
      <c r="X124" s="308">
        <v>23.109090909090909</v>
      </c>
      <c r="Y124" s="261">
        <f t="shared" si="826"/>
        <v>23.000000000000004</v>
      </c>
      <c r="Z124" s="261">
        <f t="shared" si="827"/>
        <v>22.904129990707165</v>
      </c>
      <c r="AA124" s="1146">
        <f t="shared" si="838"/>
        <v>23</v>
      </c>
      <c r="AB124" s="1146">
        <f t="shared" si="839"/>
        <v>22.689710095389703</v>
      </c>
      <c r="AC124" s="1109">
        <v>23</v>
      </c>
      <c r="AD124" s="308">
        <v>23.716666666666665</v>
      </c>
      <c r="AE124" s="245">
        <f t="shared" si="840"/>
        <v>23.000000000000004</v>
      </c>
      <c r="AF124" s="245">
        <f t="shared" si="841"/>
        <v>22.83234623596968</v>
      </c>
      <c r="AG124" s="1109">
        <v>23</v>
      </c>
      <c r="AH124" s="308">
        <v>23.149999999999995</v>
      </c>
      <c r="AI124" s="245">
        <f t="shared" si="842"/>
        <v>23</v>
      </c>
      <c r="AJ124" s="245">
        <f t="shared" si="843"/>
        <v>22.871190220965456</v>
      </c>
      <c r="AK124" s="1109">
        <v>23</v>
      </c>
      <c r="AL124" s="308">
        <v>22.555833333333329</v>
      </c>
      <c r="AM124" s="261">
        <f t="shared" si="828"/>
        <v>23.000000000000004</v>
      </c>
      <c r="AN124" s="261">
        <f t="shared" si="829"/>
        <v>23.13253439520718</v>
      </c>
      <c r="AO124" s="245">
        <f t="shared" si="844"/>
        <v>23</v>
      </c>
      <c r="AP124" s="245">
        <f t="shared" si="845"/>
        <v>22.835607906490985</v>
      </c>
      <c r="AQ124" s="1109">
        <v>23</v>
      </c>
      <c r="AR124" s="308">
        <v>23.29</v>
      </c>
      <c r="AS124" s="245">
        <f t="shared" si="846"/>
        <v>23</v>
      </c>
      <c r="AT124" s="245">
        <f t="shared" si="847"/>
        <v>22.881598952861211</v>
      </c>
      <c r="AU124" s="1109">
        <v>23</v>
      </c>
      <c r="AV124" s="308">
        <v>22.738333333333333</v>
      </c>
      <c r="AW124" s="245">
        <f t="shared" si="848"/>
        <v>23</v>
      </c>
      <c r="AX124" s="245">
        <f t="shared" si="849"/>
        <v>22.869603692511117</v>
      </c>
      <c r="AY124" s="1109">
        <v>23</v>
      </c>
      <c r="AZ124" s="308">
        <v>22.705384615384613</v>
      </c>
      <c r="BA124" s="261">
        <f t="shared" si="830"/>
        <v>22.999999999999996</v>
      </c>
      <c r="BB124" s="261">
        <f t="shared" si="831"/>
        <v>22.918083668022476</v>
      </c>
      <c r="BC124" s="1146">
        <f t="shared" si="824"/>
        <v>22.999999999999996</v>
      </c>
      <c r="BD124" s="1146">
        <f t="shared" si="824"/>
        <v>23.025996876585172</v>
      </c>
      <c r="BE124" s="245">
        <f t="shared" si="850"/>
        <v>22.999999999999996</v>
      </c>
      <c r="BF124" s="245">
        <f t="shared" si="851"/>
        <v>22.85585053724331</v>
      </c>
    </row>
    <row r="125" spans="1:58" s="334" customFormat="1" x14ac:dyDescent="0.25">
      <c r="A125" s="333"/>
      <c r="B125" s="2353" t="s">
        <v>5</v>
      </c>
      <c r="C125" s="1177"/>
      <c r="D125" s="1177"/>
      <c r="E125" s="1177"/>
      <c r="F125" s="1176"/>
      <c r="G125" s="1177"/>
      <c r="H125" s="1177"/>
      <c r="I125" s="1052"/>
      <c r="J125" s="1052"/>
      <c r="K125" s="1052"/>
      <c r="L125" s="1052"/>
      <c r="M125" s="1052"/>
      <c r="N125" s="1052"/>
      <c r="O125" s="1052"/>
      <c r="P125" s="1052"/>
      <c r="Q125" s="1052"/>
      <c r="R125" s="1052"/>
      <c r="S125" s="1052"/>
      <c r="T125" s="1052"/>
      <c r="U125" s="1052"/>
      <c r="V125" s="1052"/>
      <c r="W125" s="1052"/>
      <c r="X125" s="1052"/>
      <c r="Y125" s="1052"/>
      <c r="Z125" s="1052"/>
      <c r="AA125" s="1052"/>
      <c r="AB125" s="1052"/>
      <c r="AC125" s="1052"/>
      <c r="AD125" s="1052"/>
      <c r="AE125" s="1052"/>
      <c r="AF125" s="1052"/>
      <c r="AG125" s="1052"/>
      <c r="AH125" s="1052"/>
      <c r="AI125" s="1052"/>
      <c r="AJ125" s="1052"/>
      <c r="AK125" s="1052"/>
      <c r="AL125" s="1052"/>
      <c r="AM125" s="1052"/>
      <c r="AN125" s="1052"/>
      <c r="AO125" s="1052"/>
      <c r="AP125" s="1052"/>
      <c r="AQ125" s="1052"/>
      <c r="AR125" s="1052"/>
      <c r="AS125" s="1052"/>
      <c r="AT125" s="1052"/>
      <c r="AU125" s="1052"/>
      <c r="AV125" s="1052"/>
      <c r="AW125" s="1052"/>
      <c r="AX125" s="1052"/>
      <c r="AY125" s="1052"/>
      <c r="AZ125" s="1052"/>
      <c r="BA125" s="1052"/>
      <c r="BB125" s="1052"/>
      <c r="BC125" s="1052"/>
      <c r="BD125" s="1052"/>
      <c r="BE125" s="1052"/>
      <c r="BF125" s="1052"/>
    </row>
    <row r="126" spans="1:58" x14ac:dyDescent="0.25">
      <c r="B126" s="2354" t="s">
        <v>244</v>
      </c>
      <c r="C126" s="33" t="s">
        <v>239</v>
      </c>
      <c r="D126" s="1109">
        <f>+(D127*D13)/1000000</f>
        <v>192.67182</v>
      </c>
      <c r="E126" s="1109">
        <f>+(E127*E13)/1000000</f>
        <v>15.836040000000001</v>
      </c>
      <c r="F126" s="3577">
        <v>15.803000000000001</v>
      </c>
      <c r="G126" s="1109">
        <f>+(G127*G13)/1000000</f>
        <v>16.363907999999999</v>
      </c>
      <c r="H126" s="376">
        <v>16.39</v>
      </c>
      <c r="I126" s="224">
        <f>+E126+G126</f>
        <v>32.199947999999999</v>
      </c>
      <c r="J126" s="224">
        <f>+F126+H126</f>
        <v>32.192999999999998</v>
      </c>
      <c r="K126" s="1109">
        <f>+(K127*K13)/1000000</f>
        <v>15.836040000000001</v>
      </c>
      <c r="L126" s="376">
        <v>15.569000000000001</v>
      </c>
      <c r="M126" s="2355">
        <f>+I126+K126</f>
        <v>48.035988000000003</v>
      </c>
      <c r="N126" s="203">
        <f>+J126+L126</f>
        <v>47.762</v>
      </c>
      <c r="O126" s="1109">
        <f>+(O127*O13)/1000000</f>
        <v>16.363907999999999</v>
      </c>
      <c r="P126" s="376">
        <v>16.3</v>
      </c>
      <c r="Q126" s="224">
        <f>+M126+O126</f>
        <v>64.399895999999998</v>
      </c>
      <c r="R126" s="224">
        <f>+N126+P126</f>
        <v>64.061999999999998</v>
      </c>
      <c r="S126" s="1109">
        <f>+(S127*S13)/1000000</f>
        <v>16.363907999999999</v>
      </c>
      <c r="T126" s="376">
        <v>16.602</v>
      </c>
      <c r="U126" s="224">
        <f>+Q126+S126</f>
        <v>80.763803999999993</v>
      </c>
      <c r="V126" s="224">
        <f>+R126+T126</f>
        <v>80.664000000000001</v>
      </c>
      <c r="W126" s="1109">
        <f>+(W127*W13)/1000000</f>
        <v>15.836040000000001</v>
      </c>
      <c r="X126" s="376">
        <v>15.846</v>
      </c>
      <c r="Y126" s="2266">
        <f t="shared" ref="Y126" si="852">+O126+S126+W126</f>
        <v>48.563856000000001</v>
      </c>
      <c r="Z126" s="184">
        <f t="shared" ref="Z126" si="853">+P126+T126+X126</f>
        <v>48.748000000000005</v>
      </c>
      <c r="AA126" s="1132">
        <f>+U126+W126</f>
        <v>96.59984399999999</v>
      </c>
      <c r="AB126" s="1132">
        <f>+V126+X126</f>
        <v>96.51</v>
      </c>
      <c r="AC126" s="1109">
        <f>+(AC127*AC13)/1000000</f>
        <v>16.363907999999999</v>
      </c>
      <c r="AD126" s="376">
        <v>16.036999999999999</v>
      </c>
      <c r="AE126" s="224">
        <f>+AA126+AC126</f>
        <v>112.96375199999999</v>
      </c>
      <c r="AF126" s="224">
        <f>+AB126+AD126</f>
        <v>112.547</v>
      </c>
      <c r="AG126" s="1109">
        <f>+(AG127*AG13)/1000000</f>
        <v>15.836040000000001</v>
      </c>
      <c r="AH126" s="376">
        <v>15.935</v>
      </c>
      <c r="AI126" s="224">
        <f>+AE126+AG126</f>
        <v>128.799792</v>
      </c>
      <c r="AJ126" s="224">
        <f>+AF126+AH126</f>
        <v>128.482</v>
      </c>
      <c r="AK126" s="1109">
        <f>+(AK127*AK13)/1000000</f>
        <v>16.363907999999999</v>
      </c>
      <c r="AL126" s="376">
        <v>16.512</v>
      </c>
      <c r="AM126" s="2266">
        <f t="shared" ref="AM126" si="854">+AC126+AG126+AK126</f>
        <v>48.563856000000001</v>
      </c>
      <c r="AN126" s="184">
        <f t="shared" ref="AN126" si="855">+AD126+AH126+AL126</f>
        <v>48.484000000000002</v>
      </c>
      <c r="AO126" s="224">
        <f>+AI126+AK126</f>
        <v>145.16370000000001</v>
      </c>
      <c r="AP126" s="224">
        <f>+AJ126+AL126</f>
        <v>144.994</v>
      </c>
      <c r="AQ126" s="1109">
        <f>+(AQ127*AQ13)/1000000</f>
        <v>16.363907999999999</v>
      </c>
      <c r="AR126" s="376">
        <v>16.495999999999999</v>
      </c>
      <c r="AS126" s="224">
        <f>+AO126+AQ126</f>
        <v>161.52760800000001</v>
      </c>
      <c r="AT126" s="224">
        <f>+AP126+AR126</f>
        <v>161.49</v>
      </c>
      <c r="AU126" s="1109">
        <f>+(AU127*AU13)/1000000</f>
        <v>14.780303999999999</v>
      </c>
      <c r="AV126" s="376">
        <v>14.909000000000001</v>
      </c>
      <c r="AW126" s="224">
        <f>+AS126+AU126</f>
        <v>176.30791200000002</v>
      </c>
      <c r="AX126" s="224">
        <f>+AT126+AV126</f>
        <v>176.399</v>
      </c>
      <c r="AY126" s="1109">
        <f>+(AY127*AY13)/1000000</f>
        <v>16.363907999999999</v>
      </c>
      <c r="AZ126" s="376">
        <v>16.297000000000001</v>
      </c>
      <c r="BA126" s="2266">
        <f t="shared" ref="BA126" si="856">+AQ126+AU126+AY126</f>
        <v>47.508119999999991</v>
      </c>
      <c r="BB126" s="184">
        <f t="shared" ref="BB126" si="857">+AR126+AV126+AZ126</f>
        <v>47.701999999999998</v>
      </c>
      <c r="BC126" s="1132">
        <f>+AM126+BA126</f>
        <v>96.071975999999992</v>
      </c>
      <c r="BD126" s="1132">
        <f>+AN126+BB126</f>
        <v>96.186000000000007</v>
      </c>
      <c r="BE126" s="224">
        <f>+AW126+AY126</f>
        <v>192.67182000000003</v>
      </c>
      <c r="BF126" s="224">
        <f>+AX126+AZ126</f>
        <v>192.696</v>
      </c>
    </row>
    <row r="127" spans="1:58" x14ac:dyDescent="0.25">
      <c r="B127" s="2356" t="s">
        <v>245</v>
      </c>
      <c r="C127" s="33" t="s">
        <v>240</v>
      </c>
      <c r="D127" s="39">
        <v>310</v>
      </c>
      <c r="E127" s="39">
        <v>310</v>
      </c>
      <c r="F127" s="238">
        <f>+(F126*1000000)/F13</f>
        <v>313.57647432335898</v>
      </c>
      <c r="G127" s="1110">
        <v>310</v>
      </c>
      <c r="H127" s="181">
        <f>+(H126*1000000)/H13</f>
        <v>314.17968240823808</v>
      </c>
      <c r="I127" s="96">
        <f>+(I126*1000000)/I13</f>
        <v>310.00000000000006</v>
      </c>
      <c r="J127" s="96">
        <f>+(J126*1000000)/J13</f>
        <v>313.88328802811128</v>
      </c>
      <c r="K127" s="823">
        <v>310</v>
      </c>
      <c r="L127" s="40">
        <f>+(L126*1000000)/L13</f>
        <v>313.42604522321716</v>
      </c>
      <c r="M127" s="163">
        <f>+(M126*1000000)/M13</f>
        <v>310</v>
      </c>
      <c r="N127" s="163">
        <f>+(N126*1000000)/N13</f>
        <v>313.73409390083367</v>
      </c>
      <c r="O127" s="823">
        <v>310</v>
      </c>
      <c r="P127" s="40">
        <f>+(P126*1000000)/P13</f>
        <v>312.97041565543304</v>
      </c>
      <c r="Q127" s="96">
        <f>+(Q126*1000000)/Q13</f>
        <v>310.00000000000006</v>
      </c>
      <c r="R127" s="96">
        <f>+(R126*1000000)/R13</f>
        <v>313.53942955812187</v>
      </c>
      <c r="S127" s="823">
        <v>310</v>
      </c>
      <c r="T127" s="40">
        <f>+(T126*1000000)/T13</f>
        <v>314.61295897638036</v>
      </c>
      <c r="U127" s="96">
        <f>+(U126*1000000)/U13</f>
        <v>310.00000000000006</v>
      </c>
      <c r="V127" s="96">
        <f>+(V126*1000000)/V13</f>
        <v>313.75978068244228</v>
      </c>
      <c r="W127" s="823">
        <v>310</v>
      </c>
      <c r="X127" s="417">
        <f>+(X126*1000000)/X13</f>
        <v>315.72277922119326</v>
      </c>
      <c r="Y127" s="163">
        <f>+(Y126*1000000)/Y13</f>
        <v>310.00000000000006</v>
      </c>
      <c r="Z127" s="163">
        <f>+(Z126*1000000)/Z13</f>
        <v>314.42046222671718</v>
      </c>
      <c r="AA127" s="1118">
        <f>+(AA126*1000000)/AA13</f>
        <v>310</v>
      </c>
      <c r="AB127" s="1118">
        <f>+(AB126*1000000)/AB13</f>
        <v>314.08040927108351</v>
      </c>
      <c r="AC127" s="823">
        <v>310</v>
      </c>
      <c r="AD127" s="40">
        <f>+(AD126*1000000)/AD13</f>
        <v>315.95517483233903</v>
      </c>
      <c r="AE127" s="96">
        <f>+(AE126*1000000)/AE13</f>
        <v>310</v>
      </c>
      <c r="AF127" s="96">
        <f>+(AF126*1000000)/AF13</f>
        <v>314.34618719053321</v>
      </c>
      <c r="AG127" s="823">
        <v>310</v>
      </c>
      <c r="AH127" s="417">
        <f>+(AH126*1000000)/AH13</f>
        <v>313.41457658054571</v>
      </c>
      <c r="AI127" s="96">
        <f>+(AI126*1000000)/AI13</f>
        <v>310.00000000000006</v>
      </c>
      <c r="AJ127" s="96">
        <f>+(AJ126*1000000)/AJ13</f>
        <v>314.23034330011075</v>
      </c>
      <c r="AK127" s="823">
        <v>310</v>
      </c>
      <c r="AL127" s="417">
        <f>+(AL126*1000000)/AL13</f>
        <v>312.50000000000006</v>
      </c>
      <c r="AM127" s="163">
        <f>+(AM126*1000000)/AM13</f>
        <v>310.00000000000006</v>
      </c>
      <c r="AN127" s="163">
        <f>+(AN126*1000000)/AN13</f>
        <v>313.93665322444878</v>
      </c>
      <c r="AO127" s="96">
        <f>+(AO126*1000000)/AO13</f>
        <v>310.00000000000006</v>
      </c>
      <c r="AP127" s="96">
        <f>+(AP126*1000000)/AP13</f>
        <v>314.03232457645032</v>
      </c>
      <c r="AQ127" s="823">
        <v>310</v>
      </c>
      <c r="AR127" s="417">
        <f>+(AR126*1000000)/AR13</f>
        <v>312.50236801624646</v>
      </c>
      <c r="AS127" s="96">
        <f>+(AS126*1000000)/AS13</f>
        <v>310.00000000000011</v>
      </c>
      <c r="AT127" s="96">
        <f>+(AT126*1000000)/AT13</f>
        <v>313.87535480801296</v>
      </c>
      <c r="AU127" s="823">
        <v>310</v>
      </c>
      <c r="AV127" s="417">
        <f>+(AV126*1000000)/AV13</f>
        <v>313.0380374075101</v>
      </c>
      <c r="AW127" s="96">
        <f>+(AW126*1000000)/AW13</f>
        <v>310.00000000000006</v>
      </c>
      <c r="AX127" s="96">
        <f>+(AX126*1000000)/AX13</f>
        <v>313.80441264162192</v>
      </c>
      <c r="AY127" s="823">
        <v>310</v>
      </c>
      <c r="AZ127" s="417">
        <f>+(AZ126*1000000)/AZ13</f>
        <v>313.3267195767196</v>
      </c>
      <c r="BA127" s="163">
        <f t="shared" ref="BA127:BF127" si="858">+(BA126*1000000)/BA13</f>
        <v>309.99999999999994</v>
      </c>
      <c r="BB127" s="163">
        <f t="shared" si="858"/>
        <v>312.95103735310943</v>
      </c>
      <c r="BC127" s="1118">
        <f t="shared" si="858"/>
        <v>310</v>
      </c>
      <c r="BD127" s="1118">
        <f t="shared" si="858"/>
        <v>313.44707708792009</v>
      </c>
      <c r="BE127" s="96">
        <f t="shared" si="858"/>
        <v>310.00000000000006</v>
      </c>
      <c r="BF127" s="96">
        <f t="shared" si="858"/>
        <v>313.76395602849624</v>
      </c>
    </row>
    <row r="128" spans="1:58" x14ac:dyDescent="0.25">
      <c r="B128" s="2354" t="s">
        <v>246</v>
      </c>
      <c r="C128" s="33" t="s">
        <v>241</v>
      </c>
      <c r="D128" s="2357">
        <v>4225</v>
      </c>
      <c r="E128" s="2357">
        <v>4225</v>
      </c>
      <c r="F128" s="238">
        <v>4247</v>
      </c>
      <c r="G128" s="2357">
        <v>4225</v>
      </c>
      <c r="H128" s="40">
        <v>4245</v>
      </c>
      <c r="I128" s="1077">
        <v>4225</v>
      </c>
      <c r="J128" s="96">
        <f>+((F128*F126)+(H126*H128))/J126</f>
        <v>4245.9817662224714</v>
      </c>
      <c r="K128" s="2357">
        <v>4225</v>
      </c>
      <c r="L128" s="40">
        <v>4255.5</v>
      </c>
      <c r="M128" s="162">
        <v>4225</v>
      </c>
      <c r="N128" s="163">
        <f>+((J128*J126)+(L126*L128))/N126</f>
        <v>4249.08442904401</v>
      </c>
      <c r="O128" s="2357">
        <v>4225</v>
      </c>
      <c r="P128" s="417">
        <v>4251.3</v>
      </c>
      <c r="Q128" s="96">
        <v>4225</v>
      </c>
      <c r="R128" s="96">
        <f>+((N128*N126)+(P126*P128))/R126</f>
        <v>4249.6481611563804</v>
      </c>
      <c r="S128" s="2357">
        <v>4225</v>
      </c>
      <c r="T128" s="417">
        <v>4249.2</v>
      </c>
      <c r="U128" s="96">
        <v>4225</v>
      </c>
      <c r="V128" s="96">
        <f>+((R128*R126)+(T126*T128))/V126</f>
        <v>4249.5559220965988</v>
      </c>
      <c r="W128" s="2357">
        <v>4225</v>
      </c>
      <c r="X128" s="417">
        <v>4242.8</v>
      </c>
      <c r="Y128" s="162">
        <v>4225</v>
      </c>
      <c r="Z128" s="163">
        <f>+((P128*P126)+(T128*T126)+(X126*X128))/Z126</f>
        <v>4247.8218019200785</v>
      </c>
      <c r="AA128" s="1118">
        <v>4225</v>
      </c>
      <c r="AB128" s="1118">
        <f>+((V128*V126)+(X126*X128))/AB126</f>
        <v>4248.4466656305049</v>
      </c>
      <c r="AC128" s="2357">
        <v>4225</v>
      </c>
      <c r="AD128" s="417">
        <v>4237.3</v>
      </c>
      <c r="AE128" s="96">
        <v>4225</v>
      </c>
      <c r="AF128" s="96">
        <f>+((AB128*AB126)+(AD126*AD128))/AF126</f>
        <v>4246.858359618649</v>
      </c>
      <c r="AG128" s="2357">
        <v>4225</v>
      </c>
      <c r="AH128" s="417">
        <v>4250.0600000000004</v>
      </c>
      <c r="AI128" s="96">
        <v>4225</v>
      </c>
      <c r="AJ128" s="96">
        <f>+((AF128*AF126)+(AH126*AH128))/AJ126</f>
        <v>4247.2554435640786</v>
      </c>
      <c r="AK128" s="2357">
        <v>4225</v>
      </c>
      <c r="AL128" s="417">
        <v>4247.8</v>
      </c>
      <c r="AM128" s="162">
        <v>4225</v>
      </c>
      <c r="AN128" s="163">
        <f>+((AD128*AD126)+(AH128*AH126)+(AL126*AL128))/AN126</f>
        <v>4245.0697095949181</v>
      </c>
      <c r="AO128" s="96">
        <v>4225</v>
      </c>
      <c r="AP128" s="96">
        <f>+((AJ128*AJ126)+(AL126*AL128))/AP126</f>
        <v>4247.317457963778</v>
      </c>
      <c r="AQ128" s="2357">
        <v>4225</v>
      </c>
      <c r="AR128" s="417">
        <v>4247.6000000000004</v>
      </c>
      <c r="AS128" s="96">
        <v>4225</v>
      </c>
      <c r="AT128" s="96">
        <f>+((AP128*AP126)+(AR126*AR128))/AT126</f>
        <v>4247.3463192767349</v>
      </c>
      <c r="AU128" s="2357">
        <v>4225</v>
      </c>
      <c r="AV128" s="417">
        <v>4229.5</v>
      </c>
      <c r="AW128" s="96">
        <v>4225</v>
      </c>
      <c r="AX128" s="96">
        <f>+((AT128*AT126)+(AV126*AV128))/AX126</f>
        <v>4245.8379730043816</v>
      </c>
      <c r="AY128" s="2357">
        <v>4225</v>
      </c>
      <c r="AZ128" s="417">
        <v>4226.6000000000004</v>
      </c>
      <c r="BA128" s="162">
        <v>4225</v>
      </c>
      <c r="BB128" s="163">
        <f>+((AR128*AR126)+(AV128*AV126)+(AZ126*AZ128))/BB126</f>
        <v>4234.768464634607</v>
      </c>
      <c r="BC128" s="1118">
        <v>4225</v>
      </c>
      <c r="BD128" s="1118">
        <f>+((AN128*AN126)+(BB126*BB128))/BD126</f>
        <v>4239.9609620942756</v>
      </c>
      <c r="BE128" s="96">
        <v>4225</v>
      </c>
      <c r="BF128" s="96">
        <f>+((AX128*AX126)+(AZ126*AZ128))/BF126</f>
        <v>4244.2109478141738</v>
      </c>
    </row>
    <row r="129" spans="1:58" x14ac:dyDescent="0.25">
      <c r="B129" s="2354" t="s">
        <v>641</v>
      </c>
      <c r="C129" s="33" t="s">
        <v>333</v>
      </c>
      <c r="D129" s="230">
        <v>12.932766000000001</v>
      </c>
      <c r="E129" s="230">
        <f>+(EMD!D20)/(E2*24)</f>
        <v>12.932765999999999</v>
      </c>
      <c r="F129" s="230">
        <f>+(EMD!E20)/(F2*24)</f>
        <v>13.060972222222222</v>
      </c>
      <c r="G129" s="1109">
        <f>+(EMD!F20)/(G2*24)</f>
        <v>12.932765999999999</v>
      </c>
      <c r="H129" s="230">
        <f>+(EMD!G20)/(H2*24)</f>
        <v>13.136559139784946</v>
      </c>
      <c r="I129" s="972">
        <f>+(EMD!H20)/(I2*24)</f>
        <v>12.932766000000001</v>
      </c>
      <c r="J129" s="972">
        <f>+(EMD!I20)/(J2*24)</f>
        <v>13.09938524590164</v>
      </c>
      <c r="K129" s="1109">
        <f>+(EMD!J20)/(K2*24)</f>
        <v>12.932765999999999</v>
      </c>
      <c r="L129" s="230">
        <f>+(EMD!K20)/(L2*24)</f>
        <v>13.134944444444445</v>
      </c>
      <c r="M129" s="162">
        <f>+(EMD!L20)/(M2*24)</f>
        <v>12.932766000000001</v>
      </c>
      <c r="N129" s="163">
        <f>+(EMD!M20)/(N2*24)</f>
        <v>13.111108058608059</v>
      </c>
      <c r="O129" s="1109">
        <f>+(EMD!N20)/(O2*24)</f>
        <v>12.932766000000001</v>
      </c>
      <c r="P129" s="1109">
        <f>+(EMD!O20)/(P2*24)</f>
        <v>12.95497311827957</v>
      </c>
      <c r="Q129" s="972">
        <f>+((M129*M2)+(O129*O2))/Q2</f>
        <v>12.932766000000003</v>
      </c>
      <c r="R129" s="972">
        <f>+((N129*N2)+(P129*P2))/R2</f>
        <v>13.071434426229509</v>
      </c>
      <c r="S129" s="1109">
        <f>+(EMD!R20)/(S2*24)</f>
        <v>12.932766000000001</v>
      </c>
      <c r="T129" s="1109">
        <f>+(EMD!S20)/(T2*24)</f>
        <v>13.134623655913979</v>
      </c>
      <c r="U129" s="972">
        <f>+((Q129*Q2)+(S129*S2))/U2</f>
        <v>12.932766000000003</v>
      </c>
      <c r="V129" s="972">
        <f>+((R129*R2)+(T129*T2))/V2</f>
        <v>13.084237472766885</v>
      </c>
      <c r="W129" s="1109">
        <f>+(EMD!V20)/(W2*24)</f>
        <v>12.932765999999999</v>
      </c>
      <c r="X129" s="1109">
        <f>+(EMD!W20)/(X2*24)</f>
        <v>13.116819444444445</v>
      </c>
      <c r="Y129" s="973">
        <f>+((O129*O2)+(S129*S2)+(W129*W2))/Y2</f>
        <v>12.932766000000001</v>
      </c>
      <c r="Z129" s="973">
        <f>+((P129*P2)+(T129*T2)+(X129*X2))/Z2</f>
        <v>13.068283514492755</v>
      </c>
      <c r="AA129" s="1157">
        <f>+((U129*U2)+(W129*W2))/AA2</f>
        <v>12.932766000000001</v>
      </c>
      <c r="AB129" s="1157">
        <f>+((V129*V2)+(X129*X2))/AB2</f>
        <v>13.089578779599272</v>
      </c>
      <c r="AC129" s="1109">
        <f>+(EMD!AB20)/(AC2*24)</f>
        <v>12.932765999999999</v>
      </c>
      <c r="AD129" s="1109">
        <f>+(EMD!AC20)/(AD2*24)</f>
        <v>13.007795698924729</v>
      </c>
      <c r="AE129" s="972">
        <f>+((AA129*AA2)+(AC129*AC2))/AE2</f>
        <v>12.932766000000001</v>
      </c>
      <c r="AF129" s="972">
        <f>+((AB129*AB2)+(AD129*AD2))/AF2</f>
        <v>13.077731697819315</v>
      </c>
      <c r="AG129" s="1109">
        <f>+(EMD!AF20)/(AG2*24)</f>
        <v>12.932765999999999</v>
      </c>
      <c r="AH129" s="1109">
        <f>+(EMD!AG20)/(AH2*24)</f>
        <v>13.09648611111111</v>
      </c>
      <c r="AI129" s="972">
        <f>+((AE129*AE2)+(AG129*AG2))/AI2</f>
        <v>12.932766000000003</v>
      </c>
      <c r="AJ129" s="972">
        <f>+((AF129*AF2)+(AH129*AH2))/AJ2</f>
        <v>13.080037568306011</v>
      </c>
      <c r="AK129" s="1109">
        <f>+(EMD!AJ20)/(AK2*24)</f>
        <v>12.932765999999999</v>
      </c>
      <c r="AL129" s="1109">
        <f>+(EMD!AK20)/(AL2*24)</f>
        <v>13.165860215053764</v>
      </c>
      <c r="AM129" s="973">
        <f>+((AC129*AC2)+(AG129*AG2)+(AK129*AK2))/AM2</f>
        <v>12.932765999999997</v>
      </c>
      <c r="AN129" s="973">
        <f>+((AD129*AD2)+(AH129*AH2)+(AL129*AL2))/AN2</f>
        <v>13.089977355072461</v>
      </c>
      <c r="AO129" s="972">
        <f>+((AI129*AI2)+(AK129*AK2))/AO2</f>
        <v>12.932766000000003</v>
      </c>
      <c r="AP129" s="972">
        <f>+((AJ129*AJ2)+(AL129*AL2))/AP2</f>
        <v>13.089712121212122</v>
      </c>
      <c r="AQ129" s="1109">
        <f>+(EMD!AP20)/(AQ2*24)</f>
        <v>12.932765999999999</v>
      </c>
      <c r="AR129" s="1109">
        <f>+(EMD!AQ20)/(AR2*24)</f>
        <v>13.181827956989249</v>
      </c>
      <c r="AS129" s="972">
        <f>+((AO129*AO2)+(AQ129*AQ2))/AS2</f>
        <v>12.932766000000003</v>
      </c>
      <c r="AT129" s="972">
        <f>+((AP129*AP2)+(AR129*AR2))/AT2</f>
        <v>13.099044117647059</v>
      </c>
      <c r="AU129" s="1109">
        <f>+(EMD!AT20)/(AU2*24)</f>
        <v>12.932766000000001</v>
      </c>
      <c r="AV129" s="1109">
        <f>+(EMD!AU20)/(AV2*24)</f>
        <v>13.085863095238093</v>
      </c>
      <c r="AW129" s="972">
        <f>+((AS129*AS2)+(AU129*AU2))/AW2</f>
        <v>12.932766000000003</v>
      </c>
      <c r="AX129" s="972">
        <f>+((AT129*AT2)+(AV129*AV2))/AX2</f>
        <v>13.097939121756488</v>
      </c>
      <c r="AY129" s="1109">
        <f>+(EMD!AX20)/(AY2*24)</f>
        <v>12.932765999999999</v>
      </c>
      <c r="AZ129" s="1109">
        <f>+(EMD!AY20)/(AZ2*24)</f>
        <v>12.972284946236558</v>
      </c>
      <c r="BA129" s="973">
        <f>+((AQ129*AQ2)+(AU129*AU2)+(AY129*AY2))/BA2</f>
        <v>12.932765999999999</v>
      </c>
      <c r="BB129" s="973">
        <f>+((AR129*AR2)+(AV129*AV2)+(AZ129*AZ2))/BB2</f>
        <v>13.079796296296292</v>
      </c>
      <c r="BC129" s="1157">
        <f>+((AM129*AM2)+(BA129*BA2))/BC2</f>
        <v>12.932765999999999</v>
      </c>
      <c r="BD129" s="1157">
        <f>+((AN129*AN2)+(BB129*BB2))/BD2</f>
        <v>13.084942765567762</v>
      </c>
      <c r="BE129" s="972">
        <f>+((AW129*AW2)+(AY129*AY2))/BE2</f>
        <v>12.932766000000001</v>
      </c>
      <c r="BF129" s="972">
        <f>+((AX129*AX2)+(AZ129*AZ2))/BF2</f>
        <v>13.087267123287671</v>
      </c>
    </row>
    <row r="130" spans="1:58" x14ac:dyDescent="0.25">
      <c r="B130" s="2354" t="s">
        <v>951</v>
      </c>
      <c r="C130" s="33" t="s">
        <v>242</v>
      </c>
      <c r="D130" s="823">
        <f>2.1433995*D2*24*1000</f>
        <v>18776179.620000001</v>
      </c>
      <c r="E130" s="823">
        <f>+'POWER DISTRIBUTION'!I35</f>
        <v>1543247.6400000001</v>
      </c>
      <c r="F130" s="823">
        <f>+'POWER DISTRIBUTION'!J35</f>
        <v>1382207.155</v>
      </c>
      <c r="G130" s="823">
        <f>+'POWER DISTRIBUTION'!K35</f>
        <v>1594689.2280000001</v>
      </c>
      <c r="H130" s="823">
        <f>+'POWER DISTRIBUTION'!L35</f>
        <v>1393281.97</v>
      </c>
      <c r="I130" s="2358">
        <f>+'POWER DISTRIBUTION'!M35</f>
        <v>3137936.8680000002</v>
      </c>
      <c r="J130" s="96">
        <f>+'POWER DISTRIBUTION'!N35</f>
        <v>2775489.125</v>
      </c>
      <c r="K130" s="823">
        <f>+'POWER DISTRIBUTION'!O35</f>
        <v>1543247.6400000001</v>
      </c>
      <c r="L130" s="823">
        <f>+'POWER DISTRIBUTION'!P35</f>
        <v>1359631.0896551723</v>
      </c>
      <c r="M130" s="162">
        <f>+I130+K130</f>
        <v>4681184.5080000004</v>
      </c>
      <c r="N130" s="163">
        <f>+J130+L130</f>
        <v>4135120.2146551721</v>
      </c>
      <c r="O130" s="823">
        <f>+'POWER DISTRIBUTION'!S35</f>
        <v>1594689.2280000001</v>
      </c>
      <c r="P130" s="823">
        <f>+'POWER DISTRIBUTION'!T35</f>
        <v>1357625.5086206896</v>
      </c>
      <c r="Q130" s="2358">
        <f>+M130+O130</f>
        <v>6275873.7360000005</v>
      </c>
      <c r="R130" s="96">
        <f>+N130+P130</f>
        <v>5492745.7232758617</v>
      </c>
      <c r="S130" s="823">
        <f>+'POWER DISTRIBUTION'!W35</f>
        <v>1594689.2280000001</v>
      </c>
      <c r="T130" s="823">
        <f>+'POWER DISTRIBUTION'!X35</f>
        <v>1410638.2799999998</v>
      </c>
      <c r="U130" s="2358">
        <f>+Q130+S130</f>
        <v>7870562.9640000006</v>
      </c>
      <c r="V130" s="96">
        <f>+R130+T130</f>
        <v>6903384.003275862</v>
      </c>
      <c r="W130" s="823">
        <f>+'POWER DISTRIBUTION'!AA35</f>
        <v>1543247.6400000001</v>
      </c>
      <c r="X130" s="823">
        <f>+'POWER DISTRIBUTION'!AB35</f>
        <v>1307901.67</v>
      </c>
      <c r="Y130" s="2266">
        <f t="shared" ref="Y130" si="859">+O130+S130+W130</f>
        <v>4732626.0960000008</v>
      </c>
      <c r="Z130" s="184">
        <f t="shared" ref="Z130" si="860">+P130+T130+X130</f>
        <v>4076165.4586206893</v>
      </c>
      <c r="AA130" s="2359">
        <f>+U130+W130</f>
        <v>9413810.6040000003</v>
      </c>
      <c r="AB130" s="1118">
        <f>+V130+X130</f>
        <v>8211285.6732758619</v>
      </c>
      <c r="AC130" s="823">
        <f>+'POWER DISTRIBUTION'!AG35</f>
        <v>1594689.2280000001</v>
      </c>
      <c r="AD130" s="823">
        <f>+'POWER DISTRIBUTION'!AH35</f>
        <v>1357243.91</v>
      </c>
      <c r="AE130" s="2358">
        <f>+AA130+AC130</f>
        <v>11008499.832</v>
      </c>
      <c r="AF130" s="96">
        <f>+AB130+AD130</f>
        <v>9568529.583275862</v>
      </c>
      <c r="AG130" s="823">
        <f>+'POWER DISTRIBUTION'!AK35</f>
        <v>1543247.6400000001</v>
      </c>
      <c r="AH130" s="823">
        <f>+'POWER DISTRIBUTION'!AL35</f>
        <v>1290947.3999999999</v>
      </c>
      <c r="AI130" s="2358">
        <f>+AE130+AG130</f>
        <v>12551747.472000001</v>
      </c>
      <c r="AJ130" s="96">
        <f>+AF130+AH130</f>
        <v>10859476.983275862</v>
      </c>
      <c r="AK130" s="823">
        <f>+'POWER DISTRIBUTION'!AO35</f>
        <v>1594689.2280000001</v>
      </c>
      <c r="AL130" s="823">
        <f>+'POWER DISTRIBUTION'!AP35</f>
        <v>1284211.71</v>
      </c>
      <c r="AM130" s="2266">
        <f t="shared" ref="AM130" si="861">+AC130+AG130+AK130</f>
        <v>4732626.0960000008</v>
      </c>
      <c r="AN130" s="184">
        <f t="shared" ref="AN130" si="862">+AD130+AH130+AL130</f>
        <v>3932403.0199999996</v>
      </c>
      <c r="AO130" s="2358">
        <f>+AI130+AK130</f>
        <v>14146436.700000001</v>
      </c>
      <c r="AP130" s="96">
        <f>+AJ130+AL130</f>
        <v>12143688.693275861</v>
      </c>
      <c r="AQ130" s="823">
        <f>+'POWER DISTRIBUTION'!AU35</f>
        <v>1594689.2280000001</v>
      </c>
      <c r="AR130" s="823">
        <f>+'POWER DISTRIBUTION'!AV35</f>
        <v>1319272.0299999998</v>
      </c>
      <c r="AS130" s="2358">
        <f>+AO130+AQ130</f>
        <v>15741125.928000001</v>
      </c>
      <c r="AT130" s="96">
        <f>+AP130+AR130</f>
        <v>13462960.723275861</v>
      </c>
      <c r="AU130" s="823">
        <f>+'POWER DISTRIBUTION'!AY35</f>
        <v>1440364.4639999999</v>
      </c>
      <c r="AV130" s="823">
        <f>+'POWER DISTRIBUTION'!AZ35</f>
        <v>1150827.1499999999</v>
      </c>
      <c r="AW130" s="2358">
        <f>+AS130+AU130</f>
        <v>17181490.392000001</v>
      </c>
      <c r="AX130" s="96">
        <f>+AT130+AV130</f>
        <v>14613787.873275861</v>
      </c>
      <c r="AY130" s="823">
        <f>+'POWER DISTRIBUTION'!BC35</f>
        <v>1594689.2280000001</v>
      </c>
      <c r="AZ130" s="823">
        <f>+'POWER DISTRIBUTION'!BD35</f>
        <v>1336289.76</v>
      </c>
      <c r="BA130" s="2266">
        <f t="shared" ref="BA130" si="863">+AQ130+AU130+AY130</f>
        <v>4629742.92</v>
      </c>
      <c r="BB130" s="184">
        <f t="shared" ref="BB130" si="864">+AR130+AV130+AZ130</f>
        <v>3806388.9399999995</v>
      </c>
      <c r="BC130" s="1139">
        <f>+AM130+BA130</f>
        <v>9362369.0160000008</v>
      </c>
      <c r="BD130" s="1118">
        <f>+AN130+BB130</f>
        <v>7738791.959999999</v>
      </c>
      <c r="BE130" s="1077">
        <f>+AW130+AY130</f>
        <v>18776179.620000001</v>
      </c>
      <c r="BF130" s="96">
        <f>+AX130+AZ130</f>
        <v>15950077.633275861</v>
      </c>
    </row>
    <row r="131" spans="1:58" x14ac:dyDescent="0.25">
      <c r="B131" s="2354" t="s">
        <v>952</v>
      </c>
      <c r="C131" s="33" t="s">
        <v>243</v>
      </c>
      <c r="D131" s="823">
        <f t="shared" ref="D131:AB131" si="865">+D130/D13</f>
        <v>30.21</v>
      </c>
      <c r="E131" s="823">
        <f t="shared" si="865"/>
        <v>30.21</v>
      </c>
      <c r="F131" s="3578">
        <f t="shared" si="865"/>
        <v>27.426921878720535</v>
      </c>
      <c r="G131" s="1109">
        <f t="shared" si="865"/>
        <v>30.210000000000004</v>
      </c>
      <c r="H131" s="181">
        <f t="shared" si="865"/>
        <v>26.707802735797699</v>
      </c>
      <c r="I131" s="2053">
        <f t="shared" si="865"/>
        <v>30.210000000000004</v>
      </c>
      <c r="J131" s="224">
        <f t="shared" si="865"/>
        <v>27.061151568392685</v>
      </c>
      <c r="K131" s="823">
        <f t="shared" si="865"/>
        <v>30.21</v>
      </c>
      <c r="L131" s="181">
        <f t="shared" si="865"/>
        <v>27.37130165027645</v>
      </c>
      <c r="M131" s="2355">
        <f t="shared" si="865"/>
        <v>30.210000000000004</v>
      </c>
      <c r="N131" s="203">
        <f t="shared" si="865"/>
        <v>27.162350691257931</v>
      </c>
      <c r="O131" s="823">
        <f t="shared" si="865"/>
        <v>30.210000000000004</v>
      </c>
      <c r="P131" s="181">
        <f t="shared" si="865"/>
        <v>26.06727728450527</v>
      </c>
      <c r="Q131" s="2053">
        <f t="shared" si="865"/>
        <v>30.210000000000004</v>
      </c>
      <c r="R131" s="224">
        <f t="shared" si="865"/>
        <v>26.883212525112036</v>
      </c>
      <c r="S131" s="823">
        <f t="shared" si="865"/>
        <v>30.210000000000004</v>
      </c>
      <c r="T131" s="181">
        <f t="shared" si="865"/>
        <v>26.732025256966129</v>
      </c>
      <c r="U131" s="2053">
        <f t="shared" si="865"/>
        <v>30.210000000000008</v>
      </c>
      <c r="V131" s="224">
        <f t="shared" si="865"/>
        <v>26.852180041090385</v>
      </c>
      <c r="W131" s="823">
        <f t="shared" ref="W131:X131" si="866">+W130/W13</f>
        <v>30.21</v>
      </c>
      <c r="X131" s="376">
        <f t="shared" si="866"/>
        <v>26.059216849705916</v>
      </c>
      <c r="Y131" s="2355">
        <f t="shared" si="865"/>
        <v>30.210000000000012</v>
      </c>
      <c r="Z131" s="203">
        <f t="shared" si="865"/>
        <v>26.290921219580198</v>
      </c>
      <c r="AA131" s="2360">
        <f t="shared" si="865"/>
        <v>30.210000000000004</v>
      </c>
      <c r="AB131" s="1132">
        <f t="shared" si="865"/>
        <v>26.722660500510489</v>
      </c>
      <c r="AC131" s="823">
        <f t="shared" ref="AC131:AF131" si="867">+AC130/AC13</f>
        <v>30.210000000000004</v>
      </c>
      <c r="AD131" s="181">
        <f t="shared" si="867"/>
        <v>26.73992871947231</v>
      </c>
      <c r="AE131" s="2053">
        <f t="shared" si="867"/>
        <v>30.210000000000004</v>
      </c>
      <c r="AF131" s="224">
        <f t="shared" si="867"/>
        <v>26.72510854596381</v>
      </c>
      <c r="AG131" s="823">
        <f t="shared" ref="AG131:AJ131" si="868">+AG130/AG13</f>
        <v>30.21</v>
      </c>
      <c r="AH131" s="376">
        <f t="shared" si="868"/>
        <v>25.390758252824369</v>
      </c>
      <c r="AI131" s="2053">
        <f t="shared" si="868"/>
        <v>30.210000000000004</v>
      </c>
      <c r="AJ131" s="224">
        <f t="shared" si="868"/>
        <v>26.559184792534559</v>
      </c>
      <c r="AK131" s="823">
        <f t="shared" ref="AK131:AL131" si="869">+AK130/AK13</f>
        <v>30.210000000000004</v>
      </c>
      <c r="AL131" s="376">
        <f t="shared" si="869"/>
        <v>24.304515466024711</v>
      </c>
      <c r="AM131" s="2355">
        <f t="shared" ref="AM131:AT131" si="870">+AM130/AM13</f>
        <v>30.210000000000012</v>
      </c>
      <c r="AN131" s="203">
        <f t="shared" si="870"/>
        <v>25.462532860913189</v>
      </c>
      <c r="AO131" s="2053">
        <f t="shared" si="870"/>
        <v>30.210000000000004</v>
      </c>
      <c r="AP131" s="224">
        <f t="shared" si="870"/>
        <v>26.301162732817737</v>
      </c>
      <c r="AQ131" s="823">
        <f t="shared" si="870"/>
        <v>30.210000000000004</v>
      </c>
      <c r="AR131" s="376">
        <f t="shared" si="870"/>
        <v>24.992460804595087</v>
      </c>
      <c r="AS131" s="2053">
        <f t="shared" si="870"/>
        <v>30.210000000000008</v>
      </c>
      <c r="AT131" s="224">
        <f t="shared" si="870"/>
        <v>26.166893143752269</v>
      </c>
      <c r="AU131" s="823">
        <f t="shared" ref="AU131:AX131" si="871">+AU130/AU13</f>
        <v>30.209999999999997</v>
      </c>
      <c r="AV131" s="376">
        <f t="shared" si="871"/>
        <v>24.163436342563433</v>
      </c>
      <c r="AW131" s="2053">
        <f t="shared" si="871"/>
        <v>30.210000000000004</v>
      </c>
      <c r="AX131" s="224">
        <f t="shared" si="871"/>
        <v>25.997149190429589</v>
      </c>
      <c r="AY131" s="823">
        <f t="shared" ref="AY131:AZ131" si="872">+AY130/AY13</f>
        <v>30.210000000000004</v>
      </c>
      <c r="AZ131" s="376">
        <f t="shared" si="872"/>
        <v>25.691555924695461</v>
      </c>
      <c r="BA131" s="2355">
        <f t="shared" ref="BA131:BF131" si="873">+BA130/BA13</f>
        <v>30.21</v>
      </c>
      <c r="BB131" s="203">
        <f t="shared" si="873"/>
        <v>24.971979525856412</v>
      </c>
      <c r="BC131" s="2360">
        <f t="shared" ref="BC131:BD131" si="874">+BC130/BC13</f>
        <v>30.210000000000004</v>
      </c>
      <c r="BD131" s="1132">
        <f t="shared" si="874"/>
        <v>25.218864700200609</v>
      </c>
      <c r="BE131" s="2053">
        <f t="shared" si="873"/>
        <v>30.21</v>
      </c>
      <c r="BF131" s="224">
        <f t="shared" si="873"/>
        <v>25.971267992995539</v>
      </c>
    </row>
    <row r="132" spans="1:58" ht="15.75" thickBot="1" x14ac:dyDescent="0.3">
      <c r="B132" s="2361" t="s">
        <v>247</v>
      </c>
      <c r="C132" s="2041" t="s">
        <v>1618</v>
      </c>
      <c r="D132" s="2362">
        <v>0.77</v>
      </c>
      <c r="E132" s="2362">
        <v>0.77</v>
      </c>
      <c r="F132" s="366">
        <v>0.70299999999999996</v>
      </c>
      <c r="G132" s="2362">
        <v>0.77013299999999996</v>
      </c>
      <c r="H132" s="70">
        <v>0.70599999999999996</v>
      </c>
      <c r="I132" s="974">
        <f>+((E132*E13)+(G132*G13))/I13</f>
        <v>0.77006759016393445</v>
      </c>
      <c r="J132" s="974">
        <f>+((F132*F13)+(H132*H13))/J13</f>
        <v>0.70452590977695773</v>
      </c>
      <c r="K132" s="2362">
        <v>0.77</v>
      </c>
      <c r="L132" s="70">
        <v>0.71899999999999997</v>
      </c>
      <c r="M132" s="975">
        <f>+((I132*I13)+(K132*K13))/M13</f>
        <v>0.77004530769230772</v>
      </c>
      <c r="N132" s="975">
        <f>+((J132*J13)+(L132*L13))/N13</f>
        <v>0.70924867246638779</v>
      </c>
      <c r="O132" s="2362">
        <v>0.77</v>
      </c>
      <c r="P132" s="970">
        <v>0.69799999999999995</v>
      </c>
      <c r="Q132" s="974">
        <f>+((M132*M13)+(O132*O13))/Q13</f>
        <v>0.77003379508196723</v>
      </c>
      <c r="R132" s="974">
        <f>+((N132*N13)+(P132*P13))/R13</f>
        <v>0.70638134523107998</v>
      </c>
      <c r="S132" s="2362">
        <v>0.77013299999999996</v>
      </c>
      <c r="T132" s="970">
        <v>0.69799999999999995</v>
      </c>
      <c r="U132" s="974">
        <f>+((Q132*Q13)+(S132*S13))/U13</f>
        <v>0.7700538954248366</v>
      </c>
      <c r="V132" s="974">
        <f>+((R132*R13)+(T132*T13))/V13</f>
        <v>0.70466100220780081</v>
      </c>
      <c r="W132" s="2362">
        <v>0.77013299999999996</v>
      </c>
      <c r="X132" s="970">
        <v>0.70899999999999996</v>
      </c>
      <c r="Y132" s="975">
        <f>+((O132*O13)+(S132+S13)+(W132*W13))/Y13</f>
        <v>0.84754828559227247</v>
      </c>
      <c r="Z132" s="975">
        <f>+((P132*P13)+(T132+T13)+(X132*X13))/Z13</f>
        <v>0.80435395844190694</v>
      </c>
      <c r="AA132" s="1158">
        <f>+((U132*U13)+(W132*W13))/AA13</f>
        <v>0.77006686338797814</v>
      </c>
      <c r="AB132" s="1158">
        <f>+((V132*V13)+(X132*X13))/AB13</f>
        <v>0.70536971732437725</v>
      </c>
      <c r="AC132" s="2362">
        <v>0.77013299999999996</v>
      </c>
      <c r="AD132" s="970">
        <v>0.71699999999999997</v>
      </c>
      <c r="AE132" s="974">
        <f>+((AA132*AA13)+(AC132*AC13))/AE13</f>
        <v>0.77007644392523367</v>
      </c>
      <c r="AF132" s="974">
        <f>+((AB132*AB13)+(AD132*AD13))/AF13</f>
        <v>0.70701849538816286</v>
      </c>
      <c r="AG132" s="2362">
        <v>0.77013299999999996</v>
      </c>
      <c r="AH132" s="970">
        <v>0.7</v>
      </c>
      <c r="AI132" s="974">
        <f>+((AE132*AE13)+(AG132*AG13))/AI13</f>
        <v>0.77008339754098365</v>
      </c>
      <c r="AJ132" s="974">
        <f>+((AF132*AF13)+(AH132*AH13))/AJ13</f>
        <v>0.70614575971731441</v>
      </c>
      <c r="AK132" s="2362">
        <v>0.77013299999999996</v>
      </c>
      <c r="AL132" s="970">
        <v>0.69899999999999995</v>
      </c>
      <c r="AM132" s="975">
        <f>+((AC132*AC13)+(AG132+AG13)+(AK132*AK13))/AM13</f>
        <v>0.84509454646183779</v>
      </c>
      <c r="AN132" s="975">
        <f>+((AD132*AD13)+(AH132+AH13)+(AL132*AL13))/AN13</f>
        <v>0.80401333084691151</v>
      </c>
      <c r="AO132" s="974">
        <f>+((AI132*AI13)+(AK132*AK13))/AO13</f>
        <v>0.77008898909090917</v>
      </c>
      <c r="AP132" s="974">
        <f>+((AJ132*AJ13)+(AL132*AL13))/AP13</f>
        <v>0.70532800625838166</v>
      </c>
      <c r="AQ132" s="2362">
        <v>0.77013299999999996</v>
      </c>
      <c r="AR132" s="970">
        <v>0.7</v>
      </c>
      <c r="AS132" s="974">
        <f>+((AO132*AO13)+(AQ132*AQ13))/AS13</f>
        <v>0.77009344771241839</v>
      </c>
      <c r="AT132" s="974">
        <f>+((AP132*AP13)+(AR132*AR13))/AT13</f>
        <v>0.70478136596128771</v>
      </c>
      <c r="AU132" s="2362">
        <v>0.77013299999999996</v>
      </c>
      <c r="AV132" s="970">
        <v>0.69299999999999995</v>
      </c>
      <c r="AW132" s="974">
        <f>+((AS132*AS13)+(AU132*AU13))/AW13</f>
        <v>0.77009676347305389</v>
      </c>
      <c r="AX132" s="974">
        <f>+((AT132*AT13)+(AV132*AV13))/AX13</f>
        <v>0.70378318340370838</v>
      </c>
      <c r="AY132" s="2362">
        <v>0.77013299999999996</v>
      </c>
      <c r="AZ132" s="970">
        <v>0.69599999999999995</v>
      </c>
      <c r="BA132" s="975">
        <f>+((AQ132*AQ13)+(AU132+AU13)+(AY132*AY13))/BA13</f>
        <v>0.84165220304987853</v>
      </c>
      <c r="BB132" s="975">
        <f>+((AR132*AR13)+(AV132+AV13)+(AZ132*AZ13))/BB13</f>
        <v>0.79237692289524653</v>
      </c>
      <c r="BC132" s="1158">
        <f>+((AM132*AM13)+(BA132*BA13))/BC13</f>
        <v>0.8433922887306492</v>
      </c>
      <c r="BD132" s="1158">
        <f>+((AN132*AN13)+(BB132*BB13))/BD13</f>
        <v>0.79823328223597867</v>
      </c>
      <c r="BE132" s="974">
        <f>+((AW132*AW13)+(AY132*AY13))/BE13</f>
        <v>0.77009984109589036</v>
      </c>
      <c r="BF132" s="974">
        <f>+((AX132*AX13)+(AZ132*AZ13))/BF13</f>
        <v>0.7031240127709627</v>
      </c>
    </row>
    <row r="133" spans="1:58" s="334" customFormat="1" ht="18.75" x14ac:dyDescent="0.25">
      <c r="A133" s="333"/>
      <c r="B133" s="2332" t="s">
        <v>236</v>
      </c>
      <c r="C133" s="1175"/>
      <c r="D133" s="1175"/>
      <c r="E133" s="1175"/>
      <c r="F133" s="1178"/>
      <c r="G133" s="1175"/>
      <c r="H133" s="1175"/>
      <c r="I133" s="892"/>
      <c r="J133" s="892"/>
      <c r="K133" s="892"/>
      <c r="L133" s="892"/>
      <c r="M133" s="892"/>
      <c r="N133" s="892"/>
      <c r="O133" s="892"/>
      <c r="P133" s="892"/>
      <c r="Q133" s="892"/>
      <c r="R133" s="892"/>
      <c r="S133" s="892"/>
      <c r="T133" s="892"/>
      <c r="U133" s="892"/>
      <c r="V133" s="892"/>
      <c r="W133" s="892"/>
      <c r="X133" s="892"/>
      <c r="Y133" s="892"/>
      <c r="Z133" s="892"/>
      <c r="AA133" s="892"/>
      <c r="AB133" s="892"/>
      <c r="AC133" s="892"/>
      <c r="AD133" s="892"/>
      <c r="AE133" s="892"/>
      <c r="AF133" s="892"/>
      <c r="AG133" s="892"/>
      <c r="AH133" s="892"/>
      <c r="AI133" s="892"/>
      <c r="AJ133" s="892"/>
      <c r="AK133" s="892"/>
      <c r="AL133" s="892"/>
      <c r="AM133" s="892"/>
      <c r="AN133" s="892"/>
      <c r="AO133" s="892"/>
      <c r="AP133" s="892"/>
      <c r="AQ133" s="892"/>
      <c r="AR133" s="892"/>
      <c r="AS133" s="892"/>
      <c r="AT133" s="892"/>
      <c r="AU133" s="892"/>
      <c r="AV133" s="892"/>
      <c r="AW133" s="892"/>
      <c r="AX133" s="892"/>
      <c r="AY133" s="892"/>
      <c r="AZ133" s="892"/>
      <c r="BA133" s="892"/>
      <c r="BB133" s="892"/>
      <c r="BC133" s="892"/>
      <c r="BD133" s="892"/>
      <c r="BE133" s="892"/>
      <c r="BF133" s="892"/>
    </row>
    <row r="134" spans="1:58" s="334" customFormat="1" ht="15.75" x14ac:dyDescent="0.25">
      <c r="A134" s="333"/>
      <c r="B134" s="2363" t="s">
        <v>224</v>
      </c>
      <c r="C134" s="626"/>
      <c r="D134" s="626"/>
      <c r="E134" s="626"/>
      <c r="F134" s="1179"/>
      <c r="G134" s="626"/>
      <c r="H134" s="626"/>
      <c r="I134" s="625"/>
      <c r="J134" s="625"/>
      <c r="K134" s="625"/>
      <c r="L134" s="625"/>
      <c r="M134" s="625"/>
      <c r="N134" s="625"/>
      <c r="O134" s="625"/>
      <c r="P134" s="625"/>
      <c r="Q134" s="625"/>
      <c r="R134" s="625"/>
      <c r="S134" s="625"/>
      <c r="T134" s="625"/>
      <c r="U134" s="625"/>
      <c r="V134" s="625"/>
      <c r="W134" s="625"/>
      <c r="X134" s="625"/>
      <c r="Y134" s="625"/>
      <c r="Z134" s="625"/>
      <c r="AA134" s="625"/>
      <c r="AB134" s="625"/>
      <c r="AC134" s="625"/>
      <c r="AD134" s="625"/>
      <c r="AE134" s="625"/>
      <c r="AF134" s="625"/>
      <c r="AG134" s="625"/>
      <c r="AH134" s="625"/>
      <c r="AI134" s="625"/>
      <c r="AJ134" s="625"/>
      <c r="AK134" s="625"/>
      <c r="AL134" s="625"/>
      <c r="AM134" s="625"/>
      <c r="AN134" s="625"/>
      <c r="AO134" s="625"/>
      <c r="AP134" s="625"/>
      <c r="AQ134" s="625"/>
      <c r="AR134" s="625"/>
      <c r="AS134" s="625"/>
      <c r="AT134" s="625"/>
      <c r="AU134" s="625"/>
      <c r="AV134" s="625"/>
      <c r="AW134" s="625"/>
      <c r="AX134" s="625"/>
      <c r="AY134" s="625"/>
      <c r="AZ134" s="625"/>
      <c r="BA134" s="625"/>
      <c r="BB134" s="625"/>
      <c r="BC134" s="625"/>
      <c r="BD134" s="625"/>
      <c r="BE134" s="625"/>
      <c r="BF134" s="625"/>
    </row>
    <row r="135" spans="1:58" x14ac:dyDescent="0.25">
      <c r="B135" s="26" t="s">
        <v>222</v>
      </c>
      <c r="C135" s="33" t="s">
        <v>52</v>
      </c>
      <c r="D135" s="151">
        <f t="shared" ref="D135" si="875">+D84/D92*100</f>
        <v>65.001859971466942</v>
      </c>
      <c r="E135" s="151">
        <f t="shared" ref="E135:N135" si="876">+E84/E92*100</f>
        <v>65.002402193060959</v>
      </c>
      <c r="F135" s="367">
        <f t="shared" si="876"/>
        <v>65.999997910675091</v>
      </c>
      <c r="G135" s="151">
        <f t="shared" si="876"/>
        <v>65.001839937424123</v>
      </c>
      <c r="H135" s="282">
        <f t="shared" si="876"/>
        <v>66.264024926993528</v>
      </c>
      <c r="I135" s="3497">
        <f t="shared" si="876"/>
        <v>65.002116457197829</v>
      </c>
      <c r="J135" s="388">
        <f t="shared" si="876"/>
        <v>66.135024624683496</v>
      </c>
      <c r="K135" s="151">
        <f t="shared" si="876"/>
        <v>65.002402193060959</v>
      </c>
      <c r="L135" s="326">
        <f>+L84/L92*100</f>
        <v>66.502273875694797</v>
      </c>
      <c r="M135" s="3494">
        <f t="shared" si="876"/>
        <v>65.002210655972888</v>
      </c>
      <c r="N135" s="403">
        <f t="shared" si="876"/>
        <v>66.25826250299707</v>
      </c>
      <c r="O135" s="151">
        <f t="shared" ref="O135" si="877">+O84/O92*100</f>
        <v>65.001839952444314</v>
      </c>
      <c r="P135" s="326">
        <f>+P84/P92*100</f>
        <v>67.334267072866737</v>
      </c>
      <c r="Q135" s="3497">
        <f t="shared" ref="Q135:S135" si="878">+Q84/Q92*100</f>
        <v>65.002116461014467</v>
      </c>
      <c r="R135" s="388">
        <f t="shared" si="878"/>
        <v>66.530523634322321</v>
      </c>
      <c r="S135" s="151">
        <f t="shared" si="878"/>
        <v>65.001601830090976</v>
      </c>
      <c r="T135" s="326">
        <f>+T84/T92*100</f>
        <v>66.951014163240529</v>
      </c>
      <c r="U135" s="3497">
        <f t="shared" ref="U135:W135" si="879">+U84/U92*100</f>
        <v>65.002012189261819</v>
      </c>
      <c r="V135" s="388">
        <f t="shared" si="879"/>
        <v>66.619064769710079</v>
      </c>
      <c r="W135" s="151">
        <f t="shared" si="879"/>
        <v>65.001700594631018</v>
      </c>
      <c r="X135" s="326">
        <f>+X84/X92*100</f>
        <v>69.316887023057831</v>
      </c>
      <c r="Y135" s="3549">
        <f t="shared" ref="Y135" si="880">+Y84/Y92*100</f>
        <v>65.001714272650815</v>
      </c>
      <c r="Z135" s="869">
        <f>+Z84/Z92*100</f>
        <v>67.861563432572297</v>
      </c>
      <c r="AA135" s="1134">
        <f t="shared" ref="AA135" si="881">+AA84/AA92*100</f>
        <v>65.001961108187416</v>
      </c>
      <c r="AB135" s="1135">
        <f>+AB84/AB92*100</f>
        <v>67.07639146774163</v>
      </c>
      <c r="AC135" s="151">
        <f t="shared" ref="AC135" si="882">+AC84/AC92*100</f>
        <v>65.001601830090976</v>
      </c>
      <c r="AD135" s="326">
        <f>+AD84/AD92*100</f>
        <v>68.710157206062306</v>
      </c>
      <c r="AE135" s="3497">
        <f t="shared" ref="AE135:AG135" si="883">+AE84/AE92*100</f>
        <v>65.001909063172889</v>
      </c>
      <c r="AF135" s="388">
        <f t="shared" si="883"/>
        <v>67.321404571979727</v>
      </c>
      <c r="AG135" s="151">
        <f t="shared" si="883"/>
        <v>65.001700594631018</v>
      </c>
      <c r="AH135" s="326">
        <f>+AH84/AH92*100</f>
        <v>70.137580574845074</v>
      </c>
      <c r="AI135" s="3497">
        <f t="shared" ref="AI135:AK135" si="884">+AI84/AI92*100</f>
        <v>65.001883431804501</v>
      </c>
      <c r="AJ135" s="388">
        <f t="shared" si="884"/>
        <v>67.678192583211768</v>
      </c>
      <c r="AK135" s="151">
        <f t="shared" si="884"/>
        <v>65.001601830090976</v>
      </c>
      <c r="AL135" s="326">
        <f>+AL84/AL92*100</f>
        <v>67.35070216085866</v>
      </c>
      <c r="AM135" s="3494">
        <f t="shared" ref="AM135:AQ135" si="885">+AM84/AM92*100</f>
        <v>65.001634035886269</v>
      </c>
      <c r="AN135" s="403">
        <f t="shared" si="885"/>
        <v>68.719462560121684</v>
      </c>
      <c r="AO135" s="3497">
        <f t="shared" si="885"/>
        <v>65.00185168757919</v>
      </c>
      <c r="AP135" s="388">
        <f t="shared" si="885"/>
        <v>67.640421693172826</v>
      </c>
      <c r="AQ135" s="151">
        <f t="shared" si="885"/>
        <v>65.001601830090976</v>
      </c>
      <c r="AR135" s="326">
        <f>+AR84/AR92*100</f>
        <v>67.129472533273002</v>
      </c>
      <c r="AS135" s="3497">
        <f t="shared" ref="AS135:AU135" si="886">+AS84/AS92*100</f>
        <v>65.001826375196245</v>
      </c>
      <c r="AT135" s="388">
        <f t="shared" si="886"/>
        <v>67.587430135758581</v>
      </c>
      <c r="AU135" s="151">
        <f t="shared" si="886"/>
        <v>65.001919288609187</v>
      </c>
      <c r="AV135" s="326">
        <f>+AV84/AV92*100</f>
        <v>72.427745388273394</v>
      </c>
      <c r="AW135" s="3497">
        <f t="shared" ref="AW135:AY135" si="887">+AW84/AW92*100</f>
        <v>65.001834164316278</v>
      </c>
      <c r="AX135" s="388">
        <f t="shared" si="887"/>
        <v>68.002575650756839</v>
      </c>
      <c r="AY135" s="151">
        <f t="shared" si="887"/>
        <v>65.001601830090976</v>
      </c>
      <c r="AZ135" s="326">
        <f>+AZ84/AZ92*100</f>
        <v>68.030226036549792</v>
      </c>
      <c r="BA135" s="3494">
        <f t="shared" ref="BA135:BD135" si="888">+BA84/BA92*100</f>
        <v>65.001700594631032</v>
      </c>
      <c r="BB135" s="403">
        <f t="shared" si="888"/>
        <v>69.089029500978</v>
      </c>
      <c r="BC135" s="4227">
        <f t="shared" si="888"/>
        <v>65.001666949534226</v>
      </c>
      <c r="BD135" s="1135">
        <f t="shared" si="888"/>
        <v>68.902344662535725</v>
      </c>
      <c r="BE135" s="3497">
        <f t="shared" ref="BE135:BF135" si="889">+BE84/BE92*100</f>
        <v>65.001814431797982</v>
      </c>
      <c r="BF135" s="388">
        <f t="shared" si="889"/>
        <v>68.004973903980357</v>
      </c>
    </row>
    <row r="136" spans="1:58" x14ac:dyDescent="0.25">
      <c r="B136" s="26" t="s">
        <v>223</v>
      </c>
      <c r="C136" s="33" t="s">
        <v>52</v>
      </c>
      <c r="D136" s="39">
        <f t="shared" ref="D136" si="890">+D87/D92*100</f>
        <v>30.00085844836935</v>
      </c>
      <c r="E136" s="39">
        <f t="shared" ref="E136:N136" si="891">+E87/E92*100</f>
        <v>30.000094203649446</v>
      </c>
      <c r="F136" s="118">
        <f t="shared" si="891"/>
        <v>28.306069384390863</v>
      </c>
      <c r="G136" s="39">
        <f t="shared" si="891"/>
        <v>30.00084919487535</v>
      </c>
      <c r="H136" s="306">
        <f t="shared" si="891"/>
        <v>29.06635554499853</v>
      </c>
      <c r="I136" s="143">
        <f t="shared" si="891"/>
        <v>30.00047788689858</v>
      </c>
      <c r="J136" s="243">
        <f t="shared" si="891"/>
        <v>28.69488922337694</v>
      </c>
      <c r="K136" s="39">
        <f t="shared" si="891"/>
        <v>30.000094203649446</v>
      </c>
      <c r="L136" s="244">
        <f t="shared" si="891"/>
        <v>29.000505305709957</v>
      </c>
      <c r="M136" s="167">
        <f t="shared" si="891"/>
        <v>30.000351397728902</v>
      </c>
      <c r="N136" s="260">
        <f t="shared" si="891"/>
        <v>28.797444851363966</v>
      </c>
      <c r="O136" s="39">
        <f t="shared" ref="O136:R136" si="892">+O87/O92*100</f>
        <v>30.000849208820448</v>
      </c>
      <c r="P136" s="244">
        <f t="shared" si="892"/>
        <v>29.333604311353749</v>
      </c>
      <c r="Q136" s="143">
        <f t="shared" si="892"/>
        <v>30.000477890441957</v>
      </c>
      <c r="R136" s="243">
        <f t="shared" si="892"/>
        <v>28.933109127553092</v>
      </c>
      <c r="S136" s="39">
        <f t="shared" ref="S136:V136" si="893">+S87/S92*100</f>
        <v>30.000739306195829</v>
      </c>
      <c r="T136" s="244">
        <f t="shared" si="893"/>
        <v>28.546912113450283</v>
      </c>
      <c r="U136" s="143">
        <f t="shared" si="893"/>
        <v>30.000530857097431</v>
      </c>
      <c r="V136" s="243">
        <f t="shared" si="893"/>
        <v>28.851789050737114</v>
      </c>
      <c r="W136" s="39">
        <f t="shared" ref="W136:X136" si="894">+W87/W92*100</f>
        <v>30.000784889829706</v>
      </c>
      <c r="X136" s="244">
        <f t="shared" si="894"/>
        <v>25.486457756724583</v>
      </c>
      <c r="Y136" s="3549">
        <f t="shared" ref="Y136:AF136" si="895">+Y87/Y92*100</f>
        <v>30.00079120276191</v>
      </c>
      <c r="Z136" s="869">
        <f t="shared" si="895"/>
        <v>27.785963339748342</v>
      </c>
      <c r="AA136" s="1134">
        <f t="shared" si="895"/>
        <v>30.00057250179735</v>
      </c>
      <c r="AB136" s="1135">
        <f t="shared" si="895"/>
        <v>28.281308231786507</v>
      </c>
      <c r="AC136" s="39">
        <f t="shared" si="895"/>
        <v>30.000739306195829</v>
      </c>
      <c r="AD136" s="244">
        <f t="shared" si="895"/>
        <v>23.871411089146193</v>
      </c>
      <c r="AE136" s="143">
        <f t="shared" si="895"/>
        <v>30.000596665077627</v>
      </c>
      <c r="AF136" s="243">
        <f t="shared" si="895"/>
        <v>27.619963362723716</v>
      </c>
      <c r="AG136" s="39">
        <f t="shared" ref="AG136:AJ136" si="896">+AG87/AG92*100</f>
        <v>30.000784889829706</v>
      </c>
      <c r="AH136" s="244">
        <f t="shared" si="896"/>
        <v>27.504437455236197</v>
      </c>
      <c r="AI136" s="143">
        <f t="shared" si="896"/>
        <v>30.000619807456424</v>
      </c>
      <c r="AJ136" s="243">
        <f t="shared" si="896"/>
        <v>27.605327111744966</v>
      </c>
      <c r="AK136" s="39">
        <f t="shared" ref="AK136:AL136" si="897">+AK87/AK92*100</f>
        <v>30.000739306195829</v>
      </c>
      <c r="AL136" s="244">
        <f t="shared" si="897"/>
        <v>27.802732989739464</v>
      </c>
      <c r="AM136" s="167">
        <f t="shared" ref="AM136:AT136" si="898">+AM87/AM92*100</f>
        <v>30.000754170409046</v>
      </c>
      <c r="AN136" s="260">
        <f t="shared" si="898"/>
        <v>26.378438351307093</v>
      </c>
      <c r="AO136" s="143">
        <f t="shared" si="898"/>
        <v>30.00063327823705</v>
      </c>
      <c r="AP136" s="243">
        <f t="shared" si="898"/>
        <v>27.628094787383233</v>
      </c>
      <c r="AQ136" s="39">
        <f t="shared" si="898"/>
        <v>30.000739306195829</v>
      </c>
      <c r="AR136" s="244">
        <f t="shared" si="898"/>
        <v>26.223466425366666</v>
      </c>
      <c r="AS136" s="143">
        <f t="shared" si="898"/>
        <v>30.000644019641342</v>
      </c>
      <c r="AT136" s="243">
        <f t="shared" si="898"/>
        <v>27.482417975807564</v>
      </c>
      <c r="AU136" s="39">
        <f t="shared" ref="AU136:AX136" si="899">+AU87/AU92*100</f>
        <v>30.00088582551194</v>
      </c>
      <c r="AV136" s="244">
        <f t="shared" si="899"/>
        <v>20.643786254536472</v>
      </c>
      <c r="AW136" s="143">
        <f t="shared" si="899"/>
        <v>30.000664290718365</v>
      </c>
      <c r="AX136" s="243">
        <f t="shared" si="899"/>
        <v>26.895880293920943</v>
      </c>
      <c r="AY136" s="39">
        <f t="shared" ref="AY136:BF136" si="900">+AY87/AY92*100</f>
        <v>30.000739306195829</v>
      </c>
      <c r="AZ136" s="244">
        <f t="shared" si="900"/>
        <v>25.196205747840327</v>
      </c>
      <c r="BA136" s="167">
        <f t="shared" si="900"/>
        <v>30.000784889829703</v>
      </c>
      <c r="BB136" s="260">
        <f t="shared" si="900"/>
        <v>24.132718998536976</v>
      </c>
      <c r="BC136" s="4227">
        <f t="shared" ref="BC136:BD136" si="901">+BC87/BC92*100</f>
        <v>30.000769361323488</v>
      </c>
      <c r="BD136" s="1135">
        <f t="shared" si="901"/>
        <v>25.267132573482769</v>
      </c>
      <c r="BE136" s="143">
        <f t="shared" si="900"/>
        <v>30.00067066190315</v>
      </c>
      <c r="BF136" s="243">
        <f t="shared" si="900"/>
        <v>26.748459205853621</v>
      </c>
    </row>
    <row r="137" spans="1:58" ht="15.75" thickBot="1" x14ac:dyDescent="0.3">
      <c r="B137" s="2364" t="s">
        <v>13</v>
      </c>
      <c r="C137" s="2365" t="s">
        <v>52</v>
      </c>
      <c r="D137" s="3508">
        <f t="shared" ref="D137" si="902">SUM(D135:D136)</f>
        <v>95.002718419836299</v>
      </c>
      <c r="E137" s="3508">
        <f t="shared" ref="E137:J137" si="903">SUM(E135:E136)</f>
        <v>95.002496396710399</v>
      </c>
      <c r="F137" s="1374">
        <f t="shared" si="903"/>
        <v>94.306067295065958</v>
      </c>
      <c r="G137" s="3508">
        <f t="shared" ref="G137" si="904">SUM(G135:G136)</f>
        <v>95.00268913229948</v>
      </c>
      <c r="H137" s="1375">
        <f t="shared" si="903"/>
        <v>95.330380471992058</v>
      </c>
      <c r="I137" s="3509">
        <f t="shared" si="903"/>
        <v>95.002594344096408</v>
      </c>
      <c r="J137" s="1376">
        <f t="shared" si="903"/>
        <v>94.829913848060443</v>
      </c>
      <c r="K137" s="3508">
        <f t="shared" ref="K137:N137" si="905">SUM(K135:K136)</f>
        <v>95.002496396710399</v>
      </c>
      <c r="L137" s="1377">
        <f t="shared" si="905"/>
        <v>95.502779181404748</v>
      </c>
      <c r="M137" s="3510">
        <f t="shared" si="905"/>
        <v>95.002562053701794</v>
      </c>
      <c r="N137" s="1378">
        <f t="shared" si="905"/>
        <v>95.055707354361033</v>
      </c>
      <c r="O137" s="3508">
        <f t="shared" ref="O137:R137" si="906">SUM(O135:O136)</f>
        <v>95.002689161264755</v>
      </c>
      <c r="P137" s="1377">
        <f t="shared" si="906"/>
        <v>96.66787138422049</v>
      </c>
      <c r="Q137" s="3509">
        <f t="shared" si="906"/>
        <v>95.002594351456423</v>
      </c>
      <c r="R137" s="1376">
        <f t="shared" si="906"/>
        <v>95.463632761875417</v>
      </c>
      <c r="S137" s="3508">
        <f t="shared" ref="S137:V137" si="907">SUM(S135:S136)</f>
        <v>95.002341136286802</v>
      </c>
      <c r="T137" s="1377">
        <f t="shared" si="907"/>
        <v>95.497926276690805</v>
      </c>
      <c r="U137" s="3509">
        <f t="shared" si="907"/>
        <v>95.00254304635925</v>
      </c>
      <c r="V137" s="1376">
        <f t="shared" si="907"/>
        <v>95.470853820447189</v>
      </c>
      <c r="W137" s="3508">
        <f t="shared" ref="W137:X137" si="908">SUM(W135:W136)</f>
        <v>95.00248548446072</v>
      </c>
      <c r="X137" s="1377">
        <f t="shared" si="908"/>
        <v>94.803344779782407</v>
      </c>
      <c r="Y137" s="952">
        <f t="shared" ref="Y137:AF137" si="909">SUM(Y135:Y136)</f>
        <v>95.002505475412732</v>
      </c>
      <c r="Z137" s="1719">
        <f t="shared" si="909"/>
        <v>95.647526772320646</v>
      </c>
      <c r="AA137" s="1434">
        <f t="shared" si="909"/>
        <v>95.002533609984766</v>
      </c>
      <c r="AB137" s="1720">
        <f t="shared" si="909"/>
        <v>95.357699699528141</v>
      </c>
      <c r="AC137" s="3508">
        <f t="shared" si="909"/>
        <v>95.002341136286802</v>
      </c>
      <c r="AD137" s="1377">
        <f t="shared" si="909"/>
        <v>92.581568295208498</v>
      </c>
      <c r="AE137" s="3509">
        <f t="shared" si="909"/>
        <v>95.002505728250512</v>
      </c>
      <c r="AF137" s="1376">
        <f t="shared" si="909"/>
        <v>94.941367934703436</v>
      </c>
      <c r="AG137" s="3508">
        <f t="shared" ref="AG137:AJ137" si="910">SUM(AG135:AG136)</f>
        <v>95.00248548446072</v>
      </c>
      <c r="AH137" s="1377">
        <f t="shared" si="910"/>
        <v>97.642018030081275</v>
      </c>
      <c r="AI137" s="3509">
        <f t="shared" si="910"/>
        <v>95.002503239260932</v>
      </c>
      <c r="AJ137" s="1376">
        <f t="shared" si="910"/>
        <v>95.283519694956738</v>
      </c>
      <c r="AK137" s="3508">
        <f t="shared" ref="AK137:AL137" si="911">SUM(AK135:AK136)</f>
        <v>95.002341136286802</v>
      </c>
      <c r="AL137" s="1377">
        <f t="shared" si="911"/>
        <v>95.153435150598128</v>
      </c>
      <c r="AM137" s="3510">
        <f t="shared" ref="AM137:AN137" si="912">SUM(AM135:AM136)</f>
        <v>95.002388206295308</v>
      </c>
      <c r="AN137" s="1378">
        <f t="shared" si="912"/>
        <v>95.097900911428781</v>
      </c>
      <c r="AO137" s="3509">
        <f t="shared" ref="AO137:AT137" si="913">SUM(AO135:AO136)</f>
        <v>95.002484965816237</v>
      </c>
      <c r="AP137" s="1376">
        <f t="shared" si="913"/>
        <v>95.268516480556059</v>
      </c>
      <c r="AQ137" s="3879">
        <f t="shared" si="913"/>
        <v>95.002341136286802</v>
      </c>
      <c r="AR137" s="1377">
        <f t="shared" si="913"/>
        <v>93.352938958639669</v>
      </c>
      <c r="AS137" s="3877">
        <f t="shared" si="913"/>
        <v>95.002470394837587</v>
      </c>
      <c r="AT137" s="1376">
        <f t="shared" si="913"/>
        <v>95.069848111566145</v>
      </c>
      <c r="AU137" s="3993">
        <f t="shared" ref="AU137:AX137" si="914">SUM(AU135:AU136)</f>
        <v>95.002805114121131</v>
      </c>
      <c r="AV137" s="1377">
        <f t="shared" si="914"/>
        <v>93.071531642809873</v>
      </c>
      <c r="AW137" s="3994">
        <f t="shared" si="914"/>
        <v>95.00249845503464</v>
      </c>
      <c r="AX137" s="1376">
        <f t="shared" si="914"/>
        <v>94.898455944677778</v>
      </c>
      <c r="AY137" s="4230">
        <f t="shared" ref="AY137:BF137" si="915">SUM(AY135:AY136)</f>
        <v>95.002341136286802</v>
      </c>
      <c r="AZ137" s="1377">
        <f t="shared" si="915"/>
        <v>93.226431784390115</v>
      </c>
      <c r="BA137" s="4233">
        <f t="shared" si="915"/>
        <v>95.002485484460735</v>
      </c>
      <c r="BB137" s="1378">
        <f t="shared" si="915"/>
        <v>93.221748499514973</v>
      </c>
      <c r="BC137" s="1434">
        <f t="shared" ref="BC137:BD137" si="916">SUM(BC135:BC136)</f>
        <v>95.002436310857718</v>
      </c>
      <c r="BD137" s="1720">
        <f t="shared" si="916"/>
        <v>94.169477236018494</v>
      </c>
      <c r="BE137" s="4231">
        <f t="shared" si="915"/>
        <v>95.002485093701125</v>
      </c>
      <c r="BF137" s="1376">
        <f t="shared" si="915"/>
        <v>94.753433109833978</v>
      </c>
    </row>
    <row r="138" spans="1:58" ht="15.75" thickBot="1" x14ac:dyDescent="0.3">
      <c r="B138" s="2366" t="s">
        <v>226</v>
      </c>
      <c r="C138" s="2367" t="s">
        <v>52</v>
      </c>
      <c r="D138" s="230">
        <f>+((+D89+D90+D91)/D92)*100</f>
        <v>4.9972815801637083</v>
      </c>
      <c r="E138" s="230">
        <f>+((+E89+E90+E91)/E92)*100</f>
        <v>4.9975036032895916</v>
      </c>
      <c r="F138" s="230">
        <f>+((+F89+F90+F91)/F92)*100</f>
        <v>5.6939327049340456</v>
      </c>
      <c r="G138" s="230">
        <f t="shared" ref="G138:N138" si="917">+((+G89+G90+G91)/G92)*100</f>
        <v>4.9973108677005307</v>
      </c>
      <c r="H138" s="230">
        <f t="shared" si="917"/>
        <v>4.6696195280079369</v>
      </c>
      <c r="I138" s="230">
        <f t="shared" si="917"/>
        <v>4.9974056559035862</v>
      </c>
      <c r="J138" s="230">
        <f t="shared" si="917"/>
        <v>5.1700861519395795</v>
      </c>
      <c r="K138" s="230">
        <f t="shared" si="917"/>
        <v>4.9975036032895916</v>
      </c>
      <c r="L138" s="230">
        <f t="shared" si="917"/>
        <v>4.4972208185952507</v>
      </c>
      <c r="M138" s="230">
        <f t="shared" si="917"/>
        <v>4.997437946298219</v>
      </c>
      <c r="N138" s="230">
        <f t="shared" si="917"/>
        <v>4.9442926456389618</v>
      </c>
      <c r="O138" s="230">
        <f t="shared" ref="O138:R138" si="918">+((+O89+O90+O91)/O92)*100</f>
        <v>4.9973108387352454</v>
      </c>
      <c r="P138" s="230">
        <f t="shared" si="918"/>
        <v>3.3321286157795318</v>
      </c>
      <c r="Q138" s="687">
        <f t="shared" si="918"/>
        <v>4.9974056485435812</v>
      </c>
      <c r="R138" s="687">
        <f t="shared" si="918"/>
        <v>4.5363672381245745</v>
      </c>
      <c r="S138" s="230">
        <f t="shared" ref="S138:V138" si="919">+((+S89+S90+S91)/S92)*100</f>
        <v>4.9976588637131991</v>
      </c>
      <c r="T138" s="230">
        <f t="shared" si="919"/>
        <v>4.5020737233091817</v>
      </c>
      <c r="U138" s="687">
        <f t="shared" si="919"/>
        <v>4.9974569536407429</v>
      </c>
      <c r="V138" s="687">
        <f t="shared" si="919"/>
        <v>4.529146179552809</v>
      </c>
      <c r="W138" s="230">
        <f t="shared" ref="W138:X138" si="920">+((+W89+W90+W91)/W92)*100</f>
        <v>4.9975145155392786</v>
      </c>
      <c r="X138" s="119">
        <f t="shared" si="920"/>
        <v>5.1966552202175977</v>
      </c>
      <c r="Y138" s="869">
        <f t="shared" ref="Y138:AF138" si="921">+((+Y89+Y90+Y91)/Y92)*100</f>
        <v>4.9974945245872693</v>
      </c>
      <c r="Z138" s="869">
        <f t="shared" si="921"/>
        <v>4.3524732276793721</v>
      </c>
      <c r="AA138" s="1135">
        <f t="shared" si="921"/>
        <v>4.9974663900152203</v>
      </c>
      <c r="AB138" s="1135">
        <f t="shared" si="921"/>
        <v>4.6423003004718657</v>
      </c>
      <c r="AC138" s="230">
        <f t="shared" si="921"/>
        <v>4.9976588637131991</v>
      </c>
      <c r="AD138" s="230">
        <f t="shared" si="921"/>
        <v>7.4184317047914909</v>
      </c>
      <c r="AE138" s="687">
        <f t="shared" si="921"/>
        <v>4.9974942717494706</v>
      </c>
      <c r="AF138" s="687">
        <f t="shared" si="921"/>
        <v>5.0586320652965711</v>
      </c>
      <c r="AG138" s="230">
        <f t="shared" ref="AG138:AJ138" si="922">+((+AG89+AG90+AG91)/AG92)*100</f>
        <v>4.9975145155392786</v>
      </c>
      <c r="AH138" s="230">
        <f t="shared" si="922"/>
        <v>2.3579819699187241</v>
      </c>
      <c r="AI138" s="687">
        <f t="shared" si="922"/>
        <v>4.9974967607390797</v>
      </c>
      <c r="AJ138" s="687">
        <f t="shared" si="922"/>
        <v>4.7164803050432527</v>
      </c>
      <c r="AK138" s="230">
        <f t="shared" ref="AK138:AP138" si="923">+((+AK89+AK90+AK91)/AK92)*100</f>
        <v>4.9976588637131991</v>
      </c>
      <c r="AL138" s="230">
        <f t="shared" si="923"/>
        <v>4.8465648494018634</v>
      </c>
      <c r="AM138" s="230">
        <f t="shared" si="923"/>
        <v>4.9976117937046833</v>
      </c>
      <c r="AN138" s="230">
        <f t="shared" si="923"/>
        <v>4.9020990885712052</v>
      </c>
      <c r="AO138" s="230">
        <f t="shared" si="923"/>
        <v>4.9975150341837544</v>
      </c>
      <c r="AP138" s="230">
        <f t="shared" si="923"/>
        <v>4.731483519443942</v>
      </c>
      <c r="AQ138" s="230">
        <f t="shared" ref="AQ138:AT138" si="924">+((+AQ89+AQ90+AQ91)/AQ92)*100</f>
        <v>4.9976588637131991</v>
      </c>
      <c r="AR138" s="230">
        <f t="shared" si="924"/>
        <v>6.6470610413603293</v>
      </c>
      <c r="AS138" s="687">
        <f t="shared" si="924"/>
        <v>4.9975296051624127</v>
      </c>
      <c r="AT138" s="687">
        <f t="shared" si="924"/>
        <v>4.9301518884338416</v>
      </c>
      <c r="AU138" s="230">
        <f t="shared" ref="AU138:AX138" si="925">+((+AU89+AU90+AU91)/AU92)*100</f>
        <v>4.9971948858788684</v>
      </c>
      <c r="AV138" s="230">
        <f t="shared" si="925"/>
        <v>6.92846835719015</v>
      </c>
      <c r="AW138" s="687">
        <f t="shared" si="925"/>
        <v>4.9975015449653553</v>
      </c>
      <c r="AX138" s="687">
        <f t="shared" si="925"/>
        <v>5.1015440553222087</v>
      </c>
      <c r="AY138" s="230">
        <f t="shared" ref="AY138:BF138" si="926">+((+AY89+AY90+AY91)/AY92)*100</f>
        <v>4.9976588637131991</v>
      </c>
      <c r="AZ138" s="230">
        <f t="shared" si="926"/>
        <v>6.7735682156098846</v>
      </c>
      <c r="BA138" s="869">
        <f t="shared" si="926"/>
        <v>4.9975145155392804</v>
      </c>
      <c r="BB138" s="869">
        <f t="shared" si="926"/>
        <v>6.778251500485009</v>
      </c>
      <c r="BC138" s="1135">
        <f t="shared" ref="BC138:BD138" si="927">+((+BC89+BC90+BC91)/BC92)*100</f>
        <v>4.9975636891422957</v>
      </c>
      <c r="BD138" s="1135">
        <f t="shared" si="927"/>
        <v>5.8305227639814952</v>
      </c>
      <c r="BE138" s="687">
        <f t="shared" si="926"/>
        <v>4.9975149062988642</v>
      </c>
      <c r="BF138" s="687">
        <f t="shared" si="926"/>
        <v>5.2465668901660099</v>
      </c>
    </row>
    <row r="139" spans="1:58" s="334" customFormat="1" ht="18.75" x14ac:dyDescent="0.3">
      <c r="A139" s="333"/>
      <c r="B139" s="2351" t="s">
        <v>221</v>
      </c>
      <c r="C139" s="1170"/>
      <c r="D139" s="1170"/>
      <c r="E139" s="1170"/>
      <c r="F139" s="1169"/>
      <c r="G139" s="1170"/>
      <c r="H139" s="1175"/>
      <c r="I139" s="1175"/>
      <c r="J139" s="849"/>
      <c r="K139" s="849"/>
      <c r="L139" s="849"/>
      <c r="M139" s="849"/>
      <c r="N139" s="849"/>
      <c r="O139" s="849"/>
      <c r="P139" s="849"/>
      <c r="Q139" s="1175"/>
      <c r="R139" s="849"/>
      <c r="S139" s="849"/>
      <c r="T139" s="849"/>
      <c r="U139" s="1175"/>
      <c r="V139" s="849"/>
      <c r="W139" s="849"/>
      <c r="X139" s="849"/>
      <c r="Y139" s="849"/>
      <c r="Z139" s="849"/>
      <c r="AA139" s="1175"/>
      <c r="AB139" s="849"/>
      <c r="AC139" s="849"/>
      <c r="AD139" s="849"/>
      <c r="AE139" s="1175"/>
      <c r="AF139" s="849"/>
      <c r="AG139" s="849"/>
      <c r="AH139" s="849"/>
      <c r="AI139" s="1175"/>
      <c r="AJ139" s="849"/>
      <c r="AK139" s="849"/>
      <c r="AL139" s="849"/>
      <c r="AM139" s="849"/>
      <c r="AN139" s="849"/>
      <c r="AO139" s="1175"/>
      <c r="AP139" s="849"/>
      <c r="AQ139" s="849"/>
      <c r="AR139" s="849"/>
      <c r="AS139" s="1175"/>
      <c r="AT139" s="849"/>
      <c r="AU139" s="849"/>
      <c r="AV139" s="849"/>
      <c r="AW139" s="1175"/>
      <c r="AX139" s="849"/>
      <c r="AY139" s="849"/>
      <c r="AZ139" s="849"/>
      <c r="BA139" s="849"/>
      <c r="BB139" s="849"/>
      <c r="BC139" s="1175"/>
      <c r="BD139" s="849"/>
      <c r="BE139" s="1175"/>
      <c r="BF139" s="849"/>
    </row>
    <row r="140" spans="1:58" x14ac:dyDescent="0.25">
      <c r="B140" s="28" t="s">
        <v>227</v>
      </c>
      <c r="C140" s="33" t="s">
        <v>52</v>
      </c>
      <c r="D140" s="1109">
        <v>9</v>
      </c>
      <c r="E140" s="1109">
        <v>9</v>
      </c>
      <c r="F140" s="230">
        <v>7.8777777777777702</v>
      </c>
      <c r="G140" s="1109">
        <v>9</v>
      </c>
      <c r="H140" s="225">
        <v>7.9054348000000001</v>
      </c>
      <c r="I140" s="245">
        <f>+((E140*E$92)+(G$92*G140))/I$92</f>
        <v>9</v>
      </c>
      <c r="J140" s="245">
        <f>+((F140*F$92)+(H$92*H140))/J$92</f>
        <v>7.8919219243957839</v>
      </c>
      <c r="K140" s="118">
        <v>9</v>
      </c>
      <c r="L140" s="225">
        <v>8.2022988505747154</v>
      </c>
      <c r="M140" s="261">
        <f>+((I140*I$92)+(K$92*K140))/M$92</f>
        <v>9.0000000000000018</v>
      </c>
      <c r="N140" s="261">
        <f>+((J140*J$92)+(L$92*L140))/N$92</f>
        <v>7.996075149363441</v>
      </c>
      <c r="O140" s="118">
        <v>9</v>
      </c>
      <c r="P140" s="308">
        <v>8.8311111111111078</v>
      </c>
      <c r="Q140" s="245">
        <f>+((M140*M$92)+(O$92*O140))/Q$92</f>
        <v>9</v>
      </c>
      <c r="R140" s="245">
        <f>+((N140*N$92)+(P$92*P140))/R$92</f>
        <v>8.207364062077108</v>
      </c>
      <c r="S140" s="118">
        <v>9</v>
      </c>
      <c r="T140" s="308">
        <v>9.4164835164835168</v>
      </c>
      <c r="U140" s="245">
        <f>+((Q140*Q$92)+(S$92*S140))/U$92</f>
        <v>9</v>
      </c>
      <c r="V140" s="245">
        <f>+((R140*R$92)+(T$92*T140))/V$92</f>
        <v>8.461963873368882</v>
      </c>
      <c r="W140" s="118">
        <v>9</v>
      </c>
      <c r="X140" s="308">
        <v>9.2011494252873618</v>
      </c>
      <c r="Y140" s="261">
        <f>+((O140*O$92)+(S140*S$92)+(W$92*W140))/Y$92</f>
        <v>9</v>
      </c>
      <c r="Z140" s="261">
        <f>+((P140*P$92)+(T140*T$92)+(X$92*X140))/Z$92</f>
        <v>9.1546463500314648</v>
      </c>
      <c r="AA140" s="1146">
        <f>+((U140*U$92)+(W$92*W140))/AA$92</f>
        <v>9</v>
      </c>
      <c r="AB140" s="1146">
        <f>+((V140*V$92)+(X$92*X140))/AB$92</f>
        <v>8.5872683804660479</v>
      </c>
      <c r="AC140" s="118">
        <v>9</v>
      </c>
      <c r="AD140" s="308">
        <v>9.061797752808987</v>
      </c>
      <c r="AE140" s="245">
        <f>+((AA140*AA$92)+(AC$92*AC140))/AE$92</f>
        <v>9</v>
      </c>
      <c r="AF140" s="245">
        <f>+((AB140*AB$92)+(AD$92*AD140))/AF$92</f>
        <v>8.6584327535721961</v>
      </c>
      <c r="AG140" s="118">
        <v>9</v>
      </c>
      <c r="AH140" s="308">
        <v>8.8544444444444448</v>
      </c>
      <c r="AI140" s="245">
        <f>+((AE140*AE$92)+(AG$92*AG140))/AI$92</f>
        <v>9</v>
      </c>
      <c r="AJ140" s="245">
        <f>+((AF140*AF$92)+(AH$92*AH140))/AJ$92</f>
        <v>8.6832659391733031</v>
      </c>
      <c r="AK140" s="118">
        <v>9</v>
      </c>
      <c r="AL140" s="308">
        <v>8.5161290322580623</v>
      </c>
      <c r="AM140" s="261">
        <f>+((AC140*AC$92)+(AG140*AG$92)+(AK$92*AK140))/AM$92</f>
        <v>9.0000000000000018</v>
      </c>
      <c r="AN140" s="261">
        <f>+((AD140*AD$92)+(AH140*AH$92)+(AL$92*AL140))/AN$92</f>
        <v>8.8107634066684639</v>
      </c>
      <c r="AO140" s="245">
        <f>+((AI140*AI$92)+(AK$92*AK140))/AO$92</f>
        <v>9.0000000000000018</v>
      </c>
      <c r="AP140" s="245">
        <f>+((AJ140*AJ$92)+(AL$92*AL140))/AP$92</f>
        <v>8.6639893151817198</v>
      </c>
      <c r="AQ140" s="118">
        <v>9</v>
      </c>
      <c r="AR140" s="308">
        <v>8.227173913043476</v>
      </c>
      <c r="AS140" s="245">
        <f>+((AO140*AO$92)+(AQ$92*AQ140))/AS$92</f>
        <v>9</v>
      </c>
      <c r="AT140" s="245">
        <f>+((AP140*AP$92)+(AR$92*AR140))/AT$92</f>
        <v>8.6186863177829736</v>
      </c>
      <c r="AU140" s="118">
        <v>9</v>
      </c>
      <c r="AV140" s="308">
        <v>8.1445783132530121</v>
      </c>
      <c r="AW140" s="245">
        <f>+((AS140*AS$92)+(AU$92*AU140))/AW$92</f>
        <v>9.0000000000000018</v>
      </c>
      <c r="AX140" s="245">
        <f>+((AT140*AT$92)+(AV$92*AV140))/AX$92</f>
        <v>8.5780228895892972</v>
      </c>
      <c r="AY140" s="118">
        <v>9</v>
      </c>
      <c r="AZ140" s="308">
        <v>7.950537634408601</v>
      </c>
      <c r="BA140" s="261">
        <f>+((AQ140*AQ$92)+(AU140*AU$92)+(AY$92*AY140))/BA$92</f>
        <v>9.0000000000000018</v>
      </c>
      <c r="BB140" s="261">
        <f>+((AR140*AR$92)+(AV140*AV$92)+(AZ$92*AZ140))/BB$92</f>
        <v>8.1061215672380307</v>
      </c>
      <c r="BC140" s="1146">
        <f t="shared" ref="BC140:BD142" si="928">+((AM140*AM$92)+(BA$92*BA140))/BC$92</f>
        <v>9.0000000000000018</v>
      </c>
      <c r="BD140" s="1146">
        <f t="shared" si="928"/>
        <v>8.4620677664541724</v>
      </c>
      <c r="BE140" s="245">
        <f>+((AW140*AW$92)+(AY$92*AY140))/BE$92</f>
        <v>9.0000000000000018</v>
      </c>
      <c r="BF140" s="245">
        <f>+((AX140*AX$92)+(AZ$92*AZ140))/BF$92</f>
        <v>8.5235980237946958</v>
      </c>
    </row>
    <row r="141" spans="1:58" x14ac:dyDescent="0.25">
      <c r="B141" s="28" t="s">
        <v>228</v>
      </c>
      <c r="C141" s="33" t="s">
        <v>52</v>
      </c>
      <c r="D141" s="1109">
        <v>9.6</v>
      </c>
      <c r="E141" s="1109">
        <v>9.6</v>
      </c>
      <c r="F141" s="230">
        <v>9.8699999999999992</v>
      </c>
      <c r="G141" s="1109">
        <v>9.6</v>
      </c>
      <c r="H141" s="225">
        <v>9.9206521999999993</v>
      </c>
      <c r="I141" s="245">
        <f t="shared" ref="I141:I142" si="929">+((E141*E$92)+(G$92*G141))/I$92</f>
        <v>9.6</v>
      </c>
      <c r="J141" s="245">
        <f t="shared" ref="J141:J142" si="930">+((F141*F$92)+(H$92*H141))/J$92</f>
        <v>9.8959041677577684</v>
      </c>
      <c r="K141" s="118">
        <v>9.6</v>
      </c>
      <c r="L141" s="225">
        <v>10.000000000000002</v>
      </c>
      <c r="M141" s="261">
        <f t="shared" ref="M141:M142" si="931">+((I141*I$92)+(K$92*K141))/M$92</f>
        <v>9.6</v>
      </c>
      <c r="N141" s="261">
        <f t="shared" ref="N141:N142" si="932">+((J141*J$92)+(L$92*L141))/N$92</f>
        <v>9.9308356195483256</v>
      </c>
      <c r="O141" s="118">
        <v>9.6</v>
      </c>
      <c r="P141" s="308">
        <v>9.9611111111111175</v>
      </c>
      <c r="Q141" s="245">
        <f t="shared" ref="Q141:Q142" si="933">+((M141*M$92)+(O$92*O141))/Q$92</f>
        <v>9.6</v>
      </c>
      <c r="R141" s="245">
        <f t="shared" ref="R141:R142" si="934">+((N141*N$92)+(P$92*P141))/R$92</f>
        <v>9.9384962185969989</v>
      </c>
      <c r="S141" s="118">
        <v>9.6</v>
      </c>
      <c r="T141" s="308">
        <v>10.028571428571432</v>
      </c>
      <c r="U141" s="245">
        <f t="shared" ref="U141:U142" si="935">+((Q141*Q$92)+(S$92*S141))/U$92</f>
        <v>9.5999999999999979</v>
      </c>
      <c r="V141" s="245">
        <f t="shared" ref="V141:V142" si="936">+((R141*R$92)+(T$92*T141))/V$92</f>
        <v>9.9574630223962277</v>
      </c>
      <c r="W141" s="118">
        <v>9.6</v>
      </c>
      <c r="X141" s="308">
        <v>10.096551724137937</v>
      </c>
      <c r="Y141" s="261">
        <f t="shared" ref="Y141:Y142" si="937">+((O141*O$92)+(S141*S$92)+(W$92*W141))/Y$92</f>
        <v>9.6</v>
      </c>
      <c r="Z141" s="261">
        <f t="shared" ref="Z141:Z142" si="938">+((P141*P$92)+(T141*T$92)+(X$92*X141))/Z$92</f>
        <v>10.029223781156523</v>
      </c>
      <c r="AA141" s="1146">
        <f t="shared" ref="AA141:AA142" si="939">+((U141*U$92)+(W$92*W141))/AA$92</f>
        <v>9.5999999999999979</v>
      </c>
      <c r="AB141" s="1146">
        <f t="shared" ref="AB141:AB142" si="940">+((V141*V$92)+(X$92*X141))/AB$92</f>
        <v>9.9810409199475192</v>
      </c>
      <c r="AC141" s="118">
        <v>9.6</v>
      </c>
      <c r="AD141" s="308">
        <v>10.287640449438195</v>
      </c>
      <c r="AE141" s="245">
        <f t="shared" ref="AE141:AE142" si="941">+((AA141*AA$92)+(AC$92*AC141))/AE$92</f>
        <v>9.5999999999999979</v>
      </c>
      <c r="AF141" s="245">
        <f t="shared" ref="AF141:AF142" si="942">+((AB141*AB$92)+(AD$92*AD141))/AF$92</f>
        <v>10.02702113652108</v>
      </c>
      <c r="AG141" s="118">
        <v>9.6</v>
      </c>
      <c r="AH141" s="308">
        <v>10.012000000000002</v>
      </c>
      <c r="AI141" s="245">
        <f t="shared" ref="AI141:AI142" si="943">+((AE141*AE$92)+(AG$92*AG141))/AI$92</f>
        <v>9.5999999999999979</v>
      </c>
      <c r="AJ141" s="245">
        <f t="shared" ref="AJ141:AJ142" si="944">+((AF141*AF$92)+(AH$92*AH141))/AJ$92</f>
        <v>10.025118073139971</v>
      </c>
      <c r="AK141" s="118">
        <v>9.6</v>
      </c>
      <c r="AL141" s="308">
        <v>10.160967741935483</v>
      </c>
      <c r="AM141" s="261">
        <f t="shared" ref="AM141:AM142" si="945">+((AC141*AC$92)+(AG141*AG$92)+(AK$92*AK141))/AM$92</f>
        <v>9.6</v>
      </c>
      <c r="AN141" s="261">
        <f t="shared" ref="AN141:AN142" si="946">+((AD141*AD$92)+(AH141*AH$92)+(AL$92*AL141))/AN$92</f>
        <v>10.155084340412863</v>
      </c>
      <c r="AO141" s="245">
        <f t="shared" ref="AO141:AO142" si="947">+((AI141*AI$92)+(AK$92*AK141))/AO$92</f>
        <v>9.6</v>
      </c>
      <c r="AP141" s="245">
        <f t="shared" ref="AP141:AP142" si="948">+((AJ141*AJ$92)+(AL$92*AL141))/AP$92</f>
        <v>10.040786204333044</v>
      </c>
      <c r="AQ141" s="118">
        <v>9.6</v>
      </c>
      <c r="AR141" s="308">
        <v>10.258695652173914</v>
      </c>
      <c r="AS141" s="245">
        <f t="shared" ref="AS141:AS142" si="949">+((AO141*AO$92)+(AQ$92*AQ141))/AS$92</f>
        <v>9.6</v>
      </c>
      <c r="AT141" s="245">
        <f t="shared" ref="AT141:AT142" si="950">+((AP141*AP$92)+(AR$92*AR141))/AT$92</f>
        <v>10.063386028195419</v>
      </c>
      <c r="AU141" s="118">
        <v>9.6</v>
      </c>
      <c r="AV141" s="308">
        <v>10.110843373493978</v>
      </c>
      <c r="AW141" s="245">
        <f t="shared" ref="AW141:AW142" si="951">+((AS141*AS$92)+(AU$92*AU141))/AW$92</f>
        <v>9.6000000000000014</v>
      </c>
      <c r="AX141" s="245">
        <f t="shared" ref="AX141:AX142" si="952">+((AT141*AT$92)+(AV$92*AV141))/AX$92</f>
        <v>10.067456363086142</v>
      </c>
      <c r="AY141" s="118">
        <v>9.6</v>
      </c>
      <c r="AZ141" s="308">
        <v>10.049784946236558</v>
      </c>
      <c r="BA141" s="261">
        <f t="shared" ref="BA141:BA142" si="953">+((AQ141*AQ$92)+(AU141*AU$92)+(AY$92*AY141))/BA$92</f>
        <v>9.6000000000000014</v>
      </c>
      <c r="BB141" s="261">
        <f t="shared" ref="BB141:BB142" si="954">+((AR141*AR$92)+(AV141*AV$92)+(AZ$92*AZ141))/BB$92</f>
        <v>10.140673893266747</v>
      </c>
      <c r="BC141" s="1146">
        <f t="shared" si="928"/>
        <v>9.6000000000000014</v>
      </c>
      <c r="BD141" s="1146">
        <f t="shared" si="928"/>
        <v>10.147953256488794</v>
      </c>
      <c r="BE141" s="245">
        <f t="shared" ref="BE141:BE142" si="955">+((AW141*AW$92)+(AY$92*AY141))/BE$92</f>
        <v>9.6000000000000014</v>
      </c>
      <c r="BF141" s="245">
        <f t="shared" ref="BF141:BF142" si="956">+((AX141*AX$92)+(AZ$92*AZ141))/BF$92</f>
        <v>10.065923634655476</v>
      </c>
    </row>
    <row r="142" spans="1:58" x14ac:dyDescent="0.25">
      <c r="B142" s="28" t="s">
        <v>229</v>
      </c>
      <c r="C142" s="33" t="s">
        <v>52</v>
      </c>
      <c r="D142" s="1109">
        <v>24.6</v>
      </c>
      <c r="E142" s="1109">
        <v>24.6</v>
      </c>
      <c r="F142" s="230">
        <v>24.926666666666701</v>
      </c>
      <c r="G142" s="1109">
        <v>24.6</v>
      </c>
      <c r="H142" s="225">
        <v>25.0554348</v>
      </c>
      <c r="I142" s="245">
        <f t="shared" si="929"/>
        <v>24.600000000000005</v>
      </c>
      <c r="J142" s="245">
        <f t="shared" si="930"/>
        <v>24.992520298448156</v>
      </c>
      <c r="K142" s="118">
        <v>24.6</v>
      </c>
      <c r="L142" s="225">
        <v>25.048275862068962</v>
      </c>
      <c r="M142" s="261">
        <f t="shared" si="931"/>
        <v>24.600000000000009</v>
      </c>
      <c r="N142" s="261">
        <f t="shared" si="932"/>
        <v>25.011230200090935</v>
      </c>
      <c r="O142" s="118">
        <v>24.6</v>
      </c>
      <c r="P142" s="308">
        <v>25.049999999999994</v>
      </c>
      <c r="Q142" s="245">
        <f t="shared" si="933"/>
        <v>24.600000000000005</v>
      </c>
      <c r="R142" s="245">
        <f t="shared" si="934"/>
        <v>25.021040111572791</v>
      </c>
      <c r="S142" s="118">
        <v>24.6</v>
      </c>
      <c r="T142" s="308">
        <v>25.193406593406596</v>
      </c>
      <c r="U142" s="245">
        <f t="shared" si="935"/>
        <v>24.6</v>
      </c>
      <c r="V142" s="245">
        <f t="shared" si="936"/>
        <v>25.057334684113155</v>
      </c>
      <c r="W142" s="118">
        <v>24.6</v>
      </c>
      <c r="X142" s="308">
        <v>25.083908045977005</v>
      </c>
      <c r="Y142" s="261">
        <f t="shared" si="937"/>
        <v>24.6</v>
      </c>
      <c r="Z142" s="261">
        <f t="shared" si="938"/>
        <v>25.110409734156459</v>
      </c>
      <c r="AA142" s="1146">
        <f t="shared" si="939"/>
        <v>24.599999999999998</v>
      </c>
      <c r="AB142" s="1146">
        <f t="shared" si="940"/>
        <v>25.061839320332872</v>
      </c>
      <c r="AC142" s="118">
        <v>24.6</v>
      </c>
      <c r="AD142" s="308">
        <v>25.00561797752809</v>
      </c>
      <c r="AE142" s="245">
        <f t="shared" si="941"/>
        <v>24.6</v>
      </c>
      <c r="AF142" s="245">
        <f t="shared" si="942"/>
        <v>25.053407899963393</v>
      </c>
      <c r="AG142" s="118">
        <v>24.6</v>
      </c>
      <c r="AH142" s="308">
        <v>25.038888888888888</v>
      </c>
      <c r="AI142" s="245">
        <f t="shared" si="943"/>
        <v>24.599999999999998</v>
      </c>
      <c r="AJ142" s="245">
        <f t="shared" si="944"/>
        <v>25.051568452044982</v>
      </c>
      <c r="AK142" s="118">
        <v>24.6</v>
      </c>
      <c r="AL142" s="308">
        <v>25.06881720430108</v>
      </c>
      <c r="AM142" s="261">
        <f t="shared" si="945"/>
        <v>24.599999999999998</v>
      </c>
      <c r="AN142" s="261">
        <f t="shared" si="946"/>
        <v>25.037714576144211</v>
      </c>
      <c r="AO142" s="245">
        <f t="shared" si="947"/>
        <v>24.6</v>
      </c>
      <c r="AP142" s="245">
        <f t="shared" si="948"/>
        <v>25.053557825413808</v>
      </c>
      <c r="AQ142" s="118">
        <v>24.6</v>
      </c>
      <c r="AR142" s="308">
        <v>25.008695652173923</v>
      </c>
      <c r="AS142" s="245">
        <f t="shared" si="949"/>
        <v>24.599999999999998</v>
      </c>
      <c r="AT142" s="245">
        <f t="shared" si="950"/>
        <v>25.048905079865825</v>
      </c>
      <c r="AU142" s="118">
        <v>24.6</v>
      </c>
      <c r="AV142" s="308">
        <v>25.074698795180719</v>
      </c>
      <c r="AW142" s="245">
        <f t="shared" si="951"/>
        <v>24.599999999999998</v>
      </c>
      <c r="AX142" s="245">
        <f t="shared" si="952"/>
        <v>25.051117362469224</v>
      </c>
      <c r="AY142" s="118">
        <v>24.6</v>
      </c>
      <c r="AZ142" s="308">
        <v>25.003225806451614</v>
      </c>
      <c r="BA142" s="261">
        <f t="shared" si="953"/>
        <v>24.6</v>
      </c>
      <c r="BB142" s="261">
        <f t="shared" si="954"/>
        <v>25.027354169626008</v>
      </c>
      <c r="BC142" s="1146">
        <f t="shared" si="928"/>
        <v>24.599999999999998</v>
      </c>
      <c r="BD142" s="1146">
        <f t="shared" si="928"/>
        <v>25.032587675665717</v>
      </c>
      <c r="BE142" s="245">
        <f t="shared" si="955"/>
        <v>24.599999999999994</v>
      </c>
      <c r="BF142" s="245">
        <f t="shared" si="956"/>
        <v>25.046963493533767</v>
      </c>
    </row>
    <row r="143" spans="1:58" s="334" customFormat="1" ht="18.75" x14ac:dyDescent="0.25">
      <c r="A143" s="333"/>
      <c r="B143" s="897" t="s">
        <v>225</v>
      </c>
      <c r="C143" s="1170"/>
      <c r="D143" s="1170"/>
      <c r="E143" s="1170"/>
      <c r="F143" s="1169"/>
      <c r="G143" s="1170"/>
      <c r="H143" s="1170"/>
      <c r="I143" s="1170"/>
      <c r="J143" s="849"/>
      <c r="K143" s="1170"/>
      <c r="L143" s="849"/>
      <c r="M143" s="849"/>
      <c r="N143" s="849"/>
      <c r="O143" s="1170"/>
      <c r="P143" s="849"/>
      <c r="Q143" s="1170"/>
      <c r="R143" s="849"/>
      <c r="S143" s="1170"/>
      <c r="T143" s="849"/>
      <c r="U143" s="1170"/>
      <c r="V143" s="849"/>
      <c r="W143" s="1170"/>
      <c r="X143" s="849"/>
      <c r="Y143" s="849"/>
      <c r="Z143" s="849"/>
      <c r="AA143" s="1170"/>
      <c r="AB143" s="849"/>
      <c r="AC143" s="1170"/>
      <c r="AD143" s="849"/>
      <c r="AE143" s="1170"/>
      <c r="AF143" s="849"/>
      <c r="AG143" s="1170"/>
      <c r="AH143" s="849"/>
      <c r="AI143" s="1170"/>
      <c r="AJ143" s="849"/>
      <c r="AK143" s="1170"/>
      <c r="AL143" s="849"/>
      <c r="AM143" s="849"/>
      <c r="AN143" s="849"/>
      <c r="AO143" s="1170"/>
      <c r="AP143" s="849"/>
      <c r="AQ143" s="1170"/>
      <c r="AR143" s="849"/>
      <c r="AS143" s="1170"/>
      <c r="AT143" s="849"/>
      <c r="AU143" s="1170"/>
      <c r="AV143" s="849"/>
      <c r="AW143" s="1170"/>
      <c r="AX143" s="849"/>
      <c r="AY143" s="1170"/>
      <c r="AZ143" s="849"/>
      <c r="BA143" s="849"/>
      <c r="BB143" s="849"/>
      <c r="BC143" s="1170"/>
      <c r="BD143" s="849"/>
      <c r="BE143" s="1170"/>
      <c r="BF143" s="849"/>
    </row>
    <row r="144" spans="1:58" x14ac:dyDescent="0.25">
      <c r="B144" s="28" t="s">
        <v>230</v>
      </c>
      <c r="C144" s="33" t="s">
        <v>52</v>
      </c>
      <c r="D144" s="978">
        <v>1</v>
      </c>
      <c r="E144" s="978">
        <v>1</v>
      </c>
      <c r="F144" s="230">
        <v>0.8589</v>
      </c>
      <c r="G144" s="978">
        <v>1</v>
      </c>
      <c r="H144" s="225">
        <v>0.8640217</v>
      </c>
      <c r="I144" s="245">
        <f>+((E144*E$18)+(G$18*G144))/I$18</f>
        <v>1</v>
      </c>
      <c r="J144" s="245">
        <f>+((F144*F$18)+(H$18*H144))/J$18</f>
        <v>0.86150956797433187</v>
      </c>
      <c r="K144" s="118">
        <v>1</v>
      </c>
      <c r="L144" s="225">
        <v>0.87303370786516843</v>
      </c>
      <c r="M144" s="261">
        <f>+((I144*I$18)+(K$18*K144))/M$18</f>
        <v>1</v>
      </c>
      <c r="N144" s="261">
        <f>+((J144*J$18)+(L$18*L144))/N$18</f>
        <v>0.86533441883339834</v>
      </c>
      <c r="O144" s="118">
        <v>1</v>
      </c>
      <c r="P144" s="308">
        <v>0.8776086956521737</v>
      </c>
      <c r="Q144" s="245">
        <f>+((M144*M$18)+(O$18*O144))/Q$18</f>
        <v>1</v>
      </c>
      <c r="R144" s="245">
        <f>+((N144*N$18)+(P$18*P144))/R$18</f>
        <v>0.86841483690919397</v>
      </c>
      <c r="S144" s="118">
        <v>1</v>
      </c>
      <c r="T144" s="308">
        <v>0.79348387096774187</v>
      </c>
      <c r="U144" s="245">
        <f>+((Q144*Q$18)+(S$18*S144))/U$18</f>
        <v>1</v>
      </c>
      <c r="V144" s="245">
        <f>+((R144*R$18)+(T$18*T144))/V$18</f>
        <v>0.85286485574559345</v>
      </c>
      <c r="W144" s="118">
        <v>1</v>
      </c>
      <c r="X144" s="308">
        <v>0.82977777777777773</v>
      </c>
      <c r="Y144" s="261">
        <f>+((O144*O$18)+(S144*S$18)+(W$18*W144))/Y$18</f>
        <v>1</v>
      </c>
      <c r="Z144" s="261">
        <f>+((P144*P$18)+(T144*T$18)+(X$18*X144))/Z$18</f>
        <v>0.83304266670781624</v>
      </c>
      <c r="AA144" s="1146">
        <f>+((U144*U$18)+(W$18*W144))/AA$18</f>
        <v>1</v>
      </c>
      <c r="AB144" s="1146">
        <f>+((V144*V$18)+(X$18*X144))/AB$18</f>
        <v>0.84901166696908736</v>
      </c>
      <c r="AC144" s="118">
        <v>1</v>
      </c>
      <c r="AD144" s="308">
        <v>0.67989247311827994</v>
      </c>
      <c r="AE144" s="245">
        <f>+((AA144*AA$18)+(AC$18*AC144))/AE$18</f>
        <v>1</v>
      </c>
      <c r="AF144" s="245">
        <f>+((AB144*AB$18)+(AD$18*AD144))/AF$18</f>
        <v>0.82415274894932045</v>
      </c>
      <c r="AG144" s="118">
        <v>1</v>
      </c>
      <c r="AH144" s="308">
        <v>0.6561111111111112</v>
      </c>
      <c r="AI144" s="245">
        <f>+((AE144*AE$18)+(AG$18*AG144))/AI$18</f>
        <v>1</v>
      </c>
      <c r="AJ144" s="245">
        <f>+((AF144*AF$18)+(AH$18*AH144))/AJ$18</f>
        <v>0.80320768318003166</v>
      </c>
      <c r="AK144" s="118">
        <v>1</v>
      </c>
      <c r="AL144" s="308">
        <v>0.627282608695652</v>
      </c>
      <c r="AM144" s="261">
        <f>+((AC144*AC$18)+(AG144*AG$18)+(AK$18*AK144))/AM$18</f>
        <v>1</v>
      </c>
      <c r="AN144" s="261">
        <f>+((AD144*AD$18)+(AH144*AH$18)+(AL$18*AL144))/AN$18</f>
        <v>0.65443308653287857</v>
      </c>
      <c r="AO144" s="245">
        <f>+((AI144*AI$18)+(AK$18*AK144))/AO$18</f>
        <v>1</v>
      </c>
      <c r="AP144" s="245">
        <f>+((AJ144*AJ$18)+(AL$18*AL144))/AP$18</f>
        <v>0.78319500420941068</v>
      </c>
      <c r="AQ144" s="118">
        <v>1</v>
      </c>
      <c r="AR144" s="308">
        <v>0.53881720430107538</v>
      </c>
      <c r="AS144" s="245">
        <f>+((AO144*AO$18)+(AQ$18*AQ144))/AS$18</f>
        <v>1</v>
      </c>
      <c r="AT144" s="245">
        <f>+((AP144*AP$18)+(AR$18*AR144))/AT$18</f>
        <v>0.7581831987800467</v>
      </c>
      <c r="AU144" s="118">
        <v>1</v>
      </c>
      <c r="AV144" s="308">
        <v>0.52786904761904763</v>
      </c>
      <c r="AW144" s="245">
        <f>+((AS144*AS$18)+(AU$18*AU144))/AW$18</f>
        <v>1</v>
      </c>
      <c r="AX144" s="245">
        <f>+((AT144*AT$18)+(AV$18*AV144))/AX$18</f>
        <v>0.73865544803993965</v>
      </c>
      <c r="AY144" s="118">
        <v>1</v>
      </c>
      <c r="AZ144" s="308">
        <v>0.51805376344086018</v>
      </c>
      <c r="BA144" s="261">
        <f>+((AQ144*AQ$18)+(AU144*AU$18)+(AY$18*AY144))/BA$18</f>
        <v>1</v>
      </c>
      <c r="BB144" s="261">
        <f>+((AR144*AR$18)+(AV144*AV$18)+(AZ$18*AZ144))/BB$18</f>
        <v>0.52825236167007572</v>
      </c>
      <c r="BC144" s="1146">
        <f>+((AM144*AM$18)+(BA$18*BA144))/BC$18</f>
        <v>1</v>
      </c>
      <c r="BD144" s="1146">
        <f>+((AN144*AN$18)+(BB$18*BB144))/BD$18</f>
        <v>0.59198277803089649</v>
      </c>
      <c r="BE144" s="245">
        <f>+((AW144*AW$18)+(AY$18*AY144))/BE$18</f>
        <v>1</v>
      </c>
      <c r="BF144" s="245">
        <f>+((AX144*AX$18)+(AZ$18*AZ144))/BF$18</f>
        <v>0.71972863810878873</v>
      </c>
    </row>
    <row r="145" spans="1:58" x14ac:dyDescent="0.25">
      <c r="B145" s="28" t="s">
        <v>231</v>
      </c>
      <c r="C145" s="33" t="s">
        <v>52</v>
      </c>
      <c r="D145" s="978" t="s">
        <v>860</v>
      </c>
      <c r="E145" s="978" t="s">
        <v>860</v>
      </c>
      <c r="F145" s="230">
        <v>13.7955555555556</v>
      </c>
      <c r="G145" s="978" t="s">
        <v>860</v>
      </c>
      <c r="H145" s="225">
        <v>13.807608699999999</v>
      </c>
      <c r="I145" s="972" t="s">
        <v>860</v>
      </c>
      <c r="J145" s="245">
        <f t="shared" ref="J145:J149" si="957">+((F145*F$18)+(H$18*H145))/J$18</f>
        <v>13.801696778144214</v>
      </c>
      <c r="K145" s="118" t="s">
        <v>860</v>
      </c>
      <c r="L145" s="225">
        <v>13.857303370786516</v>
      </c>
      <c r="M145" s="973" t="s">
        <v>860</v>
      </c>
      <c r="N145" s="261">
        <f t="shared" ref="N145:N147" si="958">+((J145*J$18)+(L$18*L145))/N$18</f>
        <v>13.820152552341016</v>
      </c>
      <c r="O145" s="118" t="s">
        <v>860</v>
      </c>
      <c r="P145" s="308">
        <v>13.781521739130433</v>
      </c>
      <c r="Q145" s="972" t="s">
        <v>860</v>
      </c>
      <c r="R145" s="245">
        <f t="shared" ref="R145:R147" si="959">+((N145*N$18)+(P$18*P145))/R$18</f>
        <v>13.810457557103941</v>
      </c>
      <c r="S145" s="118" t="s">
        <v>860</v>
      </c>
      <c r="T145" s="308">
        <v>14.03763440860215</v>
      </c>
      <c r="U145" s="972" t="s">
        <v>860</v>
      </c>
      <c r="V145" s="245">
        <f t="shared" ref="V145:V147" si="960">+((R145*R$18)+(T$18*T145))/V$18</f>
        <v>13.857602228431993</v>
      </c>
      <c r="W145" s="118" t="s">
        <v>860</v>
      </c>
      <c r="X145" s="308">
        <v>14.121111111111114</v>
      </c>
      <c r="Y145" s="973" t="s">
        <v>860</v>
      </c>
      <c r="Z145" s="261">
        <f>+((P145*P$18)+(T145*T$18)+(X$18*X145))/Z$18</f>
        <v>13.981245403386017</v>
      </c>
      <c r="AA145" s="1157" t="s">
        <v>860</v>
      </c>
      <c r="AB145" s="1146">
        <f t="shared" ref="AB145:AB147" si="961">+((V145*V$18)+(X$18*X145))/AB$18</f>
        <v>13.901581352627108</v>
      </c>
      <c r="AC145" s="118" t="s">
        <v>860</v>
      </c>
      <c r="AD145" s="308">
        <v>14.286021505376331</v>
      </c>
      <c r="AE145" s="972" t="s">
        <v>860</v>
      </c>
      <c r="AF145" s="245">
        <f t="shared" ref="AF145:AF147" si="962">+((AB145*AB$18)+(AD$18*AD145))/AF$18</f>
        <v>13.958090410074073</v>
      </c>
      <c r="AG145" s="118" t="s">
        <v>860</v>
      </c>
      <c r="AH145" s="308">
        <v>13.984222222222217</v>
      </c>
      <c r="AI145" s="972" t="s">
        <v>860</v>
      </c>
      <c r="AJ145" s="245">
        <f t="shared" ref="AJ145:AJ147" si="963">+((AF145*AF$18)+(AH$18*AH145))/AJ$18</f>
        <v>13.961347534505583</v>
      </c>
      <c r="AK145" s="118" t="s">
        <v>860</v>
      </c>
      <c r="AL145" s="308">
        <v>14.073804347826087</v>
      </c>
      <c r="AM145" s="973" t="s">
        <v>860</v>
      </c>
      <c r="AN145" s="261">
        <f>+((AD145*AD$18)+(AH145*AH$18)+(AL$18*AL145))/AN$18</f>
        <v>14.116092535927939</v>
      </c>
      <c r="AO145" s="972" t="s">
        <v>860</v>
      </c>
      <c r="AP145" s="245">
        <f t="shared" ref="AP145:AP147" si="964">+((AJ145*AJ$18)+(AL$18*AL145))/AP$18</f>
        <v>13.974140265215734</v>
      </c>
      <c r="AQ145" s="118" t="s">
        <v>860</v>
      </c>
      <c r="AR145" s="308">
        <v>14.182043010752693</v>
      </c>
      <c r="AS145" s="972" t="s">
        <v>860</v>
      </c>
      <c r="AT145" s="245">
        <f t="shared" ref="AT145:AT147" si="965">+((AP145*AP$18)+(AR$18*AR145))/AT$18</f>
        <v>13.995418887993873</v>
      </c>
      <c r="AU145" s="118" t="s">
        <v>860</v>
      </c>
      <c r="AV145" s="308">
        <v>14.160595238095235</v>
      </c>
      <c r="AW145" s="972" t="s">
        <v>860</v>
      </c>
      <c r="AX145" s="245">
        <f t="shared" ref="AX145:AX147" si="966">+((AT145*AT$18)+(AV$18*AV145))/AX$18</f>
        <v>14.00942377035425</v>
      </c>
      <c r="AY145" s="118" t="s">
        <v>860</v>
      </c>
      <c r="AZ145" s="308">
        <v>14.045698924731173</v>
      </c>
      <c r="BA145" s="973" t="s">
        <v>860</v>
      </c>
      <c r="BB145" s="261">
        <f>+((AR145*AR$18)+(AV145*AV$18)+(AZ$18*AZ145))/BB$18</f>
        <v>14.128375052430059</v>
      </c>
      <c r="BC145" s="1157" t="s">
        <v>860</v>
      </c>
      <c r="BD145" s="1146">
        <f>+((AN145*AN$18)+(BB$18*BB145))/BD$18</f>
        <v>14.122171490899643</v>
      </c>
      <c r="BE145" s="972" t="s">
        <v>860</v>
      </c>
      <c r="BF145" s="245">
        <f t="shared" ref="BF145:BF147" si="967">+((AX145*AX$18)+(AZ$18*AZ145))/BF$18</f>
        <v>14.012536044647906</v>
      </c>
    </row>
    <row r="146" spans="1:58" x14ac:dyDescent="0.25">
      <c r="B146" s="28" t="s">
        <v>232</v>
      </c>
      <c r="C146" s="33" t="s">
        <v>52</v>
      </c>
      <c r="D146" s="978">
        <v>86.5</v>
      </c>
      <c r="E146" s="978">
        <v>86.5</v>
      </c>
      <c r="F146" s="230">
        <v>88.896000000000001</v>
      </c>
      <c r="G146" s="978">
        <v>86.5</v>
      </c>
      <c r="H146" s="225">
        <v>89.144155799999993</v>
      </c>
      <c r="I146" s="245">
        <f t="shared" ref="I146:I149" si="968">+((E146*E$18)+(G$18*G146))/I$18</f>
        <v>86.5</v>
      </c>
      <c r="J146" s="245">
        <f t="shared" si="957"/>
        <v>89.022438375602775</v>
      </c>
      <c r="K146" s="118">
        <v>86.5</v>
      </c>
      <c r="L146" s="225">
        <v>89.09999999999998</v>
      </c>
      <c r="M146" s="261">
        <f t="shared" ref="M146:M149" si="969">+((I146*I$18)+(K$18*K146))/M$18</f>
        <v>86.500000000000014</v>
      </c>
      <c r="N146" s="261">
        <f t="shared" si="958"/>
        <v>89.048181003557346</v>
      </c>
      <c r="O146" s="118">
        <v>86.5</v>
      </c>
      <c r="P146" s="308">
        <v>89.485937499999991</v>
      </c>
      <c r="Q146" s="245">
        <f t="shared" ref="Q146:Q149" si="970">+((M146*M$18)+(O$18*O146))/Q$18</f>
        <v>86.5</v>
      </c>
      <c r="R146" s="245">
        <f t="shared" si="959"/>
        <v>89.158042712263168</v>
      </c>
      <c r="S146" s="118">
        <v>86.5</v>
      </c>
      <c r="T146" s="308">
        <v>88.975000000000009</v>
      </c>
      <c r="U146" s="245">
        <f t="shared" ref="U146:U149" si="971">+((Q146*Q$18)+(S$18*S146))/U$18</f>
        <v>86.5</v>
      </c>
      <c r="V146" s="245">
        <f t="shared" si="960"/>
        <v>89.120056938396985</v>
      </c>
      <c r="W146" s="118">
        <v>86.5</v>
      </c>
      <c r="X146" s="308">
        <v>89.004687499999989</v>
      </c>
      <c r="Y146" s="261">
        <f>+((O146*O$18)+(S146*S$18)+(W$18*W146))/Y$18</f>
        <v>86.5</v>
      </c>
      <c r="Z146" s="261">
        <f>+((P146*P$18)+(T146*T$18)+(X$18*X146))/Z$18</f>
        <v>89.152282581661154</v>
      </c>
      <c r="AA146" s="1146">
        <f t="shared" ref="AA146:AA149" si="972">+((U146*U$18)+(W$18*W146))/AA$18</f>
        <v>86.5</v>
      </c>
      <c r="AB146" s="1146">
        <f t="shared" si="961"/>
        <v>89.100802001682922</v>
      </c>
      <c r="AC146" s="118">
        <v>86.5</v>
      </c>
      <c r="AD146" s="308">
        <v>88.640322580645133</v>
      </c>
      <c r="AE146" s="245">
        <f t="shared" ref="AE146:AE149" si="973">+((AA146*AA$18)+(AC$18*AC146))/AE$18</f>
        <v>86.5</v>
      </c>
      <c r="AF146" s="245">
        <f t="shared" si="962"/>
        <v>89.033115892751567</v>
      </c>
      <c r="AG146" s="118">
        <v>86.5</v>
      </c>
      <c r="AH146" s="308">
        <v>89.208524590163904</v>
      </c>
      <c r="AI146" s="245">
        <f t="shared" ref="AI146:AI149" si="974">+((AE146*AE$18)+(AG$18*AG146))/AI$18</f>
        <v>86.5</v>
      </c>
      <c r="AJ146" s="245">
        <f t="shared" si="963"/>
        <v>89.05497920443473</v>
      </c>
      <c r="AK146" s="118">
        <v>86.5</v>
      </c>
      <c r="AL146" s="308">
        <v>89.043387096774183</v>
      </c>
      <c r="AM146" s="261">
        <f>+((AC146*AC$18)+(AG146*AG$18)+(AK$18*AK146))/AM$18</f>
        <v>86.5</v>
      </c>
      <c r="AN146" s="261">
        <f>+((AD146*AD$18)+(AH146*AH$18)+(AL$18*AL146))/AN$18</f>
        <v>88.96143422433434</v>
      </c>
      <c r="AO146" s="245">
        <f t="shared" ref="AO146:AO149" si="975">+((AI146*AI$18)+(AK$18*AK146))/AO$18</f>
        <v>86.500000000000014</v>
      </c>
      <c r="AP146" s="245">
        <f t="shared" si="964"/>
        <v>89.053660523002407</v>
      </c>
      <c r="AQ146" s="118">
        <v>86.5</v>
      </c>
      <c r="AR146" s="308">
        <v>88.900153846153842</v>
      </c>
      <c r="AS146" s="245">
        <f t="shared" ref="AS146:AS149" si="976">+((AO146*AO$18)+(AQ$18*AQ146))/AS$18</f>
        <v>86.500000000000014</v>
      </c>
      <c r="AT146" s="245">
        <f t="shared" si="965"/>
        <v>89.037949279448839</v>
      </c>
      <c r="AU146" s="118">
        <v>86.5</v>
      </c>
      <c r="AV146" s="308">
        <v>88.707796610169467</v>
      </c>
      <c r="AW146" s="245">
        <f t="shared" ref="AW146:AW149" si="977">+((AS146*AS$18)+(AU$18*AU146))/AW$18</f>
        <v>86.500000000000014</v>
      </c>
      <c r="AX146" s="245">
        <f t="shared" si="966"/>
        <v>89.009956474841005</v>
      </c>
      <c r="AY146" s="118">
        <v>86.5</v>
      </c>
      <c r="AZ146" s="308">
        <v>88.771428571428558</v>
      </c>
      <c r="BA146" s="261">
        <f>+((AQ146*AQ$18)+(AU146*AU$18)+(AY$18*AY146))/BA$18</f>
        <v>86.499999999999986</v>
      </c>
      <c r="BB146" s="261">
        <f>+((AR146*AR$18)+(AV146*AV$18)+(AZ$18*AZ146))/BB$18</f>
        <v>88.795895975930506</v>
      </c>
      <c r="BC146" s="1146">
        <f>+((AM146*AM$18)+(BA$18*BA146))/BC$18</f>
        <v>86.5</v>
      </c>
      <c r="BD146" s="1146">
        <f>+((AN146*AN$18)+(BB$18*BB146))/BD$18</f>
        <v>88.879504795787014</v>
      </c>
      <c r="BE146" s="245">
        <f t="shared" ref="BE146:BE149" si="978">+((AW146*AW$18)+(AY$18*AY146))/BE$18</f>
        <v>86.500000000000014</v>
      </c>
      <c r="BF146" s="245">
        <f t="shared" si="967"/>
        <v>88.989491661531133</v>
      </c>
    </row>
    <row r="147" spans="1:58" x14ac:dyDescent="0.25">
      <c r="B147" s="28" t="s">
        <v>233</v>
      </c>
      <c r="C147" s="33" t="s">
        <v>52</v>
      </c>
      <c r="D147" s="978">
        <v>6.2</v>
      </c>
      <c r="E147" s="978">
        <v>6.2</v>
      </c>
      <c r="F147" s="230">
        <v>5.952</v>
      </c>
      <c r="G147" s="2368">
        <v>6.2</v>
      </c>
      <c r="H147" s="296">
        <v>5.8714285999999998</v>
      </c>
      <c r="I147" s="245">
        <f t="shared" si="968"/>
        <v>6.2</v>
      </c>
      <c r="J147" s="245">
        <f t="shared" si="957"/>
        <v>5.9109478991180504</v>
      </c>
      <c r="K147" s="118">
        <v>6.2</v>
      </c>
      <c r="L147" s="225">
        <v>5.8967213114754111</v>
      </c>
      <c r="M147" s="261">
        <f t="shared" si="969"/>
        <v>6.2000000000000011</v>
      </c>
      <c r="N147" s="261">
        <f t="shared" si="958"/>
        <v>5.9062261084697258</v>
      </c>
      <c r="O147" s="118">
        <v>6.2</v>
      </c>
      <c r="P147" s="308">
        <v>5.8734374999999988</v>
      </c>
      <c r="Q147" s="245">
        <f t="shared" si="970"/>
        <v>6.2</v>
      </c>
      <c r="R147" s="245">
        <f t="shared" si="959"/>
        <v>5.8979973041416507</v>
      </c>
      <c r="S147" s="118">
        <v>6.2</v>
      </c>
      <c r="T147" s="308">
        <v>5.967187499999997</v>
      </c>
      <c r="U147" s="245">
        <f t="shared" si="971"/>
        <v>6.2</v>
      </c>
      <c r="V147" s="245">
        <f t="shared" si="960"/>
        <v>5.9123559371685328</v>
      </c>
      <c r="W147" s="118">
        <v>6.2</v>
      </c>
      <c r="X147" s="308">
        <v>5.982812499999997</v>
      </c>
      <c r="Y147" s="261">
        <f>+((O147*O$18)+(S147*S$18)+(W$18*W147))/Y$18</f>
        <v>6.2</v>
      </c>
      <c r="Z147" s="261">
        <f>+((P147*P$18)+(T147*T$18)+(X$18*X147))/Z$18</f>
        <v>5.941616201221974</v>
      </c>
      <c r="AA147" s="1146">
        <f t="shared" si="972"/>
        <v>6.2</v>
      </c>
      <c r="AB147" s="1146">
        <f t="shared" si="961"/>
        <v>5.9241150015902768</v>
      </c>
      <c r="AC147" s="118">
        <v>6.2</v>
      </c>
      <c r="AD147" s="308">
        <v>6.1161290322580619</v>
      </c>
      <c r="AE147" s="245">
        <f t="shared" si="973"/>
        <v>6.1999999999999993</v>
      </c>
      <c r="AF147" s="245">
        <f t="shared" si="962"/>
        <v>5.9523392435484448</v>
      </c>
      <c r="AG147" s="118">
        <v>6.2</v>
      </c>
      <c r="AH147" s="308">
        <v>5.9526229508196726</v>
      </c>
      <c r="AI147" s="245">
        <f t="shared" si="974"/>
        <v>6.2</v>
      </c>
      <c r="AJ147" s="245">
        <f t="shared" si="963"/>
        <v>5.9523746054238202</v>
      </c>
      <c r="AK147" s="118">
        <v>6.2</v>
      </c>
      <c r="AL147" s="308">
        <v>5.9854838709677427</v>
      </c>
      <c r="AM147" s="261">
        <f>+((AC147*AC$18)+(AG147*AG$18)+(AK$18*AK147))/AM$18</f>
        <v>6.2</v>
      </c>
      <c r="AN147" s="261">
        <f>+((AD147*AD$18)+(AH147*AH$18)+(AL$18*AL147))/AN$18</f>
        <v>6.0187958179526619</v>
      </c>
      <c r="AO147" s="245">
        <f t="shared" si="975"/>
        <v>6.2000000000000011</v>
      </c>
      <c r="AP147" s="245">
        <f t="shared" si="964"/>
        <v>5.9561410105495574</v>
      </c>
      <c r="AQ147" s="118">
        <v>6.2</v>
      </c>
      <c r="AR147" s="308">
        <v>5.9913846153846153</v>
      </c>
      <c r="AS147" s="245">
        <f t="shared" si="976"/>
        <v>6.200000000000002</v>
      </c>
      <c r="AT147" s="245">
        <f t="shared" si="965"/>
        <v>5.959748155662961</v>
      </c>
      <c r="AU147" s="118">
        <v>6.2</v>
      </c>
      <c r="AV147" s="308">
        <v>5.905593220338984</v>
      </c>
      <c r="AW147" s="245">
        <f t="shared" si="977"/>
        <v>6.200000000000002</v>
      </c>
      <c r="AX147" s="245">
        <f t="shared" si="966"/>
        <v>5.9551564965181694</v>
      </c>
      <c r="AY147" s="118">
        <v>6.2</v>
      </c>
      <c r="AZ147" s="308">
        <v>5.8850793650793625</v>
      </c>
      <c r="BA147" s="261">
        <f>+((AQ147*AQ$18)+(AU147*AU$18)+(AY$18*AY147))/BA$18</f>
        <v>6.2</v>
      </c>
      <c r="BB147" s="261">
        <f>+((AR147*AR$18)+(AV147*AV$18)+(AZ$18*AZ147))/BB$18</f>
        <v>5.9280347640944777</v>
      </c>
      <c r="BC147" s="1146">
        <f>+((AM147*AM$18)+(BA$18*BA147))/BC$18</f>
        <v>6.2</v>
      </c>
      <c r="BD147" s="1146">
        <f>+((AN147*AN$18)+(BB$18*BB147))/BD$18</f>
        <v>5.973875678053548</v>
      </c>
      <c r="BE147" s="245">
        <f t="shared" si="978"/>
        <v>6.2000000000000028</v>
      </c>
      <c r="BF147" s="245">
        <f t="shared" si="967"/>
        <v>5.9491441374118779</v>
      </c>
    </row>
    <row r="148" spans="1:58" x14ac:dyDescent="0.25">
      <c r="B148" s="28" t="s">
        <v>234</v>
      </c>
      <c r="C148" s="33" t="s">
        <v>52</v>
      </c>
      <c r="D148" s="978">
        <v>66</v>
      </c>
      <c r="E148" s="978">
        <v>66</v>
      </c>
      <c r="F148" s="230">
        <v>66.483333333333306</v>
      </c>
      <c r="G148" s="978">
        <v>66</v>
      </c>
      <c r="H148" s="225">
        <v>66.7</v>
      </c>
      <c r="I148" s="245">
        <f t="shared" si="968"/>
        <v>66</v>
      </c>
      <c r="J148" s="245">
        <f>+((F148*F$18)+(H$18*H148))/J$18</f>
        <v>66.59372761539565</v>
      </c>
      <c r="K148" s="118">
        <v>66</v>
      </c>
      <c r="L148" s="225">
        <v>66.625</v>
      </c>
      <c r="M148" s="261">
        <f t="shared" si="969"/>
        <v>66</v>
      </c>
      <c r="N148" s="261">
        <f>+((J148*J$18)+(L$18*L148))/N$18</f>
        <v>66.604106889532545</v>
      </c>
      <c r="O148" s="118">
        <v>66</v>
      </c>
      <c r="P148" s="308">
        <v>66.469230769230776</v>
      </c>
      <c r="Q148" s="245">
        <f t="shared" si="970"/>
        <v>66</v>
      </c>
      <c r="R148" s="245">
        <f>+((N148*N$18)+(P$18*P148))/R$18</f>
        <v>66.570257657915477</v>
      </c>
      <c r="S148" s="118">
        <v>66</v>
      </c>
      <c r="T148" s="308">
        <v>66.564285714285717</v>
      </c>
      <c r="U148" s="245">
        <f t="shared" si="971"/>
        <v>66</v>
      </c>
      <c r="V148" s="245">
        <f>+((R148*R$18)+(T$18*T148))/V$18</f>
        <v>66.569018335696853</v>
      </c>
      <c r="W148" s="118">
        <v>66</v>
      </c>
      <c r="X148" s="308">
        <v>66.408333333333346</v>
      </c>
      <c r="Y148" s="261">
        <f>+((O148*O$18)+(S148*S$18)+(W$18*W148))/Y$18</f>
        <v>66</v>
      </c>
      <c r="Z148" s="261">
        <f>+((P148*P$18)+(T148*T$18)+(X$18*X148))/Z$18</f>
        <v>66.481635405892717</v>
      </c>
      <c r="AA148" s="1146">
        <f t="shared" si="972"/>
        <v>66</v>
      </c>
      <c r="AB148" s="1146">
        <f>+((V148*V$18)+(X$18*X148))/AB$18</f>
        <v>66.542200318773141</v>
      </c>
      <c r="AC148" s="118">
        <v>66</v>
      </c>
      <c r="AD148" s="308">
        <v>66.300000000000011</v>
      </c>
      <c r="AE148" s="245">
        <f t="shared" si="973"/>
        <v>66</v>
      </c>
      <c r="AF148" s="245">
        <f>+((AB148*AB$18)+(AD$18*AD148))/AF$18</f>
        <v>66.506599168296674</v>
      </c>
      <c r="AG148" s="118">
        <v>66</v>
      </c>
      <c r="AH148" s="308">
        <v>66.743333333333339</v>
      </c>
      <c r="AI148" s="245">
        <f t="shared" si="974"/>
        <v>66</v>
      </c>
      <c r="AJ148" s="245">
        <f>+((AF148*AF$18)+(AH$18*AH148))/AJ$18</f>
        <v>66.536106216194554</v>
      </c>
      <c r="AK148" s="118">
        <v>66</v>
      </c>
      <c r="AL148" s="308">
        <v>66.954285714285703</v>
      </c>
      <c r="AM148" s="261">
        <f>+((AC148*AC$18)+(AG148*AG$18)+(AK$18*AK148))/AM$18</f>
        <v>66</v>
      </c>
      <c r="AN148" s="261">
        <f>+((AD148*AD$18)+(AH148*AH$18)+(AL$18*AL148))/AN$18</f>
        <v>66.664820816463489</v>
      </c>
      <c r="AO148" s="245">
        <f t="shared" si="975"/>
        <v>66.000000000000014</v>
      </c>
      <c r="AP148" s="245">
        <f>+((AJ148*AJ$18)+(AL$18*AL148))/AP$18</f>
        <v>66.583676990695693</v>
      </c>
      <c r="AQ148" s="118">
        <v>66</v>
      </c>
      <c r="AR148" s="308">
        <v>66.718181818181833</v>
      </c>
      <c r="AS148" s="245">
        <f t="shared" si="976"/>
        <v>66.000000000000014</v>
      </c>
      <c r="AT148" s="245">
        <f>+((AP148*AP$18)+(AR$18*AR148))/AT$18</f>
        <v>66.597443415369526</v>
      </c>
      <c r="AU148" s="118">
        <v>66</v>
      </c>
      <c r="AV148" s="308">
        <v>66.858333333333334</v>
      </c>
      <c r="AW148" s="245">
        <f t="shared" si="977"/>
        <v>66</v>
      </c>
      <c r="AX148" s="245">
        <f>+((AT148*AT$18)+(AV$18*AV148))/AX$18</f>
        <v>66.619563607563194</v>
      </c>
      <c r="AY148" s="118">
        <v>66</v>
      </c>
      <c r="AZ148" s="308">
        <v>66.686666666666682</v>
      </c>
      <c r="BA148" s="261">
        <f>+((AQ148*AQ$18)+(AU148*AU$18)+(AY$18*AY148))/BA$18</f>
        <v>66</v>
      </c>
      <c r="BB148" s="261">
        <f>+((AR148*AR$18)+(AV148*AV$18)+(AZ$18*AZ148))/BB$18</f>
        <v>66.750959033361411</v>
      </c>
      <c r="BC148" s="1146">
        <f>+((AM148*AM$18)+(BA$18*BA148))/BC$18</f>
        <v>66</v>
      </c>
      <c r="BD148" s="1146">
        <f>+((AN148*AN$18)+(BB$18*BB148))/BD$18</f>
        <v>66.70745298730364</v>
      </c>
      <c r="BE148" s="245">
        <f t="shared" si="978"/>
        <v>66</v>
      </c>
      <c r="BF148" s="245">
        <f>+((AX148*AX$18)+(AZ$18*AZ148))/BF$18</f>
        <v>66.625320802245355</v>
      </c>
    </row>
    <row r="149" spans="1:58" x14ac:dyDescent="0.25">
      <c r="B149" s="28" t="s">
        <v>235</v>
      </c>
      <c r="C149" s="33" t="s">
        <v>52</v>
      </c>
      <c r="D149" s="978">
        <v>21</v>
      </c>
      <c r="E149" s="978">
        <v>21</v>
      </c>
      <c r="F149" s="230">
        <v>20.558333333333302</v>
      </c>
      <c r="G149" s="978">
        <v>21</v>
      </c>
      <c r="H149" s="225">
        <v>20.175000000000001</v>
      </c>
      <c r="I149" s="245">
        <f t="shared" si="968"/>
        <v>21</v>
      </c>
      <c r="J149" s="245">
        <f t="shared" si="957"/>
        <v>20.363020372761525</v>
      </c>
      <c r="K149" s="118">
        <v>21</v>
      </c>
      <c r="L149" s="225">
        <v>19.975000000000001</v>
      </c>
      <c r="M149" s="261">
        <f t="shared" si="969"/>
        <v>21</v>
      </c>
      <c r="N149" s="261">
        <f t="shared" ref="N149" si="979">+((J149*J$18)+(L$18*L149))/N$18</f>
        <v>20.234236787162025</v>
      </c>
      <c r="O149" s="118">
        <v>21</v>
      </c>
      <c r="P149" s="308">
        <v>20.115384615384617</v>
      </c>
      <c r="Q149" s="245">
        <f t="shared" si="970"/>
        <v>21</v>
      </c>
      <c r="R149" s="245">
        <f t="shared" ref="R149" si="980">+((N149*N$18)+(P$18*P149))/R$18</f>
        <v>20.204409011261561</v>
      </c>
      <c r="S149" s="118">
        <v>21</v>
      </c>
      <c r="T149" s="308">
        <v>20.207142857142859</v>
      </c>
      <c r="U149" s="245">
        <f t="shared" si="971"/>
        <v>21</v>
      </c>
      <c r="V149" s="245">
        <f t="shared" ref="V149" si="981">+((R149*R$18)+(T$18*T149))/V$18</f>
        <v>20.204976350163765</v>
      </c>
      <c r="W149" s="118">
        <v>21</v>
      </c>
      <c r="X149" s="308">
        <v>20.55</v>
      </c>
      <c r="Y149" s="261">
        <f>+((O149*O$18)+(S149*S$18)+(W$18*W149))/Y$18</f>
        <v>21</v>
      </c>
      <c r="Z149" s="261">
        <f>+((P149*P$18)+(T149*T$18)+(X$18*X149))/Z$18</f>
        <v>20.290269644270097</v>
      </c>
      <c r="AA149" s="1146">
        <f t="shared" si="972"/>
        <v>21</v>
      </c>
      <c r="AB149" s="1146">
        <f t="shared" ref="AB149" si="982">+((V149*V$18)+(X$18*X149))/AB$18</f>
        <v>20.262560131750654</v>
      </c>
      <c r="AC149" s="118">
        <v>21</v>
      </c>
      <c r="AD149" s="308">
        <v>20.66363636363636</v>
      </c>
      <c r="AE149" s="245">
        <f t="shared" si="973"/>
        <v>21</v>
      </c>
      <c r="AF149" s="245">
        <f t="shared" ref="AF149" si="983">+((AB149*AB$18)+(AD$18*AD149))/AF$18</f>
        <v>20.321514535098387</v>
      </c>
      <c r="AG149" s="118">
        <v>21</v>
      </c>
      <c r="AH149" s="308">
        <v>19.995000000000001</v>
      </c>
      <c r="AI149" s="245">
        <f t="shared" si="974"/>
        <v>21.000000000000004</v>
      </c>
      <c r="AJ149" s="245">
        <f t="shared" ref="AJ149" si="984">+((AF149*AF$18)+(AH$18*AH149))/AJ$18</f>
        <v>20.280817071658706</v>
      </c>
      <c r="AK149" s="118">
        <v>21</v>
      </c>
      <c r="AL149" s="308">
        <v>20.414999999999999</v>
      </c>
      <c r="AM149" s="261">
        <f>+((AC149*AC$18)+(AG149*AG$18)+(AK$18*AK149))/AM$18</f>
        <v>21</v>
      </c>
      <c r="AN149" s="261">
        <f>+((AD149*AD$18)+(AH149*AH$18)+(AL$18*AL149))/AN$18</f>
        <v>20.361661185367691</v>
      </c>
      <c r="AO149" s="245">
        <f t="shared" si="975"/>
        <v>21.000000000000007</v>
      </c>
      <c r="AP149" s="245">
        <f t="shared" ref="AP149" si="985">+((AJ149*AJ$18)+(AL$18*AL149))/AP$18</f>
        <v>20.29608129636404</v>
      </c>
      <c r="AQ149" s="118">
        <v>21</v>
      </c>
      <c r="AR149" s="308">
        <v>21.487272727272728</v>
      </c>
      <c r="AS149" s="245">
        <f t="shared" si="976"/>
        <v>21.000000000000007</v>
      </c>
      <c r="AT149" s="245">
        <f t="shared" ref="AT149" si="986">+((AP149*AP$18)+(AR$18*AR149))/AT$18</f>
        <v>20.417998460321606</v>
      </c>
      <c r="AU149" s="118">
        <v>21</v>
      </c>
      <c r="AV149" s="308">
        <v>20.32</v>
      </c>
      <c r="AW149" s="245">
        <f t="shared" si="977"/>
        <v>21.000000000000004</v>
      </c>
      <c r="AX149" s="245">
        <f t="shared" ref="AX149" si="987">+((AT149*AT$18)+(AV$18*AV149))/AX$18</f>
        <v>20.409689420271622</v>
      </c>
      <c r="AY149" s="118">
        <v>21</v>
      </c>
      <c r="AZ149" s="308">
        <v>20.151666666666667</v>
      </c>
      <c r="BA149" s="261">
        <f>+((AQ149*AQ$18)+(AU149*AU$18)+(AY$18*AY149))/BA$18</f>
        <v>20.999999999999996</v>
      </c>
      <c r="BB149" s="261">
        <f>+((AR149*AR$18)+(AV149*AV$18)+(AZ$18*AZ149))/BB$18</f>
        <v>20.663516674128001</v>
      </c>
      <c r="BC149" s="1146">
        <f>+((AM149*AM$18)+(BA$18*BA149))/BC$18</f>
        <v>21</v>
      </c>
      <c r="BD149" s="1146">
        <f>+((AN149*AN$18)+(BB$18*BB149))/BD$18</f>
        <v>20.51105776251206</v>
      </c>
      <c r="BE149" s="245">
        <f t="shared" si="978"/>
        <v>21.000000000000004</v>
      </c>
      <c r="BF149" s="245">
        <f t="shared" ref="BF149" si="988">+((AX149*AX$18)+(AZ$18*AZ149))/BF$18</f>
        <v>20.387552020803128</v>
      </c>
    </row>
    <row r="150" spans="1:58" s="334" customFormat="1" x14ac:dyDescent="0.25">
      <c r="A150" s="333"/>
      <c r="B150" s="2353" t="s">
        <v>5</v>
      </c>
      <c r="C150" s="1177"/>
      <c r="D150" s="1177"/>
      <c r="E150" s="1177"/>
      <c r="F150" s="1176"/>
      <c r="G150" s="1177"/>
      <c r="H150" s="1177"/>
      <c r="I150" s="1177"/>
      <c r="J150" s="1052"/>
      <c r="K150" s="1052"/>
      <c r="L150" s="1052"/>
      <c r="M150" s="1052"/>
      <c r="N150" s="1052"/>
      <c r="O150" s="1052"/>
      <c r="P150" s="1052"/>
      <c r="Q150" s="1177"/>
      <c r="R150" s="1052"/>
      <c r="S150" s="1052"/>
      <c r="T150" s="1052"/>
      <c r="U150" s="1177"/>
      <c r="V150" s="1052"/>
      <c r="W150" s="1052"/>
      <c r="X150" s="1052"/>
      <c r="Y150" s="1052"/>
      <c r="Z150" s="1052"/>
      <c r="AA150" s="1177"/>
      <c r="AB150" s="1052"/>
      <c r="AC150" s="1052"/>
      <c r="AD150" s="1052"/>
      <c r="AE150" s="1177"/>
      <c r="AF150" s="1052"/>
      <c r="AG150" s="1052"/>
      <c r="AH150" s="1052"/>
      <c r="AI150" s="1177"/>
      <c r="AJ150" s="1052"/>
      <c r="AK150" s="1052"/>
      <c r="AL150" s="1052"/>
      <c r="AM150" s="1052"/>
      <c r="AN150" s="1052"/>
      <c r="AO150" s="1177"/>
      <c r="AP150" s="1052"/>
      <c r="AQ150" s="1052"/>
      <c r="AR150" s="1052"/>
      <c r="AS150" s="1177"/>
      <c r="AT150" s="1052"/>
      <c r="AU150" s="1052"/>
      <c r="AV150" s="1052"/>
      <c r="AW150" s="1177"/>
      <c r="AX150" s="1052"/>
      <c r="AY150" s="1052"/>
      <c r="AZ150" s="1052"/>
      <c r="BA150" s="1052"/>
      <c r="BB150" s="1052"/>
      <c r="BC150" s="1177"/>
      <c r="BD150" s="1052"/>
      <c r="BE150" s="1177"/>
      <c r="BF150" s="1052"/>
    </row>
    <row r="151" spans="1:58" x14ac:dyDescent="0.25">
      <c r="B151" s="2354" t="s">
        <v>244</v>
      </c>
      <c r="C151" s="33" t="s">
        <v>239</v>
      </c>
      <c r="D151" s="1101">
        <f>+(D152*D14)/1000000</f>
        <v>387.62014499999998</v>
      </c>
      <c r="E151" s="2051">
        <f>+(E152*E14)/1000000</f>
        <v>31.859190000000005</v>
      </c>
      <c r="F151" s="452">
        <v>29.742000000000001</v>
      </c>
      <c r="G151" s="2051">
        <f>+(G152*G14)/1000000</f>
        <v>32.921163000000007</v>
      </c>
      <c r="H151" s="1500">
        <v>30.417999999999999</v>
      </c>
      <c r="I151" s="2251">
        <f>+E151+G151</f>
        <v>64.780353000000019</v>
      </c>
      <c r="J151" s="209">
        <f>+F151+H151</f>
        <v>60.16</v>
      </c>
      <c r="K151" s="2051">
        <f>+(K152*K14)/1000000</f>
        <v>31.859190000000005</v>
      </c>
      <c r="L151" s="915">
        <v>31.029</v>
      </c>
      <c r="M151" s="1168">
        <f>+I151+K151</f>
        <v>96.639543000000032</v>
      </c>
      <c r="N151" s="195">
        <f>+J151+L151</f>
        <v>91.188999999999993</v>
      </c>
      <c r="O151" s="2051">
        <f>+(O152*O14)/1000000</f>
        <v>32.921163000000007</v>
      </c>
      <c r="P151" s="1043">
        <v>31.09</v>
      </c>
      <c r="Q151" s="2251">
        <f>+M151+O151</f>
        <v>129.56070600000004</v>
      </c>
      <c r="R151" s="209">
        <f>+N151+P151</f>
        <v>122.279</v>
      </c>
      <c r="S151" s="2051">
        <f>+(S152*S14)/1000000</f>
        <v>32.921163000000007</v>
      </c>
      <c r="T151" s="915">
        <v>32.859000000000002</v>
      </c>
      <c r="U151" s="2251">
        <f>+Q151+S151</f>
        <v>162.48186900000005</v>
      </c>
      <c r="V151" s="209">
        <f>+R151+T151</f>
        <v>155.13800000000001</v>
      </c>
      <c r="W151" s="2051">
        <f>+(W152*W14)/1000000</f>
        <v>31.859190000000005</v>
      </c>
      <c r="X151" s="915">
        <v>31.956</v>
      </c>
      <c r="Y151" s="1168">
        <f>+O151+S151+W151</f>
        <v>97.701516000000026</v>
      </c>
      <c r="Z151" s="1168">
        <f>+P151+T151+X151</f>
        <v>95.905000000000001</v>
      </c>
      <c r="AA151" s="2253">
        <f>+U151+W151</f>
        <v>194.34105900000006</v>
      </c>
      <c r="AB151" s="1147">
        <f>+V151+X151</f>
        <v>187.09399999999999</v>
      </c>
      <c r="AC151" s="2051">
        <f>+(AC152*AC14)/1000000</f>
        <v>32.921163000000007</v>
      </c>
      <c r="AD151" s="915">
        <v>33.082999999999998</v>
      </c>
      <c r="AE151" s="2251">
        <f>+AA151+AC151</f>
        <v>227.26222200000007</v>
      </c>
      <c r="AF151" s="209">
        <f>+AB151+AD151</f>
        <v>220.17699999999999</v>
      </c>
      <c r="AG151" s="2051">
        <f>+(AG152*AG14)/1000000</f>
        <v>31.859190000000005</v>
      </c>
      <c r="AH151" s="915">
        <v>32.048000000000002</v>
      </c>
      <c r="AI151" s="2251">
        <f>+AE151+AG151</f>
        <v>259.12141200000008</v>
      </c>
      <c r="AJ151" s="209">
        <f>+AF151+AH151</f>
        <v>252.22499999999999</v>
      </c>
      <c r="AK151" s="2051">
        <f>+(AK152*AK14)/1000000</f>
        <v>32.921163000000007</v>
      </c>
      <c r="AL151" s="915">
        <v>33.341000000000001</v>
      </c>
      <c r="AM151" s="1168">
        <f>+AC151+AG151+AK151</f>
        <v>97.701516000000026</v>
      </c>
      <c r="AN151" s="1168">
        <f>+AD151+AH151+AL151</f>
        <v>98.472000000000008</v>
      </c>
      <c r="AO151" s="2251">
        <f>+AI151+AK151</f>
        <v>292.04257500000006</v>
      </c>
      <c r="AP151" s="209">
        <f>+AJ151+AL151</f>
        <v>285.56599999999997</v>
      </c>
      <c r="AQ151" s="2051">
        <f>+(AQ152*AQ14)/1000000</f>
        <v>32.921163000000007</v>
      </c>
      <c r="AR151" s="915">
        <v>33.372</v>
      </c>
      <c r="AS151" s="2251">
        <f>+AO151+AQ151</f>
        <v>324.96373800000003</v>
      </c>
      <c r="AT151" s="209">
        <f>+AP151+AR151</f>
        <v>318.93799999999999</v>
      </c>
      <c r="AU151" s="2051">
        <f>+(AU152*AU14)/1000000</f>
        <v>29.735244000000005</v>
      </c>
      <c r="AV151" s="915">
        <v>29.75</v>
      </c>
      <c r="AW151" s="2251">
        <f>+AS151+AU151</f>
        <v>354.69898200000006</v>
      </c>
      <c r="AX151" s="209">
        <f>+AT151+AV151</f>
        <v>348.68799999999999</v>
      </c>
      <c r="AY151" s="2051">
        <f>+(AY152*AY14)/1000000</f>
        <v>32.921163000000007</v>
      </c>
      <c r="AZ151" s="915">
        <v>33.154000000000003</v>
      </c>
      <c r="BA151" s="1168">
        <f>+AQ151+AU151+AY151</f>
        <v>95.577570000000023</v>
      </c>
      <c r="BB151" s="1168">
        <f>+AR151+AV151+AZ151</f>
        <v>96.27600000000001</v>
      </c>
      <c r="BC151" s="2253">
        <f>+AM151+BA151</f>
        <v>193.27908600000006</v>
      </c>
      <c r="BD151" s="1147">
        <f>+AN151+BB151</f>
        <v>194.74800000000002</v>
      </c>
      <c r="BE151" s="2251">
        <f>+AW151+AY151</f>
        <v>387.62014500000009</v>
      </c>
      <c r="BF151" s="209">
        <f>+AX151+AZ151</f>
        <v>381.84199999999998</v>
      </c>
    </row>
    <row r="152" spans="1:58" x14ac:dyDescent="0.25">
      <c r="B152" s="2356" t="s">
        <v>245</v>
      </c>
      <c r="C152" s="33" t="s">
        <v>240</v>
      </c>
      <c r="D152" s="823">
        <v>340</v>
      </c>
      <c r="E152" s="823">
        <v>340</v>
      </c>
      <c r="F152" s="823">
        <f>+(F151*1000000)/F14</f>
        <v>341.4321391856576</v>
      </c>
      <c r="G152" s="1109">
        <v>340</v>
      </c>
      <c r="H152" s="306">
        <f>+(H151*1000000)/H14</f>
        <v>333.60568987546549</v>
      </c>
      <c r="I152" s="143">
        <f>+(I151*1000000)/I14</f>
        <v>340.00000000000011</v>
      </c>
      <c r="J152" s="192">
        <f>+(J151*1000000)/J14</f>
        <v>337.42958415000811</v>
      </c>
      <c r="K152" s="823">
        <v>340</v>
      </c>
      <c r="L152" s="293">
        <f>+(L151*1000000)/L14</f>
        <v>344.5993445404842</v>
      </c>
      <c r="M152" s="167">
        <f>+(M151*1000000)/M14</f>
        <v>340.00000000000011</v>
      </c>
      <c r="N152" s="294">
        <f>+(N151*1000000)/N14</f>
        <v>339.83552138156824</v>
      </c>
      <c r="O152" s="823">
        <v>340</v>
      </c>
      <c r="P152" s="1195">
        <f>+(P151*1000000)/P14</f>
        <v>342.04094699905551</v>
      </c>
      <c r="Q152" s="143">
        <f>+(Q151*1000000)/Q14</f>
        <v>340.00000000000011</v>
      </c>
      <c r="R152" s="192">
        <f>+(R151*1000000)/R14</f>
        <v>340.39356030691346</v>
      </c>
      <c r="S152" s="823">
        <v>340</v>
      </c>
      <c r="T152" s="1195">
        <f>+(T151*1000000)/T14</f>
        <v>342.93371711908128</v>
      </c>
      <c r="U152" s="143">
        <f>+(U151*1000000)/U14</f>
        <v>340.00000000000011</v>
      </c>
      <c r="V152" s="192">
        <f>+(V151*1000000)/V14</f>
        <v>340.92843212543625</v>
      </c>
      <c r="W152" s="823">
        <v>340</v>
      </c>
      <c r="X152" s="1195">
        <f>+(X151*1000000)/X14</f>
        <v>344.04499414318195</v>
      </c>
      <c r="Y152" s="167">
        <f>+(Y151*1000000)/Y14</f>
        <v>340.00000000000006</v>
      </c>
      <c r="Z152" s="294">
        <f>+(Z151*1000000)/Z14</f>
        <v>343.01265289465772</v>
      </c>
      <c r="AA152" s="1789">
        <f>+(AA151*1000000)/AA14</f>
        <v>340.00000000000006</v>
      </c>
      <c r="AB152" s="1159">
        <f>+(AB151*1000000)/AB14</f>
        <v>341.4567420569295</v>
      </c>
      <c r="AC152" s="823">
        <v>340</v>
      </c>
      <c r="AD152" s="1195">
        <f>+(AD151*1000000)/AD14</f>
        <v>342.22896227547142</v>
      </c>
      <c r="AE152" s="143">
        <f>+(AE151*1000000)/AE14</f>
        <v>340.00000000000006</v>
      </c>
      <c r="AF152" s="192">
        <f>+(AF151*1000000)/AF14</f>
        <v>341.57255052198809</v>
      </c>
      <c r="AG152" s="823">
        <v>340</v>
      </c>
      <c r="AH152" s="1195">
        <f>+(AH151*1000000)/AH14</f>
        <v>342.7073107613603</v>
      </c>
      <c r="AI152" s="143">
        <f>+(AI151*1000000)/AI14</f>
        <v>340.00000000000011</v>
      </c>
      <c r="AJ152" s="192">
        <f>+(AJ151*1000000)/AJ14</f>
        <v>341.71631753842325</v>
      </c>
      <c r="AK152" s="823">
        <v>340</v>
      </c>
      <c r="AL152" s="1195">
        <f>+(AL151*1000000)/AL14</f>
        <v>346.48099555740299</v>
      </c>
      <c r="AM152" s="167">
        <f>+(AM151*1000000)/AM14</f>
        <v>340.00000000000006</v>
      </c>
      <c r="AN152" s="294">
        <f>+(AN151*1000000)/AN14</f>
        <v>343.81373055285258</v>
      </c>
      <c r="AO152" s="143">
        <f>+(AO151*1000000)/AO14</f>
        <v>340.00000000000006</v>
      </c>
      <c r="AP152" s="192">
        <f>+(AP151*1000000)/AP14</f>
        <v>342.2658455383434</v>
      </c>
      <c r="AQ152" s="823">
        <v>340</v>
      </c>
      <c r="AR152" s="1195">
        <f>+(AR151*1000000)/AR14</f>
        <v>345.66980516453816</v>
      </c>
      <c r="AS152" s="143">
        <f>+(AS151*1000000)/AS14</f>
        <v>340.00000000000006</v>
      </c>
      <c r="AT152" s="192">
        <f>+(AT151*1000000)/AT14</f>
        <v>342.61887439637275</v>
      </c>
      <c r="AU152" s="823">
        <v>340</v>
      </c>
      <c r="AV152" s="1195">
        <f>+(AV151*1000000)/AV14</f>
        <v>340.66029698707433</v>
      </c>
      <c r="AW152" s="143">
        <f>+(AW151*1000000)/AW14</f>
        <v>340.00000000000006</v>
      </c>
      <c r="AX152" s="192">
        <f>+(AX151*1000000)/AX14</f>
        <v>342.45089056255074</v>
      </c>
      <c r="AY152" s="823">
        <v>340</v>
      </c>
      <c r="AZ152" s="1195">
        <f>+(AZ151*1000000)/AZ14</f>
        <v>342.85152907293894</v>
      </c>
      <c r="BA152" s="167">
        <f t="shared" ref="BA152:BF152" si="989">+(BA151*1000000)/BA14</f>
        <v>340.00000000000011</v>
      </c>
      <c r="BB152" s="294">
        <f t="shared" si="989"/>
        <v>343.13923788061021</v>
      </c>
      <c r="BC152" s="1789">
        <f t="shared" si="989"/>
        <v>340.00000000000011</v>
      </c>
      <c r="BD152" s="1159">
        <f t="shared" si="989"/>
        <v>343.47995595298329</v>
      </c>
      <c r="BE152" s="143">
        <f t="shared" si="989"/>
        <v>340.00000000000011</v>
      </c>
      <c r="BF152" s="192">
        <f t="shared" si="989"/>
        <v>342.48563947404369</v>
      </c>
    </row>
    <row r="153" spans="1:58" x14ac:dyDescent="0.25">
      <c r="B153" s="2354" t="s">
        <v>246</v>
      </c>
      <c r="C153" s="33" t="s">
        <v>241</v>
      </c>
      <c r="D153" s="2357">
        <v>4225</v>
      </c>
      <c r="E153" s="2357">
        <v>4225</v>
      </c>
      <c r="F153" s="3551">
        <v>4279</v>
      </c>
      <c r="G153" s="2357">
        <v>4225</v>
      </c>
      <c r="H153" s="40">
        <v>4272.2</v>
      </c>
      <c r="I153" s="143">
        <v>4225</v>
      </c>
      <c r="J153" s="96">
        <f>+((F153*F151)+(H151*H153))/J151</f>
        <v>4275.5617952127659</v>
      </c>
      <c r="K153" s="2357">
        <v>4225</v>
      </c>
      <c r="L153" s="40">
        <v>4274.8999999999996</v>
      </c>
      <c r="M153" s="167">
        <v>4225</v>
      </c>
      <c r="N153" s="163">
        <f>+((J153*J151)+(L151*L153))/N151</f>
        <v>4275.3366052923047</v>
      </c>
      <c r="O153" s="2357">
        <v>4225</v>
      </c>
      <c r="P153" s="417">
        <v>4280</v>
      </c>
      <c r="Q153" s="143">
        <v>4225</v>
      </c>
      <c r="R153" s="96">
        <f>+((N153*N151)+(P151*P153))/R151</f>
        <v>4276.5222949157251</v>
      </c>
      <c r="S153" s="2357">
        <v>4225</v>
      </c>
      <c r="T153" s="417">
        <v>4276.7</v>
      </c>
      <c r="U153" s="143">
        <v>4225</v>
      </c>
      <c r="V153" s="96">
        <f>+((R153*R151)+(T151*T153))/V151</f>
        <v>4276.5599337364147</v>
      </c>
      <c r="W153" s="2357">
        <v>4225</v>
      </c>
      <c r="X153" s="417">
        <v>4275.8</v>
      </c>
      <c r="Y153" s="167">
        <v>4225</v>
      </c>
      <c r="Z153" s="163">
        <f>+((P153*P151)+(T153*T151)+(X151*X153))/Z151</f>
        <v>4277.4698931234034</v>
      </c>
      <c r="AA153" s="1789">
        <v>4225</v>
      </c>
      <c r="AB153" s="1118">
        <f>+((V153*V151)+(X151*X153))/AB151</f>
        <v>4276.4301356537362</v>
      </c>
      <c r="AC153" s="2357">
        <v>4225</v>
      </c>
      <c r="AD153" s="417">
        <v>4282.1000000000004</v>
      </c>
      <c r="AE153" s="143">
        <v>4225</v>
      </c>
      <c r="AF153" s="96">
        <f>+((AB153*AB151)+(AD151*AD153))/AF151</f>
        <v>4277.2820689717828</v>
      </c>
      <c r="AG153" s="2357">
        <v>4225</v>
      </c>
      <c r="AH153" s="417">
        <v>4281.4399999999996</v>
      </c>
      <c r="AI153" s="143">
        <v>4225</v>
      </c>
      <c r="AJ153" s="96">
        <f>+((AF153*AF151)+(AH151*AH153))/AJ151</f>
        <v>4277.8103804936072</v>
      </c>
      <c r="AK153" s="2357">
        <v>4225</v>
      </c>
      <c r="AL153" s="417">
        <v>4277.6000000000004</v>
      </c>
      <c r="AM153" s="167">
        <v>4225</v>
      </c>
      <c r="AN153" s="163">
        <f>+((AD153*AD151)+(AH153*AH151)+(AL151*AL153))/AN151</f>
        <v>4280.3615750670242</v>
      </c>
      <c r="AO153" s="143">
        <v>4225</v>
      </c>
      <c r="AP153" s="96">
        <f>+((AJ153*AJ151)+(AL151*AL153))/AP151</f>
        <v>4277.7858177093922</v>
      </c>
      <c r="AQ153" s="2357">
        <v>4225</v>
      </c>
      <c r="AR153" s="417">
        <v>4281.7</v>
      </c>
      <c r="AS153" s="143">
        <v>4225</v>
      </c>
      <c r="AT153" s="96">
        <f>+((AP153*AP151)+(AR151*AR153))/AT151</f>
        <v>4278.1953772206516</v>
      </c>
      <c r="AU153" s="2357">
        <v>4225</v>
      </c>
      <c r="AV153" s="417">
        <v>4279.8999999999996</v>
      </c>
      <c r="AW153" s="143">
        <v>4225</v>
      </c>
      <c r="AX153" s="96">
        <f>+((AT153*AT151)+(AV151*AV153))/AX151</f>
        <v>4278.3408153420824</v>
      </c>
      <c r="AY153" s="2357">
        <v>4225</v>
      </c>
      <c r="AZ153" s="417">
        <v>4284.8</v>
      </c>
      <c r="BA153" s="167">
        <v>4225</v>
      </c>
      <c r="BB153" s="163">
        <f>+((AR153*AR151)+(AV153*AV151)+(AZ151*AZ153))/BB151</f>
        <v>4282.211315384935</v>
      </c>
      <c r="BC153" s="1789">
        <v>4225</v>
      </c>
      <c r="BD153" s="1118">
        <f>+((AN153*AN151)+(BB151*BB153))/BD151</f>
        <v>4281.2760162877157</v>
      </c>
      <c r="BE153" s="143">
        <v>4225</v>
      </c>
      <c r="BF153" s="96">
        <f>+((AX153*AX151)+(AZ151*AZ153))/BF151</f>
        <v>4278.9016436641332</v>
      </c>
    </row>
    <row r="154" spans="1:58" x14ac:dyDescent="0.25">
      <c r="B154" s="2354" t="s">
        <v>641</v>
      </c>
      <c r="C154" s="33" t="s">
        <v>333</v>
      </c>
      <c r="D154" s="3577">
        <v>10.5186264</v>
      </c>
      <c r="E154" s="3577">
        <f>+(EMD!D21)/(24*E2)</f>
        <v>10.430426000000001</v>
      </c>
      <c r="F154" s="3577">
        <f>+(EMD!E21)/(24*F2)</f>
        <v>14.352</v>
      </c>
      <c r="G154" s="1110">
        <f>+(EMD!F21)/(24*G2)</f>
        <v>10.637288</v>
      </c>
      <c r="H154" s="3577">
        <f>+(EMD!G21)/(24*H2)</f>
        <v>12.723924731182796</v>
      </c>
      <c r="I154" s="182">
        <f>+(EMD!H21)/(24*I2)</f>
        <v>10.535552590163935</v>
      </c>
      <c r="J154" s="182">
        <f>+(EMD!I21)/(24*J2)</f>
        <v>13.524617486338798</v>
      </c>
      <c r="K154" s="1109">
        <f>+(EMD!J21)/(24*K2)</f>
        <v>10.435780400000001</v>
      </c>
      <c r="L154" s="3577">
        <f>+(EMD!K21)/(24*L2)</f>
        <v>10.092000000000001</v>
      </c>
      <c r="M154" s="962">
        <f t="shared" ref="M154:N155" si="990">+((I154*I$2)+(K154*K$2))/M$2</f>
        <v>10.502660659340661</v>
      </c>
      <c r="N154" s="962">
        <f t="shared" si="990"/>
        <v>12.392985347985348</v>
      </c>
      <c r="O154" s="1109">
        <f>+(EMD!N21)/(24*O2)</f>
        <v>10.637288</v>
      </c>
      <c r="P154" s="3577">
        <f>+(EMD!O21)/(24*P2)</f>
        <v>9.6153225806451612</v>
      </c>
      <c r="Q154" s="182">
        <f t="shared" ref="Q154:R155" si="991">+((M154*M$2)+(O154*O$2))/Q$2</f>
        <v>10.53686924590164</v>
      </c>
      <c r="R154" s="182">
        <f t="shared" si="991"/>
        <v>11.687185792349728</v>
      </c>
      <c r="S154" s="1109">
        <f>+(EMD!R21)/(24*S2)</f>
        <v>10.637288</v>
      </c>
      <c r="T154" s="3577">
        <f>+(EMD!S21)/(24*T2)</f>
        <v>10.487096774193548</v>
      </c>
      <c r="U154" s="182">
        <f t="shared" ref="U154:U155" si="992">+((Q154*Q$2)+(S154*S$2))/U$2</f>
        <v>10.557215529411765</v>
      </c>
      <c r="V154" s="182">
        <f t="shared" ref="V154:V155" si="993">+((R154*R$2)+(T154*T$2))/V$2</f>
        <v>11.444030501089324</v>
      </c>
      <c r="W154" s="1109">
        <f>+(EMD!V21)/(24*W2)</f>
        <v>10.435780400000001</v>
      </c>
      <c r="X154" s="3577">
        <f>+(EMD!W21)/(24*X2)</f>
        <v>10.582222222222223</v>
      </c>
      <c r="Y154" s="962">
        <f>+((O154*O$2)+(S154*S$2)+(W154*W$2))/Y$2</f>
        <v>10.571579</v>
      </c>
      <c r="Z154" s="962">
        <f>+((P154*P$2)+(T154*T$2)+(X154*X$2))/Z$2</f>
        <v>10.224365942028985</v>
      </c>
      <c r="AA154" s="1141">
        <f t="shared" ref="AA154:AA155" si="994">+((U154*U$2)+(W154*W$2))/AA$2</f>
        <v>10.537308131147542</v>
      </c>
      <c r="AB154" s="1141">
        <f t="shared" ref="AB154:AB155" si="995">+((V154*V$2)+(X154*X$2))/AB$2</f>
        <v>11.302750455373408</v>
      </c>
      <c r="AC154" s="1109">
        <f>+(EMD!AB21)/(24*AC2)</f>
        <v>10.637287999999998</v>
      </c>
      <c r="AD154" s="3577">
        <f>+(EMD!AC21)/(24*AD2)</f>
        <v>10.579301075268818</v>
      </c>
      <c r="AE154" s="182">
        <f t="shared" ref="AE154:AE155" si="996">+((AA154*AA$2)+(AC154*AC$2))/AE$2</f>
        <v>10.551791196261684</v>
      </c>
      <c r="AF154" s="182">
        <f t="shared" ref="AF154:AF155" si="997">+((AB154*AB$2)+(AD154*AD$2))/AF$2</f>
        <v>11.197951713395641</v>
      </c>
      <c r="AG154" s="1109">
        <f>+(EMD!AF21)/(24*AG2)</f>
        <v>10.435780400000001</v>
      </c>
      <c r="AH154" s="3577">
        <f>+(EMD!AG21)/(24*AH2)</f>
        <v>10.853388888888889</v>
      </c>
      <c r="AI154" s="182">
        <f t="shared" ref="AI154:AI155" si="998">+((AE154*AE$2)+(AG154*AG$2))/AI$2</f>
        <v>10.537527573770493</v>
      </c>
      <c r="AJ154" s="182">
        <f t="shared" ref="AJ154:AJ155" si="999">+((AF154*AF$2)+(AH154*AH$2))/AJ$2</f>
        <v>11.15558743169399</v>
      </c>
      <c r="AK154" s="1109">
        <f>+(EMD!AJ21)/(24*AK2)</f>
        <v>10.637287999999998</v>
      </c>
      <c r="AL154" s="3624">
        <f>+(EMD!AK21)/(24*AL2)</f>
        <v>10.760564516129032</v>
      </c>
      <c r="AM154" s="962">
        <f>+((AC154*AC$2)+(AG154*AG$2)+(AK154*AK$2))/AM$2</f>
        <v>10.571579</v>
      </c>
      <c r="AN154" s="962">
        <f>+((AD154*AD$2)+(AH154*AH$2)+(AL154*AL$2))/AN$2</f>
        <v>10.729755434782607</v>
      </c>
      <c r="AO154" s="182">
        <f t="shared" ref="AO154:AO155" si="1000">+((AI154*AI$2)+(AK154*AK$2))/AO$2</f>
        <v>10.548773294545455</v>
      </c>
      <c r="AP154" s="182">
        <f t="shared" ref="AP154:AP155" si="1001">+((AJ154*AJ$2)+(AL154*AL$2))/AP$2</f>
        <v>11.111057575757576</v>
      </c>
      <c r="AQ154" s="1109">
        <f>+(EMD!AP21)/(24*AQ2)</f>
        <v>10.637287999999998</v>
      </c>
      <c r="AR154" s="3898">
        <f>+(EMD!AQ21)/(24*AR2)</f>
        <v>10.804663978494624</v>
      </c>
      <c r="AS154" s="182">
        <f t="shared" ref="AS154:AS155" si="1002">+((AO154*AO$2)+(AQ154*AQ$2))/AS$2</f>
        <v>10.557740470588238</v>
      </c>
      <c r="AT154" s="182">
        <f t="shared" ref="AT154:AT155" si="1003">+((AP154*AP$2)+(AR154*AR$2))/AT$2</f>
        <v>11.080017701525055</v>
      </c>
      <c r="AU154" s="1109">
        <f>+(EMD!AT21)/(24*AU2)</f>
        <v>10.024733599999999</v>
      </c>
      <c r="AV154" s="449">
        <f>+(EMD!AU21)/(24*AV2)</f>
        <v>10.943794642857139</v>
      </c>
      <c r="AW154" s="182">
        <f t="shared" ref="AW154:AW155" si="1004">+((AS154*AS$2)+(AU154*AU$2))/AW$2</f>
        <v>10.513057259880242</v>
      </c>
      <c r="AX154" s="182">
        <f t="shared" ref="AX154:AX155" si="1005">+((AT154*AT$2)+(AV154*AV$2))/AX$2</f>
        <v>11.068597804391219</v>
      </c>
      <c r="AY154" s="1109">
        <f>+(EMD!AX21)/(24*AY2)</f>
        <v>10.637287999999998</v>
      </c>
      <c r="AZ154" s="449">
        <f>+(EMD!AY21)/(24*AZ2)</f>
        <v>11.384637096774194</v>
      </c>
      <c r="BA154" s="962">
        <f>+((AQ154*AQ$2)+(AU154*AU$2)+(AY154*AY$2))/BA$2</f>
        <v>10.446715519999998</v>
      </c>
      <c r="BB154" s="962">
        <f>+((AR154*AR$2)+(AV154*AV$2)+(AZ154*AZ$2))/BB$2</f>
        <v>11.047717592592591</v>
      </c>
      <c r="BC154" s="1141">
        <f>+((AM154*AM$2)+(BA154*BA$2))/BC$2</f>
        <v>10.509833323076922</v>
      </c>
      <c r="BD154" s="1141">
        <f>+((AN154*AN$2)+(BB154*BB$2))/BD$2</f>
        <v>10.886989468864467</v>
      </c>
      <c r="BE154" s="182">
        <f t="shared" ref="BE154:BE155" si="1006">+((AW154*AW$2)+(AY154*AY$2))/BE$2</f>
        <v>10.523608363835619</v>
      </c>
      <c r="BF154" s="182">
        <f t="shared" ref="BF154:BF155" si="1007">+((AX154*AX$2)+(AZ154*AZ$2))/BF$2</f>
        <v>11.095439497716896</v>
      </c>
    </row>
    <row r="155" spans="1:58" x14ac:dyDescent="0.25">
      <c r="B155" s="2354" t="s">
        <v>642</v>
      </c>
      <c r="C155" s="33" t="s">
        <v>333</v>
      </c>
      <c r="D155" s="3577">
        <v>51.5625</v>
      </c>
      <c r="E155" s="3577">
        <f>+(EMD!D44)/(24*E2)</f>
        <v>51.9</v>
      </c>
      <c r="F155" s="3577">
        <f>+(EMD!E44)/(24*F2)</f>
        <v>22.872666666666667</v>
      </c>
      <c r="G155" s="1110">
        <f>+(EMD!F44)/(24*G2)</f>
        <v>51</v>
      </c>
      <c r="H155" s="3577">
        <f>+(EMD!G44)/(24*H2)</f>
        <v>28.129973118279572</v>
      </c>
      <c r="I155" s="182">
        <f>+(EMD!H44)/(24*I2)</f>
        <v>51.442622950819676</v>
      </c>
      <c r="J155" s="182">
        <f>+(EMD!I44)/(24*J2)</f>
        <v>25.544412568306015</v>
      </c>
      <c r="K155" s="1109">
        <f>+(EMD!J44)/(24*K2)</f>
        <v>52</v>
      </c>
      <c r="L155" s="3577">
        <f>+(EMD!K44)/(24*L2)</f>
        <v>47.481666666666669</v>
      </c>
      <c r="M155" s="962">
        <f t="shared" si="990"/>
        <v>51.626373626373628</v>
      </c>
      <c r="N155" s="962">
        <f t="shared" si="990"/>
        <v>32.776474358974369</v>
      </c>
      <c r="O155" s="1109">
        <f>+(EMD!N44)/(24*O2)</f>
        <v>51</v>
      </c>
      <c r="P155" s="3577">
        <f>+(EMD!O44)/(24*P2)</f>
        <v>41.991935483870968</v>
      </c>
      <c r="Q155" s="182">
        <f t="shared" si="991"/>
        <v>51.467213114754095</v>
      </c>
      <c r="R155" s="182">
        <f t="shared" si="991"/>
        <v>35.118107923497277</v>
      </c>
      <c r="S155" s="1109">
        <f>+(EMD!R44)/(24*S2)</f>
        <v>51</v>
      </c>
      <c r="T155" s="3577">
        <f>+(EMD!S44)/(24*T2)</f>
        <v>43.286290322580648</v>
      </c>
      <c r="U155" s="182">
        <f t="shared" si="992"/>
        <v>51.372549019607845</v>
      </c>
      <c r="V155" s="182">
        <f t="shared" si="993"/>
        <v>36.773099128540316</v>
      </c>
      <c r="W155" s="1109">
        <f>+(EMD!V44)/(24*W2)</f>
        <v>52</v>
      </c>
      <c r="X155" s="3577">
        <f>+(EMD!W44)/(24*X2)</f>
        <v>43.522222222222226</v>
      </c>
      <c r="Y155" s="962">
        <f>+((O155*O$2)+(S155*S$2)+(W155*W$2))/Y$2</f>
        <v>51.326086956521742</v>
      </c>
      <c r="Z155" s="962">
        <f>+((P155*P$2)+(T155*T$2)+(X155*X$2))/Z$2</f>
        <v>42.927083333333336</v>
      </c>
      <c r="AA155" s="1141">
        <f t="shared" si="994"/>
        <v>51.475409836065573</v>
      </c>
      <c r="AB155" s="1141">
        <f t="shared" si="995"/>
        <v>37.879512750455383</v>
      </c>
      <c r="AC155" s="1109">
        <f>+(EMD!AB44)/(24*AC2)</f>
        <v>51</v>
      </c>
      <c r="AD155" s="3577">
        <f>+(EMD!AC44)/(24*AD2)</f>
        <v>45.443548387096776</v>
      </c>
      <c r="AE155" s="182">
        <f t="shared" si="996"/>
        <v>51.40654205607477</v>
      </c>
      <c r="AF155" s="182">
        <f t="shared" si="997"/>
        <v>38.975237538940824</v>
      </c>
      <c r="AG155" s="1109">
        <f>+(EMD!AF44)/(24*AG2)</f>
        <v>52</v>
      </c>
      <c r="AH155" s="3577">
        <f>+(EMD!AG44)/(24*AH2)</f>
        <v>44.209722222222226</v>
      </c>
      <c r="AI155" s="182">
        <f t="shared" si="998"/>
        <v>51.479508196721312</v>
      </c>
      <c r="AJ155" s="182">
        <f t="shared" si="999"/>
        <v>39.618821721311484</v>
      </c>
      <c r="AK155" s="1109">
        <f>+(EMD!AJ44)/(24*AK2)</f>
        <v>51</v>
      </c>
      <c r="AL155" s="3624">
        <f>+(EMD!AK44)/(24*AL2)</f>
        <v>45.876344086021504</v>
      </c>
      <c r="AM155" s="962">
        <f>+((AC155*AC$2)+(AG155*AG$2)+(AK155*AK$2))/AM$2</f>
        <v>51.326086956521742</v>
      </c>
      <c r="AN155" s="962">
        <f>+((AD155*AD$2)+(AH155*AH$2)+(AL155*AL$2))/AN$2</f>
        <v>45.187047101449281</v>
      </c>
      <c r="AO155" s="182">
        <f t="shared" si="1000"/>
        <v>51.425454545454542</v>
      </c>
      <c r="AP155" s="182">
        <f t="shared" si="1001"/>
        <v>40.324215151515155</v>
      </c>
      <c r="AQ155" s="1109">
        <f>+(EMD!AP44)/(24*AQ2)</f>
        <v>51</v>
      </c>
      <c r="AR155" s="3898">
        <f>+(EMD!AQ44)/(24*AR2)</f>
        <v>45.768817204301072</v>
      </c>
      <c r="AS155" s="182">
        <f t="shared" si="1002"/>
        <v>51.382352941176471</v>
      </c>
      <c r="AT155" s="182">
        <f t="shared" si="1003"/>
        <v>40.875792483660135</v>
      </c>
      <c r="AU155" s="1109">
        <f>+(EMD!AT44)/(24*AU2)</f>
        <v>53.849999999999994</v>
      </c>
      <c r="AV155" s="449">
        <f>+(EMD!AU44)/(24*AV2)</f>
        <v>44.591964285714283</v>
      </c>
      <c r="AW155" s="182">
        <f t="shared" si="1004"/>
        <v>51.589221556886223</v>
      </c>
      <c r="AX155" s="182">
        <f t="shared" si="1005"/>
        <v>41.187327844311383</v>
      </c>
      <c r="AY155" s="1109">
        <f>+(EMD!AX44)/(24*AY2)</f>
        <v>51</v>
      </c>
      <c r="AZ155" s="449">
        <f>+(EMD!AY44)/(24*AZ2)</f>
        <v>47.045698924731184</v>
      </c>
      <c r="BA155" s="962">
        <f>+((AQ155*AQ$2)+(AU155*AU$2)+(AY155*AY$2))/BA$2</f>
        <v>51.886666666666656</v>
      </c>
      <c r="BB155" s="962">
        <f>+((AR155*AR$2)+(AV155*AV$2)+(AZ155*AZ$2))/BB$2</f>
        <v>45.842500000000001</v>
      </c>
      <c r="BC155" s="1141">
        <f>+((AM155*AM$2)+(BA155*BA$2))/BC$2</f>
        <v>51.603296703296699</v>
      </c>
      <c r="BD155" s="1141">
        <f>+((AN155*AN$2)+(BB155*BB$2))/BD$2</f>
        <v>45.511172161172162</v>
      </c>
      <c r="BE155" s="182">
        <f t="shared" si="1006"/>
        <v>51.539178082191782</v>
      </c>
      <c r="BF155" s="182">
        <f t="shared" si="1007"/>
        <v>41.684888127853888</v>
      </c>
    </row>
    <row r="156" spans="1:58" x14ac:dyDescent="0.25">
      <c r="A156" s="332">
        <v>30.467097599999999</v>
      </c>
      <c r="B156" s="2354" t="s">
        <v>949</v>
      </c>
      <c r="C156" s="33" t="s">
        <v>242</v>
      </c>
      <c r="D156" s="823">
        <f>7.118863125*D2*24*1000</f>
        <v>62361240.974999994</v>
      </c>
      <c r="E156" s="823">
        <f>+'POWER DISTRIBUTION'!I19</f>
        <v>5125581.4499999993</v>
      </c>
      <c r="F156" s="823">
        <f>+'POWER DISTRIBUTION'!J19</f>
        <v>4589870.0000000102</v>
      </c>
      <c r="G156" s="823">
        <f>+'POWER DISTRIBUTION'!K19</f>
        <v>5296434.165000001</v>
      </c>
      <c r="H156" s="823">
        <f>+'POWER DISTRIBUTION'!L19</f>
        <v>4865769.9999999898</v>
      </c>
      <c r="I156" s="143">
        <f>+'POWER DISTRIBUTION'!M19</f>
        <v>10422015.615</v>
      </c>
      <c r="J156" s="382">
        <f>+'POWER DISTRIBUTION'!N19</f>
        <v>9455640</v>
      </c>
      <c r="K156" s="823">
        <f>+'POWER DISTRIBUTION'!O19</f>
        <v>5125581.45</v>
      </c>
      <c r="L156" s="823">
        <f>+'POWER DISTRIBUTION'!P19</f>
        <v>4678410</v>
      </c>
      <c r="M156" s="2369">
        <f>+I156+K156</f>
        <v>15547597.065000001</v>
      </c>
      <c r="N156" s="396">
        <f>+J156+L156</f>
        <v>14134050</v>
      </c>
      <c r="O156" s="823">
        <f>+'POWER DISTRIBUTION'!S19</f>
        <v>5296434.165000001</v>
      </c>
      <c r="P156" s="823">
        <f>+'POWER DISTRIBUTION'!T19</f>
        <v>4811400.0000000009</v>
      </c>
      <c r="Q156" s="143">
        <f>+M156+O156</f>
        <v>20844031.230000004</v>
      </c>
      <c r="R156" s="382">
        <f>+N156+P156</f>
        <v>18945450</v>
      </c>
      <c r="S156" s="823">
        <f>+'POWER DISTRIBUTION'!W19</f>
        <v>5296434.165000001</v>
      </c>
      <c r="T156" s="823">
        <f>+'POWER DISTRIBUTION'!X19</f>
        <v>4817160.0000000009</v>
      </c>
      <c r="U156" s="143">
        <f>+Q156+S156</f>
        <v>26140465.395000003</v>
      </c>
      <c r="V156" s="382">
        <f>+R156+T156</f>
        <v>23762610</v>
      </c>
      <c r="W156" s="823">
        <f>+'POWER DISTRIBUTION'!AA19</f>
        <v>5125581.45</v>
      </c>
      <c r="X156" s="823">
        <f>+'POWER DISTRIBUTION'!AB19</f>
        <v>4786340.000000013</v>
      </c>
      <c r="Y156" s="3494">
        <f>+O156+S156+W156</f>
        <v>15718449.780000001</v>
      </c>
      <c r="Z156" s="3494">
        <f>+P156+T156+X156</f>
        <v>14414900.000000015</v>
      </c>
      <c r="AA156" s="1789">
        <f>+U156+W156</f>
        <v>31266046.845000003</v>
      </c>
      <c r="AB156" s="1160">
        <f>+V156+X156</f>
        <v>28548950.000000015</v>
      </c>
      <c r="AC156" s="823">
        <f>+'POWER DISTRIBUTION'!AG19</f>
        <v>5296434.165000001</v>
      </c>
      <c r="AD156" s="823">
        <f>+'POWER DISTRIBUTION'!AH19</f>
        <v>4946639.9999999795</v>
      </c>
      <c r="AE156" s="143">
        <f>+AA156+AC156</f>
        <v>36562481.010000005</v>
      </c>
      <c r="AF156" s="382">
        <f>+AB156+AD156</f>
        <v>33495589.999999993</v>
      </c>
      <c r="AG156" s="823">
        <f>+'POWER DISTRIBUTION'!AK19</f>
        <v>5125581.45</v>
      </c>
      <c r="AH156" s="823">
        <f>+'POWER DISTRIBUTION'!AL19</f>
        <v>4752520.000000014</v>
      </c>
      <c r="AI156" s="143">
        <f>+AE156+AG156</f>
        <v>41688062.460000008</v>
      </c>
      <c r="AJ156" s="382">
        <f>+AF156+AH156</f>
        <v>38248110.000000007</v>
      </c>
      <c r="AK156" s="823">
        <f>+'POWER DISTRIBUTION'!AO19</f>
        <v>5296434.165000001</v>
      </c>
      <c r="AL156" s="823">
        <f>+'POWER DISTRIBUTION'!AP19</f>
        <v>4991729.9999999981</v>
      </c>
      <c r="AM156" s="3494">
        <f>+AC156+AG156+AK156</f>
        <v>15718449.780000003</v>
      </c>
      <c r="AN156" s="3494">
        <f>+AD156+AH156+AL156</f>
        <v>14690889.999999991</v>
      </c>
      <c r="AO156" s="143">
        <f>+AI156+AK156</f>
        <v>46984496.625000007</v>
      </c>
      <c r="AP156" s="382">
        <f>+AJ156+AL156</f>
        <v>43239840.000000007</v>
      </c>
      <c r="AQ156" s="823">
        <f>+'POWER DISTRIBUTION'!AU19</f>
        <v>5296434.165000001</v>
      </c>
      <c r="AR156" s="823">
        <f>+'POWER DISTRIBUTION'!AV19</f>
        <v>4945589.9999999953</v>
      </c>
      <c r="AS156" s="143">
        <f>+AO156+AQ156</f>
        <v>52280930.790000007</v>
      </c>
      <c r="AT156" s="382">
        <f>+AP156+AR156</f>
        <v>48185430</v>
      </c>
      <c r="AU156" s="823">
        <f>+'POWER DISTRIBUTION'!AY19</f>
        <v>4783876.0199999996</v>
      </c>
      <c r="AV156" s="823">
        <f>+'POWER DISTRIBUTION'!AZ19</f>
        <v>4415110.0000000102</v>
      </c>
      <c r="AW156" s="143">
        <f>+AS156+AU156</f>
        <v>57064806.810000002</v>
      </c>
      <c r="AX156" s="382">
        <f>+AT156+AV156</f>
        <v>52600540.000000007</v>
      </c>
      <c r="AY156" s="823">
        <f>+'POWER DISTRIBUTION'!BC19</f>
        <v>5296434.165000001</v>
      </c>
      <c r="AZ156" s="823">
        <f>+'POWER DISTRIBUTION'!BD19</f>
        <v>4978580.0000000047</v>
      </c>
      <c r="BA156" s="3494">
        <f>+AQ156+AU156+AY156</f>
        <v>15376744.350000001</v>
      </c>
      <c r="BB156" s="3494">
        <f>+AR156+AV156+AZ156</f>
        <v>14339280.000000011</v>
      </c>
      <c r="BC156" s="1789">
        <f>+AM156+BA156</f>
        <v>31095194.130000003</v>
      </c>
      <c r="BD156" s="1118">
        <f>+AN156+BB156</f>
        <v>29030170</v>
      </c>
      <c r="BE156" s="143">
        <f>+AW156+AY156</f>
        <v>62361240.975000001</v>
      </c>
      <c r="BF156" s="382">
        <f>+AX156+AZ156</f>
        <v>57579120.000000015</v>
      </c>
    </row>
    <row r="157" spans="1:58" x14ac:dyDescent="0.25">
      <c r="B157" s="2354" t="s">
        <v>950</v>
      </c>
      <c r="C157" s="33" t="s">
        <v>243</v>
      </c>
      <c r="D157" s="1110">
        <f t="shared" ref="D157:AB157" si="1008">+D156/D14</f>
        <v>54.699999999999996</v>
      </c>
      <c r="E157" s="1110">
        <f t="shared" si="1008"/>
        <v>54.699999999999982</v>
      </c>
      <c r="F157" s="1110">
        <f t="shared" si="1008"/>
        <v>52.690778450812914</v>
      </c>
      <c r="G157" s="1110">
        <f t="shared" si="1008"/>
        <v>54.7</v>
      </c>
      <c r="H157" s="305">
        <f t="shared" si="1008"/>
        <v>53.364736591009937</v>
      </c>
      <c r="I157" s="182">
        <f t="shared" si="1008"/>
        <v>54.699999999999996</v>
      </c>
      <c r="J157" s="191">
        <f t="shared" si="1008"/>
        <v>53.035450017822185</v>
      </c>
      <c r="K157" s="1110">
        <f t="shared" si="1008"/>
        <v>54.699999999999996</v>
      </c>
      <c r="L157" s="305">
        <f t="shared" si="1008"/>
        <v>51.957105272217817</v>
      </c>
      <c r="M157" s="962">
        <f t="shared" si="1008"/>
        <v>54.7</v>
      </c>
      <c r="N157" s="405">
        <f t="shared" si="1008"/>
        <v>52.673592768679931</v>
      </c>
      <c r="O157" s="1110">
        <f t="shared" si="1008"/>
        <v>54.7</v>
      </c>
      <c r="P157" s="394">
        <f t="shared" si="1008"/>
        <v>52.933284412713284</v>
      </c>
      <c r="Q157" s="182">
        <f t="shared" si="1008"/>
        <v>54.70000000000001</v>
      </c>
      <c r="R157" s="191">
        <f t="shared" si="1008"/>
        <v>52.739302554949042</v>
      </c>
      <c r="S157" s="1110">
        <f t="shared" si="1008"/>
        <v>54.7</v>
      </c>
      <c r="T157" s="394">
        <f t="shared" si="1008"/>
        <v>50.274402287268444</v>
      </c>
      <c r="U157" s="182">
        <f t="shared" si="1008"/>
        <v>54.7</v>
      </c>
      <c r="V157" s="191">
        <f t="shared" si="1008"/>
        <v>52.220277240316442</v>
      </c>
      <c r="W157" s="1110">
        <f t="shared" ref="W157:X157" si="1009">+W156/W14</f>
        <v>54.699999999999996</v>
      </c>
      <c r="X157" s="394">
        <f t="shared" si="1009"/>
        <v>51.530739681664848</v>
      </c>
      <c r="Y157" s="962">
        <f t="shared" si="1008"/>
        <v>54.7</v>
      </c>
      <c r="Z157" s="405">
        <f t="shared" si="1008"/>
        <v>51.556155468549157</v>
      </c>
      <c r="AA157" s="1141">
        <f t="shared" si="1008"/>
        <v>54.699999999999996</v>
      </c>
      <c r="AB157" s="1161">
        <f t="shared" si="1008"/>
        <v>52.103388971031578</v>
      </c>
      <c r="AC157" s="1110">
        <f t="shared" ref="AC157:AF157" si="1010">+AC156/AC14</f>
        <v>54.7</v>
      </c>
      <c r="AD157" s="394">
        <f t="shared" si="1010"/>
        <v>51.170796903253361</v>
      </c>
      <c r="AE157" s="182">
        <f t="shared" si="1010"/>
        <v>54.7</v>
      </c>
      <c r="AF157" s="191">
        <f t="shared" si="1010"/>
        <v>51.963529830721633</v>
      </c>
      <c r="AG157" s="1110">
        <f t="shared" ref="AG157:AJ157" si="1011">+AG156/AG14</f>
        <v>54.699999999999996</v>
      </c>
      <c r="AH157" s="394">
        <f t="shared" si="1011"/>
        <v>50.82137258298755</v>
      </c>
      <c r="AI157" s="182">
        <f t="shared" si="1011"/>
        <v>54.70000000000001</v>
      </c>
      <c r="AJ157" s="191">
        <f t="shared" si="1011"/>
        <v>51.818825659647317</v>
      </c>
      <c r="AK157" s="1110">
        <f t="shared" ref="AK157:AL157" si="1012">+AK156/AK14</f>
        <v>54.7</v>
      </c>
      <c r="AL157" s="394">
        <f t="shared" si="1012"/>
        <v>51.874256319659111</v>
      </c>
      <c r="AM157" s="962">
        <f t="shared" ref="AM157:AT157" si="1013">+AM156/AM14</f>
        <v>54.7</v>
      </c>
      <c r="AN157" s="405">
        <f t="shared" si="1013"/>
        <v>51.293054838345853</v>
      </c>
      <c r="AO157" s="182">
        <f t="shared" si="1013"/>
        <v>54.70000000000001</v>
      </c>
      <c r="AP157" s="191">
        <f t="shared" si="1013"/>
        <v>51.825218683396081</v>
      </c>
      <c r="AQ157" s="1110">
        <f t="shared" si="1013"/>
        <v>54.7</v>
      </c>
      <c r="AR157" s="394">
        <f t="shared" si="1013"/>
        <v>51.22681085112329</v>
      </c>
      <c r="AS157" s="182">
        <f t="shared" si="1013"/>
        <v>54.70000000000001</v>
      </c>
      <c r="AT157" s="191">
        <f t="shared" si="1013"/>
        <v>51.7631570678477</v>
      </c>
      <c r="AU157" s="1110">
        <f t="shared" ref="AU157:AX157" si="1014">+AU156/AU14</f>
        <v>54.699999999999989</v>
      </c>
      <c r="AV157" s="394">
        <f t="shared" si="1014"/>
        <v>50.556392733801857</v>
      </c>
      <c r="AW157" s="182">
        <f t="shared" si="1014"/>
        <v>54.7</v>
      </c>
      <c r="AX157" s="191">
        <f t="shared" si="1014"/>
        <v>51.659654955349978</v>
      </c>
      <c r="AY157" s="1110">
        <f t="shared" ref="AY157:AZ157" si="1015">+AY156/AY14</f>
        <v>54.7</v>
      </c>
      <c r="AZ157" s="394">
        <f t="shared" si="1015"/>
        <v>51.484399035167812</v>
      </c>
      <c r="BA157" s="962">
        <f t="shared" ref="BA157:BF157" si="1016">+BA156/BA14</f>
        <v>54.7</v>
      </c>
      <c r="BB157" s="405">
        <f t="shared" si="1016"/>
        <v>51.106917725670769</v>
      </c>
      <c r="BC157" s="1141">
        <f t="shared" ref="BC157:BD157" si="1017">+BC156/BC14</f>
        <v>54.7</v>
      </c>
      <c r="BD157" s="1161">
        <f t="shared" si="1017"/>
        <v>51.200944363524222</v>
      </c>
      <c r="BE157" s="182">
        <f t="shared" si="1016"/>
        <v>54.7</v>
      </c>
      <c r="BF157" s="191">
        <f t="shared" si="1016"/>
        <v>51.644454338581681</v>
      </c>
    </row>
    <row r="158" spans="1:58" ht="15.75" thickBot="1" x14ac:dyDescent="0.3">
      <c r="B158" s="2361" t="s">
        <v>247</v>
      </c>
      <c r="C158" s="2041" t="s">
        <v>1618</v>
      </c>
      <c r="D158" s="2370">
        <v>0.69</v>
      </c>
      <c r="E158" s="2370">
        <v>0.69</v>
      </c>
      <c r="F158" s="1273">
        <v>0.63700000000000001</v>
      </c>
      <c r="G158" s="2370">
        <v>0.69017949999999995</v>
      </c>
      <c r="H158" s="70">
        <v>0.61599999999999999</v>
      </c>
      <c r="I158" s="976">
        <f>+((E158*E14)+(G158*G14))/I14</f>
        <v>0.69009122131147549</v>
      </c>
      <c r="J158" s="976">
        <f>+((F158*F14)+(H158*H14))/J14</f>
        <v>0.62626030791010445</v>
      </c>
      <c r="K158" s="2370">
        <v>0.69017949999999995</v>
      </c>
      <c r="L158" s="70">
        <v>0.65</v>
      </c>
      <c r="M158" s="977">
        <f>+((I158*I14)+(K158*K14))/M14</f>
        <v>0.69012032417582425</v>
      </c>
      <c r="N158" s="977">
        <f>+((J158*J14)+(L158*L14))/N14</f>
        <v>0.63422657260435034</v>
      </c>
      <c r="O158" s="2370">
        <v>0.69</v>
      </c>
      <c r="P158" s="970">
        <v>0.61399999999999999</v>
      </c>
      <c r="Q158" s="976">
        <f>+((M158*M14)+(O158*O14))/Q14</f>
        <v>0.69008974999999995</v>
      </c>
      <c r="R158" s="976">
        <f>+((N158*N14)+(P158*P14))/R14</f>
        <v>0.62910864219216589</v>
      </c>
      <c r="S158" s="2370">
        <v>0.69</v>
      </c>
      <c r="T158" s="970">
        <v>0.61499999999999999</v>
      </c>
      <c r="U158" s="976">
        <f>+((Q158*Q14)+(S158*S14))/U14</f>
        <v>0.69007156535947711</v>
      </c>
      <c r="V158" s="976">
        <f>+((R158*R14)+(T158*T14))/V14</f>
        <v>0.62613783540178891</v>
      </c>
      <c r="W158" s="2370">
        <v>0.69</v>
      </c>
      <c r="X158" s="970">
        <v>0.61799999999999999</v>
      </c>
      <c r="Y158" s="977">
        <f>+((O158*O14)+(S158*S14)+(W158*W14))/Y14</f>
        <v>0.69</v>
      </c>
      <c r="Z158" s="977">
        <f>+((P158*P14)+(T158*T14)+(X158*X14))/Z14</f>
        <v>0.61567151884450466</v>
      </c>
      <c r="AA158" s="1162">
        <f>+((U158*U14)+(W158*W14))/AA14</f>
        <v>0.69005983333333321</v>
      </c>
      <c r="AB158" s="1162">
        <f>+((V158*V14)+(X158*X14))/AB14</f>
        <v>0.62475833477284515</v>
      </c>
      <c r="AC158" s="2370">
        <v>0.69017945037305395</v>
      </c>
      <c r="AD158" s="970">
        <v>0.628</v>
      </c>
      <c r="AE158" s="976">
        <f>+((AA158*AA14)+(AC158*AC14))/AE14</f>
        <v>0.69007716103534888</v>
      </c>
      <c r="AF158" s="976">
        <f>+((AB158*AB14)+(AD158*AD14))/AF14</f>
        <v>0.62524448142528521</v>
      </c>
      <c r="AG158" s="2370">
        <v>0.69</v>
      </c>
      <c r="AH158" s="970">
        <v>0.63400000000000001</v>
      </c>
      <c r="AI158" s="976">
        <f>+((AE158*AE14)+(AG158*AG14))/AI14</f>
        <v>0.690067674022806</v>
      </c>
      <c r="AJ158" s="976">
        <f>+((AF158*AF14)+(AH158*AH14))/AJ14</f>
        <v>0.6263537508014535</v>
      </c>
      <c r="AK158" s="2370">
        <v>0.69</v>
      </c>
      <c r="AL158" s="970">
        <v>0.64700000000000002</v>
      </c>
      <c r="AM158" s="977">
        <f>+((AC158*AC14)+(AG158*AG14)+(AK158*AK14))/AM14</f>
        <v>0.69006046697352907</v>
      </c>
      <c r="AN158" s="977">
        <f>+((AD158*AD14)+(AH158*AH14)+(AL158*AL14))/AN14</f>
        <v>0.63634258647279129</v>
      </c>
      <c r="AO158" s="976">
        <f>+((AI158*AI14)+(AK158*AK14))/AO14</f>
        <v>0.6900600453147806</v>
      </c>
      <c r="AP158" s="976">
        <f>+((AJ158*AJ14)+(AL158*AL14))/AP14</f>
        <v>0.62873495934959378</v>
      </c>
      <c r="AQ158" s="2370">
        <v>0.69017945037305395</v>
      </c>
      <c r="AR158" s="970">
        <v>0.64300000000000002</v>
      </c>
      <c r="AS158" s="976">
        <f>+((AO158*AO14)+(AQ158*AQ14))/AS14</f>
        <v>0.69007214190565136</v>
      </c>
      <c r="AT158" s="976">
        <f>+((AP158*AP14)+(AR158*AR14))/AT14</f>
        <v>0.63021440433824794</v>
      </c>
      <c r="AU158" s="2370">
        <v>0.68956441965860704</v>
      </c>
      <c r="AV158" s="970">
        <v>0.63900000000000001</v>
      </c>
      <c r="AW158" s="976">
        <f>+((AS158*AS14)+(AU158*AU14))/AW14</f>
        <v>0.69002957836398304</v>
      </c>
      <c r="AX158" s="976">
        <f>+((AT158*AT14)+(AV158*AV14))/AX14</f>
        <v>0.63096792984848038</v>
      </c>
      <c r="AY158" s="2370">
        <v>0.69017945037305395</v>
      </c>
      <c r="AZ158" s="970">
        <v>0.66900000000000004</v>
      </c>
      <c r="BA158" s="977">
        <f>+((AQ158*AQ14)+(AU158*AU14)+(AY158*AY14))/BA14</f>
        <v>0.68998810748411499</v>
      </c>
      <c r="BB158" s="977">
        <f>+((AR158*AR14)+(AV158*AV14)+(AZ158*AZ14))/BB14</f>
        <v>0.65071595637017876</v>
      </c>
      <c r="BC158" s="1162">
        <f>+((AM158*AM14)+(BA158*BA14))/BC14</f>
        <v>0.69002468480843415</v>
      </c>
      <c r="BD158" s="1162">
        <f>+((AN158*AN14)+(BB158*BB14))/BD14</f>
        <v>0.64345528907684602</v>
      </c>
      <c r="BE158" s="976">
        <f>+((AW158*AW14)+(AY158*AY14))/BE14</f>
        <v>0.69004230721954785</v>
      </c>
      <c r="BF158" s="976">
        <f>+((AX158*AX14)+(AZ158*AZ14))/BF14</f>
        <v>0.63426659686456521</v>
      </c>
    </row>
    <row r="159" spans="1:58" s="334" customFormat="1" ht="15.75" thickBot="1" x14ac:dyDescent="0.3">
      <c r="A159" s="333"/>
      <c r="B159" s="2371"/>
      <c r="C159" s="1322"/>
      <c r="D159" s="1322"/>
      <c r="E159" s="1322"/>
      <c r="F159" s="1274"/>
      <c r="G159" s="1322"/>
      <c r="H159" s="1322"/>
      <c r="I159" s="1322"/>
      <c r="J159" s="1230"/>
      <c r="K159" s="1230"/>
      <c r="L159" s="1230"/>
      <c r="M159" s="1322"/>
      <c r="N159" s="1230"/>
      <c r="O159" s="1597"/>
      <c r="P159" s="1597"/>
      <c r="Q159" s="1322"/>
      <c r="R159" s="1597"/>
      <c r="S159" s="1597"/>
      <c r="T159" s="1597"/>
      <c r="U159" s="1322"/>
      <c r="V159" s="1597"/>
      <c r="W159" s="1597"/>
      <c r="X159" s="1597"/>
      <c r="Y159" s="1322"/>
      <c r="Z159" s="1597"/>
      <c r="AA159" s="1322"/>
      <c r="AB159" s="1597"/>
      <c r="AC159" s="1597"/>
      <c r="AD159" s="1597"/>
      <c r="AE159" s="1322"/>
      <c r="AF159" s="1597"/>
      <c r="AG159" s="1597"/>
      <c r="AH159" s="1597"/>
      <c r="AI159" s="1322"/>
      <c r="AJ159" s="1597"/>
      <c r="AK159" s="1597"/>
      <c r="AL159" s="1597"/>
      <c r="AM159" s="1322"/>
      <c r="AN159" s="1230"/>
      <c r="AO159" s="1322"/>
      <c r="AP159" s="1230"/>
      <c r="AQ159" s="1597"/>
      <c r="AR159" s="1597"/>
      <c r="AS159" s="1322"/>
      <c r="AT159" s="1597"/>
      <c r="AU159" s="1597"/>
      <c r="AV159" s="1597"/>
      <c r="AW159" s="1322"/>
      <c r="AX159" s="1597"/>
      <c r="AY159" s="1597"/>
      <c r="AZ159" s="1597"/>
      <c r="BA159" s="1322"/>
      <c r="BB159" s="1230"/>
      <c r="BC159" s="1322"/>
      <c r="BD159" s="1597"/>
      <c r="BE159" s="1322"/>
      <c r="BF159" s="1597"/>
    </row>
    <row r="160" spans="1:58" ht="15.75" thickBot="1" x14ac:dyDescent="0.3">
      <c r="B160" s="2372" t="s">
        <v>542</v>
      </c>
      <c r="C160" s="2373" t="s">
        <v>52</v>
      </c>
      <c r="D160" s="2374">
        <v>8.9823589743589753</v>
      </c>
      <c r="E160" s="2374">
        <v>8.9823589743589753</v>
      </c>
      <c r="F160" s="1272">
        <f>+((F115*F78)+(F140*F92))/F106</f>
        <v>7.9694937521472715</v>
      </c>
      <c r="G160" s="2374">
        <v>8.9823589743589736</v>
      </c>
      <c r="H160" s="370">
        <f>+((H115*H78)+(H140*H92))/H106</f>
        <v>8.0091433078009526</v>
      </c>
      <c r="I160" s="2375">
        <f>+((I115*I78)+(I140*I92))/I106</f>
        <v>8.9823589791591001</v>
      </c>
      <c r="J160" s="1553">
        <f>+((J115*J78)+(J140*J92))/J106</f>
        <v>7.9897308957127384</v>
      </c>
      <c r="K160" s="2376">
        <v>8.9823589743589753</v>
      </c>
      <c r="L160" s="914">
        <f>+((L115*L78)+(L140*L92))/L106</f>
        <v>8.237315090356212</v>
      </c>
      <c r="M160" s="2377">
        <f>+((M115*M78)+(M140*M92))/M106</f>
        <v>8.9823589807718545</v>
      </c>
      <c r="N160" s="1596">
        <f>+((N115*N78)+(N140*N92))/N106</f>
        <v>8.0719840855058447</v>
      </c>
      <c r="O160" s="2378">
        <v>8.9823589743589736</v>
      </c>
      <c r="P160" s="359">
        <f>+((P115*P78)+(P140*P92))/P106</f>
        <v>8.7077129706149403</v>
      </c>
      <c r="Q160" s="1627">
        <v>8.9823589743589753</v>
      </c>
      <c r="R160" s="393">
        <f>+((R115*R78)+(R140*R92))/R106</f>
        <v>8.2333175632588009</v>
      </c>
      <c r="S160" s="2378">
        <v>8.9823589743589736</v>
      </c>
      <c r="T160" s="359">
        <f>+((T115*T78)+(T140*T92))/T106</f>
        <v>9.1239068006621462</v>
      </c>
      <c r="U160" s="1627">
        <v>8.9823589743589753</v>
      </c>
      <c r="V160" s="393">
        <f>+((V115*V78)+(V140*V92))/V106</f>
        <v>8.4191865858805208</v>
      </c>
      <c r="W160" s="2378">
        <v>8.9823589743589753</v>
      </c>
      <c r="X160" s="359">
        <f>+((X115*X78)+(X140*X92))/X106</f>
        <v>9.0233517951118412</v>
      </c>
      <c r="Y160" s="3580">
        <v>8.9823589743589753</v>
      </c>
      <c r="Z160" s="869">
        <f>+((Z115*Z78)+(Z140*Z92))/Z106</f>
        <v>8.9539123679494104</v>
      </c>
      <c r="AA160" s="3581">
        <v>8.9823589743589753</v>
      </c>
      <c r="AB160" s="1135">
        <f>+((AB115*AB78)+(AB140*AB92))/AB106</f>
        <v>8.5203259109090279</v>
      </c>
      <c r="AC160" s="2378">
        <v>8.9823589743589753</v>
      </c>
      <c r="AD160" s="359">
        <f>+((AD115*AD78)+(AD140*AD92))/AD106</f>
        <v>9.0512948942351574</v>
      </c>
      <c r="AE160" s="1627">
        <v>8.9823589743589753</v>
      </c>
      <c r="AF160" s="393">
        <f>+((AF115*AF78)+(AF140*AF92))/AF106</f>
        <v>8.5983868253188867</v>
      </c>
      <c r="AG160" s="2378">
        <v>8.9823589743589753</v>
      </c>
      <c r="AH160" s="359">
        <f>+((AH115*AH78)+(AH140*AH92))/AH106</f>
        <v>8.8318275528068053</v>
      </c>
      <c r="AI160" s="1627">
        <v>8.9823589743589753</v>
      </c>
      <c r="AJ160" s="393">
        <f>+((AJ115*AJ78)+(AJ140*AJ92))/AJ106</f>
        <v>8.6277610634893467</v>
      </c>
      <c r="AK160" s="2378">
        <v>8.9823589743589753</v>
      </c>
      <c r="AL160" s="359">
        <f>+((AL115*AL78)+(AL140*AL92))/AL106</f>
        <v>8.4949068613241625</v>
      </c>
      <c r="AM160" s="2377">
        <f>+((AM115*AM78)+(AM140*AM92))/AM106</f>
        <v>8.9823590587746818</v>
      </c>
      <c r="AN160" s="407">
        <f>+((AN115*AN78)+(AN140*AN92))/AN106</f>
        <v>8.7913036188091809</v>
      </c>
      <c r="AO160" s="3691">
        <f>+((AO115*AO78)+(AO140*AO92))/AO106</f>
        <v>8.9823590200020149</v>
      </c>
      <c r="AP160" s="390">
        <f>+((AP115*AP78)+(AP140*AP92))/AP106</f>
        <v>8.6124836794719002</v>
      </c>
      <c r="AQ160" s="2378">
        <v>8.9823589743589753</v>
      </c>
      <c r="AR160" s="359">
        <f>+((AR115*AR78)+(AR140*AR92))/AR106</f>
        <v>8.2251772474624723</v>
      </c>
      <c r="AS160" s="1627">
        <v>8.9823589743589753</v>
      </c>
      <c r="AT160" s="393">
        <f>+((AT115*AT78)+(AT140*AT92))/AT106</f>
        <v>8.5724752947751526</v>
      </c>
      <c r="AU160" s="2378">
        <v>8.9823589743589753</v>
      </c>
      <c r="AV160" s="359">
        <f>+((AV115*AV78)+(AV140*AV92))/AV106</f>
        <v>8.1502553168413954</v>
      </c>
      <c r="AW160" s="393">
        <f>+((AW115*AW78)+(AW140*AW92))/AW106</f>
        <v>8.9823590247168266</v>
      </c>
      <c r="AX160" s="393">
        <f>+((AX115*AX78)+(AX140*AX92))/AX106</f>
        <v>8.5364151421914656</v>
      </c>
      <c r="AY160" s="372">
        <v>8.9823589743589753</v>
      </c>
      <c r="AZ160" s="359">
        <f t="shared" ref="AZ160:BF160" si="1018">+((AZ115*AZ78)+(AZ140*AZ92))/AZ106</f>
        <v>7.9535355269315575</v>
      </c>
      <c r="BA160" s="2377">
        <f t="shared" si="1018"/>
        <v>8.9823590613802029</v>
      </c>
      <c r="BB160" s="407">
        <f t="shared" si="1018"/>
        <v>8.108532444378854</v>
      </c>
      <c r="BC160" s="4370">
        <f t="shared" si="1018"/>
        <v>8.9823590600631249</v>
      </c>
      <c r="BD160" s="4371">
        <f t="shared" si="1018"/>
        <v>8.4529708688194489</v>
      </c>
      <c r="BE160" s="393">
        <f t="shared" si="1018"/>
        <v>8.9823590302048419</v>
      </c>
      <c r="BF160" s="393">
        <f t="shared" si="1018"/>
        <v>8.4862886089528757</v>
      </c>
    </row>
    <row r="161" spans="1:58" ht="15.75" thickBot="1" x14ac:dyDescent="0.3">
      <c r="B161" s="28" t="s">
        <v>861</v>
      </c>
      <c r="C161" s="2373" t="s">
        <v>52</v>
      </c>
      <c r="D161" s="732">
        <v>2.0593419978934016</v>
      </c>
      <c r="E161" s="732">
        <v>2.0593419978934016</v>
      </c>
      <c r="F161" s="676">
        <f>+((F119*F17)+(F18*F144))/(F17+F18)</f>
        <v>1.9579641398575962</v>
      </c>
      <c r="G161" s="732">
        <v>2.06</v>
      </c>
      <c r="H161" s="676">
        <f>+((H119*H17)+(H18*H144))/(H17+H18)</f>
        <v>1.9610214892877031</v>
      </c>
      <c r="I161" s="1554">
        <f>+((I119*I17)+(I18*I144))/(I17+I18)</f>
        <v>2.0584615384615383</v>
      </c>
      <c r="J161" s="1554">
        <f>+((J119*J17)+(J18*J144))/(J17+J18)</f>
        <v>1.9595187940765677</v>
      </c>
      <c r="K161" s="2376">
        <v>2.0584615384615383</v>
      </c>
      <c r="L161" s="676">
        <f>+((L119*L17)+(L18*L144))/(L17+L18)</f>
        <v>1.962640283720638</v>
      </c>
      <c r="M161" s="2377">
        <f>+((M119*M17)+(M18*M144))/(M17+M18)</f>
        <v>2.0584615384615383</v>
      </c>
      <c r="N161" s="1596">
        <f>+((N119*N17)+(N18*N144))/(N17+N18)</f>
        <v>1.9605443841453158</v>
      </c>
      <c r="O161" s="1035">
        <v>2.0584615384615379</v>
      </c>
      <c r="P161" s="1598">
        <f>+((P119*P17)+(P18*P144))/(P17+P18)</f>
        <v>2.0126363191371328</v>
      </c>
      <c r="Q161" s="1554">
        <v>2.0584615384615383</v>
      </c>
      <c r="R161" s="224">
        <f>+((R119*R17)+(R18*R144))/(R17+R18)</f>
        <v>1.9736522478874936</v>
      </c>
      <c r="S161" s="1035">
        <v>2.0584615384615379</v>
      </c>
      <c r="T161" s="1598">
        <f>+((T119*T17)+(T18*T144))/(T17+T18)</f>
        <v>2.0906342595440268</v>
      </c>
      <c r="U161" s="1554">
        <v>2.0584615384615383</v>
      </c>
      <c r="V161" s="224">
        <f>+((V119*V17)+(V18*V144))/(V17+V18)</f>
        <v>1.9977062891068444</v>
      </c>
      <c r="W161" s="1035">
        <v>2.0584615384615383</v>
      </c>
      <c r="X161" s="1598">
        <f>+((X119*X17)+(X18*X144))/(X17+X18)</f>
        <v>2.1784715788391495</v>
      </c>
      <c r="Y161" s="3580">
        <v>2.0584615384615383</v>
      </c>
      <c r="Z161" s="1798">
        <f>+((Z119*Z17)+(Z18*Z144))/(Z17+Z18)</f>
        <v>2.0935011428453261</v>
      </c>
      <c r="AA161" s="1797">
        <v>2.0584615384615383</v>
      </c>
      <c r="AB161" s="1797">
        <f>+((AB119*AB17)+(AB18*AB144))/(AB17+AB18)</f>
        <v>2.0274775322260292</v>
      </c>
      <c r="AC161" s="1035">
        <v>2.0584615384615383</v>
      </c>
      <c r="AD161" s="1598">
        <f>+((AD119*AD17)+(AD18*AD144))/(AD17+AD18)</f>
        <v>1.9243967431125015</v>
      </c>
      <c r="AE161" s="1554">
        <v>2.0584615384615383</v>
      </c>
      <c r="AF161" s="224">
        <f>+((AF119*AF17)+(AF18*AF144))/(AF17+AF18)</f>
        <v>2.0126238139299382</v>
      </c>
      <c r="AG161" s="1035">
        <v>2.0584615384615383</v>
      </c>
      <c r="AH161" s="1598">
        <f>+((AH119*AH17)+(AH18*AH144))/(AH17+AH18)</f>
        <v>1.860573669833183</v>
      </c>
      <c r="AI161" s="1554">
        <v>2.0584615384615383</v>
      </c>
      <c r="AJ161" s="224">
        <f>+((AJ119*AJ17)+(AJ18*AJ144))/(AJ17+AJ18)</f>
        <v>1.9937998099633143</v>
      </c>
      <c r="AK161" s="1035">
        <v>2.0584615384615383</v>
      </c>
      <c r="AL161" s="1598">
        <f>+((AL119*AL17)+(AL18*AL144))/(AL17+AL18)</f>
        <v>1.7669222830572182</v>
      </c>
      <c r="AM161" s="2377">
        <f>+((AM119*AM17)+(AM18*AM144))/(AM17+AM18)</f>
        <v>2.0584615384615388</v>
      </c>
      <c r="AN161" s="407">
        <f>+((AN119*AN17)+(AN18*AN144))/(AN17+AN18)</f>
        <v>1.8501940793397769</v>
      </c>
      <c r="AO161" s="825">
        <f>+((AO119*AO17)+(AO18*AO144))/(AO17+AO18)</f>
        <v>2.0584615384615383</v>
      </c>
      <c r="AP161" s="825">
        <f>+((AP119*AP17)+(AP18*AP144))/(AP17+AP18)</f>
        <v>1.9680657173827045</v>
      </c>
      <c r="AQ161" s="1035">
        <v>2.0584615384615383</v>
      </c>
      <c r="AR161" s="1598">
        <f>+((AR119*AR17)+(AR18*AR144))/(AR17+AR18)</f>
        <v>1.7164059155830862</v>
      </c>
      <c r="AS161" s="1554">
        <v>2.0584615384615383</v>
      </c>
      <c r="AT161" s="224">
        <f>+((AT119*AT17)+(AT18*AT144))/(AT17+AT18)</f>
        <v>1.942410258211245</v>
      </c>
      <c r="AU161" s="1035">
        <v>2.0584615384615383</v>
      </c>
      <c r="AV161" s="1598">
        <f>+((AV119*AV17)+(AV18*AV144))/(AV17+AV18)</f>
        <v>1.6873406792531218</v>
      </c>
      <c r="AW161" s="224">
        <f>+((AW119*AW17)+(AW18*AW144))/(AW17+AW18)</f>
        <v>2.0584615384615388</v>
      </c>
      <c r="AX161" s="224">
        <f>+((AX119*AX17)+(AX18*AX144))/(AX17+AX18)</f>
        <v>1.9208797544875418</v>
      </c>
      <c r="AY161" s="1598">
        <v>2.0584615384615383</v>
      </c>
      <c r="AZ161" s="1598">
        <f t="shared" ref="AZ161:BF161" si="1019">+((AZ119*AZ17)+(AZ18*AZ144))/(AZ17+AZ18)</f>
        <v>1.6624287341971258</v>
      </c>
      <c r="BA161" s="2377">
        <f t="shared" si="1019"/>
        <v>2.0584615384615383</v>
      </c>
      <c r="BB161" s="407">
        <f t="shared" si="1019"/>
        <v>1.6888058670831261</v>
      </c>
      <c r="BC161" s="4370">
        <f t="shared" si="1019"/>
        <v>2.0584615384615383</v>
      </c>
      <c r="BD161" s="4371">
        <f t="shared" si="1019"/>
        <v>1.7702129179290316</v>
      </c>
      <c r="BE161" s="224">
        <f t="shared" si="1019"/>
        <v>2.0584615384615388</v>
      </c>
      <c r="BF161" s="224">
        <f t="shared" si="1019"/>
        <v>1.8988936088092727</v>
      </c>
    </row>
    <row r="162" spans="1:58" ht="15.75" thickBot="1" x14ac:dyDescent="0.3">
      <c r="B162" s="2379" t="s">
        <v>543</v>
      </c>
      <c r="C162" s="2373" t="s">
        <v>52</v>
      </c>
      <c r="D162" s="370">
        <v>3.0499743939911235</v>
      </c>
      <c r="E162" s="370">
        <f t="shared" ref="E162:J162" si="1020">+((E102*3)+((+E103+E104+E105)*4))/E106</f>
        <v>3.0499743939911235</v>
      </c>
      <c r="F162" s="370">
        <f t="shared" si="1020"/>
        <v>3.0544114341263899</v>
      </c>
      <c r="G162" s="370">
        <f t="shared" si="1020"/>
        <v>3.0499731077708145</v>
      </c>
      <c r="H162" s="370">
        <f t="shared" si="1020"/>
        <v>3.0408926567759633</v>
      </c>
      <c r="I162" s="1554">
        <f t="shared" si="1020"/>
        <v>3.0499737403394755</v>
      </c>
      <c r="J162" s="1554">
        <f t="shared" si="1020"/>
        <v>3.0475114466344801</v>
      </c>
      <c r="K162" s="2376">
        <v>3.0499731083873525</v>
      </c>
      <c r="L162" s="370">
        <f>+((L102*3)+((+L103+L104+L105)*4))/L106</f>
        <v>3.0426128948055338</v>
      </c>
      <c r="M162" s="2377">
        <f>+((M102*3)+((+M103+M104+M105)*4))/M106</f>
        <v>3.0499739558293251</v>
      </c>
      <c r="N162" s="1596">
        <f>+((N102*3)+((+N103+N104+N105)*4))/N106</f>
        <v>3.0458840345378482</v>
      </c>
      <c r="O162" s="2256">
        <v>3.0499731083873525</v>
      </c>
      <c r="P162" s="357">
        <f>+((P102*3)+((+P103+P104+P105)*4))/P106</f>
        <v>3.0382385884431913</v>
      </c>
      <c r="Q162" s="2380">
        <v>3.0499731083873525</v>
      </c>
      <c r="R162" s="383">
        <f>+((R102*3)+((+R103+R104+R105)*4))/R106</f>
        <v>3.043943794859715</v>
      </c>
      <c r="S162" s="2256">
        <v>3.0499731083873525</v>
      </c>
      <c r="T162" s="357">
        <f>+((T102*3)+((+T103+T104+T105)*4))/T106</f>
        <v>3.0467733595373083</v>
      </c>
      <c r="U162" s="2380">
        <v>3.0499731083873525</v>
      </c>
      <c r="V162" s="383">
        <f>+((V102*3)+((+V103+V104+V105)*4))/V106</f>
        <v>3.044534334694446</v>
      </c>
      <c r="W162" s="2256">
        <v>3.0499731083873525</v>
      </c>
      <c r="X162" s="357">
        <f>+((X102*3)+((+X103+X104+X105)*4))/X106</f>
        <v>3.0519815738621348</v>
      </c>
      <c r="Y162" s="3580">
        <v>3.0499731083873525</v>
      </c>
      <c r="Z162" s="3580">
        <f>+((Z102*3)+((+Z103+Z104+Z105)*4))/Z106</f>
        <v>3.045681411576354</v>
      </c>
      <c r="AA162" s="3581">
        <v>3.0499731083873525</v>
      </c>
      <c r="AB162" s="3581">
        <f>+((AB102*3)+((+AB103+AB104+AB105)*4))/AB106</f>
        <v>3.0457810280346735</v>
      </c>
      <c r="AC162" s="2256">
        <v>3.0499731083873525</v>
      </c>
      <c r="AD162" s="357">
        <f>+((AD102*3)+((+AD103+AD104+AD105)*4))/AD106</f>
        <v>3.0761609102996199</v>
      </c>
      <c r="AE162" s="2380">
        <v>3.0499731083873525</v>
      </c>
      <c r="AF162" s="383">
        <f>+((AF102*3)+((+AF103+AF104+AF105)*4))/AF106</f>
        <v>3.0502473555674232</v>
      </c>
      <c r="AG162" s="2256">
        <v>3.0499731083873525</v>
      </c>
      <c r="AH162" s="357">
        <f>+((AH102*3)+((+AH103+AH104+AH105)*4))/AH106</f>
        <v>3.0387054354732559</v>
      </c>
      <c r="AI162" s="2380">
        <v>3.0499731083873525</v>
      </c>
      <c r="AJ162" s="383">
        <f>+((AJ102*3)+((+AJ103+AJ104+AJ105)*4))/AJ106</f>
        <v>3.0487950164086186</v>
      </c>
      <c r="AK162" s="2256">
        <v>3.0499731083873525</v>
      </c>
      <c r="AL162" s="357">
        <f>+((AL102*3)+((+AL103+AL104+AL105)*4))/AL106</f>
        <v>3.0429995718392564</v>
      </c>
      <c r="AM162" s="357">
        <f t="shared" ref="AM162:AP162" si="1021">+((AM102*3)+((+AM103+AM104+AM105)*4))/AM106</f>
        <v>3.0499736395847821</v>
      </c>
      <c r="AN162" s="357">
        <f t="shared" si="1021"/>
        <v>3.0526836856926352</v>
      </c>
      <c r="AO162" s="357">
        <f t="shared" si="1021"/>
        <v>3.0499737324287524</v>
      </c>
      <c r="AP162" s="357">
        <f t="shared" si="1021"/>
        <v>3.0481285773288223</v>
      </c>
      <c r="AQ162" s="2256">
        <v>3.0499731083873525</v>
      </c>
      <c r="AR162" s="357">
        <f>+((AR102*3)+((+AR103+AR104+AR105)*4))/AR106</f>
        <v>3.0751425675593165</v>
      </c>
      <c r="AS162" s="2380">
        <v>3.0499731083873525</v>
      </c>
      <c r="AT162" s="383">
        <f>+((AT102*3)+((+AT103+AT104+AT105)*4))/AT106</f>
        <v>3.0509190967315809</v>
      </c>
      <c r="AU162" s="2256">
        <v>3.0499731083873529</v>
      </c>
      <c r="AV162" s="357">
        <f>+((AV102*3)+((+AV103+AV104+AV105)*4))/AV106</f>
        <v>3.0800977874315065</v>
      </c>
      <c r="AW162" s="383">
        <f>+((AW102*3)+((+AW103+AW104+AW105)*4))/AW106</f>
        <v>3.0499734728721672</v>
      </c>
      <c r="AX162" s="383">
        <f>+((AX102*3)+((+AX103+AX104+AX105)*4))/AX106</f>
        <v>3.0534111342803043</v>
      </c>
      <c r="AY162" s="357">
        <v>3.0499731083873529</v>
      </c>
      <c r="AZ162" s="357">
        <f>+((AZ102*3)+((+AZ103+AZ104+AZ105)*4))/AZ106</f>
        <v>3.0789523698585626</v>
      </c>
      <c r="BA162" s="2377">
        <f t="shared" ref="BA162:BB162" si="1022">+((BA102*3)+((+BA103+BA104+BA105)*4))/BA106</f>
        <v>3.0499725903053365</v>
      </c>
      <c r="BB162" s="407">
        <f t="shared" si="1022"/>
        <v>3.0779956608233547</v>
      </c>
      <c r="BC162" s="4372">
        <f t="shared" ref="BC162:BD162" si="1023">+((BC102*3)+((+BC103+BC104+BC105)*4))/BC106</f>
        <v>3.0499731207106207</v>
      </c>
      <c r="BD162" s="4372">
        <f t="shared" si="1023"/>
        <v>3.0652264972148018</v>
      </c>
      <c r="BE162" s="383">
        <f>+((BE102*3)+((+BE103+BE104+BE105)*4))/BE106</f>
        <v>3.0499734508096585</v>
      </c>
      <c r="BF162" s="383">
        <f>+((BF102*3)+((+BF103+BF104+BF105)*4))/BF106</f>
        <v>3.0556076317398992</v>
      </c>
    </row>
    <row r="163" spans="1:58" s="334" customFormat="1" x14ac:dyDescent="0.25">
      <c r="A163" s="333"/>
      <c r="B163" s="343"/>
      <c r="C163" s="343"/>
      <c r="D163" s="343"/>
      <c r="E163" s="343"/>
      <c r="F163" s="343"/>
      <c r="G163" s="343"/>
      <c r="H163" s="343"/>
      <c r="I163" s="343"/>
      <c r="J163" s="343"/>
      <c r="K163" s="343"/>
      <c r="L163" s="343"/>
      <c r="M163" s="343"/>
      <c r="N163" s="343"/>
      <c r="O163" s="343"/>
      <c r="P163" s="343"/>
      <c r="Q163" s="343"/>
      <c r="R163" s="343"/>
      <c r="S163" s="343"/>
      <c r="T163" s="343"/>
      <c r="U163" s="343"/>
      <c r="V163" s="343"/>
      <c r="W163" s="343"/>
      <c r="X163" s="343"/>
      <c r="Y163" s="343"/>
      <c r="Z163" s="343"/>
      <c r="AA163" s="343"/>
      <c r="AB163" s="343"/>
      <c r="AC163" s="343"/>
      <c r="AD163" s="343"/>
      <c r="AE163" s="343"/>
      <c r="AF163" s="343"/>
      <c r="AG163" s="343"/>
      <c r="AH163" s="343"/>
      <c r="AI163" s="343"/>
      <c r="AJ163" s="343"/>
      <c r="AK163" s="343"/>
      <c r="AL163" s="343"/>
      <c r="AM163" s="343"/>
      <c r="AN163" s="343"/>
      <c r="AO163" s="343"/>
      <c r="AP163" s="343"/>
      <c r="AQ163" s="343"/>
      <c r="AR163" s="343"/>
      <c r="AS163" s="343"/>
      <c r="AT163" s="343"/>
      <c r="AU163" s="343"/>
      <c r="AV163" s="343"/>
      <c r="AW163" s="343"/>
      <c r="AX163" s="343"/>
      <c r="AY163" s="343"/>
      <c r="AZ163" s="343"/>
      <c r="BA163" s="343"/>
      <c r="BB163" s="343"/>
      <c r="BC163" s="343"/>
      <c r="BD163" s="343"/>
      <c r="BE163" s="343"/>
      <c r="BF163" s="343"/>
    </row>
    <row r="164" spans="1:58" s="334" customFormat="1" ht="15.75" thickBot="1" x14ac:dyDescent="0.3">
      <c r="A164" s="333"/>
      <c r="B164" s="343"/>
      <c r="C164" s="343"/>
      <c r="D164" s="343"/>
      <c r="E164" s="343"/>
      <c r="F164" s="343"/>
      <c r="G164" s="343"/>
      <c r="H164" s="343"/>
      <c r="I164" s="343"/>
      <c r="J164" s="343"/>
      <c r="K164" s="343"/>
      <c r="L164" s="343"/>
      <c r="M164" s="343"/>
      <c r="N164" s="343"/>
      <c r="O164" s="343"/>
      <c r="P164" s="343"/>
      <c r="Q164" s="343"/>
      <c r="R164" s="343"/>
      <c r="S164" s="343"/>
      <c r="T164" s="343"/>
      <c r="U164" s="343"/>
      <c r="V164" s="343"/>
      <c r="W164" s="343"/>
      <c r="X164" s="343"/>
      <c r="Y164" s="343"/>
      <c r="Z164" s="343"/>
      <c r="AA164" s="343"/>
      <c r="AB164" s="343"/>
      <c r="AC164" s="343"/>
      <c r="AD164" s="343"/>
      <c r="AE164" s="343"/>
      <c r="AF164" s="343"/>
      <c r="AG164" s="343"/>
      <c r="AH164" s="343"/>
      <c r="AI164" s="343"/>
      <c r="AJ164" s="343"/>
      <c r="AK164" s="343"/>
      <c r="AL164" s="343"/>
      <c r="AM164" s="343"/>
      <c r="AN164" s="343"/>
      <c r="AO164" s="343"/>
      <c r="AP164" s="343"/>
      <c r="AQ164" s="343"/>
      <c r="AR164" s="343"/>
      <c r="AS164" s="343"/>
      <c r="AT164" s="343"/>
      <c r="AU164" s="343"/>
      <c r="AV164" s="343"/>
      <c r="AW164" s="343"/>
      <c r="AX164" s="343"/>
      <c r="AY164" s="343"/>
      <c r="AZ164" s="343"/>
      <c r="BA164" s="343"/>
      <c r="BB164" s="343"/>
      <c r="BC164" s="343"/>
      <c r="BD164" s="343"/>
      <c r="BE164" s="343"/>
      <c r="BF164" s="343"/>
    </row>
    <row r="165" spans="1:58" s="334" customFormat="1" ht="18.75" x14ac:dyDescent="0.25">
      <c r="A165" s="333"/>
      <c r="B165" s="895" t="s">
        <v>768</v>
      </c>
      <c r="C165" s="892"/>
      <c r="D165" s="892"/>
      <c r="E165" s="892"/>
      <c r="F165" s="892"/>
      <c r="G165" s="892"/>
      <c r="H165" s="892"/>
      <c r="I165" s="892"/>
      <c r="J165" s="892"/>
      <c r="K165" s="892"/>
      <c r="L165" s="892"/>
      <c r="M165" s="892"/>
      <c r="N165" s="892"/>
      <c r="O165" s="892"/>
      <c r="P165" s="892"/>
      <c r="Q165" s="892"/>
      <c r="R165" s="892"/>
      <c r="S165" s="892"/>
      <c r="T165" s="892"/>
      <c r="U165" s="892"/>
      <c r="V165" s="892"/>
      <c r="W165" s="892"/>
      <c r="X165" s="892"/>
      <c r="Y165" s="892"/>
      <c r="Z165" s="892"/>
      <c r="AA165" s="892"/>
      <c r="AB165" s="892"/>
      <c r="AC165" s="892"/>
      <c r="AD165" s="892"/>
      <c r="AE165" s="892"/>
      <c r="AF165" s="892"/>
      <c r="AG165" s="892"/>
      <c r="AH165" s="892"/>
      <c r="AI165" s="892"/>
      <c r="AJ165" s="892"/>
      <c r="AK165" s="892"/>
      <c r="AL165" s="892"/>
      <c r="AM165" s="892"/>
      <c r="AN165" s="892"/>
      <c r="AO165" s="892"/>
      <c r="AP165" s="892"/>
      <c r="AQ165" s="892"/>
      <c r="AR165" s="892"/>
      <c r="AS165" s="892"/>
      <c r="AT165" s="892"/>
      <c r="AU165" s="892"/>
      <c r="AV165" s="892"/>
      <c r="AW165" s="892"/>
      <c r="AX165" s="892"/>
      <c r="AY165" s="892"/>
      <c r="AZ165" s="892"/>
      <c r="BA165" s="892"/>
      <c r="BB165" s="892"/>
      <c r="BC165" s="892"/>
      <c r="BD165" s="892"/>
      <c r="BE165" s="892"/>
      <c r="BF165" s="892"/>
    </row>
    <row r="166" spans="1:58" x14ac:dyDescent="0.25">
      <c r="B166" s="28" t="s">
        <v>10</v>
      </c>
      <c r="C166" s="3572" t="s">
        <v>52</v>
      </c>
      <c r="D166" s="3543">
        <f t="shared" ref="D166" si="1024">+D94/D$106*100</f>
        <v>46.354137251680221</v>
      </c>
      <c r="E166" s="3543">
        <f t="shared" ref="E166:V166" si="1025">+E94/E$106*100</f>
        <v>46.354192069453248</v>
      </c>
      <c r="F166" s="1992">
        <f t="shared" si="1025"/>
        <v>46.903047451438844</v>
      </c>
      <c r="G166" s="3543">
        <f t="shared" si="1025"/>
        <v>46.354132410563629</v>
      </c>
      <c r="H166" s="1992">
        <f t="shared" si="1025"/>
        <v>46.998440318653337</v>
      </c>
      <c r="I166" s="1552">
        <f t="shared" si="1025"/>
        <v>46.354161751061234</v>
      </c>
      <c r="J166" s="876">
        <f t="shared" si="1025"/>
        <v>46.951735995789832</v>
      </c>
      <c r="K166" s="3543">
        <f t="shared" si="1025"/>
        <v>46.354192069453248</v>
      </c>
      <c r="L166" s="1992">
        <f t="shared" si="1025"/>
        <v>45.093970242756463</v>
      </c>
      <c r="M166" s="1166">
        <f t="shared" si="1025"/>
        <v>46.354171746149248</v>
      </c>
      <c r="N166" s="879">
        <f t="shared" si="1025"/>
        <v>46.334543289706829</v>
      </c>
      <c r="O166" s="3543">
        <f t="shared" si="1025"/>
        <v>46.354132620288254</v>
      </c>
      <c r="P166" s="1992">
        <f t="shared" si="1025"/>
        <v>41.529441539258897</v>
      </c>
      <c r="Q166" s="1552">
        <f t="shared" si="1025"/>
        <v>46.354161804351804</v>
      </c>
      <c r="R166" s="876">
        <f t="shared" si="1025"/>
        <v>45.115118162872214</v>
      </c>
      <c r="S166" s="3543">
        <f t="shared" si="1025"/>
        <v>46.354127510919987</v>
      </c>
      <c r="T166" s="1992">
        <f t="shared" si="1025"/>
        <v>40.907337174374817</v>
      </c>
      <c r="U166" s="1552">
        <f t="shared" si="1025"/>
        <v>46.354154856019775</v>
      </c>
      <c r="V166" s="876">
        <f t="shared" si="1025"/>
        <v>44.236939865974541</v>
      </c>
      <c r="W166" s="3543">
        <f t="shared" ref="W166:X166" si="1026">+W94/W$106*100</f>
        <v>46.354063696553496</v>
      </c>
      <c r="X166" s="1992">
        <f t="shared" si="1026"/>
        <v>39.451927454245045</v>
      </c>
      <c r="Y166" s="1166">
        <f t="shared" ref="Y166:AF166" si="1027">+Y94/Y$106*100</f>
        <v>46.354108423501408</v>
      </c>
      <c r="Z166" s="3574">
        <f t="shared" si="1027"/>
        <v>40.632678293661037</v>
      </c>
      <c r="AA166" s="3570">
        <f t="shared" si="1027"/>
        <v>46.354139911846396</v>
      </c>
      <c r="AB166" s="3575">
        <f t="shared" si="1027"/>
        <v>43.435912401663764</v>
      </c>
      <c r="AC166" s="3543">
        <f t="shared" si="1027"/>
        <v>46.354127510919987</v>
      </c>
      <c r="AD166" s="232">
        <f t="shared" si="1027"/>
        <v>38.770600785380779</v>
      </c>
      <c r="AE166" s="1552">
        <f t="shared" si="1027"/>
        <v>46.354138115452784</v>
      </c>
      <c r="AF166" s="876">
        <f t="shared" si="1027"/>
        <v>42.750037139246992</v>
      </c>
      <c r="AG166" s="3543">
        <f t="shared" ref="AG166:AJ166" si="1028">+AG94/AG$106*100</f>
        <v>46.354063696553496</v>
      </c>
      <c r="AH166" s="232">
        <f t="shared" si="1028"/>
        <v>40.300555939431526</v>
      </c>
      <c r="AI166" s="1552">
        <f t="shared" si="1028"/>
        <v>46.354128965587172</v>
      </c>
      <c r="AJ166" s="876">
        <f t="shared" si="1028"/>
        <v>42.441814812613032</v>
      </c>
      <c r="AK166" s="3543">
        <f t="shared" ref="AK166:AN166" si="1029">+AK94/AK$106*100</f>
        <v>46.354127510919987</v>
      </c>
      <c r="AL166" s="232">
        <f t="shared" si="1029"/>
        <v>35.884151935898217</v>
      </c>
      <c r="AM166" s="1166">
        <f t="shared" si="1029"/>
        <v>46.354106701868133</v>
      </c>
      <c r="AN166" s="879">
        <f t="shared" si="1029"/>
        <v>38.295600444737111</v>
      </c>
      <c r="AO166" s="1552">
        <f t="shared" ref="AO166:AT166" si="1030">+AO94/AO$106*100</f>
        <v>46.354128801606684</v>
      </c>
      <c r="AP166" s="876">
        <f t="shared" si="1030"/>
        <v>41.687725499728778</v>
      </c>
      <c r="AQ166" s="3888">
        <f t="shared" si="1030"/>
        <v>46.354127510919987</v>
      </c>
      <c r="AR166" s="232">
        <f t="shared" si="1030"/>
        <v>31.59077310082915</v>
      </c>
      <c r="AS166" s="1552">
        <f t="shared" si="1030"/>
        <v>46.35412867085099</v>
      </c>
      <c r="AT166" s="876">
        <f t="shared" si="1030"/>
        <v>40.644719955658509</v>
      </c>
      <c r="AU166" s="4008">
        <f t="shared" ref="AU166:AX166" si="1031">+AU94/AU$106*100</f>
        <v>46.354225186311012</v>
      </c>
      <c r="AV166" s="232">
        <f t="shared" si="1031"/>
        <v>49.68493822665743</v>
      </c>
      <c r="AW166" s="1552">
        <f t="shared" si="1031"/>
        <v>46.35413676194424</v>
      </c>
      <c r="AX166" s="876">
        <f t="shared" si="1031"/>
        <v>41.416809547054442</v>
      </c>
      <c r="AY166" s="4258">
        <f t="shared" ref="AY166:BF166" si="1032">+AY94/AY$106*100</f>
        <v>46.354127510919987</v>
      </c>
      <c r="AZ166" s="232">
        <f t="shared" si="1032"/>
        <v>44.817332981834454</v>
      </c>
      <c r="BA166" s="1166">
        <f t="shared" si="1032"/>
        <v>46.354157898775306</v>
      </c>
      <c r="BB166" s="879">
        <f t="shared" si="1032"/>
        <v>41.773674367937723</v>
      </c>
      <c r="BC166" s="4270">
        <f t="shared" ref="BC166:BD166" si="1033">+BC94/BC$106*100</f>
        <v>46.354132019005888</v>
      </c>
      <c r="BD166" s="3575">
        <f t="shared" si="1033"/>
        <v>40.01908608556819</v>
      </c>
      <c r="BE166" s="1552">
        <f t="shared" si="1032"/>
        <v>46.354135976241359</v>
      </c>
      <c r="BF166" s="876">
        <f t="shared" si="1032"/>
        <v>41.709248065265612</v>
      </c>
    </row>
    <row r="167" spans="1:58" x14ac:dyDescent="0.25">
      <c r="B167" s="28" t="s">
        <v>11</v>
      </c>
      <c r="C167" s="3572" t="s">
        <v>52</v>
      </c>
      <c r="D167" s="3543">
        <f t="shared" ref="D167" si="1034">+D95/D$106*100</f>
        <v>9.7059167325895039</v>
      </c>
      <c r="E167" s="3543">
        <f t="shared" ref="E167:V167" si="1035">+E95/E$106*100</f>
        <v>9.7058966980441888</v>
      </c>
      <c r="F167" s="1992">
        <f t="shared" si="1035"/>
        <v>9.5564660783118835</v>
      </c>
      <c r="G167" s="3543">
        <f t="shared" si="1035"/>
        <v>9.7059157677374071</v>
      </c>
      <c r="H167" s="1992">
        <f t="shared" si="1035"/>
        <v>9.5337748613969993</v>
      </c>
      <c r="I167" s="1552">
        <f t="shared" si="1035"/>
        <v>9.7059063891805533</v>
      </c>
      <c r="J167" s="876">
        <f t="shared" si="1035"/>
        <v>9.5448844752696544</v>
      </c>
      <c r="K167" s="3543">
        <f t="shared" si="1035"/>
        <v>9.7058966980441888</v>
      </c>
      <c r="L167" s="1992">
        <f t="shared" si="1035"/>
        <v>9.7135212738188468</v>
      </c>
      <c r="M167" s="1166">
        <f t="shared" si="1035"/>
        <v>9.705903194296047</v>
      </c>
      <c r="N167" s="879">
        <f t="shared" si="1035"/>
        <v>9.6009095160326261</v>
      </c>
      <c r="O167" s="3543">
        <f t="shared" si="1035"/>
        <v>9.7059157628399291</v>
      </c>
      <c r="P167" s="1992">
        <f t="shared" si="1035"/>
        <v>10.049399133395513</v>
      </c>
      <c r="Q167" s="1552">
        <f t="shared" si="1035"/>
        <v>9.7059063879361176</v>
      </c>
      <c r="R167" s="876">
        <f t="shared" si="1035"/>
        <v>9.714725942185467</v>
      </c>
      <c r="S167" s="3543">
        <f t="shared" si="1035"/>
        <v>9.7059146930087152</v>
      </c>
      <c r="T167" s="1992">
        <f t="shared" si="1035"/>
        <v>9.508509851332926</v>
      </c>
      <c r="U167" s="1552">
        <f t="shared" si="1035"/>
        <v>9.7059080706607368</v>
      </c>
      <c r="V167" s="876">
        <f t="shared" si="1035"/>
        <v>9.6716879380800176</v>
      </c>
      <c r="W167" s="3543">
        <f t="shared" ref="W167:X167" si="1036">+W95/W$106*100</f>
        <v>9.7059013311609021</v>
      </c>
      <c r="X167" s="1992">
        <f t="shared" si="1036"/>
        <v>8.7839322040373222</v>
      </c>
      <c r="Y167" s="1166">
        <f t="shared" ref="Y167:AF167" si="1037">+Y95/Y$106*100</f>
        <v>9.7059106963666384</v>
      </c>
      <c r="Z167" s="3574">
        <f t="shared" si="1037"/>
        <v>9.4478012836896195</v>
      </c>
      <c r="AA167" s="3570">
        <f t="shared" si="1037"/>
        <v>9.7059069658248038</v>
      </c>
      <c r="AB167" s="3575">
        <f t="shared" si="1037"/>
        <v>9.5230745880238263</v>
      </c>
      <c r="AC167" s="3543">
        <f t="shared" si="1037"/>
        <v>9.7059146930087152</v>
      </c>
      <c r="AD167" s="232">
        <f t="shared" si="1037"/>
        <v>8.1696917225812413</v>
      </c>
      <c r="AE167" s="1552">
        <f t="shared" si="1037"/>
        <v>9.7059080851818109</v>
      </c>
      <c r="AF167" s="876">
        <f t="shared" si="1037"/>
        <v>9.3241057078431346</v>
      </c>
      <c r="AG167" s="3543">
        <f t="shared" ref="AG167:AJ167" si="1038">+AG95/AG$106*100</f>
        <v>9.7059013311609021</v>
      </c>
      <c r="AH167" s="232">
        <f t="shared" si="1038"/>
        <v>9.1803904081815677</v>
      </c>
      <c r="AI167" s="1552">
        <f t="shared" si="1038"/>
        <v>9.7059072547693184</v>
      </c>
      <c r="AJ167" s="876">
        <f t="shared" si="1038"/>
        <v>9.3060217707066002</v>
      </c>
      <c r="AK167" s="3543">
        <f t="shared" ref="AK167:AN167" si="1039">+AK95/AK$106*100</f>
        <v>9.7059146930087152</v>
      </c>
      <c r="AL167" s="232">
        <f t="shared" si="1039"/>
        <v>8.2549391400085632</v>
      </c>
      <c r="AM167" s="1166">
        <f t="shared" si="1039"/>
        <v>9.7059103358803842</v>
      </c>
      <c r="AN167" s="879">
        <f t="shared" si="1039"/>
        <v>8.5294638336736153</v>
      </c>
      <c r="AO167" s="1552">
        <f t="shared" ref="AO167:AT167" si="1040">+AO95/AO$106*100</f>
        <v>9.7059080932608115</v>
      </c>
      <c r="AP167" s="876">
        <f t="shared" si="1040"/>
        <v>9.1851539869139813</v>
      </c>
      <c r="AQ167" s="3888">
        <f t="shared" si="1040"/>
        <v>9.7059146930087152</v>
      </c>
      <c r="AR167" s="232">
        <f t="shared" si="1040"/>
        <v>11.924997863013029</v>
      </c>
      <c r="AS167" s="1552">
        <f t="shared" si="1040"/>
        <v>9.7059087618620445</v>
      </c>
      <c r="AT167" s="876">
        <f t="shared" si="1040"/>
        <v>9.4681772438097624</v>
      </c>
      <c r="AU167" s="4008">
        <f t="shared" ref="AU167:AX167" si="1041">+AU95/AU$106*100</f>
        <v>9.7059351448878424</v>
      </c>
      <c r="AV167" s="232">
        <f t="shared" si="1041"/>
        <v>10.706759799959574</v>
      </c>
      <c r="AW167" s="1552">
        <f t="shared" si="1041"/>
        <v>9.7059109736063789</v>
      </c>
      <c r="AX167" s="876">
        <f t="shared" si="1041"/>
        <v>9.5739597228407902</v>
      </c>
      <c r="AY167" s="4258">
        <f t="shared" ref="AY167:BF167" si="1042">+AY95/AY$106*100</f>
        <v>9.7059146930087152</v>
      </c>
      <c r="AZ167" s="232">
        <f t="shared" si="1042"/>
        <v>5.7353581303529504</v>
      </c>
      <c r="BA167" s="1166">
        <f t="shared" si="1042"/>
        <v>9.7059210558063178</v>
      </c>
      <c r="BB167" s="879">
        <f t="shared" si="1042"/>
        <v>9.4195417297752613</v>
      </c>
      <c r="BC167" s="4270">
        <f t="shared" ref="BC167:BD167" si="1043">+BC95/BC$106*100</f>
        <v>9.7059156369397002</v>
      </c>
      <c r="BD167" s="3575">
        <f t="shared" si="1043"/>
        <v>8.9705230253484913</v>
      </c>
      <c r="BE167" s="1552">
        <f t="shared" si="1042"/>
        <v>9.705911289500607</v>
      </c>
      <c r="BF167" s="876">
        <f t="shared" si="1042"/>
        <v>9.24384732007689</v>
      </c>
    </row>
    <row r="168" spans="1:58" s="1555" customFormat="1" x14ac:dyDescent="0.25">
      <c r="A168" s="332"/>
      <c r="B168" s="28" t="s">
        <v>1402</v>
      </c>
      <c r="C168" s="3572" t="s">
        <v>52</v>
      </c>
      <c r="D168" s="3543">
        <f t="shared" ref="D168" si="1044">+D96/D$106*100</f>
        <v>0</v>
      </c>
      <c r="E168" s="3543">
        <f t="shared" ref="E168:V168" si="1045">+E96/E$106*100</f>
        <v>0</v>
      </c>
      <c r="F168" s="1992">
        <f t="shared" si="1045"/>
        <v>0</v>
      </c>
      <c r="G168" s="3543">
        <f t="shared" si="1045"/>
        <v>0</v>
      </c>
      <c r="H168" s="1992">
        <f t="shared" si="1045"/>
        <v>0</v>
      </c>
      <c r="I168" s="1552">
        <f t="shared" si="1045"/>
        <v>0</v>
      </c>
      <c r="J168" s="876">
        <f t="shared" si="1045"/>
        <v>0</v>
      </c>
      <c r="K168" s="3543">
        <f t="shared" si="1045"/>
        <v>0</v>
      </c>
      <c r="L168" s="1992">
        <f t="shared" si="1045"/>
        <v>2.2011224223440355</v>
      </c>
      <c r="M168" s="1166">
        <f t="shared" si="1045"/>
        <v>0</v>
      </c>
      <c r="N168" s="879">
        <f t="shared" si="1045"/>
        <v>0.7312637247447894</v>
      </c>
      <c r="O168" s="3543">
        <f t="shared" si="1045"/>
        <v>0</v>
      </c>
      <c r="P168" s="1992">
        <f t="shared" si="1045"/>
        <v>7.8097677558615661</v>
      </c>
      <c r="Q168" s="1552">
        <f t="shared" si="1045"/>
        <v>0</v>
      </c>
      <c r="R168" s="876">
        <f t="shared" si="1045"/>
        <v>2.5276264500792238</v>
      </c>
      <c r="S168" s="3543">
        <f t="shared" si="1045"/>
        <v>0</v>
      </c>
      <c r="T168" s="1992">
        <f t="shared" si="1045"/>
        <v>8.0007385202728116</v>
      </c>
      <c r="U168" s="1552">
        <f t="shared" si="1045"/>
        <v>0</v>
      </c>
      <c r="V168" s="876">
        <f t="shared" si="1045"/>
        <v>3.6698836753653361</v>
      </c>
      <c r="W168" s="3543">
        <f t="shared" ref="W168:X168" si="1046">+W96/W$106*100</f>
        <v>0</v>
      </c>
      <c r="X168" s="1992">
        <f t="shared" si="1046"/>
        <v>9.2813869902807529</v>
      </c>
      <c r="Y168" s="1166">
        <f t="shared" ref="Y168:AF168" si="1047">+Y96/Y$106*100</f>
        <v>0</v>
      </c>
      <c r="Z168" s="3574">
        <f t="shared" si="1047"/>
        <v>8.3596444347905745</v>
      </c>
      <c r="AA168" s="3570">
        <f t="shared" si="1047"/>
        <v>0</v>
      </c>
      <c r="AB168" s="3575">
        <f t="shared" si="1047"/>
        <v>4.6092685472414683</v>
      </c>
      <c r="AC168" s="3543">
        <f t="shared" si="1047"/>
        <v>0</v>
      </c>
      <c r="AD168" s="232">
        <f t="shared" si="1047"/>
        <v>10.396339012399121</v>
      </c>
      <c r="AE168" s="1552">
        <f t="shared" si="1047"/>
        <v>0</v>
      </c>
      <c r="AF168" s="876">
        <f t="shared" si="1047"/>
        <v>5.4600602628604067</v>
      </c>
      <c r="AG168" s="3543">
        <f t="shared" ref="AG168:AJ168" si="1048">+AG96/AG$106*100</f>
        <v>0</v>
      </c>
      <c r="AH168" s="232">
        <f t="shared" si="1048"/>
        <v>9.0515428235053363</v>
      </c>
      <c r="AI168" s="1552">
        <f t="shared" si="1048"/>
        <v>0</v>
      </c>
      <c r="AJ168" s="876">
        <f t="shared" si="1048"/>
        <v>5.9119825356219451</v>
      </c>
      <c r="AK168" s="3543">
        <f t="shared" ref="AK168:AN168" si="1049">+AK96/AK$106*100</f>
        <v>0</v>
      </c>
      <c r="AL168" s="232">
        <f t="shared" si="1049"/>
        <v>13.976389993271759</v>
      </c>
      <c r="AM168" s="1166">
        <f t="shared" si="1049"/>
        <v>0</v>
      </c>
      <c r="AN168" s="879">
        <f t="shared" si="1049"/>
        <v>11.16649183821364</v>
      </c>
      <c r="AO168" s="1552">
        <f t="shared" ref="AO168:AT168" si="1050">+AO96/AO$106*100</f>
        <v>0</v>
      </c>
      <c r="AP168" s="876">
        <f t="shared" si="1050"/>
        <v>6.8393378438906023</v>
      </c>
      <c r="AQ168" s="3888">
        <f t="shared" si="1050"/>
        <v>0</v>
      </c>
      <c r="AR168" s="232">
        <f t="shared" si="1050"/>
        <v>12.473898230574788</v>
      </c>
      <c r="AS168" s="1552">
        <f t="shared" si="1050"/>
        <v>0</v>
      </c>
      <c r="AT168" s="876">
        <f t="shared" si="1050"/>
        <v>7.4213825529803197</v>
      </c>
      <c r="AU168" s="4008">
        <f t="shared" ref="AU168:AX168" si="1051">+AU96/AU$106*100</f>
        <v>0</v>
      </c>
      <c r="AV168" s="232">
        <f t="shared" si="1051"/>
        <v>0</v>
      </c>
      <c r="AW168" s="1552">
        <f t="shared" si="1051"/>
        <v>0</v>
      </c>
      <c r="AX168" s="876">
        <f t="shared" si="1051"/>
        <v>6.787551372011472</v>
      </c>
      <c r="AY168" s="4258">
        <f t="shared" ref="AY168:BF168" si="1052">+AY96/AY$106*100</f>
        <v>0</v>
      </c>
      <c r="AZ168" s="232">
        <f t="shared" si="1052"/>
        <v>6.155930623930943</v>
      </c>
      <c r="BA168" s="1166">
        <f t="shared" si="1052"/>
        <v>0</v>
      </c>
      <c r="BB168" s="879">
        <f t="shared" si="1052"/>
        <v>6.4156163078502706</v>
      </c>
      <c r="BC168" s="4270">
        <f t="shared" ref="BC168:BD168" si="1053">+BC96/BC$106*100</f>
        <v>0</v>
      </c>
      <c r="BD168" s="3575">
        <f t="shared" si="1053"/>
        <v>8.8122964016709542</v>
      </c>
      <c r="BE168" s="1552">
        <f t="shared" si="1052"/>
        <v>0</v>
      </c>
      <c r="BF168" s="876">
        <f t="shared" si="1052"/>
        <v>6.7332331944771218</v>
      </c>
    </row>
    <row r="169" spans="1:58" ht="15.75" thickBot="1" x14ac:dyDescent="0.3">
      <c r="B169" s="28" t="s">
        <v>707</v>
      </c>
      <c r="C169" s="3572" t="s">
        <v>52</v>
      </c>
      <c r="D169" s="3543">
        <f t="shared" ref="D169" si="1054">+D97/D$106*100</f>
        <v>9.6474535334182487</v>
      </c>
      <c r="E169" s="3543">
        <f t="shared" ref="E169:V169" si="1055">+E97/E$106*100</f>
        <v>9.6479783446324934</v>
      </c>
      <c r="F169" s="1992">
        <f t="shared" si="1055"/>
        <v>10.268048674875518</v>
      </c>
      <c r="G169" s="3543">
        <f t="shared" si="1055"/>
        <v>9.6474528248936284</v>
      </c>
      <c r="H169" s="1992">
        <f t="shared" si="1055"/>
        <v>10.637955468934864</v>
      </c>
      <c r="I169" s="1552">
        <f t="shared" si="1055"/>
        <v>9.6477112777534728</v>
      </c>
      <c r="J169" s="876">
        <f t="shared" si="1055"/>
        <v>10.456849199214457</v>
      </c>
      <c r="K169" s="3543">
        <f t="shared" si="1055"/>
        <v>9.6479783446324934</v>
      </c>
      <c r="L169" s="1992">
        <f t="shared" si="1055"/>
        <v>10.355651265987992</v>
      </c>
      <c r="M169" s="1166">
        <f t="shared" si="1055"/>
        <v>9.6477993219003793</v>
      </c>
      <c r="N169" s="879">
        <f t="shared" si="1055"/>
        <v>10.423228907659364</v>
      </c>
      <c r="O169" s="3543">
        <f t="shared" si="1055"/>
        <v>9.6474525695099214</v>
      </c>
      <c r="P169" s="1992">
        <f t="shared" si="1055"/>
        <v>7.8519058732630791</v>
      </c>
      <c r="Q169" s="1552">
        <f t="shared" si="1055"/>
        <v>9.6477112128609139</v>
      </c>
      <c r="R169" s="876">
        <f t="shared" si="1055"/>
        <v>9.7706858232056035</v>
      </c>
      <c r="S169" s="3543">
        <f t="shared" si="1055"/>
        <v>9.6474515061227919</v>
      </c>
      <c r="T169" s="1992">
        <f t="shared" si="1055"/>
        <v>8.5410728295079341</v>
      </c>
      <c r="U169" s="1552">
        <f t="shared" si="1055"/>
        <v>9.6476585926199032</v>
      </c>
      <c r="V169" s="876">
        <f t="shared" si="1055"/>
        <v>9.5140613820570454</v>
      </c>
      <c r="W169" s="3543">
        <f t="shared" ref="W169:X169" si="1056">+W97/W$106*100</f>
        <v>9.6474382247595312</v>
      </c>
      <c r="X169" s="1992">
        <f t="shared" si="1056"/>
        <v>11.126420242010193</v>
      </c>
      <c r="Y169" s="1166">
        <f t="shared" ref="Y169:AF169" si="1057">+Y97/Y$106*100</f>
        <v>9.6474475335543293</v>
      </c>
      <c r="Z169" s="3574">
        <f t="shared" si="1057"/>
        <v>9.1657610923333586</v>
      </c>
      <c r="AA169" s="3570">
        <f t="shared" si="1057"/>
        <v>9.6476224667446147</v>
      </c>
      <c r="AB169" s="3575">
        <f t="shared" si="1057"/>
        <v>9.7839757768413378</v>
      </c>
      <c r="AC169" s="3543">
        <f t="shared" si="1057"/>
        <v>9.6474515061227919</v>
      </c>
      <c r="AD169" s="232">
        <f t="shared" si="1057"/>
        <v>10.698246807458023</v>
      </c>
      <c r="AE169" s="1552">
        <f t="shared" si="1057"/>
        <v>9.6475977014520797</v>
      </c>
      <c r="AF169" s="876">
        <f t="shared" si="1057"/>
        <v>9.9183882094118943</v>
      </c>
      <c r="AG169" s="3543">
        <f t="shared" ref="AG169:AJ169" si="1058">+AG97/AG$106*100</f>
        <v>9.6474382247595312</v>
      </c>
      <c r="AH169" s="232">
        <f t="shared" si="1058"/>
        <v>10.419601001979451</v>
      </c>
      <c r="AI169" s="1552">
        <f t="shared" si="1058"/>
        <v>9.6475780936599929</v>
      </c>
      <c r="AJ169" s="876">
        <f t="shared" si="1058"/>
        <v>9.9814566555283672</v>
      </c>
      <c r="AK169" s="3543">
        <f t="shared" ref="AK169:AN169" si="1059">+AK97/AK$106*100</f>
        <v>9.6474515061227919</v>
      </c>
      <c r="AL169" s="232">
        <f t="shared" si="1059"/>
        <v>9.014006972903541</v>
      </c>
      <c r="AM169" s="1166">
        <f t="shared" si="1059"/>
        <v>9.6474471752394493</v>
      </c>
      <c r="AN169" s="879">
        <f t="shared" si="1059"/>
        <v>10.037524693829603</v>
      </c>
      <c r="AO169" s="1552">
        <f t="shared" ref="AO169:AT169" si="1060">+AO97/AO$106*100</f>
        <v>9.647563823808289</v>
      </c>
      <c r="AP169" s="876">
        <f t="shared" si="1060"/>
        <v>9.8702061261650584</v>
      </c>
      <c r="AQ169" s="3888">
        <f t="shared" si="1060"/>
        <v>9.6474515061227919</v>
      </c>
      <c r="AR169" s="232">
        <f t="shared" si="1060"/>
        <v>10.534124629080118</v>
      </c>
      <c r="AS169" s="1552">
        <f t="shared" si="1060"/>
        <v>9.6475524452307937</v>
      </c>
      <c r="AT169" s="876">
        <f t="shared" si="1060"/>
        <v>9.9387882737273952</v>
      </c>
      <c r="AU169" s="4008">
        <f t="shared" ref="AU169:AX169" si="1061">+AU97/AU$106*100</f>
        <v>9.6474718348108457</v>
      </c>
      <c r="AV169" s="232">
        <f t="shared" si="1061"/>
        <v>12.726581521487942</v>
      </c>
      <c r="AW169" s="1552">
        <f t="shared" si="1061"/>
        <v>9.6475456874903696</v>
      </c>
      <c r="AX169" s="876">
        <f t="shared" si="1061"/>
        <v>10.17688276271388</v>
      </c>
      <c r="AY169" s="4258">
        <f t="shared" ref="AY169:BF169" si="1062">+AY97/AY$106*100</f>
        <v>9.6474515061227919</v>
      </c>
      <c r="AZ169" s="232">
        <f t="shared" si="1062"/>
        <v>9.4935350773399705</v>
      </c>
      <c r="BA169" s="1166">
        <f t="shared" si="1062"/>
        <v>9.6474578305943393</v>
      </c>
      <c r="BB169" s="879">
        <f t="shared" si="1062"/>
        <v>10.860217629470597</v>
      </c>
      <c r="BC169" s="4270">
        <f t="shared" ref="BC169:BD169" si="1063">+BC97/BC$106*100</f>
        <v>9.6474524443680458</v>
      </c>
      <c r="BD169" s="3575">
        <f t="shared" si="1063"/>
        <v>10.445192699944217</v>
      </c>
      <c r="BE169" s="1552">
        <f t="shared" si="1062"/>
        <v>9.6475376885304218</v>
      </c>
      <c r="BF169" s="876">
        <f t="shared" si="1062"/>
        <v>10.118116167403914</v>
      </c>
    </row>
    <row r="170" spans="1:58" ht="19.5" thickBot="1" x14ac:dyDescent="0.3">
      <c r="B170" s="2381" t="s">
        <v>14</v>
      </c>
      <c r="C170" s="487" t="s">
        <v>52</v>
      </c>
      <c r="D170" s="2382">
        <f>+D166+D167+D169</f>
        <v>65.707507517687972</v>
      </c>
      <c r="E170" s="2382">
        <f>+E166+E167+E169</f>
        <v>65.708067112129925</v>
      </c>
      <c r="F170" s="371">
        <f>+F166+F167+F169</f>
        <v>66.727562204626253</v>
      </c>
      <c r="G170" s="2382">
        <f t="shared" ref="G170:N170" si="1064">SUM(G166:G169)</f>
        <v>65.707501003194665</v>
      </c>
      <c r="H170" s="377">
        <f t="shared" si="1064"/>
        <v>67.170170648985206</v>
      </c>
      <c r="I170" s="2383">
        <f t="shared" si="1064"/>
        <v>65.707779417995255</v>
      </c>
      <c r="J170" s="877">
        <f t="shared" si="1064"/>
        <v>66.953469670273947</v>
      </c>
      <c r="K170" s="2382">
        <f t="shared" si="1064"/>
        <v>65.708067112129925</v>
      </c>
      <c r="L170" s="377">
        <f t="shared" si="1064"/>
        <v>67.36426520490734</v>
      </c>
      <c r="M170" s="2384">
        <f t="shared" si="1064"/>
        <v>65.707874262345683</v>
      </c>
      <c r="N170" s="880">
        <f t="shared" si="1064"/>
        <v>67.089945438143616</v>
      </c>
      <c r="O170" s="2382">
        <f t="shared" ref="O170:R170" si="1065">SUM(O166:O169)</f>
        <v>65.7075009526381</v>
      </c>
      <c r="P170" s="377">
        <f t="shared" si="1065"/>
        <v>67.240514301779058</v>
      </c>
      <c r="Q170" s="2383">
        <f t="shared" si="1065"/>
        <v>65.707779405148841</v>
      </c>
      <c r="R170" s="877">
        <f t="shared" si="1065"/>
        <v>67.12815637834251</v>
      </c>
      <c r="S170" s="2382">
        <f t="shared" ref="S170:V170" si="1066">SUM(S166:S169)</f>
        <v>65.707493710051494</v>
      </c>
      <c r="T170" s="377">
        <f t="shared" si="1066"/>
        <v>66.957658375488492</v>
      </c>
      <c r="U170" s="2383">
        <f t="shared" si="1066"/>
        <v>65.707721519300421</v>
      </c>
      <c r="V170" s="877">
        <f t="shared" si="1066"/>
        <v>67.092572861476938</v>
      </c>
      <c r="W170" s="2382">
        <f t="shared" ref="W170:X170" si="1067">SUM(W166:W169)</f>
        <v>65.707403252473924</v>
      </c>
      <c r="X170" s="377">
        <f t="shared" si="1067"/>
        <v>68.643666890573314</v>
      </c>
      <c r="Y170" s="2384">
        <f t="shared" ref="Y170:AF170" si="1068">SUM(Y166:Y169)</f>
        <v>65.707466653422372</v>
      </c>
      <c r="Z170" s="1799">
        <f t="shared" si="1068"/>
        <v>67.605885104474595</v>
      </c>
      <c r="AA170" s="2385">
        <f t="shared" si="1068"/>
        <v>65.70766934441582</v>
      </c>
      <c r="AB170" s="1800">
        <f t="shared" si="1068"/>
        <v>67.352231313770403</v>
      </c>
      <c r="AC170" s="2382">
        <f t="shared" si="1068"/>
        <v>65.707493710051494</v>
      </c>
      <c r="AD170" s="124">
        <f t="shared" si="1068"/>
        <v>68.034878327819158</v>
      </c>
      <c r="AE170" s="2383">
        <f t="shared" si="1068"/>
        <v>65.707643902086673</v>
      </c>
      <c r="AF170" s="877">
        <f t="shared" si="1068"/>
        <v>67.452591319362426</v>
      </c>
      <c r="AG170" s="2382">
        <f t="shared" ref="AG170:AJ170" si="1069">SUM(AG166:AG169)</f>
        <v>65.707403252473924</v>
      </c>
      <c r="AH170" s="124">
        <f t="shared" si="1069"/>
        <v>68.952090173097872</v>
      </c>
      <c r="AI170" s="2383">
        <f t="shared" si="1069"/>
        <v>65.707614314016482</v>
      </c>
      <c r="AJ170" s="877">
        <f t="shared" si="1069"/>
        <v>67.641275774469946</v>
      </c>
      <c r="AK170" s="2382">
        <f t="shared" ref="AK170:AN170" si="1070">SUM(AK166:AK169)</f>
        <v>65.707493710051494</v>
      </c>
      <c r="AL170" s="124">
        <f t="shared" si="1070"/>
        <v>67.129488042082073</v>
      </c>
      <c r="AM170" s="2384">
        <f t="shared" si="1070"/>
        <v>65.707464212987958</v>
      </c>
      <c r="AN170" s="880">
        <f t="shared" si="1070"/>
        <v>68.029080810453962</v>
      </c>
      <c r="AO170" s="2383">
        <f t="shared" ref="AO170:AT170" si="1071">SUM(AO166:AO169)</f>
        <v>65.707600718675778</v>
      </c>
      <c r="AP170" s="877">
        <f t="shared" si="1071"/>
        <v>67.582423456698422</v>
      </c>
      <c r="AQ170" s="2382">
        <f t="shared" si="1071"/>
        <v>65.707493710051494</v>
      </c>
      <c r="AR170" s="124">
        <f t="shared" si="1071"/>
        <v>66.523793823497087</v>
      </c>
      <c r="AS170" s="2383">
        <f t="shared" si="1071"/>
        <v>65.707589877943832</v>
      </c>
      <c r="AT170" s="877">
        <f t="shared" si="1071"/>
        <v>67.47306802617598</v>
      </c>
      <c r="AU170" s="2382">
        <f t="shared" ref="AU170:AX170" si="1072">SUM(AU166:AU169)</f>
        <v>65.707632166009702</v>
      </c>
      <c r="AV170" s="124">
        <f t="shared" si="1072"/>
        <v>73.118279548104951</v>
      </c>
      <c r="AW170" s="2383">
        <f t="shared" si="1072"/>
        <v>65.70759342304099</v>
      </c>
      <c r="AX170" s="877">
        <f t="shared" si="1072"/>
        <v>67.95520340462059</v>
      </c>
      <c r="AY170" s="2382">
        <f t="shared" ref="AY170:BF170" si="1073">SUM(AY166:AY169)</f>
        <v>65.707493710051494</v>
      </c>
      <c r="AZ170" s="124">
        <f t="shared" si="1073"/>
        <v>66.202156813458316</v>
      </c>
      <c r="BA170" s="2384">
        <f t="shared" si="1073"/>
        <v>65.707536785175961</v>
      </c>
      <c r="BB170" s="880">
        <f t="shared" si="1073"/>
        <v>68.46905003503386</v>
      </c>
      <c r="BC170" s="2385">
        <f t="shared" ref="BC170:BD170" si="1074">SUM(BC166:BC169)</f>
        <v>65.707500100313638</v>
      </c>
      <c r="BD170" s="1800">
        <f t="shared" si="1074"/>
        <v>68.247098212531853</v>
      </c>
      <c r="BE170" s="2383">
        <f t="shared" si="1073"/>
        <v>65.707584954272392</v>
      </c>
      <c r="BF170" s="877">
        <f t="shared" si="1073"/>
        <v>67.804444747223542</v>
      </c>
    </row>
    <row r="171" spans="1:58" x14ac:dyDescent="0.25">
      <c r="B171" s="27" t="s">
        <v>709</v>
      </c>
      <c r="C171" s="2386" t="s">
        <v>52</v>
      </c>
      <c r="D171" s="238">
        <f>+D99/D$106*100</f>
        <v>23.295020694343531</v>
      </c>
      <c r="E171" s="238">
        <f>+E99/E$106*100</f>
        <v>23.294761742184068</v>
      </c>
      <c r="F171" s="3578">
        <f>+F99/$F$106*100</f>
        <v>21.247282080730905</v>
      </c>
      <c r="G171" s="238">
        <f t="shared" ref="G171:V171" si="1075">+G99/G$106*100</f>
        <v>23.295018429960802</v>
      </c>
      <c r="H171" s="119">
        <f t="shared" si="1075"/>
        <v>23.478229341855183</v>
      </c>
      <c r="I171" s="3547">
        <f t="shared" si="1075"/>
        <v>23.294892189812096</v>
      </c>
      <c r="J171" s="878">
        <f t="shared" si="1075"/>
        <v>22.385958145721506</v>
      </c>
      <c r="K171" s="238">
        <f t="shared" si="1075"/>
        <v>23.294761742184068</v>
      </c>
      <c r="L171" s="119">
        <f t="shared" si="1075"/>
        <v>23.01814147742104</v>
      </c>
      <c r="M171" s="3549">
        <f t="shared" si="1075"/>
        <v>23.29484918504053</v>
      </c>
      <c r="N171" s="881">
        <f t="shared" si="1075"/>
        <v>22.595984054851932</v>
      </c>
      <c r="O171" s="238">
        <f t="shared" si="1075"/>
        <v>23.295018366862564</v>
      </c>
      <c r="P171" s="119">
        <f t="shared" si="1075"/>
        <v>23.354844385398664</v>
      </c>
      <c r="Q171" s="3547">
        <f t="shared" si="1075"/>
        <v>23.294892173779015</v>
      </c>
      <c r="R171" s="878">
        <f t="shared" si="1075"/>
        <v>22.788565482444064</v>
      </c>
      <c r="S171" s="238">
        <f t="shared" si="1075"/>
        <v>23.295015799177204</v>
      </c>
      <c r="T171" s="119">
        <f t="shared" si="1075"/>
        <v>22.600253820339613</v>
      </c>
      <c r="U171" s="3547">
        <f t="shared" si="1075"/>
        <v>23.294917222024953</v>
      </c>
      <c r="V171" s="878">
        <f t="shared" si="1075"/>
        <v>22.749264193910999</v>
      </c>
      <c r="W171" s="238">
        <f t="shared" ref="W171:X171" si="1076">+W99/W$106*100</f>
        <v>23.294983729612852</v>
      </c>
      <c r="X171" s="119">
        <f t="shared" si="1076"/>
        <v>22.535599565769662</v>
      </c>
      <c r="Y171" s="3549">
        <f t="shared" ref="Y171:AF171" si="1077">+Y99/Y$106*100</f>
        <v>23.295006206898353</v>
      </c>
      <c r="Z171" s="881">
        <f t="shared" si="1077"/>
        <v>22.827140518788738</v>
      </c>
      <c r="AA171" s="1134">
        <f t="shared" si="1077"/>
        <v>23.29492812490717</v>
      </c>
      <c r="AB171" s="1164">
        <f t="shared" si="1077"/>
        <v>22.713496003451677</v>
      </c>
      <c r="AC171" s="238">
        <f t="shared" si="1077"/>
        <v>23.295015799177204</v>
      </c>
      <c r="AD171" s="119">
        <f t="shared" si="1077"/>
        <v>24.126403017841124</v>
      </c>
      <c r="AE171" s="3547">
        <f t="shared" si="1077"/>
        <v>23.294940825369544</v>
      </c>
      <c r="AF171" s="878">
        <f t="shared" si="1077"/>
        <v>22.921215883487676</v>
      </c>
      <c r="AG171" s="238">
        <f t="shared" ref="AG171:AJ171" si="1078">+AG99/AG$106*100</f>
        <v>23.294983729612852</v>
      </c>
      <c r="AH171" s="119">
        <f t="shared" si="1078"/>
        <v>22.858761572597402</v>
      </c>
      <c r="AI171" s="3547">
        <f t="shared" si="1078"/>
        <v>23.294946100481972</v>
      </c>
      <c r="AJ171" s="878">
        <f t="shared" si="1078"/>
        <v>22.913357152825704</v>
      </c>
      <c r="AK171" s="238">
        <f t="shared" ref="AK171:AN171" si="1079">+AK99/AK$106*100</f>
        <v>23.295015799177204</v>
      </c>
      <c r="AL171" s="119">
        <f t="shared" si="1079"/>
        <v>20.570065447427975</v>
      </c>
      <c r="AM171" s="3549">
        <f t="shared" si="1079"/>
        <v>23.295005341700865</v>
      </c>
      <c r="AN171" s="881">
        <f t="shared" si="1079"/>
        <v>22.50883931555488</v>
      </c>
      <c r="AO171" s="3547">
        <f t="shared" ref="AO171:AT171" si="1080">+AO99/AO$106*100</f>
        <v>23.294953957416915</v>
      </c>
      <c r="AP171" s="878">
        <f t="shared" si="1080"/>
        <v>22.643893585510394</v>
      </c>
      <c r="AQ171" s="3872">
        <f t="shared" si="1080"/>
        <v>23.295015799177204</v>
      </c>
      <c r="AR171" s="119">
        <f t="shared" si="1080"/>
        <v>17.912224786606586</v>
      </c>
      <c r="AS171" s="3874">
        <f t="shared" si="1080"/>
        <v>23.294960222425491</v>
      </c>
      <c r="AT171" s="878">
        <f t="shared" si="1080"/>
        <v>22.155116715521501</v>
      </c>
      <c r="AU171" s="3989">
        <f t="shared" ref="AU171:AX171" si="1081">+AU99/AU$106*100</f>
        <v>23.29506488541611</v>
      </c>
      <c r="AV171" s="119">
        <f t="shared" si="1081"/>
        <v>4.5089517366002863</v>
      </c>
      <c r="AW171" s="3991">
        <f t="shared" si="1081"/>
        <v>23.294968996543307</v>
      </c>
      <c r="AX171" s="878">
        <f t="shared" si="1081"/>
        <v>20.648026963940225</v>
      </c>
      <c r="AY171" s="4223">
        <f t="shared" ref="AY171:BF171" si="1082">+AY99/AY$106*100</f>
        <v>23.295015799177204</v>
      </c>
      <c r="AZ171" s="119">
        <f t="shared" si="1082"/>
        <v>16.826578219739933</v>
      </c>
      <c r="BA171" s="4225">
        <f t="shared" si="1082"/>
        <v>23.295031070429367</v>
      </c>
      <c r="BB171" s="881">
        <f t="shared" si="1082"/>
        <v>13.361148921310789</v>
      </c>
      <c r="BC171" s="4227">
        <f t="shared" ref="BC171:BD171" si="1083">+BC99/BC$106*100</f>
        <v>23.295018064691369</v>
      </c>
      <c r="BD171" s="1164">
        <f t="shared" si="1083"/>
        <v>17.975895683712842</v>
      </c>
      <c r="BE171" s="4226">
        <f t="shared" si="1082"/>
        <v>23.294972971558789</v>
      </c>
      <c r="BF171" s="878">
        <f t="shared" si="1082"/>
        <v>20.319389673356117</v>
      </c>
    </row>
    <row r="172" spans="1:58" ht="14.25" customHeight="1" thickBot="1" x14ac:dyDescent="0.3">
      <c r="B172" s="2336" t="s">
        <v>710</v>
      </c>
      <c r="C172" s="2386" t="s">
        <v>52</v>
      </c>
      <c r="D172" s="238">
        <f>+D100/D$106*100</f>
        <v>6.0001704412605514</v>
      </c>
      <c r="E172" s="238">
        <f>+E100/E$106*100</f>
        <v>5.9997317465736719</v>
      </c>
      <c r="F172" s="3578">
        <f>+F100/$F$106*100</f>
        <v>6.5840123020038499</v>
      </c>
      <c r="G172" s="238">
        <f t="shared" ref="G172:V172" si="1084">+G100/G$106*100</f>
        <v>6.0001697897630288</v>
      </c>
      <c r="H172" s="119">
        <f t="shared" si="1084"/>
        <v>5.26233433156332</v>
      </c>
      <c r="I172" s="3547">
        <f t="shared" si="1084"/>
        <v>5.9999543582451391</v>
      </c>
      <c r="J172" s="878">
        <f t="shared" si="1084"/>
        <v>5.9094275205565419</v>
      </c>
      <c r="K172" s="238">
        <f t="shared" si="1084"/>
        <v>5.9997317465736719</v>
      </c>
      <c r="L172" s="119">
        <f t="shared" si="1084"/>
        <v>5.3563038371182463</v>
      </c>
      <c r="M172" s="3549">
        <f t="shared" si="1084"/>
        <v>5.9998809696812785</v>
      </c>
      <c r="N172" s="881">
        <f t="shared" si="1084"/>
        <v>5.7256670532196523</v>
      </c>
      <c r="O172" s="238">
        <f t="shared" si="1084"/>
        <v>6.000169841764091</v>
      </c>
      <c r="P172" s="119">
        <f t="shared" si="1084"/>
        <v>5.5807824685031919</v>
      </c>
      <c r="Q172" s="3547">
        <f t="shared" si="1084"/>
        <v>5.9999543714585846</v>
      </c>
      <c r="R172" s="878">
        <f t="shared" si="1084"/>
        <v>5.6888986532419041</v>
      </c>
      <c r="S172" s="238">
        <f t="shared" si="1084"/>
        <v>6.0001691803974406</v>
      </c>
      <c r="T172" s="119">
        <f t="shared" si="1084"/>
        <v>5.7647518504410584</v>
      </c>
      <c r="U172" s="3547">
        <f t="shared" si="1084"/>
        <v>5.9999978947734443</v>
      </c>
      <c r="V172" s="878">
        <f t="shared" si="1084"/>
        <v>5.704729475167448</v>
      </c>
      <c r="W172" s="238">
        <f t="shared" ref="W172:X172" si="1085">+W100/W$106*100</f>
        <v>6.0001609201406829</v>
      </c>
      <c r="X172" s="119">
        <f t="shared" si="1085"/>
        <v>3.6225761574435169</v>
      </c>
      <c r="Y172" s="3549">
        <f t="shared" ref="Y172:AF172" si="1086">+Y100/Y$106*100</f>
        <v>6.0001667096845441</v>
      </c>
      <c r="Z172" s="881">
        <f t="shared" si="1086"/>
        <v>4.9988332191013249</v>
      </c>
      <c r="AA172" s="1134">
        <f t="shared" si="1086"/>
        <v>6.0000246202409189</v>
      </c>
      <c r="AB172" s="1164">
        <f t="shared" si="1086"/>
        <v>5.3561698793105501</v>
      </c>
      <c r="AC172" s="238">
        <f t="shared" si="1086"/>
        <v>6.0001691803974406</v>
      </c>
      <c r="AD172" s="119">
        <f t="shared" si="1086"/>
        <v>0.22262762437772482</v>
      </c>
      <c r="AE172" s="3547">
        <f t="shared" si="1086"/>
        <v>6.0000455611718015</v>
      </c>
      <c r="AF172" s="878">
        <f t="shared" si="1086"/>
        <v>4.6014572404075729</v>
      </c>
      <c r="AG172" s="238">
        <f t="shared" ref="AG172:AJ172" si="1087">+AG100/AG$106*100</f>
        <v>6.0001609201406829</v>
      </c>
      <c r="AH172" s="119">
        <f t="shared" si="1087"/>
        <v>4.3186047069791176</v>
      </c>
      <c r="AI172" s="3547">
        <f t="shared" si="1087"/>
        <v>6.0000597446530426</v>
      </c>
      <c r="AJ172" s="878">
        <f t="shared" si="1087"/>
        <v>4.5658654318424796</v>
      </c>
      <c r="AK172" s="238">
        <f t="shared" ref="AK172:AN172" si="1088">+AK100/AK$106*100</f>
        <v>6.0001691803974406</v>
      </c>
      <c r="AL172" s="119">
        <f t="shared" si="1088"/>
        <v>8.0004893265643151</v>
      </c>
      <c r="AM172" s="3549">
        <f t="shared" si="1088"/>
        <v>6.0001664868329554</v>
      </c>
      <c r="AN172" s="881">
        <f t="shared" si="1088"/>
        <v>4.193711304727648</v>
      </c>
      <c r="AO172" s="3547">
        <f t="shared" ref="AO172:AT172" si="1089">+AO100/AO$106*100</f>
        <v>6.0000720810321058</v>
      </c>
      <c r="AP172" s="878">
        <f t="shared" si="1089"/>
        <v>4.9608252249089002</v>
      </c>
      <c r="AQ172" s="3872">
        <f t="shared" si="1089"/>
        <v>6.0001691803974406</v>
      </c>
      <c r="AR172" s="119">
        <f t="shared" si="1089"/>
        <v>8.0497246339646598</v>
      </c>
      <c r="AS172" s="3874">
        <f t="shared" si="1089"/>
        <v>6.0000819178859244</v>
      </c>
      <c r="AT172" s="878">
        <f t="shared" si="1089"/>
        <v>5.2799055851442915</v>
      </c>
      <c r="AU172" s="3989">
        <f t="shared" ref="AU172:AX172" si="1090">+AU100/AU$106*100</f>
        <v>6.0001818236916273</v>
      </c>
      <c r="AV172" s="119">
        <f t="shared" si="1090"/>
        <v>14.362989972144128</v>
      </c>
      <c r="AW172" s="3991">
        <f t="shared" si="1090"/>
        <v>6.0000902931989657</v>
      </c>
      <c r="AX172" s="878">
        <f t="shared" si="1090"/>
        <v>6.0556562034087902</v>
      </c>
      <c r="AY172" s="4223">
        <f t="shared" ref="AY172:BF172" si="1091">+AY100/AY$106*100</f>
        <v>6.0001691803974406</v>
      </c>
      <c r="AZ172" s="119">
        <f t="shared" si="1091"/>
        <v>9.07602798094549</v>
      </c>
      <c r="BA172" s="4225">
        <f t="shared" si="1091"/>
        <v>6.0001731138610337</v>
      </c>
      <c r="BB172" s="881">
        <f t="shared" si="1091"/>
        <v>10.370234961319849</v>
      </c>
      <c r="BC172" s="4227">
        <f t="shared" ref="BC172:BD172" si="1092">+BC100/BC$106*100</f>
        <v>6.0001697639329228</v>
      </c>
      <c r="BD172" s="1164">
        <f t="shared" si="1092"/>
        <v>7.2543563822751036</v>
      </c>
      <c r="BE172" s="4226">
        <f t="shared" si="1091"/>
        <v>6.0000969932029813</v>
      </c>
      <c r="BF172" s="878">
        <f t="shared" si="1091"/>
        <v>6.3154024054304241</v>
      </c>
    </row>
    <row r="173" spans="1:58" ht="19.5" thickBot="1" x14ac:dyDescent="0.3">
      <c r="B173" s="2381" t="s">
        <v>152</v>
      </c>
      <c r="C173" s="487" t="s">
        <v>52</v>
      </c>
      <c r="D173" s="469">
        <f>+D171+D172</f>
        <v>29.295191135604082</v>
      </c>
      <c r="E173" s="469">
        <f>+E171+E172</f>
        <v>29.294493488757741</v>
      </c>
      <c r="F173" s="371">
        <f>+F171+F172</f>
        <v>27.831294382734754</v>
      </c>
      <c r="G173" s="469">
        <f t="shared" ref="G173:N173" si="1093">SUM(G171:G172)</f>
        <v>29.29518821972383</v>
      </c>
      <c r="H173" s="377">
        <f t="shared" si="1093"/>
        <v>28.740563673418503</v>
      </c>
      <c r="I173" s="826">
        <f t="shared" si="1093"/>
        <v>29.294846548057237</v>
      </c>
      <c r="J173" s="877">
        <f t="shared" si="1093"/>
        <v>28.295385666278047</v>
      </c>
      <c r="K173" s="469">
        <f t="shared" si="1093"/>
        <v>29.294493488757741</v>
      </c>
      <c r="L173" s="377">
        <f t="shared" si="1093"/>
        <v>28.374445314539287</v>
      </c>
      <c r="M173" s="1005">
        <f t="shared" si="1093"/>
        <v>29.294730154721808</v>
      </c>
      <c r="N173" s="880">
        <f t="shared" si="1093"/>
        <v>28.321651108071585</v>
      </c>
      <c r="O173" s="469">
        <f t="shared" ref="O173:R173" si="1094">SUM(O171:O172)</f>
        <v>29.295188208626655</v>
      </c>
      <c r="P173" s="377">
        <f t="shared" si="1094"/>
        <v>28.935626853901855</v>
      </c>
      <c r="Q173" s="826">
        <f t="shared" si="1094"/>
        <v>29.294846545237601</v>
      </c>
      <c r="R173" s="877">
        <f t="shared" si="1094"/>
        <v>28.477464135685967</v>
      </c>
      <c r="S173" s="469">
        <f t="shared" ref="S173:V173" si="1095">SUM(S171:S172)</f>
        <v>29.295184979574643</v>
      </c>
      <c r="T173" s="377">
        <f t="shared" si="1095"/>
        <v>28.365005670780672</v>
      </c>
      <c r="U173" s="826">
        <f t="shared" si="1095"/>
        <v>29.294915116798396</v>
      </c>
      <c r="V173" s="877">
        <f t="shared" si="1095"/>
        <v>28.453993669078447</v>
      </c>
      <c r="W173" s="469">
        <f t="shared" ref="W173:X173" si="1096">SUM(W171:W172)</f>
        <v>29.295144649753535</v>
      </c>
      <c r="X173" s="377">
        <f t="shared" si="1096"/>
        <v>26.15817572321318</v>
      </c>
      <c r="Y173" s="1005">
        <f t="shared" ref="Y173:AF173" si="1097">SUM(Y171:Y172)</f>
        <v>29.295172916582899</v>
      </c>
      <c r="Z173" s="1799">
        <f t="shared" si="1097"/>
        <v>27.825973737890063</v>
      </c>
      <c r="AA173" s="1198">
        <f t="shared" si="1097"/>
        <v>29.294952745148088</v>
      </c>
      <c r="AB173" s="1800">
        <f t="shared" si="1097"/>
        <v>28.069665882762227</v>
      </c>
      <c r="AC173" s="469">
        <f t="shared" si="1097"/>
        <v>29.295184979574643</v>
      </c>
      <c r="AD173" s="124">
        <f t="shared" si="1097"/>
        <v>24.34903064221885</v>
      </c>
      <c r="AE173" s="826">
        <f t="shared" si="1097"/>
        <v>29.294986386541346</v>
      </c>
      <c r="AF173" s="877">
        <f t="shared" si="1097"/>
        <v>27.522673123895249</v>
      </c>
      <c r="AG173" s="469">
        <f t="shared" ref="AG173:AJ173" si="1098">SUM(AG171:AG172)</f>
        <v>29.295144649753535</v>
      </c>
      <c r="AH173" s="124">
        <f t="shared" si="1098"/>
        <v>27.177366279576518</v>
      </c>
      <c r="AI173" s="826">
        <f t="shared" si="1098"/>
        <v>29.295005845135016</v>
      </c>
      <c r="AJ173" s="877">
        <f t="shared" si="1098"/>
        <v>27.479222584668182</v>
      </c>
      <c r="AK173" s="469">
        <f t="shared" ref="AK173:AN173" si="1099">SUM(AK171:AK172)</f>
        <v>29.295184979574643</v>
      </c>
      <c r="AL173" s="124">
        <f t="shared" si="1099"/>
        <v>28.570554773992292</v>
      </c>
      <c r="AM173" s="1005">
        <f t="shared" si="1099"/>
        <v>29.295171828533821</v>
      </c>
      <c r="AN173" s="880">
        <f t="shared" si="1099"/>
        <v>26.70255062028253</v>
      </c>
      <c r="AO173" s="826">
        <f t="shared" ref="AO173:AT173" si="1100">SUM(AO171:AO172)</f>
        <v>29.29502603844902</v>
      </c>
      <c r="AP173" s="877">
        <f t="shared" si="1100"/>
        <v>27.604718810419293</v>
      </c>
      <c r="AQ173" s="469">
        <f t="shared" si="1100"/>
        <v>29.295184979574643</v>
      </c>
      <c r="AR173" s="124">
        <f t="shared" si="1100"/>
        <v>25.961949420571244</v>
      </c>
      <c r="AS173" s="826">
        <f t="shared" si="1100"/>
        <v>29.295042140311416</v>
      </c>
      <c r="AT173" s="877">
        <f t="shared" si="1100"/>
        <v>27.435022300665793</v>
      </c>
      <c r="AU173" s="469">
        <f t="shared" ref="AU173:AX173" si="1101">SUM(AU171:AU172)</f>
        <v>29.295246709107737</v>
      </c>
      <c r="AV173" s="124">
        <f t="shared" si="1101"/>
        <v>18.871941708744416</v>
      </c>
      <c r="AW173" s="826">
        <f t="shared" si="1101"/>
        <v>29.295059289742273</v>
      </c>
      <c r="AX173" s="877">
        <f t="shared" si="1101"/>
        <v>26.703683167349016</v>
      </c>
      <c r="AY173" s="469">
        <f t="shared" ref="AY173:BF173" si="1102">SUM(AY171:AY172)</f>
        <v>29.295184979574643</v>
      </c>
      <c r="AZ173" s="124">
        <f t="shared" si="1102"/>
        <v>25.902606200685423</v>
      </c>
      <c r="BA173" s="1005">
        <f t="shared" si="1102"/>
        <v>29.295204184290402</v>
      </c>
      <c r="BB173" s="880">
        <f t="shared" si="1102"/>
        <v>23.731383882630638</v>
      </c>
      <c r="BC173" s="1198">
        <f t="shared" ref="BC173:BD173" si="1103">SUM(BC171:BC172)</f>
        <v>29.295187828624293</v>
      </c>
      <c r="BD173" s="1800">
        <f t="shared" si="1103"/>
        <v>25.230252065987948</v>
      </c>
      <c r="BE173" s="826">
        <f t="shared" si="1102"/>
        <v>29.295069964761769</v>
      </c>
      <c r="BF173" s="877">
        <f t="shared" si="1102"/>
        <v>26.634792078786539</v>
      </c>
    </row>
    <row r="174" spans="1:58" ht="19.5" thickBot="1" x14ac:dyDescent="0.3">
      <c r="B174" s="2381" t="s">
        <v>13</v>
      </c>
      <c r="C174" s="487" t="s">
        <v>52</v>
      </c>
      <c r="D174" s="469">
        <f t="shared" ref="D174" si="1104">+D170+D173</f>
        <v>95.002698653292057</v>
      </c>
      <c r="E174" s="469">
        <f t="shared" ref="E174:N174" si="1105">+E170+E173</f>
        <v>95.002560600887662</v>
      </c>
      <c r="F174" s="371">
        <f t="shared" si="1105"/>
        <v>94.558856587361007</v>
      </c>
      <c r="G174" s="469">
        <f t="shared" si="1105"/>
        <v>95.002689222918491</v>
      </c>
      <c r="H174" s="377">
        <f t="shared" si="1105"/>
        <v>95.910734322403712</v>
      </c>
      <c r="I174" s="826">
        <f t="shared" si="1105"/>
        <v>95.002625966052491</v>
      </c>
      <c r="J174" s="877">
        <f t="shared" si="1105"/>
        <v>95.248855336551998</v>
      </c>
      <c r="K174" s="469">
        <f t="shared" si="1105"/>
        <v>95.002560600887662</v>
      </c>
      <c r="L174" s="377">
        <f t="shared" si="1105"/>
        <v>95.738710519446627</v>
      </c>
      <c r="M174" s="1005">
        <f t="shared" si="1105"/>
        <v>95.002604417067488</v>
      </c>
      <c r="N174" s="880">
        <f t="shared" si="1105"/>
        <v>95.411596546215208</v>
      </c>
      <c r="O174" s="469">
        <f t="shared" ref="O174:R174" si="1106">+O170+O173</f>
        <v>95.002689161264755</v>
      </c>
      <c r="P174" s="377">
        <f t="shared" si="1106"/>
        <v>96.176141155680909</v>
      </c>
      <c r="Q174" s="826">
        <f t="shared" si="1106"/>
        <v>95.002625950386445</v>
      </c>
      <c r="R174" s="877">
        <f t="shared" si="1106"/>
        <v>95.605620514028473</v>
      </c>
      <c r="S174" s="469">
        <f t="shared" ref="S174:V174" si="1107">+S170+S173</f>
        <v>95.002678689626137</v>
      </c>
      <c r="T174" s="377">
        <f t="shared" si="1107"/>
        <v>95.322664046269168</v>
      </c>
      <c r="U174" s="826">
        <f t="shared" si="1107"/>
        <v>95.002636636098813</v>
      </c>
      <c r="V174" s="877">
        <f t="shared" si="1107"/>
        <v>95.546566530555381</v>
      </c>
      <c r="W174" s="469">
        <f t="shared" ref="W174:X174" si="1108">+W170+W173</f>
        <v>95.002547902227462</v>
      </c>
      <c r="X174" s="377">
        <f t="shared" si="1108"/>
        <v>94.801842613786491</v>
      </c>
      <c r="Y174" s="1005">
        <f t="shared" ref="Y174:AF174" si="1109">+Y170+Y173</f>
        <v>95.002639570005272</v>
      </c>
      <c r="Z174" s="1799">
        <f t="shared" si="1109"/>
        <v>95.431858842364662</v>
      </c>
      <c r="AA174" s="1198">
        <f t="shared" si="1109"/>
        <v>95.002622089563914</v>
      </c>
      <c r="AB174" s="1800">
        <f t="shared" si="1109"/>
        <v>95.421897196532626</v>
      </c>
      <c r="AC174" s="469">
        <f t="shared" si="1109"/>
        <v>95.002678689626137</v>
      </c>
      <c r="AD174" s="124">
        <f t="shared" si="1109"/>
        <v>92.383908970038007</v>
      </c>
      <c r="AE174" s="826">
        <f t="shared" si="1109"/>
        <v>95.002630288628012</v>
      </c>
      <c r="AF174" s="877">
        <f t="shared" si="1109"/>
        <v>94.975264443257672</v>
      </c>
      <c r="AG174" s="469">
        <f t="shared" ref="AG174:AJ174" si="1110">+AG170+AG173</f>
        <v>95.002547902227462</v>
      </c>
      <c r="AH174" s="124">
        <f t="shared" si="1110"/>
        <v>96.12945645267439</v>
      </c>
      <c r="AI174" s="826">
        <f t="shared" si="1110"/>
        <v>95.00262015915149</v>
      </c>
      <c r="AJ174" s="877">
        <f t="shared" si="1110"/>
        <v>95.120498359138125</v>
      </c>
      <c r="AK174" s="469">
        <f t="shared" ref="AK174:AN174" si="1111">+AK170+AK173</f>
        <v>95.002678689626137</v>
      </c>
      <c r="AL174" s="124">
        <f t="shared" si="1111"/>
        <v>95.700042816074358</v>
      </c>
      <c r="AM174" s="1005">
        <f t="shared" si="1111"/>
        <v>95.002636041521782</v>
      </c>
      <c r="AN174" s="880">
        <f t="shared" si="1111"/>
        <v>94.731631430736485</v>
      </c>
      <c r="AO174" s="826">
        <f t="shared" ref="AO174:AT174" si="1112">+AO170+AO173</f>
        <v>95.002626757124801</v>
      </c>
      <c r="AP174" s="877">
        <f t="shared" si="1112"/>
        <v>95.187142267117707</v>
      </c>
      <c r="AQ174" s="469">
        <f t="shared" si="1112"/>
        <v>95.002678689626137</v>
      </c>
      <c r="AR174" s="124">
        <f t="shared" si="1112"/>
        <v>92.485743244068331</v>
      </c>
      <c r="AS174" s="826">
        <f t="shared" si="1112"/>
        <v>95.002632018255241</v>
      </c>
      <c r="AT174" s="877">
        <f t="shared" si="1112"/>
        <v>94.908090326841773</v>
      </c>
      <c r="AU174" s="469">
        <f t="shared" ref="AU174:AX174" si="1113">+AU170+AU173</f>
        <v>95.002878875117432</v>
      </c>
      <c r="AV174" s="124">
        <f t="shared" si="1113"/>
        <v>91.990221256849367</v>
      </c>
      <c r="AW174" s="826">
        <f t="shared" si="1113"/>
        <v>95.002652712783259</v>
      </c>
      <c r="AX174" s="877">
        <f t="shared" si="1113"/>
        <v>94.658886571969603</v>
      </c>
      <c r="AY174" s="469">
        <f t="shared" ref="AY174:BF174" si="1114">+AY170+AY173</f>
        <v>95.002678689626137</v>
      </c>
      <c r="AZ174" s="124">
        <f t="shared" si="1114"/>
        <v>92.104763014143742</v>
      </c>
      <c r="BA174" s="1005">
        <f t="shared" si="1114"/>
        <v>95.002740969466359</v>
      </c>
      <c r="BB174" s="880">
        <f t="shared" si="1114"/>
        <v>92.200433917664498</v>
      </c>
      <c r="BC174" s="1198">
        <f t="shared" ref="BC174:BD174" si="1115">+BC170+BC173</f>
        <v>95.002687928937931</v>
      </c>
      <c r="BD174" s="1800">
        <f t="shared" si="1115"/>
        <v>93.477350278519793</v>
      </c>
      <c r="BE174" s="826">
        <f t="shared" si="1114"/>
        <v>95.002654919034157</v>
      </c>
      <c r="BF174" s="877">
        <f t="shared" si="1114"/>
        <v>94.439236826010074</v>
      </c>
    </row>
    <row r="175" spans="1:58" s="1364" customFormat="1" x14ac:dyDescent="0.25">
      <c r="A175" s="332"/>
      <c r="B175" s="2336" t="s">
        <v>1223</v>
      </c>
      <c r="C175" s="3572" t="s">
        <v>52</v>
      </c>
      <c r="D175" s="5088">
        <f t="shared" ref="D175" si="1116">+D103/D$106*100</f>
        <v>4.9973013467079479</v>
      </c>
      <c r="E175" s="5088">
        <f t="shared" ref="E175:V175" si="1117">+E103/E$106*100</f>
        <v>4.9974393991123254</v>
      </c>
      <c r="F175" s="119">
        <f t="shared" si="1117"/>
        <v>3.6142772738515441</v>
      </c>
      <c r="G175" s="5088">
        <f t="shared" si="1117"/>
        <v>4.9973107770815028</v>
      </c>
      <c r="H175" s="119">
        <f t="shared" si="1117"/>
        <v>4.0892656775963108</v>
      </c>
      <c r="I175" s="5091">
        <f t="shared" si="1117"/>
        <v>4.9973740339475103</v>
      </c>
      <c r="J175" s="878">
        <f t="shared" si="1117"/>
        <v>3.856711479230158</v>
      </c>
      <c r="K175" s="5088">
        <f t="shared" si="1117"/>
        <v>4.9974393991123254</v>
      </c>
      <c r="L175" s="119">
        <f t="shared" si="1117"/>
        <v>4.2612894805533807</v>
      </c>
      <c r="M175" s="5082">
        <f t="shared" si="1117"/>
        <v>4.9973955829325245</v>
      </c>
      <c r="N175" s="881">
        <f t="shared" si="1117"/>
        <v>3.9911216388805966</v>
      </c>
      <c r="O175" s="5088">
        <f t="shared" si="1117"/>
        <v>4.9973108387352454</v>
      </c>
      <c r="P175" s="119">
        <f t="shared" si="1117"/>
        <v>0.43406723356565619</v>
      </c>
      <c r="Q175" s="5091">
        <f t="shared" si="1117"/>
        <v>4.9973740496135672</v>
      </c>
      <c r="R175" s="878">
        <f t="shared" si="1117"/>
        <v>3.0884224361104469</v>
      </c>
      <c r="S175" s="5088">
        <f t="shared" si="1117"/>
        <v>4.9973213103738656</v>
      </c>
      <c r="T175" s="119">
        <f t="shared" si="1117"/>
        <v>4.0510658552757892</v>
      </c>
      <c r="U175" s="5091">
        <f t="shared" si="1117"/>
        <v>4.997363363901199</v>
      </c>
      <c r="V175" s="878">
        <f t="shared" si="1117"/>
        <v>3.2893294131307158</v>
      </c>
      <c r="W175" s="5088">
        <f t="shared" ref="W175:X175" si="1118">+W103/W$106*100</f>
        <v>4.997452097772535</v>
      </c>
      <c r="X175" s="119">
        <f t="shared" si="1118"/>
        <v>1.8209659396598106</v>
      </c>
      <c r="Y175" s="5082">
        <f t="shared" ref="Y175:AF175" si="1119">+Y103/Y$106*100</f>
        <v>4.997360429994715</v>
      </c>
      <c r="Z175" s="881">
        <f t="shared" si="1119"/>
        <v>2.1271055258449834</v>
      </c>
      <c r="AA175" s="5085">
        <f t="shared" si="1119"/>
        <v>4.9973779104360867</v>
      </c>
      <c r="AB175" s="1164">
        <f t="shared" si="1119"/>
        <v>3.0435203391651497</v>
      </c>
      <c r="AC175" s="5088">
        <f t="shared" si="1119"/>
        <v>4.9973213103738656</v>
      </c>
      <c r="AD175" s="119">
        <f t="shared" si="1119"/>
        <v>1.6820753841872542</v>
      </c>
      <c r="AE175" s="5091">
        <f t="shared" si="1119"/>
        <v>4.9973697113719782</v>
      </c>
      <c r="AF175" s="878">
        <f t="shared" si="1119"/>
        <v>2.8433662031579541</v>
      </c>
      <c r="AG175" s="5088">
        <f t="shared" ref="AG175:AJ177" si="1120">+AG103/AG$106*100</f>
        <v>4.997452097772535</v>
      </c>
      <c r="AH175" s="119">
        <f t="shared" si="1120"/>
        <v>0</v>
      </c>
      <c r="AI175" s="5091">
        <f t="shared" si="1120"/>
        <v>4.9973798408484997</v>
      </c>
      <c r="AJ175" s="878">
        <f t="shared" si="1120"/>
        <v>2.4855806660916837</v>
      </c>
      <c r="AK175" s="5088">
        <f t="shared" ref="AK175:AN175" si="1121">+AK103/AK$106*100</f>
        <v>4.9973213103738656</v>
      </c>
      <c r="AL175" s="119">
        <f t="shared" si="1121"/>
        <v>0</v>
      </c>
      <c r="AM175" s="5082">
        <f t="shared" si="1121"/>
        <v>4.9973639584782159</v>
      </c>
      <c r="AN175" s="881">
        <f t="shared" si="1121"/>
        <v>0.56253950185472579</v>
      </c>
      <c r="AO175" s="5091">
        <f t="shared" ref="AO175:AT175" si="1122">+AO103/AO$106*100</f>
        <v>4.9973732428751783</v>
      </c>
      <c r="AP175" s="878">
        <f t="shared" si="1122"/>
        <v>2.1997547778370476</v>
      </c>
      <c r="AQ175" s="5088">
        <f t="shared" si="1122"/>
        <v>4.9973213103738656</v>
      </c>
      <c r="AR175" s="119">
        <f t="shared" si="1122"/>
        <v>0.57393364350172793</v>
      </c>
      <c r="AS175" s="5091">
        <f t="shared" si="1122"/>
        <v>4.9973679817447696</v>
      </c>
      <c r="AT175" s="878">
        <f t="shared" si="1122"/>
        <v>2.0318090066989027</v>
      </c>
      <c r="AU175" s="5088">
        <f t="shared" ref="AU175:AX175" si="1123">+AU103/AU$106*100</f>
        <v>4.9971211248825727</v>
      </c>
      <c r="AV175" s="119">
        <f t="shared" si="1123"/>
        <v>3.5189037705648269</v>
      </c>
      <c r="AW175" s="5091">
        <f t="shared" si="1123"/>
        <v>4.9973472872167246</v>
      </c>
      <c r="AX175" s="878">
        <f t="shared" si="1123"/>
        <v>2.1588159388526988</v>
      </c>
      <c r="AY175" s="5088">
        <f t="shared" ref="AY175:BF177" si="1124">+AY103/AY$106*100</f>
        <v>4.9973213103738656</v>
      </c>
      <c r="AZ175" s="119">
        <f t="shared" si="1124"/>
        <v>0</v>
      </c>
      <c r="BA175" s="5082">
        <f t="shared" si="1124"/>
        <v>4.9972590305336473</v>
      </c>
      <c r="BB175" s="881">
        <f t="shared" si="1124"/>
        <v>1.294871854986025</v>
      </c>
      <c r="BC175" s="5085">
        <f t="shared" ref="BC175:BD175" si="1125">+BC103/BC$106*100</f>
        <v>4.9973120710620673</v>
      </c>
      <c r="BD175" s="1164">
        <f t="shared" si="1125"/>
        <v>0.92543124102062391</v>
      </c>
      <c r="BE175" s="5091">
        <f t="shared" si="1124"/>
        <v>4.9973450809658395</v>
      </c>
      <c r="BF175" s="878">
        <f t="shared" si="1124"/>
        <v>1.9731618928338746</v>
      </c>
    </row>
    <row r="176" spans="1:58" s="1364" customFormat="1" x14ac:dyDescent="0.25">
      <c r="A176" s="332"/>
      <c r="B176" s="2336" t="s">
        <v>1224</v>
      </c>
      <c r="C176" s="3572" t="s">
        <v>52</v>
      </c>
      <c r="D176" s="5089"/>
      <c r="E176" s="5089"/>
      <c r="F176" s="119">
        <f>+F104/F$106*100</f>
        <v>1.2599076819223802</v>
      </c>
      <c r="G176" s="5089"/>
      <c r="H176" s="119">
        <f>+H104/H$106*100</f>
        <v>0</v>
      </c>
      <c r="I176" s="5092"/>
      <c r="J176" s="878">
        <f>+J104/J$106*100</f>
        <v>0.61685047187437803</v>
      </c>
      <c r="K176" s="5089"/>
      <c r="L176" s="119">
        <f>+L104/L$106*100</f>
        <v>0</v>
      </c>
      <c r="M176" s="5083"/>
      <c r="N176" s="881">
        <f>+N104/N$106*100</f>
        <v>0.41191849303738504</v>
      </c>
      <c r="O176" s="5089"/>
      <c r="P176" s="119">
        <f>+P104/P$106*100</f>
        <v>1.7482537543405132</v>
      </c>
      <c r="Q176" s="5092"/>
      <c r="R176" s="878">
        <f>+R104/R$106*100</f>
        <v>0.75104987466863304</v>
      </c>
      <c r="S176" s="5089"/>
      <c r="T176" s="119">
        <f>+T104/T$106*100</f>
        <v>0.62627009845505732</v>
      </c>
      <c r="U176" s="5092"/>
      <c r="V176" s="878">
        <f t="shared" ref="V176" si="1126">+V104/V$106*100</f>
        <v>0.72500790821123873</v>
      </c>
      <c r="W176" s="5089"/>
      <c r="X176" s="119">
        <f>+X104/X$106*100</f>
        <v>3.3771914465536943</v>
      </c>
      <c r="Y176" s="5083"/>
      <c r="Z176" s="881">
        <f>+Z104/Z$106*100</f>
        <v>1.9011504899955616</v>
      </c>
      <c r="AA176" s="5086"/>
      <c r="AB176" s="1164">
        <f>+AB104/AB$106*100</f>
        <v>1.1689925151053666</v>
      </c>
      <c r="AC176" s="5089"/>
      <c r="AD176" s="119">
        <f>+AD104/AD$106*100</f>
        <v>5.9340156457747124</v>
      </c>
      <c r="AE176" s="5092"/>
      <c r="AF176" s="878">
        <f t="shared" ref="AF176" si="1127">+AF104/AF$106*100</f>
        <v>1.8695269614568257</v>
      </c>
      <c r="AG176" s="5089"/>
      <c r="AH176" s="119">
        <f>+AH104/AH$106*100</f>
        <v>3.8705435473255916</v>
      </c>
      <c r="AI176" s="5092"/>
      <c r="AJ176" s="878">
        <f t="shared" si="1120"/>
        <v>2.1213182337376968</v>
      </c>
      <c r="AK176" s="5089"/>
      <c r="AL176" s="119">
        <f>+AL104/AL$106*100</f>
        <v>4.2999571839256223</v>
      </c>
      <c r="AM176" s="5083"/>
      <c r="AN176" s="881">
        <f t="shared" ref="AN176" si="1128">+AN104/AN$106*100</f>
        <v>4.7058290674087777</v>
      </c>
      <c r="AO176" s="5092"/>
      <c r="AP176" s="878">
        <f t="shared" ref="AP176" si="1129">+AP104/AP$106*100</f>
        <v>2.3718477866983574</v>
      </c>
      <c r="AQ176" s="5089"/>
      <c r="AR176" s="119">
        <f>+AR104/AR$106*100</f>
        <v>2.634599650755272</v>
      </c>
      <c r="AS176" s="5092"/>
      <c r="AT176" s="878">
        <f t="shared" ref="AT176" si="1130">+AT104/AT$106*100</f>
        <v>2.3989898034276846</v>
      </c>
      <c r="AU176" s="5089"/>
      <c r="AV176" s="119">
        <f>+AV104/AV$106*100</f>
        <v>4.4908749725858153</v>
      </c>
      <c r="AW176" s="5092"/>
      <c r="AX176" s="878">
        <f t="shared" ref="AX176" si="1131">+AX104/AX$106*100</f>
        <v>2.5776495124176577</v>
      </c>
      <c r="AY176" s="5089"/>
      <c r="AZ176" s="119">
        <f>+AZ104/AZ$106*100</f>
        <v>4.4129457853854124</v>
      </c>
      <c r="BA176" s="5083"/>
      <c r="BB176" s="881">
        <f t="shared" si="1124"/>
        <v>3.8239936651247417</v>
      </c>
      <c r="BC176" s="5086"/>
      <c r="BD176" s="1164">
        <f t="shared" ref="BD176" si="1132">+BD104/BD$106*100</f>
        <v>4.2688542684331292</v>
      </c>
      <c r="BE176" s="5092"/>
      <c r="BF176" s="878">
        <f t="shared" si="1124"/>
        <v>2.7354814853003542</v>
      </c>
    </row>
    <row r="177" spans="2:58" ht="15.75" thickBot="1" x14ac:dyDescent="0.3">
      <c r="B177" s="28" t="s">
        <v>1791</v>
      </c>
      <c r="C177" s="3572" t="s">
        <v>52</v>
      </c>
      <c r="D177" s="5090"/>
      <c r="E177" s="5090"/>
      <c r="F177" s="119">
        <f>+F105/F$106*100</f>
        <v>0.56695845686507118</v>
      </c>
      <c r="G177" s="5090"/>
      <c r="H177" s="119">
        <f>+H105/H$106*100</f>
        <v>0</v>
      </c>
      <c r="I177" s="5093"/>
      <c r="J177" s="878">
        <f>+J105/J$106*100</f>
        <v>0.27758271234347015</v>
      </c>
      <c r="K177" s="5090"/>
      <c r="L177" s="119">
        <f>+L105/L$106*100</f>
        <v>0</v>
      </c>
      <c r="M177" s="5084"/>
      <c r="N177" s="881">
        <f>+N105/N$106*100</f>
        <v>0.18536332186682331</v>
      </c>
      <c r="O177" s="5090"/>
      <c r="P177" s="119">
        <f>+P105/P$106*100</f>
        <v>1.6415378564129308</v>
      </c>
      <c r="Q177" s="5093"/>
      <c r="R177" s="878">
        <f>+R105/R$106*100</f>
        <v>0.55490717519244603</v>
      </c>
      <c r="S177" s="5090"/>
      <c r="T177" s="119">
        <f>+T105/T$106*100</f>
        <v>0</v>
      </c>
      <c r="U177" s="5093"/>
      <c r="V177" s="878">
        <f t="shared" ref="V177" si="1133">+V105/V$106*100</f>
        <v>0.43909614810265013</v>
      </c>
      <c r="W177" s="5090"/>
      <c r="X177" s="119">
        <f>+X105/X$106*100</f>
        <v>0</v>
      </c>
      <c r="Y177" s="5084"/>
      <c r="Z177" s="881">
        <f>+Z105/Z$106*100</f>
        <v>0.53988514179480462</v>
      </c>
      <c r="AA177" s="5087"/>
      <c r="AB177" s="1164">
        <f>+AB105/AB$106*100</f>
        <v>0.36558994919685323</v>
      </c>
      <c r="AC177" s="5090"/>
      <c r="AD177" s="119">
        <f>+AD105/AD$106*100</f>
        <v>0</v>
      </c>
      <c r="AE177" s="5093"/>
      <c r="AF177" s="878">
        <f t="shared" ref="AF177" si="1134">+AF105/AF$106*100</f>
        <v>0.31184239212753423</v>
      </c>
      <c r="AG177" s="5090"/>
      <c r="AH177" s="119">
        <f>+AH105/AH$106*100</f>
        <v>0</v>
      </c>
      <c r="AI177" s="5093"/>
      <c r="AJ177" s="878">
        <f t="shared" si="1120"/>
        <v>0.27260274103248244</v>
      </c>
      <c r="AK177" s="5090"/>
      <c r="AL177" s="119">
        <f>+AL105/AL$106*100</f>
        <v>0</v>
      </c>
      <c r="AM177" s="5084"/>
      <c r="AN177" s="881">
        <f t="shared" ref="AN177" si="1135">+AN105/AN$106*100</f>
        <v>0</v>
      </c>
      <c r="AO177" s="5093"/>
      <c r="AP177" s="878">
        <f t="shared" ref="AP177" si="1136">+AP105/AP$106*100</f>
        <v>0.24125516834687172</v>
      </c>
      <c r="AQ177" s="5090"/>
      <c r="AR177" s="119">
        <f>+AR105/AR$106*100</f>
        <v>4.3057234616746651</v>
      </c>
      <c r="AS177" s="5093"/>
      <c r="AT177" s="878">
        <f t="shared" ref="AT177" si="1137">+AT105/AT$106*100</f>
        <v>0.66111086303160371</v>
      </c>
      <c r="AU177" s="5090"/>
      <c r="AV177" s="119">
        <f>+AV105/AV$106*100</f>
        <v>0</v>
      </c>
      <c r="AW177" s="5093"/>
      <c r="AX177" s="878">
        <f t="shared" ref="AX177" si="1138">+AX105/AX$106*100</f>
        <v>0.60464797676004522</v>
      </c>
      <c r="AY177" s="5090"/>
      <c r="AZ177" s="119">
        <f>+AZ105/AZ$106*100</f>
        <v>3.4822912004708453</v>
      </c>
      <c r="BA177" s="5084"/>
      <c r="BB177" s="881">
        <f t="shared" si="1124"/>
        <v>2.6807005622247266</v>
      </c>
      <c r="BC177" s="5087"/>
      <c r="BD177" s="1164">
        <f t="shared" ref="BD177" si="1139">+BD105/BD$106*100</f>
        <v>1.3283642120264469</v>
      </c>
      <c r="BE177" s="5093"/>
      <c r="BF177" s="878">
        <f t="shared" si="1124"/>
        <v>0.85211979585569608</v>
      </c>
    </row>
    <row r="178" spans="2:58" ht="19.5" thickBot="1" x14ac:dyDescent="0.3">
      <c r="B178" s="2381" t="s">
        <v>683</v>
      </c>
      <c r="C178" s="487" t="s">
        <v>52</v>
      </c>
      <c r="D178" s="469">
        <f t="shared" ref="D178" si="1140">SUM(D175:D177)</f>
        <v>4.9973013467079479</v>
      </c>
      <c r="E178" s="469">
        <f t="shared" ref="E178:N178" si="1141">SUM(E175:E177)</f>
        <v>4.9974393991123254</v>
      </c>
      <c r="F178" s="124">
        <f t="shared" si="1141"/>
        <v>5.4411434126389953</v>
      </c>
      <c r="G178" s="469">
        <f t="shared" si="1141"/>
        <v>4.9973107770815028</v>
      </c>
      <c r="H178" s="124">
        <f t="shared" si="1141"/>
        <v>4.0892656775963108</v>
      </c>
      <c r="I178" s="826">
        <f t="shared" si="1141"/>
        <v>4.9973740339475103</v>
      </c>
      <c r="J178" s="877">
        <f t="shared" si="1141"/>
        <v>4.7511446634480059</v>
      </c>
      <c r="K178" s="469">
        <f t="shared" si="1141"/>
        <v>4.9974393991123254</v>
      </c>
      <c r="L178" s="124">
        <f t="shared" si="1141"/>
        <v>4.2612894805533807</v>
      </c>
      <c r="M178" s="1005">
        <f t="shared" si="1141"/>
        <v>4.9973955829325245</v>
      </c>
      <c r="N178" s="880">
        <f t="shared" si="1141"/>
        <v>4.5884034537848049</v>
      </c>
      <c r="O178" s="469">
        <f t="shared" ref="O178:R178" si="1142">SUM(O175:O177)</f>
        <v>4.9973108387352454</v>
      </c>
      <c r="P178" s="124">
        <f t="shared" si="1142"/>
        <v>3.8238588443191004</v>
      </c>
      <c r="Q178" s="826">
        <f t="shared" si="1142"/>
        <v>4.9973740496135672</v>
      </c>
      <c r="R178" s="877">
        <f t="shared" si="1142"/>
        <v>4.3943794859715259</v>
      </c>
      <c r="S178" s="469">
        <f t="shared" ref="S178:V178" si="1143">SUM(S175:S177)</f>
        <v>4.9973213103738656</v>
      </c>
      <c r="T178" s="124">
        <f t="shared" si="1143"/>
        <v>4.6773359537308465</v>
      </c>
      <c r="U178" s="826">
        <f t="shared" si="1143"/>
        <v>4.997363363901199</v>
      </c>
      <c r="V178" s="877">
        <f t="shared" si="1143"/>
        <v>4.4534334694446045</v>
      </c>
      <c r="W178" s="469">
        <f t="shared" ref="W178:X178" si="1144">SUM(W175:W177)</f>
        <v>4.997452097772535</v>
      </c>
      <c r="X178" s="124">
        <f t="shared" si="1144"/>
        <v>5.1981573862135049</v>
      </c>
      <c r="Y178" s="1005">
        <f t="shared" ref="Y178:AF178" si="1145">SUM(Y175:Y177)</f>
        <v>4.997360429994715</v>
      </c>
      <c r="Z178" s="880">
        <f t="shared" si="1145"/>
        <v>4.568141157635349</v>
      </c>
      <c r="AA178" s="1198">
        <f t="shared" si="1145"/>
        <v>4.9973779104360867</v>
      </c>
      <c r="AB178" s="1163">
        <f t="shared" si="1145"/>
        <v>4.5781028034673694</v>
      </c>
      <c r="AC178" s="469">
        <f t="shared" si="1145"/>
        <v>4.9973213103738656</v>
      </c>
      <c r="AD178" s="124">
        <f t="shared" si="1145"/>
        <v>7.6160910299619662</v>
      </c>
      <c r="AE178" s="826">
        <f t="shared" si="1145"/>
        <v>4.9973697113719782</v>
      </c>
      <c r="AF178" s="877">
        <f t="shared" si="1145"/>
        <v>5.0247355567423142</v>
      </c>
      <c r="AG178" s="469">
        <f t="shared" ref="AG178:AJ178" si="1146">SUM(AG175:AG177)</f>
        <v>4.997452097772535</v>
      </c>
      <c r="AH178" s="124">
        <f t="shared" si="1146"/>
        <v>3.8705435473255916</v>
      </c>
      <c r="AI178" s="826">
        <f t="shared" si="1146"/>
        <v>4.9973798408484997</v>
      </c>
      <c r="AJ178" s="877">
        <f t="shared" si="1146"/>
        <v>4.8795016408618626</v>
      </c>
      <c r="AK178" s="469">
        <f t="shared" ref="AK178:AN178" si="1147">SUM(AK175:AK177)</f>
        <v>4.9973213103738656</v>
      </c>
      <c r="AL178" s="124">
        <f t="shared" si="1147"/>
        <v>4.2999571839256223</v>
      </c>
      <c r="AM178" s="1005">
        <f t="shared" si="1147"/>
        <v>4.9973639584782159</v>
      </c>
      <c r="AN178" s="880">
        <f t="shared" si="1147"/>
        <v>5.2683685692635036</v>
      </c>
      <c r="AO178" s="826">
        <f t="shared" ref="AO178:AT178" si="1148">SUM(AO175:AO177)</f>
        <v>4.9973732428751783</v>
      </c>
      <c r="AP178" s="877">
        <f t="shared" si="1148"/>
        <v>4.8128577328822768</v>
      </c>
      <c r="AQ178" s="469">
        <f t="shared" si="1148"/>
        <v>4.9973213103738656</v>
      </c>
      <c r="AR178" s="124">
        <f t="shared" si="1148"/>
        <v>7.5142567559316653</v>
      </c>
      <c r="AS178" s="826">
        <f t="shared" si="1148"/>
        <v>4.9973679817447696</v>
      </c>
      <c r="AT178" s="877">
        <f t="shared" si="1148"/>
        <v>5.0919096731581908</v>
      </c>
      <c r="AU178" s="469">
        <f t="shared" ref="AU178:AX178" si="1149">SUM(AU175:AU177)</f>
        <v>4.9971211248825727</v>
      </c>
      <c r="AV178" s="124">
        <f t="shared" si="1149"/>
        <v>8.0097787431506422</v>
      </c>
      <c r="AW178" s="826">
        <f t="shared" si="1149"/>
        <v>4.9973472872167246</v>
      </c>
      <c r="AX178" s="877">
        <f t="shared" si="1149"/>
        <v>5.3411134280304022</v>
      </c>
      <c r="AY178" s="469">
        <f t="shared" ref="AY178:BF178" si="1150">SUM(AY175:AY177)</f>
        <v>4.9973213103738656</v>
      </c>
      <c r="AZ178" s="124">
        <f t="shared" si="1150"/>
        <v>7.8952369858562577</v>
      </c>
      <c r="BA178" s="1005">
        <f t="shared" si="1150"/>
        <v>4.9972590305336473</v>
      </c>
      <c r="BB178" s="880">
        <f t="shared" si="1150"/>
        <v>7.7995660823354935</v>
      </c>
      <c r="BC178" s="1198">
        <f t="shared" ref="BC178:BD178" si="1151">SUM(BC175:BC177)</f>
        <v>4.9973120710620673</v>
      </c>
      <c r="BD178" s="1163">
        <f t="shared" si="1151"/>
        <v>6.5226497214801995</v>
      </c>
      <c r="BE178" s="826">
        <f t="shared" si="1150"/>
        <v>4.9973450809658395</v>
      </c>
      <c r="BF178" s="877">
        <f t="shared" si="1150"/>
        <v>5.5607631739899244</v>
      </c>
    </row>
    <row r="179" spans="2:58" ht="19.5" thickBot="1" x14ac:dyDescent="0.3">
      <c r="B179" s="2381" t="s">
        <v>12</v>
      </c>
      <c r="C179" s="487" t="s">
        <v>52</v>
      </c>
      <c r="D179" s="469">
        <f t="shared" ref="D179" si="1152">+D174+D178</f>
        <v>100</v>
      </c>
      <c r="E179" s="469">
        <f t="shared" ref="E179:N179" si="1153">+E174+E178</f>
        <v>99.999999999999986</v>
      </c>
      <c r="F179" s="310">
        <f t="shared" si="1153"/>
        <v>100</v>
      </c>
      <c r="G179" s="469">
        <f t="shared" si="1153"/>
        <v>100</v>
      </c>
      <c r="H179" s="310">
        <f t="shared" si="1153"/>
        <v>100.00000000000003</v>
      </c>
      <c r="I179" s="826">
        <f t="shared" si="1153"/>
        <v>100</v>
      </c>
      <c r="J179" s="1379">
        <f t="shared" si="1153"/>
        <v>100</v>
      </c>
      <c r="K179" s="469">
        <f t="shared" si="1153"/>
        <v>99.999999999999986</v>
      </c>
      <c r="L179" s="310">
        <f t="shared" si="1153"/>
        <v>100.00000000000001</v>
      </c>
      <c r="M179" s="1005">
        <f t="shared" si="1153"/>
        <v>100.00000000000001</v>
      </c>
      <c r="N179" s="924">
        <f t="shared" si="1153"/>
        <v>100.00000000000001</v>
      </c>
      <c r="O179" s="469">
        <f t="shared" ref="O179:R179" si="1154">+O174+O178</f>
        <v>100</v>
      </c>
      <c r="P179" s="310">
        <f t="shared" si="1154"/>
        <v>100.00000000000001</v>
      </c>
      <c r="Q179" s="826">
        <f t="shared" si="1154"/>
        <v>100.00000000000001</v>
      </c>
      <c r="R179" s="1379">
        <f t="shared" si="1154"/>
        <v>100</v>
      </c>
      <c r="S179" s="469">
        <f t="shared" ref="S179:V179" si="1155">+S174+S178</f>
        <v>100</v>
      </c>
      <c r="T179" s="310">
        <f t="shared" si="1155"/>
        <v>100.00000000000001</v>
      </c>
      <c r="U179" s="826">
        <f t="shared" si="1155"/>
        <v>100.00000000000001</v>
      </c>
      <c r="V179" s="1379">
        <f t="shared" si="1155"/>
        <v>99.999999999999986</v>
      </c>
      <c r="W179" s="469">
        <f t="shared" ref="W179:X179" si="1156">+W174+W178</f>
        <v>100</v>
      </c>
      <c r="X179" s="310">
        <f t="shared" si="1156"/>
        <v>100</v>
      </c>
      <c r="Y179" s="1005">
        <f t="shared" ref="Y179:AF179" si="1157">+Y174+Y178</f>
        <v>99.999999999999986</v>
      </c>
      <c r="Z179" s="924">
        <f t="shared" si="1157"/>
        <v>100.00000000000001</v>
      </c>
      <c r="AA179" s="1198">
        <f t="shared" si="1157"/>
        <v>100</v>
      </c>
      <c r="AB179" s="1380">
        <f t="shared" si="1157"/>
        <v>100</v>
      </c>
      <c r="AC179" s="469">
        <f t="shared" si="1157"/>
        <v>100</v>
      </c>
      <c r="AD179" s="310">
        <f t="shared" si="1157"/>
        <v>99.999999999999972</v>
      </c>
      <c r="AE179" s="826">
        <f t="shared" si="1157"/>
        <v>99.999999999999986</v>
      </c>
      <c r="AF179" s="1379">
        <f t="shared" si="1157"/>
        <v>99.999999999999986</v>
      </c>
      <c r="AG179" s="469">
        <f t="shared" ref="AG179:AJ179" si="1158">+AG174+AG178</f>
        <v>100</v>
      </c>
      <c r="AH179" s="310">
        <f t="shared" si="1158"/>
        <v>99.999999999999986</v>
      </c>
      <c r="AI179" s="826">
        <f t="shared" si="1158"/>
        <v>99.999999999999986</v>
      </c>
      <c r="AJ179" s="1379">
        <f t="shared" si="1158"/>
        <v>99.999999999999986</v>
      </c>
      <c r="AK179" s="469">
        <f t="shared" ref="AK179:AN179" si="1159">+AK174+AK178</f>
        <v>100</v>
      </c>
      <c r="AL179" s="310">
        <f t="shared" si="1159"/>
        <v>99.999999999999986</v>
      </c>
      <c r="AM179" s="1005">
        <f t="shared" si="1159"/>
        <v>100</v>
      </c>
      <c r="AN179" s="924">
        <f t="shared" si="1159"/>
        <v>99.999999999999986</v>
      </c>
      <c r="AO179" s="826">
        <f t="shared" ref="AO179:AT179" si="1160">+AO174+AO178</f>
        <v>99.999999999999986</v>
      </c>
      <c r="AP179" s="1379">
        <f t="shared" si="1160"/>
        <v>99.999999999999986</v>
      </c>
      <c r="AQ179" s="469">
        <f t="shared" si="1160"/>
        <v>100</v>
      </c>
      <c r="AR179" s="310">
        <f t="shared" si="1160"/>
        <v>100</v>
      </c>
      <c r="AS179" s="826">
        <f t="shared" si="1160"/>
        <v>100.00000000000001</v>
      </c>
      <c r="AT179" s="1379">
        <f t="shared" si="1160"/>
        <v>99.999999999999957</v>
      </c>
      <c r="AU179" s="469">
        <f t="shared" ref="AU179:AX179" si="1161">+AU174+AU178</f>
        <v>100</v>
      </c>
      <c r="AV179" s="310">
        <f t="shared" si="1161"/>
        <v>100.00000000000001</v>
      </c>
      <c r="AW179" s="826">
        <f t="shared" si="1161"/>
        <v>99.999999999999986</v>
      </c>
      <c r="AX179" s="1379">
        <f t="shared" si="1161"/>
        <v>100</v>
      </c>
      <c r="AY179" s="469">
        <f t="shared" ref="AY179:BF179" si="1162">+AY174+AY178</f>
        <v>100</v>
      </c>
      <c r="AZ179" s="310">
        <f t="shared" si="1162"/>
        <v>100</v>
      </c>
      <c r="BA179" s="1005">
        <f t="shared" si="1162"/>
        <v>100</v>
      </c>
      <c r="BB179" s="924">
        <f t="shared" si="1162"/>
        <v>99.999999999999986</v>
      </c>
      <c r="BC179" s="1198">
        <f t="shared" ref="BC179:BD179" si="1163">+BC174+BC178</f>
        <v>100</v>
      </c>
      <c r="BD179" s="1380">
        <f t="shared" si="1163"/>
        <v>100</v>
      </c>
      <c r="BE179" s="826">
        <f t="shared" si="1162"/>
        <v>100</v>
      </c>
      <c r="BF179" s="1379">
        <f t="shared" si="1162"/>
        <v>100</v>
      </c>
    </row>
    <row r="180" spans="2:58" ht="15" customHeight="1" x14ac:dyDescent="0.25">
      <c r="B180" s="5"/>
      <c r="C180" s="5"/>
      <c r="D180" s="1802"/>
      <c r="E180" s="259"/>
      <c r="F180" s="106"/>
      <c r="G180" s="259"/>
      <c r="H180" s="106"/>
      <c r="I180" s="259"/>
      <c r="J180" s="106"/>
      <c r="K180" s="259"/>
      <c r="L180" s="106"/>
      <c r="M180" s="259"/>
      <c r="N180" s="106"/>
      <c r="O180" s="259"/>
      <c r="P180" s="106"/>
      <c r="Q180" s="259"/>
      <c r="R180" s="106"/>
      <c r="S180" s="259"/>
      <c r="T180" s="106"/>
      <c r="U180" s="259"/>
      <c r="V180" s="106"/>
      <c r="W180" s="259"/>
      <c r="X180" s="106"/>
      <c r="Y180" s="259"/>
      <c r="Z180" s="106"/>
      <c r="AA180" s="259"/>
      <c r="AB180" s="106"/>
      <c r="AC180" s="259"/>
      <c r="AD180" s="106"/>
      <c r="AE180" s="259"/>
      <c r="AF180" s="106"/>
      <c r="AG180" s="259"/>
      <c r="AH180" s="106"/>
      <c r="AI180" s="259"/>
      <c r="AJ180" s="106"/>
      <c r="AK180" s="259"/>
      <c r="AL180" s="106"/>
      <c r="AM180" s="259"/>
      <c r="AN180" s="106"/>
      <c r="AO180" s="259"/>
      <c r="AP180" s="106"/>
      <c r="AQ180" s="259"/>
      <c r="AR180" s="106"/>
      <c r="AS180" s="1470"/>
      <c r="AT180" s="1470"/>
      <c r="AU180" s="259"/>
      <c r="AV180" s="106"/>
      <c r="AW180" s="259"/>
      <c r="AX180" s="106"/>
      <c r="AY180" s="259"/>
      <c r="AZ180" s="106"/>
      <c r="BA180" s="259"/>
      <c r="BB180" s="106"/>
      <c r="BC180" s="259"/>
      <c r="BD180" s="106"/>
      <c r="BE180" s="259"/>
      <c r="BF180" s="106"/>
    </row>
    <row r="181" spans="2:58" ht="18.75" hidden="1" customHeight="1" thickBot="1" x14ac:dyDescent="0.3">
      <c r="B181" s="274" t="s">
        <v>684</v>
      </c>
      <c r="C181" s="272"/>
      <c r="D181" s="1808"/>
      <c r="E181" s="259"/>
      <c r="F181" s="106"/>
      <c r="G181" s="259"/>
      <c r="H181" s="106"/>
      <c r="I181" s="259"/>
      <c r="J181" s="106"/>
      <c r="K181" s="259"/>
      <c r="L181" s="106"/>
      <c r="M181" s="259"/>
      <c r="N181" s="106"/>
      <c r="O181" s="259"/>
      <c r="P181" s="106"/>
      <c r="Q181" s="259"/>
      <c r="R181" s="106"/>
      <c r="S181" s="259"/>
      <c r="T181" s="106"/>
      <c r="U181" s="259"/>
      <c r="V181" s="106"/>
      <c r="W181" s="259"/>
      <c r="X181" s="106"/>
      <c r="Y181" s="259"/>
      <c r="Z181" s="106"/>
      <c r="AA181" s="259"/>
      <c r="AB181" s="106"/>
      <c r="AC181" s="259"/>
      <c r="AD181" s="106"/>
      <c r="AE181" s="259"/>
      <c r="AF181" s="106"/>
      <c r="AG181" s="259"/>
      <c r="AH181" s="106"/>
      <c r="AI181" s="259"/>
      <c r="AJ181" s="106"/>
      <c r="AK181" s="259"/>
      <c r="AL181" s="106"/>
      <c r="AM181" s="259"/>
      <c r="AN181" s="106"/>
      <c r="AO181" s="259"/>
      <c r="AP181" s="106"/>
      <c r="AQ181" s="259"/>
      <c r="AR181" s="106"/>
      <c r="AS181" s="1470"/>
      <c r="AT181" s="1470"/>
      <c r="AU181" s="259"/>
      <c r="AV181" s="106"/>
      <c r="AW181" s="259"/>
      <c r="AX181" s="106"/>
      <c r="AY181" s="259"/>
      <c r="AZ181" s="106"/>
      <c r="BA181" s="259"/>
      <c r="BB181" s="106"/>
      <c r="BC181" s="259"/>
      <c r="BD181" s="106"/>
      <c r="BE181" s="259"/>
      <c r="BF181" s="106"/>
    </row>
    <row r="182" spans="2:58" ht="15" hidden="1" customHeight="1" x14ac:dyDescent="0.25">
      <c r="B182" s="193" t="s">
        <v>10</v>
      </c>
      <c r="C182" s="14" t="s">
        <v>52</v>
      </c>
      <c r="D182" s="1809"/>
      <c r="E182" s="348" t="e">
        <f>+#REF!</f>
        <v>#REF!</v>
      </c>
      <c r="F182" s="372" t="e">
        <f>+#REF!</f>
        <v>#REF!</v>
      </c>
      <c r="G182" s="348" t="e">
        <f>+#REF!</f>
        <v>#REF!</v>
      </c>
      <c r="H182" s="378" t="e">
        <f>+#REF!</f>
        <v>#REF!</v>
      </c>
      <c r="I182" s="292" t="e">
        <f>+#REF!</f>
        <v>#REF!</v>
      </c>
      <c r="J182" s="393" t="e">
        <f>+#REF!</f>
        <v>#REF!</v>
      </c>
      <c r="K182" s="347" t="e">
        <f>+#REF!</f>
        <v>#REF!</v>
      </c>
      <c r="L182" s="378" t="e">
        <f>+#REF!</f>
        <v>#REF!</v>
      </c>
      <c r="M182" s="287" t="e">
        <f>+#REF!</f>
        <v>#REF!</v>
      </c>
      <c r="N182" s="202" t="e">
        <f>+#REF!</f>
        <v>#REF!</v>
      </c>
      <c r="O182" s="347" t="e">
        <f>+#REF!</f>
        <v>#REF!</v>
      </c>
      <c r="P182" s="378" t="e">
        <f>+#REF!</f>
        <v>#REF!</v>
      </c>
      <c r="Q182" s="292" t="e">
        <f>+#REF!</f>
        <v>#REF!</v>
      </c>
      <c r="R182" s="393" t="e">
        <f>+#REF!</f>
        <v>#REF!</v>
      </c>
      <c r="S182" s="347" t="e">
        <f>+#REF!</f>
        <v>#REF!</v>
      </c>
      <c r="T182" s="378" t="e">
        <f>+#REF!</f>
        <v>#REF!</v>
      </c>
      <c r="U182" s="292" t="e">
        <f>+#REF!</f>
        <v>#REF!</v>
      </c>
      <c r="V182" s="393" t="e">
        <f>+#REF!</f>
        <v>#REF!</v>
      </c>
      <c r="W182" s="347" t="e">
        <f>+#REF!</f>
        <v>#REF!</v>
      </c>
      <c r="X182" s="378" t="e">
        <f>+#REF!</f>
        <v>#REF!</v>
      </c>
      <c r="Y182" s="287" t="e">
        <f>+#REF!</f>
        <v>#REF!</v>
      </c>
      <c r="Z182" s="202" t="e">
        <f>+#REF!</f>
        <v>#REF!</v>
      </c>
      <c r="AA182" s="292" t="e">
        <f>+#REF!</f>
        <v>#REF!</v>
      </c>
      <c r="AB182" s="393" t="e">
        <f>+#REF!</f>
        <v>#REF!</v>
      </c>
      <c r="AC182" s="347" t="e">
        <f>+#REF!</f>
        <v>#REF!</v>
      </c>
      <c r="AD182" s="378" t="e">
        <f>+#REF!</f>
        <v>#REF!</v>
      </c>
      <c r="AE182" s="292" t="e">
        <f>+#REF!</f>
        <v>#REF!</v>
      </c>
      <c r="AF182" s="393" t="e">
        <f>+#REF!</f>
        <v>#REF!</v>
      </c>
      <c r="AG182" s="347" t="e">
        <f>+#REF!</f>
        <v>#REF!</v>
      </c>
      <c r="AH182" s="378" t="e">
        <f>+#REF!</f>
        <v>#REF!</v>
      </c>
      <c r="AI182" s="292" t="e">
        <f>+#REF!</f>
        <v>#REF!</v>
      </c>
      <c r="AJ182" s="393" t="e">
        <f>+#REF!</f>
        <v>#REF!</v>
      </c>
      <c r="AK182" s="347" t="e">
        <f>+#REF!</f>
        <v>#REF!</v>
      </c>
      <c r="AL182" s="378" t="e">
        <f>+#REF!</f>
        <v>#REF!</v>
      </c>
      <c r="AM182" s="287" t="e">
        <f>+#REF!</f>
        <v>#REF!</v>
      </c>
      <c r="AN182" s="202" t="e">
        <f>+#REF!</f>
        <v>#REF!</v>
      </c>
      <c r="AO182" s="292" t="e">
        <f>+#REF!</f>
        <v>#REF!</v>
      </c>
      <c r="AP182" s="393" t="e">
        <f>+#REF!</f>
        <v>#REF!</v>
      </c>
      <c r="AQ182" s="347" t="e">
        <f>+#REF!</f>
        <v>#REF!</v>
      </c>
      <c r="AR182" s="378" t="e">
        <f>+#REF!</f>
        <v>#REF!</v>
      </c>
      <c r="AS182" s="1470"/>
      <c r="AT182" s="1470"/>
      <c r="AU182" s="347" t="e">
        <f>+#REF!</f>
        <v>#REF!</v>
      </c>
      <c r="AV182" s="378" t="e">
        <f>+#REF!</f>
        <v>#REF!</v>
      </c>
      <c r="AW182" s="292" t="e">
        <f>+#REF!</f>
        <v>#REF!</v>
      </c>
      <c r="AX182" s="393" t="e">
        <f>+#REF!</f>
        <v>#REF!</v>
      </c>
      <c r="AY182" s="347" t="e">
        <f>+#REF!</f>
        <v>#REF!</v>
      </c>
      <c r="AZ182" s="378" t="e">
        <f>+#REF!</f>
        <v>#REF!</v>
      </c>
      <c r="BA182" s="287" t="e">
        <f>+#REF!</f>
        <v>#REF!</v>
      </c>
      <c r="BB182" s="202" t="e">
        <f>+#REF!</f>
        <v>#REF!</v>
      </c>
      <c r="BC182" s="292" t="e">
        <f>+#REF!</f>
        <v>#REF!</v>
      </c>
      <c r="BD182" s="393" t="e">
        <f>+#REF!</f>
        <v>#REF!</v>
      </c>
      <c r="BE182" s="292" t="e">
        <f>+#REF!</f>
        <v>#REF!</v>
      </c>
      <c r="BF182" s="393" t="e">
        <f>+#REF!</f>
        <v>#REF!</v>
      </c>
    </row>
    <row r="183" spans="2:58" ht="15" hidden="1" customHeight="1" x14ac:dyDescent="0.25">
      <c r="B183" s="3" t="s">
        <v>11</v>
      </c>
      <c r="C183" s="10" t="s">
        <v>52</v>
      </c>
      <c r="D183" s="1810"/>
      <c r="E183" s="331" t="e">
        <f>+#REF!</f>
        <v>#REF!</v>
      </c>
      <c r="F183" s="365" t="e">
        <f>+#REF!</f>
        <v>#REF!</v>
      </c>
      <c r="G183" s="331" t="e">
        <f>+#REF!</f>
        <v>#REF!</v>
      </c>
      <c r="H183" s="210" t="e">
        <f>+#REF!</f>
        <v>#REF!</v>
      </c>
      <c r="I183" s="240" t="e">
        <f>+#REF!</f>
        <v>#REF!</v>
      </c>
      <c r="J183" s="224" t="e">
        <f>+#REF!</f>
        <v>#REF!</v>
      </c>
      <c r="K183" s="228" t="e">
        <f>+#REF!</f>
        <v>#REF!</v>
      </c>
      <c r="L183" s="210" t="e">
        <f>+#REF!</f>
        <v>#REF!</v>
      </c>
      <c r="M183" s="284" t="e">
        <f>+#REF!</f>
        <v>#REF!</v>
      </c>
      <c r="N183" s="203" t="e">
        <f>+#REF!</f>
        <v>#REF!</v>
      </c>
      <c r="O183" s="228" t="e">
        <f>+#REF!</f>
        <v>#REF!</v>
      </c>
      <c r="P183" s="210" t="e">
        <f>+#REF!</f>
        <v>#REF!</v>
      </c>
      <c r="Q183" s="240" t="e">
        <f>+#REF!</f>
        <v>#REF!</v>
      </c>
      <c r="R183" s="224" t="e">
        <f>+#REF!</f>
        <v>#REF!</v>
      </c>
      <c r="S183" s="228" t="e">
        <f>+#REF!</f>
        <v>#REF!</v>
      </c>
      <c r="T183" s="210" t="e">
        <f>+#REF!</f>
        <v>#REF!</v>
      </c>
      <c r="U183" s="240" t="e">
        <f>+#REF!</f>
        <v>#REF!</v>
      </c>
      <c r="V183" s="224" t="e">
        <f>+#REF!</f>
        <v>#REF!</v>
      </c>
      <c r="W183" s="228" t="e">
        <f>+#REF!</f>
        <v>#REF!</v>
      </c>
      <c r="X183" s="210" t="e">
        <f>+#REF!</f>
        <v>#REF!</v>
      </c>
      <c r="Y183" s="284" t="e">
        <f>+#REF!</f>
        <v>#REF!</v>
      </c>
      <c r="Z183" s="203" t="e">
        <f>+#REF!</f>
        <v>#REF!</v>
      </c>
      <c r="AA183" s="240" t="e">
        <f>+#REF!</f>
        <v>#REF!</v>
      </c>
      <c r="AB183" s="224" t="e">
        <f>+#REF!</f>
        <v>#REF!</v>
      </c>
      <c r="AC183" s="228" t="e">
        <f>+#REF!</f>
        <v>#REF!</v>
      </c>
      <c r="AD183" s="210" t="e">
        <f>+#REF!</f>
        <v>#REF!</v>
      </c>
      <c r="AE183" s="240" t="e">
        <f>+#REF!</f>
        <v>#REF!</v>
      </c>
      <c r="AF183" s="224" t="e">
        <f>+#REF!</f>
        <v>#REF!</v>
      </c>
      <c r="AG183" s="228" t="e">
        <f>+#REF!</f>
        <v>#REF!</v>
      </c>
      <c r="AH183" s="3244" t="e">
        <f>+#REF!</f>
        <v>#REF!</v>
      </c>
      <c r="AI183" s="240" t="e">
        <f>+#REF!</f>
        <v>#REF!</v>
      </c>
      <c r="AJ183" s="224" t="e">
        <f>+#REF!</f>
        <v>#REF!</v>
      </c>
      <c r="AK183" s="228" t="e">
        <f>+#REF!</f>
        <v>#REF!</v>
      </c>
      <c r="AL183" s="210" t="e">
        <f>+#REF!</f>
        <v>#REF!</v>
      </c>
      <c r="AM183" s="284" t="e">
        <f>+#REF!</f>
        <v>#REF!</v>
      </c>
      <c r="AN183" s="203" t="e">
        <f>+#REF!</f>
        <v>#REF!</v>
      </c>
      <c r="AO183" s="240" t="e">
        <f>+#REF!</f>
        <v>#REF!</v>
      </c>
      <c r="AP183" s="224" t="e">
        <f>+#REF!</f>
        <v>#REF!</v>
      </c>
      <c r="AQ183" s="228" t="e">
        <f>+#REF!</f>
        <v>#REF!</v>
      </c>
      <c r="AR183" s="210" t="e">
        <f>+#REF!</f>
        <v>#REF!</v>
      </c>
      <c r="AS183" s="1470"/>
      <c r="AT183" s="1470"/>
      <c r="AU183" s="228" t="e">
        <f>+#REF!</f>
        <v>#REF!</v>
      </c>
      <c r="AV183" s="4022" t="e">
        <f>+#REF!</f>
        <v>#REF!</v>
      </c>
      <c r="AW183" s="240" t="e">
        <f>+#REF!</f>
        <v>#REF!</v>
      </c>
      <c r="AX183" s="224" t="e">
        <f>+#REF!</f>
        <v>#REF!</v>
      </c>
      <c r="AY183" s="228" t="e">
        <f>+#REF!</f>
        <v>#REF!</v>
      </c>
      <c r="AZ183" s="4275" t="e">
        <f>+#REF!</f>
        <v>#REF!</v>
      </c>
      <c r="BA183" s="284" t="e">
        <f>+#REF!</f>
        <v>#REF!</v>
      </c>
      <c r="BB183" s="203" t="e">
        <f>+#REF!</f>
        <v>#REF!</v>
      </c>
      <c r="BC183" s="240" t="e">
        <f>+#REF!</f>
        <v>#REF!</v>
      </c>
      <c r="BD183" s="224" t="e">
        <f>+#REF!</f>
        <v>#REF!</v>
      </c>
      <c r="BE183" s="240" t="e">
        <f>+#REF!</f>
        <v>#REF!</v>
      </c>
      <c r="BF183" s="224" t="e">
        <f>+#REF!</f>
        <v>#REF!</v>
      </c>
    </row>
    <row r="184" spans="2:58" ht="15" hidden="1" customHeight="1" x14ac:dyDescent="0.25">
      <c r="B184" s="3" t="s">
        <v>599</v>
      </c>
      <c r="C184" s="10" t="s">
        <v>52</v>
      </c>
      <c r="D184" s="1810"/>
      <c r="E184" s="349" t="e">
        <f>+#REF!</f>
        <v>#REF!</v>
      </c>
      <c r="F184" s="230" t="e">
        <f>+#REF!</f>
        <v>#REF!</v>
      </c>
      <c r="G184" s="349" t="e">
        <f>+#REF!</f>
        <v>#REF!</v>
      </c>
      <c r="H184" s="119" t="e">
        <f>+#REF!</f>
        <v>#REF!</v>
      </c>
      <c r="I184" s="239" t="e">
        <f>+#REF!</f>
        <v>#REF!</v>
      </c>
      <c r="J184" s="245" t="e">
        <f>+#REF!</f>
        <v>#REF!</v>
      </c>
      <c r="K184" s="227" t="e">
        <f>+#REF!</f>
        <v>#REF!</v>
      </c>
      <c r="L184" s="119" t="e">
        <f>+#REF!</f>
        <v>#REF!</v>
      </c>
      <c r="M184" s="198" t="e">
        <f>+#REF!</f>
        <v>#REF!</v>
      </c>
      <c r="N184" s="261" t="e">
        <f>+#REF!</f>
        <v>#REF!</v>
      </c>
      <c r="O184" s="227" t="e">
        <f>+#REF!</f>
        <v>#REF!</v>
      </c>
      <c r="P184" s="119" t="e">
        <f>+#REF!</f>
        <v>#REF!</v>
      </c>
      <c r="Q184" s="239" t="e">
        <f>+#REF!</f>
        <v>#REF!</v>
      </c>
      <c r="R184" s="245" t="e">
        <f>+#REF!</f>
        <v>#REF!</v>
      </c>
      <c r="S184" s="227" t="e">
        <f>+#REF!</f>
        <v>#REF!</v>
      </c>
      <c r="T184" s="119" t="e">
        <f>+#REF!</f>
        <v>#REF!</v>
      </c>
      <c r="U184" s="239" t="e">
        <f>+#REF!</f>
        <v>#REF!</v>
      </c>
      <c r="V184" s="245" t="e">
        <f>+#REF!</f>
        <v>#REF!</v>
      </c>
      <c r="W184" s="227" t="e">
        <f>+#REF!</f>
        <v>#REF!</v>
      </c>
      <c r="X184" s="119" t="e">
        <f>+#REF!</f>
        <v>#REF!</v>
      </c>
      <c r="Y184" s="198" t="e">
        <f>+#REF!</f>
        <v>#REF!</v>
      </c>
      <c r="Z184" s="261" t="e">
        <f>+#REF!</f>
        <v>#REF!</v>
      </c>
      <c r="AA184" s="239" t="e">
        <f>+#REF!</f>
        <v>#REF!</v>
      </c>
      <c r="AB184" s="245" t="e">
        <f>+#REF!</f>
        <v>#REF!</v>
      </c>
      <c r="AC184" s="227" t="e">
        <f>+#REF!</f>
        <v>#REF!</v>
      </c>
      <c r="AD184" s="119" t="e">
        <f>+#REF!</f>
        <v>#REF!</v>
      </c>
      <c r="AE184" s="239" t="e">
        <f>+#REF!</f>
        <v>#REF!</v>
      </c>
      <c r="AF184" s="245" t="e">
        <f>+#REF!</f>
        <v>#REF!</v>
      </c>
      <c r="AG184" s="227" t="e">
        <f>+#REF!</f>
        <v>#REF!</v>
      </c>
      <c r="AH184" s="119" t="e">
        <f>+#REF!</f>
        <v>#REF!</v>
      </c>
      <c r="AI184" s="239" t="e">
        <f>+#REF!</f>
        <v>#REF!</v>
      </c>
      <c r="AJ184" s="245" t="e">
        <f>+#REF!</f>
        <v>#REF!</v>
      </c>
      <c r="AK184" s="227" t="e">
        <f>+#REF!</f>
        <v>#REF!</v>
      </c>
      <c r="AL184" s="119" t="e">
        <f>+#REF!</f>
        <v>#REF!</v>
      </c>
      <c r="AM184" s="198" t="e">
        <f>+#REF!</f>
        <v>#REF!</v>
      </c>
      <c r="AN184" s="261" t="e">
        <f>+#REF!</f>
        <v>#REF!</v>
      </c>
      <c r="AO184" s="239" t="e">
        <f>+#REF!</f>
        <v>#REF!</v>
      </c>
      <c r="AP184" s="245" t="e">
        <f>+#REF!</f>
        <v>#REF!</v>
      </c>
      <c r="AQ184" s="227" t="e">
        <f>+#REF!</f>
        <v>#REF!</v>
      </c>
      <c r="AR184" s="119" t="e">
        <f>+#REF!</f>
        <v>#REF!</v>
      </c>
      <c r="AS184" s="1470"/>
      <c r="AT184" s="1470"/>
      <c r="AU184" s="227" t="e">
        <f>+#REF!</f>
        <v>#REF!</v>
      </c>
      <c r="AV184" s="119" t="e">
        <f>+#REF!</f>
        <v>#REF!</v>
      </c>
      <c r="AW184" s="239" t="e">
        <f>+#REF!</f>
        <v>#REF!</v>
      </c>
      <c r="AX184" s="245" t="e">
        <f>+#REF!</f>
        <v>#REF!</v>
      </c>
      <c r="AY184" s="227" t="e">
        <f>+#REF!</f>
        <v>#REF!</v>
      </c>
      <c r="AZ184" s="119" t="e">
        <f>+#REF!</f>
        <v>#REF!</v>
      </c>
      <c r="BA184" s="198" t="e">
        <f>+#REF!</f>
        <v>#REF!</v>
      </c>
      <c r="BB184" s="261" t="e">
        <f>+#REF!</f>
        <v>#REF!</v>
      </c>
      <c r="BC184" s="239" t="e">
        <f>+#REF!</f>
        <v>#REF!</v>
      </c>
      <c r="BD184" s="245" t="e">
        <f>+#REF!</f>
        <v>#REF!</v>
      </c>
      <c r="BE184" s="239" t="e">
        <f>+#REF!</f>
        <v>#REF!</v>
      </c>
      <c r="BF184" s="245" t="e">
        <f>+#REF!</f>
        <v>#REF!</v>
      </c>
    </row>
    <row r="185" spans="2:58" ht="15" hidden="1" customHeight="1" x14ac:dyDescent="0.25">
      <c r="B185" s="3" t="s">
        <v>658</v>
      </c>
      <c r="C185" s="10" t="s">
        <v>52</v>
      </c>
      <c r="D185" s="1810"/>
      <c r="E185" s="945" t="e">
        <f>+#REF!</f>
        <v>#REF!</v>
      </c>
      <c r="F185" s="238" t="e">
        <f>+#REF!</f>
        <v>#REF!</v>
      </c>
      <c r="G185" s="945" t="e">
        <f>+#REF!</f>
        <v>#REF!</v>
      </c>
      <c r="H185" s="50" t="e">
        <f>+#REF!</f>
        <v>#REF!</v>
      </c>
      <c r="I185" s="595" t="e">
        <f>+#REF!</f>
        <v>#REF!</v>
      </c>
      <c r="J185" s="96" t="e">
        <f>+#REF!</f>
        <v>#REF!</v>
      </c>
      <c r="K185" s="1088" t="e">
        <f>+#REF!</f>
        <v>#REF!</v>
      </c>
      <c r="L185" s="50" t="e">
        <f>+#REF!</f>
        <v>#REF!</v>
      </c>
      <c r="M185" s="584" t="e">
        <f>+#REF!</f>
        <v>#REF!</v>
      </c>
      <c r="N185" s="163" t="e">
        <f>+#REF!</f>
        <v>#REF!</v>
      </c>
      <c r="O185" s="1088" t="e">
        <f>+#REF!</f>
        <v>#REF!</v>
      </c>
      <c r="P185" s="50" t="e">
        <f>+#REF!</f>
        <v>#REF!</v>
      </c>
      <c r="Q185" s="595" t="e">
        <f>+#REF!</f>
        <v>#REF!</v>
      </c>
      <c r="R185" s="96" t="e">
        <f>+#REF!</f>
        <v>#REF!</v>
      </c>
      <c r="S185" s="1567" t="e">
        <f>+#REF!</f>
        <v>#REF!</v>
      </c>
      <c r="T185" s="50" t="e">
        <f>+#REF!</f>
        <v>#REF!</v>
      </c>
      <c r="U185" s="595" t="e">
        <f>+#REF!</f>
        <v>#REF!</v>
      </c>
      <c r="V185" s="96" t="e">
        <f>+#REF!</f>
        <v>#REF!</v>
      </c>
      <c r="W185" s="1567" t="e">
        <f>+#REF!</f>
        <v>#REF!</v>
      </c>
      <c r="X185" s="50" t="e">
        <f>+#REF!</f>
        <v>#REF!</v>
      </c>
      <c r="Y185" s="584" t="e">
        <f>+#REF!</f>
        <v>#REF!</v>
      </c>
      <c r="Z185" s="163" t="e">
        <f>+#REF!</f>
        <v>#REF!</v>
      </c>
      <c r="AA185" s="595" t="e">
        <f>+#REF!</f>
        <v>#REF!</v>
      </c>
      <c r="AB185" s="96" t="e">
        <f>+#REF!</f>
        <v>#REF!</v>
      </c>
      <c r="AC185" s="1312" t="e">
        <f>+#REF!</f>
        <v>#REF!</v>
      </c>
      <c r="AD185" s="50" t="e">
        <f>+#REF!</f>
        <v>#REF!</v>
      </c>
      <c r="AE185" s="595" t="e">
        <f>+#REF!</f>
        <v>#REF!</v>
      </c>
      <c r="AF185" s="96" t="e">
        <f>+#REF!</f>
        <v>#REF!</v>
      </c>
      <c r="AG185" s="1567" t="e">
        <f>+#REF!</f>
        <v>#REF!</v>
      </c>
      <c r="AH185" s="50" t="e">
        <f>+#REF!</f>
        <v>#REF!</v>
      </c>
      <c r="AI185" s="595" t="e">
        <f>+#REF!</f>
        <v>#REF!</v>
      </c>
      <c r="AJ185" s="96" t="e">
        <f>+#REF!</f>
        <v>#REF!</v>
      </c>
      <c r="AK185" s="1355" t="e">
        <f>+#REF!</f>
        <v>#REF!</v>
      </c>
      <c r="AL185" s="50" t="e">
        <f>+#REF!</f>
        <v>#REF!</v>
      </c>
      <c r="AM185" s="584" t="e">
        <f>+#REF!</f>
        <v>#REF!</v>
      </c>
      <c r="AN185" s="163" t="e">
        <f>+#REF!</f>
        <v>#REF!</v>
      </c>
      <c r="AO185" s="595" t="e">
        <f>+#REF!</f>
        <v>#REF!</v>
      </c>
      <c r="AP185" s="96" t="e">
        <f>+#REF!</f>
        <v>#REF!</v>
      </c>
      <c r="AQ185" s="1473" t="e">
        <f>+#REF!</f>
        <v>#REF!</v>
      </c>
      <c r="AR185" s="50" t="e">
        <f>+#REF!</f>
        <v>#REF!</v>
      </c>
      <c r="AS185" s="1470"/>
      <c r="AT185" s="1470"/>
      <c r="AU185" s="1567" t="e">
        <f>+#REF!</f>
        <v>#REF!</v>
      </c>
      <c r="AV185" s="50" t="e">
        <f>+#REF!</f>
        <v>#REF!</v>
      </c>
      <c r="AW185" s="595" t="e">
        <f>+#REF!</f>
        <v>#REF!</v>
      </c>
      <c r="AX185" s="96" t="e">
        <f>+#REF!</f>
        <v>#REF!</v>
      </c>
      <c r="AY185" s="1567" t="e">
        <f>+#REF!</f>
        <v>#REF!</v>
      </c>
      <c r="AZ185" s="50" t="e">
        <f>+#REF!</f>
        <v>#REF!</v>
      </c>
      <c r="BA185" s="584" t="e">
        <f>+#REF!</f>
        <v>#REF!</v>
      </c>
      <c r="BB185" s="163" t="e">
        <f>+#REF!</f>
        <v>#REF!</v>
      </c>
      <c r="BC185" s="595" t="e">
        <f>+#REF!</f>
        <v>#REF!</v>
      </c>
      <c r="BD185" s="96" t="e">
        <f>+#REF!</f>
        <v>#REF!</v>
      </c>
      <c r="BE185" s="595" t="e">
        <f>+#REF!</f>
        <v>#REF!</v>
      </c>
      <c r="BF185" s="96" t="e">
        <f>+#REF!</f>
        <v>#REF!</v>
      </c>
    </row>
    <row r="186" spans="2:58" ht="15" hidden="1" customHeight="1" x14ac:dyDescent="0.25">
      <c r="B186" s="3" t="s">
        <v>96</v>
      </c>
      <c r="C186" s="10" t="s">
        <v>52</v>
      </c>
      <c r="D186" s="1810"/>
      <c r="E186" s="331" t="e">
        <f>+#REF!</f>
        <v>#REF!</v>
      </c>
      <c r="F186" s="365" t="e">
        <f>+#REF!</f>
        <v>#REF!</v>
      </c>
      <c r="G186" s="331" t="e">
        <f>+#REF!</f>
        <v>#REF!</v>
      </c>
      <c r="H186" s="210" t="e">
        <f>+#REF!</f>
        <v>#REF!</v>
      </c>
      <c r="I186" s="240" t="e">
        <f>+#REF!</f>
        <v>#REF!</v>
      </c>
      <c r="J186" s="224" t="e">
        <f>+#REF!</f>
        <v>#REF!</v>
      </c>
      <c r="K186" s="228" t="e">
        <f>+#REF!</f>
        <v>#REF!</v>
      </c>
      <c r="L186" s="210" t="e">
        <f>+#REF!</f>
        <v>#REF!</v>
      </c>
      <c r="M186" s="284" t="e">
        <f>+#REF!</f>
        <v>#REF!</v>
      </c>
      <c r="N186" s="203" t="e">
        <f>+#REF!</f>
        <v>#REF!</v>
      </c>
      <c r="O186" s="228" t="e">
        <f>+#REF!</f>
        <v>#REF!</v>
      </c>
      <c r="P186" s="210" t="e">
        <f>+#REF!</f>
        <v>#REF!</v>
      </c>
      <c r="Q186" s="240" t="e">
        <f>+#REF!</f>
        <v>#REF!</v>
      </c>
      <c r="R186" s="224" t="e">
        <f>+#REF!</f>
        <v>#REF!</v>
      </c>
      <c r="S186" s="228" t="e">
        <f>+#REF!</f>
        <v>#REF!</v>
      </c>
      <c r="T186" s="210" t="e">
        <f>+#REF!</f>
        <v>#REF!</v>
      </c>
      <c r="U186" s="240" t="e">
        <f>+#REF!</f>
        <v>#REF!</v>
      </c>
      <c r="V186" s="224" t="e">
        <f>+#REF!</f>
        <v>#REF!</v>
      </c>
      <c r="W186" s="228" t="e">
        <f>+#REF!</f>
        <v>#REF!</v>
      </c>
      <c r="X186" s="210" t="e">
        <f>+#REF!</f>
        <v>#REF!</v>
      </c>
      <c r="Y186" s="284" t="e">
        <f>+#REF!</f>
        <v>#REF!</v>
      </c>
      <c r="Z186" s="203" t="e">
        <f>+#REF!</f>
        <v>#REF!</v>
      </c>
      <c r="AA186" s="240" t="e">
        <f>+#REF!</f>
        <v>#REF!</v>
      </c>
      <c r="AB186" s="224" t="e">
        <f>+#REF!</f>
        <v>#REF!</v>
      </c>
      <c r="AC186" s="228" t="e">
        <f>+#REF!</f>
        <v>#REF!</v>
      </c>
      <c r="AD186" s="210" t="e">
        <f>+#REF!</f>
        <v>#REF!</v>
      </c>
      <c r="AE186" s="240" t="e">
        <f>+#REF!</f>
        <v>#REF!</v>
      </c>
      <c r="AF186" s="224" t="e">
        <f>+#REF!</f>
        <v>#REF!</v>
      </c>
      <c r="AG186" s="228" t="e">
        <f>+#REF!</f>
        <v>#REF!</v>
      </c>
      <c r="AH186" s="3244" t="e">
        <f>+#REF!</f>
        <v>#REF!</v>
      </c>
      <c r="AI186" s="240" t="e">
        <f>+#REF!</f>
        <v>#REF!</v>
      </c>
      <c r="AJ186" s="224" t="e">
        <f>+#REF!</f>
        <v>#REF!</v>
      </c>
      <c r="AK186" s="228" t="e">
        <f>+#REF!</f>
        <v>#REF!</v>
      </c>
      <c r="AL186" s="210" t="e">
        <f>+#REF!</f>
        <v>#REF!</v>
      </c>
      <c r="AM186" s="284" t="e">
        <f>+#REF!</f>
        <v>#REF!</v>
      </c>
      <c r="AN186" s="203" t="e">
        <f>+#REF!</f>
        <v>#REF!</v>
      </c>
      <c r="AO186" s="240" t="e">
        <f>+#REF!</f>
        <v>#REF!</v>
      </c>
      <c r="AP186" s="224" t="e">
        <f>+#REF!</f>
        <v>#REF!</v>
      </c>
      <c r="AQ186" s="228" t="e">
        <f>+#REF!</f>
        <v>#REF!</v>
      </c>
      <c r="AR186" s="210" t="e">
        <f>+#REF!</f>
        <v>#REF!</v>
      </c>
      <c r="AS186" s="1470"/>
      <c r="AT186" s="1470"/>
      <c r="AU186" s="228" t="e">
        <f>+#REF!</f>
        <v>#REF!</v>
      </c>
      <c r="AV186" s="4022" t="e">
        <f>+#REF!</f>
        <v>#REF!</v>
      </c>
      <c r="AW186" s="240" t="e">
        <f>+#REF!</f>
        <v>#REF!</v>
      </c>
      <c r="AX186" s="224" t="e">
        <f>+#REF!</f>
        <v>#REF!</v>
      </c>
      <c r="AY186" s="228" t="e">
        <f>+#REF!</f>
        <v>#REF!</v>
      </c>
      <c r="AZ186" s="4275" t="e">
        <f>+#REF!</f>
        <v>#REF!</v>
      </c>
      <c r="BA186" s="284" t="e">
        <f>+#REF!</f>
        <v>#REF!</v>
      </c>
      <c r="BB186" s="203" t="e">
        <f>+#REF!</f>
        <v>#REF!</v>
      </c>
      <c r="BC186" s="240" t="e">
        <f>+#REF!</f>
        <v>#REF!</v>
      </c>
      <c r="BD186" s="224" t="e">
        <f>+#REF!</f>
        <v>#REF!</v>
      </c>
      <c r="BE186" s="240" t="e">
        <f>+#REF!</f>
        <v>#REF!</v>
      </c>
      <c r="BF186" s="224" t="e">
        <f>+#REF!</f>
        <v>#REF!</v>
      </c>
    </row>
    <row r="187" spans="2:58" ht="15" hidden="1" customHeight="1" x14ac:dyDescent="0.25">
      <c r="B187" s="3" t="s">
        <v>604</v>
      </c>
      <c r="C187" s="10" t="s">
        <v>52</v>
      </c>
      <c r="D187" s="1810"/>
      <c r="E187" s="349" t="e">
        <f>+#REF!</f>
        <v>#REF!</v>
      </c>
      <c r="F187" s="230" t="e">
        <f>+#REF!</f>
        <v>#REF!</v>
      </c>
      <c r="G187" s="349" t="e">
        <f>+#REF!</f>
        <v>#REF!</v>
      </c>
      <c r="H187" s="119" t="e">
        <f>+#REF!</f>
        <v>#REF!</v>
      </c>
      <c r="I187" s="239" t="e">
        <f>+#REF!</f>
        <v>#REF!</v>
      </c>
      <c r="J187" s="245" t="e">
        <f>+#REF!</f>
        <v>#REF!</v>
      </c>
      <c r="K187" s="227" t="e">
        <f>+#REF!</f>
        <v>#REF!</v>
      </c>
      <c r="L187" s="119" t="e">
        <f>+#REF!</f>
        <v>#REF!</v>
      </c>
      <c r="M187" s="198" t="e">
        <f>+#REF!</f>
        <v>#REF!</v>
      </c>
      <c r="N187" s="261" t="e">
        <f>+#REF!</f>
        <v>#REF!</v>
      </c>
      <c r="O187" s="227" t="e">
        <f>+#REF!</f>
        <v>#REF!</v>
      </c>
      <c r="P187" s="119" t="e">
        <f>+#REF!</f>
        <v>#REF!</v>
      </c>
      <c r="Q187" s="239" t="e">
        <f>+#REF!</f>
        <v>#REF!</v>
      </c>
      <c r="R187" s="245" t="e">
        <f>+#REF!</f>
        <v>#REF!</v>
      </c>
      <c r="S187" s="227" t="e">
        <f>+#REF!</f>
        <v>#REF!</v>
      </c>
      <c r="T187" s="119" t="e">
        <f>+#REF!</f>
        <v>#REF!</v>
      </c>
      <c r="U187" s="239" t="e">
        <f>+#REF!</f>
        <v>#REF!</v>
      </c>
      <c r="V187" s="245" t="e">
        <f>+#REF!</f>
        <v>#REF!</v>
      </c>
      <c r="W187" s="227" t="e">
        <f>+#REF!</f>
        <v>#REF!</v>
      </c>
      <c r="X187" s="119" t="e">
        <f>+#REF!</f>
        <v>#REF!</v>
      </c>
      <c r="Y187" s="198" t="e">
        <f>+#REF!</f>
        <v>#REF!</v>
      </c>
      <c r="Z187" s="261" t="e">
        <f>+#REF!</f>
        <v>#REF!</v>
      </c>
      <c r="AA187" s="239" t="e">
        <f>+#REF!</f>
        <v>#REF!</v>
      </c>
      <c r="AB187" s="245" t="e">
        <f>+#REF!</f>
        <v>#REF!</v>
      </c>
      <c r="AC187" s="227" t="e">
        <f>+#REF!</f>
        <v>#REF!</v>
      </c>
      <c r="AD187" s="119" t="e">
        <f>+#REF!</f>
        <v>#REF!</v>
      </c>
      <c r="AE187" s="239" t="e">
        <f>+#REF!</f>
        <v>#REF!</v>
      </c>
      <c r="AF187" s="245" t="e">
        <f>+#REF!</f>
        <v>#REF!</v>
      </c>
      <c r="AG187" s="227" t="e">
        <f>+#REF!</f>
        <v>#REF!</v>
      </c>
      <c r="AH187" s="119" t="e">
        <f>+#REF!</f>
        <v>#REF!</v>
      </c>
      <c r="AI187" s="239" t="e">
        <f>+#REF!</f>
        <v>#REF!</v>
      </c>
      <c r="AJ187" s="245" t="e">
        <f>+#REF!</f>
        <v>#REF!</v>
      </c>
      <c r="AK187" s="227" t="e">
        <f>+#REF!</f>
        <v>#REF!</v>
      </c>
      <c r="AL187" s="119" t="e">
        <f>+#REF!</f>
        <v>#REF!</v>
      </c>
      <c r="AM187" s="198" t="e">
        <f>+#REF!</f>
        <v>#REF!</v>
      </c>
      <c r="AN187" s="261" t="e">
        <f>+#REF!</f>
        <v>#REF!</v>
      </c>
      <c r="AO187" s="239" t="e">
        <f>+#REF!</f>
        <v>#REF!</v>
      </c>
      <c r="AP187" s="245" t="e">
        <f>+#REF!</f>
        <v>#REF!</v>
      </c>
      <c r="AQ187" s="227" t="e">
        <f>+#REF!</f>
        <v>#REF!</v>
      </c>
      <c r="AR187" s="119" t="e">
        <f>+#REF!</f>
        <v>#REF!</v>
      </c>
      <c r="AS187" s="1470"/>
      <c r="AT187" s="1470"/>
      <c r="AU187" s="227" t="e">
        <f>+#REF!</f>
        <v>#REF!</v>
      </c>
      <c r="AV187" s="119" t="e">
        <f>+#REF!</f>
        <v>#REF!</v>
      </c>
      <c r="AW187" s="239" t="e">
        <f>+#REF!</f>
        <v>#REF!</v>
      </c>
      <c r="AX187" s="245" t="e">
        <f>+#REF!</f>
        <v>#REF!</v>
      </c>
      <c r="AY187" s="227" t="e">
        <f>+#REF!</f>
        <v>#REF!</v>
      </c>
      <c r="AZ187" s="119" t="e">
        <f>+#REF!</f>
        <v>#REF!</v>
      </c>
      <c r="BA187" s="198" t="e">
        <f>+#REF!</f>
        <v>#REF!</v>
      </c>
      <c r="BB187" s="261" t="e">
        <f>+#REF!</f>
        <v>#REF!</v>
      </c>
      <c r="BC187" s="239" t="e">
        <f>+#REF!</f>
        <v>#REF!</v>
      </c>
      <c r="BD187" s="245" t="e">
        <f>+#REF!</f>
        <v>#REF!</v>
      </c>
      <c r="BE187" s="239" t="e">
        <f>+#REF!</f>
        <v>#REF!</v>
      </c>
      <c r="BF187" s="245" t="e">
        <f>+#REF!</f>
        <v>#REF!</v>
      </c>
    </row>
    <row r="188" spans="2:58" ht="15" hidden="1" customHeight="1" thickBot="1" x14ac:dyDescent="0.3">
      <c r="B188" s="17" t="s">
        <v>605</v>
      </c>
      <c r="C188" s="12" t="s">
        <v>52</v>
      </c>
      <c r="D188" s="1811"/>
      <c r="E188" s="350" t="e">
        <f>+#REF!</f>
        <v>#REF!</v>
      </c>
      <c r="F188" s="360" t="e">
        <f>+#REF!</f>
        <v>#REF!</v>
      </c>
      <c r="G188" s="350" t="e">
        <f>+#REF!</f>
        <v>#REF!</v>
      </c>
      <c r="H188" s="379" t="e">
        <f>+#REF!</f>
        <v>#REF!</v>
      </c>
      <c r="I188" s="279" t="e">
        <f>+#REF!</f>
        <v>#REF!</v>
      </c>
      <c r="J188" s="246" t="e">
        <f>+#REF!</f>
        <v>#REF!</v>
      </c>
      <c r="K188" s="241" t="e">
        <f>+#REF!</f>
        <v>#REF!</v>
      </c>
      <c r="L188" s="379" t="e">
        <f>+#REF!</f>
        <v>#REF!</v>
      </c>
      <c r="M188" s="295" t="e">
        <f>+#REF!</f>
        <v>#REF!</v>
      </c>
      <c r="N188" s="262" t="e">
        <f>+#REF!</f>
        <v>#REF!</v>
      </c>
      <c r="O188" s="241" t="e">
        <f>+#REF!</f>
        <v>#REF!</v>
      </c>
      <c r="P188" s="379" t="e">
        <f>+#REF!</f>
        <v>#REF!</v>
      </c>
      <c r="Q188" s="279" t="e">
        <f>+#REF!</f>
        <v>#REF!</v>
      </c>
      <c r="R188" s="246" t="e">
        <f>+#REF!</f>
        <v>#REF!</v>
      </c>
      <c r="S188" s="241" t="e">
        <f>+#REF!</f>
        <v>#REF!</v>
      </c>
      <c r="T188" s="379" t="e">
        <f>+#REF!</f>
        <v>#REF!</v>
      </c>
      <c r="U188" s="279" t="e">
        <f>+#REF!</f>
        <v>#REF!</v>
      </c>
      <c r="V188" s="246" t="e">
        <f>+#REF!</f>
        <v>#REF!</v>
      </c>
      <c r="W188" s="241" t="e">
        <f>+#REF!</f>
        <v>#REF!</v>
      </c>
      <c r="X188" s="379" t="e">
        <f>+#REF!</f>
        <v>#REF!</v>
      </c>
      <c r="Y188" s="295" t="e">
        <f>+#REF!</f>
        <v>#REF!</v>
      </c>
      <c r="Z188" s="262" t="e">
        <f>+#REF!</f>
        <v>#REF!</v>
      </c>
      <c r="AA188" s="279" t="e">
        <f>+#REF!</f>
        <v>#REF!</v>
      </c>
      <c r="AB188" s="246" t="e">
        <f>+#REF!</f>
        <v>#REF!</v>
      </c>
      <c r="AC188" s="241" t="e">
        <f>+#REF!</f>
        <v>#REF!</v>
      </c>
      <c r="AD188" s="379" t="e">
        <f>+#REF!</f>
        <v>#REF!</v>
      </c>
      <c r="AE188" s="279" t="e">
        <f>+#REF!</f>
        <v>#REF!</v>
      </c>
      <c r="AF188" s="246" t="e">
        <f>+#REF!</f>
        <v>#REF!</v>
      </c>
      <c r="AG188" s="241" t="e">
        <f>+#REF!</f>
        <v>#REF!</v>
      </c>
      <c r="AH188" s="379" t="e">
        <f>+#REF!</f>
        <v>#REF!</v>
      </c>
      <c r="AI188" s="279" t="e">
        <f>+#REF!</f>
        <v>#REF!</v>
      </c>
      <c r="AJ188" s="246" t="e">
        <f>+#REF!</f>
        <v>#REF!</v>
      </c>
      <c r="AK188" s="241" t="e">
        <f>+#REF!</f>
        <v>#REF!</v>
      </c>
      <c r="AL188" s="379" t="e">
        <f>+#REF!</f>
        <v>#REF!</v>
      </c>
      <c r="AM188" s="295" t="e">
        <f>+#REF!</f>
        <v>#REF!</v>
      </c>
      <c r="AN188" s="262" t="e">
        <f>+#REF!</f>
        <v>#REF!</v>
      </c>
      <c r="AO188" s="279" t="e">
        <f>+#REF!</f>
        <v>#REF!</v>
      </c>
      <c r="AP188" s="246" t="e">
        <f>+#REF!</f>
        <v>#REF!</v>
      </c>
      <c r="AQ188" s="241" t="e">
        <f>+#REF!</f>
        <v>#REF!</v>
      </c>
      <c r="AR188" s="379" t="e">
        <f>+#REF!</f>
        <v>#REF!</v>
      </c>
      <c r="AS188" s="1470"/>
      <c r="AT188" s="1470"/>
      <c r="AU188" s="241" t="e">
        <f>+#REF!</f>
        <v>#REF!</v>
      </c>
      <c r="AV188" s="379" t="e">
        <f>+#REF!</f>
        <v>#REF!</v>
      </c>
      <c r="AW188" s="279" t="e">
        <f>+#REF!</f>
        <v>#REF!</v>
      </c>
      <c r="AX188" s="246" t="e">
        <f>+#REF!</f>
        <v>#REF!</v>
      </c>
      <c r="AY188" s="241" t="e">
        <f>+#REF!</f>
        <v>#REF!</v>
      </c>
      <c r="AZ188" s="379" t="e">
        <f>+#REF!</f>
        <v>#REF!</v>
      </c>
      <c r="BA188" s="295" t="e">
        <f>+#REF!</f>
        <v>#REF!</v>
      </c>
      <c r="BB188" s="262" t="e">
        <f>+#REF!</f>
        <v>#REF!</v>
      </c>
      <c r="BC188" s="279" t="e">
        <f>+#REF!</f>
        <v>#REF!</v>
      </c>
      <c r="BD188" s="246" t="e">
        <f>+#REF!</f>
        <v>#REF!</v>
      </c>
      <c r="BE188" s="279" t="e">
        <f>+#REF!</f>
        <v>#REF!</v>
      </c>
      <c r="BF188" s="246" t="e">
        <f>+#REF!</f>
        <v>#REF!</v>
      </c>
    </row>
    <row r="189" spans="2:58" ht="19.5" hidden="1" customHeight="1" thickBot="1" x14ac:dyDescent="0.3">
      <c r="B189" s="271" t="s">
        <v>14</v>
      </c>
      <c r="C189" s="273" t="s">
        <v>52</v>
      </c>
      <c r="D189" s="1812"/>
      <c r="E189" s="267" t="e">
        <f t="shared" ref="E189:AF189" si="1164">+SUMPRODUCT(E182:E188,E166:E169)/E170</f>
        <v>#REF!</v>
      </c>
      <c r="F189" s="371" t="e">
        <f t="shared" si="1164"/>
        <v>#REF!</v>
      </c>
      <c r="G189" s="267" t="e">
        <f t="shared" si="1164"/>
        <v>#REF!</v>
      </c>
      <c r="H189" s="377" t="e">
        <f t="shared" si="1164"/>
        <v>#REF!</v>
      </c>
      <c r="I189" s="268" t="e">
        <f t="shared" si="1164"/>
        <v>#REF!</v>
      </c>
      <c r="J189" s="391" t="e">
        <f t="shared" si="1164"/>
        <v>#REF!</v>
      </c>
      <c r="K189" s="257" t="e">
        <f t="shared" si="1164"/>
        <v>#REF!</v>
      </c>
      <c r="L189" s="377" t="e">
        <f t="shared" si="1164"/>
        <v>#REF!</v>
      </c>
      <c r="M189" s="269" t="e">
        <f t="shared" si="1164"/>
        <v>#REF!</v>
      </c>
      <c r="N189" s="408" t="e">
        <f t="shared" si="1164"/>
        <v>#REF!</v>
      </c>
      <c r="O189" s="257" t="e">
        <f t="shared" si="1164"/>
        <v>#REF!</v>
      </c>
      <c r="P189" s="377" t="e">
        <f t="shared" si="1164"/>
        <v>#REF!</v>
      </c>
      <c r="Q189" s="268" t="e">
        <f t="shared" si="1164"/>
        <v>#REF!</v>
      </c>
      <c r="R189" s="391" t="e">
        <f t="shared" si="1164"/>
        <v>#REF!</v>
      </c>
      <c r="S189" s="257" t="e">
        <f t="shared" ref="S189:V189" si="1165">+SUMPRODUCT(S182:S188,S166:S169)/S170</f>
        <v>#REF!</v>
      </c>
      <c r="T189" s="377" t="e">
        <f t="shared" si="1165"/>
        <v>#REF!</v>
      </c>
      <c r="U189" s="268" t="e">
        <f t="shared" si="1165"/>
        <v>#REF!</v>
      </c>
      <c r="V189" s="391" t="e">
        <f t="shared" si="1165"/>
        <v>#REF!</v>
      </c>
      <c r="W189" s="257" t="e">
        <f t="shared" ref="W189:X189" si="1166">+SUMPRODUCT(W182:W188,W166:W169)/W170</f>
        <v>#REF!</v>
      </c>
      <c r="X189" s="377" t="e">
        <f t="shared" si="1166"/>
        <v>#REF!</v>
      </c>
      <c r="Y189" s="269" t="e">
        <f t="shared" si="1164"/>
        <v>#REF!</v>
      </c>
      <c r="Z189" s="408" t="e">
        <f t="shared" si="1164"/>
        <v>#REF!</v>
      </c>
      <c r="AA189" s="268" t="e">
        <f t="shared" si="1164"/>
        <v>#REF!</v>
      </c>
      <c r="AB189" s="391" t="e">
        <f t="shared" si="1164"/>
        <v>#REF!</v>
      </c>
      <c r="AC189" s="257" t="e">
        <f t="shared" si="1164"/>
        <v>#REF!</v>
      </c>
      <c r="AD189" s="377" t="e">
        <f t="shared" si="1164"/>
        <v>#REF!</v>
      </c>
      <c r="AE189" s="268" t="e">
        <f t="shared" si="1164"/>
        <v>#REF!</v>
      </c>
      <c r="AF189" s="391" t="e">
        <f t="shared" si="1164"/>
        <v>#REF!</v>
      </c>
      <c r="AG189" s="257" t="e">
        <f t="shared" ref="AG189:AJ189" si="1167">+SUMPRODUCT(AG182:AG188,AG166:AG169)/AG170</f>
        <v>#REF!</v>
      </c>
      <c r="AH189" s="377" t="e">
        <f t="shared" si="1167"/>
        <v>#REF!</v>
      </c>
      <c r="AI189" s="268" t="e">
        <f t="shared" si="1167"/>
        <v>#REF!</v>
      </c>
      <c r="AJ189" s="391" t="e">
        <f t="shared" si="1167"/>
        <v>#REF!</v>
      </c>
      <c r="AK189" s="257" t="e">
        <f t="shared" ref="AK189:AR189" si="1168">+SUMPRODUCT(AK182:AK188,AK166:AK169)/AK170</f>
        <v>#REF!</v>
      </c>
      <c r="AL189" s="377" t="e">
        <f t="shared" si="1168"/>
        <v>#REF!</v>
      </c>
      <c r="AM189" s="269" t="e">
        <f t="shared" si="1168"/>
        <v>#REF!</v>
      </c>
      <c r="AN189" s="408" t="e">
        <f t="shared" si="1168"/>
        <v>#REF!</v>
      </c>
      <c r="AO189" s="268" t="e">
        <f t="shared" si="1168"/>
        <v>#REF!</v>
      </c>
      <c r="AP189" s="391" t="e">
        <f t="shared" si="1168"/>
        <v>#REF!</v>
      </c>
      <c r="AQ189" s="257" t="e">
        <f t="shared" si="1168"/>
        <v>#REF!</v>
      </c>
      <c r="AR189" s="377" t="e">
        <f t="shared" si="1168"/>
        <v>#REF!</v>
      </c>
      <c r="AS189" s="1470"/>
      <c r="AT189" s="1470"/>
      <c r="AU189" s="257" t="e">
        <f t="shared" ref="AU189:AX189" si="1169">+SUMPRODUCT(AU182:AU188,AU166:AU169)/AU170</f>
        <v>#REF!</v>
      </c>
      <c r="AV189" s="377" t="e">
        <f t="shared" si="1169"/>
        <v>#REF!</v>
      </c>
      <c r="AW189" s="268" t="e">
        <f t="shared" si="1169"/>
        <v>#REF!</v>
      </c>
      <c r="AX189" s="391" t="e">
        <f t="shared" si="1169"/>
        <v>#REF!</v>
      </c>
      <c r="AY189" s="257" t="e">
        <f t="shared" ref="AY189:BF189" si="1170">+SUMPRODUCT(AY182:AY188,AY166:AY169)/AY170</f>
        <v>#REF!</v>
      </c>
      <c r="AZ189" s="377" t="e">
        <f t="shared" si="1170"/>
        <v>#REF!</v>
      </c>
      <c r="BA189" s="269" t="e">
        <f t="shared" si="1170"/>
        <v>#REF!</v>
      </c>
      <c r="BB189" s="408" t="e">
        <f t="shared" si="1170"/>
        <v>#REF!</v>
      </c>
      <c r="BC189" s="268" t="e">
        <f t="shared" ref="BC189:BD189" si="1171">+SUMPRODUCT(BC182:BC188,BC166:BC169)/BC170</f>
        <v>#REF!</v>
      </c>
      <c r="BD189" s="391" t="e">
        <f t="shared" si="1171"/>
        <v>#REF!</v>
      </c>
      <c r="BE189" s="268" t="e">
        <f t="shared" si="1170"/>
        <v>#REF!</v>
      </c>
      <c r="BF189" s="391" t="e">
        <f t="shared" si="1170"/>
        <v>#REF!</v>
      </c>
    </row>
    <row r="190" spans="2:58" ht="15" hidden="1" customHeight="1" x14ac:dyDescent="0.25">
      <c r="B190" s="18" t="s">
        <v>150</v>
      </c>
      <c r="C190" s="8" t="s">
        <v>52</v>
      </c>
      <c r="D190" s="1813"/>
      <c r="E190" s="351" t="e">
        <f>+#REF!</f>
        <v>#REF!</v>
      </c>
      <c r="F190" s="356" t="e">
        <f>+#REF!</f>
        <v>#REF!</v>
      </c>
      <c r="G190" s="351" t="e">
        <f>+#REF!</f>
        <v>#REF!</v>
      </c>
      <c r="H190" s="956" t="e">
        <f>+#REF!</f>
        <v>#REF!</v>
      </c>
      <c r="I190" s="278" t="e">
        <f>+#REF!</f>
        <v>#REF!</v>
      </c>
      <c r="J190" s="209" t="e">
        <f>+#REF!</f>
        <v>#REF!</v>
      </c>
      <c r="K190" s="242" t="e">
        <f>+#REF!</f>
        <v>#REF!</v>
      </c>
      <c r="L190" s="956" t="e">
        <f>+#REF!</f>
        <v>#REF!</v>
      </c>
      <c r="M190" s="286" t="e">
        <f>+#REF!</f>
        <v>#REF!</v>
      </c>
      <c r="N190" s="195" t="e">
        <f>+#REF!</f>
        <v>#REF!</v>
      </c>
      <c r="O190" s="242" t="e">
        <f>+#REF!</f>
        <v>#REF!</v>
      </c>
      <c r="P190" s="956" t="e">
        <f>+#REF!</f>
        <v>#REF!</v>
      </c>
      <c r="Q190" s="278" t="e">
        <f>+#REF!</f>
        <v>#REF!</v>
      </c>
      <c r="R190" s="209" t="e">
        <f>+#REF!</f>
        <v>#REF!</v>
      </c>
      <c r="S190" s="242" t="e">
        <f>+#REF!</f>
        <v>#REF!</v>
      </c>
      <c r="T190" s="1499" t="e">
        <f>+#REF!</f>
        <v>#REF!</v>
      </c>
      <c r="U190" s="278" t="e">
        <f>+#REF!</f>
        <v>#REF!</v>
      </c>
      <c r="V190" s="209" t="e">
        <f>+#REF!</f>
        <v>#REF!</v>
      </c>
      <c r="W190" s="242" t="e">
        <f>+#REF!</f>
        <v>#REF!</v>
      </c>
      <c r="X190" s="1499" t="e">
        <f>+#REF!</f>
        <v>#REF!</v>
      </c>
      <c r="Y190" s="286" t="e">
        <f>+#REF!</f>
        <v>#REF!</v>
      </c>
      <c r="Z190" s="195" t="e">
        <f>+#REF!</f>
        <v>#REF!</v>
      </c>
      <c r="AA190" s="278" t="e">
        <f>+#REF!</f>
        <v>#REF!</v>
      </c>
      <c r="AB190" s="209" t="e">
        <f>+#REF!</f>
        <v>#REF!</v>
      </c>
      <c r="AC190" s="242" t="e">
        <f>+#REF!</f>
        <v>#REF!</v>
      </c>
      <c r="AD190" s="1314" t="e">
        <f>+#REF!</f>
        <v>#REF!</v>
      </c>
      <c r="AE190" s="278" t="e">
        <f>+#REF!</f>
        <v>#REF!</v>
      </c>
      <c r="AF190" s="209" t="e">
        <f>+#REF!</f>
        <v>#REF!</v>
      </c>
      <c r="AG190" s="242" t="e">
        <f>+#REF!</f>
        <v>#REF!</v>
      </c>
      <c r="AH190" s="1499" t="e">
        <f>+#REF!</f>
        <v>#REF!</v>
      </c>
      <c r="AI190" s="278" t="e">
        <f>+#REF!</f>
        <v>#REF!</v>
      </c>
      <c r="AJ190" s="209" t="e">
        <f>+#REF!</f>
        <v>#REF!</v>
      </c>
      <c r="AK190" s="242" t="e">
        <f>+#REF!</f>
        <v>#REF!</v>
      </c>
      <c r="AL190" s="1357" t="e">
        <f>+#REF!</f>
        <v>#REF!</v>
      </c>
      <c r="AM190" s="286" t="e">
        <f>+#REF!</f>
        <v>#REF!</v>
      </c>
      <c r="AN190" s="195" t="e">
        <f>+#REF!</f>
        <v>#REF!</v>
      </c>
      <c r="AO190" s="278" t="e">
        <f>+#REF!</f>
        <v>#REF!</v>
      </c>
      <c r="AP190" s="209" t="e">
        <f>+#REF!</f>
        <v>#REF!</v>
      </c>
      <c r="AQ190" s="242" t="e">
        <f>+#REF!</f>
        <v>#REF!</v>
      </c>
      <c r="AR190" s="1474" t="e">
        <f>+#REF!</f>
        <v>#REF!</v>
      </c>
      <c r="AS190" s="1470"/>
      <c r="AT190" s="1470"/>
      <c r="AU190" s="242" t="e">
        <f>+#REF!</f>
        <v>#REF!</v>
      </c>
      <c r="AV190" s="1499" t="e">
        <f>+#REF!</f>
        <v>#REF!</v>
      </c>
      <c r="AW190" s="278" t="e">
        <f>+#REF!</f>
        <v>#REF!</v>
      </c>
      <c r="AX190" s="209" t="e">
        <f>+#REF!</f>
        <v>#REF!</v>
      </c>
      <c r="AY190" s="242" t="e">
        <f>+#REF!</f>
        <v>#REF!</v>
      </c>
      <c r="AZ190" s="1499" t="e">
        <f>+#REF!</f>
        <v>#REF!</v>
      </c>
      <c r="BA190" s="286" t="e">
        <f>+#REF!</f>
        <v>#REF!</v>
      </c>
      <c r="BB190" s="195" t="e">
        <f>+#REF!</f>
        <v>#REF!</v>
      </c>
      <c r="BC190" s="278" t="e">
        <f>+#REF!</f>
        <v>#REF!</v>
      </c>
      <c r="BD190" s="209" t="e">
        <f>+#REF!</f>
        <v>#REF!</v>
      </c>
      <c r="BE190" s="278" t="e">
        <f>+#REF!</f>
        <v>#REF!</v>
      </c>
      <c r="BF190" s="209" t="e">
        <f>+#REF!</f>
        <v>#REF!</v>
      </c>
    </row>
    <row r="191" spans="2:58" ht="15" hidden="1" customHeight="1" thickBot="1" x14ac:dyDescent="0.3">
      <c r="B191" s="17" t="s">
        <v>151</v>
      </c>
      <c r="C191" s="12" t="s">
        <v>52</v>
      </c>
      <c r="D191" s="1811"/>
      <c r="E191" s="352"/>
      <c r="F191" s="373"/>
      <c r="G191" s="352"/>
      <c r="H191" s="380"/>
      <c r="I191" s="1090"/>
      <c r="J191" s="304"/>
      <c r="K191" s="89"/>
      <c r="L191" s="380"/>
      <c r="M191" s="1089"/>
      <c r="N191" s="409"/>
      <c r="O191" s="89"/>
      <c r="P191" s="380"/>
      <c r="Q191" s="1090"/>
      <c r="R191" s="304"/>
      <c r="S191" s="89"/>
      <c r="T191" s="380"/>
      <c r="U191" s="1724"/>
      <c r="V191" s="304"/>
      <c r="W191" s="89"/>
      <c r="X191" s="380"/>
      <c r="Y191" s="1089"/>
      <c r="Z191" s="409"/>
      <c r="AA191" s="1120"/>
      <c r="AB191" s="304"/>
      <c r="AC191" s="89"/>
      <c r="AD191" s="380"/>
      <c r="AE191" s="1313"/>
      <c r="AF191" s="304"/>
      <c r="AG191" s="89"/>
      <c r="AH191" s="380"/>
      <c r="AI191" s="3242"/>
      <c r="AJ191" s="304"/>
      <c r="AK191" s="89"/>
      <c r="AL191" s="380"/>
      <c r="AM191" s="1089"/>
      <c r="AN191" s="409"/>
      <c r="AO191" s="1356"/>
      <c r="AP191" s="304"/>
      <c r="AQ191" s="89"/>
      <c r="AR191" s="380"/>
      <c r="AS191" s="1470"/>
      <c r="AT191" s="1470"/>
      <c r="AU191" s="89"/>
      <c r="AV191" s="380"/>
      <c r="AW191" s="4021"/>
      <c r="AX191" s="304"/>
      <c r="AY191" s="89"/>
      <c r="AZ191" s="380"/>
      <c r="BA191" s="1089"/>
      <c r="BB191" s="409"/>
      <c r="BC191" s="4021"/>
      <c r="BD191" s="304"/>
      <c r="BE191" s="4021"/>
      <c r="BF191" s="304"/>
    </row>
    <row r="192" spans="2:58" ht="19.5" hidden="1" customHeight="1" thickBot="1" x14ac:dyDescent="0.3">
      <c r="B192" s="271" t="s">
        <v>152</v>
      </c>
      <c r="C192" s="273" t="s">
        <v>52</v>
      </c>
      <c r="D192" s="1812"/>
      <c r="E192" s="267" t="e">
        <f t="shared" ref="E192:AF192" si="1172">+SUMPRODUCT(E190:E191,E171:E172)/E173</f>
        <v>#REF!</v>
      </c>
      <c r="F192" s="371" t="e">
        <f t="shared" si="1172"/>
        <v>#REF!</v>
      </c>
      <c r="G192" s="267" t="e">
        <f t="shared" si="1172"/>
        <v>#REF!</v>
      </c>
      <c r="H192" s="377" t="e">
        <f t="shared" si="1172"/>
        <v>#REF!</v>
      </c>
      <c r="I192" s="268" t="e">
        <f t="shared" si="1172"/>
        <v>#REF!</v>
      </c>
      <c r="J192" s="391" t="e">
        <f t="shared" si="1172"/>
        <v>#REF!</v>
      </c>
      <c r="K192" s="257" t="e">
        <f t="shared" si="1172"/>
        <v>#REF!</v>
      </c>
      <c r="L192" s="377" t="e">
        <f t="shared" si="1172"/>
        <v>#REF!</v>
      </c>
      <c r="M192" s="269" t="e">
        <f t="shared" si="1172"/>
        <v>#REF!</v>
      </c>
      <c r="N192" s="408" t="e">
        <f t="shared" si="1172"/>
        <v>#REF!</v>
      </c>
      <c r="O192" s="257" t="e">
        <f t="shared" si="1172"/>
        <v>#REF!</v>
      </c>
      <c r="P192" s="377" t="e">
        <f t="shared" si="1172"/>
        <v>#REF!</v>
      </c>
      <c r="Q192" s="268" t="e">
        <f t="shared" si="1172"/>
        <v>#REF!</v>
      </c>
      <c r="R192" s="391" t="e">
        <f t="shared" si="1172"/>
        <v>#REF!</v>
      </c>
      <c r="S192" s="257" t="e">
        <f t="shared" ref="S192:V192" si="1173">+SUMPRODUCT(S190:S191,S171:S172)/S173</f>
        <v>#REF!</v>
      </c>
      <c r="T192" s="377" t="e">
        <f t="shared" si="1173"/>
        <v>#REF!</v>
      </c>
      <c r="U192" s="268" t="e">
        <f t="shared" si="1173"/>
        <v>#REF!</v>
      </c>
      <c r="V192" s="391" t="e">
        <f t="shared" si="1173"/>
        <v>#REF!</v>
      </c>
      <c r="W192" s="257" t="e">
        <f t="shared" ref="W192:X192" si="1174">+SUMPRODUCT(W190:W191,W171:W172)/W173</f>
        <v>#REF!</v>
      </c>
      <c r="X192" s="377" t="e">
        <f t="shared" si="1174"/>
        <v>#REF!</v>
      </c>
      <c r="Y192" s="269" t="e">
        <f t="shared" si="1172"/>
        <v>#REF!</v>
      </c>
      <c r="Z192" s="408" t="e">
        <f t="shared" si="1172"/>
        <v>#REF!</v>
      </c>
      <c r="AA192" s="268" t="e">
        <f t="shared" si="1172"/>
        <v>#REF!</v>
      </c>
      <c r="AB192" s="391" t="e">
        <f t="shared" si="1172"/>
        <v>#REF!</v>
      </c>
      <c r="AC192" s="257" t="e">
        <f t="shared" si="1172"/>
        <v>#REF!</v>
      </c>
      <c r="AD192" s="377" t="e">
        <f t="shared" si="1172"/>
        <v>#REF!</v>
      </c>
      <c r="AE192" s="268" t="e">
        <f t="shared" si="1172"/>
        <v>#REF!</v>
      </c>
      <c r="AF192" s="391" t="e">
        <f t="shared" si="1172"/>
        <v>#REF!</v>
      </c>
      <c r="AG192" s="257" t="e">
        <f t="shared" ref="AG192:AJ192" si="1175">+SUMPRODUCT(AG190:AG191,AG171:AG172)/AG173</f>
        <v>#REF!</v>
      </c>
      <c r="AH192" s="377" t="e">
        <f t="shared" si="1175"/>
        <v>#REF!</v>
      </c>
      <c r="AI192" s="268" t="e">
        <f t="shared" si="1175"/>
        <v>#REF!</v>
      </c>
      <c r="AJ192" s="391" t="e">
        <f t="shared" si="1175"/>
        <v>#REF!</v>
      </c>
      <c r="AK192" s="257" t="e">
        <f t="shared" ref="AK192:AR192" si="1176">+SUMPRODUCT(AK190:AK191,AK171:AK172)/AK173</f>
        <v>#REF!</v>
      </c>
      <c r="AL192" s="377" t="e">
        <f t="shared" si="1176"/>
        <v>#REF!</v>
      </c>
      <c r="AM192" s="269" t="e">
        <f t="shared" si="1176"/>
        <v>#REF!</v>
      </c>
      <c r="AN192" s="408" t="e">
        <f t="shared" si="1176"/>
        <v>#REF!</v>
      </c>
      <c r="AO192" s="268" t="e">
        <f t="shared" si="1176"/>
        <v>#REF!</v>
      </c>
      <c r="AP192" s="391" t="e">
        <f t="shared" si="1176"/>
        <v>#REF!</v>
      </c>
      <c r="AQ192" s="257" t="e">
        <f t="shared" si="1176"/>
        <v>#REF!</v>
      </c>
      <c r="AR192" s="377" t="e">
        <f t="shared" si="1176"/>
        <v>#REF!</v>
      </c>
      <c r="AS192" s="1470"/>
      <c r="AT192" s="1470"/>
      <c r="AU192" s="257" t="e">
        <f t="shared" ref="AU192:AX192" si="1177">+SUMPRODUCT(AU190:AU191,AU171:AU172)/AU173</f>
        <v>#REF!</v>
      </c>
      <c r="AV192" s="377" t="e">
        <f t="shared" si="1177"/>
        <v>#REF!</v>
      </c>
      <c r="AW192" s="268" t="e">
        <f t="shared" si="1177"/>
        <v>#REF!</v>
      </c>
      <c r="AX192" s="391" t="e">
        <f t="shared" si="1177"/>
        <v>#REF!</v>
      </c>
      <c r="AY192" s="257" t="e">
        <f t="shared" ref="AY192:BF192" si="1178">+SUMPRODUCT(AY190:AY191,AY171:AY172)/AY173</f>
        <v>#REF!</v>
      </c>
      <c r="AZ192" s="377" t="e">
        <f t="shared" si="1178"/>
        <v>#REF!</v>
      </c>
      <c r="BA192" s="269" t="e">
        <f t="shared" si="1178"/>
        <v>#REF!</v>
      </c>
      <c r="BB192" s="408" t="e">
        <f t="shared" si="1178"/>
        <v>#REF!</v>
      </c>
      <c r="BC192" s="268" t="e">
        <f t="shared" ref="BC192:BD192" si="1179">+SUMPRODUCT(BC190:BC191,BC171:BC172)/BC173</f>
        <v>#REF!</v>
      </c>
      <c r="BD192" s="391" t="e">
        <f t="shared" si="1179"/>
        <v>#REF!</v>
      </c>
      <c r="BE192" s="268" t="e">
        <f t="shared" si="1178"/>
        <v>#REF!</v>
      </c>
      <c r="BF192" s="391" t="e">
        <f t="shared" si="1178"/>
        <v>#REF!</v>
      </c>
    </row>
    <row r="193" spans="2:58" ht="19.5" hidden="1" customHeight="1" thickBot="1" x14ac:dyDescent="0.3">
      <c r="B193" s="271" t="s">
        <v>13</v>
      </c>
      <c r="C193" s="273" t="s">
        <v>52</v>
      </c>
      <c r="D193" s="1812"/>
      <c r="E193" s="267" t="e">
        <f t="shared" ref="E193:AF193" si="1180">+((E170*E189)+(E173*E192))/E174</f>
        <v>#REF!</v>
      </c>
      <c r="F193" s="371" t="e">
        <f t="shared" si="1180"/>
        <v>#REF!</v>
      </c>
      <c r="G193" s="267" t="e">
        <f t="shared" si="1180"/>
        <v>#REF!</v>
      </c>
      <c r="H193" s="377" t="e">
        <f t="shared" si="1180"/>
        <v>#REF!</v>
      </c>
      <c r="I193" s="268" t="e">
        <f t="shared" si="1180"/>
        <v>#REF!</v>
      </c>
      <c r="J193" s="391" t="e">
        <f t="shared" si="1180"/>
        <v>#REF!</v>
      </c>
      <c r="K193" s="257" t="e">
        <f t="shared" si="1180"/>
        <v>#REF!</v>
      </c>
      <c r="L193" s="377" t="e">
        <f t="shared" si="1180"/>
        <v>#REF!</v>
      </c>
      <c r="M193" s="269" t="e">
        <f t="shared" si="1180"/>
        <v>#REF!</v>
      </c>
      <c r="N193" s="408" t="e">
        <f t="shared" si="1180"/>
        <v>#REF!</v>
      </c>
      <c r="O193" s="257" t="e">
        <f t="shared" si="1180"/>
        <v>#REF!</v>
      </c>
      <c r="P193" s="377" t="e">
        <f t="shared" si="1180"/>
        <v>#REF!</v>
      </c>
      <c r="Q193" s="268" t="e">
        <f t="shared" si="1180"/>
        <v>#REF!</v>
      </c>
      <c r="R193" s="391" t="e">
        <f t="shared" si="1180"/>
        <v>#REF!</v>
      </c>
      <c r="S193" s="257" t="e">
        <f t="shared" ref="S193:V193" si="1181">+((S170*S189)+(S173*S192))/S174</f>
        <v>#REF!</v>
      </c>
      <c r="T193" s="377" t="e">
        <f t="shared" si="1181"/>
        <v>#REF!</v>
      </c>
      <c r="U193" s="268" t="e">
        <f t="shared" si="1181"/>
        <v>#REF!</v>
      </c>
      <c r="V193" s="391" t="e">
        <f t="shared" si="1181"/>
        <v>#REF!</v>
      </c>
      <c r="W193" s="257" t="e">
        <f t="shared" ref="W193:X193" si="1182">+((W170*W189)+(W173*W192))/W174</f>
        <v>#REF!</v>
      </c>
      <c r="X193" s="377" t="e">
        <f t="shared" si="1182"/>
        <v>#REF!</v>
      </c>
      <c r="Y193" s="269" t="e">
        <f t="shared" si="1180"/>
        <v>#REF!</v>
      </c>
      <c r="Z193" s="408" t="e">
        <f t="shared" si="1180"/>
        <v>#REF!</v>
      </c>
      <c r="AA193" s="268" t="e">
        <f t="shared" si="1180"/>
        <v>#REF!</v>
      </c>
      <c r="AB193" s="391" t="e">
        <f t="shared" si="1180"/>
        <v>#REF!</v>
      </c>
      <c r="AC193" s="257" t="e">
        <f t="shared" si="1180"/>
        <v>#REF!</v>
      </c>
      <c r="AD193" s="377" t="e">
        <f t="shared" si="1180"/>
        <v>#REF!</v>
      </c>
      <c r="AE193" s="268" t="e">
        <f t="shared" si="1180"/>
        <v>#REF!</v>
      </c>
      <c r="AF193" s="391" t="e">
        <f t="shared" si="1180"/>
        <v>#REF!</v>
      </c>
      <c r="AG193" s="257" t="e">
        <f t="shared" ref="AG193:AJ193" si="1183">+((AG170*AG189)+(AG173*AG192))/AG174</f>
        <v>#REF!</v>
      </c>
      <c r="AH193" s="377" t="e">
        <f t="shared" si="1183"/>
        <v>#REF!</v>
      </c>
      <c r="AI193" s="268" t="e">
        <f t="shared" si="1183"/>
        <v>#REF!</v>
      </c>
      <c r="AJ193" s="391" t="e">
        <f t="shared" si="1183"/>
        <v>#REF!</v>
      </c>
      <c r="AK193" s="257" t="e">
        <f t="shared" ref="AK193:AR193" si="1184">+((AK170*AK189)+(AK173*AK192))/AK174</f>
        <v>#REF!</v>
      </c>
      <c r="AL193" s="377" t="e">
        <f t="shared" si="1184"/>
        <v>#REF!</v>
      </c>
      <c r="AM193" s="269" t="e">
        <f t="shared" si="1184"/>
        <v>#REF!</v>
      </c>
      <c r="AN193" s="408" t="e">
        <f t="shared" si="1184"/>
        <v>#REF!</v>
      </c>
      <c r="AO193" s="268" t="e">
        <f t="shared" si="1184"/>
        <v>#REF!</v>
      </c>
      <c r="AP193" s="391" t="e">
        <f t="shared" si="1184"/>
        <v>#REF!</v>
      </c>
      <c r="AQ193" s="257" t="e">
        <f t="shared" si="1184"/>
        <v>#REF!</v>
      </c>
      <c r="AR193" s="377" t="e">
        <f t="shared" si="1184"/>
        <v>#REF!</v>
      </c>
      <c r="AS193" s="1470"/>
      <c r="AT193" s="1470"/>
      <c r="AU193" s="257" t="e">
        <f t="shared" ref="AU193:AX193" si="1185">+((AU170*AU189)+(AU173*AU192))/AU174</f>
        <v>#REF!</v>
      </c>
      <c r="AV193" s="377" t="e">
        <f t="shared" si="1185"/>
        <v>#REF!</v>
      </c>
      <c r="AW193" s="268" t="e">
        <f t="shared" si="1185"/>
        <v>#REF!</v>
      </c>
      <c r="AX193" s="391" t="e">
        <f t="shared" si="1185"/>
        <v>#REF!</v>
      </c>
      <c r="AY193" s="257" t="e">
        <f t="shared" ref="AY193:BF193" si="1186">+((AY170*AY189)+(AY173*AY192))/AY174</f>
        <v>#REF!</v>
      </c>
      <c r="AZ193" s="377" t="e">
        <f t="shared" si="1186"/>
        <v>#REF!</v>
      </c>
      <c r="BA193" s="269" t="e">
        <f t="shared" si="1186"/>
        <v>#REF!</v>
      </c>
      <c r="BB193" s="408" t="e">
        <f t="shared" si="1186"/>
        <v>#REF!</v>
      </c>
      <c r="BC193" s="268" t="e">
        <f t="shared" ref="BC193:BD193" si="1187">+((BC170*BC189)+(BC173*BC192))/BC174</f>
        <v>#REF!</v>
      </c>
      <c r="BD193" s="391" t="e">
        <f t="shared" si="1187"/>
        <v>#REF!</v>
      </c>
      <c r="BE193" s="268" t="e">
        <f t="shared" si="1186"/>
        <v>#REF!</v>
      </c>
      <c r="BF193" s="391" t="e">
        <f t="shared" si="1186"/>
        <v>#REF!</v>
      </c>
    </row>
    <row r="194" spans="2:58" ht="15" hidden="1" customHeight="1" x14ac:dyDescent="0.25">
      <c r="B194" s="18" t="s">
        <v>562</v>
      </c>
      <c r="C194" s="8" t="s">
        <v>52</v>
      </c>
      <c r="D194" s="1813"/>
      <c r="E194" s="351" t="e">
        <f>+#REF!</f>
        <v>#REF!</v>
      </c>
      <c r="F194" s="356" t="e">
        <f>+#REF!</f>
        <v>#REF!</v>
      </c>
      <c r="G194" s="351" t="e">
        <f>+#REF!</f>
        <v>#REF!</v>
      </c>
      <c r="H194" s="956" t="e">
        <f>+#REF!</f>
        <v>#REF!</v>
      </c>
      <c r="I194" s="278" t="e">
        <f>+#REF!</f>
        <v>#REF!</v>
      </c>
      <c r="J194" s="209" t="e">
        <f>+#REF!</f>
        <v>#REF!</v>
      </c>
      <c r="K194" s="242" t="e">
        <f>+#REF!</f>
        <v>#REF!</v>
      </c>
      <c r="L194" s="956" t="e">
        <f>+#REF!</f>
        <v>#REF!</v>
      </c>
      <c r="M194" s="286" t="e">
        <f>+#REF!</f>
        <v>#REF!</v>
      </c>
      <c r="N194" s="195" t="e">
        <f>+#REF!</f>
        <v>#REF!</v>
      </c>
      <c r="O194" s="242" t="e">
        <f>+#REF!</f>
        <v>#REF!</v>
      </c>
      <c r="P194" s="956" t="e">
        <f>+#REF!</f>
        <v>#REF!</v>
      </c>
      <c r="Q194" s="278" t="e">
        <f>+#REF!</f>
        <v>#REF!</v>
      </c>
      <c r="R194" s="209" t="e">
        <f>+#REF!</f>
        <v>#REF!</v>
      </c>
      <c r="S194" s="242" t="e">
        <f>+#REF!</f>
        <v>#REF!</v>
      </c>
      <c r="T194" s="1499" t="e">
        <f>+#REF!</f>
        <v>#REF!</v>
      </c>
      <c r="U194" s="278" t="e">
        <f>+#REF!</f>
        <v>#REF!</v>
      </c>
      <c r="V194" s="209" t="e">
        <f>+#REF!</f>
        <v>#REF!</v>
      </c>
      <c r="W194" s="242" t="e">
        <f>+#REF!</f>
        <v>#REF!</v>
      </c>
      <c r="X194" s="1499" t="e">
        <f>+#REF!</f>
        <v>#REF!</v>
      </c>
      <c r="Y194" s="286" t="e">
        <f>+#REF!</f>
        <v>#REF!</v>
      </c>
      <c r="Z194" s="195" t="e">
        <f>+#REF!</f>
        <v>#REF!</v>
      </c>
      <c r="AA194" s="278" t="e">
        <f>+#REF!</f>
        <v>#REF!</v>
      </c>
      <c r="AB194" s="209" t="e">
        <f>+#REF!</f>
        <v>#REF!</v>
      </c>
      <c r="AC194" s="242" t="e">
        <f>+#REF!</f>
        <v>#REF!</v>
      </c>
      <c r="AD194" s="1314" t="e">
        <f>+#REF!</f>
        <v>#REF!</v>
      </c>
      <c r="AE194" s="278" t="e">
        <f>+#REF!</f>
        <v>#REF!</v>
      </c>
      <c r="AF194" s="209" t="e">
        <f>+#REF!</f>
        <v>#REF!</v>
      </c>
      <c r="AG194" s="242" t="e">
        <f>+#REF!</f>
        <v>#REF!</v>
      </c>
      <c r="AH194" s="1499" t="e">
        <f>+#REF!</f>
        <v>#REF!</v>
      </c>
      <c r="AI194" s="278" t="e">
        <f>+#REF!</f>
        <v>#REF!</v>
      </c>
      <c r="AJ194" s="209" t="e">
        <f>+#REF!</f>
        <v>#REF!</v>
      </c>
      <c r="AK194" s="242" t="e">
        <f>+#REF!</f>
        <v>#REF!</v>
      </c>
      <c r="AL194" s="1357" t="e">
        <f>+#REF!</f>
        <v>#REF!</v>
      </c>
      <c r="AM194" s="286" t="e">
        <f>+#REF!</f>
        <v>#REF!</v>
      </c>
      <c r="AN194" s="195" t="e">
        <f>+#REF!</f>
        <v>#REF!</v>
      </c>
      <c r="AO194" s="278" t="e">
        <f>+#REF!</f>
        <v>#REF!</v>
      </c>
      <c r="AP194" s="209" t="e">
        <f>+#REF!</f>
        <v>#REF!</v>
      </c>
      <c r="AQ194" s="242" t="e">
        <f>+#REF!</f>
        <v>#REF!</v>
      </c>
      <c r="AR194" s="1474" t="e">
        <f>+#REF!</f>
        <v>#REF!</v>
      </c>
      <c r="AS194" s="1470"/>
      <c r="AT194" s="1470"/>
      <c r="AU194" s="242" t="e">
        <f>+#REF!</f>
        <v>#REF!</v>
      </c>
      <c r="AV194" s="1499" t="e">
        <f>+#REF!</f>
        <v>#REF!</v>
      </c>
      <c r="AW194" s="278" t="e">
        <f>+#REF!</f>
        <v>#REF!</v>
      </c>
      <c r="AX194" s="209" t="e">
        <f>+#REF!</f>
        <v>#REF!</v>
      </c>
      <c r="AY194" s="242" t="e">
        <f>+#REF!</f>
        <v>#REF!</v>
      </c>
      <c r="AZ194" s="1499" t="e">
        <f>+#REF!</f>
        <v>#REF!</v>
      </c>
      <c r="BA194" s="286" t="e">
        <f>+#REF!</f>
        <v>#REF!</v>
      </c>
      <c r="BB194" s="195" t="e">
        <f>+#REF!</f>
        <v>#REF!</v>
      </c>
      <c r="BC194" s="278" t="e">
        <f>+#REF!</f>
        <v>#REF!</v>
      </c>
      <c r="BD194" s="209" t="e">
        <f>+#REF!</f>
        <v>#REF!</v>
      </c>
      <c r="BE194" s="278" t="e">
        <f>+#REF!</f>
        <v>#REF!</v>
      </c>
      <c r="BF194" s="209" t="e">
        <f>+#REF!</f>
        <v>#REF!</v>
      </c>
    </row>
    <row r="195" spans="2:58" ht="15" hidden="1" customHeight="1" x14ac:dyDescent="0.25">
      <c r="B195" s="3" t="s">
        <v>563</v>
      </c>
      <c r="C195" s="10" t="s">
        <v>52</v>
      </c>
      <c r="D195" s="1810"/>
      <c r="E195" s="331" t="e">
        <f>+#REF!</f>
        <v>#REF!</v>
      </c>
      <c r="F195" s="365" t="e">
        <f>+#REF!</f>
        <v>#REF!</v>
      </c>
      <c r="G195" s="331" t="e">
        <f>+#REF!</f>
        <v>#REF!</v>
      </c>
      <c r="H195" s="210" t="e">
        <f>+#REF!</f>
        <v>#REF!</v>
      </c>
      <c r="I195" s="240" t="e">
        <f>+#REF!</f>
        <v>#REF!</v>
      </c>
      <c r="J195" s="224" t="e">
        <f>+#REF!</f>
        <v>#REF!</v>
      </c>
      <c r="K195" s="228" t="e">
        <f>+#REF!</f>
        <v>#REF!</v>
      </c>
      <c r="L195" s="210" t="e">
        <f>+#REF!</f>
        <v>#REF!</v>
      </c>
      <c r="M195" s="284" t="e">
        <f>+#REF!</f>
        <v>#REF!</v>
      </c>
      <c r="N195" s="203" t="e">
        <f>+#REF!</f>
        <v>#REF!</v>
      </c>
      <c r="O195" s="228" t="e">
        <f>+#REF!</f>
        <v>#REF!</v>
      </c>
      <c r="P195" s="210" t="e">
        <f>+#REF!</f>
        <v>#REF!</v>
      </c>
      <c r="Q195" s="240" t="e">
        <f>+#REF!</f>
        <v>#REF!</v>
      </c>
      <c r="R195" s="224" t="e">
        <f>+#REF!</f>
        <v>#REF!</v>
      </c>
      <c r="S195" s="228" t="e">
        <f>+#REF!</f>
        <v>#REF!</v>
      </c>
      <c r="T195" s="210" t="e">
        <f>+#REF!</f>
        <v>#REF!</v>
      </c>
      <c r="U195" s="240" t="e">
        <f>+#REF!</f>
        <v>#REF!</v>
      </c>
      <c r="V195" s="224" t="e">
        <f>+#REF!</f>
        <v>#REF!</v>
      </c>
      <c r="W195" s="228" t="e">
        <f>+#REF!</f>
        <v>#REF!</v>
      </c>
      <c r="X195" s="210" t="e">
        <f>+#REF!</f>
        <v>#REF!</v>
      </c>
      <c r="Y195" s="284" t="e">
        <f>+#REF!</f>
        <v>#REF!</v>
      </c>
      <c r="Z195" s="203" t="e">
        <f>+#REF!</f>
        <v>#REF!</v>
      </c>
      <c r="AA195" s="240" t="e">
        <f>+#REF!</f>
        <v>#REF!</v>
      </c>
      <c r="AB195" s="224" t="e">
        <f>+#REF!</f>
        <v>#REF!</v>
      </c>
      <c r="AC195" s="228" t="e">
        <f>+#REF!</f>
        <v>#REF!</v>
      </c>
      <c r="AD195" s="210" t="e">
        <f>+#REF!</f>
        <v>#REF!</v>
      </c>
      <c r="AE195" s="240" t="e">
        <f>+#REF!</f>
        <v>#REF!</v>
      </c>
      <c r="AF195" s="224" t="e">
        <f>+#REF!</f>
        <v>#REF!</v>
      </c>
      <c r="AG195" s="228" t="e">
        <f>+#REF!</f>
        <v>#REF!</v>
      </c>
      <c r="AH195" s="3244" t="e">
        <f>+#REF!</f>
        <v>#REF!</v>
      </c>
      <c r="AI195" s="240" t="e">
        <f>+#REF!</f>
        <v>#REF!</v>
      </c>
      <c r="AJ195" s="224" t="e">
        <f>+#REF!</f>
        <v>#REF!</v>
      </c>
      <c r="AK195" s="228" t="e">
        <f>+#REF!</f>
        <v>#REF!</v>
      </c>
      <c r="AL195" s="210" t="e">
        <f>+#REF!</f>
        <v>#REF!</v>
      </c>
      <c r="AM195" s="284" t="e">
        <f>+#REF!</f>
        <v>#REF!</v>
      </c>
      <c r="AN195" s="203" t="e">
        <f>+#REF!</f>
        <v>#REF!</v>
      </c>
      <c r="AO195" s="240" t="e">
        <f>+#REF!</f>
        <v>#REF!</v>
      </c>
      <c r="AP195" s="224" t="e">
        <f>+#REF!</f>
        <v>#REF!</v>
      </c>
      <c r="AQ195" s="228" t="e">
        <f>+#REF!</f>
        <v>#REF!</v>
      </c>
      <c r="AR195" s="210" t="e">
        <f>+#REF!</f>
        <v>#REF!</v>
      </c>
      <c r="AS195" s="1470"/>
      <c r="AT195" s="1470"/>
      <c r="AU195" s="228" t="e">
        <f>+#REF!</f>
        <v>#REF!</v>
      </c>
      <c r="AV195" s="4022" t="e">
        <f>+#REF!</f>
        <v>#REF!</v>
      </c>
      <c r="AW195" s="240" t="e">
        <f>+#REF!</f>
        <v>#REF!</v>
      </c>
      <c r="AX195" s="224" t="e">
        <f>+#REF!</f>
        <v>#REF!</v>
      </c>
      <c r="AY195" s="228" t="e">
        <f>+#REF!</f>
        <v>#REF!</v>
      </c>
      <c r="AZ195" s="4275" t="e">
        <f>+#REF!</f>
        <v>#REF!</v>
      </c>
      <c r="BA195" s="284" t="e">
        <f>+#REF!</f>
        <v>#REF!</v>
      </c>
      <c r="BB195" s="203" t="e">
        <f>+#REF!</f>
        <v>#REF!</v>
      </c>
      <c r="BC195" s="240" t="e">
        <f>+#REF!</f>
        <v>#REF!</v>
      </c>
      <c r="BD195" s="224" t="e">
        <f>+#REF!</f>
        <v>#REF!</v>
      </c>
      <c r="BE195" s="240" t="e">
        <f>+#REF!</f>
        <v>#REF!</v>
      </c>
      <c r="BF195" s="224" t="e">
        <f>+#REF!</f>
        <v>#REF!</v>
      </c>
    </row>
    <row r="196" spans="2:58" ht="15" hidden="1" customHeight="1" thickBot="1" x14ac:dyDescent="0.3">
      <c r="B196" s="17" t="s">
        <v>659</v>
      </c>
      <c r="C196" s="12" t="s">
        <v>52</v>
      </c>
      <c r="D196" s="1811"/>
      <c r="E196" s="350" t="e">
        <f>+#REF!</f>
        <v>#REF!</v>
      </c>
      <c r="F196" s="360" t="e">
        <f>+#REF!</f>
        <v>#REF!</v>
      </c>
      <c r="G196" s="350" t="e">
        <f>+#REF!</f>
        <v>#REF!</v>
      </c>
      <c r="H196" s="379" t="e">
        <f>+#REF!</f>
        <v>#REF!</v>
      </c>
      <c r="I196" s="279" t="e">
        <f>+#REF!</f>
        <v>#REF!</v>
      </c>
      <c r="J196" s="246" t="e">
        <f>+#REF!</f>
        <v>#REF!</v>
      </c>
      <c r="K196" s="241" t="e">
        <f>+#REF!</f>
        <v>#REF!</v>
      </c>
      <c r="L196" s="379" t="e">
        <f>+#REF!</f>
        <v>#REF!</v>
      </c>
      <c r="M196" s="295" t="e">
        <f>+#REF!</f>
        <v>#REF!</v>
      </c>
      <c r="N196" s="262" t="e">
        <f>+#REF!</f>
        <v>#REF!</v>
      </c>
      <c r="O196" s="241" t="e">
        <f>+#REF!</f>
        <v>#REF!</v>
      </c>
      <c r="P196" s="379" t="e">
        <f>+#REF!</f>
        <v>#REF!</v>
      </c>
      <c r="Q196" s="279" t="e">
        <f>+#REF!</f>
        <v>#REF!</v>
      </c>
      <c r="R196" s="246" t="e">
        <f>+#REF!</f>
        <v>#REF!</v>
      </c>
      <c r="S196" s="241" t="e">
        <f>+#REF!</f>
        <v>#REF!</v>
      </c>
      <c r="T196" s="379" t="e">
        <f>+#REF!</f>
        <v>#REF!</v>
      </c>
      <c r="U196" s="279" t="e">
        <f>+#REF!</f>
        <v>#REF!</v>
      </c>
      <c r="V196" s="246" t="e">
        <f>+#REF!</f>
        <v>#REF!</v>
      </c>
      <c r="W196" s="241" t="e">
        <f>+#REF!</f>
        <v>#REF!</v>
      </c>
      <c r="X196" s="379" t="e">
        <f>+#REF!</f>
        <v>#REF!</v>
      </c>
      <c r="Y196" s="295" t="e">
        <f>+#REF!</f>
        <v>#REF!</v>
      </c>
      <c r="Z196" s="262" t="e">
        <f>+#REF!</f>
        <v>#REF!</v>
      </c>
      <c r="AA196" s="279" t="e">
        <f>+#REF!</f>
        <v>#REF!</v>
      </c>
      <c r="AB196" s="246" t="e">
        <f>+#REF!</f>
        <v>#REF!</v>
      </c>
      <c r="AC196" s="241" t="e">
        <f>+#REF!</f>
        <v>#REF!</v>
      </c>
      <c r="AD196" s="379" t="e">
        <f>+#REF!</f>
        <v>#REF!</v>
      </c>
      <c r="AE196" s="279" t="e">
        <f>+#REF!</f>
        <v>#REF!</v>
      </c>
      <c r="AF196" s="246" t="e">
        <f>+#REF!</f>
        <v>#REF!</v>
      </c>
      <c r="AG196" s="241" t="e">
        <f>+#REF!</f>
        <v>#REF!</v>
      </c>
      <c r="AH196" s="379" t="e">
        <f>+#REF!</f>
        <v>#REF!</v>
      </c>
      <c r="AI196" s="279" t="e">
        <f>+#REF!</f>
        <v>#REF!</v>
      </c>
      <c r="AJ196" s="246" t="e">
        <f>+#REF!</f>
        <v>#REF!</v>
      </c>
      <c r="AK196" s="241" t="e">
        <f>+#REF!</f>
        <v>#REF!</v>
      </c>
      <c r="AL196" s="379" t="e">
        <f>+#REF!</f>
        <v>#REF!</v>
      </c>
      <c r="AM196" s="295" t="e">
        <f>+#REF!</f>
        <v>#REF!</v>
      </c>
      <c r="AN196" s="262" t="e">
        <f>+#REF!</f>
        <v>#REF!</v>
      </c>
      <c r="AO196" s="279" t="e">
        <f>+#REF!</f>
        <v>#REF!</v>
      </c>
      <c r="AP196" s="246" t="e">
        <f>+#REF!</f>
        <v>#REF!</v>
      </c>
      <c r="AQ196" s="241" t="e">
        <f>+#REF!</f>
        <v>#REF!</v>
      </c>
      <c r="AR196" s="379" t="e">
        <f>+#REF!</f>
        <v>#REF!</v>
      </c>
      <c r="AS196" s="1470"/>
      <c r="AT196" s="1470"/>
      <c r="AU196" s="241" t="e">
        <f>+#REF!</f>
        <v>#REF!</v>
      </c>
      <c r="AV196" s="379" t="e">
        <f>+#REF!</f>
        <v>#REF!</v>
      </c>
      <c r="AW196" s="279" t="e">
        <f>+#REF!</f>
        <v>#REF!</v>
      </c>
      <c r="AX196" s="246" t="e">
        <f>+#REF!</f>
        <v>#REF!</v>
      </c>
      <c r="AY196" s="241" t="e">
        <f>+#REF!</f>
        <v>#REF!</v>
      </c>
      <c r="AZ196" s="379" t="e">
        <f>+#REF!</f>
        <v>#REF!</v>
      </c>
      <c r="BA196" s="295" t="e">
        <f>+#REF!</f>
        <v>#REF!</v>
      </c>
      <c r="BB196" s="262" t="e">
        <f>+#REF!</f>
        <v>#REF!</v>
      </c>
      <c r="BC196" s="279" t="e">
        <f>+#REF!</f>
        <v>#REF!</v>
      </c>
      <c r="BD196" s="246" t="e">
        <f>+#REF!</f>
        <v>#REF!</v>
      </c>
      <c r="BE196" s="279" t="e">
        <f>+#REF!</f>
        <v>#REF!</v>
      </c>
      <c r="BF196" s="246" t="e">
        <f>+#REF!</f>
        <v>#REF!</v>
      </c>
    </row>
    <row r="197" spans="2:58" ht="19.5" hidden="1" customHeight="1" thickBot="1" x14ac:dyDescent="0.3">
      <c r="B197" s="271" t="s">
        <v>683</v>
      </c>
      <c r="C197" s="273" t="s">
        <v>52</v>
      </c>
      <c r="D197" s="1812"/>
      <c r="E197" s="267" t="e">
        <f t="shared" ref="E197:AF197" si="1188">+SUMPRODUCT(E175:E177,E194:E196)/E178</f>
        <v>#REF!</v>
      </c>
      <c r="F197" s="371" t="e">
        <f t="shared" si="1188"/>
        <v>#REF!</v>
      </c>
      <c r="G197" s="267" t="e">
        <f t="shared" si="1188"/>
        <v>#REF!</v>
      </c>
      <c r="H197" s="377" t="e">
        <f t="shared" si="1188"/>
        <v>#REF!</v>
      </c>
      <c r="I197" s="268" t="e">
        <f t="shared" si="1188"/>
        <v>#REF!</v>
      </c>
      <c r="J197" s="391" t="e">
        <f t="shared" si="1188"/>
        <v>#REF!</v>
      </c>
      <c r="K197" s="257" t="e">
        <f t="shared" si="1188"/>
        <v>#REF!</v>
      </c>
      <c r="L197" s="377" t="e">
        <f t="shared" si="1188"/>
        <v>#REF!</v>
      </c>
      <c r="M197" s="269" t="e">
        <f t="shared" si="1188"/>
        <v>#REF!</v>
      </c>
      <c r="N197" s="408" t="e">
        <f t="shared" si="1188"/>
        <v>#REF!</v>
      </c>
      <c r="O197" s="257" t="e">
        <f t="shared" si="1188"/>
        <v>#REF!</v>
      </c>
      <c r="P197" s="377" t="e">
        <f t="shared" si="1188"/>
        <v>#REF!</v>
      </c>
      <c r="Q197" s="268" t="e">
        <f t="shared" si="1188"/>
        <v>#REF!</v>
      </c>
      <c r="R197" s="391" t="e">
        <f t="shared" si="1188"/>
        <v>#REF!</v>
      </c>
      <c r="S197" s="257" t="e">
        <f t="shared" ref="S197:V197" si="1189">+SUMPRODUCT(S175:S177,S194:S196)/S178</f>
        <v>#REF!</v>
      </c>
      <c r="T197" s="377" t="e">
        <f t="shared" si="1189"/>
        <v>#REF!</v>
      </c>
      <c r="U197" s="268" t="e">
        <f t="shared" si="1189"/>
        <v>#REF!</v>
      </c>
      <c r="V197" s="391" t="e">
        <f t="shared" si="1189"/>
        <v>#REF!</v>
      </c>
      <c r="W197" s="257" t="e">
        <f t="shared" ref="W197:X197" si="1190">+SUMPRODUCT(W175:W177,W194:W196)/W178</f>
        <v>#REF!</v>
      </c>
      <c r="X197" s="377" t="e">
        <f t="shared" si="1190"/>
        <v>#REF!</v>
      </c>
      <c r="Y197" s="269" t="e">
        <f t="shared" si="1188"/>
        <v>#REF!</v>
      </c>
      <c r="Z197" s="408" t="e">
        <f t="shared" si="1188"/>
        <v>#REF!</v>
      </c>
      <c r="AA197" s="268" t="e">
        <f t="shared" si="1188"/>
        <v>#REF!</v>
      </c>
      <c r="AB197" s="391" t="e">
        <f t="shared" si="1188"/>
        <v>#REF!</v>
      </c>
      <c r="AC197" s="257" t="e">
        <f t="shared" si="1188"/>
        <v>#REF!</v>
      </c>
      <c r="AD197" s="377" t="e">
        <f t="shared" si="1188"/>
        <v>#REF!</v>
      </c>
      <c r="AE197" s="268" t="e">
        <f t="shared" si="1188"/>
        <v>#REF!</v>
      </c>
      <c r="AF197" s="391" t="e">
        <f t="shared" si="1188"/>
        <v>#REF!</v>
      </c>
      <c r="AG197" s="257" t="e">
        <f t="shared" ref="AG197:AJ197" si="1191">+SUMPRODUCT(AG175:AG177,AG194:AG196)/AG178</f>
        <v>#REF!</v>
      </c>
      <c r="AH197" s="377" t="e">
        <f t="shared" si="1191"/>
        <v>#REF!</v>
      </c>
      <c r="AI197" s="268" t="e">
        <f t="shared" si="1191"/>
        <v>#REF!</v>
      </c>
      <c r="AJ197" s="391" t="e">
        <f t="shared" si="1191"/>
        <v>#REF!</v>
      </c>
      <c r="AK197" s="257" t="e">
        <f t="shared" ref="AK197:AR197" si="1192">+SUMPRODUCT(AK175:AK177,AK194:AK196)/AK178</f>
        <v>#REF!</v>
      </c>
      <c r="AL197" s="377" t="e">
        <f t="shared" si="1192"/>
        <v>#REF!</v>
      </c>
      <c r="AM197" s="269" t="e">
        <f t="shared" si="1192"/>
        <v>#REF!</v>
      </c>
      <c r="AN197" s="408" t="e">
        <f t="shared" si="1192"/>
        <v>#REF!</v>
      </c>
      <c r="AO197" s="268" t="e">
        <f t="shared" si="1192"/>
        <v>#REF!</v>
      </c>
      <c r="AP197" s="391" t="e">
        <f t="shared" si="1192"/>
        <v>#REF!</v>
      </c>
      <c r="AQ197" s="257" t="e">
        <f t="shared" si="1192"/>
        <v>#REF!</v>
      </c>
      <c r="AR197" s="377" t="e">
        <f t="shared" si="1192"/>
        <v>#REF!</v>
      </c>
      <c r="AS197" s="1470"/>
      <c r="AT197" s="1470"/>
      <c r="AU197" s="257" t="e">
        <f t="shared" ref="AU197:AX197" si="1193">+SUMPRODUCT(AU175:AU177,AU194:AU196)/AU178</f>
        <v>#REF!</v>
      </c>
      <c r="AV197" s="377" t="e">
        <f t="shared" si="1193"/>
        <v>#REF!</v>
      </c>
      <c r="AW197" s="268" t="e">
        <f t="shared" si="1193"/>
        <v>#REF!</v>
      </c>
      <c r="AX197" s="391" t="e">
        <f t="shared" si="1193"/>
        <v>#REF!</v>
      </c>
      <c r="AY197" s="257" t="e">
        <f t="shared" ref="AY197:BF197" si="1194">+SUMPRODUCT(AY175:AY177,AY194:AY196)/AY178</f>
        <v>#REF!</v>
      </c>
      <c r="AZ197" s="377" t="e">
        <f t="shared" si="1194"/>
        <v>#REF!</v>
      </c>
      <c r="BA197" s="269" t="e">
        <f t="shared" si="1194"/>
        <v>#REF!</v>
      </c>
      <c r="BB197" s="408" t="e">
        <f t="shared" si="1194"/>
        <v>#REF!</v>
      </c>
      <c r="BC197" s="268" t="e">
        <f t="shared" ref="BC197:BD197" si="1195">+SUMPRODUCT(BC175:BC177,BC194:BC196)/BC178</f>
        <v>#REF!</v>
      </c>
      <c r="BD197" s="391" t="e">
        <f t="shared" si="1195"/>
        <v>#REF!</v>
      </c>
      <c r="BE197" s="268" t="e">
        <f t="shared" si="1194"/>
        <v>#REF!</v>
      </c>
      <c r="BF197" s="391" t="e">
        <f t="shared" si="1194"/>
        <v>#REF!</v>
      </c>
    </row>
    <row r="198" spans="2:58" ht="19.5" hidden="1" customHeight="1" thickBot="1" x14ac:dyDescent="0.3">
      <c r="B198" s="271" t="s">
        <v>12</v>
      </c>
      <c r="C198" s="273" t="s">
        <v>52</v>
      </c>
      <c r="D198" s="1812"/>
      <c r="E198" s="267" t="e">
        <f t="shared" ref="E198:AF198" si="1196">+((E174*E193)+(E178*E197))/E179</f>
        <v>#REF!</v>
      </c>
      <c r="F198" s="371" t="e">
        <f t="shared" si="1196"/>
        <v>#REF!</v>
      </c>
      <c r="G198" s="267" t="e">
        <f t="shared" si="1196"/>
        <v>#REF!</v>
      </c>
      <c r="H198" s="377" t="e">
        <f t="shared" si="1196"/>
        <v>#REF!</v>
      </c>
      <c r="I198" s="268" t="e">
        <f t="shared" si="1196"/>
        <v>#REF!</v>
      </c>
      <c r="J198" s="391" t="e">
        <f t="shared" si="1196"/>
        <v>#REF!</v>
      </c>
      <c r="K198" s="257" t="e">
        <f t="shared" si="1196"/>
        <v>#REF!</v>
      </c>
      <c r="L198" s="377" t="e">
        <f t="shared" si="1196"/>
        <v>#REF!</v>
      </c>
      <c r="M198" s="269" t="e">
        <f t="shared" si="1196"/>
        <v>#REF!</v>
      </c>
      <c r="N198" s="408" t="e">
        <f t="shared" si="1196"/>
        <v>#REF!</v>
      </c>
      <c r="O198" s="257" t="e">
        <f t="shared" si="1196"/>
        <v>#REF!</v>
      </c>
      <c r="P198" s="377" t="e">
        <f t="shared" si="1196"/>
        <v>#REF!</v>
      </c>
      <c r="Q198" s="268" t="e">
        <f t="shared" si="1196"/>
        <v>#REF!</v>
      </c>
      <c r="R198" s="391" t="e">
        <f t="shared" si="1196"/>
        <v>#REF!</v>
      </c>
      <c r="S198" s="257" t="e">
        <f t="shared" ref="S198:V198" si="1197">+((S174*S193)+(S178*S197))/S179</f>
        <v>#REF!</v>
      </c>
      <c r="T198" s="377" t="e">
        <f t="shared" si="1197"/>
        <v>#REF!</v>
      </c>
      <c r="U198" s="268" t="e">
        <f t="shared" si="1197"/>
        <v>#REF!</v>
      </c>
      <c r="V198" s="391" t="e">
        <f t="shared" si="1197"/>
        <v>#REF!</v>
      </c>
      <c r="W198" s="257" t="e">
        <f t="shared" ref="W198:X198" si="1198">+((W174*W193)+(W178*W197))/W179</f>
        <v>#REF!</v>
      </c>
      <c r="X198" s="377" t="e">
        <f t="shared" si="1198"/>
        <v>#REF!</v>
      </c>
      <c r="Y198" s="269" t="e">
        <f t="shared" si="1196"/>
        <v>#REF!</v>
      </c>
      <c r="Z198" s="408" t="e">
        <f t="shared" si="1196"/>
        <v>#REF!</v>
      </c>
      <c r="AA198" s="268" t="e">
        <f t="shared" si="1196"/>
        <v>#REF!</v>
      </c>
      <c r="AB198" s="391" t="e">
        <f t="shared" si="1196"/>
        <v>#REF!</v>
      </c>
      <c r="AC198" s="257" t="e">
        <f t="shared" si="1196"/>
        <v>#REF!</v>
      </c>
      <c r="AD198" s="377" t="e">
        <f t="shared" si="1196"/>
        <v>#REF!</v>
      </c>
      <c r="AE198" s="268" t="e">
        <f t="shared" si="1196"/>
        <v>#REF!</v>
      </c>
      <c r="AF198" s="391" t="e">
        <f t="shared" si="1196"/>
        <v>#REF!</v>
      </c>
      <c r="AG198" s="257" t="e">
        <f t="shared" ref="AG198:AJ198" si="1199">+((AG174*AG193)+(AG178*AG197))/AG179</f>
        <v>#REF!</v>
      </c>
      <c r="AH198" s="377" t="e">
        <f t="shared" si="1199"/>
        <v>#REF!</v>
      </c>
      <c r="AI198" s="268" t="e">
        <f t="shared" si="1199"/>
        <v>#REF!</v>
      </c>
      <c r="AJ198" s="391" t="e">
        <f t="shared" si="1199"/>
        <v>#REF!</v>
      </c>
      <c r="AK198" s="257" t="e">
        <f t="shared" ref="AK198:AR198" si="1200">+((AK174*AK193)+(AK178*AK197))/AK179</f>
        <v>#REF!</v>
      </c>
      <c r="AL198" s="377" t="e">
        <f t="shared" si="1200"/>
        <v>#REF!</v>
      </c>
      <c r="AM198" s="269" t="e">
        <f t="shared" si="1200"/>
        <v>#REF!</v>
      </c>
      <c r="AN198" s="408" t="e">
        <f t="shared" si="1200"/>
        <v>#REF!</v>
      </c>
      <c r="AO198" s="268" t="e">
        <f t="shared" si="1200"/>
        <v>#REF!</v>
      </c>
      <c r="AP198" s="391" t="e">
        <f t="shared" si="1200"/>
        <v>#REF!</v>
      </c>
      <c r="AQ198" s="257" t="e">
        <f t="shared" si="1200"/>
        <v>#REF!</v>
      </c>
      <c r="AR198" s="377" t="e">
        <f t="shared" si="1200"/>
        <v>#REF!</v>
      </c>
      <c r="AS198" s="1470"/>
      <c r="AT198" s="1470"/>
      <c r="AU198" s="257" t="e">
        <f t="shared" ref="AU198:AX198" si="1201">+((AU174*AU193)+(AU178*AU197))/AU179</f>
        <v>#REF!</v>
      </c>
      <c r="AV198" s="377" t="e">
        <f t="shared" si="1201"/>
        <v>#REF!</v>
      </c>
      <c r="AW198" s="268" t="e">
        <f t="shared" si="1201"/>
        <v>#REF!</v>
      </c>
      <c r="AX198" s="391" t="e">
        <f t="shared" si="1201"/>
        <v>#REF!</v>
      </c>
      <c r="AY198" s="257" t="e">
        <f t="shared" ref="AY198:BF198" si="1202">+((AY174*AY193)+(AY178*AY197))/AY179</f>
        <v>#REF!</v>
      </c>
      <c r="AZ198" s="377" t="e">
        <f t="shared" si="1202"/>
        <v>#REF!</v>
      </c>
      <c r="BA198" s="269" t="e">
        <f t="shared" si="1202"/>
        <v>#REF!</v>
      </c>
      <c r="BB198" s="408" t="e">
        <f t="shared" si="1202"/>
        <v>#REF!</v>
      </c>
      <c r="BC198" s="268" t="e">
        <f t="shared" ref="BC198:BD198" si="1203">+((BC174*BC193)+(BC178*BC197))/BC179</f>
        <v>#REF!</v>
      </c>
      <c r="BD198" s="391" t="e">
        <f t="shared" si="1203"/>
        <v>#REF!</v>
      </c>
      <c r="BE198" s="268" t="e">
        <f t="shared" si="1202"/>
        <v>#REF!</v>
      </c>
      <c r="BF198" s="391" t="e">
        <f t="shared" si="1202"/>
        <v>#REF!</v>
      </c>
    </row>
    <row r="199" spans="2:58" ht="15" hidden="1" customHeight="1" thickBot="1" x14ac:dyDescent="0.3">
      <c r="T199" s="200"/>
      <c r="V199" s="200"/>
      <c r="W199" s="189"/>
      <c r="X199" s="200"/>
      <c r="Y199" s="189"/>
      <c r="Z199" s="200"/>
      <c r="AA199" s="189"/>
      <c r="AB199" s="200"/>
      <c r="AC199" s="189"/>
      <c r="AD199" s="200"/>
      <c r="AE199" s="189"/>
      <c r="AF199" s="200"/>
      <c r="AG199" s="189"/>
      <c r="AH199" s="200"/>
      <c r="AI199" s="189"/>
      <c r="AJ199" s="200"/>
      <c r="AK199" s="189"/>
      <c r="AL199" s="200"/>
      <c r="AM199" s="189"/>
      <c r="AN199" s="200"/>
      <c r="AO199" s="189"/>
      <c r="AP199" s="200"/>
      <c r="AQ199" s="189"/>
      <c r="AR199" s="200"/>
      <c r="AS199" s="1470"/>
      <c r="AT199" s="1470"/>
      <c r="AU199" s="189"/>
      <c r="AV199" s="200"/>
      <c r="AW199" s="189"/>
      <c r="AX199" s="200"/>
      <c r="AY199" s="189"/>
      <c r="AZ199" s="200"/>
      <c r="BA199" s="189"/>
      <c r="BB199" s="200"/>
      <c r="BC199" s="189"/>
      <c r="BD199" s="200"/>
      <c r="BE199" s="189"/>
      <c r="BF199" s="200"/>
    </row>
    <row r="200" spans="2:58" ht="15" hidden="1" customHeight="1" x14ac:dyDescent="0.25">
      <c r="T200" s="200"/>
      <c r="V200" s="200"/>
      <c r="W200" s="189"/>
      <c r="X200" s="200"/>
      <c r="Y200" s="189"/>
      <c r="Z200" s="200"/>
      <c r="AA200" s="189"/>
      <c r="AB200" s="200"/>
      <c r="AC200" s="189"/>
      <c r="AD200" s="200"/>
      <c r="AE200" s="189"/>
      <c r="AF200" s="200"/>
      <c r="AG200" s="189"/>
      <c r="AH200" s="200"/>
      <c r="AI200" s="189"/>
      <c r="AJ200" s="200"/>
      <c r="AK200" s="189"/>
      <c r="AL200" s="200"/>
      <c r="AM200" s="189"/>
      <c r="AN200" s="200"/>
      <c r="AO200" s="189"/>
      <c r="AP200" s="200"/>
      <c r="AQ200" s="189"/>
      <c r="AR200" s="200"/>
      <c r="AS200" s="1470"/>
      <c r="AT200" s="1470"/>
      <c r="AU200" s="189"/>
      <c r="AV200" s="200"/>
      <c r="AW200" s="189"/>
      <c r="AX200" s="200"/>
      <c r="AY200" s="189"/>
      <c r="AZ200" s="200"/>
      <c r="BA200" s="189"/>
      <c r="BB200" s="200"/>
      <c r="BC200" s="189"/>
      <c r="BD200" s="200"/>
      <c r="BE200" s="189"/>
      <c r="BF200" s="200"/>
    </row>
    <row r="201" spans="2:58" ht="15" hidden="1" customHeight="1" x14ac:dyDescent="0.25">
      <c r="T201" s="200"/>
      <c r="V201" s="200"/>
      <c r="W201" s="189"/>
      <c r="X201" s="200"/>
      <c r="Y201" s="189"/>
      <c r="Z201" s="200"/>
      <c r="AA201" s="189"/>
      <c r="AB201" s="200"/>
      <c r="AC201" s="189"/>
      <c r="AD201" s="200"/>
      <c r="AE201" s="189"/>
      <c r="AF201" s="200"/>
      <c r="AG201" s="189"/>
      <c r="AH201" s="200"/>
      <c r="AI201" s="189"/>
      <c r="AJ201" s="200"/>
      <c r="AK201" s="189"/>
      <c r="AL201" s="200"/>
      <c r="AM201" s="189"/>
      <c r="AN201" s="200"/>
      <c r="AO201" s="189"/>
      <c r="AP201" s="200"/>
      <c r="AQ201" s="189"/>
      <c r="AR201" s="200"/>
      <c r="AS201" s="1470"/>
      <c r="AT201" s="1470"/>
      <c r="AU201" s="189"/>
      <c r="AV201" s="200"/>
      <c r="AW201" s="189"/>
      <c r="AX201" s="200"/>
      <c r="AY201" s="189"/>
      <c r="AZ201" s="200"/>
      <c r="BA201" s="189"/>
      <c r="BB201" s="200"/>
      <c r="BC201" s="189"/>
      <c r="BD201" s="200"/>
      <c r="BE201" s="189"/>
      <c r="BF201" s="200"/>
    </row>
    <row r="202" spans="2:58" ht="15" hidden="1" customHeight="1" x14ac:dyDescent="0.25">
      <c r="T202" s="200"/>
      <c r="V202" s="200"/>
      <c r="W202" s="189"/>
      <c r="X202" s="200"/>
      <c r="Y202" s="189"/>
      <c r="Z202" s="200"/>
      <c r="AA202" s="189"/>
      <c r="AB202" s="200"/>
      <c r="AC202" s="189"/>
      <c r="AD202" s="200"/>
      <c r="AE202" s="189"/>
      <c r="AF202" s="200"/>
      <c r="AG202" s="189"/>
      <c r="AH202" s="200"/>
      <c r="AI202" s="189"/>
      <c r="AJ202" s="200"/>
      <c r="AK202" s="189"/>
      <c r="AL202" s="200"/>
      <c r="AM202" s="189"/>
      <c r="AN202" s="200"/>
      <c r="AO202" s="189"/>
      <c r="AP202" s="200"/>
      <c r="AQ202" s="189"/>
      <c r="AR202" s="200"/>
      <c r="AS202" s="1470"/>
      <c r="AT202" s="1470"/>
      <c r="AU202" s="189"/>
      <c r="AV202" s="200"/>
      <c r="AW202" s="189"/>
      <c r="AX202" s="200"/>
      <c r="AY202" s="189"/>
      <c r="AZ202" s="200"/>
      <c r="BA202" s="189"/>
      <c r="BB202" s="200"/>
      <c r="BC202" s="189"/>
      <c r="BD202" s="200"/>
      <c r="BE202" s="189"/>
      <c r="BF202" s="200"/>
    </row>
    <row r="203" spans="2:58" ht="15" hidden="1" customHeight="1" x14ac:dyDescent="0.25">
      <c r="T203" s="200"/>
      <c r="V203" s="200"/>
      <c r="W203" s="189"/>
      <c r="X203" s="200"/>
      <c r="Y203" s="189"/>
      <c r="Z203" s="200"/>
      <c r="AA203" s="189"/>
      <c r="AB203" s="200"/>
      <c r="AC203" s="189"/>
      <c r="AD203" s="200"/>
      <c r="AE203" s="189"/>
      <c r="AF203" s="200"/>
      <c r="AG203" s="189"/>
      <c r="AH203" s="200"/>
      <c r="AI203" s="189"/>
      <c r="AJ203" s="200"/>
      <c r="AK203" s="189"/>
      <c r="AL203" s="200"/>
      <c r="AM203" s="189"/>
      <c r="AN203" s="200"/>
      <c r="AO203" s="189"/>
      <c r="AP203" s="200"/>
      <c r="AQ203" s="189"/>
      <c r="AR203" s="200"/>
      <c r="AS203" s="1470"/>
      <c r="AT203" s="1470"/>
      <c r="AU203" s="189"/>
      <c r="AV203" s="200"/>
      <c r="AW203" s="189"/>
      <c r="AX203" s="200"/>
      <c r="AY203" s="189"/>
      <c r="AZ203" s="200"/>
      <c r="BA203" s="189"/>
      <c r="BB203" s="200"/>
      <c r="BC203" s="189"/>
      <c r="BD203" s="200"/>
      <c r="BE203" s="189"/>
      <c r="BF203" s="200"/>
    </row>
    <row r="204" spans="2:58" ht="15" hidden="1" customHeight="1" x14ac:dyDescent="0.25">
      <c r="T204" s="200"/>
      <c r="V204" s="200"/>
      <c r="W204" s="189"/>
      <c r="X204" s="200"/>
      <c r="Y204" s="189"/>
      <c r="Z204" s="200"/>
      <c r="AA204" s="189"/>
      <c r="AB204" s="200"/>
      <c r="AC204" s="189"/>
      <c r="AD204" s="200"/>
      <c r="AE204" s="189"/>
      <c r="AF204" s="200"/>
      <c r="AG204" s="189"/>
      <c r="AH204" s="200"/>
      <c r="AI204" s="189"/>
      <c r="AJ204" s="200"/>
      <c r="AK204" s="189"/>
      <c r="AL204" s="200"/>
      <c r="AM204" s="189"/>
      <c r="AN204" s="200"/>
      <c r="AO204" s="189"/>
      <c r="AP204" s="200"/>
      <c r="AQ204" s="189"/>
      <c r="AR204" s="200"/>
      <c r="AS204" s="1470"/>
      <c r="AT204" s="1470"/>
      <c r="AU204" s="189"/>
      <c r="AV204" s="200"/>
      <c r="AW204" s="189"/>
      <c r="AX204" s="200"/>
      <c r="AY204" s="189"/>
      <c r="AZ204" s="200"/>
      <c r="BA204" s="189"/>
      <c r="BB204" s="200"/>
      <c r="BC204" s="189"/>
      <c r="BD204" s="200"/>
      <c r="BE204" s="189"/>
      <c r="BF204" s="200"/>
    </row>
    <row r="205" spans="2:58" ht="15" hidden="1" customHeight="1" x14ac:dyDescent="0.25">
      <c r="T205" s="200"/>
      <c r="V205" s="200"/>
      <c r="W205" s="189"/>
      <c r="X205" s="200"/>
      <c r="Y205" s="189"/>
      <c r="Z205" s="200"/>
      <c r="AA205" s="189"/>
      <c r="AB205" s="200"/>
      <c r="AC205" s="189"/>
      <c r="AD205" s="200"/>
      <c r="AE205" s="189"/>
      <c r="AF205" s="200"/>
      <c r="AG205" s="189"/>
      <c r="AH205" s="200"/>
      <c r="AI205" s="189"/>
      <c r="AJ205" s="200"/>
      <c r="AK205" s="189"/>
      <c r="AL205" s="200"/>
      <c r="AM205" s="189"/>
      <c r="AN205" s="200"/>
      <c r="AO205" s="189"/>
      <c r="AP205" s="200"/>
      <c r="AQ205" s="189"/>
      <c r="AR205" s="200"/>
      <c r="AS205" s="1470"/>
      <c r="AT205" s="1470"/>
      <c r="AU205" s="189"/>
      <c r="AV205" s="200"/>
      <c r="AW205" s="189"/>
      <c r="AX205" s="200"/>
      <c r="AY205" s="189"/>
      <c r="AZ205" s="200"/>
      <c r="BA205" s="189"/>
      <c r="BB205" s="200"/>
      <c r="BC205" s="189"/>
      <c r="BD205" s="200"/>
      <c r="BE205" s="189"/>
      <c r="BF205" s="200"/>
    </row>
    <row r="206" spans="2:58" ht="15" hidden="1" customHeight="1" x14ac:dyDescent="0.25">
      <c r="T206" s="200"/>
      <c r="V206" s="200"/>
      <c r="W206" s="189"/>
      <c r="X206" s="200"/>
      <c r="Y206" s="189"/>
      <c r="Z206" s="200"/>
      <c r="AA206" s="189"/>
      <c r="AB206" s="200"/>
      <c r="AC206" s="189"/>
      <c r="AD206" s="200"/>
      <c r="AE206" s="189"/>
      <c r="AF206" s="200"/>
      <c r="AG206" s="189"/>
      <c r="AH206" s="200"/>
      <c r="AI206" s="189"/>
      <c r="AJ206" s="200"/>
      <c r="AK206" s="189"/>
      <c r="AL206" s="200"/>
      <c r="AM206" s="189"/>
      <c r="AN206" s="200"/>
      <c r="AO206" s="189"/>
      <c r="AP206" s="200"/>
      <c r="AQ206" s="189"/>
      <c r="AR206" s="200"/>
      <c r="AS206" s="1470"/>
      <c r="AT206" s="1470"/>
      <c r="AU206" s="189"/>
      <c r="AV206" s="200"/>
      <c r="AW206" s="189"/>
      <c r="AX206" s="200"/>
      <c r="AY206" s="189"/>
      <c r="AZ206" s="200"/>
      <c r="BA206" s="189"/>
      <c r="BB206" s="200"/>
      <c r="BC206" s="189"/>
      <c r="BD206" s="200"/>
      <c r="BE206" s="189"/>
      <c r="BF206" s="200"/>
    </row>
    <row r="207" spans="2:58" ht="15" hidden="1" customHeight="1" x14ac:dyDescent="0.25">
      <c r="B207" s="714">
        <v>149</v>
      </c>
      <c r="T207" s="200"/>
      <c r="V207" s="200"/>
      <c r="W207" s="189"/>
      <c r="X207" s="200"/>
      <c r="Y207" s="189"/>
      <c r="Z207" s="200"/>
      <c r="AA207" s="189"/>
      <c r="AB207" s="200"/>
      <c r="AC207" s="189"/>
      <c r="AD207" s="200"/>
      <c r="AE207" s="189"/>
      <c r="AF207" s="200"/>
      <c r="AG207" s="189"/>
      <c r="AH207" s="200"/>
      <c r="AI207" s="189"/>
      <c r="AJ207" s="200"/>
      <c r="AK207" s="189"/>
      <c r="AL207" s="200"/>
      <c r="AM207" s="189"/>
      <c r="AN207" s="200"/>
      <c r="AO207" s="189"/>
      <c r="AP207" s="200"/>
      <c r="AQ207" s="189"/>
      <c r="AR207" s="200"/>
      <c r="AS207" s="1470"/>
      <c r="AT207" s="1470"/>
      <c r="AU207" s="189"/>
      <c r="AV207" s="200"/>
      <c r="AW207" s="189"/>
      <c r="AX207" s="200"/>
      <c r="AY207" s="189"/>
      <c r="AZ207" s="200"/>
      <c r="BA207" s="189"/>
      <c r="BB207" s="200"/>
      <c r="BC207" s="189"/>
      <c r="BD207" s="200"/>
      <c r="BE207" s="189"/>
      <c r="BF207" s="200"/>
    </row>
    <row r="208" spans="2:58" ht="15" hidden="1" customHeight="1" x14ac:dyDescent="0.25">
      <c r="B208" s="714">
        <v>150</v>
      </c>
      <c r="T208" s="200"/>
      <c r="V208" s="200"/>
      <c r="W208" s="189"/>
      <c r="X208" s="200"/>
      <c r="Y208" s="189"/>
      <c r="Z208" s="200"/>
      <c r="AA208" s="189"/>
      <c r="AB208" s="200"/>
      <c r="AC208" s="189"/>
      <c r="AD208" s="200"/>
      <c r="AE208" s="189"/>
      <c r="AF208" s="200"/>
      <c r="AG208" s="189"/>
      <c r="AH208" s="200"/>
      <c r="AI208" s="189"/>
      <c r="AJ208" s="200"/>
      <c r="AK208" s="189"/>
      <c r="AL208" s="200"/>
      <c r="AM208" s="189"/>
      <c r="AN208" s="200"/>
      <c r="AO208" s="189"/>
      <c r="AP208" s="200"/>
      <c r="AQ208" s="189"/>
      <c r="AR208" s="200"/>
      <c r="AS208" s="1470"/>
      <c r="AT208" s="1470"/>
      <c r="AU208" s="189"/>
      <c r="AV208" s="200"/>
      <c r="AW208" s="189"/>
      <c r="AX208" s="200"/>
      <c r="AY208" s="189"/>
      <c r="AZ208" s="200"/>
      <c r="BA208" s="189"/>
      <c r="BB208" s="200"/>
      <c r="BC208" s="189"/>
      <c r="BD208" s="200"/>
      <c r="BE208" s="189"/>
      <c r="BF208" s="200"/>
    </row>
    <row r="209" spans="1:58" ht="15" hidden="1" customHeight="1" x14ac:dyDescent="0.25">
      <c r="B209" s="714">
        <v>153</v>
      </c>
      <c r="T209" s="200"/>
      <c r="V209" s="200"/>
      <c r="W209" s="189"/>
      <c r="X209" s="200"/>
      <c r="Y209" s="189"/>
      <c r="Z209" s="200"/>
      <c r="AA209" s="189"/>
      <c r="AB209" s="200"/>
      <c r="AC209" s="189"/>
      <c r="AD209" s="200"/>
      <c r="AE209" s="189"/>
      <c r="AF209" s="200"/>
      <c r="AG209" s="189"/>
      <c r="AH209" s="200"/>
      <c r="AI209" s="189"/>
      <c r="AJ209" s="200"/>
      <c r="AK209" s="189"/>
      <c r="AL209" s="200"/>
      <c r="AM209" s="189"/>
      <c r="AN209" s="200"/>
      <c r="AO209" s="189"/>
      <c r="AP209" s="200"/>
      <c r="AQ209" s="189"/>
      <c r="AR209" s="200"/>
      <c r="AS209" s="1470"/>
      <c r="AT209" s="1470"/>
      <c r="AU209" s="189"/>
      <c r="AV209" s="200"/>
      <c r="AW209" s="189"/>
      <c r="AX209" s="200"/>
      <c r="AY209" s="189"/>
      <c r="AZ209" s="200"/>
      <c r="BA209" s="189"/>
      <c r="BB209" s="200"/>
      <c r="BC209" s="189"/>
      <c r="BD209" s="200"/>
      <c r="BE209" s="189"/>
      <c r="BF209" s="200"/>
    </row>
    <row r="210" spans="1:58" ht="15" hidden="1" customHeight="1" x14ac:dyDescent="0.25">
      <c r="B210" s="714">
        <v>162</v>
      </c>
      <c r="T210" s="200"/>
      <c r="V210" s="200"/>
      <c r="W210" s="189"/>
      <c r="X210" s="200"/>
      <c r="Y210" s="189"/>
      <c r="Z210" s="200"/>
      <c r="AA210" s="189"/>
      <c r="AB210" s="200"/>
      <c r="AC210" s="189"/>
      <c r="AD210" s="200"/>
      <c r="AE210" s="189"/>
      <c r="AF210" s="200"/>
      <c r="AG210" s="189"/>
      <c r="AH210" s="200"/>
      <c r="AI210" s="189"/>
      <c r="AJ210" s="200"/>
      <c r="AK210" s="189"/>
      <c r="AL210" s="200"/>
      <c r="AM210" s="189"/>
      <c r="AN210" s="200"/>
      <c r="AO210" s="189"/>
      <c r="AP210" s="200"/>
      <c r="AQ210" s="189"/>
      <c r="AR210" s="200"/>
      <c r="AS210" s="1470"/>
      <c r="AT210" s="1470"/>
      <c r="AU210" s="189"/>
      <c r="AV210" s="200"/>
      <c r="AW210" s="189"/>
      <c r="AX210" s="200"/>
      <c r="AY210" s="189"/>
      <c r="AZ210" s="200"/>
      <c r="BA210" s="189"/>
      <c r="BB210" s="200"/>
      <c r="BC210" s="189"/>
      <c r="BD210" s="200"/>
      <c r="BE210" s="189"/>
      <c r="BF210" s="200"/>
    </row>
    <row r="211" spans="1:58" ht="15" hidden="1" customHeight="1" x14ac:dyDescent="0.25">
      <c r="B211" s="714">
        <v>163</v>
      </c>
      <c r="T211" s="200"/>
      <c r="V211" s="200"/>
      <c r="W211" s="189"/>
      <c r="X211" s="200"/>
      <c r="Y211" s="189"/>
      <c r="Z211" s="200"/>
      <c r="AA211" s="189"/>
      <c r="AB211" s="200"/>
      <c r="AC211" s="189"/>
      <c r="AD211" s="200"/>
      <c r="AE211" s="189"/>
      <c r="AF211" s="200"/>
      <c r="AG211" s="189"/>
      <c r="AH211" s="200"/>
      <c r="AI211" s="189"/>
      <c r="AJ211" s="200"/>
      <c r="AK211" s="189"/>
      <c r="AL211" s="200"/>
      <c r="AM211" s="189"/>
      <c r="AN211" s="200"/>
      <c r="AO211" s="189"/>
      <c r="AP211" s="200"/>
      <c r="AQ211" s="189"/>
      <c r="AR211" s="200"/>
      <c r="AS211" s="1470"/>
      <c r="AT211" s="1470"/>
      <c r="AU211" s="189"/>
      <c r="AV211" s="200"/>
      <c r="AW211" s="189"/>
      <c r="AX211" s="200"/>
      <c r="AY211" s="189"/>
      <c r="AZ211" s="200"/>
      <c r="BA211" s="189"/>
      <c r="BB211" s="200"/>
      <c r="BC211" s="189"/>
      <c r="BD211" s="200"/>
      <c r="BE211" s="189"/>
      <c r="BF211" s="200"/>
    </row>
    <row r="212" spans="1:58" ht="15" hidden="1" customHeight="1" x14ac:dyDescent="0.25">
      <c r="B212" s="714">
        <v>164</v>
      </c>
      <c r="T212" s="200"/>
      <c r="V212" s="200"/>
      <c r="W212" s="189"/>
      <c r="X212" s="200"/>
      <c r="Y212" s="189"/>
      <c r="Z212" s="200"/>
      <c r="AA212" s="189"/>
      <c r="AB212" s="200"/>
      <c r="AC212" s="189"/>
      <c r="AD212" s="200"/>
      <c r="AE212" s="189"/>
      <c r="AF212" s="200"/>
      <c r="AG212" s="189"/>
      <c r="AH212" s="200"/>
      <c r="AI212" s="189"/>
      <c r="AJ212" s="200"/>
      <c r="AK212" s="189"/>
      <c r="AL212" s="200"/>
      <c r="AM212" s="189"/>
      <c r="AN212" s="200"/>
      <c r="AO212" s="189"/>
      <c r="AP212" s="200"/>
      <c r="AQ212" s="189"/>
      <c r="AR212" s="200"/>
      <c r="AS212" s="1470"/>
      <c r="AT212" s="1470"/>
      <c r="AU212" s="189"/>
      <c r="AV212" s="200"/>
      <c r="AW212" s="189"/>
      <c r="AX212" s="200"/>
      <c r="AY212" s="189"/>
      <c r="AZ212" s="200"/>
      <c r="BA212" s="189"/>
      <c r="BB212" s="200"/>
      <c r="BC212" s="189"/>
      <c r="BD212" s="200"/>
      <c r="BE212" s="189"/>
      <c r="BF212" s="200"/>
    </row>
    <row r="213" spans="1:58" ht="15" hidden="1" customHeight="1" x14ac:dyDescent="0.25">
      <c r="B213" s="714">
        <v>175</v>
      </c>
      <c r="T213" s="200"/>
      <c r="V213" s="200"/>
      <c r="W213" s="189"/>
      <c r="X213" s="200"/>
      <c r="Y213" s="189"/>
      <c r="Z213" s="200"/>
      <c r="AA213" s="189"/>
      <c r="AB213" s="200"/>
      <c r="AC213" s="189"/>
      <c r="AD213" s="200"/>
      <c r="AE213" s="189"/>
      <c r="AF213" s="200"/>
      <c r="AG213" s="189"/>
      <c r="AH213" s="200"/>
      <c r="AI213" s="189"/>
      <c r="AJ213" s="200"/>
      <c r="AK213" s="189"/>
      <c r="AL213" s="200"/>
      <c r="AM213" s="189"/>
      <c r="AN213" s="200"/>
      <c r="AO213" s="189"/>
      <c r="AP213" s="200"/>
      <c r="AQ213" s="189"/>
      <c r="AR213" s="200"/>
      <c r="AS213" s="1470"/>
      <c r="AT213" s="1470"/>
      <c r="AU213" s="189"/>
      <c r="AV213" s="200"/>
      <c r="AW213" s="189"/>
      <c r="AX213" s="200"/>
      <c r="AY213" s="189"/>
      <c r="AZ213" s="200"/>
      <c r="BA213" s="189"/>
      <c r="BB213" s="200"/>
      <c r="BC213" s="189"/>
      <c r="BD213" s="200"/>
      <c r="BE213" s="189"/>
      <c r="BF213" s="200"/>
    </row>
    <row r="214" spans="1:58" ht="15" hidden="1" customHeight="1" x14ac:dyDescent="0.25">
      <c r="B214" s="714">
        <v>176</v>
      </c>
      <c r="T214" s="200"/>
      <c r="V214" s="200"/>
      <c r="W214" s="189"/>
      <c r="X214" s="200"/>
      <c r="Y214" s="189"/>
      <c r="Z214" s="200"/>
      <c r="AA214" s="189"/>
      <c r="AB214" s="200"/>
      <c r="AC214" s="189"/>
      <c r="AD214" s="200"/>
      <c r="AE214" s="189"/>
      <c r="AF214" s="200"/>
      <c r="AG214" s="189"/>
      <c r="AH214" s="200"/>
      <c r="AI214" s="189"/>
      <c r="AJ214" s="200"/>
      <c r="AK214" s="189"/>
      <c r="AL214" s="200"/>
      <c r="AM214" s="189"/>
      <c r="AN214" s="200"/>
      <c r="AO214" s="189"/>
      <c r="AP214" s="200"/>
      <c r="AQ214" s="189"/>
      <c r="AR214" s="200"/>
      <c r="AS214" s="1470"/>
      <c r="AT214" s="1470"/>
      <c r="AU214" s="189"/>
      <c r="AV214" s="200"/>
      <c r="AW214" s="189"/>
      <c r="AX214" s="200"/>
      <c r="AY214" s="189"/>
      <c r="AZ214" s="200"/>
      <c r="BA214" s="189"/>
      <c r="BB214" s="200"/>
      <c r="BC214" s="189"/>
      <c r="BD214" s="200"/>
      <c r="BE214" s="189"/>
      <c r="BF214" s="200"/>
    </row>
    <row r="215" spans="1:58" ht="15" hidden="1" customHeight="1" x14ac:dyDescent="0.25">
      <c r="B215" s="714">
        <v>177</v>
      </c>
      <c r="T215" s="200"/>
      <c r="V215" s="200"/>
      <c r="W215" s="189"/>
      <c r="X215" s="200"/>
      <c r="Y215" s="189"/>
      <c r="Z215" s="200"/>
      <c r="AA215" s="189"/>
      <c r="AB215" s="200"/>
      <c r="AC215" s="189"/>
      <c r="AD215" s="200"/>
      <c r="AE215" s="189"/>
      <c r="AF215" s="200"/>
      <c r="AG215" s="189"/>
      <c r="AH215" s="200"/>
      <c r="AI215" s="189"/>
      <c r="AJ215" s="200"/>
      <c r="AK215" s="189"/>
      <c r="AL215" s="200"/>
      <c r="AM215" s="189"/>
      <c r="AN215" s="200"/>
      <c r="AO215" s="189"/>
      <c r="AP215" s="200"/>
      <c r="AQ215" s="189"/>
      <c r="AR215" s="200"/>
      <c r="AS215" s="1470"/>
      <c r="AT215" s="1470"/>
      <c r="AU215" s="189"/>
      <c r="AV215" s="200"/>
      <c r="AW215" s="189"/>
      <c r="AX215" s="200"/>
      <c r="AY215" s="189"/>
      <c r="AZ215" s="200"/>
      <c r="BA215" s="189"/>
      <c r="BB215" s="200"/>
      <c r="BC215" s="189"/>
      <c r="BD215" s="200"/>
      <c r="BE215" s="189"/>
      <c r="BF215" s="200"/>
    </row>
    <row r="216" spans="1:58" ht="15" hidden="1" customHeight="1" x14ac:dyDescent="0.25">
      <c r="B216" s="714">
        <v>180</v>
      </c>
      <c r="T216" s="200"/>
      <c r="V216" s="200"/>
      <c r="W216" s="189"/>
      <c r="X216" s="200"/>
      <c r="Y216" s="189"/>
      <c r="Z216" s="200"/>
      <c r="AA216" s="189"/>
      <c r="AB216" s="200"/>
      <c r="AC216" s="189"/>
      <c r="AD216" s="200"/>
      <c r="AE216" s="189"/>
      <c r="AF216" s="200"/>
      <c r="AG216" s="189"/>
      <c r="AH216" s="200"/>
      <c r="AI216" s="189"/>
      <c r="AJ216" s="200"/>
      <c r="AK216" s="189"/>
      <c r="AL216" s="200"/>
      <c r="AM216" s="189"/>
      <c r="AN216" s="200"/>
      <c r="AO216" s="189"/>
      <c r="AP216" s="200"/>
      <c r="AQ216" s="189"/>
      <c r="AR216" s="200"/>
      <c r="AS216" s="1470"/>
      <c r="AT216" s="1470"/>
      <c r="AU216" s="189"/>
      <c r="AV216" s="200"/>
      <c r="AW216" s="189"/>
      <c r="AX216" s="200"/>
      <c r="AY216" s="189"/>
      <c r="AZ216" s="200"/>
      <c r="BA216" s="189"/>
      <c r="BB216" s="200"/>
      <c r="BC216" s="189"/>
      <c r="BD216" s="200"/>
      <c r="BE216" s="189"/>
      <c r="BF216" s="200"/>
    </row>
    <row r="217" spans="1:58" ht="15" hidden="1" customHeight="1" x14ac:dyDescent="0.25">
      <c r="T217" s="200"/>
      <c r="V217" s="200"/>
      <c r="W217" s="189"/>
      <c r="X217" s="200"/>
      <c r="Y217" s="189"/>
      <c r="Z217" s="200"/>
      <c r="AA217" s="189"/>
      <c r="AB217" s="200"/>
      <c r="AC217" s="189"/>
      <c r="AD217" s="200"/>
      <c r="AE217" s="189"/>
      <c r="AF217" s="200"/>
      <c r="AG217" s="189"/>
      <c r="AH217" s="200"/>
      <c r="AI217" s="189"/>
      <c r="AJ217" s="200"/>
      <c r="AK217" s="189"/>
      <c r="AL217" s="200"/>
      <c r="AM217" s="189"/>
      <c r="AN217" s="200"/>
      <c r="AO217" s="189"/>
      <c r="AP217" s="200"/>
      <c r="AQ217" s="189"/>
      <c r="AR217" s="200"/>
      <c r="AS217" s="1470"/>
      <c r="AT217" s="1470"/>
      <c r="AU217" s="189"/>
      <c r="AV217" s="200"/>
      <c r="AW217" s="189"/>
      <c r="AX217" s="200"/>
      <c r="AY217" s="189"/>
      <c r="AZ217" s="200"/>
      <c r="BA217" s="189"/>
      <c r="BB217" s="200"/>
      <c r="BC217" s="189"/>
      <c r="BD217" s="200"/>
      <c r="BE217" s="189"/>
      <c r="BF217" s="200"/>
    </row>
    <row r="218" spans="1:58" ht="15" hidden="1" customHeight="1" x14ac:dyDescent="0.25">
      <c r="T218" s="200"/>
      <c r="V218" s="200"/>
      <c r="W218" s="189"/>
      <c r="X218" s="200"/>
      <c r="Y218" s="189"/>
      <c r="Z218" s="200"/>
      <c r="AA218" s="189"/>
      <c r="AB218" s="200"/>
      <c r="AC218" s="189"/>
      <c r="AD218" s="200"/>
      <c r="AE218" s="189"/>
      <c r="AF218" s="200"/>
      <c r="AG218" s="189"/>
      <c r="AH218" s="200"/>
      <c r="AI218" s="189"/>
      <c r="AJ218" s="200"/>
      <c r="AK218" s="189"/>
      <c r="AL218" s="200"/>
      <c r="AM218" s="189"/>
      <c r="AN218" s="200"/>
      <c r="AO218" s="189"/>
      <c r="AP218" s="200"/>
      <c r="AQ218" s="189"/>
      <c r="AR218" s="200"/>
      <c r="AS218" s="1470"/>
      <c r="AT218" s="1470"/>
      <c r="AU218" s="189"/>
      <c r="AV218" s="200"/>
      <c r="AW218" s="189"/>
      <c r="AX218" s="200"/>
      <c r="AY218" s="189"/>
      <c r="AZ218" s="200"/>
      <c r="BA218" s="189"/>
      <c r="BB218" s="200"/>
      <c r="BC218" s="189"/>
      <c r="BD218" s="200"/>
      <c r="BE218" s="189"/>
      <c r="BF218" s="200"/>
    </row>
    <row r="219" spans="1:58" ht="15" hidden="1" customHeight="1" x14ac:dyDescent="0.25">
      <c r="T219" s="200"/>
      <c r="V219" s="200"/>
      <c r="W219" s="189"/>
      <c r="X219" s="200"/>
      <c r="Y219" s="189"/>
      <c r="Z219" s="200"/>
      <c r="AA219" s="189"/>
      <c r="AB219" s="200"/>
      <c r="AC219" s="189"/>
      <c r="AD219" s="200"/>
      <c r="AE219" s="189"/>
      <c r="AF219" s="200"/>
      <c r="AG219" s="189"/>
      <c r="AH219" s="200"/>
      <c r="AI219" s="189"/>
      <c r="AJ219" s="200"/>
      <c r="AK219" s="189"/>
      <c r="AL219" s="200"/>
      <c r="AM219" s="189"/>
      <c r="AN219" s="200"/>
      <c r="AO219" s="189"/>
      <c r="AP219" s="200"/>
      <c r="AQ219" s="189"/>
      <c r="AR219" s="200"/>
      <c r="AS219" s="1470"/>
      <c r="AT219" s="1470"/>
      <c r="AU219" s="189"/>
      <c r="AV219" s="200"/>
      <c r="AW219" s="189"/>
      <c r="AX219" s="200"/>
      <c r="AY219" s="189"/>
      <c r="AZ219" s="200"/>
      <c r="BA219" s="189"/>
      <c r="BB219" s="200"/>
      <c r="BC219" s="189"/>
      <c r="BD219" s="200"/>
      <c r="BE219" s="189"/>
      <c r="BF219" s="200"/>
    </row>
    <row r="220" spans="1:58" ht="15" hidden="1" customHeight="1" x14ac:dyDescent="0.25">
      <c r="T220" s="200"/>
      <c r="V220" s="200"/>
      <c r="W220" s="189"/>
      <c r="X220" s="200"/>
      <c r="Y220" s="189"/>
      <c r="Z220" s="200"/>
      <c r="AA220" s="189"/>
      <c r="AB220" s="200"/>
      <c r="AC220" s="189"/>
      <c r="AD220" s="200"/>
      <c r="AE220" s="189"/>
      <c r="AF220" s="200"/>
      <c r="AG220" s="189"/>
      <c r="AH220" s="200"/>
      <c r="AI220" s="189"/>
      <c r="AJ220" s="200"/>
      <c r="AK220" s="189"/>
      <c r="AL220" s="200"/>
      <c r="AM220" s="189"/>
      <c r="AN220" s="200"/>
      <c r="AO220" s="189"/>
      <c r="AP220" s="200"/>
      <c r="AQ220" s="189"/>
      <c r="AR220" s="200"/>
      <c r="AS220" s="1470"/>
      <c r="AT220" s="1470"/>
      <c r="AU220" s="189"/>
      <c r="AV220" s="200"/>
      <c r="AW220" s="189"/>
      <c r="AX220" s="200"/>
      <c r="AY220" s="189"/>
      <c r="AZ220" s="200"/>
      <c r="BA220" s="189"/>
      <c r="BB220" s="200"/>
      <c r="BC220" s="189"/>
      <c r="BD220" s="200"/>
      <c r="BE220" s="189"/>
      <c r="BF220" s="200"/>
    </row>
    <row r="221" spans="1:58" ht="18.75" hidden="1" customHeight="1" x14ac:dyDescent="0.25">
      <c r="B221" s="642" t="s">
        <v>1234</v>
      </c>
      <c r="T221" s="200"/>
      <c r="V221" s="200"/>
      <c r="W221" s="189"/>
      <c r="X221" s="200"/>
      <c r="Y221" s="189"/>
      <c r="Z221" s="200"/>
      <c r="AA221" s="189"/>
      <c r="AB221" s="200"/>
      <c r="AC221" s="189"/>
      <c r="AD221" s="200"/>
      <c r="AE221" s="189"/>
      <c r="AF221" s="200"/>
      <c r="AG221" s="189"/>
      <c r="AH221" s="200"/>
      <c r="AI221" s="189"/>
      <c r="AJ221" s="200"/>
      <c r="AK221" s="189"/>
      <c r="AL221" s="200"/>
      <c r="AM221" s="189"/>
      <c r="AN221" s="200"/>
      <c r="AO221" s="189"/>
      <c r="AP221" s="200"/>
      <c r="AQ221" s="189"/>
      <c r="AR221" s="200"/>
      <c r="AS221" s="1470"/>
      <c r="AT221" s="1470"/>
      <c r="AU221" s="189"/>
      <c r="AV221" s="200"/>
      <c r="AW221" s="189"/>
      <c r="AX221" s="200"/>
      <c r="AY221" s="189"/>
      <c r="AZ221" s="200"/>
      <c r="BA221" s="189"/>
      <c r="BB221" s="200"/>
      <c r="BC221" s="189"/>
      <c r="BD221" s="200"/>
      <c r="BE221" s="189"/>
      <c r="BF221" s="200"/>
    </row>
    <row r="222" spans="1:58" s="1386" customFormat="1" ht="15" hidden="1" customHeight="1" x14ac:dyDescent="0.25">
      <c r="A222" s="332"/>
      <c r="B222" s="421" t="s">
        <v>1239</v>
      </c>
      <c r="D222" s="1803"/>
      <c r="E222" s="1396"/>
      <c r="F222" s="929">
        <f>+F78</f>
        <v>55080</v>
      </c>
      <c r="G222" s="1396"/>
      <c r="H222" s="929">
        <f>+H78</f>
        <v>57015</v>
      </c>
      <c r="I222" s="1403"/>
      <c r="J222" s="930">
        <f>+F222+H222</f>
        <v>112095</v>
      </c>
      <c r="K222" s="1396"/>
      <c r="L222" s="929">
        <f>+L78</f>
        <v>54290</v>
      </c>
      <c r="M222" s="1409"/>
      <c r="N222" s="1086">
        <f>+J222+L222</f>
        <v>166385</v>
      </c>
      <c r="O222" s="1396"/>
      <c r="P222" s="929">
        <f>+P78</f>
        <v>56980</v>
      </c>
      <c r="Q222" s="1403"/>
      <c r="R222" s="930">
        <f>+N222+P222</f>
        <v>223365</v>
      </c>
      <c r="S222" s="1396"/>
      <c r="T222" s="929">
        <f>+T78</f>
        <v>57735</v>
      </c>
      <c r="U222" s="1403"/>
      <c r="V222" s="930">
        <f>+R222+T222</f>
        <v>281100</v>
      </c>
      <c r="W222" s="1396"/>
      <c r="X222" s="929">
        <f>+X78</f>
        <v>54990</v>
      </c>
      <c r="Y222" s="1409"/>
      <c r="Z222" s="1086">
        <f>+P222+T222+X222</f>
        <v>169705</v>
      </c>
      <c r="AA222" s="1475"/>
      <c r="AB222" s="1142">
        <f>+V222+X222</f>
        <v>336090</v>
      </c>
      <c r="AC222" s="1396"/>
      <c r="AD222" s="929">
        <v>57630</v>
      </c>
      <c r="AE222" s="1403"/>
      <c r="AF222" s="930">
        <f>+AB222+AD222</f>
        <v>393720</v>
      </c>
      <c r="AG222" s="1396"/>
      <c r="AH222" s="929">
        <v>57630</v>
      </c>
      <c r="AI222" s="1403"/>
      <c r="AJ222" s="930">
        <f>+AF222+AH222</f>
        <v>451350</v>
      </c>
      <c r="AK222" s="1396"/>
      <c r="AL222" s="929">
        <v>57895</v>
      </c>
      <c r="AM222" s="1409"/>
      <c r="AN222" s="1086">
        <f>+AL222+AH222+AD222</f>
        <v>173155</v>
      </c>
      <c r="AO222" s="1403"/>
      <c r="AP222" s="930">
        <f>+AJ222+AL222</f>
        <v>509245</v>
      </c>
      <c r="AQ222" s="1396"/>
      <c r="AR222" s="929">
        <v>57895</v>
      </c>
      <c r="AS222" s="1403"/>
      <c r="AT222" s="930">
        <f>+AP222+AR222</f>
        <v>567140</v>
      </c>
      <c r="AU222" s="1396"/>
      <c r="AV222" s="929">
        <v>57895</v>
      </c>
      <c r="AW222" s="1403"/>
      <c r="AX222" s="930">
        <f>+AT222+AV222</f>
        <v>625035</v>
      </c>
      <c r="AY222" s="1396"/>
      <c r="AZ222" s="929">
        <v>57895</v>
      </c>
      <c r="BA222" s="1409"/>
      <c r="BB222" s="1086">
        <f>+AZ222+AV222+AR222</f>
        <v>173685</v>
      </c>
      <c r="BC222" s="1475"/>
      <c r="BD222" s="1142">
        <f>+AV222+AX222</f>
        <v>682930</v>
      </c>
      <c r="BE222" s="1403"/>
      <c r="BF222" s="930">
        <f>+AX222+AZ222</f>
        <v>682930</v>
      </c>
    </row>
    <row r="223" spans="1:58" s="1386" customFormat="1" ht="15" hidden="1" customHeight="1" x14ac:dyDescent="0.25">
      <c r="A223" s="332"/>
      <c r="B223" s="421" t="s">
        <v>1240</v>
      </c>
      <c r="D223" s="1803"/>
      <c r="E223" s="1396"/>
      <c r="F223" s="929">
        <f>+F92</f>
        <v>95724.7</v>
      </c>
      <c r="G223" s="1396"/>
      <c r="H223" s="929">
        <f>+H92</f>
        <v>100196.6</v>
      </c>
      <c r="I223" s="1403"/>
      <c r="J223" s="930">
        <f>+F223+H223</f>
        <v>195921.3</v>
      </c>
      <c r="K223" s="1396"/>
      <c r="L223" s="929">
        <f>+L92</f>
        <v>98950</v>
      </c>
      <c r="M223" s="1409"/>
      <c r="N223" s="1086">
        <f>+J223+L223</f>
        <v>294871.3</v>
      </c>
      <c r="O223" s="1396"/>
      <c r="P223" s="929">
        <f>+P92</f>
        <v>99885.099999999977</v>
      </c>
      <c r="Q223" s="1403"/>
      <c r="R223" s="930">
        <f>+N223+P223</f>
        <v>394756.39999999997</v>
      </c>
      <c r="S223" s="1396"/>
      <c r="T223" s="929">
        <f>+T92</f>
        <v>105293.7</v>
      </c>
      <c r="U223" s="1403"/>
      <c r="V223" s="930">
        <f>+R223+T223</f>
        <v>500050.1</v>
      </c>
      <c r="W223" s="1396"/>
      <c r="X223" s="929">
        <f>+X92</f>
        <v>102069.49999999999</v>
      </c>
      <c r="Y223" s="1409"/>
      <c r="Z223" s="1086">
        <f>+P223+T223+X223</f>
        <v>307248.3</v>
      </c>
      <c r="AA223" s="1475"/>
      <c r="AB223" s="1142">
        <f>+V223+X223</f>
        <v>602119.6</v>
      </c>
      <c r="AC223" s="1396"/>
      <c r="AD223" s="929">
        <v>98880</v>
      </c>
      <c r="AE223" s="1403"/>
      <c r="AF223" s="930">
        <f>+AB223+AD223</f>
        <v>700999.6</v>
      </c>
      <c r="AG223" s="1396"/>
      <c r="AH223" s="929">
        <v>98880</v>
      </c>
      <c r="AI223" s="1403"/>
      <c r="AJ223" s="930">
        <f>+AF223+AH223</f>
        <v>799879.6</v>
      </c>
      <c r="AK223" s="1396"/>
      <c r="AL223" s="929">
        <v>106230</v>
      </c>
      <c r="AM223" s="1409"/>
      <c r="AN223" s="1086">
        <f>+AL223+AH223+AD223</f>
        <v>303990</v>
      </c>
      <c r="AO223" s="1403"/>
      <c r="AP223" s="930">
        <f>+AJ223+AL223</f>
        <v>906109.6</v>
      </c>
      <c r="AQ223" s="1396"/>
      <c r="AR223" s="929">
        <v>106403</v>
      </c>
      <c r="AS223" s="1403"/>
      <c r="AT223" s="930">
        <f>+AP223+AR223</f>
        <v>1012512.6</v>
      </c>
      <c r="AU223" s="1396"/>
      <c r="AV223" s="929">
        <v>106403</v>
      </c>
      <c r="AW223" s="1403"/>
      <c r="AX223" s="930">
        <f>+AT223+AV223</f>
        <v>1118915.6000000001</v>
      </c>
      <c r="AY223" s="1396"/>
      <c r="AZ223" s="929">
        <v>106403</v>
      </c>
      <c r="BA223" s="1409"/>
      <c r="BB223" s="1086">
        <f>+AZ223+AV223+AR223</f>
        <v>319209</v>
      </c>
      <c r="BC223" s="1475"/>
      <c r="BD223" s="1142">
        <f>+AV223+AX223</f>
        <v>1225318.6000000001</v>
      </c>
      <c r="BE223" s="1403"/>
      <c r="BF223" s="930">
        <f>+AX223+AZ223</f>
        <v>1225318.6000000001</v>
      </c>
    </row>
    <row r="224" spans="1:58" s="1386" customFormat="1" ht="15" hidden="1" customHeight="1" x14ac:dyDescent="0.25">
      <c r="A224" s="332"/>
      <c r="B224" s="421"/>
      <c r="D224" s="1803"/>
      <c r="E224" s="189"/>
      <c r="F224" s="200"/>
      <c r="G224" s="189"/>
      <c r="H224" s="200"/>
      <c r="I224" s="189"/>
      <c r="J224" s="200"/>
      <c r="K224" s="189"/>
      <c r="L224" s="200"/>
      <c r="M224" s="189"/>
      <c r="N224" s="200"/>
      <c r="O224" s="189"/>
      <c r="P224" s="200"/>
      <c r="Q224" s="189"/>
      <c r="R224" s="200"/>
      <c r="S224" s="189"/>
      <c r="T224" s="200"/>
      <c r="U224" s="189"/>
      <c r="V224" s="200"/>
      <c r="W224" s="189"/>
      <c r="X224" s="200"/>
      <c r="Y224" s="189"/>
      <c r="Z224" s="200"/>
      <c r="AA224" s="189"/>
      <c r="AB224" s="200"/>
      <c r="AC224" s="189"/>
      <c r="AD224" s="200"/>
      <c r="AE224" s="189"/>
      <c r="AF224" s="200"/>
      <c r="AG224" s="189"/>
      <c r="AH224" s="200"/>
      <c r="AI224" s="189"/>
      <c r="AJ224" s="200"/>
      <c r="AK224" s="189"/>
      <c r="AL224" s="200"/>
      <c r="AM224" s="189"/>
      <c r="AN224" s="200"/>
      <c r="AO224" s="189"/>
      <c r="AP224" s="200"/>
      <c r="AQ224" s="189"/>
      <c r="AR224" s="200"/>
      <c r="AS224" s="189"/>
      <c r="AT224" s="200"/>
      <c r="AU224" s="189"/>
      <c r="AV224" s="200"/>
      <c r="AW224" s="189"/>
      <c r="AX224" s="200"/>
      <c r="AY224" s="189"/>
      <c r="AZ224" s="200"/>
      <c r="BA224" s="189"/>
      <c r="BB224" s="200"/>
      <c r="BC224" s="189"/>
      <c r="BD224" s="200"/>
      <c r="BE224" s="189"/>
      <c r="BF224" s="200"/>
    </row>
    <row r="225" spans="1:58" s="1386" customFormat="1" ht="15" hidden="1" customHeight="1" x14ac:dyDescent="0.25">
      <c r="A225" s="332"/>
      <c r="B225" s="421" t="s">
        <v>1237</v>
      </c>
      <c r="D225" s="1803"/>
      <c r="E225" s="945"/>
      <c r="F225" s="119">
        <f>+((F222-F13)/F222)*100</f>
        <v>8.5039941902687008</v>
      </c>
      <c r="G225" s="945"/>
      <c r="H225" s="119">
        <f>+((H222-H13)/H222)*100</f>
        <v>8.5019731649565937</v>
      </c>
      <c r="I225" s="1320"/>
      <c r="J225" s="878">
        <f>+((J222-J13)/J222)*100</f>
        <v>8.5029662339979417</v>
      </c>
      <c r="K225" s="945"/>
      <c r="L225" s="119">
        <f>+((L222-L13)/L222)*100</f>
        <v>8.5032234297292337</v>
      </c>
      <c r="M225" s="901"/>
      <c r="N225" s="881">
        <f>+((N222-N13)/N222)*100</f>
        <v>8.5030501547615405</v>
      </c>
      <c r="O225" s="945"/>
      <c r="P225" s="119">
        <f>+((P222-P13)/P222)*100</f>
        <v>8.5967005967005985</v>
      </c>
      <c r="Q225" s="1320"/>
      <c r="R225" s="878">
        <f>+((R222-R13)/R222)*100</f>
        <v>8.5269402099702205</v>
      </c>
      <c r="S225" s="945"/>
      <c r="T225" s="119">
        <f>+((T222-T13)/T222)*100</f>
        <v>8.6003290898068787</v>
      </c>
      <c r="U225" s="1723"/>
      <c r="V225" s="878">
        <f>+((V222-V13)/V222)*100</f>
        <v>8.5420135183208732</v>
      </c>
      <c r="W225" s="945"/>
      <c r="X225" s="119">
        <f>+((X222-X13)/X222)*100</f>
        <v>8.7295871976723056</v>
      </c>
      <c r="Y225" s="901"/>
      <c r="Z225" s="881">
        <f>+((Z222-Z13)/Z222)*100</f>
        <v>8.6409946672166473</v>
      </c>
      <c r="AA225" s="1133"/>
      <c r="AB225" s="1164">
        <f>+((AB222-AB13)/AB222)*100</f>
        <v>8.572703740069624</v>
      </c>
      <c r="AC225" s="945"/>
      <c r="AD225" s="119">
        <f>+((AD222-AD13)/AD222)*100</f>
        <v>11.925733125108454</v>
      </c>
      <c r="AE225" s="1320"/>
      <c r="AF225" s="878">
        <f>+((AF222-AF13)/AF222)*100</f>
        <v>9.0634969013512112</v>
      </c>
      <c r="AG225" s="945"/>
      <c r="AH225" s="119">
        <f>+((AH222-AH13)/AH222)*100</f>
        <v>11.776505292382444</v>
      </c>
      <c r="AI225" s="1787"/>
      <c r="AJ225" s="878">
        <f>+((AJ222-AJ13)/AJ222)*100</f>
        <v>9.4099036224659294</v>
      </c>
      <c r="AK225" s="945"/>
      <c r="AL225" s="119">
        <f>+((AL222-AL13)/AL222)*100</f>
        <v>8.7340875723292264</v>
      </c>
      <c r="AM225" s="901"/>
      <c r="AN225" s="881">
        <f>+((AN222-AN13)/AN222)*100</f>
        <v>10.808928416736457</v>
      </c>
      <c r="AO225" s="1320"/>
      <c r="AP225" s="878">
        <f>+((AP222-AP13)/AP222)*100</f>
        <v>9.3330715078203905</v>
      </c>
      <c r="AQ225" s="945"/>
      <c r="AR225" s="119">
        <f>+((AR222-AR13)/AR222)*100</f>
        <v>8.8232144399343717</v>
      </c>
      <c r="AS225" s="1320"/>
      <c r="AT225" s="878">
        <f>+((AT222-AT13)/AT222)*100</f>
        <v>9.2810240857636508</v>
      </c>
      <c r="AU225" s="945"/>
      <c r="AV225" s="119">
        <f>+((AV222-AV13)/AV222)*100</f>
        <v>17.735901200449096</v>
      </c>
      <c r="AW225" s="1787"/>
      <c r="AX225" s="878">
        <f>+((AX222-AX13)/AX222)*100</f>
        <v>10.064172406345241</v>
      </c>
      <c r="AY225" s="945"/>
      <c r="AZ225" s="119">
        <f>+((AZ222-AZ13)/AZ222)*100</f>
        <v>10.16011745401158</v>
      </c>
      <c r="BA225" s="1788"/>
      <c r="BB225" s="881">
        <f>+((BB222-BB13)/BB222)*100</f>
        <v>12.239744364798346</v>
      </c>
      <c r="BC225" s="1133"/>
      <c r="BD225" s="1164">
        <f>+((BD222-BD13)/BD222)*100</f>
        <v>55.066375763255394</v>
      </c>
      <c r="BE225" s="1787"/>
      <c r="BF225" s="878">
        <f>+((BF222-BF13)/BF222)*100</f>
        <v>10.072306092864558</v>
      </c>
    </row>
    <row r="226" spans="1:58" s="1386" customFormat="1" ht="15" hidden="1" customHeight="1" x14ac:dyDescent="0.25">
      <c r="A226" s="332"/>
      <c r="B226" s="421" t="s">
        <v>1238</v>
      </c>
      <c r="D226" s="1803"/>
      <c r="E226" s="945"/>
      <c r="F226" s="119">
        <f>+((F223-F14)/F223)*100</f>
        <v>8.9999237396408596</v>
      </c>
      <c r="G226" s="945"/>
      <c r="H226" s="119">
        <f>+((H223-H14)/H223)*100</f>
        <v>8.999407165512622</v>
      </c>
      <c r="I226" s="1320"/>
      <c r="J226" s="878">
        <f>+((J223-J14)/J223)*100</f>
        <v>8.9996595571793367</v>
      </c>
      <c r="K226" s="945"/>
      <c r="L226" s="119">
        <f>+((L223-L14)/L223)*100</f>
        <v>9.000808489135915</v>
      </c>
      <c r="M226" s="901"/>
      <c r="N226" s="881">
        <f>+((N223-N14)/N223)*100</f>
        <v>9.0000451044235188</v>
      </c>
      <c r="O226" s="945"/>
      <c r="P226" s="119">
        <f>+((P223-P14)/P223)*100</f>
        <v>8.9998908746149091</v>
      </c>
      <c r="Q226" s="1320"/>
      <c r="R226" s="878">
        <f>+((R223-R14)/R223)*100</f>
        <v>9.0000060796987658</v>
      </c>
      <c r="S226" s="945"/>
      <c r="T226" s="119">
        <f>+((T223-T14)/T223)*100</f>
        <v>8.9999211728716979</v>
      </c>
      <c r="U226" s="1723"/>
      <c r="V226" s="878">
        <f>+((V223-V14)/V223)*100</f>
        <v>8.9999882011822443</v>
      </c>
      <c r="W226" s="945"/>
      <c r="X226" s="119">
        <f>+((X223-X14)/X223)*100</f>
        <v>9.0000440876069501</v>
      </c>
      <c r="Y226" s="901"/>
      <c r="Z226" s="881">
        <f>+((Z223-Z14)/Z223)*100</f>
        <v>8.999952155959857</v>
      </c>
      <c r="AA226" s="1133"/>
      <c r="AB226" s="1164">
        <f>+((AB223-AB14)/AB223)*100</f>
        <v>8.9999976748805395</v>
      </c>
      <c r="AC226" s="945"/>
      <c r="AD226" s="119">
        <f>+((AD223-AD14)/AD223)*100</f>
        <v>2.2358414239482229</v>
      </c>
      <c r="AE226" s="1320"/>
      <c r="AF226" s="878">
        <f>+((AF223-AF14)/AF223)*100</f>
        <v>8.0458747765334024</v>
      </c>
      <c r="AG226" s="945"/>
      <c r="AH226" s="119">
        <f>+((AH223-AH14)/AH223)*100</f>
        <v>5.4265776699029153</v>
      </c>
      <c r="AI226" s="1787"/>
      <c r="AJ226" s="878">
        <f>+((AJ223-AJ14)/AJ223)*100</f>
        <v>7.7220809231789502</v>
      </c>
      <c r="AK226" s="945"/>
      <c r="AL226" s="119">
        <f>+((AL223-AL14)/AL223)*100</f>
        <v>9.4158900498917308</v>
      </c>
      <c r="AM226" s="901"/>
      <c r="AN226" s="881">
        <f>+((AN223-AN14)/AN223)*100</f>
        <v>5.7827889075298451</v>
      </c>
      <c r="AO226" s="1320"/>
      <c r="AP226" s="878">
        <f>+((AP223-AP14)/AP223)*100</f>
        <v>7.9206588253783083</v>
      </c>
      <c r="AQ226" s="945"/>
      <c r="AR226" s="119">
        <f>+((AR223-AR14)/AR223)*100</f>
        <v>9.2666560153379276</v>
      </c>
      <c r="AS226" s="1320"/>
      <c r="AT226" s="878">
        <f>+((AT223-AT14)/AT223)*100</f>
        <v>8.0621070789637681</v>
      </c>
      <c r="AU226" s="945"/>
      <c r="AV226" s="119">
        <f>+((AV223-AV14)/AV223)*100</f>
        <v>17.924870539364484</v>
      </c>
      <c r="AW226" s="1787"/>
      <c r="AX226" s="878">
        <f>+((AX223-AX14)/AX223)*100</f>
        <v>9.0000041111233227</v>
      </c>
      <c r="AY226" s="945"/>
      <c r="AZ226" s="119">
        <f>+((AZ223-AZ14)/AZ223)*100</f>
        <v>9.1183989173237467</v>
      </c>
      <c r="BA226" s="1788"/>
      <c r="BB226" s="881">
        <f>+((BB223-BB14)/BB223)*100</f>
        <v>12.103308490675381</v>
      </c>
      <c r="BC226" s="1133"/>
      <c r="BD226" s="1164">
        <f>+((BD223-BD14)/BD223)*100</f>
        <v>53.7275407392004</v>
      </c>
      <c r="BE226" s="1787"/>
      <c r="BF226" s="878">
        <f>+((BF223-BF14)/BF223)*100</f>
        <v>9.0102851617530462</v>
      </c>
    </row>
    <row r="227" spans="1:58" ht="15" hidden="1" customHeight="1" x14ac:dyDescent="0.25">
      <c r="T227" s="200"/>
      <c r="V227" s="200"/>
      <c r="W227" s="189"/>
      <c r="X227" s="200"/>
      <c r="Y227" s="189"/>
      <c r="Z227" s="200"/>
      <c r="AA227" s="189"/>
      <c r="AB227" s="200"/>
      <c r="AC227" s="189"/>
      <c r="AD227" s="200"/>
      <c r="AE227" s="189"/>
      <c r="AF227" s="200"/>
      <c r="AG227" s="189"/>
      <c r="AH227" s="200"/>
      <c r="AI227" s="189"/>
      <c r="AJ227" s="200"/>
      <c r="AK227" s="189"/>
      <c r="AL227" s="200"/>
      <c r="AM227" s="189"/>
      <c r="AN227" s="200"/>
      <c r="AO227" s="189"/>
      <c r="AP227" s="200"/>
      <c r="AQ227" s="189"/>
      <c r="AR227" s="200"/>
      <c r="AS227" s="189"/>
      <c r="AT227" s="200"/>
      <c r="AU227" s="189"/>
      <c r="AV227" s="200"/>
      <c r="AW227" s="189"/>
      <c r="AX227" s="200"/>
      <c r="AY227" s="189"/>
      <c r="AZ227" s="200"/>
      <c r="BA227" s="189"/>
      <c r="BB227" s="200"/>
      <c r="BC227" s="189"/>
      <c r="BD227" s="200"/>
      <c r="BE227" s="189"/>
      <c r="BF227" s="200"/>
    </row>
    <row r="228" spans="1:58" ht="15" hidden="1" customHeight="1" x14ac:dyDescent="0.25">
      <c r="B228" s="1397" t="s">
        <v>1230</v>
      </c>
      <c r="C228" s="466" t="s">
        <v>53</v>
      </c>
      <c r="D228" s="1814"/>
      <c r="E228" s="1396"/>
      <c r="F228" s="929">
        <f>+((100-'Maj Techno Summ'!F7)/100)*'COKE OVENS'!F13</f>
        <v>2520.7149600580938</v>
      </c>
      <c r="G228" s="1396"/>
      <c r="H228" s="929">
        <f>+((100-'Maj Techno Summ'!H7)/100)*'COKE OVENS'!H13</f>
        <v>1601.215469613257</v>
      </c>
      <c r="I228" s="1403"/>
      <c r="J228" s="930">
        <f>+((100-'Maj Techno Summ'!J7)/100)*'COKE OVENS'!J13</f>
        <v>4121.9413711583975</v>
      </c>
      <c r="K228" s="1396"/>
      <c r="L228" s="929">
        <f>+((100-'Maj Techno Summ'!L7)/100)*'COKE OVENS'!L13</f>
        <v>1903.132952661635</v>
      </c>
      <c r="M228" s="1409"/>
      <c r="N228" s="1086">
        <f>+((100-'Maj Techno Summ'!N7)/100)*'COKE OVENS'!N13</f>
        <v>6025.0741473089665</v>
      </c>
      <c r="O228" s="1396"/>
      <c r="P228" s="929">
        <f>+((100-'Maj Techno Summ'!P7)/100)*'COKE OVENS'!P13</f>
        <v>2440.4680940680905</v>
      </c>
      <c r="Q228" s="1403"/>
      <c r="R228" s="930">
        <f>+((100-'Maj Techno Summ'!R7)/100)*'COKE OVENS'!R13</f>
        <v>8465.8316835672631</v>
      </c>
      <c r="S228" s="1396"/>
      <c r="T228" s="929">
        <f>+((100-'Maj Techno Summ'!T7)/100)*'COKE OVENS'!T13</f>
        <v>2636.8805057590739</v>
      </c>
      <c r="U228" s="1403"/>
      <c r="V228" s="930">
        <f>+((100-'Maj Techno Summ'!V7)/100)*'COKE OVENS'!V13</f>
        <v>11102.99955887585</v>
      </c>
      <c r="W228" s="1396"/>
      <c r="X228" s="929">
        <f>+((100-'Maj Techno Summ'!X7)/100)*'COKE OVENS'!X13</f>
        <v>2610.3338061465756</v>
      </c>
      <c r="Y228" s="1409"/>
      <c r="Z228" s="1086">
        <f>+((100-'Maj Techno Summ'!Z7)/100)*'COKE OVENS'!Z13</f>
        <v>7687.860298753737</v>
      </c>
      <c r="AA228" s="1475"/>
      <c r="AB228" s="1142">
        <f>+((100-'Maj Techno Summ'!AB7)/100)*'COKE OVENS'!AB13</f>
        <v>13714.094438989572</v>
      </c>
      <c r="AC228" s="1396"/>
      <c r="AD228" s="929">
        <f>+((100-'Maj Techno Summ'!AD7)/100)*'COKE OVENS'!AD13</f>
        <v>4057.831131140153</v>
      </c>
      <c r="AE228" s="1403"/>
      <c r="AF228" s="930">
        <f>+((100-'Maj Techno Summ'!AF7)/100)*'COKE OVENS'!AF13</f>
        <v>17770.776530078008</v>
      </c>
      <c r="AG228" s="1396"/>
      <c r="AH228" s="929">
        <f>+((100-'Maj Techno Summ'!AH7)/100)*'COKE OVENS'!AH13</f>
        <v>3390.1566813641675</v>
      </c>
      <c r="AI228" s="1403"/>
      <c r="AJ228" s="930">
        <f>+((100-'Maj Techno Summ'!AJ7)/100)*'COKE OVENS'!AJ13</f>
        <v>21160.392225974552</v>
      </c>
      <c r="AK228" s="1396"/>
      <c r="AL228" s="929">
        <f>+((100-'Maj Techno Summ'!AL7)/100)*'COKE OVENS'!AL13</f>
        <v>1743.1319075244692</v>
      </c>
      <c r="AM228" s="1409"/>
      <c r="AN228" s="1086">
        <f>+((100-'Maj Techno Summ'!AN7)/100)*'COKE OVENS'!AN13</f>
        <v>9191.2062446307318</v>
      </c>
      <c r="AO228" s="1403"/>
      <c r="AP228" s="930">
        <f>+((100-'Maj Techno Summ'!AP7)/100)*'COKE OVENS'!AP13</f>
        <v>22904.07973458778</v>
      </c>
      <c r="AQ228" s="1396"/>
      <c r="AR228" s="929">
        <f>+((100-'Maj Techno Summ'!AR7)/100)*'COKE OVENS'!AR13</f>
        <v>4808.3659906396288</v>
      </c>
      <c r="AS228" s="1403"/>
      <c r="AT228" s="930">
        <f>+((100-'Maj Techno Summ'!AT7)/100)*'COKE OVENS'!AT13</f>
        <v>27711.391714735179</v>
      </c>
      <c r="AU228" s="1396"/>
      <c r="AV228" s="929">
        <f>+((100-'Maj Techno Summ'!AV7)/100)*'COKE OVENS'!AV13</f>
        <v>4763.5943175273642</v>
      </c>
      <c r="AW228" s="1403"/>
      <c r="AX228" s="930">
        <f>+((100-'Maj Techno Summ'!AX7)/100)*'COKE OVENS'!AX13</f>
        <v>32475.535876223192</v>
      </c>
      <c r="AY228" s="1396"/>
      <c r="AZ228" s="929" t="e">
        <f>+((100-'Maj Techno Summ'!#REF!)/100)*'COKE OVENS'!AZ13</f>
        <v>#REF!</v>
      </c>
      <c r="BA228" s="1409"/>
      <c r="BB228" s="1086" t="e">
        <f>+((100-'Maj Techno Summ'!#REF!)/100)*'COKE OVENS'!BB13</f>
        <v>#REF!</v>
      </c>
      <c r="BC228" s="1475"/>
      <c r="BD228" s="1142" t="e">
        <f>+((100-'Maj Techno Summ'!#REF!)/100)*'COKE OVENS'!BD13</f>
        <v>#REF!</v>
      </c>
      <c r="BE228" s="1403"/>
      <c r="BF228" s="930" t="e">
        <f>+((100-'Maj Techno Summ'!#REF!)/100)*'COKE OVENS'!BF13</f>
        <v>#REF!</v>
      </c>
    </row>
    <row r="229" spans="1:58" s="1385" customFormat="1" ht="15" hidden="1" customHeight="1" x14ac:dyDescent="0.25">
      <c r="A229" s="332"/>
      <c r="B229" s="1394" t="s">
        <v>238</v>
      </c>
      <c r="C229" s="466" t="s">
        <v>53</v>
      </c>
      <c r="D229" s="1814"/>
      <c r="E229" s="1396"/>
      <c r="F229" s="929">
        <f>+F228*F225/(100-F225)</f>
        <v>234.28503994190237</v>
      </c>
      <c r="G229" s="1396"/>
      <c r="H229" s="929">
        <f>+H228*H225/(100-H225)</f>
        <v>148.78453038674016</v>
      </c>
      <c r="I229" s="1403"/>
      <c r="J229" s="930">
        <f>+J228*J225/(100-J225)</f>
        <v>383.05862884160769</v>
      </c>
      <c r="K229" s="1396"/>
      <c r="L229" s="929">
        <f>+L228*L225/(100-L225)</f>
        <v>176.86704733836834</v>
      </c>
      <c r="M229" s="1409"/>
      <c r="N229" s="1086">
        <f>+N228*N225/(100-N225)</f>
        <v>559.9258526910487</v>
      </c>
      <c r="O229" s="1396"/>
      <c r="P229" s="929">
        <f>+P228*P225/(100-P225)</f>
        <v>229.53190593190564</v>
      </c>
      <c r="Q229" s="1403"/>
      <c r="R229" s="930">
        <f>+R228*R225/(100-R225)</f>
        <v>789.16831643274463</v>
      </c>
      <c r="S229" s="1396"/>
      <c r="T229" s="929">
        <f>+T228*T225/(100-T225)</f>
        <v>248.11949424092867</v>
      </c>
      <c r="U229" s="1403"/>
      <c r="V229" s="930">
        <f>+V228*V225/(100-V225)</f>
        <v>1037.0004411241543</v>
      </c>
      <c r="W229" s="1396"/>
      <c r="X229" s="929">
        <f>+X228*X225/(100-X225)</f>
        <v>249.66619385342827</v>
      </c>
      <c r="Y229" s="1409"/>
      <c r="Z229" s="1086">
        <f>+Z228*Z225/(100-Z225)</f>
        <v>727.13970124628247</v>
      </c>
      <c r="AA229" s="1475"/>
      <c r="AB229" s="1142">
        <f>+AB228*AB225/(100-AB225)</f>
        <v>1285.9055610104451</v>
      </c>
      <c r="AC229" s="1396"/>
      <c r="AD229" s="929">
        <f>+AD228*AD225/(100-AD225)</f>
        <v>549.45232987832378</v>
      </c>
      <c r="AE229" s="1403"/>
      <c r="AF229" s="930">
        <f>+AF228*AF225/(100-AF225)</f>
        <v>1771.1850854902743</v>
      </c>
      <c r="AG229" s="1396"/>
      <c r="AH229" s="929">
        <f>+AH228*AH225/(100-AH225)</f>
        <v>452.53476109061467</v>
      </c>
      <c r="AI229" s="1403"/>
      <c r="AJ229" s="930">
        <f>+AJ228*AJ225/(100-AJ225)</f>
        <v>2198.0024243508587</v>
      </c>
      <c r="AK229" s="1396"/>
      <c r="AL229" s="929">
        <f>+AL228*AL225/(100-AL225)</f>
        <v>166.81657286345239</v>
      </c>
      <c r="AM229" s="1409"/>
      <c r="AN229" s="1086">
        <f>+AN228*AN225/(100-AN225)</f>
        <v>1113.8681103178594</v>
      </c>
      <c r="AO229" s="1403"/>
      <c r="AP229" s="930">
        <f>+AP228*AP225/(100-AP225)</f>
        <v>2357.699963357265</v>
      </c>
      <c r="AQ229" s="1396"/>
      <c r="AR229" s="929">
        <f>+AR228*AR225/(100-AR225)</f>
        <v>465.30752296758612</v>
      </c>
      <c r="AS229" s="1403"/>
      <c r="AT229" s="930">
        <f>+AT228*AT225/(100-AT225)</f>
        <v>2835.0198110440542</v>
      </c>
      <c r="AU229" s="1396"/>
      <c r="AV229" s="929">
        <f>+AV228*AV225/(100-AV225)</f>
        <v>1027.0171242081035</v>
      </c>
      <c r="AW229" s="1403"/>
      <c r="AX229" s="930">
        <f>+AX228*AX225/(100-AX225)</f>
        <v>3634.1400395343649</v>
      </c>
      <c r="AY229" s="1396"/>
      <c r="AZ229" s="929" t="e">
        <f>+AZ228*AZ225/(100-AZ225)</f>
        <v>#REF!</v>
      </c>
      <c r="BA229" s="1409"/>
      <c r="BB229" s="1086" t="e">
        <f>+BB228*BB225/(100-BB225)</f>
        <v>#REF!</v>
      </c>
      <c r="BC229" s="1475"/>
      <c r="BD229" s="1142" t="e">
        <f>+BD228*BD225/(100-BD225)</f>
        <v>#REF!</v>
      </c>
      <c r="BE229" s="1403"/>
      <c r="BF229" s="930" t="e">
        <f>+BF228*BF225/(100-BF225)</f>
        <v>#REF!</v>
      </c>
    </row>
    <row r="230" spans="1:58" s="1385" customFormat="1" ht="15" hidden="1" customHeight="1" x14ac:dyDescent="0.25">
      <c r="A230" s="332"/>
      <c r="B230" s="1394" t="s">
        <v>1108</v>
      </c>
      <c r="C230" s="466" t="s">
        <v>53</v>
      </c>
      <c r="D230" s="1814"/>
      <c r="E230" s="1396"/>
      <c r="F230" s="929">
        <f t="shared" ref="F230" si="1204">+F228*4/(100-4)</f>
        <v>105.02979000242057</v>
      </c>
      <c r="G230" s="1396"/>
      <c r="H230" s="929">
        <f t="shared" ref="H230" si="1205">+H228*4/(100-4)</f>
        <v>66.717311233885709</v>
      </c>
      <c r="I230" s="1403"/>
      <c r="J230" s="930">
        <f t="shared" ref="J230" si="1206">+J228*4/(100-4)</f>
        <v>171.7475571315999</v>
      </c>
      <c r="K230" s="1396"/>
      <c r="L230" s="929">
        <f t="shared" ref="L230" si="1207">+L228*4/(100-4)</f>
        <v>79.297206360901455</v>
      </c>
      <c r="M230" s="1409"/>
      <c r="N230" s="1086">
        <f t="shared" ref="N230" si="1208">+N228*4/(100-4)</f>
        <v>251.04475613787361</v>
      </c>
      <c r="O230" s="1396"/>
      <c r="P230" s="929">
        <f t="shared" ref="P230" si="1209">+P228*4/(100-4)</f>
        <v>101.68617058617043</v>
      </c>
      <c r="Q230" s="1403"/>
      <c r="R230" s="930">
        <f t="shared" ref="R230" si="1210">+R228*4/(100-4)</f>
        <v>352.74298681530263</v>
      </c>
      <c r="S230" s="1396"/>
      <c r="T230" s="929">
        <f t="shared" ref="T230" si="1211">+T228*4/(100-4)</f>
        <v>109.87002107329475</v>
      </c>
      <c r="U230" s="1403"/>
      <c r="V230" s="930">
        <f t="shared" ref="V230" si="1212">+V228*4/(100-4)</f>
        <v>462.62498161982711</v>
      </c>
      <c r="W230" s="1396"/>
      <c r="X230" s="929">
        <f t="shared" ref="X230" si="1213">+X228*4/(100-4)</f>
        <v>108.76390858944065</v>
      </c>
      <c r="Y230" s="1409"/>
      <c r="Z230" s="1086">
        <f t="shared" ref="Z230" si="1214">+Z228*4/(100-4)</f>
        <v>320.32751244807235</v>
      </c>
      <c r="AA230" s="1475"/>
      <c r="AB230" s="1142">
        <f t="shared" ref="AB230" si="1215">+AB228*4/(100-4)</f>
        <v>571.42060162456551</v>
      </c>
      <c r="AC230" s="1396"/>
      <c r="AD230" s="929">
        <f t="shared" ref="AD230" si="1216">+AD228*4/(100-4)</f>
        <v>169.07629713083972</v>
      </c>
      <c r="AE230" s="1403"/>
      <c r="AF230" s="930">
        <f t="shared" ref="AF230" si="1217">+AF228*4/(100-4)</f>
        <v>740.44902208658368</v>
      </c>
      <c r="AG230" s="1396"/>
      <c r="AH230" s="929">
        <f t="shared" ref="AH230" si="1218">+AH228*4/(100-4)</f>
        <v>141.25652839017366</v>
      </c>
      <c r="AI230" s="1403"/>
      <c r="AJ230" s="930">
        <f t="shared" ref="AJ230" si="1219">+AJ228*4/(100-4)</f>
        <v>881.68300941560631</v>
      </c>
      <c r="AK230" s="1396"/>
      <c r="AL230" s="929">
        <f t="shared" ref="AL230" si="1220">+AL228*4/(100-4)</f>
        <v>72.630496146852877</v>
      </c>
      <c r="AM230" s="1409"/>
      <c r="AN230" s="1086">
        <f t="shared" ref="AN230" si="1221">+AN228*4/(100-4)</f>
        <v>382.96692685961381</v>
      </c>
      <c r="AO230" s="1403"/>
      <c r="AP230" s="930">
        <f t="shared" ref="AP230" si="1222">+AP228*4/(100-4)</f>
        <v>954.33665560782413</v>
      </c>
      <c r="AQ230" s="1396"/>
      <c r="AR230" s="929">
        <f t="shared" ref="AR230" si="1223">+AR228*4/(100-4)</f>
        <v>200.34858294331787</v>
      </c>
      <c r="AS230" s="1403"/>
      <c r="AT230" s="930">
        <f t="shared" ref="AT230" si="1224">+AT228*4/(100-4)</f>
        <v>1154.6413214472991</v>
      </c>
      <c r="AU230" s="1396"/>
      <c r="AV230" s="929">
        <f t="shared" ref="AV230" si="1225">+AV228*4/(100-4)</f>
        <v>198.48309656364017</v>
      </c>
      <c r="AW230" s="1403"/>
      <c r="AX230" s="930">
        <f t="shared" ref="AX230" si="1226">+AX228*4/(100-4)</f>
        <v>1353.1473281759663</v>
      </c>
      <c r="AY230" s="1396"/>
      <c r="AZ230" s="929" t="e">
        <f t="shared" ref="AZ230" si="1227">+AZ228*4/(100-4)</f>
        <v>#REF!</v>
      </c>
      <c r="BA230" s="1409"/>
      <c r="BB230" s="1086" t="e">
        <f t="shared" ref="BB230" si="1228">+BB228*4/(100-4)</f>
        <v>#REF!</v>
      </c>
      <c r="BC230" s="1475"/>
      <c r="BD230" s="1142" t="e">
        <f t="shared" ref="BD230:BF230" si="1229">+BD228*4/(100-4)</f>
        <v>#REF!</v>
      </c>
      <c r="BE230" s="1403"/>
      <c r="BF230" s="930" t="e">
        <f t="shared" si="1229"/>
        <v>#REF!</v>
      </c>
    </row>
    <row r="231" spans="1:58" s="1385" customFormat="1" ht="15" hidden="1" customHeight="1" x14ac:dyDescent="0.25">
      <c r="A231" s="332"/>
      <c r="B231" s="1394" t="s">
        <v>1232</v>
      </c>
      <c r="C231" s="466" t="s">
        <v>53</v>
      </c>
      <c r="D231" s="1814"/>
      <c r="E231" s="1396"/>
      <c r="F231" s="929">
        <f>+F230*F225/(100-F225)</f>
        <v>9.761876664245932</v>
      </c>
      <c r="G231" s="1396"/>
      <c r="H231" s="929">
        <f>+H230*H225/(100-H225)</f>
        <v>6.1993554327808393</v>
      </c>
      <c r="I231" s="1403"/>
      <c r="J231" s="930">
        <f>+J230*J225/(100-J225)</f>
        <v>15.960776201733655</v>
      </c>
      <c r="K231" s="1396"/>
      <c r="L231" s="929">
        <f>+L230*L225/(100-L225)</f>
        <v>7.3694603057653474</v>
      </c>
      <c r="M231" s="1409"/>
      <c r="N231" s="1086">
        <f>+N230*N225/(100-N225)</f>
        <v>23.33024386212703</v>
      </c>
      <c r="O231" s="1396"/>
      <c r="P231" s="929">
        <f>+P230*P225/(100-P225)</f>
        <v>9.5638294138294011</v>
      </c>
      <c r="Q231" s="1403"/>
      <c r="R231" s="930">
        <f>+R230*R225/(100-R225)</f>
        <v>32.882013184697691</v>
      </c>
      <c r="S231" s="1396"/>
      <c r="T231" s="929">
        <f>+T230*T225/(100-T225)</f>
        <v>10.338312260038695</v>
      </c>
      <c r="U231" s="1403"/>
      <c r="V231" s="930">
        <f>+V230*V225/(100-V225)</f>
        <v>43.208351713506438</v>
      </c>
      <c r="W231" s="1396"/>
      <c r="X231" s="929">
        <f>+X230*X225/(100-X225)</f>
        <v>10.402758077226178</v>
      </c>
      <c r="Y231" s="1409"/>
      <c r="Z231" s="1086">
        <f>+Z230*Z225/(100-Z225)</f>
        <v>30.297487551928441</v>
      </c>
      <c r="AA231" s="1475"/>
      <c r="AB231" s="1142">
        <f>+AB230*AB225/(100-AB225)</f>
        <v>53.579398375435211</v>
      </c>
      <c r="AC231" s="1396"/>
      <c r="AD231" s="929">
        <f>+AD230*AD225/(100-AD225)</f>
        <v>22.893847078263491</v>
      </c>
      <c r="AE231" s="1403"/>
      <c r="AF231" s="930">
        <f>+AF230*AF225/(100-AF225)</f>
        <v>73.799378562094773</v>
      </c>
      <c r="AG231" s="1396"/>
      <c r="AH231" s="929">
        <f>+AH230*AH225/(100-AH225)</f>
        <v>18.855615045442278</v>
      </c>
      <c r="AI231" s="1403"/>
      <c r="AJ231" s="930">
        <f>+AJ230*AJ225/(100-AJ225)</f>
        <v>91.583434347952434</v>
      </c>
      <c r="AK231" s="1396"/>
      <c r="AL231" s="929">
        <f>+AL230*AL225/(100-AL225)</f>
        <v>6.9506905359771816</v>
      </c>
      <c r="AM231" s="1409"/>
      <c r="AN231" s="1086">
        <f>+AN230*AN225/(100-AN225)</f>
        <v>46.411171263244135</v>
      </c>
      <c r="AO231" s="1403"/>
      <c r="AP231" s="930">
        <f>+AP230*AP225/(100-AP225)</f>
        <v>98.237498473219361</v>
      </c>
      <c r="AQ231" s="1396"/>
      <c r="AR231" s="929">
        <f>+AR230*AR225/(100-AR225)</f>
        <v>19.387813456982755</v>
      </c>
      <c r="AS231" s="1403"/>
      <c r="AT231" s="930">
        <f>+AT230*AT225/(100-AT225)</f>
        <v>118.12582546016893</v>
      </c>
      <c r="AU231" s="1396"/>
      <c r="AV231" s="929">
        <f>+AV230*AV225/(100-AV225)</f>
        <v>42.792380175337641</v>
      </c>
      <c r="AW231" s="1403"/>
      <c r="AX231" s="930">
        <f>+AX230*AX225/(100-AX225)</f>
        <v>151.42250164726522</v>
      </c>
      <c r="AY231" s="1396"/>
      <c r="AZ231" s="929" t="e">
        <f>+AZ230*AZ225/(100-AZ225)</f>
        <v>#REF!</v>
      </c>
      <c r="BA231" s="1409"/>
      <c r="BB231" s="1086" t="e">
        <f>+BB230*BB225/(100-BB225)</f>
        <v>#REF!</v>
      </c>
      <c r="BC231" s="1475"/>
      <c r="BD231" s="1142" t="e">
        <f>+BD230*BD225/(100-BD225)</f>
        <v>#REF!</v>
      </c>
      <c r="BE231" s="1403"/>
      <c r="BF231" s="930" t="e">
        <f>+BF230*BF225/(100-BF225)</f>
        <v>#REF!</v>
      </c>
    </row>
    <row r="232" spans="1:58" s="1385" customFormat="1" ht="18.75" hidden="1" customHeight="1" x14ac:dyDescent="0.25">
      <c r="A232" s="332"/>
      <c r="B232" s="1397" t="s">
        <v>1273</v>
      </c>
      <c r="C232" s="466" t="s">
        <v>53</v>
      </c>
      <c r="D232" s="1814"/>
      <c r="E232" s="1399"/>
      <c r="F232" s="1400">
        <f t="shared" ref="F232" si="1230">SUM(F228:F231)</f>
        <v>2869.7916666666629</v>
      </c>
      <c r="G232" s="1399"/>
      <c r="H232" s="1400">
        <f t="shared" ref="H232" si="1231">SUM(H228:H231)</f>
        <v>1822.9166666666638</v>
      </c>
      <c r="I232" s="1404"/>
      <c r="J232" s="1405">
        <f t="shared" ref="J232" si="1232">SUM(J228:J231)</f>
        <v>4692.7083333333394</v>
      </c>
      <c r="K232" s="1399"/>
      <c r="L232" s="1400">
        <f t="shared" ref="L232" si="1233">SUM(L228:L231)</f>
        <v>2166.6666666666697</v>
      </c>
      <c r="M232" s="1410"/>
      <c r="N232" s="1411">
        <f t="shared" ref="N232" si="1234">SUM(N228:N231)</f>
        <v>6859.3750000000155</v>
      </c>
      <c r="O232" s="1399"/>
      <c r="P232" s="1400">
        <f t="shared" ref="P232" si="1235">SUM(P228:P231)</f>
        <v>2781.2499999999964</v>
      </c>
      <c r="Q232" s="1404"/>
      <c r="R232" s="1405">
        <f t="shared" ref="R232" si="1236">SUM(R228:R231)</f>
        <v>9640.6250000000073</v>
      </c>
      <c r="S232" s="1399"/>
      <c r="T232" s="1400">
        <f t="shared" ref="T232" si="1237">SUM(T228:T231)</f>
        <v>3005.2083333333358</v>
      </c>
      <c r="U232" s="1404"/>
      <c r="V232" s="1405">
        <f t="shared" ref="V232" si="1238">SUM(V228:V231)</f>
        <v>12645.833333333338</v>
      </c>
      <c r="W232" s="1399"/>
      <c r="X232" s="1400">
        <f t="shared" ref="X232" si="1239">SUM(X228:X231)</f>
        <v>2979.1666666666711</v>
      </c>
      <c r="Y232" s="1410"/>
      <c r="Z232" s="1411">
        <f t="shared" ref="Z232" si="1240">SUM(Z228:Z231)</f>
        <v>8765.62500000002</v>
      </c>
      <c r="AA232" s="1476"/>
      <c r="AB232" s="1477">
        <f t="shared" ref="AB232" si="1241">SUM(AB228:AB231)</f>
        <v>15625.00000000002</v>
      </c>
      <c r="AC232" s="1399"/>
      <c r="AD232" s="1400">
        <f t="shared" ref="AD232" si="1242">SUM(AD228:AD231)</f>
        <v>4799.2536052275791</v>
      </c>
      <c r="AE232" s="1404"/>
      <c r="AF232" s="1405">
        <f t="shared" ref="AF232" si="1243">SUM(AF228:AF231)</f>
        <v>20356.210016216963</v>
      </c>
      <c r="AG232" s="1399"/>
      <c r="AH232" s="1400">
        <f t="shared" ref="AH232" si="1244">SUM(AH228:AH231)</f>
        <v>4002.8035858903982</v>
      </c>
      <c r="AI232" s="1404"/>
      <c r="AJ232" s="1405">
        <f t="shared" ref="AJ232" si="1245">SUM(AJ228:AJ231)</f>
        <v>24331.66109408897</v>
      </c>
      <c r="AK232" s="1399"/>
      <c r="AL232" s="1400">
        <f t="shared" ref="AL232" si="1246">SUM(AL228:AL231)</f>
        <v>1989.5296670707517</v>
      </c>
      <c r="AM232" s="1410"/>
      <c r="AN232" s="1411">
        <f t="shared" ref="AN232" si="1247">SUM(AN228:AN231)</f>
        <v>10734.452453071448</v>
      </c>
      <c r="AO232" s="1404"/>
      <c r="AP232" s="1405">
        <f t="shared" ref="AP232" si="1248">SUM(AP228:AP231)</f>
        <v>26314.353852026088</v>
      </c>
      <c r="AQ232" s="1399"/>
      <c r="AR232" s="1400">
        <f t="shared" ref="AR232" si="1249">SUM(AR228:AR231)</f>
        <v>5493.4099100075155</v>
      </c>
      <c r="AS232" s="1404"/>
      <c r="AT232" s="1405">
        <f t="shared" ref="AT232" si="1250">SUM(AT228:AT231)</f>
        <v>31819.178672686699</v>
      </c>
      <c r="AU232" s="1399"/>
      <c r="AV232" s="1400">
        <f t="shared" ref="AV232" si="1251">SUM(AV228:AV231)</f>
        <v>6031.8869184744453</v>
      </c>
      <c r="AW232" s="1404"/>
      <c r="AX232" s="1405">
        <f t="shared" ref="AX232" si="1252">SUM(AX228:AX231)</f>
        <v>37614.245745580789</v>
      </c>
      <c r="AY232" s="1399"/>
      <c r="AZ232" s="1400" t="e">
        <f t="shared" ref="AZ232" si="1253">SUM(AZ228:AZ231)</f>
        <v>#REF!</v>
      </c>
      <c r="BA232" s="1410"/>
      <c r="BB232" s="1411" t="e">
        <f t="shared" ref="BB232" si="1254">SUM(BB228:BB231)</f>
        <v>#REF!</v>
      </c>
      <c r="BC232" s="1476"/>
      <c r="BD232" s="1477" t="e">
        <f t="shared" ref="BD232:BF232" si="1255">SUM(BD228:BD231)</f>
        <v>#REF!</v>
      </c>
      <c r="BE232" s="1404"/>
      <c r="BF232" s="1405" t="e">
        <f t="shared" si="1255"/>
        <v>#REF!</v>
      </c>
    </row>
    <row r="233" spans="1:58" s="1385" customFormat="1" ht="18.75" hidden="1" customHeight="1" x14ac:dyDescent="0.25">
      <c r="A233" s="332"/>
      <c r="B233" s="1397"/>
      <c r="C233" s="466"/>
      <c r="D233" s="1814"/>
      <c r="E233" s="1399"/>
      <c r="F233" s="1396"/>
      <c r="G233" s="1399"/>
      <c r="H233" s="1396"/>
      <c r="I233" s="1404"/>
      <c r="J233" s="1403"/>
      <c r="K233" s="1399"/>
      <c r="L233" s="1396"/>
      <c r="M233" s="1410"/>
      <c r="N233" s="1409"/>
      <c r="O233" s="1399"/>
      <c r="P233" s="1396"/>
      <c r="Q233" s="1404"/>
      <c r="R233" s="1403"/>
      <c r="S233" s="1399"/>
      <c r="T233" s="1396"/>
      <c r="U233" s="1404"/>
      <c r="V233" s="1403"/>
      <c r="W233" s="1399"/>
      <c r="X233" s="1396"/>
      <c r="Y233" s="1410"/>
      <c r="Z233" s="1409"/>
      <c r="AA233" s="1476"/>
      <c r="AB233" s="1475"/>
      <c r="AC233" s="1399"/>
      <c r="AD233" s="1396"/>
      <c r="AE233" s="1404"/>
      <c r="AF233" s="1403"/>
      <c r="AG233" s="1399"/>
      <c r="AH233" s="1396"/>
      <c r="AI233" s="1404"/>
      <c r="AJ233" s="1403"/>
      <c r="AK233" s="1399"/>
      <c r="AL233" s="1396"/>
      <c r="AM233" s="1410"/>
      <c r="AN233" s="1409"/>
      <c r="AO233" s="1404"/>
      <c r="AP233" s="1403"/>
      <c r="AQ233" s="1399"/>
      <c r="AR233" s="1396"/>
      <c r="AS233" s="1404"/>
      <c r="AT233" s="1403"/>
      <c r="AU233" s="1399"/>
      <c r="AV233" s="1396"/>
      <c r="AW233" s="1404"/>
      <c r="AX233" s="1403"/>
      <c r="AY233" s="1399"/>
      <c r="AZ233" s="1396"/>
      <c r="BA233" s="1410"/>
      <c r="BB233" s="1409"/>
      <c r="BC233" s="1476"/>
      <c r="BD233" s="1475"/>
      <c r="BE233" s="1404"/>
      <c r="BF233" s="1403"/>
    </row>
    <row r="234" spans="1:58" ht="15" hidden="1" customHeight="1" x14ac:dyDescent="0.25">
      <c r="B234" s="1397" t="s">
        <v>1231</v>
      </c>
      <c r="C234" s="466" t="s">
        <v>53</v>
      </c>
      <c r="D234" s="1814"/>
      <c r="E234" s="1396"/>
      <c r="F234" s="929">
        <f>+((100-'Maj Techno Summ'!F8)/100)*'COKE OVENS'!F14</f>
        <v>4959.9591565708715</v>
      </c>
      <c r="G234" s="1396"/>
      <c r="H234" s="929">
        <f>+((100-'Maj Techno Summ'!H8)/100)*'COKE OVENS'!H14</f>
        <v>4257.7357375400006</v>
      </c>
      <c r="I234" s="1403"/>
      <c r="J234" s="930">
        <f>+((100-'Maj Techno Summ'!J8)/100)*'COKE OVENS'!J14</f>
        <v>9217.6974844745928</v>
      </c>
      <c r="K234" s="1396"/>
      <c r="L234" s="929">
        <f>+((100-'Maj Techno Summ'!L8)/100)*'COKE OVENS'!L14</f>
        <v>4049.4640222334538</v>
      </c>
      <c r="M234" s="1409"/>
      <c r="N234" s="1086">
        <f>+((100-'Maj Techno Summ'!N8)/100)*'COKE OVENS'!N14</f>
        <v>13267.156424090796</v>
      </c>
      <c r="O234" s="1396"/>
      <c r="P234" s="929">
        <f>+((100-'Maj Techno Summ'!P8)/100)*'COKE OVENS'!P14</f>
        <v>3028.7566320201727</v>
      </c>
      <c r="Q234" s="1403"/>
      <c r="R234" s="930">
        <f>+((100-'Maj Techno Summ'!R8)/100)*'COKE OVENS'!R14</f>
        <v>16295.914911271893</v>
      </c>
      <c r="S234" s="1396"/>
      <c r="T234" s="929">
        <f>+((100-'Maj Techno Summ'!T8)/100)*'COKE OVENS'!T14</f>
        <v>4313.7677367212018</v>
      </c>
      <c r="U234" s="1403"/>
      <c r="V234" s="930">
        <f>+((100-'Maj Techno Summ'!V8)/100)*'COKE OVENS'!V14</f>
        <v>20609.682672196253</v>
      </c>
      <c r="W234" s="1396"/>
      <c r="X234" s="929">
        <f>+((100-'Maj Techno Summ'!X8)/100)*'COKE OVENS'!X14</f>
        <v>4826.8196615051484</v>
      </c>
      <c r="Y234" s="1409"/>
      <c r="Z234" s="1086">
        <f>+((100-'Maj Techno Summ'!Z8)/100)*'COKE OVENS'!Z14</f>
        <v>12169.345398135594</v>
      </c>
      <c r="AA234" s="1475"/>
      <c r="AB234" s="1142">
        <f>+((100-'Maj Techno Summ'!AB8)/100)*'COKE OVENS'!AB14</f>
        <v>25436.502649922004</v>
      </c>
      <c r="AC234" s="1396"/>
      <c r="AD234" s="929">
        <f>+((100-'Maj Techno Summ'!AD8)/100)*'COKE OVENS'!AD14</f>
        <v>7171.3385815683059</v>
      </c>
      <c r="AE234" s="1403"/>
      <c r="AF234" s="930">
        <f>+((100-'Maj Techno Summ'!AF8)/100)*'COKE OVENS'!AF14</f>
        <v>32607.843649576374</v>
      </c>
      <c r="AG234" s="1396"/>
      <c r="AH234" s="929">
        <f>+((100-'Maj Techno Summ'!AH8)/100)*'COKE OVENS'!AH14</f>
        <v>2205.0479753137365</v>
      </c>
      <c r="AI234" s="1403"/>
      <c r="AJ234" s="930">
        <f>+((100-'Maj Techno Summ'!AJ8)/100)*'COKE OVENS'!AJ14</f>
        <v>34812.918900361678</v>
      </c>
      <c r="AK234" s="1396"/>
      <c r="AL234" s="929">
        <f>+((100-'Maj Techno Summ'!AL8)/100)*'COKE OVENS'!AL14</f>
        <v>4663.7281904581869</v>
      </c>
      <c r="AM234" s="1409"/>
      <c r="AN234" s="1086">
        <f>+((100-'Maj Techno Summ'!AN8)/100)*'COKE OVENS'!AN14</f>
        <v>14040.146118468627</v>
      </c>
      <c r="AO234" s="1403"/>
      <c r="AP234" s="930">
        <f>+((100-'Maj Techno Summ'!AP8)/100)*'COKE OVENS'!AP14</f>
        <v>39476.647767419774</v>
      </c>
      <c r="AQ234" s="1396"/>
      <c r="AR234" s="929">
        <f>+((100-'Maj Techno Summ'!AR8)/100)*'COKE OVENS'!AR14</f>
        <v>6417.2721411605025</v>
      </c>
      <c r="AS234" s="1403"/>
      <c r="AT234" s="930">
        <f>+((100-'Maj Techno Summ'!AT8)/100)*'COKE OVENS'!AT14</f>
        <v>45893.933478229992</v>
      </c>
      <c r="AU234" s="1396"/>
      <c r="AV234" s="929">
        <f>+((100-'Maj Techno Summ'!AV8)/100)*'COKE OVENS'!AV14</f>
        <v>6050.6591302075667</v>
      </c>
      <c r="AW234" s="1403"/>
      <c r="AX234" s="930">
        <f>+((100-'Maj Techno Summ'!AX8)/100)*'COKE OVENS'!AX14</f>
        <v>51944.592424334136</v>
      </c>
      <c r="AY234" s="1396"/>
      <c r="AZ234" s="929" t="e">
        <f>+((100-'Maj Techno Summ'!#REF!)/100)*'COKE OVENS'!AZ14</f>
        <v>#REF!</v>
      </c>
      <c r="BA234" s="1409"/>
      <c r="BB234" s="1086" t="e">
        <f>+((100-'Maj Techno Summ'!#REF!)/100)*'COKE OVENS'!BB14</f>
        <v>#REF!</v>
      </c>
      <c r="BC234" s="1475"/>
      <c r="BD234" s="1142" t="e">
        <f>+((100-'Maj Techno Summ'!#REF!)/100)*'COKE OVENS'!BD14</f>
        <v>#REF!</v>
      </c>
      <c r="BE234" s="1403"/>
      <c r="BF234" s="930" t="e">
        <f>+((100-'Maj Techno Summ'!#REF!)/100)*'COKE OVENS'!BF14</f>
        <v>#REF!</v>
      </c>
    </row>
    <row r="235" spans="1:58" ht="15" hidden="1" customHeight="1" x14ac:dyDescent="0.25">
      <c r="B235" s="1394" t="s">
        <v>238</v>
      </c>
      <c r="C235" s="466" t="s">
        <v>53</v>
      </c>
      <c r="D235" s="1814"/>
      <c r="E235" s="1395"/>
      <c r="F235" s="1398">
        <f>+F234*F226/(100-F226)</f>
        <v>490.54084342912472</v>
      </c>
      <c r="G235" s="1395"/>
      <c r="H235" s="1398">
        <f>+H234*H226/(100-H226)</f>
        <v>421.06426246000507</v>
      </c>
      <c r="I235" s="1406"/>
      <c r="J235" s="1407">
        <f>+J234*J226/(100-J226)</f>
        <v>911.60251552536261</v>
      </c>
      <c r="K235" s="1395"/>
      <c r="L235" s="1398">
        <f>+L234*L226/(100-L226)</f>
        <v>400.53597776654846</v>
      </c>
      <c r="M235" s="1412"/>
      <c r="N235" s="1413">
        <f>+N234*N226/(100-N226)</f>
        <v>1312.1435759092194</v>
      </c>
      <c r="O235" s="1395"/>
      <c r="P235" s="1398">
        <f>+P234*P226/(100-P226)</f>
        <v>299.54336797980608</v>
      </c>
      <c r="Q235" s="1406"/>
      <c r="R235" s="1407">
        <f>+R234*R226/(100-R226)</f>
        <v>1611.6850887281389</v>
      </c>
      <c r="S235" s="1395"/>
      <c r="T235" s="1398">
        <f>+T234*T226/(100-T226)</f>
        <v>426.63226327881108</v>
      </c>
      <c r="U235" s="1406"/>
      <c r="V235" s="1407">
        <f>+V234*V226/(100-V226)</f>
        <v>2038.3173278037555</v>
      </c>
      <c r="W235" s="1395"/>
      <c r="X235" s="1398">
        <f>+X234*X226/(100-X226)</f>
        <v>477.38033849484754</v>
      </c>
      <c r="Y235" s="1412"/>
      <c r="Z235" s="1413">
        <f>+Z234*Z226/(100-Z226)</f>
        <v>1203.5546018643508</v>
      </c>
      <c r="AA235" s="1478"/>
      <c r="AB235" s="1479">
        <f>+AB234*AB226/(100-AB226)</f>
        <v>2515.6973500779545</v>
      </c>
      <c r="AC235" s="1395"/>
      <c r="AD235" s="1398">
        <f>+AD234*AD226/(100-AD226)</f>
        <v>164.00668812953072</v>
      </c>
      <c r="AE235" s="1406"/>
      <c r="AF235" s="1407">
        <f>+AF234*AF226/(100-AF226)</f>
        <v>2853.1468936242759</v>
      </c>
      <c r="AG235" s="1395"/>
      <c r="AH235" s="1398">
        <f>+AH234*AH226/(100-AH226)</f>
        <v>126.52459654189902</v>
      </c>
      <c r="AI235" s="1406"/>
      <c r="AJ235" s="1407">
        <f>+AJ234*AJ226/(100-AJ226)</f>
        <v>2913.2448976971436</v>
      </c>
      <c r="AK235" s="1395"/>
      <c r="AL235" s="1398">
        <f>+AL234*AL226/(100-AL226)</f>
        <v>484.77764906142153</v>
      </c>
      <c r="AM235" s="1412"/>
      <c r="AN235" s="1413">
        <f>+AN234*AN226/(100-AN226)</f>
        <v>861.744900879022</v>
      </c>
      <c r="AO235" s="1406"/>
      <c r="AP235" s="1407">
        <f>+AP234*AP226/(100-AP226)</f>
        <v>3395.7786246796418</v>
      </c>
      <c r="AQ235" s="1395"/>
      <c r="AR235" s="1398">
        <f>+AR234*AR226/(100-AR226)</f>
        <v>655.40021867812959</v>
      </c>
      <c r="AS235" s="1406"/>
      <c r="AT235" s="1407">
        <f>+AT234*AT226/(100-AT226)</f>
        <v>4024.475591300728</v>
      </c>
      <c r="AU235" s="1395"/>
      <c r="AV235" s="1398">
        <f>+AV234*AV226/(100-AV226)</f>
        <v>1321.4390558934435</v>
      </c>
      <c r="AW235" s="1406"/>
      <c r="AX235" s="1407">
        <f>+AX234*AX226/(100-AX226)</f>
        <v>5137.3798515388426</v>
      </c>
      <c r="AY235" s="1395"/>
      <c r="AZ235" s="1398" t="e">
        <f>+AZ234*AZ226/(100-AZ226)</f>
        <v>#REF!</v>
      </c>
      <c r="BA235" s="1412"/>
      <c r="BB235" s="1413" t="e">
        <f>+BB234*BB226/(100-BB226)</f>
        <v>#REF!</v>
      </c>
      <c r="BC235" s="1478"/>
      <c r="BD235" s="1479" t="e">
        <f>+BD234*BD226/(100-BD226)</f>
        <v>#REF!</v>
      </c>
      <c r="BE235" s="1406"/>
      <c r="BF235" s="1407" t="e">
        <f>+BF234*BF226/(100-BF226)</f>
        <v>#REF!</v>
      </c>
    </row>
    <row r="236" spans="1:58" ht="15" hidden="1" customHeight="1" x14ac:dyDescent="0.25">
      <c r="B236" s="1394" t="s">
        <v>1108</v>
      </c>
      <c r="C236" s="466" t="s">
        <v>53</v>
      </c>
      <c r="D236" s="1814"/>
      <c r="E236" s="1396"/>
      <c r="F236" s="929">
        <f t="shared" ref="F236" si="1256">+F234*4/(100-4)</f>
        <v>206.66496485711966</v>
      </c>
      <c r="G236" s="1396"/>
      <c r="H236" s="929">
        <f t="shared" ref="H236" si="1257">+H234*4/(100-4)</f>
        <v>177.40565573083336</v>
      </c>
      <c r="I236" s="1403"/>
      <c r="J236" s="930">
        <f t="shared" ref="J236" si="1258">+J234*4/(100-4)</f>
        <v>384.07072851977472</v>
      </c>
      <c r="K236" s="1396"/>
      <c r="L236" s="929">
        <f t="shared" ref="L236" si="1259">+L234*4/(100-4)</f>
        <v>168.72766759306057</v>
      </c>
      <c r="M236" s="1409"/>
      <c r="N236" s="1086">
        <f t="shared" ref="N236" si="1260">+N234*4/(100-4)</f>
        <v>552.79818433711648</v>
      </c>
      <c r="O236" s="1396"/>
      <c r="P236" s="929">
        <f t="shared" ref="P236" si="1261">+P234*4/(100-4)</f>
        <v>126.19819300084053</v>
      </c>
      <c r="Q236" s="1403"/>
      <c r="R236" s="930">
        <f t="shared" ref="R236" si="1262">+R234*4/(100-4)</f>
        <v>678.99645463632885</v>
      </c>
      <c r="S236" s="1396"/>
      <c r="T236" s="929">
        <f t="shared" ref="T236" si="1263">+T234*4/(100-4)</f>
        <v>179.7403223633834</v>
      </c>
      <c r="U236" s="1403"/>
      <c r="V236" s="930">
        <f t="shared" ref="V236" si="1264">+V234*4/(100-4)</f>
        <v>858.73677800817723</v>
      </c>
      <c r="W236" s="1396"/>
      <c r="X236" s="929">
        <f t="shared" ref="X236" si="1265">+X234*4/(100-4)</f>
        <v>201.11748589604784</v>
      </c>
      <c r="Y236" s="1409"/>
      <c r="Z236" s="1086">
        <f t="shared" ref="Z236" si="1266">+Z234*4/(100-4)</f>
        <v>507.05605825564976</v>
      </c>
      <c r="AA236" s="1475"/>
      <c r="AB236" s="1142">
        <f t="shared" ref="AB236" si="1267">+AB234*4/(100-4)</f>
        <v>1059.8542770800834</v>
      </c>
      <c r="AC236" s="1396"/>
      <c r="AD236" s="929">
        <f t="shared" ref="AD236" si="1268">+AD234*4/(100-4)</f>
        <v>298.80577423201277</v>
      </c>
      <c r="AE236" s="1403"/>
      <c r="AF236" s="930">
        <f t="shared" ref="AF236" si="1269">+AF234*4/(100-4)</f>
        <v>1358.6601520656823</v>
      </c>
      <c r="AG236" s="1396"/>
      <c r="AH236" s="929">
        <f t="shared" ref="AH236" si="1270">+AH234*4/(100-4)</f>
        <v>91.876998971405683</v>
      </c>
      <c r="AI236" s="1403"/>
      <c r="AJ236" s="930">
        <f t="shared" ref="AJ236" si="1271">+AJ234*4/(100-4)</f>
        <v>1450.5382875150699</v>
      </c>
      <c r="AK236" s="1396"/>
      <c r="AL236" s="929">
        <f t="shared" ref="AL236" si="1272">+AL234*4/(100-4)</f>
        <v>194.3220079357578</v>
      </c>
      <c r="AM236" s="1409"/>
      <c r="AN236" s="1086">
        <f t="shared" ref="AN236" si="1273">+AN234*4/(100-4)</f>
        <v>585.00608826952612</v>
      </c>
      <c r="AO236" s="1403"/>
      <c r="AP236" s="930">
        <f t="shared" ref="AP236" si="1274">+AP234*4/(100-4)</f>
        <v>1644.8603236424906</v>
      </c>
      <c r="AQ236" s="1396"/>
      <c r="AR236" s="929">
        <f t="shared" ref="AR236" si="1275">+AR234*4/(100-4)</f>
        <v>267.38633921502094</v>
      </c>
      <c r="AS236" s="1403"/>
      <c r="AT236" s="930">
        <f t="shared" ref="AT236" si="1276">+AT234*4/(100-4)</f>
        <v>1912.2472282595829</v>
      </c>
      <c r="AU236" s="1396"/>
      <c r="AV236" s="929">
        <f t="shared" ref="AV236" si="1277">+AV234*4/(100-4)</f>
        <v>252.11079709198194</v>
      </c>
      <c r="AW236" s="1403"/>
      <c r="AX236" s="930">
        <f t="shared" ref="AX236" si="1278">+AX234*4/(100-4)</f>
        <v>2164.358017680589</v>
      </c>
      <c r="AY236" s="1396"/>
      <c r="AZ236" s="929" t="e">
        <f t="shared" ref="AZ236" si="1279">+AZ234*4/(100-4)</f>
        <v>#REF!</v>
      </c>
      <c r="BA236" s="1409"/>
      <c r="BB236" s="1086" t="e">
        <f t="shared" ref="BB236" si="1280">+BB234*4/(100-4)</f>
        <v>#REF!</v>
      </c>
      <c r="BC236" s="1475"/>
      <c r="BD236" s="1142" t="e">
        <f t="shared" ref="BD236:BF236" si="1281">+BD234*4/(100-4)</f>
        <v>#REF!</v>
      </c>
      <c r="BE236" s="1403"/>
      <c r="BF236" s="930" t="e">
        <f t="shared" si="1281"/>
        <v>#REF!</v>
      </c>
    </row>
    <row r="237" spans="1:58" ht="15" hidden="1" customHeight="1" x14ac:dyDescent="0.25">
      <c r="B237" s="1394" t="s">
        <v>1232</v>
      </c>
      <c r="C237" s="466" t="s">
        <v>53</v>
      </c>
      <c r="D237" s="1814"/>
      <c r="E237" s="1396"/>
      <c r="F237" s="929">
        <f>+F236*F226/(100-F226)</f>
        <v>20.439201809546866</v>
      </c>
      <c r="G237" s="1396"/>
      <c r="H237" s="929">
        <f>+H236*H226/(100-H226)</f>
        <v>17.544344269166878</v>
      </c>
      <c r="I237" s="1403"/>
      <c r="J237" s="930">
        <f>+J236*J226/(100-J226)</f>
        <v>37.983438146890109</v>
      </c>
      <c r="K237" s="1396"/>
      <c r="L237" s="929">
        <f>+L236*L226/(100-L226)</f>
        <v>16.688999073606183</v>
      </c>
      <c r="M237" s="1409"/>
      <c r="N237" s="1086">
        <f>+N236*N226/(100-N226)</f>
        <v>54.672648996217482</v>
      </c>
      <c r="O237" s="1396"/>
      <c r="P237" s="929">
        <f>+P236*P226/(100-P226)</f>
        <v>12.480973665825253</v>
      </c>
      <c r="Q237" s="1403"/>
      <c r="R237" s="930">
        <f>+R236*R226/(100-R226)</f>
        <v>67.15354536367245</v>
      </c>
      <c r="S237" s="1396"/>
      <c r="T237" s="929">
        <f>+T236*T226/(100-T226)</f>
        <v>17.776344303283796</v>
      </c>
      <c r="U237" s="1403"/>
      <c r="V237" s="930">
        <f>+V236*V226/(100-V226)</f>
        <v>84.929888658489816</v>
      </c>
      <c r="W237" s="1396"/>
      <c r="X237" s="929">
        <f>+X236*X226/(100-X226)</f>
        <v>19.890847437285309</v>
      </c>
      <c r="Y237" s="1409"/>
      <c r="Z237" s="1086">
        <f>+Z236*Z226/(100-Z226)</f>
        <v>50.148108411014618</v>
      </c>
      <c r="AA237" s="1475"/>
      <c r="AB237" s="1142">
        <f>+AB236*AB226/(100-AB226)</f>
        <v>104.82072291991476</v>
      </c>
      <c r="AC237" s="1396"/>
      <c r="AD237" s="929">
        <f>+AD236*AD226/(100-AD226)</f>
        <v>6.8336120053971134</v>
      </c>
      <c r="AE237" s="1403"/>
      <c r="AF237" s="930">
        <f>+AF236*AF226/(100-AF226)</f>
        <v>118.88112056767818</v>
      </c>
      <c r="AG237" s="1396"/>
      <c r="AH237" s="929">
        <f>+AH236*AH226/(100-AH226)</f>
        <v>5.2718581892457923</v>
      </c>
      <c r="AI237" s="1403"/>
      <c r="AJ237" s="930">
        <f>+AJ236*AJ226/(100-AJ226)</f>
        <v>121.38520407071432</v>
      </c>
      <c r="AK237" s="1396"/>
      <c r="AL237" s="929">
        <f>+AL236*AL226/(100-AL226)</f>
        <v>20.199068710892565</v>
      </c>
      <c r="AM237" s="1409"/>
      <c r="AN237" s="1086">
        <f>+AN236*AN226/(100-AN226)</f>
        <v>35.906037536625924</v>
      </c>
      <c r="AO237" s="1403"/>
      <c r="AP237" s="930">
        <f>+AP236*AP226/(100-AP226)</f>
        <v>141.49077602831841</v>
      </c>
      <c r="AQ237" s="1396"/>
      <c r="AR237" s="929">
        <f>+AR236*AR226/(100-AR226)</f>
        <v>27.308342444922069</v>
      </c>
      <c r="AS237" s="1403"/>
      <c r="AT237" s="930">
        <f>+AT236*AT226/(100-AT226)</f>
        <v>167.68648297086364</v>
      </c>
      <c r="AU237" s="1396"/>
      <c r="AV237" s="929">
        <f>+AV236*AV226/(100-AV226)</f>
        <v>55.059960662226821</v>
      </c>
      <c r="AW237" s="1403"/>
      <c r="AX237" s="930">
        <f>+AX236*AX226/(100-AX226)</f>
        <v>214.05749381411849</v>
      </c>
      <c r="AY237" s="1396"/>
      <c r="AZ237" s="929" t="e">
        <f>+AZ236*AZ226/(100-AZ226)</f>
        <v>#REF!</v>
      </c>
      <c r="BA237" s="1409"/>
      <c r="BB237" s="1086" t="e">
        <f>+BB236*BB226/(100-BB226)</f>
        <v>#REF!</v>
      </c>
      <c r="BC237" s="1475"/>
      <c r="BD237" s="1142" t="e">
        <f>+BD236*BD226/(100-BD226)</f>
        <v>#REF!</v>
      </c>
      <c r="BE237" s="1403"/>
      <c r="BF237" s="930" t="e">
        <f>+BF236*BF226/(100-BF226)</f>
        <v>#REF!</v>
      </c>
    </row>
    <row r="238" spans="1:58" ht="18.75" hidden="1" customHeight="1" x14ac:dyDescent="0.25">
      <c r="B238" s="1397" t="s">
        <v>1273</v>
      </c>
      <c r="C238" s="466" t="s">
        <v>53</v>
      </c>
      <c r="D238" s="1814"/>
      <c r="E238" s="1399"/>
      <c r="F238" s="1400">
        <f t="shared" ref="F238" si="1282">SUM(F234:F237)</f>
        <v>5677.6041666666624</v>
      </c>
      <c r="G238" s="1399"/>
      <c r="H238" s="1400">
        <f t="shared" ref="H238" si="1283">SUM(H234:H237)</f>
        <v>4873.7500000000055</v>
      </c>
      <c r="I238" s="1404"/>
      <c r="J238" s="1405">
        <f t="shared" ref="J238" si="1284">SUM(J234:J237)</f>
        <v>10551.354166666621</v>
      </c>
      <c r="K238" s="1399"/>
      <c r="L238" s="1400">
        <f t="shared" ref="L238" si="1285">SUM(L234:L237)</f>
        <v>4635.4166666666688</v>
      </c>
      <c r="M238" s="1410"/>
      <c r="N238" s="1411">
        <f t="shared" ref="N238" si="1286">SUM(N234:N237)</f>
        <v>15186.770833333348</v>
      </c>
      <c r="O238" s="1399"/>
      <c r="P238" s="1400">
        <f t="shared" ref="P238" si="1287">SUM(P234:P237)</f>
        <v>3466.9791666666447</v>
      </c>
      <c r="Q238" s="1404"/>
      <c r="R238" s="1405">
        <f t="shared" ref="R238" si="1288">SUM(R234:R237)</f>
        <v>18653.750000000033</v>
      </c>
      <c r="S238" s="1399"/>
      <c r="T238" s="1400">
        <f t="shared" ref="T238" si="1289">SUM(T234:T237)</f>
        <v>4937.9166666666806</v>
      </c>
      <c r="U238" s="1404"/>
      <c r="V238" s="1405">
        <f t="shared" ref="V238" si="1290">SUM(V234:V237)</f>
        <v>23591.666666666675</v>
      </c>
      <c r="W238" s="1399"/>
      <c r="X238" s="1400">
        <f t="shared" ref="X238" si="1291">SUM(X234:X237)</f>
        <v>5525.2083333333294</v>
      </c>
      <c r="Y238" s="1410"/>
      <c r="Z238" s="1411">
        <f t="shared" ref="Z238" si="1292">SUM(Z234:Z237)</f>
        <v>13930.10416666661</v>
      </c>
      <c r="AA238" s="1476"/>
      <c r="AB238" s="1477">
        <f t="shared" ref="AB238" si="1293">SUM(AB234:AB237)</f>
        <v>29116.874999999956</v>
      </c>
      <c r="AC238" s="1399"/>
      <c r="AD238" s="1400">
        <f t="shared" ref="AD238" si="1294">SUM(AD234:AD237)</f>
        <v>7640.9846559352463</v>
      </c>
      <c r="AE238" s="1404"/>
      <c r="AF238" s="1405">
        <f t="shared" ref="AF238" si="1295">SUM(AF234:AF237)</f>
        <v>36938.531815834009</v>
      </c>
      <c r="AG238" s="1399"/>
      <c r="AH238" s="1400">
        <f t="shared" ref="AH238" si="1296">SUM(AH234:AH237)</f>
        <v>2428.7214290162869</v>
      </c>
      <c r="AI238" s="1404"/>
      <c r="AJ238" s="1405">
        <f t="shared" ref="AJ238" si="1297">SUM(AJ234:AJ237)</f>
        <v>39298.087289644602</v>
      </c>
      <c r="AK238" s="1399"/>
      <c r="AL238" s="1400">
        <f t="shared" ref="AL238" si="1298">SUM(AL234:AL237)</f>
        <v>5363.0269161662591</v>
      </c>
      <c r="AM238" s="1410"/>
      <c r="AN238" s="1411">
        <f t="shared" ref="AN238" si="1299">SUM(AN234:AN237)</f>
        <v>15522.803145153803</v>
      </c>
      <c r="AO238" s="1404"/>
      <c r="AP238" s="1405">
        <f t="shared" ref="AP238" si="1300">SUM(AP234:AP237)</f>
        <v>44658.777491770219</v>
      </c>
      <c r="AQ238" s="1399"/>
      <c r="AR238" s="1400">
        <f t="shared" ref="AR238" si="1301">SUM(AR234:AR237)</f>
        <v>7367.3670414985754</v>
      </c>
      <c r="AS238" s="1404"/>
      <c r="AT238" s="1405">
        <f t="shared" ref="AT238" si="1302">SUM(AT234:AT237)</f>
        <v>51998.342780761166</v>
      </c>
      <c r="AU238" s="1399"/>
      <c r="AV238" s="1400">
        <f t="shared" ref="AV238" si="1303">SUM(AV234:AV237)</f>
        <v>7679.2689438552197</v>
      </c>
      <c r="AW238" s="1404"/>
      <c r="AX238" s="1405">
        <f t="shared" ref="AX238" si="1304">SUM(AX234:AX237)</f>
        <v>59460.38778736769</v>
      </c>
      <c r="AY238" s="1399"/>
      <c r="AZ238" s="1400" t="e">
        <f t="shared" ref="AZ238" si="1305">SUM(AZ234:AZ237)</f>
        <v>#REF!</v>
      </c>
      <c r="BA238" s="1410"/>
      <c r="BB238" s="1411" t="e">
        <f t="shared" ref="BB238" si="1306">SUM(BB234:BB237)</f>
        <v>#REF!</v>
      </c>
      <c r="BC238" s="1476"/>
      <c r="BD238" s="1477" t="e">
        <f t="shared" ref="BD238:BF238" si="1307">SUM(BD234:BD237)</f>
        <v>#REF!</v>
      </c>
      <c r="BE238" s="1404"/>
      <c r="BF238" s="1405" t="e">
        <f t="shared" si="1307"/>
        <v>#REF!</v>
      </c>
    </row>
    <row r="239" spans="1:58" ht="21" hidden="1" customHeight="1" x14ac:dyDescent="0.25">
      <c r="B239" s="1401" t="s">
        <v>1233</v>
      </c>
      <c r="C239" s="466" t="s">
        <v>53</v>
      </c>
      <c r="D239" s="1814"/>
      <c r="E239" s="1402"/>
      <c r="F239" s="1402">
        <f t="shared" ref="F239" si="1308">+F232+F238</f>
        <v>8547.3958333333248</v>
      </c>
      <c r="G239" s="1402"/>
      <c r="H239" s="1402">
        <f t="shared" ref="H239" si="1309">+H232+H238</f>
        <v>6696.6666666666697</v>
      </c>
      <c r="I239" s="1408"/>
      <c r="J239" s="1408">
        <f t="shared" ref="J239" si="1310">+J232+J238</f>
        <v>15244.06249999996</v>
      </c>
      <c r="K239" s="1402"/>
      <c r="L239" s="1402">
        <f t="shared" ref="L239" si="1311">+L232+L238</f>
        <v>6802.0833333333385</v>
      </c>
      <c r="M239" s="1414"/>
      <c r="N239" s="1414">
        <f t="shared" ref="N239" si="1312">+N232+N238</f>
        <v>22046.145833333365</v>
      </c>
      <c r="O239" s="1402"/>
      <c r="P239" s="1402">
        <f t="shared" ref="P239" si="1313">+P232+P238</f>
        <v>6248.2291666666406</v>
      </c>
      <c r="Q239" s="1408"/>
      <c r="R239" s="1408">
        <f t="shared" ref="R239" si="1314">+R232+R238</f>
        <v>28294.37500000004</v>
      </c>
      <c r="S239" s="1402"/>
      <c r="T239" s="1402">
        <f t="shared" ref="T239" si="1315">+T232+T238</f>
        <v>7943.1250000000164</v>
      </c>
      <c r="U239" s="1408"/>
      <c r="V239" s="1408">
        <f t="shared" ref="V239" si="1316">+V232+V238</f>
        <v>36237.500000000015</v>
      </c>
      <c r="W239" s="1402"/>
      <c r="X239" s="1402">
        <f t="shared" ref="X239" si="1317">+X232+X238</f>
        <v>8504.375</v>
      </c>
      <c r="Y239" s="1414"/>
      <c r="Z239" s="1414">
        <f t="shared" ref="Z239" si="1318">+Z232+Z238</f>
        <v>22695.729166666628</v>
      </c>
      <c r="AA239" s="1480"/>
      <c r="AB239" s="1480">
        <f t="shared" ref="AB239" si="1319">+AB232+AB238</f>
        <v>44741.874999999978</v>
      </c>
      <c r="AC239" s="1402"/>
      <c r="AD239" s="1402">
        <f t="shared" ref="AD239" si="1320">+AD232+AD238</f>
        <v>12440.238261162825</v>
      </c>
      <c r="AE239" s="1408"/>
      <c r="AF239" s="1408">
        <f t="shared" ref="AF239" si="1321">+AF232+AF238</f>
        <v>57294.741832050975</v>
      </c>
      <c r="AG239" s="1402"/>
      <c r="AH239" s="1402">
        <f t="shared" ref="AH239" si="1322">+AH232+AH238</f>
        <v>6431.5250149066851</v>
      </c>
      <c r="AI239" s="1408"/>
      <c r="AJ239" s="1408">
        <f t="shared" ref="AJ239" si="1323">+AJ232+AJ238</f>
        <v>63629.748383733575</v>
      </c>
      <c r="AK239" s="1402"/>
      <c r="AL239" s="1402">
        <f t="shared" ref="AL239" si="1324">+AL232+AL238</f>
        <v>7352.5565832370103</v>
      </c>
      <c r="AM239" s="1414"/>
      <c r="AN239" s="1414">
        <f t="shared" ref="AN239" si="1325">+AN232+AN238</f>
        <v>26257.255598225252</v>
      </c>
      <c r="AO239" s="1408"/>
      <c r="AP239" s="1408">
        <f t="shared" ref="AP239" si="1326">+AP232+AP238</f>
        <v>70973.131343796311</v>
      </c>
      <c r="AQ239" s="1402"/>
      <c r="AR239" s="1402">
        <f t="shared" ref="AR239" si="1327">+AR232+AR238</f>
        <v>12860.77695150609</v>
      </c>
      <c r="AS239" s="1408"/>
      <c r="AT239" s="1408">
        <f t="shared" ref="AT239" si="1328">+AT232+AT238</f>
        <v>83817.521453447873</v>
      </c>
      <c r="AU239" s="1402"/>
      <c r="AV239" s="1402">
        <f t="shared" ref="AV239" si="1329">+AV232+AV238</f>
        <v>13711.155862329666</v>
      </c>
      <c r="AW239" s="1408"/>
      <c r="AX239" s="1408">
        <f t="shared" ref="AX239" si="1330">+AX232+AX238</f>
        <v>97074.633532948472</v>
      </c>
      <c r="AY239" s="1402"/>
      <c r="AZ239" s="1402" t="e">
        <f t="shared" ref="AZ239" si="1331">+AZ232+AZ238</f>
        <v>#REF!</v>
      </c>
      <c r="BA239" s="1414"/>
      <c r="BB239" s="1414" t="e">
        <f t="shared" ref="BB239" si="1332">+BB232+BB238</f>
        <v>#REF!</v>
      </c>
      <c r="BC239" s="1480"/>
      <c r="BD239" s="1480" t="e">
        <f t="shared" ref="BD239:BF239" si="1333">+BD232+BD238</f>
        <v>#REF!</v>
      </c>
      <c r="BE239" s="1408"/>
      <c r="BF239" s="1408" t="e">
        <f t="shared" si="1333"/>
        <v>#REF!</v>
      </c>
    </row>
    <row r="240" spans="1:58" ht="15" hidden="1" customHeight="1" x14ac:dyDescent="0.25">
      <c r="T240" s="200"/>
      <c r="V240" s="200"/>
      <c r="W240" s="189"/>
      <c r="X240" s="200"/>
      <c r="Y240" s="200"/>
      <c r="Z240" s="200"/>
      <c r="AA240" s="189"/>
      <c r="AB240" s="200"/>
      <c r="AD240" s="200"/>
      <c r="AE240" s="189"/>
      <c r="AF240" s="200"/>
      <c r="AG240" s="1726"/>
      <c r="AH240" s="200"/>
      <c r="AI240" s="189"/>
      <c r="AJ240" s="200"/>
      <c r="AK240" s="189"/>
      <c r="AL240" s="200"/>
      <c r="AM240" s="200"/>
      <c r="AN240" s="200"/>
      <c r="AO240" s="189"/>
      <c r="AP240" s="200"/>
      <c r="AQ240" s="189"/>
      <c r="AR240" s="200"/>
      <c r="AS240" s="189"/>
      <c r="AT240" s="200"/>
      <c r="AU240" s="189"/>
      <c r="AV240" s="200"/>
      <c r="AW240" s="189"/>
      <c r="AX240" s="200"/>
      <c r="AY240" s="189"/>
      <c r="AZ240" s="200"/>
      <c r="BA240" s="200"/>
      <c r="BB240" s="200"/>
      <c r="BC240" s="189"/>
      <c r="BD240" s="200"/>
      <c r="BE240" s="189"/>
      <c r="BF240" s="200"/>
    </row>
    <row r="241" spans="2:58" ht="15" hidden="1" customHeight="1" x14ac:dyDescent="0.25">
      <c r="T241" s="200"/>
      <c r="V241" s="200"/>
      <c r="W241" s="189"/>
      <c r="X241" s="200"/>
      <c r="Y241" s="200"/>
      <c r="Z241" s="200"/>
      <c r="AA241" s="189"/>
      <c r="AB241" s="200"/>
      <c r="AD241" s="200"/>
      <c r="AE241" s="189"/>
      <c r="AF241" s="200"/>
      <c r="AG241" s="1726"/>
      <c r="AH241" s="200"/>
      <c r="AI241" s="189"/>
      <c r="AJ241" s="200"/>
      <c r="AK241" s="189"/>
      <c r="AL241" s="200"/>
      <c r="AM241" s="200"/>
      <c r="AN241" s="200"/>
      <c r="AO241" s="189"/>
      <c r="AP241" s="200"/>
      <c r="AQ241" s="189"/>
      <c r="AR241" s="200"/>
      <c r="AS241" s="189"/>
      <c r="AT241" s="200"/>
      <c r="AU241" s="189"/>
      <c r="AV241" s="200"/>
      <c r="AW241" s="189"/>
      <c r="AX241" s="200"/>
      <c r="AY241" s="189"/>
      <c r="AZ241" s="200"/>
      <c r="BA241" s="200"/>
      <c r="BB241" s="200"/>
      <c r="BC241" s="189"/>
      <c r="BD241" s="200"/>
      <c r="BE241" s="189"/>
      <c r="BF241" s="200"/>
    </row>
    <row r="242" spans="2:58" ht="15" hidden="1" customHeight="1" x14ac:dyDescent="0.25">
      <c r="B242" s="1397" t="s">
        <v>1235</v>
      </c>
      <c r="C242" s="466" t="s">
        <v>53</v>
      </c>
      <c r="D242" s="1814"/>
      <c r="E242" s="1396"/>
      <c r="F242" s="929">
        <f>+('Maj Techno Summ'!F7/100)*'COKE OVENS'!F13</f>
        <v>47875.285039941904</v>
      </c>
      <c r="G242" s="1396"/>
      <c r="H242" s="929">
        <f>+('Maj Techno Summ'!H7/100)*'COKE OVENS'!H13</f>
        <v>50566.384530386742</v>
      </c>
      <c r="I242" s="1403"/>
      <c r="J242" s="930">
        <f>+('Maj Techno Summ'!J7/100)*'COKE OVENS'!J13</f>
        <v>98441.6586288416</v>
      </c>
      <c r="K242" s="1396"/>
      <c r="L242" s="929">
        <f>+('Maj Techno Summ'!L7/100)*'COKE OVENS'!L13</f>
        <v>47770.467047338359</v>
      </c>
      <c r="M242" s="1409"/>
      <c r="N242" s="1086">
        <f>+('Maj Techno Summ'!N7/100)*'COKE OVENS'!N13</f>
        <v>146212.12585269104</v>
      </c>
      <c r="O242" s="1396"/>
      <c r="P242" s="929">
        <f>+('Maj Techno Summ'!P7/100)*'COKE OVENS'!P13</f>
        <v>49641.131905931914</v>
      </c>
      <c r="Q242" s="1403"/>
      <c r="R242" s="930">
        <f>+('Maj Techno Summ'!R7/100)*'COKE OVENS'!R13</f>
        <v>195852.96831643276</v>
      </c>
      <c r="S242" s="1396"/>
      <c r="T242" s="929">
        <f>+('Maj Techno Summ'!T7/100)*'COKE OVENS'!T13</f>
        <v>50132.719494240926</v>
      </c>
      <c r="U242" s="1403"/>
      <c r="V242" s="930">
        <f>+('Maj Techno Summ'!V7/100)*'COKE OVENS'!V13</f>
        <v>245985.40044112419</v>
      </c>
      <c r="W242" s="1396"/>
      <c r="X242" s="929">
        <f>+('Maj Techno Summ'!X7/100)*'COKE OVENS'!X13</f>
        <v>47579.266193853422</v>
      </c>
      <c r="Y242" s="1409"/>
      <c r="Z242" s="1086">
        <f>+('Maj Techno Summ'!Z7/100)*'COKE OVENS'!Z13</f>
        <v>147352.93970124624</v>
      </c>
      <c r="AA242" s="1475"/>
      <c r="AB242" s="1142">
        <f>+('Maj Techno Summ'!AB7/100)*'COKE OVENS'!AB13</f>
        <v>293563.90556101041</v>
      </c>
      <c r="AC242" s="1396"/>
      <c r="AD242" s="929">
        <f>+('Maj Techno Summ'!AD7/100)*'COKE OVENS'!AD13</f>
        <v>46699.368868859849</v>
      </c>
      <c r="AE242" s="1403"/>
      <c r="AF242" s="930">
        <f>+('Maj Techno Summ'!AF7/100)*'COKE OVENS'!AF13</f>
        <v>340264.42346992198</v>
      </c>
      <c r="AG242" s="1396"/>
      <c r="AH242" s="929">
        <f>+('Maj Techno Summ'!AH7/100)*'COKE OVENS'!AH13</f>
        <v>47453.043318635828</v>
      </c>
      <c r="AI242" s="1403"/>
      <c r="AJ242" s="930">
        <f>+('Maj Techno Summ'!AJ7/100)*'COKE OVENS'!AJ13</f>
        <v>387718.00777402549</v>
      </c>
      <c r="AK242" s="1396"/>
      <c r="AL242" s="929">
        <f>+('Maj Techno Summ'!AL7/100)*'COKE OVENS'!AL13</f>
        <v>51095.268092475526</v>
      </c>
      <c r="AM242" s="1409"/>
      <c r="AN242" s="1086">
        <f>+('Maj Techno Summ'!AN7/100)*'COKE OVENS'!AN13</f>
        <v>145247.59375536925</v>
      </c>
      <c r="AO242" s="1403"/>
      <c r="AP242" s="930">
        <f>+('Maj Techno Summ'!AP7/100)*'COKE OVENS'!AP13</f>
        <v>438812.7202654123</v>
      </c>
      <c r="AQ242" s="1396"/>
      <c r="AR242" s="929">
        <f>+('Maj Techno Summ'!AR7/100)*'COKE OVENS'!AR13</f>
        <v>47978.434009360368</v>
      </c>
      <c r="AS242" s="1403"/>
      <c r="AT242" s="930">
        <f>+('Maj Techno Summ'!AT7/100)*'COKE OVENS'!AT13</f>
        <v>486792.20828526485</v>
      </c>
      <c r="AU242" s="1396"/>
      <c r="AV242" s="929">
        <f>+('Maj Techno Summ'!AV7/100)*'COKE OVENS'!AV13</f>
        <v>42863.205682472631</v>
      </c>
      <c r="AW242" s="1403"/>
      <c r="AX242" s="930">
        <f>+('Maj Techno Summ'!AX7/100)*'COKE OVENS'!AX13</f>
        <v>529654.86412377679</v>
      </c>
      <c r="AY242" s="1396"/>
      <c r="AZ242" s="929" t="e">
        <f>+('Maj Techno Summ'!#REF!/100)*'COKE OVENS'!AZ13</f>
        <v>#REF!</v>
      </c>
      <c r="BA242" s="1409"/>
      <c r="BB242" s="1086" t="e">
        <f>+('Maj Techno Summ'!#REF!/100)*'COKE OVENS'!BB13</f>
        <v>#REF!</v>
      </c>
      <c r="BC242" s="1475"/>
      <c r="BD242" s="1142" t="e">
        <f>+('Maj Techno Summ'!#REF!/100)*'COKE OVENS'!BD13</f>
        <v>#REF!</v>
      </c>
      <c r="BE242" s="1403"/>
      <c r="BF242" s="930" t="e">
        <f>+('Maj Techno Summ'!#REF!/100)*'COKE OVENS'!BF13</f>
        <v>#REF!</v>
      </c>
    </row>
    <row r="243" spans="2:58" ht="15" hidden="1" customHeight="1" x14ac:dyDescent="0.25">
      <c r="B243" s="1394" t="s">
        <v>238</v>
      </c>
      <c r="C243" s="466" t="s">
        <v>53</v>
      </c>
      <c r="D243" s="1814"/>
      <c r="E243" s="1396"/>
      <c r="F243" s="929">
        <f>+F242*F225/(100-F225)</f>
        <v>4449.7149600580979</v>
      </c>
      <c r="G243" s="1396"/>
      <c r="H243" s="929">
        <f>+H242*H225/(100-H225)</f>
        <v>4698.6154696132617</v>
      </c>
      <c r="I243" s="1403"/>
      <c r="J243" s="930">
        <f>+J242*J225/(100-J225)</f>
        <v>9148.3413711583835</v>
      </c>
      <c r="K243" s="1396"/>
      <c r="L243" s="929">
        <f>+L242*L225/(100-L225)</f>
        <v>4439.5329526616324</v>
      </c>
      <c r="M243" s="1409"/>
      <c r="N243" s="1086">
        <f>+N242*N225/(100-N225)</f>
        <v>13587.874147308939</v>
      </c>
      <c r="O243" s="1396"/>
      <c r="P243" s="929">
        <f>+P242*P225/(100-P225)</f>
        <v>4668.8680940680961</v>
      </c>
      <c r="Q243" s="1403"/>
      <c r="R243" s="930">
        <f>+R242*R225/(100-R225)</f>
        <v>18257.031683567238</v>
      </c>
      <c r="S243" s="1396"/>
      <c r="T243" s="929">
        <f>+T242*T225/(100-T225)</f>
        <v>4717.2805057590722</v>
      </c>
      <c r="U243" s="1403"/>
      <c r="V243" s="930">
        <f>+V242*V225/(100-V225)</f>
        <v>22974.599558875823</v>
      </c>
      <c r="W243" s="1396"/>
      <c r="X243" s="929">
        <f>+X242*X225/(100-X225)</f>
        <v>4550.7338061465725</v>
      </c>
      <c r="Y243" s="1409"/>
      <c r="Z243" s="1086">
        <f>+Z242*Z225/(100-Z225)</f>
        <v>13937.060298753726</v>
      </c>
      <c r="AA243" s="1475"/>
      <c r="AB243" s="1142">
        <f>+AB242*AB225/(100-AB225)</f>
        <v>27526.094438989556</v>
      </c>
      <c r="AC243" s="1396"/>
      <c r="AD243" s="929">
        <f>+AD242*AD225/(100-AD225)</f>
        <v>6323.3476701216787</v>
      </c>
      <c r="AE243" s="1403"/>
      <c r="AF243" s="930">
        <f>+AF242*AF225/(100-AF225)</f>
        <v>33913.614914509715</v>
      </c>
      <c r="AG243" s="1396"/>
      <c r="AH243" s="929">
        <f>+AH242*AH225/(100-AH225)</f>
        <v>6334.2652389093873</v>
      </c>
      <c r="AI243" s="1403"/>
      <c r="AJ243" s="930">
        <f>+AJ242*AJ225/(100-AJ225)</f>
        <v>40273.597575649117</v>
      </c>
      <c r="AK243" s="1396"/>
      <c r="AL243" s="929">
        <f>+AL242*AL225/(100-AL225)</f>
        <v>4889.7834271365537</v>
      </c>
      <c r="AM243" s="1409"/>
      <c r="AN243" s="1086">
        <f>+AN242*AN225/(100-AN225)</f>
        <v>17602.331889682147</v>
      </c>
      <c r="AO243" s="1403"/>
      <c r="AP243" s="930">
        <f>+AP242*AP225/(100-AP225)</f>
        <v>45170.500036642683</v>
      </c>
      <c r="AQ243" s="1396"/>
      <c r="AR243" s="929">
        <f>+AR242*AR225/(100-AR225)</f>
        <v>4642.8924770324193</v>
      </c>
      <c r="AS243" s="1403"/>
      <c r="AT243" s="930">
        <f>+AT242*AT225/(100-AT225)</f>
        <v>49801.380188955911</v>
      </c>
      <c r="AU243" s="1396"/>
      <c r="AV243" s="929">
        <f>+AV242*AV225/(100-AV225)</f>
        <v>9241.1828757918993</v>
      </c>
      <c r="AW243" s="1403"/>
      <c r="AX243" s="930">
        <f>+AX242*AX225/(100-AX225)</f>
        <v>59270.459960465603</v>
      </c>
      <c r="AY243" s="1396"/>
      <c r="AZ243" s="929" t="e">
        <f>+AZ242*AZ225/(100-AZ225)</f>
        <v>#REF!</v>
      </c>
      <c r="BA243" s="1409"/>
      <c r="BB243" s="1086" t="e">
        <f>+BB242*BB225/(100-BB225)</f>
        <v>#REF!</v>
      </c>
      <c r="BC243" s="1475"/>
      <c r="BD243" s="1142" t="e">
        <f>+BD242*BD225/(100-BD225)</f>
        <v>#REF!</v>
      </c>
      <c r="BE243" s="1403"/>
      <c r="BF243" s="930" t="e">
        <f>+BF242*BF225/(100-BF225)</f>
        <v>#REF!</v>
      </c>
    </row>
    <row r="244" spans="2:58" ht="15" hidden="1" customHeight="1" x14ac:dyDescent="0.25">
      <c r="B244" s="1394" t="s">
        <v>1108</v>
      </c>
      <c r="C244" s="466" t="s">
        <v>53</v>
      </c>
      <c r="D244" s="1814"/>
      <c r="E244" s="1396"/>
      <c r="F244" s="929">
        <f t="shared" ref="F244" si="1334">+F242*3/(100-3)</f>
        <v>1480.6789187610898</v>
      </c>
      <c r="G244" s="1396"/>
      <c r="H244" s="929">
        <f t="shared" ref="H244" si="1335">+H242*3/(100-3)</f>
        <v>1563.9087999088683</v>
      </c>
      <c r="I244" s="1403"/>
      <c r="J244" s="930">
        <f t="shared" ref="J244" si="1336">+J242*3/(100-3)</f>
        <v>3044.5873802734513</v>
      </c>
      <c r="K244" s="1396"/>
      <c r="L244" s="929">
        <f t="shared" ref="L244" si="1337">+L242*3/(100-3)</f>
        <v>1477.437125175413</v>
      </c>
      <c r="M244" s="1409"/>
      <c r="N244" s="1086">
        <f t="shared" ref="N244" si="1338">+N242*3/(100-3)</f>
        <v>4522.0245109079706</v>
      </c>
      <c r="O244" s="1396"/>
      <c r="P244" s="929">
        <f t="shared" ref="P244" si="1339">+P242*3/(100-3)</f>
        <v>1535.292739358719</v>
      </c>
      <c r="Q244" s="1403"/>
      <c r="R244" s="930">
        <f t="shared" ref="R244" si="1340">+R242*3/(100-3)</f>
        <v>6057.3082984463736</v>
      </c>
      <c r="S244" s="1396"/>
      <c r="T244" s="929">
        <f t="shared" ref="T244" si="1341">+T242*3/(100-3)</f>
        <v>1550.4964792033275</v>
      </c>
      <c r="U244" s="1403"/>
      <c r="V244" s="930">
        <f t="shared" ref="V244" si="1342">+V242*3/(100-3)</f>
        <v>7607.7958899316754</v>
      </c>
      <c r="W244" s="1396"/>
      <c r="X244" s="929">
        <f t="shared" ref="X244" si="1343">+X242*3/(100-3)</f>
        <v>1471.5236967171161</v>
      </c>
      <c r="Y244" s="1409"/>
      <c r="Z244" s="1086">
        <f t="shared" ref="Z244" si="1344">+Z242*3/(100-3)</f>
        <v>4557.3074134406061</v>
      </c>
      <c r="AA244" s="1475"/>
      <c r="AB244" s="1142">
        <f t="shared" ref="AB244" si="1345">+AB242*3/(100-3)</f>
        <v>9079.296048278673</v>
      </c>
      <c r="AC244" s="1396"/>
      <c r="AD244" s="929">
        <f t="shared" ref="AD244" si="1346">+AD242*3/(100-3)</f>
        <v>1444.3103773874182</v>
      </c>
      <c r="AE244" s="1403"/>
      <c r="AF244" s="930">
        <f t="shared" ref="AF244" si="1347">+AF242*3/(100-3)</f>
        <v>10523.641962987278</v>
      </c>
      <c r="AG244" s="1396"/>
      <c r="AH244" s="929">
        <f t="shared" ref="AH244" si="1348">+AH242*3/(100-3)</f>
        <v>1467.6198964526543</v>
      </c>
      <c r="AI244" s="1403"/>
      <c r="AJ244" s="930">
        <f t="shared" ref="AJ244" si="1349">+AJ242*3/(100-3)</f>
        <v>11991.278590949243</v>
      </c>
      <c r="AK244" s="1396"/>
      <c r="AL244" s="929">
        <f t="shared" ref="AL244" si="1350">+AL242*3/(100-3)</f>
        <v>1580.2660234786244</v>
      </c>
      <c r="AM244" s="1409"/>
      <c r="AN244" s="1086">
        <f t="shared" ref="AN244" si="1351">+AN242*3/(100-3)</f>
        <v>4492.1936213000799</v>
      </c>
      <c r="AO244" s="1403"/>
      <c r="AP244" s="930">
        <f t="shared" ref="AP244" si="1352">+AP242*3/(100-3)</f>
        <v>13571.52743088904</v>
      </c>
      <c r="AQ244" s="1396"/>
      <c r="AR244" s="929">
        <f t="shared" ref="AR244" si="1353">+AR242*3/(100-3)</f>
        <v>1483.8690930730008</v>
      </c>
      <c r="AS244" s="1403"/>
      <c r="AT244" s="930">
        <f t="shared" ref="AT244" si="1354">+AT242*3/(100-3)</f>
        <v>15055.429122224685</v>
      </c>
      <c r="AU244" s="1396"/>
      <c r="AV244" s="929">
        <f t="shared" ref="AV244" si="1355">+AV242*3/(100-3)</f>
        <v>1325.6661551280195</v>
      </c>
      <c r="AW244" s="1403"/>
      <c r="AX244" s="930">
        <f t="shared" ref="AX244" si="1356">+AX242*3/(100-3)</f>
        <v>16381.078271869384</v>
      </c>
      <c r="AY244" s="1396"/>
      <c r="AZ244" s="929" t="e">
        <f t="shared" ref="AZ244" si="1357">+AZ242*3/(100-3)</f>
        <v>#REF!</v>
      </c>
      <c r="BA244" s="1409"/>
      <c r="BB244" s="1086" t="e">
        <f t="shared" ref="BB244" si="1358">+BB242*3/(100-3)</f>
        <v>#REF!</v>
      </c>
      <c r="BC244" s="1475"/>
      <c r="BD244" s="1142" t="e">
        <f t="shared" ref="BD244:BF244" si="1359">+BD242*3/(100-3)</f>
        <v>#REF!</v>
      </c>
      <c r="BE244" s="1403"/>
      <c r="BF244" s="930" t="e">
        <f t="shared" si="1359"/>
        <v>#REF!</v>
      </c>
    </row>
    <row r="245" spans="2:58" ht="15" hidden="1" customHeight="1" x14ac:dyDescent="0.25">
      <c r="B245" s="1394" t="s">
        <v>1232</v>
      </c>
      <c r="C245" s="466" t="s">
        <v>53</v>
      </c>
      <c r="D245" s="1814"/>
      <c r="E245" s="1396"/>
      <c r="F245" s="929">
        <f>+F244*F225/(100-F225)</f>
        <v>137.62005031107518</v>
      </c>
      <c r="G245" s="1396"/>
      <c r="H245" s="929">
        <f>+H244*H225/(100-H225)</f>
        <v>145.31800421484314</v>
      </c>
      <c r="I245" s="1403"/>
      <c r="J245" s="930">
        <f>+J244*J225/(100-J225)</f>
        <v>282.93839292242421</v>
      </c>
      <c r="K245" s="1396"/>
      <c r="L245" s="929">
        <f>+L244*L225/(100-L225)</f>
        <v>137.30514286582365</v>
      </c>
      <c r="M245" s="1409"/>
      <c r="N245" s="1086">
        <f>+N244*N225/(100-N225)</f>
        <v>420.24353032914246</v>
      </c>
      <c r="O245" s="1396"/>
      <c r="P245" s="929">
        <f>+P244*P225/(100-P225)</f>
        <v>144.39798229076587</v>
      </c>
      <c r="Q245" s="1403"/>
      <c r="R245" s="930">
        <f>+R244*R225/(100-R225)</f>
        <v>564.6504644402238</v>
      </c>
      <c r="S245" s="1396"/>
      <c r="T245" s="929">
        <f>+T244*T225/(100-T225)</f>
        <v>145.89527337399193</v>
      </c>
      <c r="U245" s="1403"/>
      <c r="V245" s="930">
        <f>+V244*V225/(100-V225)</f>
        <v>710.55462553224186</v>
      </c>
      <c r="W245" s="1396"/>
      <c r="X245" s="929">
        <f>+X244*X225/(100-X225)</f>
        <v>140.74434451999707</v>
      </c>
      <c r="Y245" s="1409"/>
      <c r="Z245" s="1086">
        <f>+Z244*Z225/(100-Z225)</f>
        <v>431.04310202331123</v>
      </c>
      <c r="AA245" s="1475"/>
      <c r="AB245" s="1142">
        <f>+AB244*AB225/(100-AB225)</f>
        <v>851.32250842235737</v>
      </c>
      <c r="AC245" s="1396"/>
      <c r="AD245" s="929">
        <f>+AD244*AD225/(100-AD225)</f>
        <v>195.56745371510348</v>
      </c>
      <c r="AE245" s="1403"/>
      <c r="AF245" s="930">
        <f>+AF244*AF225/(100-AF225)</f>
        <v>1048.87468807762</v>
      </c>
      <c r="AG245" s="1396"/>
      <c r="AH245" s="929">
        <f>+AH244*AH225/(100-AH225)</f>
        <v>195.9051104817336</v>
      </c>
      <c r="AI245" s="1403"/>
      <c r="AJ245" s="930">
        <f>+AJ244*AJ225/(100-AJ225)</f>
        <v>1245.5751827520346</v>
      </c>
      <c r="AK245" s="1396"/>
      <c r="AL245" s="929">
        <f>+AL244*AL225/(100-AL225)</f>
        <v>151.23041527226454</v>
      </c>
      <c r="AM245" s="1409"/>
      <c r="AN245" s="1086">
        <f>+AN244*AN225/(100-AN225)</f>
        <v>544.40201720666448</v>
      </c>
      <c r="AO245" s="1403"/>
      <c r="AP245" s="930">
        <f>+AP244*AP225/(100-AP225)</f>
        <v>1397.0257743291552</v>
      </c>
      <c r="AQ245" s="1396"/>
      <c r="AR245" s="929">
        <f>+AR244*AR225/(100-AR225)</f>
        <v>143.59461269172428</v>
      </c>
      <c r="AS245" s="1403"/>
      <c r="AT245" s="930">
        <f>+AT244*AT225/(100-AT225)</f>
        <v>1540.2488718233787</v>
      </c>
      <c r="AU245" s="1396"/>
      <c r="AV245" s="929">
        <f>+AV244*AV225/(100-AV225)</f>
        <v>285.80977966366697</v>
      </c>
      <c r="AW245" s="1403"/>
      <c r="AX245" s="930">
        <f>+AX244*AX225/(100-AX225)</f>
        <v>1833.1070090865651</v>
      </c>
      <c r="AY245" s="1396"/>
      <c r="AZ245" s="929" t="e">
        <f>+AZ244*AZ225/(100-AZ225)</f>
        <v>#REF!</v>
      </c>
      <c r="BA245" s="1409"/>
      <c r="BB245" s="1086" t="e">
        <f>+BB244*BB225/(100-BB225)</f>
        <v>#REF!</v>
      </c>
      <c r="BC245" s="1475"/>
      <c r="BD245" s="1142" t="e">
        <f>+BD244*BD225/(100-BD225)</f>
        <v>#REF!</v>
      </c>
      <c r="BE245" s="1403"/>
      <c r="BF245" s="930" t="e">
        <f>+BF244*BF225/(100-BF225)</f>
        <v>#REF!</v>
      </c>
    </row>
    <row r="246" spans="2:58" ht="18.75" hidden="1" customHeight="1" x14ac:dyDescent="0.25">
      <c r="B246" s="1397" t="s">
        <v>1273</v>
      </c>
      <c r="C246" s="466" t="s">
        <v>53</v>
      </c>
      <c r="D246" s="1814"/>
      <c r="E246" s="1399"/>
      <c r="F246" s="1400">
        <f t="shared" ref="F246" si="1360">SUM(F242:F245)</f>
        <v>53943.298969072166</v>
      </c>
      <c r="G246" s="1399"/>
      <c r="H246" s="1400">
        <f t="shared" ref="H246" si="1361">SUM(H242:H245)</f>
        <v>56974.226804123711</v>
      </c>
      <c r="I246" s="1404"/>
      <c r="J246" s="1405">
        <f t="shared" ref="J246" si="1362">SUM(J242:J245)</f>
        <v>110917.52577319587</v>
      </c>
      <c r="K246" s="1399"/>
      <c r="L246" s="1400">
        <f t="shared" ref="L246" si="1363">SUM(L242:L245)</f>
        <v>53824.742268041227</v>
      </c>
      <c r="M246" s="1410"/>
      <c r="N246" s="1411">
        <f t="shared" ref="N246" si="1364">SUM(N242:N245)</f>
        <v>164742.26804123708</v>
      </c>
      <c r="O246" s="1399"/>
      <c r="P246" s="1400">
        <f t="shared" ref="P246" si="1365">SUM(P242:P245)</f>
        <v>55989.690721649487</v>
      </c>
      <c r="Q246" s="1404"/>
      <c r="R246" s="1405">
        <f t="shared" ref="R246" si="1366">SUM(R242:R245)</f>
        <v>220731.95876288661</v>
      </c>
      <c r="S246" s="1399"/>
      <c r="T246" s="1400">
        <f t="shared" ref="T246" si="1367">SUM(T242:T245)</f>
        <v>56546.391752577321</v>
      </c>
      <c r="U246" s="1404"/>
      <c r="V246" s="1405">
        <f t="shared" ref="V246" si="1368">SUM(V242:V245)</f>
        <v>277278.35051546391</v>
      </c>
      <c r="W246" s="1399"/>
      <c r="X246" s="1400">
        <f t="shared" ref="X246" si="1369">SUM(X242:X245)</f>
        <v>53742.268041237105</v>
      </c>
      <c r="Y246" s="1410"/>
      <c r="Z246" s="1411">
        <f t="shared" ref="Z246" si="1370">SUM(Z242:Z245)</f>
        <v>166278.35051546388</v>
      </c>
      <c r="AA246" s="1476"/>
      <c r="AB246" s="1477">
        <f t="shared" ref="AB246" si="1371">SUM(AB242:AB245)</f>
        <v>331020.618556701</v>
      </c>
      <c r="AC246" s="1399"/>
      <c r="AD246" s="1400">
        <f t="shared" ref="AD246" si="1372">SUM(AD242:AD245)</f>
        <v>54662.594370084051</v>
      </c>
      <c r="AE246" s="1404"/>
      <c r="AF246" s="1405">
        <f t="shared" ref="AF246" si="1373">SUM(AF242:AF245)</f>
        <v>385750.55503549654</v>
      </c>
      <c r="AG246" s="1399"/>
      <c r="AH246" s="1400">
        <f t="shared" ref="AH246" si="1374">SUM(AH242:AH245)</f>
        <v>55450.833564479603</v>
      </c>
      <c r="AI246" s="1404"/>
      <c r="AJ246" s="1405">
        <f t="shared" ref="AJ246" si="1375">SUM(AJ242:AJ245)</f>
        <v>441228.45912337588</v>
      </c>
      <c r="AK246" s="1399"/>
      <c r="AL246" s="1400">
        <f t="shared" ref="AL246" si="1376">SUM(AL242:AL245)</f>
        <v>57716.547958362971</v>
      </c>
      <c r="AM246" s="1410"/>
      <c r="AN246" s="1411">
        <f t="shared" ref="AN246" si="1377">SUM(AN242:AN245)</f>
        <v>167886.52128355813</v>
      </c>
      <c r="AO246" s="1404"/>
      <c r="AP246" s="1405">
        <f t="shared" ref="AP246" si="1378">SUM(AP242:AP245)</f>
        <v>498951.77350727317</v>
      </c>
      <c r="AQ246" s="1399"/>
      <c r="AR246" s="1400">
        <f t="shared" ref="AR246" si="1379">SUM(AR242:AR245)</f>
        <v>54248.790192157518</v>
      </c>
      <c r="AS246" s="1404"/>
      <c r="AT246" s="1405">
        <f t="shared" ref="AT246" si="1380">SUM(AT242:AT245)</f>
        <v>553189.26646826882</v>
      </c>
      <c r="AU246" s="1399"/>
      <c r="AV246" s="1400">
        <f t="shared" ref="AV246" si="1381">SUM(AV242:AV245)</f>
        <v>53715.864493056215</v>
      </c>
      <c r="AW246" s="1404"/>
      <c r="AX246" s="1405">
        <f t="shared" ref="AX246" si="1382">SUM(AX242:AX245)</f>
        <v>607139.5093651982</v>
      </c>
      <c r="AY246" s="1399"/>
      <c r="AZ246" s="1400" t="e">
        <f t="shared" ref="AZ246" si="1383">SUM(AZ242:AZ245)</f>
        <v>#REF!</v>
      </c>
      <c r="BA246" s="1410"/>
      <c r="BB246" s="1411" t="e">
        <f t="shared" ref="BB246" si="1384">SUM(BB242:BB245)</f>
        <v>#REF!</v>
      </c>
      <c r="BC246" s="1476"/>
      <c r="BD246" s="1477" t="e">
        <f t="shared" ref="BD246:BF246" si="1385">SUM(BD242:BD245)</f>
        <v>#REF!</v>
      </c>
      <c r="BE246" s="1404"/>
      <c r="BF246" s="1405" t="e">
        <f t="shared" si="1385"/>
        <v>#REF!</v>
      </c>
    </row>
    <row r="247" spans="2:58" ht="18.75" hidden="1" customHeight="1" x14ac:dyDescent="0.25">
      <c r="B247" s="1397"/>
      <c r="C247" s="466"/>
      <c r="D247" s="1814"/>
      <c r="E247" s="1399"/>
      <c r="F247" s="1396"/>
      <c r="G247" s="1399"/>
      <c r="H247" s="1396"/>
      <c r="I247" s="1404"/>
      <c r="J247" s="1403"/>
      <c r="K247" s="1399"/>
      <c r="L247" s="1396"/>
      <c r="M247" s="1410"/>
      <c r="N247" s="1409"/>
      <c r="O247" s="1399"/>
      <c r="P247" s="1396"/>
      <c r="Q247" s="1404"/>
      <c r="R247" s="1403"/>
      <c r="S247" s="1399"/>
      <c r="T247" s="1396"/>
      <c r="U247" s="1404"/>
      <c r="V247" s="1403"/>
      <c r="W247" s="1399"/>
      <c r="X247" s="1396"/>
      <c r="Y247" s="1410"/>
      <c r="Z247" s="1409"/>
      <c r="AA247" s="1476"/>
      <c r="AB247" s="1475"/>
      <c r="AC247" s="1399"/>
      <c r="AD247" s="1396"/>
      <c r="AE247" s="1404"/>
      <c r="AF247" s="1403"/>
      <c r="AG247" s="1399"/>
      <c r="AH247" s="1396"/>
      <c r="AI247" s="1404"/>
      <c r="AJ247" s="1403"/>
      <c r="AK247" s="1399"/>
      <c r="AL247" s="1396"/>
      <c r="AM247" s="1410"/>
      <c r="AN247" s="1409"/>
      <c r="AO247" s="1404"/>
      <c r="AP247" s="1403"/>
      <c r="AQ247" s="1399"/>
      <c r="AR247" s="1396"/>
      <c r="AS247" s="1404"/>
      <c r="AT247" s="1403"/>
      <c r="AU247" s="1399"/>
      <c r="AV247" s="1396"/>
      <c r="AW247" s="1404"/>
      <c r="AX247" s="1403"/>
      <c r="AY247" s="1399"/>
      <c r="AZ247" s="1396"/>
      <c r="BA247" s="1410"/>
      <c r="BB247" s="1409"/>
      <c r="BC247" s="1476"/>
      <c r="BD247" s="1475"/>
      <c r="BE247" s="1404"/>
      <c r="BF247" s="1403"/>
    </row>
    <row r="248" spans="2:58" ht="15" hidden="1" customHeight="1" x14ac:dyDescent="0.25">
      <c r="B248" s="1397" t="s">
        <v>1236</v>
      </c>
      <c r="C248" s="466" t="s">
        <v>53</v>
      </c>
      <c r="D248" s="1814"/>
      <c r="E248" s="1396"/>
      <c r="F248" s="929">
        <f>(+'Maj Techno Summ'!F8/100)*'COKE OVENS'!F14</f>
        <v>82149.590843429134</v>
      </c>
      <c r="G248" s="1396"/>
      <c r="H248" s="929">
        <f>(+'Maj Techno Summ'!H8/100)*'COKE OVENS'!H14</f>
        <v>86921.764262459983</v>
      </c>
      <c r="I248" s="1403"/>
      <c r="J248" s="930">
        <f>(+'Maj Techno Summ'!J8/100)*'COKE OVENS'!J14</f>
        <v>169071.35251552539</v>
      </c>
      <c r="K248" s="1396"/>
      <c r="L248" s="929">
        <f>(+'Maj Techno Summ'!L8/100)*'COKE OVENS'!L14</f>
        <v>85994.235977766555</v>
      </c>
      <c r="M248" s="1409"/>
      <c r="N248" s="1086">
        <f>(+'Maj Techno Summ'!N8/100)*'COKE OVENS'!N14</f>
        <v>255065.59357590921</v>
      </c>
      <c r="O248" s="1396"/>
      <c r="P248" s="929">
        <f>(+'Maj Techno Summ'!P8/100)*'COKE OVENS'!P14</f>
        <v>87866.79336797983</v>
      </c>
      <c r="Q248" s="1403"/>
      <c r="R248" s="930">
        <f>(+'Maj Techno Summ'!R8/100)*'COKE OVENS'!R14</f>
        <v>342932.3850887281</v>
      </c>
      <c r="S248" s="1396"/>
      <c r="T248" s="929">
        <f>(+'Maj Techno Summ'!T8/100)*'COKE OVENS'!T14</f>
        <v>91503.582263278789</v>
      </c>
      <c r="U248" s="1403"/>
      <c r="V248" s="930">
        <f>(+'Maj Techno Summ'!V8/100)*'COKE OVENS'!V14</f>
        <v>434435.96732780372</v>
      </c>
      <c r="W248" s="1396"/>
      <c r="X248" s="929">
        <f>(+'Maj Techno Summ'!X8/100)*'COKE OVENS'!X14</f>
        <v>88056.38033849487</v>
      </c>
      <c r="Y248" s="1409"/>
      <c r="Z248" s="1086">
        <f>(+'Maj Techno Summ'!Z8/100)*'COKE OVENS'!Z14</f>
        <v>267426.75460186438</v>
      </c>
      <c r="AA248" s="1475"/>
      <c r="AB248" s="1142">
        <f>(+'Maj Techno Summ'!AB8/100)*'COKE OVENS'!AB14</f>
        <v>522492.34735007799</v>
      </c>
      <c r="AC248" s="1396"/>
      <c r="AD248" s="929">
        <f>(+'Maj Techno Summ'!AD8/100)*'COKE OVENS'!AD14</f>
        <v>89497.861418431683</v>
      </c>
      <c r="AE248" s="1403"/>
      <c r="AF248" s="930">
        <f>(+'Maj Techno Summ'!AF8/100)*'COKE OVENS'!AF14</f>
        <v>611990.20635042351</v>
      </c>
      <c r="AG248" s="1396"/>
      <c r="AH248" s="929">
        <f>(+'Maj Techno Summ'!AH8/100)*'COKE OVENS'!AH14</f>
        <v>91309.152024686264</v>
      </c>
      <c r="AI248" s="1403"/>
      <c r="AJ248" s="930">
        <f>(+'Maj Techno Summ'!AJ8/100)*'COKE OVENS'!AJ14</f>
        <v>703299.33109963825</v>
      </c>
      <c r="AK248" s="1396"/>
      <c r="AL248" s="929">
        <f>(+'Maj Techno Summ'!AL8/100)*'COKE OVENS'!AL14</f>
        <v>91563.771809541824</v>
      </c>
      <c r="AM248" s="1409"/>
      <c r="AN248" s="1086">
        <f>(+'Maj Techno Summ'!AN8/100)*'COKE OVENS'!AN14</f>
        <v>272370.75388153142</v>
      </c>
      <c r="AO248" s="1403"/>
      <c r="AP248" s="930">
        <f>(+'Maj Techno Summ'!AP8/100)*'COKE OVENS'!AP14</f>
        <v>794863.10223258007</v>
      </c>
      <c r="AQ248" s="1396"/>
      <c r="AR248" s="929">
        <f>(+'Maj Techno Summ'!AR8/100)*'COKE OVENS'!AR14</f>
        <v>90125.727858839484</v>
      </c>
      <c r="AS248" s="1403"/>
      <c r="AT248" s="930">
        <f>(+'Maj Techno Summ'!AT8/100)*'COKE OVENS'!AT14</f>
        <v>884988.81652176986</v>
      </c>
      <c r="AU248" s="1396"/>
      <c r="AV248" s="929">
        <f>(+'Maj Techno Summ'!AV8/100)*'COKE OVENS'!AV14</f>
        <v>81279.74086979244</v>
      </c>
      <c r="AW248" s="1403"/>
      <c r="AX248" s="930">
        <f>(+'Maj Techno Summ'!AX8/100)*'COKE OVENS'!AX14</f>
        <v>966268.55757566576</v>
      </c>
      <c r="AY248" s="1396"/>
      <c r="AZ248" s="929" t="e">
        <f>(+'Maj Techno Summ'!#REF!/100)*'COKE OVENS'!AZ14</f>
        <v>#REF!</v>
      </c>
      <c r="BA248" s="1409"/>
      <c r="BB248" s="1086" t="e">
        <f>(+'Maj Techno Summ'!#REF!/100)*'COKE OVENS'!BB14</f>
        <v>#REF!</v>
      </c>
      <c r="BC248" s="1475"/>
      <c r="BD248" s="1142" t="e">
        <f>(+'Maj Techno Summ'!#REF!/100)*'COKE OVENS'!BD14</f>
        <v>#REF!</v>
      </c>
      <c r="BE248" s="1403"/>
      <c r="BF248" s="930" t="e">
        <f>(+'Maj Techno Summ'!#REF!/100)*'COKE OVENS'!BF14</f>
        <v>#REF!</v>
      </c>
    </row>
    <row r="249" spans="2:58" ht="15" hidden="1" customHeight="1" x14ac:dyDescent="0.25">
      <c r="B249" s="1394" t="s">
        <v>238</v>
      </c>
      <c r="C249" s="466" t="s">
        <v>53</v>
      </c>
      <c r="D249" s="1814"/>
      <c r="E249" s="1395"/>
      <c r="F249" s="1398">
        <f>+F248*F226/(100-F226)</f>
        <v>8124.6091565708693</v>
      </c>
      <c r="G249" s="1395"/>
      <c r="H249" s="1398">
        <f>+H248*H226/(100-H226)</f>
        <v>8596.0357375400145</v>
      </c>
      <c r="I249" s="1406"/>
      <c r="J249" s="1407">
        <f>+J248*J226/(100-J226)</f>
        <v>16720.647484474637</v>
      </c>
      <c r="K249" s="1395"/>
      <c r="L249" s="1398">
        <f>+L248*L226/(100-L226)</f>
        <v>8505.7640222334394</v>
      </c>
      <c r="M249" s="1412"/>
      <c r="N249" s="1413">
        <f>+N248*N226/(100-N226)</f>
        <v>25226.406424090768</v>
      </c>
      <c r="O249" s="1395"/>
      <c r="P249" s="1398">
        <f>+P248*P226/(100-P226)</f>
        <v>8690.0066320201695</v>
      </c>
      <c r="Q249" s="1406"/>
      <c r="R249" s="1407">
        <f>+R248*R226/(100-R226)</f>
        <v>33916.414911271837</v>
      </c>
      <c r="S249" s="1395"/>
      <c r="T249" s="1398">
        <f>+T248*T226/(100-T226)</f>
        <v>9049.7177367211953</v>
      </c>
      <c r="U249" s="1406"/>
      <c r="V249" s="1407">
        <f>+V248*V226/(100-V226)</f>
        <v>42966.132672196261</v>
      </c>
      <c r="W249" s="1395"/>
      <c r="X249" s="1398">
        <f>+X248*X226/(100-X226)</f>
        <v>8708.9196615051278</v>
      </c>
      <c r="Y249" s="1412"/>
      <c r="Z249" s="1413">
        <f>+Z248*Z226/(100-Z226)</f>
        <v>26448.645398135657</v>
      </c>
      <c r="AA249" s="1478"/>
      <c r="AB249" s="1479">
        <f>+AB248*AB226/(100-AB226)</f>
        <v>51675.052649922058</v>
      </c>
      <c r="AC249" s="1395"/>
      <c r="AD249" s="1398">
        <f>+AD248*AD226/(100-AD226)</f>
        <v>2046.7933118704718</v>
      </c>
      <c r="AE249" s="1406"/>
      <c r="AF249" s="1407">
        <f>+AF248*AF226/(100-AF226)</f>
        <v>53548.403106375765</v>
      </c>
      <c r="AG249" s="1395"/>
      <c r="AH249" s="1398">
        <f>+AH248*AH226/(100-AH226)</f>
        <v>5239.2754034581039</v>
      </c>
      <c r="AI249" s="1406"/>
      <c r="AJ249" s="1407">
        <f>+AJ248*AJ226/(100-AJ226)</f>
        <v>58854.10510230295</v>
      </c>
      <c r="AK249" s="1395"/>
      <c r="AL249" s="1398">
        <f>+AL248*AL226/(100-AL226)</f>
        <v>9517.722350938564</v>
      </c>
      <c r="AM249" s="1412"/>
      <c r="AN249" s="1413">
        <f>+AN248*AN226/(100-AN226)</f>
        <v>16717.355099120956</v>
      </c>
      <c r="AO249" s="1406"/>
      <c r="AP249" s="1407">
        <f>+AP248*AP226/(100-AP226)</f>
        <v>68374.071375320433</v>
      </c>
      <c r="AQ249" s="1395"/>
      <c r="AR249" s="1398">
        <f>+AR248*AR226/(100-AR226)</f>
        <v>9204.5997813218855</v>
      </c>
      <c r="AS249" s="1406"/>
      <c r="AT249" s="1407">
        <f>+AT248*AT226/(100-AT226)</f>
        <v>77605.374408699368</v>
      </c>
      <c r="AU249" s="1395"/>
      <c r="AV249" s="1398">
        <f>+AV248*AV226/(100-AV226)</f>
        <v>17751.160944106548</v>
      </c>
      <c r="AW249" s="1406"/>
      <c r="AX249" s="1407">
        <f>+AX248*AX226/(100-AX226)</f>
        <v>95565.070148461353</v>
      </c>
      <c r="AY249" s="1395"/>
      <c r="AZ249" s="1398" t="e">
        <f>+AZ248*AZ226/(100-AZ226)</f>
        <v>#REF!</v>
      </c>
      <c r="BA249" s="1412"/>
      <c r="BB249" s="1413" t="e">
        <f>+BB248*BB226/(100-BB226)</f>
        <v>#REF!</v>
      </c>
      <c r="BC249" s="1478"/>
      <c r="BD249" s="1479" t="e">
        <f>+BD248*BD226/(100-BD226)</f>
        <v>#REF!</v>
      </c>
      <c r="BE249" s="1406"/>
      <c r="BF249" s="1407" t="e">
        <f>+BF248*BF226/(100-BF226)</f>
        <v>#REF!</v>
      </c>
    </row>
    <row r="250" spans="2:58" ht="15" hidden="1" customHeight="1" x14ac:dyDescent="0.25">
      <c r="B250" s="1394" t="s">
        <v>1108</v>
      </c>
      <c r="C250" s="466" t="s">
        <v>53</v>
      </c>
      <c r="D250" s="1814"/>
      <c r="E250" s="1396"/>
      <c r="F250" s="929">
        <f t="shared" ref="F250" si="1386">+F248*3/(100-3)</f>
        <v>2540.7089951576017</v>
      </c>
      <c r="G250" s="1396"/>
      <c r="H250" s="929">
        <f t="shared" ref="H250" si="1387">+H248*3/(100-3)</f>
        <v>2688.3019874987622</v>
      </c>
      <c r="I250" s="1403"/>
      <c r="J250" s="930">
        <f t="shared" ref="J250" si="1388">+J248*3/(100-3)</f>
        <v>5229.0109025420224</v>
      </c>
      <c r="K250" s="1396"/>
      <c r="L250" s="929">
        <f t="shared" ref="L250" si="1389">+L248*3/(100-3)</f>
        <v>2659.61554570412</v>
      </c>
      <c r="M250" s="1409"/>
      <c r="N250" s="1086">
        <f t="shared" ref="N250" si="1390">+N248*3/(100-3)</f>
        <v>7888.6266054404905</v>
      </c>
      <c r="O250" s="1396"/>
      <c r="P250" s="929">
        <f t="shared" ref="P250" si="1391">+P248*3/(100-3)</f>
        <v>2717.529691793191</v>
      </c>
      <c r="Q250" s="1403"/>
      <c r="R250" s="930">
        <f t="shared" ref="R250" si="1392">+R248*3/(100-3)</f>
        <v>10606.156239857572</v>
      </c>
      <c r="S250" s="1396"/>
      <c r="T250" s="929">
        <f t="shared" ref="T250" si="1393">+T248*3/(100-3)</f>
        <v>2830.0076988642927</v>
      </c>
      <c r="U250" s="1403"/>
      <c r="V250" s="930">
        <f t="shared" ref="V250" si="1394">+V248*3/(100-3)</f>
        <v>13436.16393797331</v>
      </c>
      <c r="W250" s="1396"/>
      <c r="X250" s="929">
        <f t="shared" ref="X250" si="1395">+X248*3/(100-3)</f>
        <v>2723.3932063452016</v>
      </c>
      <c r="Y250" s="1409"/>
      <c r="Z250" s="1086">
        <f t="shared" ref="Z250" si="1396">+Z248*3/(100-3)</f>
        <v>8270.9305546968371</v>
      </c>
      <c r="AA250" s="1475"/>
      <c r="AB250" s="1142">
        <f t="shared" ref="AB250" si="1397">+AB248*3/(100-3)</f>
        <v>16159.557134538496</v>
      </c>
      <c r="AC250" s="1396"/>
      <c r="AD250" s="929">
        <f t="shared" ref="AD250" si="1398">+AD248*3/(100-3)</f>
        <v>2767.9750954154129</v>
      </c>
      <c r="AE250" s="1403"/>
      <c r="AF250" s="930">
        <f t="shared" ref="AF250" si="1399">+AF248*3/(100-3)</f>
        <v>18927.532155167737</v>
      </c>
      <c r="AG250" s="1396"/>
      <c r="AH250" s="929">
        <f t="shared" ref="AH250" si="1400">+AH248*3/(100-3)</f>
        <v>2823.9943925160696</v>
      </c>
      <c r="AI250" s="1403"/>
      <c r="AJ250" s="930">
        <f t="shared" ref="AJ250" si="1401">+AJ248*3/(100-3)</f>
        <v>21751.525704112522</v>
      </c>
      <c r="AK250" s="1396"/>
      <c r="AL250" s="929">
        <f t="shared" ref="AL250" si="1402">+AL248*3/(100-3)</f>
        <v>2831.8692312229427</v>
      </c>
      <c r="AM250" s="1409"/>
      <c r="AN250" s="1086">
        <f t="shared" ref="AN250" si="1403">+AN248*3/(100-3)</f>
        <v>8423.8377489133436</v>
      </c>
      <c r="AO250" s="1403"/>
      <c r="AP250" s="930">
        <f t="shared" ref="AP250" si="1404">+AP248*3/(100-3)</f>
        <v>24583.394914409691</v>
      </c>
      <c r="AQ250" s="1396"/>
      <c r="AR250" s="929">
        <f t="shared" ref="AR250" si="1405">+AR248*3/(100-3)</f>
        <v>2787.3936451187469</v>
      </c>
      <c r="AS250" s="1403"/>
      <c r="AT250" s="930">
        <f t="shared" ref="AT250" si="1406">+AT248*3/(100-3)</f>
        <v>27370.788139848552</v>
      </c>
      <c r="AU250" s="1396"/>
      <c r="AV250" s="929">
        <f t="shared" ref="AV250" si="1407">+AV248*3/(100-3)</f>
        <v>2513.8064186533743</v>
      </c>
      <c r="AW250" s="1403"/>
      <c r="AX250" s="930">
        <f t="shared" ref="AX250" si="1408">+AX248*3/(100-3)</f>
        <v>29884.594564195846</v>
      </c>
      <c r="AY250" s="1396"/>
      <c r="AZ250" s="929" t="e">
        <f t="shared" ref="AZ250" si="1409">+AZ248*3/(100-3)</f>
        <v>#REF!</v>
      </c>
      <c r="BA250" s="1409"/>
      <c r="BB250" s="1086" t="e">
        <f t="shared" ref="BB250" si="1410">+BB248*3/(100-3)</f>
        <v>#REF!</v>
      </c>
      <c r="BC250" s="1475"/>
      <c r="BD250" s="1142" t="e">
        <f t="shared" ref="BD250:BF250" si="1411">+BD248*3/(100-3)</f>
        <v>#REF!</v>
      </c>
      <c r="BE250" s="1403"/>
      <c r="BF250" s="930" t="e">
        <f t="shared" si="1411"/>
        <v>#REF!</v>
      </c>
    </row>
    <row r="251" spans="2:58" ht="15" hidden="1" customHeight="1" x14ac:dyDescent="0.25">
      <c r="B251" s="1394" t="s">
        <v>1232</v>
      </c>
      <c r="C251" s="466" t="s">
        <v>53</v>
      </c>
      <c r="D251" s="1814"/>
      <c r="E251" s="1396"/>
      <c r="F251" s="929">
        <f>+F250*F226/(100-F226)</f>
        <v>251.27657185270726</v>
      </c>
      <c r="G251" s="1396"/>
      <c r="H251" s="929">
        <f>+H250*H226/(100-H226)</f>
        <v>265.85677538783551</v>
      </c>
      <c r="I251" s="1403"/>
      <c r="J251" s="930">
        <f>+J250*J226/(100-J226)</f>
        <v>517.13342735488561</v>
      </c>
      <c r="K251" s="1396"/>
      <c r="L251" s="929">
        <f>+L250*L226/(100-L226)</f>
        <v>263.06486666701358</v>
      </c>
      <c r="M251" s="1409"/>
      <c r="N251" s="1086">
        <f>+N250*N226/(100-N226)</f>
        <v>780.19813682754943</v>
      </c>
      <c r="O251" s="1396"/>
      <c r="P251" s="929">
        <f>+P250*P226/(100-P226)</f>
        <v>268.76309171196397</v>
      </c>
      <c r="Q251" s="1403"/>
      <c r="R251" s="930">
        <f>+R250*R226/(100-R226)</f>
        <v>1048.9612859156241</v>
      </c>
      <c r="S251" s="1396"/>
      <c r="T251" s="929">
        <f>+T250*T226/(100-T226)</f>
        <v>279.88817742436686</v>
      </c>
      <c r="U251" s="1403"/>
      <c r="V251" s="930">
        <f>+V250*V226/(100-V226)</f>
        <v>1328.849464088544</v>
      </c>
      <c r="W251" s="1396"/>
      <c r="X251" s="929">
        <f>+X250*X226/(100-X226)</f>
        <v>269.34803076819981</v>
      </c>
      <c r="Y251" s="1409"/>
      <c r="Z251" s="1086">
        <f>+Z250*Z226/(100-Z226)</f>
        <v>817.9993422103812</v>
      </c>
      <c r="AA251" s="1475"/>
      <c r="AB251" s="1142">
        <f>+AB250*AB226/(100-AB226)</f>
        <v>1598.1975046367645</v>
      </c>
      <c r="AC251" s="1396"/>
      <c r="AD251" s="929">
        <f>+AD250*AD226/(100-AD226)</f>
        <v>63.302885934138303</v>
      </c>
      <c r="AE251" s="1403"/>
      <c r="AF251" s="930">
        <f>+AF250*AF226/(100-AF226)</f>
        <v>1656.1361785477038</v>
      </c>
      <c r="AG251" s="1396"/>
      <c r="AH251" s="929">
        <f>+AH250*AH226/(100-AH226)</f>
        <v>162.03944546777637</v>
      </c>
      <c r="AI251" s="1403"/>
      <c r="AJ251" s="930">
        <f>+AJ250*AJ226/(100-AJ226)</f>
        <v>1820.2300547104005</v>
      </c>
      <c r="AK251" s="1396"/>
      <c r="AL251" s="929">
        <f>+AL250*AL226/(100-AL226)</f>
        <v>294.3625469362442</v>
      </c>
      <c r="AM251" s="1409"/>
      <c r="AN251" s="1086">
        <f>+AN250*AN226/(100-AN226)</f>
        <v>517.031601003741</v>
      </c>
      <c r="AO251" s="1403"/>
      <c r="AP251" s="930">
        <f>+AP250*AP226/(100-AP226)</f>
        <v>2114.6620012985704</v>
      </c>
      <c r="AQ251" s="1396"/>
      <c r="AR251" s="929">
        <f>+AR250*AR226/(100-AR226)</f>
        <v>284.67834375222327</v>
      </c>
      <c r="AS251" s="1403"/>
      <c r="AT251" s="930">
        <f>+AT250*AT226/(100-AT226)</f>
        <v>2400.1662188257537</v>
      </c>
      <c r="AU251" s="1396"/>
      <c r="AV251" s="929">
        <f>+AV250*AV226/(100-AV226)</f>
        <v>549.00497765277987</v>
      </c>
      <c r="AW251" s="1403"/>
      <c r="AX251" s="930">
        <f>+AX250*AX226/(100-AX226)</f>
        <v>2955.6207262410726</v>
      </c>
      <c r="AY251" s="1396"/>
      <c r="AZ251" s="929" t="e">
        <f>+AZ250*AZ226/(100-AZ226)</f>
        <v>#REF!</v>
      </c>
      <c r="BA251" s="1409"/>
      <c r="BB251" s="1086" t="e">
        <f>+BB250*BB226/(100-BB226)</f>
        <v>#REF!</v>
      </c>
      <c r="BC251" s="1475"/>
      <c r="BD251" s="1142" t="e">
        <f>+BD250*BD226/(100-BD226)</f>
        <v>#REF!</v>
      </c>
      <c r="BE251" s="1403"/>
      <c r="BF251" s="930" t="e">
        <f>+BF250*BF226/(100-BF226)</f>
        <v>#REF!</v>
      </c>
    </row>
    <row r="252" spans="2:58" ht="18.75" hidden="1" customHeight="1" x14ac:dyDescent="0.25">
      <c r="B252" s="1397" t="s">
        <v>1273</v>
      </c>
      <c r="C252" s="466" t="s">
        <v>53</v>
      </c>
      <c r="D252" s="1814"/>
      <c r="E252" s="1399"/>
      <c r="F252" s="1400">
        <f t="shared" ref="F252" si="1412">SUM(F248:F251)</f>
        <v>93066.18556701031</v>
      </c>
      <c r="G252" s="1399"/>
      <c r="H252" s="1400">
        <f t="shared" ref="H252" si="1413">SUM(H248:H251)</f>
        <v>98471.958762886599</v>
      </c>
      <c r="I252" s="1404"/>
      <c r="J252" s="1405">
        <f t="shared" ref="J252" si="1414">SUM(J248:J251)</f>
        <v>191538.14432989692</v>
      </c>
      <c r="K252" s="1399"/>
      <c r="L252" s="1400">
        <f t="shared" ref="L252" si="1415">SUM(L248:L251)</f>
        <v>97422.680412371134</v>
      </c>
      <c r="M252" s="1410"/>
      <c r="N252" s="1411">
        <f t="shared" ref="N252" si="1416">SUM(N248:N251)</f>
        <v>288960.82474226807</v>
      </c>
      <c r="O252" s="1399"/>
      <c r="P252" s="1400">
        <f t="shared" ref="P252" si="1417">SUM(P248:P251)</f>
        <v>99543.092783505155</v>
      </c>
      <c r="Q252" s="1404"/>
      <c r="R252" s="1405">
        <f t="shared" ref="R252" si="1418">SUM(R248:R251)</f>
        <v>388503.91752577311</v>
      </c>
      <c r="S252" s="1399"/>
      <c r="T252" s="1400">
        <f t="shared" ref="T252" si="1419">SUM(T248:T251)</f>
        <v>103663.19587628865</v>
      </c>
      <c r="U252" s="1404"/>
      <c r="V252" s="1405">
        <f t="shared" ref="V252" si="1420">SUM(V248:V251)</f>
        <v>492167.11340206186</v>
      </c>
      <c r="W252" s="1399"/>
      <c r="X252" s="1400">
        <f t="shared" ref="X252" si="1421">SUM(X248:X251)</f>
        <v>99758.041237113415</v>
      </c>
      <c r="Y252" s="1410"/>
      <c r="Z252" s="1411">
        <f t="shared" ref="Z252" si="1422">SUM(Z248:Z251)</f>
        <v>302964.32989690721</v>
      </c>
      <c r="AA252" s="1476"/>
      <c r="AB252" s="1477">
        <f t="shared" ref="AB252" si="1423">SUM(AB248:AB251)</f>
        <v>591925.15463917528</v>
      </c>
      <c r="AC252" s="1399"/>
      <c r="AD252" s="1400">
        <f t="shared" ref="AD252" si="1424">SUM(AD248:AD251)</f>
        <v>94375.932711651709</v>
      </c>
      <c r="AE252" s="1404"/>
      <c r="AF252" s="1405">
        <f t="shared" ref="AF252" si="1425">SUM(AF248:AF251)</f>
        <v>686122.27779051475</v>
      </c>
      <c r="AG252" s="1399"/>
      <c r="AH252" s="1400">
        <f t="shared" ref="AH252" si="1426">SUM(AH248:AH251)</f>
        <v>99534.461266128215</v>
      </c>
      <c r="AI252" s="1404"/>
      <c r="AJ252" s="1405">
        <f t="shared" ref="AJ252" si="1427">SUM(AJ248:AJ251)</f>
        <v>785725.19196076412</v>
      </c>
      <c r="AK252" s="1399"/>
      <c r="AL252" s="1400">
        <f t="shared" ref="AL252" si="1428">SUM(AL248:AL251)</f>
        <v>104207.72593863957</v>
      </c>
      <c r="AM252" s="1410"/>
      <c r="AN252" s="1411">
        <f t="shared" ref="AN252" si="1429">SUM(AN248:AN251)</f>
        <v>298028.9783305694</v>
      </c>
      <c r="AO252" s="1404"/>
      <c r="AP252" s="1405">
        <f t="shared" ref="AP252" si="1430">SUM(AP248:AP251)</f>
        <v>889935.23052360886</v>
      </c>
      <c r="AQ252" s="1399"/>
      <c r="AR252" s="1400">
        <f t="shared" ref="AR252" si="1431">SUM(AR248:AR251)</f>
        <v>102402.39962903234</v>
      </c>
      <c r="AS252" s="1404"/>
      <c r="AT252" s="1405">
        <f t="shared" ref="AT252" si="1432">SUM(AT248:AT251)</f>
        <v>992365.14528914343</v>
      </c>
      <c r="AU252" s="1399"/>
      <c r="AV252" s="1400">
        <f t="shared" ref="AV252" si="1433">SUM(AV248:AV251)</f>
        <v>102093.71321020514</v>
      </c>
      <c r="AW252" s="1404"/>
      <c r="AX252" s="1405">
        <f t="shared" ref="AX252" si="1434">SUM(AX248:AX251)</f>
        <v>1094673.8430145641</v>
      </c>
      <c r="AY252" s="1399"/>
      <c r="AZ252" s="1400" t="e">
        <f t="shared" ref="AZ252" si="1435">SUM(AZ248:AZ251)</f>
        <v>#REF!</v>
      </c>
      <c r="BA252" s="1410"/>
      <c r="BB252" s="1411" t="e">
        <f t="shared" ref="BB252" si="1436">SUM(BB248:BB251)</f>
        <v>#REF!</v>
      </c>
      <c r="BC252" s="1476"/>
      <c r="BD252" s="1477" t="e">
        <f t="shared" ref="BD252:BF252" si="1437">SUM(BD248:BD251)</f>
        <v>#REF!</v>
      </c>
      <c r="BE252" s="1404"/>
      <c r="BF252" s="1405" t="e">
        <f t="shared" si="1437"/>
        <v>#REF!</v>
      </c>
    </row>
    <row r="253" spans="2:58" ht="21" hidden="1" customHeight="1" x14ac:dyDescent="0.25">
      <c r="B253" s="1401" t="s">
        <v>1241</v>
      </c>
      <c r="C253" s="466" t="s">
        <v>53</v>
      </c>
      <c r="D253" s="1814"/>
      <c r="E253" s="1402"/>
      <c r="F253" s="1402">
        <f t="shared" ref="F253" si="1438">+F246+F252</f>
        <v>147009.48453608248</v>
      </c>
      <c r="G253" s="1402"/>
      <c r="H253" s="1402">
        <f t="shared" ref="H253" si="1439">+H246+H252</f>
        <v>155446.18556701031</v>
      </c>
      <c r="I253" s="1408"/>
      <c r="J253" s="1408">
        <f t="shared" ref="J253" si="1440">+J246+J252</f>
        <v>302455.67010309279</v>
      </c>
      <c r="K253" s="1402"/>
      <c r="L253" s="1402">
        <f t="shared" ref="L253" si="1441">+L246+L252</f>
        <v>151247.42268041236</v>
      </c>
      <c r="M253" s="1414"/>
      <c r="N253" s="1414">
        <f t="shared" ref="N253" si="1442">+N246+N252</f>
        <v>453703.09278350516</v>
      </c>
      <c r="O253" s="1402"/>
      <c r="P253" s="1402">
        <f t="shared" ref="P253" si="1443">+P246+P252</f>
        <v>155532.78350515466</v>
      </c>
      <c r="Q253" s="1408"/>
      <c r="R253" s="1408">
        <f t="shared" ref="R253" si="1444">+R246+R252</f>
        <v>609235.87628865975</v>
      </c>
      <c r="S253" s="1402"/>
      <c r="T253" s="1402">
        <f t="shared" ref="T253" si="1445">+T246+T252</f>
        <v>160209.58762886596</v>
      </c>
      <c r="U253" s="1408"/>
      <c r="V253" s="1408">
        <f t="shared" ref="V253" si="1446">+V246+V252</f>
        <v>769445.46391752572</v>
      </c>
      <c r="W253" s="1402"/>
      <c r="X253" s="1402">
        <f t="shared" ref="X253" si="1447">+X246+X252</f>
        <v>153500.30927835053</v>
      </c>
      <c r="Y253" s="1414"/>
      <c r="Z253" s="1414">
        <f t="shared" ref="Z253" si="1448">+Z246+Z252</f>
        <v>469242.68041237106</v>
      </c>
      <c r="AA253" s="1480"/>
      <c r="AB253" s="1480">
        <f t="shared" ref="AB253" si="1449">+AB246+AB252</f>
        <v>922945.77319587627</v>
      </c>
      <c r="AC253" s="1402"/>
      <c r="AD253" s="1402">
        <f t="shared" ref="AD253" si="1450">+AD246+AD252</f>
        <v>149038.52708173575</v>
      </c>
      <c r="AE253" s="1408"/>
      <c r="AF253" s="1408">
        <f t="shared" ref="AF253" si="1451">+AF246+AF252</f>
        <v>1071872.8328260113</v>
      </c>
      <c r="AG253" s="1402"/>
      <c r="AH253" s="1402">
        <f t="shared" ref="AH253" si="1452">+AH246+AH252</f>
        <v>154985.29483060783</v>
      </c>
      <c r="AI253" s="1408"/>
      <c r="AJ253" s="1408">
        <f t="shared" ref="AJ253" si="1453">+AJ246+AJ252</f>
        <v>1226953.6510841399</v>
      </c>
      <c r="AK253" s="1402"/>
      <c r="AL253" s="1402">
        <f t="shared" ref="AL253" si="1454">+AL246+AL252</f>
        <v>161924.27389700254</v>
      </c>
      <c r="AM253" s="1414"/>
      <c r="AN253" s="1414">
        <f t="shared" ref="AN253" si="1455">+AN246+AN252</f>
        <v>465915.49961412756</v>
      </c>
      <c r="AO253" s="1408"/>
      <c r="AP253" s="1408">
        <f t="shared" ref="AP253" si="1456">+AP246+AP252</f>
        <v>1388887.0040308819</v>
      </c>
      <c r="AQ253" s="1402"/>
      <c r="AR253" s="1402">
        <f t="shared" ref="AR253" si="1457">+AR246+AR252</f>
        <v>156651.18982118985</v>
      </c>
      <c r="AS253" s="1408"/>
      <c r="AT253" s="1408">
        <f t="shared" ref="AT253" si="1458">+AT246+AT252</f>
        <v>1545554.4117574124</v>
      </c>
      <c r="AU253" s="1402"/>
      <c r="AV253" s="1402">
        <f t="shared" ref="AV253" si="1459">+AV246+AV252</f>
        <v>155809.57770326134</v>
      </c>
      <c r="AW253" s="1408"/>
      <c r="AX253" s="1408">
        <f t="shared" ref="AX253" si="1460">+AX246+AX252</f>
        <v>1701813.3523797623</v>
      </c>
      <c r="AY253" s="1402"/>
      <c r="AZ253" s="1402" t="e">
        <f t="shared" ref="AZ253" si="1461">+AZ246+AZ252</f>
        <v>#REF!</v>
      </c>
      <c r="BA253" s="1414"/>
      <c r="BB253" s="1414" t="e">
        <f t="shared" ref="BB253" si="1462">+BB246+BB252</f>
        <v>#REF!</v>
      </c>
      <c r="BC253" s="1480"/>
      <c r="BD253" s="1480" t="e">
        <f t="shared" ref="BD253:BF253" si="1463">+BD246+BD252</f>
        <v>#REF!</v>
      </c>
      <c r="BE253" s="1408"/>
      <c r="BF253" s="1408" t="e">
        <f t="shared" si="1463"/>
        <v>#REF!</v>
      </c>
    </row>
    <row r="254" spans="2:58" ht="15" hidden="1" customHeight="1" x14ac:dyDescent="0.25">
      <c r="T254" s="200"/>
      <c r="V254" s="200"/>
      <c r="W254" s="189"/>
      <c r="X254" s="200"/>
      <c r="Z254" s="200"/>
      <c r="AB254" s="200"/>
      <c r="AD254" s="200"/>
      <c r="AF254" s="200"/>
      <c r="AG254" s="1726"/>
      <c r="AH254" s="200"/>
      <c r="AI254" s="1726"/>
      <c r="AJ254" s="200"/>
      <c r="AL254" s="200"/>
      <c r="AM254" s="1465"/>
      <c r="AN254" s="200"/>
      <c r="AP254" s="200"/>
      <c r="AQ254" s="1470"/>
      <c r="AR254" s="200"/>
      <c r="AS254" s="1470"/>
      <c r="AT254" s="200"/>
      <c r="AU254" s="1726"/>
      <c r="AV254" s="200"/>
      <c r="AW254" s="1726"/>
      <c r="AX254" s="200"/>
      <c r="AY254" s="4240"/>
      <c r="AZ254" s="200"/>
      <c r="BB254" s="200"/>
      <c r="BD254" s="200"/>
      <c r="BE254" s="4240"/>
      <c r="BF254" s="200"/>
    </row>
    <row r="255" spans="2:58" ht="27" hidden="1" customHeight="1" thickBot="1" x14ac:dyDescent="0.45">
      <c r="B255" s="1415" t="s">
        <v>1242</v>
      </c>
      <c r="C255" s="1419" t="s">
        <v>53</v>
      </c>
      <c r="D255" s="1815"/>
      <c r="E255" s="1418"/>
      <c r="F255" s="1417">
        <f t="shared" ref="F255" si="1464">+F239+F253</f>
        <v>155556.8803694158</v>
      </c>
      <c r="G255" s="1417"/>
      <c r="H255" s="1417">
        <f t="shared" ref="H255" si="1465">+H239+H253</f>
        <v>162142.85223367697</v>
      </c>
      <c r="I255" s="1417"/>
      <c r="J255" s="1417">
        <f t="shared" ref="J255" si="1466">+J239+J253</f>
        <v>317699.73260309274</v>
      </c>
      <c r="K255" s="1417"/>
      <c r="L255" s="1417">
        <f t="shared" ref="L255" si="1467">+L239+L253</f>
        <v>158049.5060137457</v>
      </c>
      <c r="M255" s="1417"/>
      <c r="N255" s="1417">
        <f t="shared" ref="N255" si="1468">+N239+N253</f>
        <v>475749.23861683853</v>
      </c>
      <c r="O255" s="1417"/>
      <c r="P255" s="1417">
        <f t="shared" ref="P255" si="1469">+P239+P253</f>
        <v>161781.01267182129</v>
      </c>
      <c r="Q255" s="1417"/>
      <c r="R255" s="1417">
        <f t="shared" ref="R255" si="1470">+R239+R253</f>
        <v>637530.25128865975</v>
      </c>
      <c r="S255" s="1417"/>
      <c r="T255" s="1417">
        <f t="shared" ref="T255" si="1471">+T239+T253</f>
        <v>168152.71262886599</v>
      </c>
      <c r="U255" s="1417"/>
      <c r="V255" s="1417">
        <f t="shared" ref="V255" si="1472">+V239+V253</f>
        <v>805682.96391752572</v>
      </c>
      <c r="W255" s="1417"/>
      <c r="X255" s="1417">
        <f t="shared" ref="X255" si="1473">+X239+X253</f>
        <v>162004.68427835053</v>
      </c>
      <c r="Y255" s="1417"/>
      <c r="Z255" s="1417">
        <f t="shared" ref="Z255" si="1474">+Z239+Z253</f>
        <v>491938.40957903769</v>
      </c>
      <c r="AA255" s="1417"/>
      <c r="AB255" s="1417">
        <f t="shared" ref="AB255" si="1475">+AB239+AB253</f>
        <v>967687.64819587627</v>
      </c>
      <c r="AC255" s="1417"/>
      <c r="AD255" s="1417">
        <f t="shared" ref="AD255" si="1476">+AD239+AD253</f>
        <v>161478.76534289858</v>
      </c>
      <c r="AE255" s="1417"/>
      <c r="AF255" s="1417">
        <f t="shared" ref="AF255" si="1477">+AF239+AF253</f>
        <v>1129167.5746580623</v>
      </c>
      <c r="AG255" s="1417"/>
      <c r="AH255" s="1417">
        <f t="shared" ref="AH255" si="1478">+AH239+AH253</f>
        <v>161416.81984551452</v>
      </c>
      <c r="AI255" s="1417"/>
      <c r="AJ255" s="1417">
        <f t="shared" ref="AJ255" si="1479">+AJ239+AJ253</f>
        <v>1290583.3994678736</v>
      </c>
      <c r="AK255" s="1417"/>
      <c r="AL255" s="1417">
        <f t="shared" ref="AL255" si="1480">+AL239+AL253</f>
        <v>169276.83048023956</v>
      </c>
      <c r="AM255" s="1417"/>
      <c r="AN255" s="1417">
        <f t="shared" ref="AN255" si="1481">+AN239+AN253</f>
        <v>492172.75521235284</v>
      </c>
      <c r="AO255" s="1417"/>
      <c r="AP255" s="1417">
        <f t="shared" ref="AP255" si="1482">+AP239+AP253</f>
        <v>1459860.1353746783</v>
      </c>
      <c r="AQ255" s="1417"/>
      <c r="AR255" s="1417">
        <f t="shared" ref="AR255" si="1483">+AR239+AR253</f>
        <v>169511.96677269595</v>
      </c>
      <c r="AS255" s="1417"/>
      <c r="AT255" s="1417">
        <f t="shared" ref="AT255" si="1484">+AT239+AT253</f>
        <v>1629371.9332108602</v>
      </c>
      <c r="AU255" s="1417"/>
      <c r="AV255" s="1417">
        <f t="shared" ref="AV255" si="1485">+AV239+AV253</f>
        <v>169520.73356559101</v>
      </c>
      <c r="AW255" s="1417"/>
      <c r="AX255" s="1417">
        <f t="shared" ref="AX255" si="1486">+AX239+AX253</f>
        <v>1798887.9859127109</v>
      </c>
      <c r="AY255" s="1417"/>
      <c r="AZ255" s="1417" t="e">
        <f t="shared" ref="AZ255" si="1487">+AZ239+AZ253</f>
        <v>#REF!</v>
      </c>
      <c r="BA255" s="1417"/>
      <c r="BB255" s="1417" t="e">
        <f t="shared" ref="BB255" si="1488">+BB239+BB253</f>
        <v>#REF!</v>
      </c>
      <c r="BC255" s="1417"/>
      <c r="BD255" s="1417" t="e">
        <f t="shared" ref="BD255:BF255" si="1489">+BD239+BD253</f>
        <v>#REF!</v>
      </c>
      <c r="BE255" s="1417"/>
      <c r="BF255" s="1417" t="e">
        <f t="shared" si="1489"/>
        <v>#REF!</v>
      </c>
    </row>
    <row r="256" spans="2:58" ht="15" hidden="1" customHeight="1" x14ac:dyDescent="0.25">
      <c r="T256" s="200"/>
      <c r="V256" s="200"/>
      <c r="W256" s="189"/>
      <c r="X256" s="200"/>
      <c r="AG256" s="1726"/>
      <c r="AH256" s="1726"/>
      <c r="AI256" s="1726"/>
      <c r="AJ256" s="1726"/>
      <c r="AQ256" s="1470"/>
      <c r="AR256" s="1470"/>
      <c r="AS256" s="1470"/>
      <c r="AT256" s="1470"/>
      <c r="AU256" s="1726"/>
      <c r="AV256" s="1726"/>
      <c r="AW256" s="1726"/>
      <c r="AX256" s="1726"/>
      <c r="AY256" s="4240"/>
      <c r="AZ256" s="4240"/>
      <c r="BE256" s="4240"/>
      <c r="BF256" s="4240"/>
    </row>
    <row r="257" spans="20:58" ht="15" hidden="1" customHeight="1" x14ac:dyDescent="0.25">
      <c r="T257" s="200"/>
      <c r="V257" s="200"/>
      <c r="W257" s="189"/>
      <c r="X257" s="200"/>
      <c r="AG257" s="1726"/>
      <c r="AH257" s="1726"/>
      <c r="AI257" s="1726"/>
      <c r="AJ257" s="1726"/>
      <c r="AQ257" s="1470"/>
      <c r="AR257" s="1470"/>
      <c r="AS257" s="1470"/>
      <c r="AT257" s="1470"/>
      <c r="AU257" s="1726"/>
      <c r="AV257" s="1726"/>
      <c r="AW257" s="1726"/>
      <c r="AX257" s="1726"/>
      <c r="AY257" s="4240"/>
      <c r="AZ257" s="4240"/>
      <c r="BE257" s="4240"/>
      <c r="BF257" s="4240"/>
    </row>
    <row r="258" spans="20:58" ht="15" hidden="1" customHeight="1" x14ac:dyDescent="0.25">
      <c r="T258" s="200"/>
      <c r="V258" s="200"/>
      <c r="W258" s="189"/>
      <c r="X258" s="200"/>
      <c r="AG258" s="1726"/>
      <c r="AH258" s="1726"/>
      <c r="AI258" s="1726"/>
      <c r="AJ258" s="1726"/>
      <c r="AQ258" s="1470"/>
      <c r="AR258" s="1470"/>
      <c r="AS258" s="1470"/>
      <c r="AT258" s="1470"/>
      <c r="AU258" s="1726"/>
      <c r="AV258" s="1726"/>
      <c r="AW258" s="1726"/>
      <c r="AX258" s="1726"/>
      <c r="AY258" s="4240"/>
      <c r="AZ258" s="4240"/>
      <c r="BE258" s="4240"/>
      <c r="BF258" s="4240"/>
    </row>
    <row r="259" spans="20:58" ht="15" hidden="1" customHeight="1" x14ac:dyDescent="0.25">
      <c r="T259" s="200"/>
      <c r="V259" s="200"/>
      <c r="W259" s="189"/>
      <c r="X259" s="200"/>
      <c r="AG259" s="1726"/>
      <c r="AH259" s="1726"/>
      <c r="AI259" s="1726"/>
      <c r="AJ259" s="1726"/>
      <c r="AQ259" s="1470"/>
      <c r="AR259" s="1470"/>
      <c r="AS259" s="1470"/>
      <c r="AT259" s="1470"/>
      <c r="AU259" s="1726"/>
      <c r="AV259" s="1726"/>
      <c r="AW259" s="1726"/>
      <c r="AX259" s="1726"/>
      <c r="AY259" s="4240"/>
      <c r="AZ259" s="4240"/>
      <c r="BE259" s="4240"/>
      <c r="BF259" s="4240"/>
    </row>
    <row r="260" spans="20:58" ht="15" hidden="1" customHeight="1" x14ac:dyDescent="0.25">
      <c r="T260" s="200"/>
      <c r="V260" s="200"/>
      <c r="W260" s="189"/>
      <c r="X260" s="200"/>
      <c r="AG260" s="1726"/>
      <c r="AH260" s="1726"/>
      <c r="AI260" s="1726"/>
      <c r="AJ260" s="1726"/>
      <c r="AQ260" s="1470"/>
      <c r="AR260" s="1470"/>
      <c r="AS260" s="1470"/>
      <c r="AT260" s="1470"/>
      <c r="AU260" s="1726"/>
      <c r="AV260" s="1726"/>
      <c r="AW260" s="1726"/>
      <c r="AX260" s="1726"/>
      <c r="AY260" s="4240"/>
      <c r="AZ260" s="4240"/>
      <c r="BE260" s="4240"/>
      <c r="BF260" s="4240"/>
    </row>
    <row r="261" spans="20:58" ht="15" hidden="1" customHeight="1" x14ac:dyDescent="0.25">
      <c r="T261" s="200"/>
      <c r="V261" s="200"/>
      <c r="W261" s="189"/>
      <c r="X261" s="200"/>
      <c r="AG261" s="1726"/>
      <c r="AH261" s="1726"/>
      <c r="AI261" s="1726"/>
      <c r="AJ261" s="1726"/>
      <c r="AQ261" s="1470"/>
      <c r="AR261" s="1470"/>
      <c r="AU261" s="1726"/>
      <c r="AV261" s="1726"/>
      <c r="AW261" s="1726"/>
      <c r="AX261" s="1726"/>
      <c r="AY261" s="4240"/>
      <c r="AZ261" s="4240"/>
      <c r="BE261" s="4240"/>
      <c r="BF261" s="4240"/>
    </row>
    <row r="262" spans="20:58" ht="15" hidden="1" customHeight="1" x14ac:dyDescent="0.25">
      <c r="T262" s="200"/>
      <c r="V262" s="200"/>
      <c r="W262" s="189"/>
      <c r="X262" s="200"/>
      <c r="AG262" s="1726"/>
      <c r="AH262" s="1726"/>
      <c r="AI262" s="1726"/>
      <c r="AJ262" s="1726"/>
      <c r="AQ262" s="1470"/>
      <c r="AR262" s="1470"/>
      <c r="AU262" s="1726"/>
      <c r="AV262" s="1726"/>
      <c r="AW262" s="1726"/>
      <c r="AX262" s="1726"/>
      <c r="AY262" s="4240"/>
      <c r="AZ262" s="4240"/>
      <c r="BE262" s="4240"/>
      <c r="BF262" s="4240"/>
    </row>
    <row r="263" spans="20:58" ht="15" hidden="1" customHeight="1" x14ac:dyDescent="0.25">
      <c r="T263" s="200"/>
      <c r="V263" s="200"/>
      <c r="W263" s="189"/>
      <c r="X263" s="200"/>
      <c r="AG263" s="1726"/>
      <c r="AH263" s="1726"/>
      <c r="AI263" s="1726"/>
      <c r="AJ263" s="1726"/>
      <c r="AU263" s="1726"/>
      <c r="AV263" s="1726"/>
      <c r="AW263" s="1726"/>
      <c r="AX263" s="1726"/>
      <c r="AY263" s="4240"/>
      <c r="AZ263" s="4240"/>
      <c r="BE263" s="4240"/>
      <c r="BF263" s="4240"/>
    </row>
    <row r="264" spans="20:58" ht="15" hidden="1" customHeight="1" x14ac:dyDescent="0.25">
      <c r="T264" s="200"/>
      <c r="V264" s="200"/>
      <c r="W264" s="189"/>
      <c r="X264" s="200"/>
      <c r="AG264" s="1726"/>
      <c r="AH264" s="1726"/>
      <c r="AI264" s="1726"/>
      <c r="AJ264" s="1726"/>
      <c r="AU264" s="1726"/>
      <c r="AV264" s="1726"/>
      <c r="AW264" s="1726"/>
      <c r="AX264" s="1726"/>
      <c r="AY264" s="4240"/>
      <c r="AZ264" s="4240"/>
      <c r="BE264" s="4240"/>
      <c r="BF264" s="4240"/>
    </row>
    <row r="265" spans="20:58" ht="15" hidden="1" customHeight="1" x14ac:dyDescent="0.25">
      <c r="T265" s="200"/>
      <c r="V265" s="200"/>
      <c r="W265" s="189"/>
      <c r="X265" s="200"/>
      <c r="AG265" s="1726"/>
      <c r="AH265" s="1726"/>
      <c r="AI265" s="1726"/>
      <c r="AJ265" s="1726"/>
      <c r="AU265" s="1726"/>
      <c r="AV265" s="1726"/>
      <c r="AW265" s="1726"/>
      <c r="AX265" s="1726"/>
      <c r="AY265" s="4240"/>
      <c r="AZ265" s="4240"/>
      <c r="BE265" s="4240"/>
      <c r="BF265" s="4240"/>
    </row>
    <row r="266" spans="20:58" ht="15" hidden="1" customHeight="1" x14ac:dyDescent="0.25">
      <c r="T266" s="200"/>
      <c r="V266" s="200"/>
      <c r="W266" s="189"/>
      <c r="X266" s="200"/>
      <c r="AG266" s="1726"/>
      <c r="AH266" s="1726"/>
      <c r="AI266" s="1726"/>
      <c r="AJ266" s="1726"/>
      <c r="AU266" s="1726"/>
      <c r="AV266" s="1726"/>
      <c r="AW266" s="1726"/>
      <c r="AX266" s="1726"/>
      <c r="AY266" s="4240"/>
      <c r="AZ266" s="4240"/>
      <c r="BE266" s="4240"/>
      <c r="BF266" s="4240"/>
    </row>
    <row r="267" spans="20:58" ht="15" hidden="1" customHeight="1" x14ac:dyDescent="0.25">
      <c r="T267" s="200"/>
      <c r="V267" s="200"/>
      <c r="W267" s="189"/>
      <c r="X267" s="200"/>
      <c r="AG267" s="1726"/>
      <c r="AH267" s="1726"/>
      <c r="AI267" s="1726"/>
      <c r="AJ267" s="1726"/>
      <c r="AU267" s="1726"/>
      <c r="AV267" s="1726"/>
      <c r="AW267" s="1726"/>
      <c r="AX267" s="1726"/>
      <c r="AY267" s="4240"/>
      <c r="AZ267" s="4240"/>
      <c r="BE267" s="4240"/>
      <c r="BF267" s="4240"/>
    </row>
    <row r="268" spans="20:58" ht="15" hidden="1" customHeight="1" x14ac:dyDescent="0.25">
      <c r="T268" s="200"/>
      <c r="V268" s="200"/>
      <c r="W268" s="189"/>
      <c r="X268" s="200"/>
      <c r="AG268" s="1726"/>
      <c r="AH268" s="1726"/>
      <c r="AI268" s="1726"/>
      <c r="AJ268" s="1726"/>
      <c r="AU268" s="1726"/>
      <c r="AV268" s="1726"/>
      <c r="AW268" s="1726"/>
      <c r="AX268" s="1726"/>
      <c r="AY268" s="4240"/>
      <c r="AZ268" s="4240"/>
      <c r="BE268" s="4240"/>
      <c r="BF268" s="4240"/>
    </row>
    <row r="269" spans="20:58" ht="15" hidden="1" customHeight="1" x14ac:dyDescent="0.25">
      <c r="T269" s="200"/>
      <c r="V269" s="200"/>
      <c r="W269" s="189"/>
      <c r="X269" s="200"/>
      <c r="AG269" s="1726"/>
      <c r="AH269" s="1726"/>
      <c r="AI269" s="1726"/>
      <c r="AJ269" s="1726"/>
      <c r="AU269" s="1726"/>
      <c r="AV269" s="1726"/>
      <c r="AW269" s="1726"/>
      <c r="AX269" s="1726"/>
      <c r="AY269" s="4240"/>
      <c r="AZ269" s="4240"/>
      <c r="BE269" s="4240"/>
      <c r="BF269" s="4240"/>
    </row>
    <row r="270" spans="20:58" ht="15" hidden="1" customHeight="1" x14ac:dyDescent="0.25">
      <c r="T270" s="200"/>
      <c r="V270" s="200"/>
      <c r="W270" s="189"/>
      <c r="X270" s="200"/>
      <c r="AG270" s="1726"/>
      <c r="AH270" s="1726"/>
      <c r="AI270" s="1726"/>
      <c r="AJ270" s="1726"/>
      <c r="AU270" s="1726"/>
      <c r="AV270" s="1726"/>
      <c r="AW270" s="1726"/>
      <c r="AX270" s="1726"/>
      <c r="AY270" s="4240"/>
      <c r="AZ270" s="4240"/>
      <c r="BE270" s="4240"/>
      <c r="BF270" s="4240"/>
    </row>
    <row r="271" spans="20:58" ht="15" hidden="1" customHeight="1" x14ac:dyDescent="0.25">
      <c r="T271" s="200"/>
      <c r="V271" s="200"/>
      <c r="W271" s="189"/>
      <c r="X271" s="200"/>
      <c r="AG271" s="1726"/>
      <c r="AH271" s="1726"/>
      <c r="AI271" s="1726"/>
      <c r="AJ271" s="1726"/>
      <c r="AU271" s="1726"/>
      <c r="AV271" s="1726"/>
      <c r="AW271" s="1726"/>
      <c r="AX271" s="1726"/>
      <c r="AY271" s="4240"/>
      <c r="AZ271" s="4240"/>
      <c r="BE271" s="4240"/>
      <c r="BF271" s="4240"/>
    </row>
    <row r="272" spans="20:58" ht="15" hidden="1" customHeight="1" x14ac:dyDescent="0.25">
      <c r="T272" s="200"/>
      <c r="V272" s="200"/>
      <c r="W272" s="189"/>
      <c r="X272" s="200"/>
      <c r="AG272" s="1726"/>
      <c r="AH272" s="1726"/>
      <c r="AI272" s="1726"/>
      <c r="AJ272" s="1726"/>
      <c r="AU272" s="1726"/>
      <c r="AV272" s="1726"/>
      <c r="AW272" s="1726"/>
      <c r="AX272" s="1726"/>
      <c r="AY272" s="4240"/>
      <c r="AZ272" s="4240"/>
      <c r="BE272" s="4240"/>
      <c r="BF272" s="4240"/>
    </row>
    <row r="273" spans="20:58" ht="15" hidden="1" customHeight="1" x14ac:dyDescent="0.25">
      <c r="T273" s="200"/>
      <c r="V273" s="200"/>
      <c r="W273" s="189"/>
      <c r="X273" s="200"/>
      <c r="AG273" s="1726"/>
      <c r="AH273" s="1726"/>
      <c r="AI273" s="1726"/>
      <c r="AJ273" s="1726"/>
      <c r="AU273" s="1726"/>
      <c r="AV273" s="1726"/>
      <c r="AW273" s="1726"/>
      <c r="AX273" s="1726"/>
      <c r="AY273" s="4240"/>
      <c r="AZ273" s="4240"/>
      <c r="BE273" s="4240"/>
      <c r="BF273" s="4240"/>
    </row>
    <row r="274" spans="20:58" ht="15" hidden="1" customHeight="1" x14ac:dyDescent="0.25">
      <c r="T274" s="200"/>
      <c r="V274" s="200"/>
      <c r="W274" s="189"/>
      <c r="X274" s="200"/>
      <c r="AG274" s="1726"/>
      <c r="AH274" s="1726"/>
      <c r="AI274" s="1726"/>
      <c r="AJ274" s="1726"/>
      <c r="AU274" s="1726"/>
      <c r="AV274" s="1726"/>
      <c r="AW274" s="1726"/>
      <c r="AX274" s="1726"/>
      <c r="AY274" s="4240"/>
      <c r="AZ274" s="4240"/>
      <c r="BE274" s="4240"/>
      <c r="BF274" s="4240"/>
    </row>
    <row r="275" spans="20:58" ht="15" hidden="1" customHeight="1" x14ac:dyDescent="0.25">
      <c r="T275" s="200"/>
      <c r="V275" s="200"/>
      <c r="W275" s="189"/>
      <c r="X275" s="200"/>
      <c r="AG275" s="1726"/>
      <c r="AH275" s="1726"/>
      <c r="AI275" s="1726"/>
      <c r="AJ275" s="1726"/>
      <c r="AU275" s="1726"/>
      <c r="AV275" s="1726"/>
      <c r="AW275" s="1726"/>
      <c r="AX275" s="1726"/>
      <c r="AY275" s="4240"/>
      <c r="AZ275" s="4240"/>
      <c r="BE275" s="4240"/>
      <c r="BF275" s="4240"/>
    </row>
    <row r="276" spans="20:58" ht="15" hidden="1" customHeight="1" x14ac:dyDescent="0.25">
      <c r="T276" s="200"/>
      <c r="V276" s="200"/>
      <c r="W276" s="189"/>
      <c r="X276" s="200"/>
      <c r="AG276" s="1726"/>
      <c r="AH276" s="1726"/>
      <c r="AI276" s="1726"/>
      <c r="AJ276" s="1726"/>
      <c r="AU276" s="1726"/>
      <c r="AV276" s="1726"/>
      <c r="AW276" s="1726"/>
      <c r="AX276" s="1726"/>
      <c r="AY276" s="4240"/>
      <c r="AZ276" s="4240"/>
      <c r="BE276" s="4240"/>
      <c r="BF276" s="4240"/>
    </row>
    <row r="277" spans="20:58" ht="15" hidden="1" customHeight="1" x14ac:dyDescent="0.25">
      <c r="T277" s="200"/>
      <c r="V277" s="200"/>
      <c r="W277" s="189"/>
      <c r="X277" s="200"/>
      <c r="AG277" s="1726"/>
      <c r="AH277" s="1726"/>
      <c r="AI277" s="1726"/>
      <c r="AJ277" s="1726"/>
      <c r="AU277" s="1726"/>
      <c r="AV277" s="1726"/>
      <c r="AW277" s="1726"/>
      <c r="AX277" s="1726"/>
      <c r="AY277" s="4240"/>
      <c r="AZ277" s="4240"/>
      <c r="BE277" s="4240"/>
      <c r="BF277" s="4240"/>
    </row>
    <row r="278" spans="20:58" ht="15" hidden="1" customHeight="1" x14ac:dyDescent="0.25">
      <c r="T278" s="200"/>
      <c r="V278" s="200"/>
      <c r="W278" s="189"/>
      <c r="X278" s="200"/>
      <c r="AG278" s="1726"/>
      <c r="AH278" s="1726"/>
      <c r="AI278" s="1726"/>
      <c r="AJ278" s="1726"/>
      <c r="AU278" s="1726"/>
      <c r="AV278" s="1726"/>
      <c r="AW278" s="1726"/>
      <c r="AX278" s="1726"/>
      <c r="AY278" s="4240"/>
      <c r="AZ278" s="4240"/>
      <c r="BE278" s="4240"/>
      <c r="BF278" s="4240"/>
    </row>
    <row r="279" spans="20:58" ht="15" hidden="1" customHeight="1" x14ac:dyDescent="0.25">
      <c r="T279" s="200"/>
      <c r="V279" s="200"/>
      <c r="W279" s="189"/>
      <c r="X279" s="200"/>
      <c r="AG279" s="1726"/>
      <c r="AH279" s="1726"/>
      <c r="AI279" s="1726"/>
      <c r="AJ279" s="1726"/>
      <c r="AU279" s="1726"/>
      <c r="AV279" s="1726"/>
      <c r="AW279" s="1726"/>
      <c r="AX279" s="1726"/>
      <c r="AY279" s="4240"/>
      <c r="AZ279" s="4240"/>
      <c r="BE279" s="4240"/>
      <c r="BF279" s="4240"/>
    </row>
    <row r="280" spans="20:58" ht="15" hidden="1" customHeight="1" x14ac:dyDescent="0.25">
      <c r="T280" s="200"/>
      <c r="V280" s="200"/>
      <c r="W280" s="189"/>
      <c r="X280" s="200"/>
      <c r="AG280" s="1726"/>
      <c r="AH280" s="1726"/>
      <c r="AI280" s="1726"/>
      <c r="AJ280" s="1726"/>
      <c r="AU280" s="1726"/>
      <c r="AV280" s="1726"/>
      <c r="AW280" s="1726"/>
      <c r="AX280" s="1726"/>
      <c r="AY280" s="4240"/>
      <c r="AZ280" s="4240"/>
      <c r="BE280" s="4240"/>
      <c r="BF280" s="4240"/>
    </row>
    <row r="281" spans="20:58" ht="15" hidden="1" customHeight="1" x14ac:dyDescent="0.25">
      <c r="T281" s="200"/>
      <c r="V281" s="200"/>
      <c r="W281" s="189"/>
      <c r="X281" s="200"/>
      <c r="AG281" s="1726"/>
      <c r="AH281" s="1726"/>
      <c r="AI281" s="1726"/>
      <c r="AJ281" s="1726"/>
      <c r="AU281" s="1726"/>
      <c r="AV281" s="1726"/>
      <c r="AW281" s="1726"/>
      <c r="AX281" s="1726"/>
      <c r="AY281" s="4240"/>
      <c r="AZ281" s="4240"/>
      <c r="BE281" s="4240"/>
      <c r="BF281" s="4240"/>
    </row>
    <row r="282" spans="20:58" ht="15" hidden="1" customHeight="1" x14ac:dyDescent="0.25">
      <c r="T282" s="200"/>
      <c r="V282" s="200"/>
      <c r="W282" s="189"/>
      <c r="X282" s="200"/>
      <c r="AG282" s="1726"/>
      <c r="AH282" s="1726"/>
      <c r="AI282" s="1726"/>
      <c r="AJ282" s="1726"/>
      <c r="AU282" s="1726"/>
      <c r="AV282" s="1726"/>
      <c r="AW282" s="1726"/>
      <c r="AX282" s="1726"/>
      <c r="AY282" s="4240"/>
      <c r="AZ282" s="4240"/>
      <c r="BE282" s="4240"/>
      <c r="BF282" s="4240"/>
    </row>
    <row r="283" spans="20:58" ht="15" hidden="1" customHeight="1" x14ac:dyDescent="0.25">
      <c r="T283" s="200"/>
      <c r="V283" s="200"/>
      <c r="W283" s="189"/>
      <c r="X283" s="200"/>
      <c r="AG283" s="1726"/>
      <c r="AH283" s="1726"/>
      <c r="AI283" s="1726"/>
      <c r="AJ283" s="1726"/>
      <c r="AU283" s="1726"/>
      <c r="AV283" s="1726"/>
      <c r="AW283" s="1726"/>
      <c r="AX283" s="1726"/>
      <c r="AY283" s="4240"/>
      <c r="AZ283" s="4240"/>
      <c r="BE283" s="4240"/>
      <c r="BF283" s="4240"/>
    </row>
    <row r="284" spans="20:58" ht="15" hidden="1" customHeight="1" x14ac:dyDescent="0.25">
      <c r="T284" s="200"/>
      <c r="V284" s="200"/>
      <c r="W284" s="189"/>
      <c r="X284" s="200"/>
      <c r="AG284" s="1726"/>
      <c r="AH284" s="1726"/>
      <c r="AI284" s="1726"/>
      <c r="AJ284" s="1726"/>
      <c r="AU284" s="1726"/>
      <c r="AV284" s="1726"/>
      <c r="AW284" s="1726"/>
      <c r="AX284" s="1726"/>
      <c r="AY284" s="4240"/>
      <c r="AZ284" s="4240"/>
      <c r="BE284" s="4240"/>
      <c r="BF284" s="4240"/>
    </row>
    <row r="285" spans="20:58" x14ac:dyDescent="0.25">
      <c r="T285" s="200"/>
      <c r="V285" s="200"/>
      <c r="W285" s="189"/>
      <c r="X285" s="200"/>
      <c r="AG285" s="1726"/>
      <c r="AH285" s="1726"/>
      <c r="AI285" s="1726"/>
      <c r="AJ285" s="1726"/>
      <c r="AU285" s="1726"/>
      <c r="AV285" s="1726"/>
      <c r="AW285" s="1726"/>
      <c r="AX285" s="1726"/>
      <c r="AY285" s="4240"/>
      <c r="AZ285" s="4240"/>
      <c r="BE285" s="4240"/>
      <c r="BF285" s="4240"/>
    </row>
    <row r="286" spans="20:58" x14ac:dyDescent="0.25">
      <c r="T286" s="200"/>
      <c r="V286" s="200"/>
      <c r="W286" s="189"/>
      <c r="X286" s="200"/>
      <c r="AG286" s="1726"/>
      <c r="AH286" s="1726"/>
      <c r="AI286" s="1726"/>
      <c r="AJ286" s="1726"/>
      <c r="AU286" s="1726"/>
      <c r="AV286" s="1726"/>
      <c r="AW286" s="1726"/>
      <c r="AX286" s="1726"/>
      <c r="AY286" s="4240"/>
      <c r="AZ286" s="4240"/>
      <c r="BE286" s="4240"/>
      <c r="BF286" s="4240"/>
    </row>
    <row r="287" spans="20:58" x14ac:dyDescent="0.25">
      <c r="T287" s="200"/>
      <c r="V287" s="200"/>
      <c r="W287" s="189"/>
      <c r="X287" s="200"/>
      <c r="AG287" s="1726"/>
      <c r="AH287" s="1726"/>
      <c r="AI287" s="1726"/>
      <c r="AJ287" s="1726"/>
      <c r="AU287" s="1726"/>
      <c r="AV287" s="1726"/>
      <c r="AW287" s="1726"/>
      <c r="AX287" s="1726"/>
      <c r="AY287" s="4240"/>
      <c r="AZ287" s="4240"/>
      <c r="BE287" s="4240"/>
      <c r="BF287" s="4240"/>
    </row>
    <row r="288" spans="20:58" x14ac:dyDescent="0.25">
      <c r="T288" s="200"/>
      <c r="V288" s="200"/>
      <c r="W288" s="189"/>
      <c r="X288" s="200"/>
      <c r="AG288" s="1726"/>
      <c r="AH288" s="1726"/>
      <c r="AI288" s="1726"/>
      <c r="AJ288" s="1726"/>
      <c r="AU288" s="1726"/>
      <c r="AV288" s="1726"/>
      <c r="AW288" s="1726"/>
      <c r="AX288" s="1726"/>
      <c r="AY288" s="4240"/>
      <c r="AZ288" s="4240"/>
      <c r="BE288" s="4240"/>
      <c r="BF288" s="4240"/>
    </row>
    <row r="289" spans="20:58" x14ac:dyDescent="0.25">
      <c r="T289" s="200"/>
      <c r="V289" s="200"/>
      <c r="W289" s="189"/>
      <c r="X289" s="200"/>
      <c r="AG289" s="1726"/>
      <c r="AH289" s="1726"/>
      <c r="AI289" s="1726"/>
      <c r="AJ289" s="1726"/>
      <c r="AU289" s="1726"/>
      <c r="AV289" s="1726"/>
      <c r="AW289" s="1726"/>
      <c r="AX289" s="1726"/>
      <c r="AY289" s="4240"/>
      <c r="AZ289" s="4240"/>
      <c r="BE289" s="4240"/>
      <c r="BF289" s="4240"/>
    </row>
    <row r="290" spans="20:58" x14ac:dyDescent="0.25">
      <c r="T290" s="200"/>
      <c r="V290" s="200"/>
      <c r="W290" s="189"/>
      <c r="X290" s="200"/>
      <c r="AG290" s="1726"/>
      <c r="AH290" s="1726"/>
      <c r="AI290" s="1726"/>
      <c r="AJ290" s="1726"/>
      <c r="AU290" s="1726"/>
      <c r="AV290" s="1726"/>
      <c r="AW290" s="1726"/>
      <c r="AX290" s="1726"/>
      <c r="AY290" s="4240"/>
      <c r="AZ290" s="4240"/>
      <c r="BE290" s="4240"/>
      <c r="BF290" s="4240"/>
    </row>
    <row r="291" spans="20:58" x14ac:dyDescent="0.25">
      <c r="T291" s="200"/>
      <c r="V291" s="200"/>
      <c r="W291" s="189"/>
      <c r="X291" s="200"/>
      <c r="AG291" s="1726"/>
      <c r="AH291" s="1726"/>
      <c r="AI291" s="1726"/>
      <c r="AJ291" s="1726"/>
      <c r="AU291" s="1726"/>
      <c r="AV291" s="1726"/>
      <c r="AW291" s="1726"/>
      <c r="AX291" s="1726"/>
      <c r="AY291" s="4240"/>
      <c r="AZ291" s="4240"/>
      <c r="BC291" s="1548"/>
      <c r="BD291" s="1548"/>
      <c r="BE291" s="4240"/>
      <c r="BF291" s="4240"/>
    </row>
    <row r="292" spans="20:58" x14ac:dyDescent="0.25">
      <c r="T292" s="200"/>
      <c r="V292" s="200"/>
      <c r="W292" s="189"/>
      <c r="X292" s="200"/>
      <c r="AG292" s="1726"/>
      <c r="AH292" s="1726"/>
      <c r="AI292" s="1726"/>
      <c r="AJ292" s="1726"/>
      <c r="AU292" s="1726"/>
      <c r="AV292" s="1726"/>
      <c r="AW292" s="1726"/>
      <c r="AX292" s="1726"/>
      <c r="AY292" s="4240"/>
      <c r="AZ292" s="4240"/>
      <c r="BE292" s="4240"/>
      <c r="BF292" s="4240"/>
    </row>
    <row r="293" spans="20:58" x14ac:dyDescent="0.25">
      <c r="T293" s="200"/>
      <c r="V293" s="200"/>
      <c r="W293" s="189"/>
      <c r="X293" s="200"/>
      <c r="AG293" s="1726"/>
      <c r="AH293" s="1726"/>
      <c r="AI293" s="1726"/>
      <c r="AJ293" s="1726"/>
      <c r="AW293" s="1726"/>
      <c r="AX293" s="1726"/>
      <c r="AY293" s="4240"/>
      <c r="AZ293" s="4240"/>
      <c r="BE293" s="4240"/>
      <c r="BF293" s="4240"/>
    </row>
    <row r="294" spans="20:58" x14ac:dyDescent="0.25">
      <c r="T294" s="200"/>
      <c r="V294" s="200"/>
      <c r="W294" s="189"/>
      <c r="X294" s="200"/>
      <c r="AG294" s="1726"/>
      <c r="AH294" s="1726"/>
      <c r="AI294" s="1726"/>
      <c r="AJ294" s="1726"/>
      <c r="AW294" s="1726"/>
      <c r="AX294" s="1726"/>
      <c r="AY294" s="4240"/>
      <c r="AZ294" s="4240"/>
      <c r="BE294" s="4240"/>
      <c r="BF294" s="4240"/>
    </row>
    <row r="295" spans="20:58" x14ac:dyDescent="0.25">
      <c r="T295" s="200"/>
      <c r="V295" s="200"/>
      <c r="W295" s="189"/>
      <c r="X295" s="200"/>
      <c r="AG295" s="1726"/>
      <c r="AH295" s="1726"/>
      <c r="AI295" s="1726"/>
      <c r="AJ295" s="1726"/>
      <c r="AW295" s="1726"/>
      <c r="AX295" s="1726"/>
      <c r="AY295" s="4240"/>
      <c r="AZ295" s="4240"/>
      <c r="BE295" s="4240"/>
      <c r="BF295" s="4240"/>
    </row>
    <row r="296" spans="20:58" x14ac:dyDescent="0.25">
      <c r="T296" s="200"/>
      <c r="V296" s="200"/>
      <c r="W296" s="189"/>
      <c r="X296" s="200"/>
      <c r="AG296" s="1726"/>
      <c r="AH296" s="1726"/>
      <c r="AI296" s="1726"/>
      <c r="AJ296" s="1726"/>
      <c r="AW296" s="1726"/>
      <c r="AX296" s="1726"/>
      <c r="AY296" s="4240"/>
      <c r="AZ296" s="4240"/>
      <c r="BE296" s="4240"/>
      <c r="BF296" s="4240"/>
    </row>
    <row r="297" spans="20:58" x14ac:dyDescent="0.25">
      <c r="T297" s="200"/>
      <c r="V297" s="200"/>
      <c r="W297" s="189"/>
      <c r="X297" s="200"/>
      <c r="AG297" s="1726"/>
      <c r="AH297" s="1726"/>
      <c r="AI297" s="1726"/>
      <c r="AJ297" s="1726"/>
      <c r="AW297" s="1726"/>
      <c r="AX297" s="1726"/>
      <c r="AY297" s="4240"/>
      <c r="AZ297" s="4240"/>
      <c r="BE297" s="4240"/>
      <c r="BF297" s="4240"/>
    </row>
    <row r="298" spans="20:58" x14ac:dyDescent="0.25">
      <c r="T298" s="200"/>
      <c r="V298" s="200"/>
      <c r="W298" s="189"/>
      <c r="X298" s="200"/>
      <c r="AG298" s="1726"/>
      <c r="AH298" s="1726"/>
      <c r="AI298" s="1726"/>
      <c r="AJ298" s="1726"/>
      <c r="AW298" s="1726"/>
      <c r="AX298" s="1726"/>
      <c r="AY298" s="4240"/>
      <c r="AZ298" s="4240"/>
      <c r="BE298" s="4240"/>
      <c r="BF298" s="4240"/>
    </row>
    <row r="299" spans="20:58" x14ac:dyDescent="0.25">
      <c r="T299" s="200"/>
      <c r="V299" s="200"/>
      <c r="W299" s="189"/>
      <c r="X299" s="200"/>
      <c r="AG299" s="1726"/>
      <c r="AH299" s="1726"/>
      <c r="AI299" s="1726"/>
      <c r="AJ299" s="1726"/>
      <c r="AW299" s="1726"/>
      <c r="AX299" s="1726"/>
      <c r="AY299" s="4240"/>
      <c r="AZ299" s="4240"/>
      <c r="BE299" s="4240"/>
      <c r="BF299" s="4240"/>
    </row>
    <row r="300" spans="20:58" x14ac:dyDescent="0.25">
      <c r="T300" s="200"/>
      <c r="V300" s="200"/>
      <c r="W300" s="189"/>
      <c r="X300" s="200"/>
      <c r="AG300" s="1726"/>
      <c r="AH300" s="1726"/>
      <c r="AI300" s="1726"/>
      <c r="AJ300" s="1726"/>
      <c r="AW300" s="1726"/>
      <c r="AX300" s="1726"/>
      <c r="AY300" s="4240"/>
      <c r="AZ300" s="4240"/>
      <c r="BE300" s="4240"/>
      <c r="BF300" s="4240"/>
    </row>
    <row r="301" spans="20:58" x14ac:dyDescent="0.25">
      <c r="T301" s="200"/>
      <c r="V301" s="200"/>
      <c r="W301" s="189"/>
      <c r="X301" s="200"/>
      <c r="AW301" s="1726"/>
      <c r="AX301" s="1726"/>
      <c r="AY301" s="4240"/>
      <c r="AZ301" s="4240"/>
      <c r="BE301" s="4240"/>
      <c r="BF301" s="4240"/>
    </row>
    <row r="302" spans="20:58" x14ac:dyDescent="0.25">
      <c r="T302" s="200"/>
      <c r="V302" s="200"/>
      <c r="W302" s="189"/>
      <c r="X302" s="200"/>
      <c r="AW302" s="1726"/>
      <c r="AX302" s="1726"/>
      <c r="AY302" s="4240"/>
      <c r="AZ302" s="4240"/>
      <c r="BE302" s="4240"/>
      <c r="BF302" s="4240"/>
    </row>
    <row r="303" spans="20:58" x14ac:dyDescent="0.25">
      <c r="T303" s="200"/>
      <c r="V303" s="200"/>
      <c r="W303" s="189"/>
      <c r="X303" s="200"/>
      <c r="AW303" s="1726"/>
      <c r="AX303" s="1726"/>
      <c r="AY303" s="4240"/>
      <c r="AZ303" s="4240"/>
      <c r="BE303" s="4240"/>
      <c r="BF303" s="4240"/>
    </row>
    <row r="304" spans="20:58" x14ac:dyDescent="0.25">
      <c r="T304" s="200"/>
      <c r="V304" s="200"/>
      <c r="W304" s="189"/>
      <c r="X304" s="200"/>
      <c r="AW304" s="1726"/>
      <c r="AX304" s="1726"/>
      <c r="AY304" s="4240"/>
      <c r="AZ304" s="4240"/>
      <c r="BE304" s="4240"/>
      <c r="BF304" s="4240"/>
    </row>
    <row r="305" spans="20:24" x14ac:dyDescent="0.25">
      <c r="T305" s="200"/>
      <c r="V305" s="200"/>
      <c r="W305" s="189"/>
      <c r="X305" s="200"/>
    </row>
    <row r="306" spans="20:24" x14ac:dyDescent="0.25">
      <c r="T306" s="200"/>
      <c r="V306" s="200"/>
      <c r="W306" s="189"/>
      <c r="X306" s="200"/>
    </row>
    <row r="307" spans="20:24" x14ac:dyDescent="0.25">
      <c r="T307" s="200"/>
      <c r="V307" s="200"/>
      <c r="W307" s="189"/>
      <c r="X307" s="200"/>
    </row>
    <row r="308" spans="20:24" x14ac:dyDescent="0.25">
      <c r="T308" s="200"/>
      <c r="V308" s="200"/>
      <c r="W308" s="189"/>
      <c r="X308" s="200"/>
    </row>
    <row r="309" spans="20:24" x14ac:dyDescent="0.25">
      <c r="T309" s="200"/>
      <c r="V309" s="200"/>
    </row>
    <row r="310" spans="20:24" x14ac:dyDescent="0.25">
      <c r="T310" s="200"/>
      <c r="V310" s="200"/>
    </row>
    <row r="311" spans="20:24" x14ac:dyDescent="0.25">
      <c r="T311" s="200"/>
      <c r="V311" s="200"/>
    </row>
  </sheetData>
  <mergeCells count="142">
    <mergeCell ref="AM75:AM77"/>
    <mergeCell ref="AO75:AO77"/>
    <mergeCell ref="BA75:BA77"/>
    <mergeCell ref="Y89:Y91"/>
    <mergeCell ref="AA89:AA91"/>
    <mergeCell ref="AM89:AM91"/>
    <mergeCell ref="AO89:AO91"/>
    <mergeCell ref="AM103:AM105"/>
    <mergeCell ref="AO103:AO105"/>
    <mergeCell ref="BA89:BA91"/>
    <mergeCell ref="BA103:BA105"/>
    <mergeCell ref="AS75:AS77"/>
    <mergeCell ref="AS89:AS91"/>
    <mergeCell ref="AS103:AS105"/>
    <mergeCell ref="AI103:AI105"/>
    <mergeCell ref="AK75:AK77"/>
    <mergeCell ref="AK89:AK91"/>
    <mergeCell ref="Y103:Y105"/>
    <mergeCell ref="AA103:AA105"/>
    <mergeCell ref="BE175:BE177"/>
    <mergeCell ref="BA3:BB3"/>
    <mergeCell ref="BA175:BA177"/>
    <mergeCell ref="BC75:BC77"/>
    <mergeCell ref="BC89:BC91"/>
    <mergeCell ref="BC103:BC105"/>
    <mergeCell ref="BC175:BC177"/>
    <mergeCell ref="D75:D77"/>
    <mergeCell ref="D89:D91"/>
    <mergeCell ref="D103:D105"/>
    <mergeCell ref="D175:D177"/>
    <mergeCell ref="W75:W77"/>
    <mergeCell ref="W89:W91"/>
    <mergeCell ref="W103:W105"/>
    <mergeCell ref="W175:W177"/>
    <mergeCell ref="S175:S177"/>
    <mergeCell ref="U175:U177"/>
    <mergeCell ref="S75:S77"/>
    <mergeCell ref="U75:U77"/>
    <mergeCell ref="S89:S91"/>
    <mergeCell ref="U89:U91"/>
    <mergeCell ref="S103:S105"/>
    <mergeCell ref="U103:U105"/>
    <mergeCell ref="AA75:AA77"/>
    <mergeCell ref="E175:E177"/>
    <mergeCell ref="G175:G177"/>
    <mergeCell ref="I175:I177"/>
    <mergeCell ref="K175:K177"/>
    <mergeCell ref="M175:M177"/>
    <mergeCell ref="O175:O177"/>
    <mergeCell ref="Q175:Q177"/>
    <mergeCell ref="Q89:Q91"/>
    <mergeCell ref="E103:E105"/>
    <mergeCell ref="G103:G105"/>
    <mergeCell ref="I103:I105"/>
    <mergeCell ref="K103:K105"/>
    <mergeCell ref="M103:M105"/>
    <mergeCell ref="O103:O105"/>
    <mergeCell ref="Q103:Q105"/>
    <mergeCell ref="Q75:Q77"/>
    <mergeCell ref="AC75:AC77"/>
    <mergeCell ref="AE75:AE77"/>
    <mergeCell ref="AC89:AC91"/>
    <mergeCell ref="AE89:AE91"/>
    <mergeCell ref="AG75:AG77"/>
    <mergeCell ref="S3:T3"/>
    <mergeCell ref="U3:V3"/>
    <mergeCell ref="AG103:AG105"/>
    <mergeCell ref="Y75:Y77"/>
    <mergeCell ref="O75:O77"/>
    <mergeCell ref="E89:E91"/>
    <mergeCell ref="G89:G91"/>
    <mergeCell ref="I89:I91"/>
    <mergeCell ref="K89:K91"/>
    <mergeCell ref="M89:M91"/>
    <mergeCell ref="O89:O91"/>
    <mergeCell ref="E75:E77"/>
    <mergeCell ref="G75:G77"/>
    <mergeCell ref="I75:I77"/>
    <mergeCell ref="K75:K77"/>
    <mergeCell ref="M75:M77"/>
    <mergeCell ref="B3:B4"/>
    <mergeCell ref="K3:L3"/>
    <mergeCell ref="M3:N3"/>
    <mergeCell ref="E3:F3"/>
    <mergeCell ref="G3:H3"/>
    <mergeCell ref="I3:J3"/>
    <mergeCell ref="C3:C4"/>
    <mergeCell ref="D3:D4"/>
    <mergeCell ref="AK3:AL3"/>
    <mergeCell ref="O3:P3"/>
    <mergeCell ref="Q3:R3"/>
    <mergeCell ref="Y3:Z3"/>
    <mergeCell ref="AG3:AH3"/>
    <mergeCell ref="AE3:AF3"/>
    <mergeCell ref="AM3:AN3"/>
    <mergeCell ref="AO3:AP3"/>
    <mergeCell ref="AS3:AT3"/>
    <mergeCell ref="W3:X3"/>
    <mergeCell ref="AA3:AB3"/>
    <mergeCell ref="AI3:AJ3"/>
    <mergeCell ref="AC3:AD3"/>
    <mergeCell ref="AQ3:AR3"/>
    <mergeCell ref="BE3:BF3"/>
    <mergeCell ref="AS175:AS177"/>
    <mergeCell ref="BC3:BD3"/>
    <mergeCell ref="AU3:AV3"/>
    <mergeCell ref="AW3:AX3"/>
    <mergeCell ref="AU75:AU77"/>
    <mergeCell ref="AU89:AU91"/>
    <mergeCell ref="AU103:AU105"/>
    <mergeCell ref="AU175:AU177"/>
    <mergeCell ref="AW75:AW77"/>
    <mergeCell ref="AW89:AW91"/>
    <mergeCell ref="AW103:AW105"/>
    <mergeCell ref="AW175:AW177"/>
    <mergeCell ref="AY3:AZ3"/>
    <mergeCell ref="AY75:AY77"/>
    <mergeCell ref="AY175:AY177"/>
    <mergeCell ref="BE75:BE77"/>
    <mergeCell ref="AY89:AY91"/>
    <mergeCell ref="BE89:BE91"/>
    <mergeCell ref="AY103:AY105"/>
    <mergeCell ref="BE103:BE105"/>
    <mergeCell ref="Y175:Y177"/>
    <mergeCell ref="AA175:AA177"/>
    <mergeCell ref="AC175:AC177"/>
    <mergeCell ref="AE175:AE177"/>
    <mergeCell ref="AC103:AC105"/>
    <mergeCell ref="AE103:AE105"/>
    <mergeCell ref="AQ75:AQ77"/>
    <mergeCell ref="AQ89:AQ91"/>
    <mergeCell ref="AQ103:AQ105"/>
    <mergeCell ref="AQ175:AQ177"/>
    <mergeCell ref="AK103:AK105"/>
    <mergeCell ref="AK175:AK177"/>
    <mergeCell ref="AO175:AO177"/>
    <mergeCell ref="AM175:AM177"/>
    <mergeCell ref="AG175:AG177"/>
    <mergeCell ref="AI175:AI177"/>
    <mergeCell ref="AI75:AI77"/>
    <mergeCell ref="AG89:AG91"/>
    <mergeCell ref="AI89:AI91"/>
  </mergeCells>
  <printOptions horizontalCentered="1" verticalCentered="1"/>
  <pageMargins left="0" right="0" top="0" bottom="0" header="0.31496062992125984" footer="0.31496062992125984"/>
  <pageSetup scale="21" orientation="landscape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CC99FF"/>
    <pageSetUpPr fitToPage="1"/>
  </sheetPr>
  <dimension ref="A2:BH220"/>
  <sheetViews>
    <sheetView topLeftCell="B1" workbookViewId="0">
      <pane xSplit="4" topLeftCell="AR1" activePane="topRight" state="frozen"/>
      <selection activeCell="B1" sqref="B1"/>
      <selection pane="topRight" activeCell="BD82" sqref="BD82"/>
    </sheetView>
  </sheetViews>
  <sheetFormatPr defaultRowHeight="15" x14ac:dyDescent="0.25"/>
  <cols>
    <col min="1" max="1" width="9.140625" style="4606"/>
    <col min="2" max="2" width="25.85546875" style="4606" customWidth="1"/>
    <col min="3" max="3" width="23.7109375" style="4606" customWidth="1"/>
    <col min="4" max="4" width="9.140625" style="4606" customWidth="1"/>
    <col min="5" max="5" width="9.85546875" style="4606" hidden="1" customWidth="1"/>
    <col min="6" max="6" width="13.5703125" style="4606" customWidth="1"/>
    <col min="7" max="7" width="9.85546875" style="4606" hidden="1" customWidth="1"/>
    <col min="8" max="8" width="13.5703125" style="4606" customWidth="1"/>
    <col min="9" max="9" width="11" style="4606" hidden="1" customWidth="1"/>
    <col min="10" max="10" width="11.5703125" style="4606" hidden="1" customWidth="1"/>
    <col min="11" max="11" width="10.85546875" style="4606" hidden="1" customWidth="1"/>
    <col min="12" max="12" width="13.5703125" style="4606" customWidth="1"/>
    <col min="13" max="13" width="11" style="4606" hidden="1" customWidth="1"/>
    <col min="14" max="14" width="13.5703125" style="4606" customWidth="1"/>
    <col min="15" max="15" width="17.140625" style="4606" hidden="1" customWidth="1"/>
    <col min="16" max="16" width="13.5703125" style="4606" customWidth="1"/>
    <col min="17" max="17" width="11" style="4606" hidden="1" customWidth="1"/>
    <col min="18" max="18" width="11.5703125" style="4606" hidden="1" customWidth="1"/>
    <col min="19" max="19" width="9.85546875" style="4606" hidden="1" customWidth="1"/>
    <col min="20" max="20" width="13.5703125" style="4606" customWidth="1"/>
    <col min="21" max="21" width="17.140625" style="4606" hidden="1" customWidth="1"/>
    <col min="22" max="22" width="11.5703125" style="4606" hidden="1" customWidth="1"/>
    <col min="23" max="23" width="13.5703125" style="4606" hidden="1" customWidth="1"/>
    <col min="24" max="24" width="11.5703125" style="4606" bestFit="1" customWidth="1"/>
    <col min="25" max="25" width="9.85546875" style="4606" hidden="1" customWidth="1"/>
    <col min="26" max="26" width="13.5703125" style="4606" customWidth="1"/>
    <col min="27" max="27" width="15" style="4606" hidden="1" customWidth="1"/>
    <col min="28" max="28" width="15" style="4606" customWidth="1"/>
    <col min="29" max="29" width="9.85546875" style="4606" hidden="1" customWidth="1"/>
    <col min="30" max="30" width="11.5703125" style="4606" bestFit="1" customWidth="1"/>
    <col min="31" max="31" width="11.28515625" style="4606" hidden="1" customWidth="1"/>
    <col min="32" max="32" width="13.42578125" style="4606" hidden="1" customWidth="1"/>
    <col min="33" max="33" width="9.85546875" style="4606" hidden="1" customWidth="1"/>
    <col min="34" max="34" width="11.5703125" style="4606" bestFit="1" customWidth="1"/>
    <col min="35" max="35" width="11.28515625" style="4606" hidden="1" customWidth="1"/>
    <col min="36" max="36" width="13.42578125" style="4606" hidden="1" customWidth="1"/>
    <col min="37" max="37" width="5.42578125" style="4606" hidden="1" customWidth="1"/>
    <col min="38" max="38" width="14.28515625" style="4606" bestFit="1" customWidth="1"/>
    <col min="39" max="39" width="9.85546875" style="4606" hidden="1" customWidth="1"/>
    <col min="40" max="40" width="11.5703125" style="4606" customWidth="1"/>
    <col min="41" max="41" width="11.28515625" style="4606" hidden="1" customWidth="1"/>
    <col min="42" max="42" width="13.42578125" style="4606" hidden="1" customWidth="1"/>
    <col min="43" max="43" width="5.42578125" style="4606" hidden="1" customWidth="1"/>
    <col min="44" max="44" width="11.5703125" style="4606" bestFit="1" customWidth="1"/>
    <col min="45" max="45" width="11.28515625" style="4606" hidden="1" customWidth="1"/>
    <col min="46" max="46" width="13.42578125" style="4606" hidden="1" customWidth="1"/>
    <col min="47" max="47" width="10.140625" style="4606" hidden="1" customWidth="1"/>
    <col min="48" max="48" width="13" style="4606" customWidth="1"/>
    <col min="49" max="49" width="11.28515625" style="4606" hidden="1" customWidth="1"/>
    <col min="50" max="50" width="13.42578125" style="4606" hidden="1" customWidth="1"/>
    <col min="51" max="51" width="0" style="4606" hidden="1" customWidth="1"/>
    <col min="52" max="52" width="11.5703125" style="4606" bestFit="1" customWidth="1"/>
    <col min="53" max="53" width="11.5703125" style="4606" hidden="1" customWidth="1"/>
    <col min="54" max="54" width="11.5703125" style="4606" customWidth="1"/>
    <col min="55" max="55" width="11.5703125" style="4606" hidden="1" customWidth="1"/>
    <col min="56" max="56" width="13.42578125" style="4606" bestFit="1" customWidth="1"/>
    <col min="57" max="57" width="11.28515625" style="4606" hidden="1" customWidth="1"/>
    <col min="58" max="58" width="13.42578125" style="4606" bestFit="1" customWidth="1"/>
    <col min="59" max="16384" width="9.140625" style="4606"/>
  </cols>
  <sheetData>
    <row r="2" spans="2:58" ht="26.25" x14ac:dyDescent="0.4">
      <c r="B2" s="5137" t="s">
        <v>1493</v>
      </c>
      <c r="C2" s="5138"/>
      <c r="D2" s="5138"/>
      <c r="E2" s="5138"/>
      <c r="F2" s="5138"/>
      <c r="G2" s="5138"/>
      <c r="H2" s="5138"/>
      <c r="I2" s="5138"/>
      <c r="J2" s="5138"/>
      <c r="K2" s="5138"/>
      <c r="L2" s="5138"/>
      <c r="M2" s="5138"/>
      <c r="N2" s="5138"/>
      <c r="O2" s="5138"/>
      <c r="P2" s="5138"/>
      <c r="Q2" s="5138"/>
      <c r="R2" s="5138"/>
      <c r="S2" s="5138"/>
      <c r="T2" s="5138"/>
      <c r="U2" s="5138"/>
      <c r="V2" s="5138"/>
      <c r="W2" s="5138"/>
      <c r="X2" s="5138"/>
      <c r="Y2" s="5138"/>
      <c r="Z2" s="5138"/>
      <c r="AA2" s="5138"/>
      <c r="AB2" s="5138"/>
      <c r="AC2" s="5138"/>
      <c r="AD2" s="5138"/>
      <c r="AE2" s="5138"/>
      <c r="AF2" s="5138"/>
      <c r="AG2" s="5138"/>
      <c r="AH2" s="5138"/>
      <c r="AI2" s="5138"/>
      <c r="AJ2" s="5138"/>
      <c r="AK2" s="5138"/>
      <c r="AL2" s="5138"/>
      <c r="AM2" s="5138"/>
      <c r="AN2" s="5138"/>
      <c r="AO2" s="5138"/>
      <c r="AP2" s="5138"/>
      <c r="AQ2" s="5138"/>
      <c r="AR2" s="5138"/>
      <c r="AS2" s="5138"/>
      <c r="AT2" s="5138"/>
      <c r="AU2" s="4607"/>
      <c r="AV2" s="4607"/>
    </row>
    <row r="3" spans="2:58" ht="23.25" thickBot="1" x14ac:dyDescent="0.35">
      <c r="B3" s="1756"/>
      <c r="C3" s="1757"/>
      <c r="D3" s="1758"/>
      <c r="E3" s="1759"/>
      <c r="F3" s="1760"/>
      <c r="G3" s="1761"/>
      <c r="H3" s="1762"/>
      <c r="I3" s="1763"/>
      <c r="J3" s="1764"/>
      <c r="K3" s="1765"/>
      <c r="L3" s="1765"/>
      <c r="M3" s="1766"/>
      <c r="N3" s="1766"/>
      <c r="O3" s="1765"/>
      <c r="P3" s="1765"/>
      <c r="Q3" s="1763"/>
      <c r="R3" s="1766"/>
      <c r="S3" s="1433"/>
      <c r="T3" s="1433"/>
      <c r="U3" s="1433"/>
      <c r="V3" s="1767"/>
    </row>
    <row r="4" spans="2:58" ht="15.75" thickBot="1" x14ac:dyDescent="0.3">
      <c r="B4" s="5139" t="s">
        <v>197</v>
      </c>
      <c r="C4" s="1668"/>
      <c r="D4" s="5141"/>
      <c r="E4" s="4875" t="s">
        <v>1323</v>
      </c>
      <c r="F4" s="4875"/>
      <c r="G4" s="4875" t="s">
        <v>1384</v>
      </c>
      <c r="H4" s="4875"/>
      <c r="I4" s="4877" t="s">
        <v>15</v>
      </c>
      <c r="J4" s="4878"/>
      <c r="K4" s="4875" t="s">
        <v>1397</v>
      </c>
      <c r="L4" s="4875"/>
      <c r="M4" s="4858" t="s">
        <v>741</v>
      </c>
      <c r="N4" s="4859"/>
      <c r="O4" s="4875" t="s">
        <v>1424</v>
      </c>
      <c r="P4" s="4875"/>
      <c r="Q4" s="4877" t="s">
        <v>18</v>
      </c>
      <c r="R4" s="4878"/>
      <c r="S4" s="4875" t="s">
        <v>1496</v>
      </c>
      <c r="T4" s="4875"/>
      <c r="U4" s="4877" t="s">
        <v>19</v>
      </c>
      <c r="V4" s="4878"/>
      <c r="W4" s="4875" t="s">
        <v>1573</v>
      </c>
      <c r="X4" s="4875"/>
      <c r="Y4" s="4858" t="s">
        <v>788</v>
      </c>
      <c r="Z4" s="4859"/>
      <c r="AA4" s="4850" t="s">
        <v>784</v>
      </c>
      <c r="AB4" s="4851"/>
      <c r="AC4" s="4875" t="s">
        <v>1634</v>
      </c>
      <c r="AD4" s="4875"/>
      <c r="AE4" s="4877" t="s">
        <v>26</v>
      </c>
      <c r="AF4" s="4878"/>
      <c r="AG4" s="4875" t="s">
        <v>1671</v>
      </c>
      <c r="AH4" s="4875"/>
      <c r="AI4" s="4877" t="s">
        <v>29</v>
      </c>
      <c r="AJ4" s="4878"/>
      <c r="AK4" s="4875" t="s">
        <v>1696</v>
      </c>
      <c r="AL4" s="4876"/>
      <c r="AM4" s="4858" t="s">
        <v>799</v>
      </c>
      <c r="AN4" s="4859"/>
      <c r="AO4" s="4877" t="s">
        <v>30</v>
      </c>
      <c r="AP4" s="4878"/>
      <c r="AQ4" s="4875" t="s">
        <v>1760</v>
      </c>
      <c r="AR4" s="4875"/>
      <c r="AS4" s="4877" t="s">
        <v>1761</v>
      </c>
      <c r="AT4" s="4878"/>
      <c r="AU4" s="4875" t="s">
        <v>1832</v>
      </c>
      <c r="AV4" s="4875"/>
      <c r="AW4" s="4877" t="s">
        <v>809</v>
      </c>
      <c r="AX4" s="4878"/>
      <c r="AY4" s="4875" t="s">
        <v>1849</v>
      </c>
      <c r="AZ4" s="4875"/>
      <c r="BA4" s="4858" t="s">
        <v>800</v>
      </c>
      <c r="BB4" s="4859"/>
      <c r="BC4" s="4850" t="s">
        <v>817</v>
      </c>
      <c r="BD4" s="4851"/>
      <c r="BE4" s="4877" t="s">
        <v>1314</v>
      </c>
      <c r="BF4" s="4878"/>
    </row>
    <row r="5" spans="2:58" x14ac:dyDescent="0.25">
      <c r="B5" s="5140"/>
      <c r="C5" s="1669"/>
      <c r="D5" s="5142"/>
      <c r="E5" s="4613" t="s">
        <v>199</v>
      </c>
      <c r="F5" s="1665" t="s">
        <v>200</v>
      </c>
      <c r="G5" s="4613" t="s">
        <v>199</v>
      </c>
      <c r="H5" s="1665" t="s">
        <v>200</v>
      </c>
      <c r="I5" s="1666" t="s">
        <v>199</v>
      </c>
      <c r="J5" s="643" t="s">
        <v>200</v>
      </c>
      <c r="K5" s="4613" t="s">
        <v>199</v>
      </c>
      <c r="L5" s="1665" t="s">
        <v>200</v>
      </c>
      <c r="M5" s="3857" t="s">
        <v>199</v>
      </c>
      <c r="N5" s="3858" t="s">
        <v>200</v>
      </c>
      <c r="O5" s="4613" t="s">
        <v>199</v>
      </c>
      <c r="P5" s="1665" t="s">
        <v>200</v>
      </c>
      <c r="Q5" s="1666" t="s">
        <v>199</v>
      </c>
      <c r="R5" s="643" t="s">
        <v>200</v>
      </c>
      <c r="S5" s="4613" t="s">
        <v>199</v>
      </c>
      <c r="T5" s="1665" t="s">
        <v>200</v>
      </c>
      <c r="U5" s="1666" t="s">
        <v>199</v>
      </c>
      <c r="V5" s="643" t="s">
        <v>200</v>
      </c>
      <c r="W5" s="4613" t="s">
        <v>199</v>
      </c>
      <c r="X5" s="1665" t="s">
        <v>200</v>
      </c>
      <c r="Y5" s="3857" t="s">
        <v>199</v>
      </c>
      <c r="Z5" s="3858" t="s">
        <v>200</v>
      </c>
      <c r="AA5" s="3859" t="s">
        <v>199</v>
      </c>
      <c r="AB5" s="3860" t="s">
        <v>200</v>
      </c>
      <c r="AC5" s="4613" t="s">
        <v>199</v>
      </c>
      <c r="AD5" s="1665" t="s">
        <v>200</v>
      </c>
      <c r="AE5" s="1666" t="s">
        <v>199</v>
      </c>
      <c r="AF5" s="643" t="s">
        <v>200</v>
      </c>
      <c r="AG5" s="4613" t="s">
        <v>199</v>
      </c>
      <c r="AH5" s="1665" t="s">
        <v>200</v>
      </c>
      <c r="AI5" s="1666" t="s">
        <v>199</v>
      </c>
      <c r="AJ5" s="643" t="s">
        <v>200</v>
      </c>
      <c r="AK5" s="4613" t="s">
        <v>199</v>
      </c>
      <c r="AL5" s="1665" t="s">
        <v>200</v>
      </c>
      <c r="AM5" s="3857" t="s">
        <v>199</v>
      </c>
      <c r="AN5" s="3858" t="s">
        <v>200</v>
      </c>
      <c r="AO5" s="1666" t="s">
        <v>199</v>
      </c>
      <c r="AP5" s="643" t="s">
        <v>200</v>
      </c>
      <c r="AQ5" s="4613" t="s">
        <v>199</v>
      </c>
      <c r="AR5" s="1665" t="s">
        <v>200</v>
      </c>
      <c r="AS5" s="1666" t="s">
        <v>199</v>
      </c>
      <c r="AT5" s="643" t="s">
        <v>200</v>
      </c>
      <c r="AU5" s="4613" t="s">
        <v>199</v>
      </c>
      <c r="AV5" s="1665" t="s">
        <v>200</v>
      </c>
      <c r="AW5" s="1666" t="s">
        <v>199</v>
      </c>
      <c r="AX5" s="643" t="s">
        <v>200</v>
      </c>
      <c r="AY5" s="4613" t="s">
        <v>199</v>
      </c>
      <c r="AZ5" s="1665" t="s">
        <v>200</v>
      </c>
      <c r="BA5" s="3857" t="s">
        <v>199</v>
      </c>
      <c r="BB5" s="3858" t="s">
        <v>200</v>
      </c>
      <c r="BC5" s="3859" t="s">
        <v>199</v>
      </c>
      <c r="BD5" s="3860" t="s">
        <v>200</v>
      </c>
      <c r="BE5" s="1666" t="s">
        <v>199</v>
      </c>
      <c r="BF5" s="643" t="s">
        <v>200</v>
      </c>
    </row>
    <row r="6" spans="2:58" ht="18.75" x14ac:dyDescent="0.3">
      <c r="B6" s="1768" t="s">
        <v>1459</v>
      </c>
      <c r="C6" s="1496"/>
      <c r="D6" s="421"/>
      <c r="E6" s="421"/>
      <c r="F6" s="421"/>
      <c r="G6" s="421"/>
      <c r="H6" s="421"/>
      <c r="I6" s="421"/>
      <c r="J6" s="421"/>
      <c r="K6" s="421"/>
      <c r="L6" s="421"/>
      <c r="M6" s="421"/>
      <c r="N6" s="421"/>
      <c r="O6" s="421"/>
      <c r="P6" s="421"/>
      <c r="Q6" s="421"/>
      <c r="R6" s="421"/>
      <c r="S6" s="421"/>
      <c r="T6" s="421"/>
      <c r="U6" s="421"/>
      <c r="V6" s="421"/>
      <c r="W6" s="421"/>
      <c r="X6" s="421"/>
      <c r="Y6" s="421"/>
      <c r="Z6" s="421"/>
      <c r="AA6" s="421"/>
      <c r="AB6" s="421"/>
      <c r="AC6" s="421"/>
      <c r="AD6" s="421"/>
      <c r="AE6" s="421"/>
      <c r="AF6" s="421"/>
      <c r="AG6" s="421"/>
      <c r="AH6" s="421"/>
      <c r="AI6" s="421"/>
      <c r="AJ6" s="421"/>
      <c r="AK6" s="421"/>
      <c r="AL6" s="421"/>
      <c r="AM6" s="421"/>
      <c r="AN6" s="421"/>
      <c r="AO6" s="421"/>
      <c r="AP6" s="421"/>
      <c r="AQ6" s="421"/>
      <c r="AR6" s="421"/>
      <c r="AS6" s="421"/>
      <c r="AT6" s="421"/>
      <c r="AU6" s="421"/>
      <c r="AV6" s="421"/>
      <c r="AW6" s="421"/>
      <c r="AX6" s="421"/>
      <c r="AY6" s="421"/>
      <c r="AZ6" s="421"/>
      <c r="BA6" s="421"/>
      <c r="BB6" s="421"/>
      <c r="BC6" s="421"/>
      <c r="BD6" s="421"/>
      <c r="BE6" s="421"/>
      <c r="BF6" s="421"/>
    </row>
    <row r="7" spans="2:58" x14ac:dyDescent="0.25">
      <c r="B7" s="5145" t="s">
        <v>1460</v>
      </c>
      <c r="C7" s="5148" t="s">
        <v>1457</v>
      </c>
      <c r="D7" s="1667" t="s">
        <v>1455</v>
      </c>
      <c r="E7" s="421"/>
      <c r="F7" s="4614">
        <v>10.5</v>
      </c>
      <c r="G7" s="421"/>
      <c r="H7" s="4614">
        <v>10.199999999999999</v>
      </c>
      <c r="I7" s="1673"/>
      <c r="J7" s="1673">
        <f>+F7+H7</f>
        <v>20.7</v>
      </c>
      <c r="K7" s="421"/>
      <c r="L7" s="4614">
        <v>17.2</v>
      </c>
      <c r="M7" s="1674">
        <f>+I7+K7</f>
        <v>0</v>
      </c>
      <c r="N7" s="1674">
        <f>+J7+L7</f>
        <v>37.9</v>
      </c>
      <c r="O7" s="421"/>
      <c r="P7" s="4614">
        <v>18.3</v>
      </c>
      <c r="Q7" s="1673">
        <f>+M7+O7</f>
        <v>0</v>
      </c>
      <c r="R7" s="1673">
        <f>+N7+P7</f>
        <v>56.2</v>
      </c>
      <c r="S7" s="421"/>
      <c r="T7" s="4614">
        <v>14.4</v>
      </c>
      <c r="U7" s="1673">
        <f>+Q7+S7</f>
        <v>0</v>
      </c>
      <c r="V7" s="1673">
        <f>+R7+T7</f>
        <v>70.600000000000009</v>
      </c>
      <c r="W7" s="421"/>
      <c r="X7" s="4614">
        <v>11.6</v>
      </c>
      <c r="Y7" s="1674">
        <f>O7+S7+W7</f>
        <v>0</v>
      </c>
      <c r="Z7" s="1674">
        <f>P7+T7+X7</f>
        <v>44.300000000000004</v>
      </c>
      <c r="AA7" s="1820">
        <f>+M7+Y7</f>
        <v>0</v>
      </c>
      <c r="AB7" s="1820">
        <f>+N7+Z7</f>
        <v>82.2</v>
      </c>
      <c r="AC7" s="421"/>
      <c r="AD7" s="4614">
        <v>14.3</v>
      </c>
      <c r="AE7" s="1673">
        <f>+AA7+AC7</f>
        <v>0</v>
      </c>
      <c r="AF7" s="1673">
        <f>+AB7+AD7</f>
        <v>96.5</v>
      </c>
      <c r="AG7" s="421"/>
      <c r="AH7" s="4614">
        <v>24.5</v>
      </c>
      <c r="AI7" s="1673">
        <f>+AE7+AG7</f>
        <v>0</v>
      </c>
      <c r="AJ7" s="1673">
        <f>+AF7+AH7</f>
        <v>121</v>
      </c>
      <c r="AK7" s="421"/>
      <c r="AL7" s="4614">
        <v>24.9</v>
      </c>
      <c r="AM7" s="1674">
        <f>AC7+AG7+AK7</f>
        <v>0</v>
      </c>
      <c r="AN7" s="1674">
        <f>AD7+AH7+AL7</f>
        <v>63.699999999999996</v>
      </c>
      <c r="AO7" s="1673">
        <f>+AI7+AK7</f>
        <v>0</v>
      </c>
      <c r="AP7" s="1673">
        <f>+AJ7+AL7</f>
        <v>145.9</v>
      </c>
      <c r="AQ7" s="421"/>
      <c r="AR7" s="4614">
        <v>25</v>
      </c>
      <c r="AS7" s="1673">
        <f>+AQ7+AO7</f>
        <v>0</v>
      </c>
      <c r="AT7" s="1673">
        <f>+AR7+AP7</f>
        <v>170.9</v>
      </c>
      <c r="AU7" s="421"/>
      <c r="AV7" s="4614">
        <v>24.7</v>
      </c>
      <c r="AW7" s="1673">
        <f>+AS7+AU7</f>
        <v>0</v>
      </c>
      <c r="AX7" s="1673">
        <f>+AT7+AV7</f>
        <v>195.6</v>
      </c>
      <c r="AY7" s="421"/>
      <c r="AZ7" s="4614">
        <v>23.7</v>
      </c>
      <c r="BA7" s="1674">
        <f>AQ7+AU7+AY7</f>
        <v>0</v>
      </c>
      <c r="BB7" s="1674">
        <f>AR7+AV7+AZ7</f>
        <v>73.400000000000006</v>
      </c>
      <c r="BC7" s="1820">
        <f t="shared" ref="BC7:BD19" si="0">+AM7+BA7</f>
        <v>0</v>
      </c>
      <c r="BD7" s="1820">
        <f t="shared" si="0"/>
        <v>137.1</v>
      </c>
      <c r="BE7" s="1673">
        <f>+AW7+AY7</f>
        <v>0</v>
      </c>
      <c r="BF7" s="1673">
        <f>+AX7+AZ7</f>
        <v>219.29999999999998</v>
      </c>
    </row>
    <row r="8" spans="2:58" x14ac:dyDescent="0.25">
      <c r="B8" s="5146"/>
      <c r="C8" s="5149"/>
      <c r="D8" s="1667" t="s">
        <v>1456</v>
      </c>
      <c r="E8" s="421"/>
      <c r="F8" s="4614">
        <v>1.6</v>
      </c>
      <c r="G8" s="421"/>
      <c r="H8" s="4614">
        <v>0.9</v>
      </c>
      <c r="I8" s="1673"/>
      <c r="J8" s="1673">
        <f t="shared" ref="J8:J71" si="1">+F8+H8</f>
        <v>2.5</v>
      </c>
      <c r="K8" s="421"/>
      <c r="L8" s="4614">
        <v>7</v>
      </c>
      <c r="M8" s="1674">
        <f t="shared" ref="M8:N23" si="2">+I8+K8</f>
        <v>0</v>
      </c>
      <c r="N8" s="1674">
        <f t="shared" si="2"/>
        <v>9.5</v>
      </c>
      <c r="O8" s="421"/>
      <c r="P8" s="4614">
        <v>3.9</v>
      </c>
      <c r="Q8" s="1673">
        <f t="shared" ref="Q8:R23" si="3">+M8+O8</f>
        <v>0</v>
      </c>
      <c r="R8" s="1673">
        <f t="shared" si="3"/>
        <v>13.4</v>
      </c>
      <c r="S8" s="421"/>
      <c r="T8" s="4614">
        <v>7.6</v>
      </c>
      <c r="U8" s="1673">
        <f t="shared" ref="U8:V23" si="4">+Q8+S8</f>
        <v>0</v>
      </c>
      <c r="V8" s="1673">
        <f t="shared" si="4"/>
        <v>21</v>
      </c>
      <c r="W8" s="421"/>
      <c r="X8" s="4614">
        <v>7.4</v>
      </c>
      <c r="Y8" s="1674">
        <f t="shared" ref="Y8:Z23" si="5">O8+S8+W8</f>
        <v>0</v>
      </c>
      <c r="Z8" s="1674">
        <f t="shared" si="5"/>
        <v>18.899999999999999</v>
      </c>
      <c r="AA8" s="1820">
        <f t="shared" ref="AA8:AB23" si="6">+M8+Y8</f>
        <v>0</v>
      </c>
      <c r="AB8" s="1820">
        <f t="shared" si="6"/>
        <v>28.4</v>
      </c>
      <c r="AC8" s="421"/>
      <c r="AD8" s="4614">
        <v>10.1</v>
      </c>
      <c r="AE8" s="1673">
        <f t="shared" ref="AE8:AF23" si="7">+AA8+AC8</f>
        <v>0</v>
      </c>
      <c r="AF8" s="1673">
        <f t="shared" si="7"/>
        <v>38.5</v>
      </c>
      <c r="AG8" s="421"/>
      <c r="AH8" s="4614">
        <v>1.9</v>
      </c>
      <c r="AI8" s="1673">
        <f t="shared" ref="AI8:AJ23" si="8">+AE8+AG8</f>
        <v>0</v>
      </c>
      <c r="AJ8" s="1673">
        <f t="shared" si="8"/>
        <v>40.4</v>
      </c>
      <c r="AK8" s="421"/>
      <c r="AL8" s="4614">
        <v>4.7</v>
      </c>
      <c r="AM8" s="1674">
        <f t="shared" ref="AM8:AN23" si="9">AC8+AG8+AK8</f>
        <v>0</v>
      </c>
      <c r="AN8" s="1674">
        <f t="shared" si="9"/>
        <v>16.7</v>
      </c>
      <c r="AO8" s="1673">
        <f t="shared" ref="AO8:AP23" si="10">+AI8+AK8</f>
        <v>0</v>
      </c>
      <c r="AP8" s="1673">
        <f t="shared" si="10"/>
        <v>45.1</v>
      </c>
      <c r="AQ8" s="421"/>
      <c r="AR8" s="4614">
        <v>1.1000000000000001</v>
      </c>
      <c r="AS8" s="1673">
        <f t="shared" ref="AS8:AT71" si="11">+AQ8+AO8</f>
        <v>0</v>
      </c>
      <c r="AT8" s="1673">
        <f t="shared" si="11"/>
        <v>46.2</v>
      </c>
      <c r="AU8" s="421"/>
      <c r="AV8" s="4614">
        <v>0.7</v>
      </c>
      <c r="AW8" s="1673">
        <f t="shared" ref="AW8:AX71" si="12">+AS8+AU8</f>
        <v>0</v>
      </c>
      <c r="AX8" s="1673">
        <f t="shared" si="12"/>
        <v>46.900000000000006</v>
      </c>
      <c r="AY8" s="421"/>
      <c r="AZ8" s="4614">
        <v>2.8</v>
      </c>
      <c r="BA8" s="1674">
        <f t="shared" ref="BA8:BB19" si="13">AQ8+AU8+AY8</f>
        <v>0</v>
      </c>
      <c r="BB8" s="1674">
        <f t="shared" si="13"/>
        <v>4.5999999999999996</v>
      </c>
      <c r="BC8" s="1820">
        <f t="shared" si="0"/>
        <v>0</v>
      </c>
      <c r="BD8" s="1820">
        <f t="shared" si="0"/>
        <v>21.299999999999997</v>
      </c>
      <c r="BE8" s="1673">
        <f t="shared" ref="BE8:BF19" si="14">+AW8+AY8</f>
        <v>0</v>
      </c>
      <c r="BF8" s="1673">
        <f t="shared" si="14"/>
        <v>49.7</v>
      </c>
    </row>
    <row r="9" spans="2:58" x14ac:dyDescent="0.25">
      <c r="B9" s="5146"/>
      <c r="C9" s="5150"/>
      <c r="D9" s="1670" t="s">
        <v>2</v>
      </c>
      <c r="E9" s="758"/>
      <c r="F9" s="1785">
        <f>SUM(F7:F8)</f>
        <v>12.1</v>
      </c>
      <c r="G9" s="758"/>
      <c r="H9" s="1785">
        <f>SUM(H7:H8)</f>
        <v>11.1</v>
      </c>
      <c r="I9" s="1673"/>
      <c r="J9" s="1673">
        <f t="shared" si="1"/>
        <v>23.2</v>
      </c>
      <c r="K9" s="758"/>
      <c r="L9" s="1785">
        <f>SUM(L7:L8)</f>
        <v>24.2</v>
      </c>
      <c r="M9" s="1674">
        <f t="shared" si="2"/>
        <v>0</v>
      </c>
      <c r="N9" s="1674">
        <f t="shared" si="2"/>
        <v>47.4</v>
      </c>
      <c r="O9" s="758"/>
      <c r="P9" s="1785">
        <f>SUM(P7:P8)</f>
        <v>22.2</v>
      </c>
      <c r="Q9" s="1673">
        <f t="shared" si="3"/>
        <v>0</v>
      </c>
      <c r="R9" s="1673">
        <f t="shared" si="3"/>
        <v>69.599999999999994</v>
      </c>
      <c r="S9" s="758"/>
      <c r="T9" s="1785">
        <f>SUM(T7:T8)</f>
        <v>22</v>
      </c>
      <c r="U9" s="1673">
        <f t="shared" si="4"/>
        <v>0</v>
      </c>
      <c r="V9" s="1673">
        <f t="shared" si="4"/>
        <v>91.6</v>
      </c>
      <c r="W9" s="758"/>
      <c r="X9" s="1785">
        <f>SUM(X7:X8)</f>
        <v>19</v>
      </c>
      <c r="Y9" s="1674">
        <f t="shared" si="5"/>
        <v>0</v>
      </c>
      <c r="Z9" s="1674">
        <f t="shared" si="5"/>
        <v>63.2</v>
      </c>
      <c r="AA9" s="1820">
        <f t="shared" si="6"/>
        <v>0</v>
      </c>
      <c r="AB9" s="1820">
        <f t="shared" si="6"/>
        <v>110.6</v>
      </c>
      <c r="AC9" s="758"/>
      <c r="AD9" s="1785">
        <f>SUM(AD7:AD8)</f>
        <v>24.4</v>
      </c>
      <c r="AE9" s="1673">
        <f t="shared" si="7"/>
        <v>0</v>
      </c>
      <c r="AF9" s="1673">
        <f t="shared" si="7"/>
        <v>135</v>
      </c>
      <c r="AG9" s="758"/>
      <c r="AH9" s="1785">
        <f>SUM(AH7:AH8)</f>
        <v>26.4</v>
      </c>
      <c r="AI9" s="1673">
        <f t="shared" si="8"/>
        <v>0</v>
      </c>
      <c r="AJ9" s="1673">
        <f t="shared" si="8"/>
        <v>161.4</v>
      </c>
      <c r="AK9" s="758"/>
      <c r="AL9" s="1785">
        <f>SUM(AL7:AL8)</f>
        <v>29.599999999999998</v>
      </c>
      <c r="AM9" s="1674">
        <f t="shared" si="9"/>
        <v>0</v>
      </c>
      <c r="AN9" s="1674">
        <f t="shared" si="9"/>
        <v>80.399999999999991</v>
      </c>
      <c r="AO9" s="1673">
        <f t="shared" si="10"/>
        <v>0</v>
      </c>
      <c r="AP9" s="1673">
        <f t="shared" si="10"/>
        <v>191</v>
      </c>
      <c r="AQ9" s="758"/>
      <c r="AR9" s="1785">
        <f>SUM(AR7:AR8)</f>
        <v>26.1</v>
      </c>
      <c r="AS9" s="1673">
        <f t="shared" si="11"/>
        <v>0</v>
      </c>
      <c r="AT9" s="1673">
        <f t="shared" si="11"/>
        <v>217.1</v>
      </c>
      <c r="AU9" s="758"/>
      <c r="AV9" s="1785">
        <f>SUM(AV7:AV8)</f>
        <v>25.4</v>
      </c>
      <c r="AW9" s="1673">
        <f t="shared" si="12"/>
        <v>0</v>
      </c>
      <c r="AX9" s="1673">
        <f t="shared" si="12"/>
        <v>242.5</v>
      </c>
      <c r="AY9" s="758"/>
      <c r="AZ9" s="1785">
        <f>SUM(AZ7:AZ8)</f>
        <v>26.5</v>
      </c>
      <c r="BA9" s="1674">
        <f t="shared" si="13"/>
        <v>0</v>
      </c>
      <c r="BB9" s="1674">
        <f t="shared" si="13"/>
        <v>78</v>
      </c>
      <c r="BC9" s="1820">
        <f t="shared" si="0"/>
        <v>0</v>
      </c>
      <c r="BD9" s="1820">
        <f t="shared" si="0"/>
        <v>158.39999999999998</v>
      </c>
      <c r="BE9" s="1673">
        <f t="shared" si="14"/>
        <v>0</v>
      </c>
      <c r="BF9" s="1673">
        <f t="shared" si="14"/>
        <v>269</v>
      </c>
    </row>
    <row r="10" spans="2:58" x14ac:dyDescent="0.25">
      <c r="B10" s="5147"/>
      <c r="C10" s="5143" t="s">
        <v>1458</v>
      </c>
      <c r="D10" s="5144"/>
      <c r="E10" s="421"/>
      <c r="F10" s="777">
        <v>42105</v>
      </c>
      <c r="G10" s="421"/>
      <c r="H10" s="777">
        <v>38047.211845706217</v>
      </c>
      <c r="I10" s="1673"/>
      <c r="J10" s="1673">
        <f t="shared" si="1"/>
        <v>80152.211845706217</v>
      </c>
      <c r="K10" s="421"/>
      <c r="L10" s="777">
        <v>85218</v>
      </c>
      <c r="M10" s="1674">
        <f t="shared" si="2"/>
        <v>0</v>
      </c>
      <c r="N10" s="1674">
        <f t="shared" si="2"/>
        <v>165370.21184570622</v>
      </c>
      <c r="O10" s="421"/>
      <c r="P10" s="777">
        <v>66773</v>
      </c>
      <c r="Q10" s="1673">
        <f t="shared" si="3"/>
        <v>0</v>
      </c>
      <c r="R10" s="1673">
        <f t="shared" si="3"/>
        <v>232143.21184570622</v>
      </c>
      <c r="S10" s="421"/>
      <c r="T10" s="777">
        <v>79330</v>
      </c>
      <c r="U10" s="1673">
        <f t="shared" si="4"/>
        <v>0</v>
      </c>
      <c r="V10" s="1673">
        <f t="shared" si="4"/>
        <v>311473.21184570622</v>
      </c>
      <c r="W10" s="421"/>
      <c r="X10" s="777">
        <v>71688</v>
      </c>
      <c r="Y10" s="1674">
        <f t="shared" si="5"/>
        <v>0</v>
      </c>
      <c r="Z10" s="1674">
        <f t="shared" si="5"/>
        <v>217791</v>
      </c>
      <c r="AA10" s="1820">
        <f t="shared" si="6"/>
        <v>0</v>
      </c>
      <c r="AB10" s="1820">
        <f t="shared" si="6"/>
        <v>383161.21184570622</v>
      </c>
      <c r="AC10" s="421"/>
      <c r="AD10" s="777">
        <v>90806</v>
      </c>
      <c r="AE10" s="1673">
        <f t="shared" si="7"/>
        <v>0</v>
      </c>
      <c r="AF10" s="1673">
        <f t="shared" si="7"/>
        <v>473967.21184570622</v>
      </c>
      <c r="AG10" s="421"/>
      <c r="AH10" s="777">
        <v>91856</v>
      </c>
      <c r="AI10" s="1673">
        <f t="shared" si="8"/>
        <v>0</v>
      </c>
      <c r="AJ10" s="1673">
        <f t="shared" si="8"/>
        <v>565823.21184570622</v>
      </c>
      <c r="AK10" s="421"/>
      <c r="AL10" s="777">
        <v>107455</v>
      </c>
      <c r="AM10" s="1674">
        <f t="shared" si="9"/>
        <v>0</v>
      </c>
      <c r="AN10" s="1674">
        <f t="shared" si="9"/>
        <v>290117</v>
      </c>
      <c r="AO10" s="1673">
        <f t="shared" si="10"/>
        <v>0</v>
      </c>
      <c r="AP10" s="1673">
        <f t="shared" si="10"/>
        <v>673278.21184570622</v>
      </c>
      <c r="AQ10" s="421"/>
      <c r="AR10" s="777">
        <v>94658</v>
      </c>
      <c r="AS10" s="1673">
        <f t="shared" si="11"/>
        <v>0</v>
      </c>
      <c r="AT10" s="1673">
        <f t="shared" si="11"/>
        <v>767936.21184570622</v>
      </c>
      <c r="AU10" s="421"/>
      <c r="AV10" s="777">
        <v>90068</v>
      </c>
      <c r="AW10" s="1673">
        <f t="shared" si="12"/>
        <v>0</v>
      </c>
      <c r="AX10" s="1673">
        <f t="shared" si="12"/>
        <v>858004.21184570622</v>
      </c>
      <c r="AY10" s="421"/>
      <c r="AZ10" s="777">
        <v>95768</v>
      </c>
      <c r="BA10" s="1674">
        <f t="shared" si="13"/>
        <v>0</v>
      </c>
      <c r="BB10" s="1674">
        <f t="shared" si="13"/>
        <v>280494</v>
      </c>
      <c r="BC10" s="1820">
        <f t="shared" si="0"/>
        <v>0</v>
      </c>
      <c r="BD10" s="1820">
        <f t="shared" si="0"/>
        <v>570611</v>
      </c>
      <c r="BE10" s="1673">
        <f t="shared" si="14"/>
        <v>0</v>
      </c>
      <c r="BF10" s="1673">
        <f t="shared" si="14"/>
        <v>953772.21184570622</v>
      </c>
    </row>
    <row r="11" spans="2:58" x14ac:dyDescent="0.25">
      <c r="B11" s="4608" t="s">
        <v>1603</v>
      </c>
      <c r="C11" s="5143" t="s">
        <v>1458</v>
      </c>
      <c r="D11" s="5144"/>
      <c r="E11" s="421"/>
      <c r="F11" s="777"/>
      <c r="G11" s="421"/>
      <c r="H11" s="777"/>
      <c r="I11" s="1673"/>
      <c r="J11" s="1673">
        <f t="shared" si="1"/>
        <v>0</v>
      </c>
      <c r="K11" s="421"/>
      <c r="L11" s="777"/>
      <c r="M11" s="1674"/>
      <c r="N11" s="1674">
        <f t="shared" si="2"/>
        <v>0</v>
      </c>
      <c r="O11" s="421"/>
      <c r="P11" s="777"/>
      <c r="Q11" s="1673"/>
      <c r="R11" s="1673">
        <f t="shared" si="3"/>
        <v>0</v>
      </c>
      <c r="S11" s="421"/>
      <c r="T11" s="777"/>
      <c r="U11" s="1673"/>
      <c r="V11" s="1673">
        <f t="shared" si="4"/>
        <v>0</v>
      </c>
      <c r="W11" s="421"/>
      <c r="X11" s="777">
        <v>69</v>
      </c>
      <c r="Y11" s="1674">
        <f t="shared" si="5"/>
        <v>0</v>
      </c>
      <c r="Z11" s="1674">
        <f t="shared" si="5"/>
        <v>69</v>
      </c>
      <c r="AA11" s="1820">
        <f t="shared" si="6"/>
        <v>0</v>
      </c>
      <c r="AB11" s="1820">
        <f t="shared" si="6"/>
        <v>69</v>
      </c>
      <c r="AC11" s="421"/>
      <c r="AD11" s="777">
        <v>56270</v>
      </c>
      <c r="AE11" s="1673">
        <f t="shared" si="7"/>
        <v>0</v>
      </c>
      <c r="AF11" s="1673">
        <f t="shared" si="7"/>
        <v>56339</v>
      </c>
      <c r="AG11" s="421"/>
      <c r="AH11" s="777">
        <v>0</v>
      </c>
      <c r="AI11" s="1673">
        <f t="shared" si="8"/>
        <v>0</v>
      </c>
      <c r="AJ11" s="1673">
        <f t="shared" si="8"/>
        <v>56339</v>
      </c>
      <c r="AK11" s="421"/>
      <c r="AL11" s="777">
        <v>4535</v>
      </c>
      <c r="AM11" s="1674">
        <f t="shared" si="9"/>
        <v>0</v>
      </c>
      <c r="AN11" s="1674">
        <f t="shared" si="9"/>
        <v>60805</v>
      </c>
      <c r="AO11" s="1673">
        <f t="shared" si="10"/>
        <v>0</v>
      </c>
      <c r="AP11" s="1673">
        <f t="shared" si="10"/>
        <v>60874</v>
      </c>
      <c r="AQ11" s="421"/>
      <c r="AR11" s="777">
        <v>0</v>
      </c>
      <c r="AS11" s="1673">
        <f t="shared" si="11"/>
        <v>0</v>
      </c>
      <c r="AT11" s="1673">
        <f t="shared" si="11"/>
        <v>60874</v>
      </c>
      <c r="AU11" s="421"/>
      <c r="AV11" s="777">
        <v>0</v>
      </c>
      <c r="AW11" s="1673">
        <f t="shared" si="12"/>
        <v>0</v>
      </c>
      <c r="AX11" s="1673">
        <f t="shared" si="12"/>
        <v>60874</v>
      </c>
      <c r="AY11" s="421"/>
      <c r="AZ11" s="777">
        <v>0</v>
      </c>
      <c r="BA11" s="1674">
        <f t="shared" si="13"/>
        <v>0</v>
      </c>
      <c r="BB11" s="1674">
        <f t="shared" si="13"/>
        <v>0</v>
      </c>
      <c r="BC11" s="1820">
        <f t="shared" si="0"/>
        <v>0</v>
      </c>
      <c r="BD11" s="1820">
        <f t="shared" si="0"/>
        <v>60805</v>
      </c>
      <c r="BE11" s="1673">
        <f t="shared" si="14"/>
        <v>0</v>
      </c>
      <c r="BF11" s="1673">
        <f t="shared" si="14"/>
        <v>60874</v>
      </c>
    </row>
    <row r="12" spans="2:58" x14ac:dyDescent="0.25">
      <c r="B12" s="5145" t="s">
        <v>1461</v>
      </c>
      <c r="C12" s="5148" t="s">
        <v>1457</v>
      </c>
      <c r="D12" s="1667" t="s">
        <v>1455</v>
      </c>
      <c r="E12" s="421"/>
      <c r="F12" s="4614">
        <v>0.3</v>
      </c>
      <c r="G12" s="421"/>
      <c r="H12" s="4614">
        <v>0</v>
      </c>
      <c r="I12" s="1673"/>
      <c r="J12" s="1673">
        <f t="shared" si="1"/>
        <v>0.3</v>
      </c>
      <c r="K12" s="421"/>
      <c r="L12" s="4614">
        <v>0</v>
      </c>
      <c r="M12" s="1674">
        <f t="shared" si="2"/>
        <v>0</v>
      </c>
      <c r="N12" s="1674">
        <f t="shared" si="2"/>
        <v>0.3</v>
      </c>
      <c r="O12" s="421"/>
      <c r="P12" s="4614">
        <v>0</v>
      </c>
      <c r="Q12" s="1673">
        <f t="shared" si="3"/>
        <v>0</v>
      </c>
      <c r="R12" s="1673">
        <f t="shared" si="3"/>
        <v>0.3</v>
      </c>
      <c r="S12" s="421"/>
      <c r="T12" s="4614">
        <v>0</v>
      </c>
      <c r="U12" s="1673">
        <f t="shared" si="4"/>
        <v>0</v>
      </c>
      <c r="V12" s="1673">
        <f t="shared" si="4"/>
        <v>0.3</v>
      </c>
      <c r="W12" s="421"/>
      <c r="X12" s="4614">
        <v>0</v>
      </c>
      <c r="Y12" s="1674">
        <f t="shared" si="5"/>
        <v>0</v>
      </c>
      <c r="Z12" s="1674">
        <f t="shared" si="5"/>
        <v>0</v>
      </c>
      <c r="AA12" s="1820">
        <f t="shared" si="6"/>
        <v>0</v>
      </c>
      <c r="AB12" s="1820">
        <f t="shared" si="6"/>
        <v>0.3</v>
      </c>
      <c r="AC12" s="421"/>
      <c r="AD12" s="4614">
        <v>1.4</v>
      </c>
      <c r="AE12" s="1673">
        <f t="shared" si="7"/>
        <v>0</v>
      </c>
      <c r="AF12" s="1673">
        <f t="shared" si="7"/>
        <v>1.7</v>
      </c>
      <c r="AG12" s="421"/>
      <c r="AH12" s="4614">
        <v>2.5</v>
      </c>
      <c r="AI12" s="1673">
        <f t="shared" si="8"/>
        <v>0</v>
      </c>
      <c r="AJ12" s="1673">
        <f t="shared" si="8"/>
        <v>4.2</v>
      </c>
      <c r="AK12" s="421"/>
      <c r="AL12" s="4614">
        <v>0.5</v>
      </c>
      <c r="AM12" s="1674">
        <f t="shared" si="9"/>
        <v>0</v>
      </c>
      <c r="AN12" s="1674">
        <f t="shared" si="9"/>
        <v>4.4000000000000004</v>
      </c>
      <c r="AO12" s="1673">
        <f t="shared" si="10"/>
        <v>0</v>
      </c>
      <c r="AP12" s="1673">
        <f t="shared" si="10"/>
        <v>4.7</v>
      </c>
      <c r="AQ12" s="421"/>
      <c r="AR12" s="4614">
        <v>0.5</v>
      </c>
      <c r="AS12" s="1673">
        <f t="shared" si="11"/>
        <v>0</v>
      </c>
      <c r="AT12" s="1673">
        <f t="shared" si="11"/>
        <v>5.2</v>
      </c>
      <c r="AU12" s="421"/>
      <c r="AV12" s="4614">
        <v>2.4</v>
      </c>
      <c r="AW12" s="1673">
        <f t="shared" si="12"/>
        <v>0</v>
      </c>
      <c r="AX12" s="1673">
        <f t="shared" si="12"/>
        <v>7.6</v>
      </c>
      <c r="AY12" s="421"/>
      <c r="AZ12" s="4614">
        <v>0</v>
      </c>
      <c r="BA12" s="1674">
        <f t="shared" si="13"/>
        <v>0</v>
      </c>
      <c r="BB12" s="1674">
        <f t="shared" si="13"/>
        <v>2.9</v>
      </c>
      <c r="BC12" s="1820">
        <f t="shared" si="0"/>
        <v>0</v>
      </c>
      <c r="BD12" s="1820">
        <f t="shared" si="0"/>
        <v>7.3000000000000007</v>
      </c>
      <c r="BE12" s="1673">
        <f t="shared" si="14"/>
        <v>0</v>
      </c>
      <c r="BF12" s="1673">
        <f t="shared" si="14"/>
        <v>7.6</v>
      </c>
    </row>
    <row r="13" spans="2:58" x14ac:dyDescent="0.25">
      <c r="B13" s="5146"/>
      <c r="C13" s="5149"/>
      <c r="D13" s="1667" t="s">
        <v>1456</v>
      </c>
      <c r="E13" s="421"/>
      <c r="F13" s="4614">
        <v>1.3</v>
      </c>
      <c r="G13" s="421"/>
      <c r="H13" s="4614">
        <v>3.3</v>
      </c>
      <c r="I13" s="1673"/>
      <c r="J13" s="1673">
        <f t="shared" si="1"/>
        <v>4.5999999999999996</v>
      </c>
      <c r="K13" s="421"/>
      <c r="L13" s="4614">
        <v>0.9</v>
      </c>
      <c r="M13" s="1674">
        <f t="shared" si="2"/>
        <v>0</v>
      </c>
      <c r="N13" s="1674">
        <f t="shared" si="2"/>
        <v>5.5</v>
      </c>
      <c r="O13" s="421"/>
      <c r="P13" s="4614">
        <v>8</v>
      </c>
      <c r="Q13" s="1673">
        <f t="shared" si="3"/>
        <v>0</v>
      </c>
      <c r="R13" s="1673">
        <f t="shared" si="3"/>
        <v>13.5</v>
      </c>
      <c r="S13" s="421"/>
      <c r="T13" s="4614">
        <v>10.1</v>
      </c>
      <c r="U13" s="1673">
        <f t="shared" si="4"/>
        <v>0</v>
      </c>
      <c r="V13" s="1673">
        <f t="shared" si="4"/>
        <v>23.6</v>
      </c>
      <c r="W13" s="421"/>
      <c r="X13" s="4614">
        <v>5.3</v>
      </c>
      <c r="Y13" s="1674">
        <f t="shared" si="5"/>
        <v>0</v>
      </c>
      <c r="Z13" s="1674">
        <f t="shared" si="5"/>
        <v>23.400000000000002</v>
      </c>
      <c r="AA13" s="1820">
        <f t="shared" si="6"/>
        <v>0</v>
      </c>
      <c r="AB13" s="1820">
        <f t="shared" si="6"/>
        <v>28.900000000000002</v>
      </c>
      <c r="AC13" s="421"/>
      <c r="AD13" s="4614">
        <v>5.8</v>
      </c>
      <c r="AE13" s="1673">
        <f t="shared" si="7"/>
        <v>0</v>
      </c>
      <c r="AF13" s="1673">
        <f t="shared" si="7"/>
        <v>34.700000000000003</v>
      </c>
      <c r="AG13" s="421"/>
      <c r="AH13" s="4614">
        <v>8.1</v>
      </c>
      <c r="AI13" s="1673">
        <f t="shared" si="8"/>
        <v>0</v>
      </c>
      <c r="AJ13" s="1673">
        <f t="shared" si="8"/>
        <v>42.800000000000004</v>
      </c>
      <c r="AK13" s="421"/>
      <c r="AL13" s="4614">
        <v>7</v>
      </c>
      <c r="AM13" s="1674">
        <f t="shared" si="9"/>
        <v>0</v>
      </c>
      <c r="AN13" s="1674">
        <f t="shared" si="9"/>
        <v>20.9</v>
      </c>
      <c r="AO13" s="1673">
        <f t="shared" si="10"/>
        <v>0</v>
      </c>
      <c r="AP13" s="1673">
        <f t="shared" si="10"/>
        <v>49.800000000000004</v>
      </c>
      <c r="AQ13" s="421"/>
      <c r="AR13" s="4614">
        <v>6.4</v>
      </c>
      <c r="AS13" s="1673">
        <f t="shared" si="11"/>
        <v>0</v>
      </c>
      <c r="AT13" s="1673">
        <f t="shared" si="11"/>
        <v>56.2</v>
      </c>
      <c r="AU13" s="421"/>
      <c r="AV13" s="4614">
        <v>1.8</v>
      </c>
      <c r="AW13" s="1673">
        <f t="shared" si="12"/>
        <v>0</v>
      </c>
      <c r="AX13" s="1673">
        <f t="shared" si="12"/>
        <v>58</v>
      </c>
      <c r="AY13" s="421"/>
      <c r="AZ13" s="4614">
        <v>0.4</v>
      </c>
      <c r="BA13" s="1674">
        <f t="shared" si="13"/>
        <v>0</v>
      </c>
      <c r="BB13" s="1674">
        <f t="shared" si="13"/>
        <v>8.6000000000000014</v>
      </c>
      <c r="BC13" s="1820">
        <f t="shared" si="0"/>
        <v>0</v>
      </c>
      <c r="BD13" s="1820">
        <f t="shared" si="0"/>
        <v>29.5</v>
      </c>
      <c r="BE13" s="1673">
        <f t="shared" si="14"/>
        <v>0</v>
      </c>
      <c r="BF13" s="1673">
        <f t="shared" si="14"/>
        <v>58.4</v>
      </c>
    </row>
    <row r="14" spans="2:58" x14ac:dyDescent="0.25">
      <c r="B14" s="5146"/>
      <c r="C14" s="5150"/>
      <c r="D14" s="1670" t="s">
        <v>2</v>
      </c>
      <c r="E14" s="758"/>
      <c r="F14" s="1785">
        <f>SUM(F12:F13)</f>
        <v>1.6</v>
      </c>
      <c r="G14" s="758"/>
      <c r="H14" s="1785">
        <f>SUM(H12:H13)</f>
        <v>3.3</v>
      </c>
      <c r="I14" s="1673"/>
      <c r="J14" s="1673">
        <f t="shared" si="1"/>
        <v>4.9000000000000004</v>
      </c>
      <c r="K14" s="758"/>
      <c r="L14" s="1785">
        <f>SUM(L12:L13)</f>
        <v>0.9</v>
      </c>
      <c r="M14" s="1674">
        <f t="shared" si="2"/>
        <v>0</v>
      </c>
      <c r="N14" s="1674">
        <f t="shared" si="2"/>
        <v>5.8000000000000007</v>
      </c>
      <c r="O14" s="758"/>
      <c r="P14" s="1785">
        <f>SUM(P12:P13)</f>
        <v>8</v>
      </c>
      <c r="Q14" s="1673">
        <f t="shared" si="3"/>
        <v>0</v>
      </c>
      <c r="R14" s="1673">
        <f t="shared" si="3"/>
        <v>13.8</v>
      </c>
      <c r="S14" s="758"/>
      <c r="T14" s="1785">
        <f>SUM(T12:T13)</f>
        <v>10.1</v>
      </c>
      <c r="U14" s="1673">
        <f t="shared" si="4"/>
        <v>0</v>
      </c>
      <c r="V14" s="1673">
        <f t="shared" si="4"/>
        <v>23.9</v>
      </c>
      <c r="W14" s="758"/>
      <c r="X14" s="1785">
        <f>SUM(X12:X13)</f>
        <v>5.3</v>
      </c>
      <c r="Y14" s="1674">
        <f t="shared" si="5"/>
        <v>0</v>
      </c>
      <c r="Z14" s="1674">
        <f t="shared" si="5"/>
        <v>23.400000000000002</v>
      </c>
      <c r="AA14" s="1820">
        <f t="shared" si="6"/>
        <v>0</v>
      </c>
      <c r="AB14" s="1820">
        <f t="shared" si="6"/>
        <v>29.200000000000003</v>
      </c>
      <c r="AC14" s="758"/>
      <c r="AD14" s="1785">
        <f>SUM(AD12:AD13)</f>
        <v>7.1999999999999993</v>
      </c>
      <c r="AE14" s="1673">
        <f t="shared" si="7"/>
        <v>0</v>
      </c>
      <c r="AF14" s="1673">
        <f t="shared" si="7"/>
        <v>36.400000000000006</v>
      </c>
      <c r="AG14" s="758"/>
      <c r="AH14" s="1785">
        <f>SUM(AH12:AH13)</f>
        <v>10.6</v>
      </c>
      <c r="AI14" s="1673">
        <f t="shared" si="8"/>
        <v>0</v>
      </c>
      <c r="AJ14" s="1673">
        <f t="shared" si="8"/>
        <v>47.000000000000007</v>
      </c>
      <c r="AK14" s="758"/>
      <c r="AL14" s="1785">
        <f>SUM(AL12:AL13)</f>
        <v>7.5</v>
      </c>
      <c r="AM14" s="1674">
        <f t="shared" si="9"/>
        <v>0</v>
      </c>
      <c r="AN14" s="1674">
        <f t="shared" si="9"/>
        <v>25.299999999999997</v>
      </c>
      <c r="AO14" s="1673">
        <f t="shared" si="10"/>
        <v>0</v>
      </c>
      <c r="AP14" s="1673">
        <f t="shared" si="10"/>
        <v>54.500000000000007</v>
      </c>
      <c r="AQ14" s="758"/>
      <c r="AR14" s="1785">
        <f>SUM(AR12:AR13)</f>
        <v>6.9</v>
      </c>
      <c r="AS14" s="1673">
        <f t="shared" si="11"/>
        <v>0</v>
      </c>
      <c r="AT14" s="1673">
        <f t="shared" si="11"/>
        <v>61.400000000000006</v>
      </c>
      <c r="AU14" s="758"/>
      <c r="AV14" s="1785">
        <f>SUM(AV12:AV13)</f>
        <v>4.2</v>
      </c>
      <c r="AW14" s="1673">
        <f t="shared" si="12"/>
        <v>0</v>
      </c>
      <c r="AX14" s="1673">
        <f t="shared" si="12"/>
        <v>65.600000000000009</v>
      </c>
      <c r="AY14" s="758"/>
      <c r="AZ14" s="1785">
        <f>SUM(AZ12:AZ13)</f>
        <v>0.4</v>
      </c>
      <c r="BA14" s="1674">
        <f t="shared" si="13"/>
        <v>0</v>
      </c>
      <c r="BB14" s="1674">
        <f t="shared" si="13"/>
        <v>11.500000000000002</v>
      </c>
      <c r="BC14" s="1820">
        <f t="shared" si="0"/>
        <v>0</v>
      </c>
      <c r="BD14" s="1820">
        <f t="shared" si="0"/>
        <v>36.799999999999997</v>
      </c>
      <c r="BE14" s="1673">
        <f t="shared" si="14"/>
        <v>0</v>
      </c>
      <c r="BF14" s="1673">
        <f t="shared" si="14"/>
        <v>66.000000000000014</v>
      </c>
    </row>
    <row r="15" spans="2:58" x14ac:dyDescent="0.25">
      <c r="B15" s="5147"/>
      <c r="C15" s="5143" t="s">
        <v>1458</v>
      </c>
      <c r="D15" s="5144"/>
      <c r="E15" s="421"/>
      <c r="F15" s="777">
        <v>3164</v>
      </c>
      <c r="G15" s="421"/>
      <c r="H15" s="777">
        <v>12957.18353457474</v>
      </c>
      <c r="I15" s="1673"/>
      <c r="J15" s="1673">
        <f t="shared" si="1"/>
        <v>16121.18353457474</v>
      </c>
      <c r="K15" s="421"/>
      <c r="L15" s="777">
        <v>3484</v>
      </c>
      <c r="M15" s="1674">
        <f t="shared" si="2"/>
        <v>0</v>
      </c>
      <c r="N15" s="1674">
        <f t="shared" si="2"/>
        <v>19605.183534574739</v>
      </c>
      <c r="O15" s="421"/>
      <c r="P15" s="777">
        <v>29216</v>
      </c>
      <c r="Q15" s="1673">
        <f t="shared" si="3"/>
        <v>0</v>
      </c>
      <c r="R15" s="1673">
        <f t="shared" si="3"/>
        <v>48821.183534574739</v>
      </c>
      <c r="S15" s="421"/>
      <c r="T15" s="777">
        <v>39116</v>
      </c>
      <c r="U15" s="1673">
        <f t="shared" si="4"/>
        <v>0</v>
      </c>
      <c r="V15" s="1673">
        <f t="shared" si="4"/>
        <v>87937.183534574739</v>
      </c>
      <c r="W15" s="421"/>
      <c r="X15" s="777">
        <v>21503</v>
      </c>
      <c r="Y15" s="1674">
        <f t="shared" si="5"/>
        <v>0</v>
      </c>
      <c r="Z15" s="1674">
        <f t="shared" si="5"/>
        <v>89835</v>
      </c>
      <c r="AA15" s="1820">
        <f t="shared" si="6"/>
        <v>0</v>
      </c>
      <c r="AB15" s="1820">
        <f t="shared" si="6"/>
        <v>109440.18353457474</v>
      </c>
      <c r="AC15" s="421"/>
      <c r="AD15" s="777">
        <v>28979</v>
      </c>
      <c r="AE15" s="1673">
        <f t="shared" si="7"/>
        <v>0</v>
      </c>
      <c r="AF15" s="1673">
        <f t="shared" si="7"/>
        <v>138419.18353457475</v>
      </c>
      <c r="AG15" s="421"/>
      <c r="AH15" s="777">
        <v>40323</v>
      </c>
      <c r="AI15" s="1673">
        <f t="shared" si="8"/>
        <v>0</v>
      </c>
      <c r="AJ15" s="1673">
        <f t="shared" si="8"/>
        <v>178742.18353457475</v>
      </c>
      <c r="AK15" s="421"/>
      <c r="AL15" s="777">
        <v>28551</v>
      </c>
      <c r="AM15" s="1674">
        <f t="shared" si="9"/>
        <v>0</v>
      </c>
      <c r="AN15" s="1674">
        <f t="shared" si="9"/>
        <v>97853</v>
      </c>
      <c r="AO15" s="1673">
        <f t="shared" si="10"/>
        <v>0</v>
      </c>
      <c r="AP15" s="1673">
        <f t="shared" si="10"/>
        <v>207293.18353457475</v>
      </c>
      <c r="AQ15" s="421"/>
      <c r="AR15" s="777">
        <v>28049</v>
      </c>
      <c r="AS15" s="1673">
        <f t="shared" si="11"/>
        <v>0</v>
      </c>
      <c r="AT15" s="1673">
        <f t="shared" si="11"/>
        <v>235342.18353457475</v>
      </c>
      <c r="AU15" s="421"/>
      <c r="AV15" s="777">
        <v>16146</v>
      </c>
      <c r="AW15" s="1673">
        <f t="shared" si="12"/>
        <v>0</v>
      </c>
      <c r="AX15" s="1673">
        <f t="shared" si="12"/>
        <v>251488.18353457475</v>
      </c>
      <c r="AY15" s="421"/>
      <c r="AZ15" s="777">
        <v>1976</v>
      </c>
      <c r="BA15" s="1674">
        <f t="shared" si="13"/>
        <v>0</v>
      </c>
      <c r="BB15" s="1674">
        <f t="shared" si="13"/>
        <v>46171</v>
      </c>
      <c r="BC15" s="1820">
        <f t="shared" si="0"/>
        <v>0</v>
      </c>
      <c r="BD15" s="1820">
        <f t="shared" si="0"/>
        <v>144024</v>
      </c>
      <c r="BE15" s="1673">
        <f t="shared" si="14"/>
        <v>0</v>
      </c>
      <c r="BF15" s="1673">
        <f t="shared" si="14"/>
        <v>253464.18353457475</v>
      </c>
    </row>
    <row r="16" spans="2:58" ht="18.75" x14ac:dyDescent="0.3">
      <c r="B16" s="5151" t="s">
        <v>2</v>
      </c>
      <c r="C16" s="5154" t="s">
        <v>1457</v>
      </c>
      <c r="D16" s="1687" t="s">
        <v>1455</v>
      </c>
      <c r="E16" s="1688"/>
      <c r="F16" s="1683">
        <f>+F7+F12</f>
        <v>10.8</v>
      </c>
      <c r="G16" s="1688"/>
      <c r="H16" s="1683">
        <f>+H7+H12</f>
        <v>10.199999999999999</v>
      </c>
      <c r="I16" s="1688"/>
      <c r="J16" s="1683">
        <f t="shared" si="1"/>
        <v>21</v>
      </c>
      <c r="K16" s="1688"/>
      <c r="L16" s="1683">
        <f>+L7+L12</f>
        <v>17.2</v>
      </c>
      <c r="M16" s="1688">
        <f t="shared" si="2"/>
        <v>0</v>
      </c>
      <c r="N16" s="1683">
        <f t="shared" si="2"/>
        <v>38.200000000000003</v>
      </c>
      <c r="O16" s="1688"/>
      <c r="P16" s="1683">
        <f>+P7+P12</f>
        <v>18.3</v>
      </c>
      <c r="Q16" s="1688">
        <f t="shared" si="3"/>
        <v>0</v>
      </c>
      <c r="R16" s="1683">
        <f t="shared" si="3"/>
        <v>56.5</v>
      </c>
      <c r="S16" s="1688"/>
      <c r="T16" s="1683">
        <f>+T7+T12</f>
        <v>14.4</v>
      </c>
      <c r="U16" s="1688">
        <f t="shared" si="4"/>
        <v>0</v>
      </c>
      <c r="V16" s="1683">
        <f t="shared" si="4"/>
        <v>70.900000000000006</v>
      </c>
      <c r="W16" s="1688"/>
      <c r="X16" s="1683">
        <f>+X7+X12</f>
        <v>11.6</v>
      </c>
      <c r="Y16" s="1688">
        <f>O16+S16+W16</f>
        <v>0</v>
      </c>
      <c r="Z16" s="1683">
        <f t="shared" si="5"/>
        <v>44.300000000000004</v>
      </c>
      <c r="AA16" s="1688">
        <f>+M16+Y16</f>
        <v>0</v>
      </c>
      <c r="AB16" s="1683">
        <f t="shared" si="6"/>
        <v>82.5</v>
      </c>
      <c r="AC16" s="1688"/>
      <c r="AD16" s="1683">
        <f>+AD7+AD12</f>
        <v>15.700000000000001</v>
      </c>
      <c r="AE16" s="1688">
        <f t="shared" si="7"/>
        <v>0</v>
      </c>
      <c r="AF16" s="1683">
        <f t="shared" si="7"/>
        <v>98.2</v>
      </c>
      <c r="AG16" s="1688"/>
      <c r="AH16" s="1683">
        <f>+AH7+AH12</f>
        <v>27</v>
      </c>
      <c r="AI16" s="1688">
        <f t="shared" si="8"/>
        <v>0</v>
      </c>
      <c r="AJ16" s="1683">
        <f t="shared" si="8"/>
        <v>125.2</v>
      </c>
      <c r="AK16" s="1688"/>
      <c r="AL16" s="1683">
        <f>+AL7+AL12</f>
        <v>25.4</v>
      </c>
      <c r="AM16" s="1688">
        <f>AC16+AG16+AK16</f>
        <v>0</v>
      </c>
      <c r="AN16" s="1683">
        <f t="shared" si="9"/>
        <v>68.099999999999994</v>
      </c>
      <c r="AO16" s="1688">
        <f t="shared" si="10"/>
        <v>0</v>
      </c>
      <c r="AP16" s="1683">
        <f t="shared" si="10"/>
        <v>150.6</v>
      </c>
      <c r="AQ16" s="1688"/>
      <c r="AR16" s="1683">
        <f>+AR7+AR12</f>
        <v>25.5</v>
      </c>
      <c r="AS16" s="1688">
        <f t="shared" si="11"/>
        <v>0</v>
      </c>
      <c r="AT16" s="1683">
        <f t="shared" si="11"/>
        <v>176.1</v>
      </c>
      <c r="AU16" s="1688"/>
      <c r="AV16" s="1683">
        <f>+AV7+AV12</f>
        <v>27.099999999999998</v>
      </c>
      <c r="AW16" s="1688">
        <f t="shared" si="12"/>
        <v>0</v>
      </c>
      <c r="AX16" s="1683">
        <f t="shared" si="12"/>
        <v>203.2</v>
      </c>
      <c r="AY16" s="1688"/>
      <c r="AZ16" s="1683">
        <f>+AZ7+AZ12</f>
        <v>23.7</v>
      </c>
      <c r="BA16" s="1688">
        <f>AQ16+AU16+AY16</f>
        <v>0</v>
      </c>
      <c r="BB16" s="1683">
        <f t="shared" si="13"/>
        <v>76.3</v>
      </c>
      <c r="BC16" s="1688">
        <f t="shared" si="0"/>
        <v>0</v>
      </c>
      <c r="BD16" s="1683">
        <f t="shared" si="0"/>
        <v>144.39999999999998</v>
      </c>
      <c r="BE16" s="1688">
        <f t="shared" si="14"/>
        <v>0</v>
      </c>
      <c r="BF16" s="1683">
        <f t="shared" si="14"/>
        <v>226.89999999999998</v>
      </c>
    </row>
    <row r="17" spans="2:58" ht="18.75" x14ac:dyDescent="0.3">
      <c r="B17" s="5152"/>
      <c r="C17" s="5155"/>
      <c r="D17" s="1687" t="s">
        <v>1456</v>
      </c>
      <c r="E17" s="1688"/>
      <c r="F17" s="1683">
        <f>+F8+F13</f>
        <v>2.9000000000000004</v>
      </c>
      <c r="G17" s="1688"/>
      <c r="H17" s="1683">
        <f>+H8+H13</f>
        <v>4.2</v>
      </c>
      <c r="I17" s="1688"/>
      <c r="J17" s="1683">
        <f t="shared" si="1"/>
        <v>7.1000000000000005</v>
      </c>
      <c r="K17" s="1688"/>
      <c r="L17" s="1683">
        <f>+L8+L13</f>
        <v>7.9</v>
      </c>
      <c r="M17" s="1688">
        <f t="shared" si="2"/>
        <v>0</v>
      </c>
      <c r="N17" s="1683">
        <f t="shared" si="2"/>
        <v>15</v>
      </c>
      <c r="O17" s="1688"/>
      <c r="P17" s="1683">
        <f>+P8+P13</f>
        <v>11.9</v>
      </c>
      <c r="Q17" s="1688">
        <f t="shared" si="3"/>
        <v>0</v>
      </c>
      <c r="R17" s="1683">
        <f t="shared" si="3"/>
        <v>26.9</v>
      </c>
      <c r="S17" s="1688"/>
      <c r="T17" s="1683">
        <f>+T8+T13</f>
        <v>17.7</v>
      </c>
      <c r="U17" s="1688">
        <f t="shared" si="4"/>
        <v>0</v>
      </c>
      <c r="V17" s="1683">
        <f t="shared" si="4"/>
        <v>44.599999999999994</v>
      </c>
      <c r="W17" s="1688"/>
      <c r="X17" s="1683">
        <f>+X8+X13</f>
        <v>12.7</v>
      </c>
      <c r="Y17" s="1688">
        <f t="shared" ref="Y17:Y18" si="15">O17+S17+W17</f>
        <v>0</v>
      </c>
      <c r="Z17" s="1683">
        <f t="shared" si="5"/>
        <v>42.3</v>
      </c>
      <c r="AA17" s="1688">
        <f t="shared" ref="AA17:AA18" si="16">+M17+Y17</f>
        <v>0</v>
      </c>
      <c r="AB17" s="1683">
        <f t="shared" si="6"/>
        <v>57.3</v>
      </c>
      <c r="AC17" s="1688"/>
      <c r="AD17" s="1683">
        <f>+AD8+AD13</f>
        <v>15.899999999999999</v>
      </c>
      <c r="AE17" s="1688">
        <f t="shared" si="7"/>
        <v>0</v>
      </c>
      <c r="AF17" s="1683">
        <f t="shared" si="7"/>
        <v>73.199999999999989</v>
      </c>
      <c r="AG17" s="1688"/>
      <c r="AH17" s="1683">
        <f>+AH8+AH13</f>
        <v>10</v>
      </c>
      <c r="AI17" s="1688">
        <f t="shared" si="8"/>
        <v>0</v>
      </c>
      <c r="AJ17" s="1683">
        <f t="shared" si="8"/>
        <v>83.199999999999989</v>
      </c>
      <c r="AK17" s="1688"/>
      <c r="AL17" s="1683">
        <f>+AL8+AL13</f>
        <v>11.7</v>
      </c>
      <c r="AM17" s="1688">
        <f t="shared" ref="AM17:AM18" si="17">AC17+AG17+AK17</f>
        <v>0</v>
      </c>
      <c r="AN17" s="1683">
        <f t="shared" si="9"/>
        <v>37.599999999999994</v>
      </c>
      <c r="AO17" s="1688">
        <f t="shared" si="10"/>
        <v>0</v>
      </c>
      <c r="AP17" s="1683">
        <f t="shared" si="10"/>
        <v>94.899999999999991</v>
      </c>
      <c r="AQ17" s="1688"/>
      <c r="AR17" s="1683">
        <f>+AR8+AR13</f>
        <v>7.5</v>
      </c>
      <c r="AS17" s="1688">
        <f t="shared" si="11"/>
        <v>0</v>
      </c>
      <c r="AT17" s="1683">
        <f t="shared" si="11"/>
        <v>102.39999999999999</v>
      </c>
      <c r="AU17" s="1688"/>
      <c r="AV17" s="1683">
        <f>+AV8+AV13</f>
        <v>2.5</v>
      </c>
      <c r="AW17" s="1688">
        <f t="shared" si="12"/>
        <v>0</v>
      </c>
      <c r="AX17" s="1683">
        <f t="shared" si="12"/>
        <v>104.89999999999999</v>
      </c>
      <c r="AY17" s="1688"/>
      <c r="AZ17" s="1683">
        <f>+AZ8+AZ13</f>
        <v>3.1999999999999997</v>
      </c>
      <c r="BA17" s="1688">
        <f t="shared" ref="BA17:BA18" si="18">AQ17+AU17+AY17</f>
        <v>0</v>
      </c>
      <c r="BB17" s="1683">
        <f t="shared" si="13"/>
        <v>13.2</v>
      </c>
      <c r="BC17" s="1688">
        <f t="shared" si="0"/>
        <v>0</v>
      </c>
      <c r="BD17" s="1683">
        <f t="shared" si="0"/>
        <v>50.8</v>
      </c>
      <c r="BE17" s="1688">
        <f t="shared" si="14"/>
        <v>0</v>
      </c>
      <c r="BF17" s="1683">
        <f t="shared" si="14"/>
        <v>108.1</v>
      </c>
    </row>
    <row r="18" spans="2:58" ht="18.75" x14ac:dyDescent="0.3">
      <c r="B18" s="5152"/>
      <c r="C18" s="5156"/>
      <c r="D18" s="1687" t="s">
        <v>2</v>
      </c>
      <c r="E18" s="1688"/>
      <c r="F18" s="1683">
        <f>SUM(F16:F17)</f>
        <v>13.700000000000001</v>
      </c>
      <c r="G18" s="1688"/>
      <c r="H18" s="1683">
        <f>SUM(H16:H17)</f>
        <v>14.399999999999999</v>
      </c>
      <c r="I18" s="1688"/>
      <c r="J18" s="1683">
        <f t="shared" si="1"/>
        <v>28.1</v>
      </c>
      <c r="K18" s="1688"/>
      <c r="L18" s="1683">
        <f>SUM(L16:L17)</f>
        <v>25.1</v>
      </c>
      <c r="M18" s="1688">
        <f t="shared" si="2"/>
        <v>0</v>
      </c>
      <c r="N18" s="1683">
        <f t="shared" si="2"/>
        <v>53.2</v>
      </c>
      <c r="O18" s="1688"/>
      <c r="P18" s="1683">
        <f>SUM(P16:P17)</f>
        <v>30.200000000000003</v>
      </c>
      <c r="Q18" s="1688">
        <f t="shared" si="3"/>
        <v>0</v>
      </c>
      <c r="R18" s="1683">
        <f t="shared" si="3"/>
        <v>83.4</v>
      </c>
      <c r="S18" s="1688"/>
      <c r="T18" s="1683">
        <f>SUM(T16:T17)</f>
        <v>32.1</v>
      </c>
      <c r="U18" s="1688">
        <f t="shared" si="4"/>
        <v>0</v>
      </c>
      <c r="V18" s="1683">
        <f t="shared" si="4"/>
        <v>115.5</v>
      </c>
      <c r="W18" s="1688"/>
      <c r="X18" s="1683">
        <f>SUM(X16:X17)</f>
        <v>24.299999999999997</v>
      </c>
      <c r="Y18" s="1688">
        <f t="shared" si="15"/>
        <v>0</v>
      </c>
      <c r="Z18" s="1683">
        <f t="shared" si="5"/>
        <v>86.6</v>
      </c>
      <c r="AA18" s="1688">
        <f t="shared" si="16"/>
        <v>0</v>
      </c>
      <c r="AB18" s="1683">
        <f t="shared" si="6"/>
        <v>139.80000000000001</v>
      </c>
      <c r="AC18" s="1688"/>
      <c r="AD18" s="1683">
        <f>SUM(AD16:AD17)</f>
        <v>31.6</v>
      </c>
      <c r="AE18" s="1688">
        <f t="shared" si="7"/>
        <v>0</v>
      </c>
      <c r="AF18" s="1683">
        <f t="shared" si="7"/>
        <v>171.4</v>
      </c>
      <c r="AG18" s="1688"/>
      <c r="AH18" s="1683">
        <f>SUM(AH16:AH17)</f>
        <v>37</v>
      </c>
      <c r="AI18" s="1688">
        <f t="shared" si="8"/>
        <v>0</v>
      </c>
      <c r="AJ18" s="1683">
        <f t="shared" si="8"/>
        <v>208.4</v>
      </c>
      <c r="AK18" s="1688"/>
      <c r="AL18" s="1683">
        <f>SUM(AL16:AL17)</f>
        <v>37.099999999999994</v>
      </c>
      <c r="AM18" s="1688">
        <f t="shared" si="17"/>
        <v>0</v>
      </c>
      <c r="AN18" s="1683">
        <f t="shared" si="9"/>
        <v>105.69999999999999</v>
      </c>
      <c r="AO18" s="1688">
        <f t="shared" si="10"/>
        <v>0</v>
      </c>
      <c r="AP18" s="1683">
        <f t="shared" si="10"/>
        <v>245.5</v>
      </c>
      <c r="AQ18" s="1688"/>
      <c r="AR18" s="1683">
        <f>SUM(AR16:AR17)</f>
        <v>33</v>
      </c>
      <c r="AS18" s="1688">
        <f t="shared" si="11"/>
        <v>0</v>
      </c>
      <c r="AT18" s="1683">
        <f t="shared" si="11"/>
        <v>278.5</v>
      </c>
      <c r="AU18" s="1688"/>
      <c r="AV18" s="1683">
        <f>SUM(AV16:AV17)</f>
        <v>29.599999999999998</v>
      </c>
      <c r="AW18" s="1688">
        <f t="shared" si="12"/>
        <v>0</v>
      </c>
      <c r="AX18" s="1683">
        <f t="shared" si="12"/>
        <v>308.10000000000002</v>
      </c>
      <c r="AY18" s="1688"/>
      <c r="AZ18" s="1683">
        <f>SUM(AZ16:AZ17)</f>
        <v>26.9</v>
      </c>
      <c r="BA18" s="1688">
        <f t="shared" si="18"/>
        <v>0</v>
      </c>
      <c r="BB18" s="1683">
        <f t="shared" si="13"/>
        <v>89.5</v>
      </c>
      <c r="BC18" s="1688">
        <f t="shared" si="0"/>
        <v>0</v>
      </c>
      <c r="BD18" s="1683">
        <f t="shared" si="0"/>
        <v>195.2</v>
      </c>
      <c r="BE18" s="1688">
        <f t="shared" si="14"/>
        <v>0</v>
      </c>
      <c r="BF18" s="1683">
        <f t="shared" si="14"/>
        <v>335</v>
      </c>
    </row>
    <row r="19" spans="2:58" ht="18.75" x14ac:dyDescent="0.3">
      <c r="B19" s="5153"/>
      <c r="C19" s="5157" t="s">
        <v>1458</v>
      </c>
      <c r="D19" s="5158"/>
      <c r="E19" s="1690">
        <v>52963</v>
      </c>
      <c r="F19" s="1690">
        <f>+F10+F15+F11</f>
        <v>45269</v>
      </c>
      <c r="G19" s="1690">
        <v>69086</v>
      </c>
      <c r="H19" s="1690">
        <f>+H10+H15+H11</f>
        <v>51004.395380280956</v>
      </c>
      <c r="I19" s="1690"/>
      <c r="J19" s="1690">
        <f t="shared" si="1"/>
        <v>96273.395380280956</v>
      </c>
      <c r="K19" s="1690">
        <v>123453.22963448636</v>
      </c>
      <c r="L19" s="1690">
        <f>+L10+L15+L11</f>
        <v>88702</v>
      </c>
      <c r="M19" s="1690">
        <f t="shared" si="2"/>
        <v>123453.22963448636</v>
      </c>
      <c r="N19" s="1690">
        <f t="shared" si="2"/>
        <v>184975.39538028097</v>
      </c>
      <c r="O19" s="1690">
        <v>127638.56495769757</v>
      </c>
      <c r="P19" s="1690">
        <f>+P10+P15+P11</f>
        <v>95989</v>
      </c>
      <c r="Q19" s="1690">
        <f t="shared" si="3"/>
        <v>251091.79459218393</v>
      </c>
      <c r="R19" s="1690">
        <f t="shared" si="3"/>
        <v>280964.39538028097</v>
      </c>
      <c r="S19" s="1690">
        <v>127642.10555775846</v>
      </c>
      <c r="T19" s="1690">
        <f>+T10+T15+T11</f>
        <v>118446</v>
      </c>
      <c r="U19" s="1690">
        <f t="shared" si="4"/>
        <v>378733.90014994238</v>
      </c>
      <c r="V19" s="1690">
        <f t="shared" si="4"/>
        <v>399410.39538028097</v>
      </c>
      <c r="W19" s="1690">
        <v>124146.53220122175</v>
      </c>
      <c r="X19" s="1690">
        <f>+X10+X15+X11</f>
        <v>93260</v>
      </c>
      <c r="Y19" s="1690">
        <f>O19+S19+W19</f>
        <v>379427.2027166778</v>
      </c>
      <c r="Z19" s="1690">
        <f t="shared" si="5"/>
        <v>307695</v>
      </c>
      <c r="AA19" s="1690">
        <f>+M19+Y19</f>
        <v>502880.43235116417</v>
      </c>
      <c r="AB19" s="1690">
        <f t="shared" si="6"/>
        <v>492670.39538028097</v>
      </c>
      <c r="AC19" s="1690">
        <v>128355.24928601511</v>
      </c>
      <c r="AD19" s="1690">
        <f>+AD10+AD15+AD11</f>
        <v>176055</v>
      </c>
      <c r="AE19" s="1690">
        <f t="shared" si="7"/>
        <v>631235.68163717934</v>
      </c>
      <c r="AF19" s="1690">
        <f t="shared" si="7"/>
        <v>668725.39538028091</v>
      </c>
      <c r="AG19" s="1690"/>
      <c r="AH19" s="1690">
        <f>+AH10+AH15+AH11</f>
        <v>132179</v>
      </c>
      <c r="AI19" s="1690">
        <f t="shared" si="8"/>
        <v>631235.68163717934</v>
      </c>
      <c r="AJ19" s="1690">
        <f t="shared" si="8"/>
        <v>800904.39538028091</v>
      </c>
      <c r="AK19" s="1690"/>
      <c r="AL19" s="1690">
        <f>+AL10+AL15+AL11</f>
        <v>140541</v>
      </c>
      <c r="AM19" s="1690">
        <f>AC19+AG19+AK19</f>
        <v>128355.24928601511</v>
      </c>
      <c r="AN19" s="1690">
        <f t="shared" si="9"/>
        <v>448775</v>
      </c>
      <c r="AO19" s="1690">
        <f t="shared" si="10"/>
        <v>631235.68163717934</v>
      </c>
      <c r="AP19" s="1690">
        <f t="shared" si="10"/>
        <v>941445.39538028091</v>
      </c>
      <c r="AQ19" s="1690"/>
      <c r="AR19" s="1690">
        <f>+AR10+AR15+AR11</f>
        <v>122707</v>
      </c>
      <c r="AS19" s="1690">
        <f t="shared" si="11"/>
        <v>631235.68163717934</v>
      </c>
      <c r="AT19" s="1690">
        <f t="shared" si="11"/>
        <v>1064152.3953802809</v>
      </c>
      <c r="AU19" s="1690"/>
      <c r="AV19" s="1690">
        <f>+AV10+AV15+AV11</f>
        <v>106214</v>
      </c>
      <c r="AW19" s="1690">
        <f t="shared" si="12"/>
        <v>631235.68163717934</v>
      </c>
      <c r="AX19" s="1690">
        <f t="shared" si="12"/>
        <v>1170366.3953802809</v>
      </c>
      <c r="AY19" s="1690"/>
      <c r="AZ19" s="1690">
        <f>+AZ10+AZ15+AZ11</f>
        <v>97744</v>
      </c>
      <c r="BA19" s="1690">
        <f>AQ19+AU19+AY19</f>
        <v>0</v>
      </c>
      <c r="BB19" s="1690">
        <f t="shared" si="13"/>
        <v>326665</v>
      </c>
      <c r="BC19" s="1690">
        <f t="shared" si="0"/>
        <v>128355.24928601511</v>
      </c>
      <c r="BD19" s="1690">
        <f t="shared" si="0"/>
        <v>775440</v>
      </c>
      <c r="BE19" s="1690">
        <f t="shared" si="14"/>
        <v>631235.68163717934</v>
      </c>
      <c r="BF19" s="1690">
        <f t="shared" si="14"/>
        <v>1268110.3953802809</v>
      </c>
    </row>
    <row r="20" spans="2:58" x14ac:dyDescent="0.25">
      <c r="B20" s="1769"/>
      <c r="C20" s="1081"/>
      <c r="D20" s="1081"/>
      <c r="E20" s="1081"/>
      <c r="F20" s="1081"/>
      <c r="G20" s="1081"/>
      <c r="H20" s="1081"/>
      <c r="I20" s="3843"/>
      <c r="J20" s="3843"/>
      <c r="K20" s="1081"/>
      <c r="L20" s="1081"/>
      <c r="M20" s="3843"/>
      <c r="N20" s="3843"/>
      <c r="O20" s="1081"/>
      <c r="P20" s="1081"/>
      <c r="Q20" s="3843"/>
      <c r="R20" s="3843"/>
      <c r="S20" s="1081"/>
      <c r="T20" s="1081"/>
      <c r="U20" s="3843"/>
      <c r="V20" s="3843"/>
      <c r="W20" s="1081"/>
      <c r="X20" s="1081"/>
      <c r="Y20" s="3843"/>
      <c r="Z20" s="3843"/>
      <c r="AA20" s="3843"/>
      <c r="AB20" s="3843"/>
      <c r="AC20" s="1081"/>
      <c r="AD20" s="1081"/>
      <c r="AE20" s="3843"/>
      <c r="AF20" s="3843"/>
      <c r="AG20" s="1081"/>
      <c r="AH20" s="1081"/>
      <c r="AI20" s="3843"/>
      <c r="AJ20" s="3843"/>
      <c r="AK20" s="1081"/>
      <c r="AL20" s="1081"/>
      <c r="AM20" s="3843"/>
      <c r="AN20" s="3843"/>
      <c r="AO20" s="3843"/>
      <c r="AP20" s="3843"/>
      <c r="AQ20" s="1081"/>
      <c r="AR20" s="1081"/>
      <c r="AS20" s="3843"/>
      <c r="AT20" s="3843"/>
      <c r="AU20" s="1081"/>
      <c r="AV20" s="1081"/>
      <c r="AW20" s="3843"/>
      <c r="AX20" s="3843"/>
      <c r="AY20" s="1081"/>
      <c r="AZ20" s="1081"/>
      <c r="BA20" s="3843"/>
      <c r="BB20" s="3843"/>
      <c r="BC20" s="3843"/>
      <c r="BD20" s="3843"/>
      <c r="BE20" s="3843"/>
      <c r="BF20" s="3843"/>
    </row>
    <row r="21" spans="2:58" ht="18.75" x14ac:dyDescent="0.3">
      <c r="B21" s="1768" t="s">
        <v>1462</v>
      </c>
      <c r="C21" s="1676"/>
      <c r="D21" s="1081"/>
      <c r="E21" s="1081"/>
      <c r="F21" s="1081"/>
      <c r="G21" s="1081"/>
      <c r="H21" s="1081"/>
      <c r="I21" s="3843"/>
      <c r="J21" s="3843"/>
      <c r="K21" s="1081"/>
      <c r="L21" s="1081"/>
      <c r="M21" s="3843"/>
      <c r="N21" s="3843"/>
      <c r="O21" s="1081"/>
      <c r="P21" s="1081"/>
      <c r="Q21" s="3843"/>
      <c r="R21" s="3843"/>
      <c r="S21" s="1081"/>
      <c r="T21" s="1081"/>
      <c r="U21" s="3843"/>
      <c r="V21" s="3843"/>
      <c r="W21" s="1081"/>
      <c r="X21" s="1081"/>
      <c r="Y21" s="3843"/>
      <c r="Z21" s="3843"/>
      <c r="AA21" s="3843"/>
      <c r="AB21" s="3843"/>
      <c r="AC21" s="1081"/>
      <c r="AD21" s="1081"/>
      <c r="AE21" s="3843"/>
      <c r="AF21" s="3843"/>
      <c r="AG21" s="1081"/>
      <c r="AH21" s="1081"/>
      <c r="AI21" s="3843"/>
      <c r="AJ21" s="3843"/>
      <c r="AK21" s="1081"/>
      <c r="AL21" s="1081"/>
      <c r="AM21" s="3843"/>
      <c r="AN21" s="3843"/>
      <c r="AO21" s="3843"/>
      <c r="AP21" s="3843"/>
      <c r="AQ21" s="1081"/>
      <c r="AR21" s="1081"/>
      <c r="AS21" s="3843"/>
      <c r="AT21" s="3843"/>
      <c r="AU21" s="1081"/>
      <c r="AV21" s="1081"/>
      <c r="AW21" s="3843"/>
      <c r="AX21" s="3843"/>
      <c r="AY21" s="1081"/>
      <c r="AZ21" s="1081"/>
      <c r="BA21" s="3843"/>
      <c r="BB21" s="3843"/>
      <c r="BC21" s="3843"/>
      <c r="BD21" s="3843"/>
      <c r="BE21" s="3843"/>
      <c r="BF21" s="3843"/>
    </row>
    <row r="22" spans="2:58" x14ac:dyDescent="0.25">
      <c r="B22" s="5145" t="s">
        <v>1460</v>
      </c>
      <c r="C22" s="5148" t="s">
        <v>1457</v>
      </c>
      <c r="D22" s="1667" t="s">
        <v>1455</v>
      </c>
      <c r="E22" s="421"/>
      <c r="F22" s="4614">
        <v>14.5</v>
      </c>
      <c r="G22" s="421"/>
      <c r="H22" s="4614">
        <v>8.8000000000000007</v>
      </c>
      <c r="I22" s="1673"/>
      <c r="J22" s="1673">
        <f t="shared" si="1"/>
        <v>23.3</v>
      </c>
      <c r="K22" s="421"/>
      <c r="L22" s="4614">
        <v>18.8</v>
      </c>
      <c r="M22" s="1674">
        <f t="shared" ref="M22:N37" si="19">+I22+K22</f>
        <v>0</v>
      </c>
      <c r="N22" s="1674">
        <f t="shared" si="2"/>
        <v>42.1</v>
      </c>
      <c r="O22" s="421"/>
      <c r="P22" s="4614">
        <v>21.7</v>
      </c>
      <c r="Q22" s="1673">
        <f t="shared" ref="Q22:R37" si="20">+M22+O22</f>
        <v>0</v>
      </c>
      <c r="R22" s="1673">
        <f t="shared" si="3"/>
        <v>63.8</v>
      </c>
      <c r="S22" s="421"/>
      <c r="T22" s="4614">
        <v>14.7</v>
      </c>
      <c r="U22" s="1673">
        <f t="shared" ref="U22:V37" si="21">+Q22+S22</f>
        <v>0</v>
      </c>
      <c r="V22" s="1673">
        <f t="shared" si="4"/>
        <v>78.5</v>
      </c>
      <c r="W22" s="421"/>
      <c r="X22" s="4614">
        <v>14.4</v>
      </c>
      <c r="Y22" s="1674">
        <f>O22+S22+W22</f>
        <v>0</v>
      </c>
      <c r="Z22" s="1674">
        <f t="shared" si="5"/>
        <v>50.8</v>
      </c>
      <c r="AA22" s="1820">
        <f t="shared" ref="AA22:AB37" si="22">+M22+Y22</f>
        <v>0</v>
      </c>
      <c r="AB22" s="1820">
        <f t="shared" si="6"/>
        <v>92.9</v>
      </c>
      <c r="AC22" s="421"/>
      <c r="AD22" s="4614">
        <v>16</v>
      </c>
      <c r="AE22" s="1673">
        <f t="shared" ref="AE22:AF37" si="23">+AA22+AC22</f>
        <v>0</v>
      </c>
      <c r="AF22" s="1673">
        <f t="shared" si="7"/>
        <v>108.9</v>
      </c>
      <c r="AG22" s="421"/>
      <c r="AH22" s="4614">
        <v>27.5</v>
      </c>
      <c r="AI22" s="1673">
        <f t="shared" ref="AI22:AJ37" si="24">+AE22+AG22</f>
        <v>0</v>
      </c>
      <c r="AJ22" s="1673">
        <f t="shared" si="8"/>
        <v>136.4</v>
      </c>
      <c r="AK22" s="421"/>
      <c r="AL22" s="4614">
        <v>29.1</v>
      </c>
      <c r="AM22" s="1674">
        <f>AC22+AG22+AK22</f>
        <v>0</v>
      </c>
      <c r="AN22" s="1674">
        <f t="shared" si="9"/>
        <v>72.599999999999994</v>
      </c>
      <c r="AO22" s="1673">
        <f t="shared" ref="AO22:AP37" si="25">+AI22+AK22</f>
        <v>0</v>
      </c>
      <c r="AP22" s="1673">
        <f t="shared" si="10"/>
        <v>165.5</v>
      </c>
      <c r="AQ22" s="421"/>
      <c r="AR22" s="4614">
        <v>29.9</v>
      </c>
      <c r="AS22" s="1673">
        <f t="shared" si="11"/>
        <v>0</v>
      </c>
      <c r="AT22" s="1673">
        <f t="shared" si="11"/>
        <v>195.4</v>
      </c>
      <c r="AU22" s="421"/>
      <c r="AV22" s="4614">
        <v>36.299999999999997</v>
      </c>
      <c r="AW22" s="1673">
        <f t="shared" si="12"/>
        <v>0</v>
      </c>
      <c r="AX22" s="1673">
        <f t="shared" si="12"/>
        <v>231.7</v>
      </c>
      <c r="AY22" s="421"/>
      <c r="AZ22" s="4614">
        <v>40.299999999999997</v>
      </c>
      <c r="BA22" s="1674">
        <f>AQ22+AU22+AY22</f>
        <v>0</v>
      </c>
      <c r="BB22" s="1674">
        <f t="shared" ref="BB22:BB37" si="26">AR22+AV22+AZ22</f>
        <v>106.49999999999999</v>
      </c>
      <c r="BC22" s="1820">
        <f t="shared" ref="BC22:BD37" si="27">+AM22+BA22</f>
        <v>0</v>
      </c>
      <c r="BD22" s="1820">
        <f t="shared" si="27"/>
        <v>179.09999999999997</v>
      </c>
      <c r="BE22" s="1673">
        <f t="shared" ref="BE22:BF37" si="28">+AW22+AY22</f>
        <v>0</v>
      </c>
      <c r="BF22" s="1673">
        <f t="shared" si="28"/>
        <v>272</v>
      </c>
    </row>
    <row r="23" spans="2:58" x14ac:dyDescent="0.25">
      <c r="B23" s="5146"/>
      <c r="C23" s="5149"/>
      <c r="D23" s="1667" t="s">
        <v>1456</v>
      </c>
      <c r="E23" s="421"/>
      <c r="F23" s="4614">
        <v>31.4</v>
      </c>
      <c r="G23" s="421"/>
      <c r="H23" s="4614">
        <v>30.1</v>
      </c>
      <c r="I23" s="1673"/>
      <c r="J23" s="1673">
        <f t="shared" si="1"/>
        <v>61.5</v>
      </c>
      <c r="K23" s="421"/>
      <c r="L23" s="4614">
        <v>37</v>
      </c>
      <c r="M23" s="1674">
        <f t="shared" si="19"/>
        <v>0</v>
      </c>
      <c r="N23" s="1674">
        <f t="shared" si="2"/>
        <v>98.5</v>
      </c>
      <c r="O23" s="421"/>
      <c r="P23" s="4614">
        <v>38.1</v>
      </c>
      <c r="Q23" s="1673">
        <f t="shared" si="20"/>
        <v>0</v>
      </c>
      <c r="R23" s="1673">
        <f t="shared" si="3"/>
        <v>136.6</v>
      </c>
      <c r="S23" s="421"/>
      <c r="T23" s="4614">
        <v>44.4</v>
      </c>
      <c r="U23" s="1673">
        <f t="shared" si="21"/>
        <v>0</v>
      </c>
      <c r="V23" s="1673">
        <f t="shared" si="4"/>
        <v>181</v>
      </c>
      <c r="W23" s="421"/>
      <c r="X23" s="4614">
        <v>32.4</v>
      </c>
      <c r="Y23" s="1674">
        <f t="shared" ref="Y23:Z37" si="29">O23+S23+W23</f>
        <v>0</v>
      </c>
      <c r="Z23" s="1674">
        <f t="shared" si="5"/>
        <v>114.9</v>
      </c>
      <c r="AA23" s="1820">
        <f t="shared" si="22"/>
        <v>0</v>
      </c>
      <c r="AB23" s="1820">
        <f t="shared" si="6"/>
        <v>213.4</v>
      </c>
      <c r="AC23" s="421"/>
      <c r="AD23" s="4614">
        <v>33.9</v>
      </c>
      <c r="AE23" s="1673">
        <f t="shared" si="23"/>
        <v>0</v>
      </c>
      <c r="AF23" s="1673">
        <f t="shared" si="7"/>
        <v>247.3</v>
      </c>
      <c r="AG23" s="421"/>
      <c r="AH23" s="4614">
        <v>22.1</v>
      </c>
      <c r="AI23" s="1673">
        <f t="shared" si="24"/>
        <v>0</v>
      </c>
      <c r="AJ23" s="1673">
        <f t="shared" si="8"/>
        <v>269.40000000000003</v>
      </c>
      <c r="AK23" s="421"/>
      <c r="AL23" s="4614">
        <v>31.3</v>
      </c>
      <c r="AM23" s="1674">
        <f t="shared" ref="AM23:AN37" si="30">AC23+AG23+AK23</f>
        <v>0</v>
      </c>
      <c r="AN23" s="1674">
        <f t="shared" si="9"/>
        <v>87.3</v>
      </c>
      <c r="AO23" s="1673">
        <f t="shared" si="25"/>
        <v>0</v>
      </c>
      <c r="AP23" s="1673">
        <f t="shared" si="10"/>
        <v>300.70000000000005</v>
      </c>
      <c r="AQ23" s="421"/>
      <c r="AR23" s="4614">
        <v>30.9</v>
      </c>
      <c r="AS23" s="1673">
        <f t="shared" si="11"/>
        <v>0</v>
      </c>
      <c r="AT23" s="1673">
        <f t="shared" si="11"/>
        <v>331.6</v>
      </c>
      <c r="AU23" s="421"/>
      <c r="AV23" s="4614">
        <v>22.3</v>
      </c>
      <c r="AW23" s="1673">
        <f t="shared" si="12"/>
        <v>0</v>
      </c>
      <c r="AX23" s="1673">
        <f t="shared" si="12"/>
        <v>353.90000000000003</v>
      </c>
      <c r="AY23" s="421"/>
      <c r="AZ23" s="4614">
        <v>28.2</v>
      </c>
      <c r="BA23" s="1674">
        <f t="shared" ref="BA23:BA33" si="31">AQ23+AU23+AY23</f>
        <v>0</v>
      </c>
      <c r="BB23" s="1674">
        <f t="shared" si="26"/>
        <v>81.400000000000006</v>
      </c>
      <c r="BC23" s="1820">
        <f t="shared" si="27"/>
        <v>0</v>
      </c>
      <c r="BD23" s="1820">
        <f t="shared" si="27"/>
        <v>168.7</v>
      </c>
      <c r="BE23" s="1673">
        <f t="shared" si="28"/>
        <v>0</v>
      </c>
      <c r="BF23" s="1673">
        <f t="shared" si="28"/>
        <v>382.1</v>
      </c>
    </row>
    <row r="24" spans="2:58" x14ac:dyDescent="0.25">
      <c r="B24" s="5146"/>
      <c r="C24" s="5150"/>
      <c r="D24" s="1670" t="s">
        <v>2</v>
      </c>
      <c r="E24" s="421"/>
      <c r="F24" s="1785">
        <f>SUM(F22:F23)</f>
        <v>45.9</v>
      </c>
      <c r="G24" s="421"/>
      <c r="H24" s="1785">
        <f>SUM(H22:H23)</f>
        <v>38.900000000000006</v>
      </c>
      <c r="I24" s="1673"/>
      <c r="J24" s="1673">
        <f t="shared" si="1"/>
        <v>84.800000000000011</v>
      </c>
      <c r="K24" s="421"/>
      <c r="L24" s="1785">
        <f>SUM(L22:L23)</f>
        <v>55.8</v>
      </c>
      <c r="M24" s="1674">
        <f t="shared" si="19"/>
        <v>0</v>
      </c>
      <c r="N24" s="1674">
        <f t="shared" si="19"/>
        <v>140.60000000000002</v>
      </c>
      <c r="O24" s="421"/>
      <c r="P24" s="1785">
        <f>SUM(P22:P23)</f>
        <v>59.8</v>
      </c>
      <c r="Q24" s="1673">
        <f t="shared" si="20"/>
        <v>0</v>
      </c>
      <c r="R24" s="1673">
        <f t="shared" si="20"/>
        <v>200.40000000000003</v>
      </c>
      <c r="S24" s="421"/>
      <c r="T24" s="1785">
        <f>SUM(T22:T23)</f>
        <v>59.099999999999994</v>
      </c>
      <c r="U24" s="1673">
        <f t="shared" si="21"/>
        <v>0</v>
      </c>
      <c r="V24" s="1673">
        <f t="shared" si="21"/>
        <v>259.5</v>
      </c>
      <c r="W24" s="421"/>
      <c r="X24" s="1785">
        <f>SUM(X22:X23)</f>
        <v>46.8</v>
      </c>
      <c r="Y24" s="1674">
        <f t="shared" si="29"/>
        <v>0</v>
      </c>
      <c r="Z24" s="1674">
        <f t="shared" si="29"/>
        <v>165.7</v>
      </c>
      <c r="AA24" s="1820">
        <f t="shared" si="22"/>
        <v>0</v>
      </c>
      <c r="AB24" s="1820">
        <f t="shared" si="22"/>
        <v>306.3</v>
      </c>
      <c r="AC24" s="421"/>
      <c r="AD24" s="1785">
        <f>SUM(AD22:AD23)</f>
        <v>49.9</v>
      </c>
      <c r="AE24" s="1673">
        <f t="shared" si="23"/>
        <v>0</v>
      </c>
      <c r="AF24" s="1673">
        <f t="shared" si="23"/>
        <v>356.2</v>
      </c>
      <c r="AG24" s="421"/>
      <c r="AH24" s="1785">
        <f>SUM(AH22:AH23)</f>
        <v>49.6</v>
      </c>
      <c r="AI24" s="1673">
        <f t="shared" si="24"/>
        <v>0</v>
      </c>
      <c r="AJ24" s="1673">
        <f t="shared" si="24"/>
        <v>405.8</v>
      </c>
      <c r="AK24" s="421"/>
      <c r="AL24" s="1785">
        <f>SUM(AL22:AL23)</f>
        <v>60.400000000000006</v>
      </c>
      <c r="AM24" s="1674">
        <f t="shared" si="30"/>
        <v>0</v>
      </c>
      <c r="AN24" s="1674">
        <f t="shared" si="30"/>
        <v>159.9</v>
      </c>
      <c r="AO24" s="1673">
        <f t="shared" si="25"/>
        <v>0</v>
      </c>
      <c r="AP24" s="1673">
        <f t="shared" si="25"/>
        <v>466.20000000000005</v>
      </c>
      <c r="AQ24" s="421"/>
      <c r="AR24" s="1785">
        <f>SUM(AR22:AR23)</f>
        <v>60.8</v>
      </c>
      <c r="AS24" s="1673">
        <f t="shared" si="11"/>
        <v>0</v>
      </c>
      <c r="AT24" s="1673">
        <f t="shared" si="11"/>
        <v>527</v>
      </c>
      <c r="AU24" s="421"/>
      <c r="AV24" s="1785">
        <f>SUM(AV22:AV23)</f>
        <v>58.599999999999994</v>
      </c>
      <c r="AW24" s="1673">
        <f t="shared" si="12"/>
        <v>0</v>
      </c>
      <c r="AX24" s="1673">
        <f t="shared" si="12"/>
        <v>585.6</v>
      </c>
      <c r="AY24" s="421"/>
      <c r="AZ24" s="1785">
        <f>SUM(AZ22:AZ23)</f>
        <v>68.5</v>
      </c>
      <c r="BA24" s="1674">
        <f t="shared" si="31"/>
        <v>0</v>
      </c>
      <c r="BB24" s="1674">
        <f t="shared" si="26"/>
        <v>187.89999999999998</v>
      </c>
      <c r="BC24" s="1820">
        <f t="shared" si="27"/>
        <v>0</v>
      </c>
      <c r="BD24" s="1820">
        <f t="shared" si="27"/>
        <v>347.79999999999995</v>
      </c>
      <c r="BE24" s="1673">
        <f t="shared" si="28"/>
        <v>0</v>
      </c>
      <c r="BF24" s="1673">
        <f t="shared" si="28"/>
        <v>654.1</v>
      </c>
    </row>
    <row r="25" spans="2:58" x14ac:dyDescent="0.25">
      <c r="B25" s="5147"/>
      <c r="C25" s="5143" t="s">
        <v>1458</v>
      </c>
      <c r="D25" s="5144"/>
      <c r="E25" s="421"/>
      <c r="F25" s="1106">
        <v>170839</v>
      </c>
      <c r="G25" s="421"/>
      <c r="H25" s="1106">
        <v>143625</v>
      </c>
      <c r="I25" s="1673"/>
      <c r="J25" s="1673">
        <f t="shared" si="1"/>
        <v>314464</v>
      </c>
      <c r="K25" s="421"/>
      <c r="L25" s="1106">
        <v>202523</v>
      </c>
      <c r="M25" s="1674">
        <f t="shared" si="19"/>
        <v>0</v>
      </c>
      <c r="N25" s="1674">
        <f t="shared" si="19"/>
        <v>516987</v>
      </c>
      <c r="O25" s="421"/>
      <c r="P25" s="1106">
        <v>193163</v>
      </c>
      <c r="Q25" s="1673">
        <f t="shared" si="20"/>
        <v>0</v>
      </c>
      <c r="R25" s="1673">
        <f t="shared" si="20"/>
        <v>710150</v>
      </c>
      <c r="S25" s="421"/>
      <c r="T25" s="1106">
        <v>226683</v>
      </c>
      <c r="U25" s="1673">
        <f t="shared" si="21"/>
        <v>0</v>
      </c>
      <c r="V25" s="1673">
        <f t="shared" si="21"/>
        <v>936833</v>
      </c>
      <c r="W25" s="421"/>
      <c r="X25" s="1106">
        <v>184225</v>
      </c>
      <c r="Y25" s="1674">
        <f t="shared" si="29"/>
        <v>0</v>
      </c>
      <c r="Z25" s="1674">
        <f t="shared" si="29"/>
        <v>604071</v>
      </c>
      <c r="AA25" s="1820">
        <f t="shared" si="22"/>
        <v>0</v>
      </c>
      <c r="AB25" s="1820">
        <f t="shared" si="22"/>
        <v>1121058</v>
      </c>
      <c r="AC25" s="421"/>
      <c r="AD25" s="1106">
        <v>190168</v>
      </c>
      <c r="AE25" s="1673">
        <f t="shared" si="23"/>
        <v>0</v>
      </c>
      <c r="AF25" s="1673">
        <f t="shared" si="23"/>
        <v>1311226</v>
      </c>
      <c r="AG25" s="421"/>
      <c r="AH25" s="1106">
        <v>178487</v>
      </c>
      <c r="AI25" s="1673">
        <f t="shared" si="24"/>
        <v>0</v>
      </c>
      <c r="AJ25" s="1673">
        <f t="shared" si="24"/>
        <v>1489713</v>
      </c>
      <c r="AK25" s="421"/>
      <c r="AL25" s="1106">
        <v>228655</v>
      </c>
      <c r="AM25" s="1674">
        <f t="shared" si="30"/>
        <v>0</v>
      </c>
      <c r="AN25" s="1674">
        <f t="shared" si="30"/>
        <v>597310</v>
      </c>
      <c r="AO25" s="1673">
        <f t="shared" si="25"/>
        <v>0</v>
      </c>
      <c r="AP25" s="1673">
        <f t="shared" si="25"/>
        <v>1718368</v>
      </c>
      <c r="AQ25" s="421"/>
      <c r="AR25" s="1106">
        <v>228274</v>
      </c>
      <c r="AS25" s="1673">
        <f t="shared" si="11"/>
        <v>0</v>
      </c>
      <c r="AT25" s="1673">
        <f t="shared" si="11"/>
        <v>1946642</v>
      </c>
      <c r="AU25" s="421"/>
      <c r="AV25" s="1106">
        <v>215445</v>
      </c>
      <c r="AW25" s="1673">
        <f t="shared" si="12"/>
        <v>0</v>
      </c>
      <c r="AX25" s="1673">
        <f t="shared" si="12"/>
        <v>2162087</v>
      </c>
      <c r="AY25" s="421"/>
      <c r="AZ25" s="1106">
        <v>254492</v>
      </c>
      <c r="BA25" s="1674">
        <f t="shared" si="31"/>
        <v>0</v>
      </c>
      <c r="BB25" s="1674">
        <f t="shared" si="26"/>
        <v>698211</v>
      </c>
      <c r="BC25" s="1820">
        <f t="shared" si="27"/>
        <v>0</v>
      </c>
      <c r="BD25" s="1820">
        <f t="shared" si="27"/>
        <v>1295521</v>
      </c>
      <c r="BE25" s="1673">
        <f t="shared" si="28"/>
        <v>0</v>
      </c>
      <c r="BF25" s="1673">
        <f t="shared" si="28"/>
        <v>2416579</v>
      </c>
    </row>
    <row r="26" spans="2:58" x14ac:dyDescent="0.25">
      <c r="B26" s="5145" t="s">
        <v>1461</v>
      </c>
      <c r="C26" s="5148" t="s">
        <v>1457</v>
      </c>
      <c r="D26" s="1667" t="s">
        <v>1455</v>
      </c>
      <c r="E26" s="421"/>
      <c r="F26" s="4614">
        <v>0.7</v>
      </c>
      <c r="G26" s="421"/>
      <c r="H26" s="4614">
        <v>0</v>
      </c>
      <c r="I26" s="1673"/>
      <c r="J26" s="1673">
        <f t="shared" si="1"/>
        <v>0.7</v>
      </c>
      <c r="K26" s="421"/>
      <c r="L26" s="4614">
        <v>0</v>
      </c>
      <c r="M26" s="1674">
        <f t="shared" si="19"/>
        <v>0</v>
      </c>
      <c r="N26" s="1674">
        <f t="shared" si="19"/>
        <v>0.7</v>
      </c>
      <c r="O26" s="421"/>
      <c r="P26" s="4614">
        <v>0</v>
      </c>
      <c r="Q26" s="1673">
        <f t="shared" si="20"/>
        <v>0</v>
      </c>
      <c r="R26" s="1673">
        <f t="shared" si="20"/>
        <v>0.7</v>
      </c>
      <c r="S26" s="421"/>
      <c r="T26" s="4614">
        <v>0</v>
      </c>
      <c r="U26" s="1673">
        <f t="shared" si="21"/>
        <v>0</v>
      </c>
      <c r="V26" s="1673">
        <f t="shared" si="21"/>
        <v>0.7</v>
      </c>
      <c r="W26" s="421"/>
      <c r="X26" s="4614">
        <v>0</v>
      </c>
      <c r="Y26" s="1674">
        <f t="shared" si="29"/>
        <v>0</v>
      </c>
      <c r="Z26" s="1674">
        <f t="shared" si="29"/>
        <v>0</v>
      </c>
      <c r="AA26" s="1820">
        <f t="shared" si="22"/>
        <v>0</v>
      </c>
      <c r="AB26" s="1820">
        <f t="shared" si="22"/>
        <v>0.7</v>
      </c>
      <c r="AC26" s="421"/>
      <c r="AD26" s="4614">
        <v>0.5</v>
      </c>
      <c r="AE26" s="1673">
        <f t="shared" si="23"/>
        <v>0</v>
      </c>
      <c r="AF26" s="1673">
        <f t="shared" si="23"/>
        <v>1.2</v>
      </c>
      <c r="AG26" s="421"/>
      <c r="AH26" s="4614">
        <v>1.5</v>
      </c>
      <c r="AI26" s="1673">
        <f t="shared" si="24"/>
        <v>0</v>
      </c>
      <c r="AJ26" s="1673">
        <f t="shared" si="24"/>
        <v>2.7</v>
      </c>
      <c r="AK26" s="421"/>
      <c r="AL26" s="4614">
        <v>0.5</v>
      </c>
      <c r="AM26" s="1674">
        <f t="shared" si="30"/>
        <v>0</v>
      </c>
      <c r="AN26" s="1674">
        <f t="shared" si="30"/>
        <v>2.5</v>
      </c>
      <c r="AO26" s="1673">
        <f t="shared" si="25"/>
        <v>0</v>
      </c>
      <c r="AP26" s="1673">
        <f t="shared" si="25"/>
        <v>3.2</v>
      </c>
      <c r="AQ26" s="421"/>
      <c r="AR26" s="4614">
        <v>0.5</v>
      </c>
      <c r="AS26" s="1673">
        <f t="shared" si="11"/>
        <v>0</v>
      </c>
      <c r="AT26" s="1673">
        <f t="shared" si="11"/>
        <v>3.7</v>
      </c>
      <c r="AU26" s="421"/>
      <c r="AV26" s="4614">
        <v>2.6</v>
      </c>
      <c r="AW26" s="1673">
        <f t="shared" si="12"/>
        <v>0</v>
      </c>
      <c r="AX26" s="1673">
        <f t="shared" si="12"/>
        <v>6.3000000000000007</v>
      </c>
      <c r="AY26" s="421"/>
      <c r="AZ26" s="4614">
        <v>1</v>
      </c>
      <c r="BA26" s="1674">
        <f t="shared" si="31"/>
        <v>0</v>
      </c>
      <c r="BB26" s="1674">
        <f t="shared" si="26"/>
        <v>4.0999999999999996</v>
      </c>
      <c r="BC26" s="1820">
        <f t="shared" si="27"/>
        <v>0</v>
      </c>
      <c r="BD26" s="1820">
        <f t="shared" si="27"/>
        <v>6.6</v>
      </c>
      <c r="BE26" s="1673">
        <f t="shared" si="28"/>
        <v>0</v>
      </c>
      <c r="BF26" s="1673">
        <f t="shared" si="28"/>
        <v>7.3000000000000007</v>
      </c>
    </row>
    <row r="27" spans="2:58" x14ac:dyDescent="0.25">
      <c r="B27" s="5146"/>
      <c r="C27" s="5149"/>
      <c r="D27" s="1667" t="s">
        <v>1456</v>
      </c>
      <c r="E27" s="421"/>
      <c r="F27" s="4614">
        <v>1.7</v>
      </c>
      <c r="G27" s="421"/>
      <c r="H27" s="4614">
        <v>12.7</v>
      </c>
      <c r="I27" s="1673"/>
      <c r="J27" s="1673">
        <f t="shared" si="1"/>
        <v>14.399999999999999</v>
      </c>
      <c r="K27" s="421"/>
      <c r="L27" s="4614">
        <v>3.1</v>
      </c>
      <c r="M27" s="1674">
        <f t="shared" si="19"/>
        <v>0</v>
      </c>
      <c r="N27" s="1674">
        <f t="shared" si="19"/>
        <v>17.5</v>
      </c>
      <c r="O27" s="421"/>
      <c r="P27" s="4614">
        <v>11</v>
      </c>
      <c r="Q27" s="1673">
        <f t="shared" si="20"/>
        <v>0</v>
      </c>
      <c r="R27" s="1673">
        <f t="shared" si="20"/>
        <v>28.5</v>
      </c>
      <c r="S27" s="421"/>
      <c r="T27" s="4614">
        <v>5.9</v>
      </c>
      <c r="U27" s="1673">
        <f t="shared" si="21"/>
        <v>0</v>
      </c>
      <c r="V27" s="1673">
        <f t="shared" si="21"/>
        <v>34.4</v>
      </c>
      <c r="W27" s="421"/>
      <c r="X27" s="4614">
        <v>6.7</v>
      </c>
      <c r="Y27" s="1674">
        <f t="shared" si="29"/>
        <v>0</v>
      </c>
      <c r="Z27" s="1674">
        <f t="shared" si="29"/>
        <v>23.599999999999998</v>
      </c>
      <c r="AA27" s="1820">
        <f t="shared" si="22"/>
        <v>0</v>
      </c>
      <c r="AB27" s="1820">
        <f t="shared" si="22"/>
        <v>41.099999999999994</v>
      </c>
      <c r="AC27" s="421"/>
      <c r="AD27" s="4614">
        <v>7.2</v>
      </c>
      <c r="AE27" s="1673">
        <f t="shared" si="23"/>
        <v>0</v>
      </c>
      <c r="AF27" s="1673">
        <f t="shared" si="23"/>
        <v>48.3</v>
      </c>
      <c r="AG27" s="421"/>
      <c r="AH27" s="4614">
        <v>10.9</v>
      </c>
      <c r="AI27" s="1673">
        <f t="shared" si="24"/>
        <v>0</v>
      </c>
      <c r="AJ27" s="1673">
        <f t="shared" si="24"/>
        <v>59.199999999999996</v>
      </c>
      <c r="AK27" s="421"/>
      <c r="AL27" s="4614">
        <v>12.9</v>
      </c>
      <c r="AM27" s="1674">
        <f t="shared" si="30"/>
        <v>0</v>
      </c>
      <c r="AN27" s="1674">
        <f t="shared" si="30"/>
        <v>31</v>
      </c>
      <c r="AO27" s="1673">
        <f t="shared" si="25"/>
        <v>0</v>
      </c>
      <c r="AP27" s="1673">
        <f t="shared" si="25"/>
        <v>72.099999999999994</v>
      </c>
      <c r="AQ27" s="421"/>
      <c r="AR27" s="4614">
        <v>9.6</v>
      </c>
      <c r="AS27" s="1673">
        <f t="shared" si="11"/>
        <v>0</v>
      </c>
      <c r="AT27" s="1673">
        <f t="shared" si="11"/>
        <v>81.699999999999989</v>
      </c>
      <c r="AU27" s="421"/>
      <c r="AV27" s="4614">
        <v>2.2000000000000002</v>
      </c>
      <c r="AW27" s="1673">
        <f t="shared" si="12"/>
        <v>0</v>
      </c>
      <c r="AX27" s="1673">
        <f t="shared" si="12"/>
        <v>83.899999999999991</v>
      </c>
      <c r="AY27" s="421"/>
      <c r="AZ27" s="4614">
        <v>10.6</v>
      </c>
      <c r="BA27" s="1674">
        <f t="shared" si="31"/>
        <v>0</v>
      </c>
      <c r="BB27" s="1674">
        <f t="shared" si="26"/>
        <v>22.4</v>
      </c>
      <c r="BC27" s="1820">
        <f t="shared" si="27"/>
        <v>0</v>
      </c>
      <c r="BD27" s="1820">
        <f t="shared" si="27"/>
        <v>53.4</v>
      </c>
      <c r="BE27" s="1673">
        <f t="shared" si="28"/>
        <v>0</v>
      </c>
      <c r="BF27" s="1673">
        <f t="shared" si="28"/>
        <v>94.499999999999986</v>
      </c>
    </row>
    <row r="28" spans="2:58" x14ac:dyDescent="0.25">
      <c r="B28" s="5146"/>
      <c r="C28" s="5150"/>
      <c r="D28" s="1670" t="s">
        <v>2</v>
      </c>
      <c r="E28" s="421"/>
      <c r="F28" s="1785">
        <f>SUM(F26:F27)</f>
        <v>2.4</v>
      </c>
      <c r="G28" s="421"/>
      <c r="H28" s="1785">
        <f>SUM(H26:H27)</f>
        <v>12.7</v>
      </c>
      <c r="I28" s="1673"/>
      <c r="J28" s="1673">
        <f t="shared" si="1"/>
        <v>15.1</v>
      </c>
      <c r="K28" s="421"/>
      <c r="L28" s="1785">
        <f>SUM(L26:L27)</f>
        <v>3.1</v>
      </c>
      <c r="M28" s="1674">
        <f t="shared" si="19"/>
        <v>0</v>
      </c>
      <c r="N28" s="1674">
        <f t="shared" si="19"/>
        <v>18.2</v>
      </c>
      <c r="O28" s="421"/>
      <c r="P28" s="1785">
        <f>SUM(P26:P27)</f>
        <v>11</v>
      </c>
      <c r="Q28" s="1673">
        <f t="shared" si="20"/>
        <v>0</v>
      </c>
      <c r="R28" s="1673">
        <f t="shared" si="20"/>
        <v>29.2</v>
      </c>
      <c r="S28" s="421"/>
      <c r="T28" s="1785">
        <f>SUM(T26:T27)</f>
        <v>5.9</v>
      </c>
      <c r="U28" s="1673">
        <f t="shared" si="21"/>
        <v>0</v>
      </c>
      <c r="V28" s="1673">
        <f t="shared" si="21"/>
        <v>35.1</v>
      </c>
      <c r="W28" s="421"/>
      <c r="X28" s="1785">
        <f>SUM(X26:X27)</f>
        <v>6.7</v>
      </c>
      <c r="Y28" s="1674">
        <f t="shared" si="29"/>
        <v>0</v>
      </c>
      <c r="Z28" s="1674">
        <f t="shared" si="29"/>
        <v>23.599999999999998</v>
      </c>
      <c r="AA28" s="1820">
        <f t="shared" si="22"/>
        <v>0</v>
      </c>
      <c r="AB28" s="1820">
        <f t="shared" si="22"/>
        <v>41.8</v>
      </c>
      <c r="AC28" s="421"/>
      <c r="AD28" s="1785">
        <f>SUM(AD26:AD27)</f>
        <v>7.7</v>
      </c>
      <c r="AE28" s="1673">
        <f t="shared" si="23"/>
        <v>0</v>
      </c>
      <c r="AF28" s="1673">
        <f t="shared" si="23"/>
        <v>49.5</v>
      </c>
      <c r="AG28" s="421"/>
      <c r="AH28" s="1785">
        <f>SUM(AH26:AH27)</f>
        <v>12.4</v>
      </c>
      <c r="AI28" s="1673">
        <f t="shared" si="24"/>
        <v>0</v>
      </c>
      <c r="AJ28" s="1673">
        <f t="shared" si="24"/>
        <v>61.9</v>
      </c>
      <c r="AK28" s="421"/>
      <c r="AL28" s="1785">
        <f>SUM(AL26:AL27)</f>
        <v>13.4</v>
      </c>
      <c r="AM28" s="1674">
        <f t="shared" si="30"/>
        <v>0</v>
      </c>
      <c r="AN28" s="1674">
        <f t="shared" si="30"/>
        <v>33.5</v>
      </c>
      <c r="AO28" s="1673">
        <f t="shared" si="25"/>
        <v>0</v>
      </c>
      <c r="AP28" s="1673">
        <f t="shared" si="25"/>
        <v>75.3</v>
      </c>
      <c r="AQ28" s="421"/>
      <c r="AR28" s="1785">
        <f>SUM(AR26:AR27)</f>
        <v>10.1</v>
      </c>
      <c r="AS28" s="1673">
        <f t="shared" si="11"/>
        <v>0</v>
      </c>
      <c r="AT28" s="1673">
        <f t="shared" si="11"/>
        <v>85.399999999999991</v>
      </c>
      <c r="AU28" s="421"/>
      <c r="AV28" s="1785">
        <f>SUM(AV26:AV27)</f>
        <v>4.8000000000000007</v>
      </c>
      <c r="AW28" s="1673">
        <f t="shared" si="12"/>
        <v>0</v>
      </c>
      <c r="AX28" s="1673">
        <f t="shared" si="12"/>
        <v>90.199999999999989</v>
      </c>
      <c r="AY28" s="421"/>
      <c r="AZ28" s="1785">
        <f>SUM(AZ26:AZ27)</f>
        <v>11.6</v>
      </c>
      <c r="BA28" s="1674">
        <f t="shared" si="31"/>
        <v>0</v>
      </c>
      <c r="BB28" s="1674">
        <f t="shared" si="26"/>
        <v>26.5</v>
      </c>
      <c r="BC28" s="1820">
        <f t="shared" si="27"/>
        <v>0</v>
      </c>
      <c r="BD28" s="1820">
        <f t="shared" si="27"/>
        <v>60</v>
      </c>
      <c r="BE28" s="1673">
        <f t="shared" si="28"/>
        <v>0</v>
      </c>
      <c r="BF28" s="1673">
        <f t="shared" si="28"/>
        <v>101.79999999999998</v>
      </c>
    </row>
    <row r="29" spans="2:58" x14ac:dyDescent="0.25">
      <c r="B29" s="5147"/>
      <c r="C29" s="5143" t="s">
        <v>1458</v>
      </c>
      <c r="D29" s="5144"/>
      <c r="E29" s="421"/>
      <c r="F29" s="1106">
        <v>9768</v>
      </c>
      <c r="G29" s="421"/>
      <c r="H29" s="1106">
        <v>46556</v>
      </c>
      <c r="I29" s="1673"/>
      <c r="J29" s="1673">
        <f t="shared" si="1"/>
        <v>56324</v>
      </c>
      <c r="K29" s="421"/>
      <c r="L29" s="1106">
        <v>11630</v>
      </c>
      <c r="M29" s="1674">
        <f t="shared" si="19"/>
        <v>0</v>
      </c>
      <c r="N29" s="1674">
        <f t="shared" si="19"/>
        <v>67954</v>
      </c>
      <c r="O29" s="421"/>
      <c r="P29" s="1106">
        <v>40115</v>
      </c>
      <c r="Q29" s="1673">
        <f t="shared" si="20"/>
        <v>0</v>
      </c>
      <c r="R29" s="1673">
        <f t="shared" si="20"/>
        <v>108069</v>
      </c>
      <c r="S29" s="421"/>
      <c r="T29" s="1106">
        <v>23551</v>
      </c>
      <c r="U29" s="1673">
        <f t="shared" si="21"/>
        <v>0</v>
      </c>
      <c r="V29" s="1673">
        <f t="shared" si="21"/>
        <v>131620</v>
      </c>
      <c r="W29" s="421"/>
      <c r="X29" s="1106">
        <v>26473</v>
      </c>
      <c r="Y29" s="1674">
        <f t="shared" si="29"/>
        <v>0</v>
      </c>
      <c r="Z29" s="1674">
        <f t="shared" si="29"/>
        <v>90139</v>
      </c>
      <c r="AA29" s="1820">
        <f t="shared" si="22"/>
        <v>0</v>
      </c>
      <c r="AB29" s="1820">
        <f t="shared" si="22"/>
        <v>158093</v>
      </c>
      <c r="AC29" s="421"/>
      <c r="AD29" s="1106">
        <v>31768</v>
      </c>
      <c r="AE29" s="1673">
        <f t="shared" si="23"/>
        <v>0</v>
      </c>
      <c r="AF29" s="1673">
        <f t="shared" si="23"/>
        <v>189861</v>
      </c>
      <c r="AG29" s="421"/>
      <c r="AH29" s="1106">
        <v>47910</v>
      </c>
      <c r="AI29" s="1673">
        <f t="shared" si="24"/>
        <v>0</v>
      </c>
      <c r="AJ29" s="1673">
        <f t="shared" si="24"/>
        <v>237771</v>
      </c>
      <c r="AK29" s="421"/>
      <c r="AL29" s="1106">
        <v>39279</v>
      </c>
      <c r="AM29" s="1674">
        <f t="shared" si="30"/>
        <v>0</v>
      </c>
      <c r="AN29" s="1674">
        <f t="shared" si="30"/>
        <v>118957</v>
      </c>
      <c r="AO29" s="1673">
        <f t="shared" si="25"/>
        <v>0</v>
      </c>
      <c r="AP29" s="1673">
        <f t="shared" si="25"/>
        <v>277050</v>
      </c>
      <c r="AQ29" s="421"/>
      <c r="AR29" s="1106">
        <v>40677</v>
      </c>
      <c r="AS29" s="1673">
        <f t="shared" si="11"/>
        <v>0</v>
      </c>
      <c r="AT29" s="1673">
        <f t="shared" si="11"/>
        <v>317727</v>
      </c>
      <c r="AU29" s="421"/>
      <c r="AV29" s="1106">
        <v>18450</v>
      </c>
      <c r="AW29" s="1673">
        <f t="shared" si="12"/>
        <v>0</v>
      </c>
      <c r="AX29" s="1673">
        <f t="shared" si="12"/>
        <v>336177</v>
      </c>
      <c r="AY29" s="421"/>
      <c r="AZ29" s="1106">
        <v>49743</v>
      </c>
      <c r="BA29" s="1674">
        <f t="shared" si="31"/>
        <v>0</v>
      </c>
      <c r="BB29" s="1674">
        <f t="shared" si="26"/>
        <v>108870</v>
      </c>
      <c r="BC29" s="1820">
        <f t="shared" si="27"/>
        <v>0</v>
      </c>
      <c r="BD29" s="1820">
        <f t="shared" si="27"/>
        <v>227827</v>
      </c>
      <c r="BE29" s="1673">
        <f t="shared" si="28"/>
        <v>0</v>
      </c>
      <c r="BF29" s="1673">
        <f t="shared" si="28"/>
        <v>385920</v>
      </c>
    </row>
    <row r="30" spans="2:58" x14ac:dyDescent="0.25">
      <c r="B30" s="5145" t="s">
        <v>1754</v>
      </c>
      <c r="C30" s="5148" t="s">
        <v>1457</v>
      </c>
      <c r="D30" s="1667" t="s">
        <v>1455</v>
      </c>
      <c r="E30" s="421"/>
      <c r="F30" s="1106">
        <v>0</v>
      </c>
      <c r="G30" s="421"/>
      <c r="H30" s="1106">
        <v>0</v>
      </c>
      <c r="I30" s="1673"/>
      <c r="J30" s="1673">
        <f t="shared" si="1"/>
        <v>0</v>
      </c>
      <c r="K30" s="421"/>
      <c r="L30" s="1106">
        <v>0</v>
      </c>
      <c r="M30" s="1674">
        <f t="shared" si="19"/>
        <v>0</v>
      </c>
      <c r="N30" s="1674">
        <f t="shared" si="19"/>
        <v>0</v>
      </c>
      <c r="O30" s="421"/>
      <c r="P30" s="1106">
        <v>0</v>
      </c>
      <c r="Q30" s="1673">
        <f t="shared" si="20"/>
        <v>0</v>
      </c>
      <c r="R30" s="1673">
        <f t="shared" si="20"/>
        <v>0</v>
      </c>
      <c r="S30" s="421"/>
      <c r="T30" s="1106">
        <v>0</v>
      </c>
      <c r="U30" s="1673">
        <f t="shared" si="21"/>
        <v>0</v>
      </c>
      <c r="V30" s="1673">
        <f t="shared" si="21"/>
        <v>0</v>
      </c>
      <c r="W30" s="421"/>
      <c r="X30" s="1106">
        <v>0</v>
      </c>
      <c r="Y30" s="1674">
        <f t="shared" si="29"/>
        <v>0</v>
      </c>
      <c r="Z30" s="1674">
        <f t="shared" si="29"/>
        <v>0</v>
      </c>
      <c r="AA30" s="1820">
        <f t="shared" si="22"/>
        <v>0</v>
      </c>
      <c r="AB30" s="1820">
        <f t="shared" si="22"/>
        <v>0</v>
      </c>
      <c r="AC30" s="421"/>
      <c r="AD30" s="1106">
        <v>0</v>
      </c>
      <c r="AE30" s="1673">
        <f t="shared" si="23"/>
        <v>0</v>
      </c>
      <c r="AF30" s="1673">
        <f t="shared" si="23"/>
        <v>0</v>
      </c>
      <c r="AG30" s="421"/>
      <c r="AH30" s="1106">
        <v>0</v>
      </c>
      <c r="AI30" s="1673">
        <f t="shared" si="24"/>
        <v>0</v>
      </c>
      <c r="AJ30" s="1673">
        <f t="shared" si="24"/>
        <v>0</v>
      </c>
      <c r="AK30" s="421"/>
      <c r="AL30" s="1106">
        <v>0</v>
      </c>
      <c r="AM30" s="1674">
        <f t="shared" si="30"/>
        <v>0</v>
      </c>
      <c r="AN30" s="1674">
        <f t="shared" si="30"/>
        <v>0</v>
      </c>
      <c r="AO30" s="1673">
        <f t="shared" si="25"/>
        <v>0</v>
      </c>
      <c r="AP30" s="1673">
        <f t="shared" si="25"/>
        <v>0</v>
      </c>
      <c r="AQ30" s="421"/>
      <c r="AR30" s="1106">
        <v>0</v>
      </c>
      <c r="AS30" s="1673">
        <f t="shared" si="11"/>
        <v>0</v>
      </c>
      <c r="AT30" s="1673">
        <f t="shared" si="11"/>
        <v>0</v>
      </c>
      <c r="AU30" s="421"/>
      <c r="AV30" s="1106">
        <v>0</v>
      </c>
      <c r="AW30" s="1673">
        <f t="shared" si="12"/>
        <v>0</v>
      </c>
      <c r="AX30" s="1673">
        <f t="shared" si="12"/>
        <v>0</v>
      </c>
      <c r="AY30" s="421"/>
      <c r="AZ30" s="1106">
        <v>0</v>
      </c>
      <c r="BA30" s="1674">
        <f t="shared" si="31"/>
        <v>0</v>
      </c>
      <c r="BB30" s="1674">
        <f t="shared" si="26"/>
        <v>0</v>
      </c>
      <c r="BC30" s="1820">
        <f t="shared" si="27"/>
        <v>0</v>
      </c>
      <c r="BD30" s="1820">
        <f t="shared" si="27"/>
        <v>0</v>
      </c>
      <c r="BE30" s="1673">
        <f t="shared" si="28"/>
        <v>0</v>
      </c>
      <c r="BF30" s="1673">
        <f t="shared" si="28"/>
        <v>0</v>
      </c>
    </row>
    <row r="31" spans="2:58" x14ac:dyDescent="0.25">
      <c r="B31" s="5146"/>
      <c r="C31" s="5149"/>
      <c r="D31" s="1667" t="s">
        <v>1456</v>
      </c>
      <c r="E31" s="3818"/>
      <c r="F31" s="1106">
        <v>0</v>
      </c>
      <c r="G31" s="3818"/>
      <c r="H31" s="1106">
        <v>0</v>
      </c>
      <c r="I31" s="1673"/>
      <c r="J31" s="1673">
        <f t="shared" si="1"/>
        <v>0</v>
      </c>
      <c r="K31" s="3818"/>
      <c r="L31" s="1106">
        <v>7</v>
      </c>
      <c r="M31" s="1674">
        <f t="shared" si="19"/>
        <v>0</v>
      </c>
      <c r="N31" s="1674">
        <f t="shared" si="19"/>
        <v>7</v>
      </c>
      <c r="O31" s="3818"/>
      <c r="P31" s="1106">
        <v>14</v>
      </c>
      <c r="Q31" s="1673">
        <f t="shared" si="20"/>
        <v>0</v>
      </c>
      <c r="R31" s="1673">
        <f t="shared" si="20"/>
        <v>21</v>
      </c>
      <c r="S31" s="3818"/>
      <c r="T31" s="1106">
        <v>20</v>
      </c>
      <c r="U31" s="1673">
        <f t="shared" si="21"/>
        <v>0</v>
      </c>
      <c r="V31" s="1673">
        <f t="shared" si="21"/>
        <v>41</v>
      </c>
      <c r="W31" s="3818"/>
      <c r="X31" s="1106">
        <v>24</v>
      </c>
      <c r="Y31" s="1674">
        <f t="shared" si="29"/>
        <v>0</v>
      </c>
      <c r="Z31" s="1674">
        <f t="shared" si="29"/>
        <v>58</v>
      </c>
      <c r="AA31" s="1820">
        <f t="shared" si="22"/>
        <v>0</v>
      </c>
      <c r="AB31" s="1820">
        <f t="shared" si="22"/>
        <v>65</v>
      </c>
      <c r="AC31" s="3818"/>
      <c r="AD31" s="1106">
        <v>14</v>
      </c>
      <c r="AE31" s="1673">
        <f t="shared" si="23"/>
        <v>0</v>
      </c>
      <c r="AF31" s="1673">
        <f t="shared" si="23"/>
        <v>79</v>
      </c>
      <c r="AG31" s="3818"/>
      <c r="AH31" s="1106">
        <v>10</v>
      </c>
      <c r="AI31" s="1673">
        <f t="shared" si="24"/>
        <v>0</v>
      </c>
      <c r="AJ31" s="1673">
        <f t="shared" si="24"/>
        <v>89</v>
      </c>
      <c r="AK31" s="3818"/>
      <c r="AL31" s="1106">
        <v>13</v>
      </c>
      <c r="AM31" s="1674">
        <f t="shared" si="30"/>
        <v>0</v>
      </c>
      <c r="AN31" s="1674">
        <f t="shared" si="30"/>
        <v>37</v>
      </c>
      <c r="AO31" s="1673">
        <f t="shared" si="25"/>
        <v>0</v>
      </c>
      <c r="AP31" s="1673">
        <f t="shared" si="25"/>
        <v>102</v>
      </c>
      <c r="AQ31" s="3818"/>
      <c r="AR31" s="1106">
        <v>9</v>
      </c>
      <c r="AS31" s="1673">
        <f t="shared" si="11"/>
        <v>0</v>
      </c>
      <c r="AT31" s="1673">
        <f t="shared" si="11"/>
        <v>111</v>
      </c>
      <c r="AU31" s="3818"/>
      <c r="AV31" s="1106">
        <v>8</v>
      </c>
      <c r="AW31" s="1673">
        <f t="shared" si="12"/>
        <v>0</v>
      </c>
      <c r="AX31" s="1673">
        <f t="shared" si="12"/>
        <v>119</v>
      </c>
      <c r="AY31" s="3818"/>
      <c r="AZ31" s="1106">
        <v>9</v>
      </c>
      <c r="BA31" s="1674">
        <f t="shared" si="31"/>
        <v>0</v>
      </c>
      <c r="BB31" s="1674">
        <f t="shared" si="26"/>
        <v>26</v>
      </c>
      <c r="BC31" s="1820">
        <f t="shared" si="27"/>
        <v>0</v>
      </c>
      <c r="BD31" s="1820">
        <f t="shared" si="27"/>
        <v>63</v>
      </c>
      <c r="BE31" s="1673">
        <f t="shared" si="28"/>
        <v>0</v>
      </c>
      <c r="BF31" s="1673">
        <f t="shared" si="28"/>
        <v>128</v>
      </c>
    </row>
    <row r="32" spans="2:58" x14ac:dyDescent="0.25">
      <c r="B32" s="5146"/>
      <c r="C32" s="5150"/>
      <c r="D32" s="1670" t="s">
        <v>2</v>
      </c>
      <c r="E32" s="421"/>
      <c r="F32" s="1785">
        <f>+F30+F31</f>
        <v>0</v>
      </c>
      <c r="G32" s="421"/>
      <c r="H32" s="1785">
        <f>+H30+H31</f>
        <v>0</v>
      </c>
      <c r="I32" s="1673"/>
      <c r="J32" s="1673">
        <f t="shared" si="1"/>
        <v>0</v>
      </c>
      <c r="K32" s="421"/>
      <c r="L32" s="1785">
        <f>+L30+L31</f>
        <v>7</v>
      </c>
      <c r="M32" s="1674">
        <f t="shared" si="19"/>
        <v>0</v>
      </c>
      <c r="N32" s="1674">
        <f t="shared" si="19"/>
        <v>7</v>
      </c>
      <c r="O32" s="421"/>
      <c r="P32" s="1785">
        <f>+P30+P31</f>
        <v>14</v>
      </c>
      <c r="Q32" s="1673">
        <f t="shared" si="20"/>
        <v>0</v>
      </c>
      <c r="R32" s="1673">
        <f t="shared" si="20"/>
        <v>21</v>
      </c>
      <c r="S32" s="421"/>
      <c r="T32" s="1785">
        <f>+T30+T31</f>
        <v>20</v>
      </c>
      <c r="U32" s="1673">
        <f t="shared" si="21"/>
        <v>0</v>
      </c>
      <c r="V32" s="1673">
        <f t="shared" si="21"/>
        <v>41</v>
      </c>
      <c r="W32" s="421"/>
      <c r="X32" s="1785">
        <f>+X30+X31</f>
        <v>24</v>
      </c>
      <c r="Y32" s="1674">
        <f t="shared" si="29"/>
        <v>0</v>
      </c>
      <c r="Z32" s="1674">
        <f t="shared" si="29"/>
        <v>58</v>
      </c>
      <c r="AA32" s="1820">
        <f t="shared" si="22"/>
        <v>0</v>
      </c>
      <c r="AB32" s="1820">
        <f t="shared" si="22"/>
        <v>65</v>
      </c>
      <c r="AC32" s="421"/>
      <c r="AD32" s="1785">
        <v>0</v>
      </c>
      <c r="AE32" s="1673">
        <f t="shared" si="23"/>
        <v>0</v>
      </c>
      <c r="AF32" s="1673">
        <f t="shared" si="23"/>
        <v>65</v>
      </c>
      <c r="AG32" s="421"/>
      <c r="AH32" s="1785">
        <f>SUM(AH30:AH31)</f>
        <v>10</v>
      </c>
      <c r="AI32" s="1673">
        <f t="shared" si="24"/>
        <v>0</v>
      </c>
      <c r="AJ32" s="1673">
        <f t="shared" si="24"/>
        <v>75</v>
      </c>
      <c r="AK32" s="421"/>
      <c r="AL32" s="1785">
        <f>SUM(AL30:AL31)</f>
        <v>13</v>
      </c>
      <c r="AM32" s="1674">
        <f t="shared" si="30"/>
        <v>0</v>
      </c>
      <c r="AN32" s="1674">
        <f t="shared" si="30"/>
        <v>23</v>
      </c>
      <c r="AO32" s="1673">
        <f t="shared" si="25"/>
        <v>0</v>
      </c>
      <c r="AP32" s="1673">
        <f t="shared" si="25"/>
        <v>88</v>
      </c>
      <c r="AQ32" s="421"/>
      <c r="AR32" s="1785">
        <f>SUM(AR30:AR31)</f>
        <v>9</v>
      </c>
      <c r="AS32" s="1673">
        <f t="shared" si="11"/>
        <v>0</v>
      </c>
      <c r="AT32" s="1673">
        <f t="shared" si="11"/>
        <v>97</v>
      </c>
      <c r="AU32" s="421"/>
      <c r="AV32" s="1785">
        <f>SUM(AV30:AV31)</f>
        <v>8</v>
      </c>
      <c r="AW32" s="1673">
        <f t="shared" si="12"/>
        <v>0</v>
      </c>
      <c r="AX32" s="1673">
        <f t="shared" si="12"/>
        <v>105</v>
      </c>
      <c r="AY32" s="421"/>
      <c r="AZ32" s="1785">
        <f>SUM(AZ30:AZ31)</f>
        <v>9</v>
      </c>
      <c r="BA32" s="1674">
        <f t="shared" si="31"/>
        <v>0</v>
      </c>
      <c r="BB32" s="1674">
        <f t="shared" si="26"/>
        <v>26</v>
      </c>
      <c r="BC32" s="1820">
        <f t="shared" si="27"/>
        <v>0</v>
      </c>
      <c r="BD32" s="1820">
        <f t="shared" si="27"/>
        <v>49</v>
      </c>
      <c r="BE32" s="1673">
        <f t="shared" si="28"/>
        <v>0</v>
      </c>
      <c r="BF32" s="1673">
        <f t="shared" si="28"/>
        <v>114</v>
      </c>
    </row>
    <row r="33" spans="2:58" x14ac:dyDescent="0.25">
      <c r="B33" s="5147"/>
      <c r="C33" s="5143" t="s">
        <v>1458</v>
      </c>
      <c r="D33" s="5144"/>
      <c r="E33" s="421"/>
      <c r="F33" s="1785">
        <v>0</v>
      </c>
      <c r="G33" s="421"/>
      <c r="H33" s="1785">
        <v>0</v>
      </c>
      <c r="I33" s="1673"/>
      <c r="J33" s="1673">
        <f t="shared" si="1"/>
        <v>0</v>
      </c>
      <c r="K33" s="421"/>
      <c r="L33" s="1785">
        <v>27083</v>
      </c>
      <c r="M33" s="1674">
        <f t="shared" si="19"/>
        <v>0</v>
      </c>
      <c r="N33" s="1674">
        <f t="shared" si="19"/>
        <v>27083</v>
      </c>
      <c r="O33" s="421"/>
      <c r="P33" s="1785">
        <v>50406</v>
      </c>
      <c r="Q33" s="1673">
        <f t="shared" si="20"/>
        <v>0</v>
      </c>
      <c r="R33" s="1673">
        <f t="shared" si="20"/>
        <v>77489</v>
      </c>
      <c r="S33" s="421"/>
      <c r="T33" s="1785">
        <v>69570</v>
      </c>
      <c r="U33" s="1673">
        <f t="shared" si="21"/>
        <v>0</v>
      </c>
      <c r="V33" s="1673">
        <f t="shared" si="21"/>
        <v>147059</v>
      </c>
      <c r="W33" s="421"/>
      <c r="X33" s="1785">
        <v>96428</v>
      </c>
      <c r="Y33" s="1674">
        <f t="shared" si="29"/>
        <v>0</v>
      </c>
      <c r="Z33" s="1674">
        <f t="shared" si="29"/>
        <v>216404</v>
      </c>
      <c r="AA33" s="1820">
        <f t="shared" si="22"/>
        <v>0</v>
      </c>
      <c r="AB33" s="1820">
        <f t="shared" si="22"/>
        <v>243487</v>
      </c>
      <c r="AC33" s="421"/>
      <c r="AD33" s="1785">
        <v>56270</v>
      </c>
      <c r="AE33" s="1673">
        <f t="shared" si="23"/>
        <v>0</v>
      </c>
      <c r="AF33" s="1673">
        <f t="shared" si="23"/>
        <v>299757</v>
      </c>
      <c r="AG33" s="421"/>
      <c r="AH33" s="1785">
        <v>39279</v>
      </c>
      <c r="AI33" s="1673">
        <f t="shared" si="24"/>
        <v>0</v>
      </c>
      <c r="AJ33" s="1673">
        <f t="shared" si="24"/>
        <v>339036</v>
      </c>
      <c r="AK33" s="421"/>
      <c r="AL33" s="1785">
        <v>51124</v>
      </c>
      <c r="AM33" s="1674">
        <f t="shared" si="30"/>
        <v>0</v>
      </c>
      <c r="AN33" s="1674">
        <f t="shared" si="30"/>
        <v>146673</v>
      </c>
      <c r="AO33" s="1673">
        <f t="shared" si="25"/>
        <v>0</v>
      </c>
      <c r="AP33" s="1673">
        <f t="shared" si="25"/>
        <v>390160</v>
      </c>
      <c r="AQ33" s="421"/>
      <c r="AR33" s="1785">
        <v>34707</v>
      </c>
      <c r="AS33" s="1673">
        <f t="shared" si="11"/>
        <v>0</v>
      </c>
      <c r="AT33" s="1673">
        <f t="shared" si="11"/>
        <v>424867</v>
      </c>
      <c r="AU33" s="421"/>
      <c r="AV33" s="1785">
        <v>32603</v>
      </c>
      <c r="AW33" s="1673">
        <f t="shared" si="12"/>
        <v>0</v>
      </c>
      <c r="AX33" s="1673">
        <f t="shared" si="12"/>
        <v>457470</v>
      </c>
      <c r="AY33" s="421"/>
      <c r="AZ33" s="1785">
        <v>38248</v>
      </c>
      <c r="BA33" s="1674">
        <f t="shared" si="31"/>
        <v>0</v>
      </c>
      <c r="BB33" s="1674">
        <f t="shared" si="26"/>
        <v>105558</v>
      </c>
      <c r="BC33" s="1820">
        <f t="shared" si="27"/>
        <v>0</v>
      </c>
      <c r="BD33" s="1820">
        <f t="shared" si="27"/>
        <v>252231</v>
      </c>
      <c r="BE33" s="1673">
        <f t="shared" si="28"/>
        <v>0</v>
      </c>
      <c r="BF33" s="1673">
        <f t="shared" si="28"/>
        <v>495718</v>
      </c>
    </row>
    <row r="34" spans="2:58" ht="18.75" x14ac:dyDescent="0.3">
      <c r="B34" s="5151" t="s">
        <v>2</v>
      </c>
      <c r="C34" s="5154" t="s">
        <v>1457</v>
      </c>
      <c r="D34" s="1687" t="s">
        <v>1455</v>
      </c>
      <c r="E34" s="1688"/>
      <c r="F34" s="1683">
        <f>+F22+F26+F30</f>
        <v>15.2</v>
      </c>
      <c r="G34" s="1688"/>
      <c r="H34" s="1683">
        <f>+H22+H26+H30</f>
        <v>8.8000000000000007</v>
      </c>
      <c r="I34" s="1688"/>
      <c r="J34" s="1683">
        <f t="shared" si="1"/>
        <v>24</v>
      </c>
      <c r="K34" s="1688"/>
      <c r="L34" s="1683">
        <f>+L22+L26+L30</f>
        <v>18.8</v>
      </c>
      <c r="M34" s="1688">
        <f t="shared" si="19"/>
        <v>0</v>
      </c>
      <c r="N34" s="1683">
        <f t="shared" si="19"/>
        <v>42.8</v>
      </c>
      <c r="O34" s="1688"/>
      <c r="P34" s="1683">
        <f>+P22+P26+P30</f>
        <v>21.7</v>
      </c>
      <c r="Q34" s="1688">
        <f t="shared" si="20"/>
        <v>0</v>
      </c>
      <c r="R34" s="1683">
        <f t="shared" si="20"/>
        <v>64.5</v>
      </c>
      <c r="S34" s="1688"/>
      <c r="T34" s="1683">
        <f>+T22+T26+T30</f>
        <v>14.7</v>
      </c>
      <c r="U34" s="1688">
        <f t="shared" si="21"/>
        <v>0</v>
      </c>
      <c r="V34" s="1683">
        <f t="shared" si="21"/>
        <v>79.2</v>
      </c>
      <c r="W34" s="1688"/>
      <c r="X34" s="1683">
        <f>+X22+X26+X30</f>
        <v>14.4</v>
      </c>
      <c r="Y34" s="1688">
        <f>O34+S34+W34</f>
        <v>0</v>
      </c>
      <c r="Z34" s="1683">
        <f t="shared" si="29"/>
        <v>50.8</v>
      </c>
      <c r="AA34" s="1688">
        <f t="shared" si="22"/>
        <v>0</v>
      </c>
      <c r="AB34" s="1683">
        <f t="shared" si="22"/>
        <v>93.6</v>
      </c>
      <c r="AC34" s="1688"/>
      <c r="AD34" s="1683">
        <f>+AD22+AD26+AD30</f>
        <v>16.5</v>
      </c>
      <c r="AE34" s="1688">
        <f t="shared" si="23"/>
        <v>0</v>
      </c>
      <c r="AF34" s="1683">
        <f t="shared" si="23"/>
        <v>110.1</v>
      </c>
      <c r="AG34" s="1688"/>
      <c r="AH34" s="1683">
        <f>+AH22+AH26+AH30</f>
        <v>29</v>
      </c>
      <c r="AI34" s="1688">
        <f t="shared" si="24"/>
        <v>0</v>
      </c>
      <c r="AJ34" s="1683">
        <f t="shared" si="24"/>
        <v>139.1</v>
      </c>
      <c r="AK34" s="1688"/>
      <c r="AL34" s="1688">
        <f>+AL22+AL26+AL30</f>
        <v>29.6</v>
      </c>
      <c r="AM34" s="1688">
        <f>AC34+AG34+AK34</f>
        <v>0</v>
      </c>
      <c r="AN34" s="1683">
        <f t="shared" si="30"/>
        <v>75.099999999999994</v>
      </c>
      <c r="AO34" s="1688">
        <f t="shared" si="25"/>
        <v>0</v>
      </c>
      <c r="AP34" s="1683">
        <f t="shared" si="25"/>
        <v>168.7</v>
      </c>
      <c r="AQ34" s="1688"/>
      <c r="AR34" s="1683">
        <f>+AR22+AR26+AR30</f>
        <v>30.4</v>
      </c>
      <c r="AS34" s="1688">
        <f t="shared" si="11"/>
        <v>0</v>
      </c>
      <c r="AT34" s="1683">
        <f t="shared" si="11"/>
        <v>199.1</v>
      </c>
      <c r="AU34" s="1688"/>
      <c r="AV34" s="1683">
        <f>+AV22+AV26+AV30</f>
        <v>38.9</v>
      </c>
      <c r="AW34" s="1688">
        <f t="shared" si="12"/>
        <v>0</v>
      </c>
      <c r="AX34" s="1683">
        <f t="shared" si="12"/>
        <v>238</v>
      </c>
      <c r="AY34" s="1688"/>
      <c r="AZ34" s="1683">
        <f>+AZ22+AZ26+AZ30</f>
        <v>41.3</v>
      </c>
      <c r="BA34" s="1688">
        <f>AQ34+AU34+AY34</f>
        <v>0</v>
      </c>
      <c r="BB34" s="1683">
        <f t="shared" si="26"/>
        <v>110.6</v>
      </c>
      <c r="BC34" s="1688">
        <f t="shared" si="27"/>
        <v>0</v>
      </c>
      <c r="BD34" s="1683">
        <f t="shared" si="27"/>
        <v>185.7</v>
      </c>
      <c r="BE34" s="1688">
        <f t="shared" si="28"/>
        <v>0</v>
      </c>
      <c r="BF34" s="1683">
        <f t="shared" si="28"/>
        <v>279.3</v>
      </c>
    </row>
    <row r="35" spans="2:58" ht="18.75" x14ac:dyDescent="0.3">
      <c r="B35" s="5152"/>
      <c r="C35" s="5155"/>
      <c r="D35" s="1687" t="s">
        <v>1456</v>
      </c>
      <c r="E35" s="1688"/>
      <c r="F35" s="1683">
        <f>+F23+F27+F31</f>
        <v>33.1</v>
      </c>
      <c r="G35" s="1688"/>
      <c r="H35" s="1683">
        <f>+H23+H27+H31</f>
        <v>42.8</v>
      </c>
      <c r="I35" s="1688"/>
      <c r="J35" s="1683">
        <f t="shared" si="1"/>
        <v>75.900000000000006</v>
      </c>
      <c r="K35" s="1688"/>
      <c r="L35" s="1683">
        <f>+L23+L27+L31</f>
        <v>47.1</v>
      </c>
      <c r="M35" s="1688">
        <f t="shared" si="19"/>
        <v>0</v>
      </c>
      <c r="N35" s="1683">
        <f t="shared" si="19"/>
        <v>123</v>
      </c>
      <c r="O35" s="1688"/>
      <c r="P35" s="1683">
        <f>+P23+P27+P31</f>
        <v>63.1</v>
      </c>
      <c r="Q35" s="1688">
        <f t="shared" si="20"/>
        <v>0</v>
      </c>
      <c r="R35" s="1683">
        <f t="shared" si="20"/>
        <v>186.1</v>
      </c>
      <c r="S35" s="1688"/>
      <c r="T35" s="1683">
        <f>+T23+T27+T31</f>
        <v>70.3</v>
      </c>
      <c r="U35" s="1688">
        <f t="shared" si="21"/>
        <v>0</v>
      </c>
      <c r="V35" s="1683">
        <f t="shared" si="21"/>
        <v>256.39999999999998</v>
      </c>
      <c r="W35" s="1688"/>
      <c r="X35" s="1683">
        <f>+X23+X27+X31</f>
        <v>63.1</v>
      </c>
      <c r="Y35" s="1688">
        <f t="shared" ref="Y35:Y37" si="32">O35+S35+W35</f>
        <v>0</v>
      </c>
      <c r="Z35" s="1683">
        <f t="shared" si="29"/>
        <v>196.5</v>
      </c>
      <c r="AA35" s="1688">
        <f t="shared" si="22"/>
        <v>0</v>
      </c>
      <c r="AB35" s="1683">
        <f t="shared" si="22"/>
        <v>319.5</v>
      </c>
      <c r="AC35" s="1688"/>
      <c r="AD35" s="1683">
        <f>+AD23+AD27+AD31</f>
        <v>55.1</v>
      </c>
      <c r="AE35" s="1688">
        <f t="shared" si="23"/>
        <v>0</v>
      </c>
      <c r="AF35" s="1683">
        <f t="shared" si="23"/>
        <v>374.6</v>
      </c>
      <c r="AG35" s="1688"/>
      <c r="AH35" s="1683">
        <f>+AH23+AH27+AH31</f>
        <v>43</v>
      </c>
      <c r="AI35" s="1688">
        <f t="shared" si="24"/>
        <v>0</v>
      </c>
      <c r="AJ35" s="1683">
        <f t="shared" si="24"/>
        <v>417.6</v>
      </c>
      <c r="AK35" s="1688"/>
      <c r="AL35" s="1688">
        <f>+AL23+AL27+AL31</f>
        <v>57.2</v>
      </c>
      <c r="AM35" s="1688">
        <f t="shared" ref="AM35:AM37" si="33">AC35+AG35+AK35</f>
        <v>0</v>
      </c>
      <c r="AN35" s="1683">
        <f t="shared" si="30"/>
        <v>155.30000000000001</v>
      </c>
      <c r="AO35" s="1688">
        <f t="shared" si="25"/>
        <v>0</v>
      </c>
      <c r="AP35" s="1683">
        <f t="shared" si="25"/>
        <v>474.8</v>
      </c>
      <c r="AQ35" s="1688"/>
      <c r="AR35" s="1683">
        <f>+AR23+AR27+AR31</f>
        <v>49.5</v>
      </c>
      <c r="AS35" s="1688">
        <f t="shared" si="11"/>
        <v>0</v>
      </c>
      <c r="AT35" s="1683">
        <f t="shared" si="11"/>
        <v>524.29999999999995</v>
      </c>
      <c r="AU35" s="1688"/>
      <c r="AV35" s="1683">
        <f>+AV23+AV27+AV31</f>
        <v>32.5</v>
      </c>
      <c r="AW35" s="1688">
        <f t="shared" si="12"/>
        <v>0</v>
      </c>
      <c r="AX35" s="1683">
        <f t="shared" si="12"/>
        <v>556.79999999999995</v>
      </c>
      <c r="AY35" s="1688"/>
      <c r="AZ35" s="1683">
        <f>+AZ23+AZ27+AZ31</f>
        <v>47.8</v>
      </c>
      <c r="BA35" s="1688">
        <f t="shared" ref="BA35:BA37" si="34">AQ35+AU35+AY35</f>
        <v>0</v>
      </c>
      <c r="BB35" s="1683">
        <f t="shared" si="26"/>
        <v>129.80000000000001</v>
      </c>
      <c r="BC35" s="1688">
        <f t="shared" si="27"/>
        <v>0</v>
      </c>
      <c r="BD35" s="1683">
        <f t="shared" si="27"/>
        <v>285.10000000000002</v>
      </c>
      <c r="BE35" s="1688">
        <f t="shared" si="28"/>
        <v>0</v>
      </c>
      <c r="BF35" s="1683">
        <f t="shared" si="28"/>
        <v>604.59999999999991</v>
      </c>
    </row>
    <row r="36" spans="2:58" ht="18.75" x14ac:dyDescent="0.3">
      <c r="B36" s="5152"/>
      <c r="C36" s="5156"/>
      <c r="D36" s="1687" t="s">
        <v>2</v>
      </c>
      <c r="E36" s="1688"/>
      <c r="F36" s="1683">
        <f>+F24+F28+F32</f>
        <v>48.3</v>
      </c>
      <c r="G36" s="1688"/>
      <c r="H36" s="1683">
        <f>+H24+H28+H32</f>
        <v>51.600000000000009</v>
      </c>
      <c r="I36" s="1688"/>
      <c r="J36" s="1683">
        <f t="shared" si="1"/>
        <v>99.9</v>
      </c>
      <c r="K36" s="1688"/>
      <c r="L36" s="1683">
        <f>+L24+L28+L32</f>
        <v>65.900000000000006</v>
      </c>
      <c r="M36" s="1688">
        <f t="shared" si="19"/>
        <v>0</v>
      </c>
      <c r="N36" s="1683">
        <f t="shared" si="19"/>
        <v>165.8</v>
      </c>
      <c r="O36" s="1688"/>
      <c r="P36" s="1683">
        <f>+P24+P28+P32</f>
        <v>84.8</v>
      </c>
      <c r="Q36" s="1688">
        <f t="shared" si="20"/>
        <v>0</v>
      </c>
      <c r="R36" s="1683">
        <f t="shared" si="20"/>
        <v>250.60000000000002</v>
      </c>
      <c r="S36" s="1688"/>
      <c r="T36" s="1683">
        <f>+T24+T28+T32</f>
        <v>85</v>
      </c>
      <c r="U36" s="1688">
        <f t="shared" si="21"/>
        <v>0</v>
      </c>
      <c r="V36" s="1683">
        <f t="shared" si="21"/>
        <v>335.6</v>
      </c>
      <c r="W36" s="1688"/>
      <c r="X36" s="1683">
        <f>+X24+X28+X32</f>
        <v>77.5</v>
      </c>
      <c r="Y36" s="1688">
        <f t="shared" si="32"/>
        <v>0</v>
      </c>
      <c r="Z36" s="1683">
        <f t="shared" si="29"/>
        <v>247.3</v>
      </c>
      <c r="AA36" s="1688">
        <f t="shared" si="22"/>
        <v>0</v>
      </c>
      <c r="AB36" s="1683">
        <f t="shared" si="22"/>
        <v>413.1</v>
      </c>
      <c r="AC36" s="1688"/>
      <c r="AD36" s="1683">
        <f>+AD24+AD28+AD32</f>
        <v>57.6</v>
      </c>
      <c r="AE36" s="1688">
        <f t="shared" si="23"/>
        <v>0</v>
      </c>
      <c r="AF36" s="1683">
        <f t="shared" si="23"/>
        <v>470.70000000000005</v>
      </c>
      <c r="AG36" s="1688"/>
      <c r="AH36" s="1683">
        <f>+AH24+AH28+AH32</f>
        <v>72</v>
      </c>
      <c r="AI36" s="1688">
        <f t="shared" si="24"/>
        <v>0</v>
      </c>
      <c r="AJ36" s="1683">
        <f t="shared" si="24"/>
        <v>542.70000000000005</v>
      </c>
      <c r="AK36" s="1688"/>
      <c r="AL36" s="1688">
        <f>+AL24+AL28+AL32</f>
        <v>86.800000000000011</v>
      </c>
      <c r="AM36" s="1688">
        <f t="shared" si="33"/>
        <v>0</v>
      </c>
      <c r="AN36" s="1683">
        <f t="shared" si="30"/>
        <v>216.4</v>
      </c>
      <c r="AO36" s="1688">
        <f t="shared" si="25"/>
        <v>0</v>
      </c>
      <c r="AP36" s="1683">
        <f t="shared" si="25"/>
        <v>629.5</v>
      </c>
      <c r="AQ36" s="1688"/>
      <c r="AR36" s="1683">
        <f>+AR24+AR28+AR32</f>
        <v>79.899999999999991</v>
      </c>
      <c r="AS36" s="1688">
        <f t="shared" si="11"/>
        <v>0</v>
      </c>
      <c r="AT36" s="1683">
        <f t="shared" si="11"/>
        <v>709.4</v>
      </c>
      <c r="AU36" s="1688"/>
      <c r="AV36" s="1683">
        <f>+AV24+AV28+AV32</f>
        <v>71.399999999999991</v>
      </c>
      <c r="AW36" s="1688">
        <f t="shared" si="12"/>
        <v>0</v>
      </c>
      <c r="AX36" s="1683">
        <f t="shared" si="12"/>
        <v>780.8</v>
      </c>
      <c r="AY36" s="1688"/>
      <c r="AZ36" s="1683">
        <f>+AZ24+AZ28+AZ32</f>
        <v>89.1</v>
      </c>
      <c r="BA36" s="1688">
        <f t="shared" si="34"/>
        <v>0</v>
      </c>
      <c r="BB36" s="1683">
        <f t="shared" si="26"/>
        <v>240.39999999999998</v>
      </c>
      <c r="BC36" s="1688">
        <f t="shared" si="27"/>
        <v>0</v>
      </c>
      <c r="BD36" s="1683">
        <f t="shared" si="27"/>
        <v>456.79999999999995</v>
      </c>
      <c r="BE36" s="1688">
        <f t="shared" si="28"/>
        <v>0</v>
      </c>
      <c r="BF36" s="1683">
        <f t="shared" si="28"/>
        <v>869.9</v>
      </c>
    </row>
    <row r="37" spans="2:58" ht="18.75" x14ac:dyDescent="0.3">
      <c r="B37" s="5153"/>
      <c r="C37" s="5157" t="s">
        <v>1458</v>
      </c>
      <c r="D37" s="5158"/>
      <c r="E37" s="1690">
        <v>211349.39557717455</v>
      </c>
      <c r="F37" s="1690">
        <f>+F25+F29+F33</f>
        <v>180607</v>
      </c>
      <c r="G37" s="1690">
        <v>212634.34212467301</v>
      </c>
      <c r="H37" s="1690">
        <f>+H25+H29+H33</f>
        <v>190181</v>
      </c>
      <c r="I37" s="1690"/>
      <c r="J37" s="1690">
        <f t="shared" si="1"/>
        <v>370788</v>
      </c>
      <c r="K37" s="1690">
        <v>304257.48020410142</v>
      </c>
      <c r="L37" s="1690">
        <f>+L25+L29+L33</f>
        <v>241236</v>
      </c>
      <c r="M37" s="1690">
        <f t="shared" si="19"/>
        <v>304257.48020410142</v>
      </c>
      <c r="N37" s="1690">
        <f t="shared" si="19"/>
        <v>612024</v>
      </c>
      <c r="O37" s="1690">
        <v>314571.2069657793</v>
      </c>
      <c r="P37" s="1690">
        <f>+P25+P29+P33</f>
        <v>283684</v>
      </c>
      <c r="Q37" s="1690">
        <f t="shared" si="20"/>
        <v>618828.68716988072</v>
      </c>
      <c r="R37" s="1690">
        <f t="shared" si="20"/>
        <v>895708</v>
      </c>
      <c r="S37" s="1690">
        <v>314570.57178212842</v>
      </c>
      <c r="T37" s="1690">
        <f>+T25+T29+T33</f>
        <v>319804</v>
      </c>
      <c r="U37" s="1690">
        <f t="shared" si="21"/>
        <v>933399.25895200914</v>
      </c>
      <c r="V37" s="1690">
        <f t="shared" si="21"/>
        <v>1215512</v>
      </c>
      <c r="W37" s="1690">
        <v>305956.59328564326</v>
      </c>
      <c r="X37" s="1690">
        <f>+X25+X29+X33</f>
        <v>307126</v>
      </c>
      <c r="Y37" s="1690">
        <f t="shared" si="32"/>
        <v>935098.37203355099</v>
      </c>
      <c r="Z37" s="1690">
        <f t="shared" si="29"/>
        <v>910614</v>
      </c>
      <c r="AA37" s="1690">
        <f t="shared" si="22"/>
        <v>1239355.8522376525</v>
      </c>
      <c r="AB37" s="1690">
        <f t="shared" si="22"/>
        <v>1522638</v>
      </c>
      <c r="AC37" s="1690">
        <v>316327.93863258191</v>
      </c>
      <c r="AD37" s="1690">
        <f>+AD25+AD29+AD33</f>
        <v>278206</v>
      </c>
      <c r="AE37" s="1690">
        <f t="shared" si="23"/>
        <v>1555683.7908702344</v>
      </c>
      <c r="AF37" s="1690">
        <f t="shared" si="23"/>
        <v>1800844</v>
      </c>
      <c r="AG37" s="1690"/>
      <c r="AH37" s="1690">
        <f>+AH25+AH29+AH33</f>
        <v>265676</v>
      </c>
      <c r="AI37" s="1690">
        <f t="shared" si="24"/>
        <v>1555683.7908702344</v>
      </c>
      <c r="AJ37" s="1690">
        <f t="shared" si="24"/>
        <v>2066520</v>
      </c>
      <c r="AK37" s="1690"/>
      <c r="AL37" s="1690">
        <f>+AL25+AL29+AL33</f>
        <v>319058</v>
      </c>
      <c r="AM37" s="1690">
        <f t="shared" si="33"/>
        <v>316327.93863258191</v>
      </c>
      <c r="AN37" s="1690">
        <f t="shared" si="30"/>
        <v>862940</v>
      </c>
      <c r="AO37" s="1690">
        <f t="shared" si="25"/>
        <v>1555683.7908702344</v>
      </c>
      <c r="AP37" s="1690">
        <f t="shared" si="25"/>
        <v>2385578</v>
      </c>
      <c r="AQ37" s="1690"/>
      <c r="AR37" s="1690">
        <f>+AR25+AR29+AR33</f>
        <v>303658</v>
      </c>
      <c r="AS37" s="1690">
        <f t="shared" si="11"/>
        <v>1555683.7908702344</v>
      </c>
      <c r="AT37" s="1690">
        <f t="shared" si="11"/>
        <v>2689236</v>
      </c>
      <c r="AU37" s="1690"/>
      <c r="AV37" s="1690">
        <f>+AV25+AV29+AV33</f>
        <v>266498</v>
      </c>
      <c r="AW37" s="1690">
        <f t="shared" si="12"/>
        <v>1555683.7908702344</v>
      </c>
      <c r="AX37" s="1690">
        <f t="shared" si="12"/>
        <v>2955734</v>
      </c>
      <c r="AY37" s="1690"/>
      <c r="AZ37" s="1690">
        <f>+AZ25+AZ29+AZ33</f>
        <v>342483</v>
      </c>
      <c r="BA37" s="1690">
        <f t="shared" si="34"/>
        <v>0</v>
      </c>
      <c r="BB37" s="1690">
        <f t="shared" si="26"/>
        <v>912639</v>
      </c>
      <c r="BC37" s="1690">
        <f t="shared" si="27"/>
        <v>316327.93863258191</v>
      </c>
      <c r="BD37" s="1690">
        <f t="shared" si="27"/>
        <v>1775579</v>
      </c>
      <c r="BE37" s="1690">
        <f t="shared" si="28"/>
        <v>1555683.7908702344</v>
      </c>
      <c r="BF37" s="1690">
        <f t="shared" si="28"/>
        <v>3298217</v>
      </c>
    </row>
    <row r="38" spans="2:58" x14ac:dyDescent="0.25">
      <c r="B38" s="1769"/>
      <c r="C38" s="1081"/>
      <c r="D38" s="1081"/>
      <c r="E38" s="1081"/>
      <c r="F38" s="1081"/>
      <c r="G38" s="1081"/>
      <c r="H38" s="1081"/>
      <c r="I38" s="1081"/>
      <c r="J38" s="1081"/>
      <c r="K38" s="1081"/>
      <c r="L38" s="1081"/>
      <c r="M38" s="1081"/>
      <c r="N38" s="1081"/>
      <c r="O38" s="1081"/>
      <c r="P38" s="1081"/>
      <c r="Q38" s="1081"/>
      <c r="R38" s="1081"/>
      <c r="S38" s="1081"/>
      <c r="T38" s="1081"/>
      <c r="U38" s="1081"/>
      <c r="V38" s="1081"/>
      <c r="W38" s="1081"/>
      <c r="X38" s="1081"/>
      <c r="Y38" s="1081"/>
      <c r="Z38" s="1081"/>
      <c r="AA38" s="1081"/>
      <c r="AB38" s="1081"/>
      <c r="AC38" s="1081"/>
      <c r="AD38" s="1081"/>
      <c r="AE38" s="1081"/>
      <c r="AF38" s="1081"/>
      <c r="AG38" s="1081"/>
      <c r="AH38" s="1081"/>
      <c r="AI38" s="1081"/>
      <c r="AJ38" s="1081"/>
      <c r="AK38" s="1081"/>
      <c r="AL38" s="1081"/>
      <c r="AM38" s="1081"/>
      <c r="AN38" s="1081"/>
      <c r="AO38" s="1081"/>
      <c r="AP38" s="1081"/>
      <c r="AQ38" s="1081"/>
      <c r="AR38" s="1081"/>
      <c r="AS38" s="1081"/>
      <c r="AT38" s="1081"/>
      <c r="AU38" s="1081"/>
      <c r="AV38" s="1081"/>
      <c r="AW38" s="1081"/>
      <c r="AX38" s="1081"/>
      <c r="AY38" s="1081"/>
      <c r="AZ38" s="1081"/>
      <c r="BA38" s="1081"/>
      <c r="BB38" s="1081"/>
      <c r="BC38" s="1081"/>
      <c r="BD38" s="1081"/>
      <c r="BE38" s="1081"/>
      <c r="BF38" s="1081"/>
    </row>
    <row r="39" spans="2:58" x14ac:dyDescent="0.25">
      <c r="B39" s="1770" t="s">
        <v>1463</v>
      </c>
      <c r="C39" s="1081"/>
      <c r="D39" s="1081"/>
      <c r="E39" s="1081"/>
      <c r="F39" s="1081"/>
      <c r="G39" s="1081"/>
      <c r="H39" s="1081"/>
      <c r="I39" s="1081"/>
      <c r="J39" s="1081"/>
      <c r="K39" s="1081"/>
      <c r="L39" s="1081"/>
      <c r="M39" s="1081"/>
      <c r="N39" s="1081"/>
      <c r="O39" s="1081"/>
      <c r="P39" s="1081"/>
      <c r="Q39" s="1081"/>
      <c r="R39" s="1081"/>
      <c r="S39" s="1081"/>
      <c r="T39" s="1081"/>
      <c r="U39" s="1081"/>
      <c r="V39" s="1081"/>
      <c r="W39" s="1081"/>
      <c r="X39" s="1081"/>
      <c r="Y39" s="1081"/>
      <c r="Z39" s="1081"/>
      <c r="AA39" s="1081"/>
      <c r="AB39" s="1081"/>
      <c r="AC39" s="1081"/>
      <c r="AD39" s="1081"/>
      <c r="AE39" s="1081"/>
      <c r="AF39" s="1081"/>
      <c r="AG39" s="1081"/>
      <c r="AH39" s="1081"/>
      <c r="AI39" s="1081"/>
      <c r="AJ39" s="1081"/>
      <c r="AK39" s="1081"/>
      <c r="AL39" s="1081"/>
      <c r="AM39" s="1081"/>
      <c r="AN39" s="1081"/>
      <c r="AO39" s="1081"/>
      <c r="AP39" s="1081"/>
      <c r="AQ39" s="1081"/>
      <c r="AR39" s="1081"/>
      <c r="AS39" s="1081"/>
      <c r="AT39" s="1081"/>
      <c r="AU39" s="1081"/>
      <c r="AV39" s="1081"/>
      <c r="AW39" s="1081"/>
      <c r="AX39" s="1081"/>
      <c r="AY39" s="1081"/>
      <c r="AZ39" s="1081"/>
      <c r="BA39" s="1081"/>
      <c r="BB39" s="1081"/>
      <c r="BC39" s="1081"/>
      <c r="BD39" s="1081"/>
      <c r="BE39" s="1081"/>
      <c r="BF39" s="1081"/>
    </row>
    <row r="40" spans="2:58" x14ac:dyDescent="0.25">
      <c r="B40" s="5145" t="s">
        <v>1756</v>
      </c>
      <c r="C40" s="421" t="s">
        <v>1457</v>
      </c>
      <c r="D40" s="421"/>
      <c r="E40" s="3819"/>
      <c r="F40" s="3820">
        <v>0</v>
      </c>
      <c r="G40" s="3819"/>
      <c r="H40" s="3820">
        <v>0</v>
      </c>
      <c r="I40" s="1673"/>
      <c r="J40" s="1673">
        <f t="shared" si="1"/>
        <v>0</v>
      </c>
      <c r="K40" s="3819"/>
      <c r="L40" s="3820">
        <v>1</v>
      </c>
      <c r="M40" s="1674">
        <f t="shared" ref="M40:N55" si="35">+I40+K40</f>
        <v>0</v>
      </c>
      <c r="N40" s="1674">
        <f t="shared" si="35"/>
        <v>1</v>
      </c>
      <c r="O40" s="3819"/>
      <c r="P40" s="3820">
        <v>3</v>
      </c>
      <c r="Q40" s="1673">
        <f t="shared" ref="Q40:R55" si="36">+M40+O40</f>
        <v>0</v>
      </c>
      <c r="R40" s="1673">
        <f t="shared" si="36"/>
        <v>4</v>
      </c>
      <c r="S40" s="3819"/>
      <c r="T40" s="3820">
        <v>3</v>
      </c>
      <c r="U40" s="1673">
        <f t="shared" ref="U40:V55" si="37">+Q40+S40</f>
        <v>0</v>
      </c>
      <c r="V40" s="1673">
        <f t="shared" si="37"/>
        <v>7</v>
      </c>
      <c r="W40" s="3819"/>
      <c r="X40" s="3820">
        <v>1</v>
      </c>
      <c r="Y40" s="1674">
        <f>O40+S40+W40</f>
        <v>0</v>
      </c>
      <c r="Z40" s="1674">
        <f t="shared" ref="Z40:Z103" si="38">P40+T40+X40</f>
        <v>7</v>
      </c>
      <c r="AA40" s="1820">
        <f t="shared" ref="AA40:AB55" si="39">+M40+Y40</f>
        <v>0</v>
      </c>
      <c r="AB40" s="1820">
        <f t="shared" si="39"/>
        <v>8</v>
      </c>
      <c r="AC40" s="3819"/>
      <c r="AD40" s="3820">
        <v>0</v>
      </c>
      <c r="AE40" s="1673">
        <f t="shared" ref="AE40:AF55" si="40">+AA40+AC40</f>
        <v>0</v>
      </c>
      <c r="AF40" s="1673">
        <f t="shared" si="40"/>
        <v>8</v>
      </c>
      <c r="AG40" s="3819"/>
      <c r="AH40" s="3820">
        <v>0</v>
      </c>
      <c r="AI40" s="1673">
        <f t="shared" ref="AI40:AJ55" si="41">+AE40+AG40</f>
        <v>0</v>
      </c>
      <c r="AJ40" s="1673">
        <f t="shared" si="41"/>
        <v>8</v>
      </c>
      <c r="AK40" s="3819"/>
      <c r="AL40" s="3820">
        <v>0</v>
      </c>
      <c r="AM40" s="1674">
        <f>AC40+AG40+AK40</f>
        <v>0</v>
      </c>
      <c r="AN40" s="1674">
        <f t="shared" ref="AM40:AN103" si="42">AD40+AH40+AL40</f>
        <v>0</v>
      </c>
      <c r="AO40" s="1673">
        <f t="shared" ref="AO40:AP55" si="43">+AI40+AK40</f>
        <v>0</v>
      </c>
      <c r="AP40" s="1673">
        <f t="shared" si="43"/>
        <v>8</v>
      </c>
      <c r="AQ40" s="3819"/>
      <c r="AR40" s="3820">
        <v>0</v>
      </c>
      <c r="AS40" s="1673">
        <f t="shared" si="11"/>
        <v>0</v>
      </c>
      <c r="AT40" s="1673">
        <f t="shared" si="11"/>
        <v>8</v>
      </c>
      <c r="AU40" s="3819"/>
      <c r="AV40" s="3820">
        <v>0</v>
      </c>
      <c r="AW40" s="1673">
        <f t="shared" si="12"/>
        <v>0</v>
      </c>
      <c r="AX40" s="1673">
        <f t="shared" si="12"/>
        <v>8</v>
      </c>
      <c r="AY40" s="3819"/>
      <c r="AZ40" s="3820">
        <v>0</v>
      </c>
      <c r="BA40" s="1674">
        <f>AQ40+AU40+AY40</f>
        <v>0</v>
      </c>
      <c r="BB40" s="1674">
        <f t="shared" ref="BB40:BB51" si="44">AR40+AV40+AZ40</f>
        <v>0</v>
      </c>
      <c r="BC40" s="1820">
        <f t="shared" ref="BC40:BD51" si="45">+AM40+BA40</f>
        <v>0</v>
      </c>
      <c r="BD40" s="1820">
        <f t="shared" si="45"/>
        <v>0</v>
      </c>
      <c r="BE40" s="1673">
        <f t="shared" ref="BE40:BF51" si="46">+AW40+AY40</f>
        <v>0</v>
      </c>
      <c r="BF40" s="1673">
        <f t="shared" si="46"/>
        <v>8</v>
      </c>
    </row>
    <row r="41" spans="2:58" x14ac:dyDescent="0.25">
      <c r="B41" s="5147"/>
      <c r="C41" s="421" t="s">
        <v>1458</v>
      </c>
      <c r="D41" s="421"/>
      <c r="E41" s="1667"/>
      <c r="F41" s="3820">
        <v>0</v>
      </c>
      <c r="G41" s="1667"/>
      <c r="H41" s="3820">
        <v>0</v>
      </c>
      <c r="I41" s="1673"/>
      <c r="J41" s="1673">
        <f t="shared" si="1"/>
        <v>0</v>
      </c>
      <c r="K41" s="1667"/>
      <c r="L41" s="3820">
        <v>4054</v>
      </c>
      <c r="M41" s="1674">
        <f t="shared" si="35"/>
        <v>0</v>
      </c>
      <c r="N41" s="1674">
        <f t="shared" si="35"/>
        <v>4054</v>
      </c>
      <c r="O41" s="1667"/>
      <c r="P41" s="3820">
        <v>12243</v>
      </c>
      <c r="Q41" s="1673">
        <f t="shared" si="36"/>
        <v>0</v>
      </c>
      <c r="R41" s="1673">
        <f t="shared" si="36"/>
        <v>16297</v>
      </c>
      <c r="S41" s="1667"/>
      <c r="T41" s="3820">
        <v>12031</v>
      </c>
      <c r="U41" s="1673">
        <f t="shared" si="37"/>
        <v>0</v>
      </c>
      <c r="V41" s="1673">
        <f t="shared" si="37"/>
        <v>28328</v>
      </c>
      <c r="W41" s="1667"/>
      <c r="X41" s="3820">
        <v>4108</v>
      </c>
      <c r="Y41" s="1674">
        <f t="shared" ref="Y41:Y47" si="47">O41+S41+W41</f>
        <v>0</v>
      </c>
      <c r="Z41" s="1674">
        <f t="shared" si="38"/>
        <v>28382</v>
      </c>
      <c r="AA41" s="1820">
        <f t="shared" si="39"/>
        <v>0</v>
      </c>
      <c r="AB41" s="1820">
        <f t="shared" si="39"/>
        <v>32436</v>
      </c>
      <c r="AC41" s="1667"/>
      <c r="AD41" s="3820">
        <v>0</v>
      </c>
      <c r="AE41" s="1673">
        <f t="shared" si="40"/>
        <v>0</v>
      </c>
      <c r="AF41" s="1673">
        <f t="shared" si="40"/>
        <v>32436</v>
      </c>
      <c r="AG41" s="1667"/>
      <c r="AH41" s="3820">
        <v>0</v>
      </c>
      <c r="AI41" s="1673">
        <f t="shared" si="41"/>
        <v>0</v>
      </c>
      <c r="AJ41" s="1673">
        <f t="shared" si="41"/>
        <v>32436</v>
      </c>
      <c r="AK41" s="1667"/>
      <c r="AL41" s="3820">
        <v>0</v>
      </c>
      <c r="AM41" s="1674">
        <f t="shared" ref="AM41:AM49" si="48">AC41+AG41+AK41</f>
        <v>0</v>
      </c>
      <c r="AN41" s="1674">
        <f t="shared" si="42"/>
        <v>0</v>
      </c>
      <c r="AO41" s="1673">
        <f t="shared" si="43"/>
        <v>0</v>
      </c>
      <c r="AP41" s="1673">
        <f t="shared" si="43"/>
        <v>32436</v>
      </c>
      <c r="AQ41" s="1667"/>
      <c r="AR41" s="3820">
        <v>0</v>
      </c>
      <c r="AS41" s="1673">
        <f t="shared" si="11"/>
        <v>0</v>
      </c>
      <c r="AT41" s="1673">
        <f t="shared" si="11"/>
        <v>32436</v>
      </c>
      <c r="AU41" s="1667"/>
      <c r="AV41" s="3820">
        <v>0</v>
      </c>
      <c r="AW41" s="1673">
        <f t="shared" si="12"/>
        <v>0</v>
      </c>
      <c r="AX41" s="1673">
        <f t="shared" si="12"/>
        <v>32436</v>
      </c>
      <c r="AY41" s="1667"/>
      <c r="AZ41" s="3820">
        <v>0</v>
      </c>
      <c r="BA41" s="1674">
        <f t="shared" ref="BA41:BA49" si="49">AQ41+AU41+AY41</f>
        <v>0</v>
      </c>
      <c r="BB41" s="1674">
        <f t="shared" si="44"/>
        <v>0</v>
      </c>
      <c r="BC41" s="1820">
        <f t="shared" si="45"/>
        <v>0</v>
      </c>
      <c r="BD41" s="1820">
        <f t="shared" si="45"/>
        <v>0</v>
      </c>
      <c r="BE41" s="1673">
        <f t="shared" si="46"/>
        <v>0</v>
      </c>
      <c r="BF41" s="1673">
        <f t="shared" si="46"/>
        <v>32436</v>
      </c>
    </row>
    <row r="42" spans="2:58" x14ac:dyDescent="0.25">
      <c r="B42" s="5145" t="s">
        <v>1464</v>
      </c>
      <c r="C42" s="421" t="s">
        <v>1457</v>
      </c>
      <c r="D42" s="421"/>
      <c r="E42" s="421"/>
      <c r="F42" s="1106">
        <v>0</v>
      </c>
      <c r="G42" s="421"/>
      <c r="H42" s="1106">
        <v>0</v>
      </c>
      <c r="I42" s="1673"/>
      <c r="J42" s="1673">
        <f t="shared" si="1"/>
        <v>0</v>
      </c>
      <c r="K42" s="421"/>
      <c r="L42" s="1106">
        <v>2</v>
      </c>
      <c r="M42" s="1674">
        <f t="shared" si="35"/>
        <v>0</v>
      </c>
      <c r="N42" s="1674">
        <f t="shared" si="35"/>
        <v>2</v>
      </c>
      <c r="O42" s="421"/>
      <c r="P42" s="1106">
        <v>2</v>
      </c>
      <c r="Q42" s="1673">
        <f t="shared" si="36"/>
        <v>0</v>
      </c>
      <c r="R42" s="1673">
        <f t="shared" si="36"/>
        <v>4</v>
      </c>
      <c r="S42" s="421"/>
      <c r="T42" s="1106">
        <v>1</v>
      </c>
      <c r="U42" s="1673">
        <f t="shared" si="37"/>
        <v>0</v>
      </c>
      <c r="V42" s="1673">
        <f t="shared" si="37"/>
        <v>5</v>
      </c>
      <c r="W42" s="421"/>
      <c r="X42" s="1106">
        <v>0</v>
      </c>
      <c r="Y42" s="1674">
        <f t="shared" si="47"/>
        <v>0</v>
      </c>
      <c r="Z42" s="1674">
        <f t="shared" si="38"/>
        <v>3</v>
      </c>
      <c r="AA42" s="1820">
        <f t="shared" si="39"/>
        <v>0</v>
      </c>
      <c r="AB42" s="1820">
        <f t="shared" si="39"/>
        <v>5</v>
      </c>
      <c r="AC42" s="421"/>
      <c r="AD42" s="1106">
        <v>0</v>
      </c>
      <c r="AE42" s="1673">
        <f t="shared" si="40"/>
        <v>0</v>
      </c>
      <c r="AF42" s="1673">
        <f t="shared" si="40"/>
        <v>5</v>
      </c>
      <c r="AG42" s="421"/>
      <c r="AH42" s="1106">
        <v>3</v>
      </c>
      <c r="AI42" s="1673">
        <f t="shared" si="41"/>
        <v>0</v>
      </c>
      <c r="AJ42" s="1673">
        <f t="shared" si="41"/>
        <v>8</v>
      </c>
      <c r="AK42" s="421"/>
      <c r="AL42" s="1106">
        <v>2</v>
      </c>
      <c r="AM42" s="1674">
        <f t="shared" si="48"/>
        <v>0</v>
      </c>
      <c r="AN42" s="1674">
        <f t="shared" si="42"/>
        <v>5</v>
      </c>
      <c r="AO42" s="1673">
        <f t="shared" si="43"/>
        <v>0</v>
      </c>
      <c r="AP42" s="1673">
        <f t="shared" si="43"/>
        <v>10</v>
      </c>
      <c r="AQ42" s="421"/>
      <c r="AR42" s="1106">
        <v>1</v>
      </c>
      <c r="AS42" s="1673">
        <f t="shared" si="11"/>
        <v>0</v>
      </c>
      <c r="AT42" s="1673">
        <f t="shared" si="11"/>
        <v>11</v>
      </c>
      <c r="AU42" s="421"/>
      <c r="AV42" s="1106">
        <v>1</v>
      </c>
      <c r="AW42" s="1673">
        <f t="shared" si="12"/>
        <v>0</v>
      </c>
      <c r="AX42" s="1673">
        <f t="shared" si="12"/>
        <v>12</v>
      </c>
      <c r="AY42" s="421"/>
      <c r="AZ42" s="1106">
        <v>0</v>
      </c>
      <c r="BA42" s="1674">
        <f t="shared" si="49"/>
        <v>0</v>
      </c>
      <c r="BB42" s="1674">
        <f t="shared" si="44"/>
        <v>2</v>
      </c>
      <c r="BC42" s="1820">
        <f t="shared" si="45"/>
        <v>0</v>
      </c>
      <c r="BD42" s="1820">
        <f t="shared" si="45"/>
        <v>7</v>
      </c>
      <c r="BE42" s="1673">
        <f t="shared" si="46"/>
        <v>0</v>
      </c>
      <c r="BF42" s="1673">
        <f t="shared" si="46"/>
        <v>12</v>
      </c>
    </row>
    <row r="43" spans="2:58" x14ac:dyDescent="0.25">
      <c r="B43" s="5147"/>
      <c r="C43" s="421" t="s">
        <v>1458</v>
      </c>
      <c r="D43" s="421"/>
      <c r="E43" s="1667"/>
      <c r="F43" s="1106">
        <v>0</v>
      </c>
      <c r="G43" s="1667"/>
      <c r="H43" s="1106">
        <v>0</v>
      </c>
      <c r="I43" s="1673"/>
      <c r="J43" s="1673">
        <f t="shared" si="1"/>
        <v>0</v>
      </c>
      <c r="K43" s="1667"/>
      <c r="L43" s="1106">
        <v>8091</v>
      </c>
      <c r="M43" s="1674">
        <f t="shared" si="35"/>
        <v>0</v>
      </c>
      <c r="N43" s="1674">
        <f t="shared" si="35"/>
        <v>8091</v>
      </c>
      <c r="O43" s="1667"/>
      <c r="P43" s="1106">
        <v>8142</v>
      </c>
      <c r="Q43" s="1673">
        <f t="shared" si="36"/>
        <v>0</v>
      </c>
      <c r="R43" s="1673">
        <f t="shared" si="36"/>
        <v>16233</v>
      </c>
      <c r="S43" s="1667"/>
      <c r="T43" s="1106">
        <v>4030</v>
      </c>
      <c r="U43" s="1673">
        <f t="shared" si="37"/>
        <v>0</v>
      </c>
      <c r="V43" s="1673">
        <f t="shared" si="37"/>
        <v>20263</v>
      </c>
      <c r="W43" s="1667"/>
      <c r="X43" s="1106">
        <v>0</v>
      </c>
      <c r="Y43" s="1674">
        <f t="shared" si="47"/>
        <v>0</v>
      </c>
      <c r="Z43" s="1674">
        <f t="shared" si="38"/>
        <v>12172</v>
      </c>
      <c r="AA43" s="1820">
        <f t="shared" si="39"/>
        <v>0</v>
      </c>
      <c r="AB43" s="1820">
        <f t="shared" si="39"/>
        <v>20263</v>
      </c>
      <c r="AC43" s="1667"/>
      <c r="AD43" s="1106">
        <v>0</v>
      </c>
      <c r="AE43" s="1673">
        <f t="shared" si="40"/>
        <v>0</v>
      </c>
      <c r="AF43" s="1673">
        <f t="shared" si="40"/>
        <v>20263</v>
      </c>
      <c r="AG43" s="1667"/>
      <c r="AH43" s="1106">
        <v>12099</v>
      </c>
      <c r="AI43" s="1673">
        <f t="shared" si="41"/>
        <v>0</v>
      </c>
      <c r="AJ43" s="1673">
        <f t="shared" si="41"/>
        <v>32362</v>
      </c>
      <c r="AK43" s="1667"/>
      <c r="AL43" s="1106">
        <v>8060</v>
      </c>
      <c r="AM43" s="1674">
        <f t="shared" si="48"/>
        <v>0</v>
      </c>
      <c r="AN43" s="1674">
        <f t="shared" si="42"/>
        <v>20159</v>
      </c>
      <c r="AO43" s="1673">
        <f t="shared" si="43"/>
        <v>0</v>
      </c>
      <c r="AP43" s="1673">
        <f t="shared" si="43"/>
        <v>40422</v>
      </c>
      <c r="AQ43" s="1667"/>
      <c r="AR43" s="1106">
        <v>4075</v>
      </c>
      <c r="AS43" s="1673">
        <f t="shared" si="11"/>
        <v>0</v>
      </c>
      <c r="AT43" s="1673">
        <f t="shared" si="11"/>
        <v>44497</v>
      </c>
      <c r="AU43" s="1667"/>
      <c r="AV43" s="1106">
        <v>4019</v>
      </c>
      <c r="AW43" s="1673">
        <f t="shared" si="12"/>
        <v>0</v>
      </c>
      <c r="AX43" s="1673">
        <f t="shared" si="12"/>
        <v>48516</v>
      </c>
      <c r="AY43" s="1667"/>
      <c r="AZ43" s="1106">
        <v>0</v>
      </c>
      <c r="BA43" s="1674">
        <f t="shared" si="49"/>
        <v>0</v>
      </c>
      <c r="BB43" s="1674">
        <f t="shared" si="44"/>
        <v>8094</v>
      </c>
      <c r="BC43" s="1820">
        <f t="shared" si="45"/>
        <v>0</v>
      </c>
      <c r="BD43" s="1820">
        <f t="shared" si="45"/>
        <v>28253</v>
      </c>
      <c r="BE43" s="1673">
        <f t="shared" si="46"/>
        <v>0</v>
      </c>
      <c r="BF43" s="1673">
        <f t="shared" si="46"/>
        <v>48516</v>
      </c>
    </row>
    <row r="44" spans="2:58" x14ac:dyDescent="0.25">
      <c r="B44" s="5145" t="s">
        <v>1755</v>
      </c>
      <c r="C44" s="421" t="s">
        <v>1457</v>
      </c>
      <c r="D44" s="421"/>
      <c r="E44" s="421"/>
      <c r="F44" s="1106"/>
      <c r="G44" s="421"/>
      <c r="H44" s="1106"/>
      <c r="I44" s="1673"/>
      <c r="J44" s="1673">
        <f t="shared" si="1"/>
        <v>0</v>
      </c>
      <c r="K44" s="421"/>
      <c r="L44" s="1106"/>
      <c r="M44" s="1674">
        <f t="shared" si="35"/>
        <v>0</v>
      </c>
      <c r="N44" s="1674">
        <f t="shared" si="35"/>
        <v>0</v>
      </c>
      <c r="O44" s="421"/>
      <c r="P44" s="1106"/>
      <c r="Q44" s="1673">
        <f t="shared" si="36"/>
        <v>0</v>
      </c>
      <c r="R44" s="1673">
        <f t="shared" si="36"/>
        <v>0</v>
      </c>
      <c r="S44" s="421"/>
      <c r="T44" s="1106"/>
      <c r="U44" s="1673">
        <f t="shared" si="37"/>
        <v>0</v>
      </c>
      <c r="V44" s="1673">
        <f t="shared" si="37"/>
        <v>0</v>
      </c>
      <c r="W44" s="421"/>
      <c r="X44" s="1106"/>
      <c r="Y44" s="1674">
        <f t="shared" si="47"/>
        <v>0</v>
      </c>
      <c r="Z44" s="1674">
        <f t="shared" si="38"/>
        <v>0</v>
      </c>
      <c r="AA44" s="1820">
        <f t="shared" si="39"/>
        <v>0</v>
      </c>
      <c r="AB44" s="1820">
        <f t="shared" si="39"/>
        <v>0</v>
      </c>
      <c r="AC44" s="421"/>
      <c r="AD44" s="1106"/>
      <c r="AE44" s="1673">
        <f t="shared" si="40"/>
        <v>0</v>
      </c>
      <c r="AF44" s="1673">
        <f t="shared" si="40"/>
        <v>0</v>
      </c>
      <c r="AG44" s="421"/>
      <c r="AH44" s="1106"/>
      <c r="AI44" s="1673">
        <f t="shared" si="41"/>
        <v>0</v>
      </c>
      <c r="AJ44" s="1673">
        <f t="shared" si="41"/>
        <v>0</v>
      </c>
      <c r="AK44" s="421"/>
      <c r="AL44" s="1106">
        <v>1</v>
      </c>
      <c r="AM44" s="1674">
        <f t="shared" si="48"/>
        <v>0</v>
      </c>
      <c r="AN44" s="1674">
        <f t="shared" si="42"/>
        <v>1</v>
      </c>
      <c r="AO44" s="1673">
        <f t="shared" si="43"/>
        <v>0</v>
      </c>
      <c r="AP44" s="1673">
        <f t="shared" si="43"/>
        <v>1</v>
      </c>
      <c r="AQ44" s="421"/>
      <c r="AR44" s="1106">
        <v>0</v>
      </c>
      <c r="AS44" s="1673">
        <f t="shared" si="11"/>
        <v>0</v>
      </c>
      <c r="AT44" s="1673">
        <f t="shared" si="11"/>
        <v>1</v>
      </c>
      <c r="AU44" s="421"/>
      <c r="AV44" s="1106">
        <v>0</v>
      </c>
      <c r="AW44" s="1673">
        <f t="shared" si="12"/>
        <v>0</v>
      </c>
      <c r="AX44" s="1673">
        <f t="shared" si="12"/>
        <v>1</v>
      </c>
      <c r="AY44" s="421"/>
      <c r="AZ44" s="1106">
        <v>0</v>
      </c>
      <c r="BA44" s="1674">
        <f t="shared" si="49"/>
        <v>0</v>
      </c>
      <c r="BB44" s="1674">
        <f t="shared" si="44"/>
        <v>0</v>
      </c>
      <c r="BC44" s="1820">
        <f t="shared" si="45"/>
        <v>0</v>
      </c>
      <c r="BD44" s="1820">
        <f t="shared" si="45"/>
        <v>1</v>
      </c>
      <c r="BE44" s="1673">
        <f t="shared" si="46"/>
        <v>0</v>
      </c>
      <c r="BF44" s="1673">
        <f t="shared" si="46"/>
        <v>1</v>
      </c>
    </row>
    <row r="45" spans="2:58" x14ac:dyDescent="0.25">
      <c r="B45" s="5147"/>
      <c r="C45" s="421" t="s">
        <v>1458</v>
      </c>
      <c r="D45" s="421"/>
      <c r="E45" s="1667"/>
      <c r="F45" s="1106"/>
      <c r="G45" s="1667"/>
      <c r="H45" s="1106"/>
      <c r="I45" s="1673"/>
      <c r="J45" s="1673">
        <f t="shared" si="1"/>
        <v>0</v>
      </c>
      <c r="K45" s="1667"/>
      <c r="L45" s="1106"/>
      <c r="M45" s="1674">
        <f t="shared" si="35"/>
        <v>0</v>
      </c>
      <c r="N45" s="1674">
        <f t="shared" si="35"/>
        <v>0</v>
      </c>
      <c r="O45" s="1667"/>
      <c r="P45" s="1106"/>
      <c r="Q45" s="1673">
        <f t="shared" si="36"/>
        <v>0</v>
      </c>
      <c r="R45" s="1673">
        <f t="shared" si="36"/>
        <v>0</v>
      </c>
      <c r="S45" s="1667"/>
      <c r="T45" s="1106"/>
      <c r="U45" s="1673">
        <f t="shared" si="37"/>
        <v>0</v>
      </c>
      <c r="V45" s="1673">
        <f t="shared" si="37"/>
        <v>0</v>
      </c>
      <c r="W45" s="1667"/>
      <c r="X45" s="1106"/>
      <c r="Y45" s="1674">
        <f t="shared" si="47"/>
        <v>0</v>
      </c>
      <c r="Z45" s="1674">
        <f t="shared" si="38"/>
        <v>0</v>
      </c>
      <c r="AA45" s="1820">
        <f t="shared" si="39"/>
        <v>0</v>
      </c>
      <c r="AB45" s="1820">
        <f t="shared" si="39"/>
        <v>0</v>
      </c>
      <c r="AC45" s="1667"/>
      <c r="AD45" s="1106"/>
      <c r="AE45" s="1673">
        <f t="shared" si="40"/>
        <v>0</v>
      </c>
      <c r="AF45" s="1673">
        <f t="shared" si="40"/>
        <v>0</v>
      </c>
      <c r="AG45" s="1667"/>
      <c r="AH45" s="1106"/>
      <c r="AI45" s="1673">
        <f t="shared" si="41"/>
        <v>0</v>
      </c>
      <c r="AJ45" s="1673">
        <f t="shared" si="41"/>
        <v>0</v>
      </c>
      <c r="AK45" s="1667"/>
      <c r="AL45" s="1106">
        <v>4010</v>
      </c>
      <c r="AM45" s="1674">
        <f t="shared" si="48"/>
        <v>0</v>
      </c>
      <c r="AN45" s="1674">
        <f t="shared" si="42"/>
        <v>4010</v>
      </c>
      <c r="AO45" s="1673">
        <f t="shared" si="43"/>
        <v>0</v>
      </c>
      <c r="AP45" s="1673">
        <f t="shared" si="43"/>
        <v>4010</v>
      </c>
      <c r="AQ45" s="1667"/>
      <c r="AR45" s="1106">
        <v>0</v>
      </c>
      <c r="AS45" s="1673">
        <f t="shared" si="11"/>
        <v>0</v>
      </c>
      <c r="AT45" s="1673">
        <f t="shared" si="11"/>
        <v>4010</v>
      </c>
      <c r="AU45" s="1667"/>
      <c r="AV45" s="1106">
        <v>0</v>
      </c>
      <c r="AW45" s="1673">
        <f t="shared" si="12"/>
        <v>0</v>
      </c>
      <c r="AX45" s="1673">
        <f t="shared" si="12"/>
        <v>4010</v>
      </c>
      <c r="AY45" s="1667"/>
      <c r="AZ45" s="1106">
        <v>0</v>
      </c>
      <c r="BA45" s="1674">
        <f t="shared" si="49"/>
        <v>0</v>
      </c>
      <c r="BB45" s="1674">
        <f t="shared" si="44"/>
        <v>0</v>
      </c>
      <c r="BC45" s="1820">
        <f t="shared" si="45"/>
        <v>0</v>
      </c>
      <c r="BD45" s="1820">
        <f t="shared" si="45"/>
        <v>4010</v>
      </c>
      <c r="BE45" s="1673">
        <f t="shared" si="46"/>
        <v>0</v>
      </c>
      <c r="BF45" s="1673">
        <f t="shared" si="46"/>
        <v>4010</v>
      </c>
    </row>
    <row r="46" spans="2:58" x14ac:dyDescent="0.25">
      <c r="B46" s="5145" t="s">
        <v>1465</v>
      </c>
      <c r="C46" s="421" t="s">
        <v>1457</v>
      </c>
      <c r="D46" s="421"/>
      <c r="E46" s="1667"/>
      <c r="F46" s="1106">
        <v>2</v>
      </c>
      <c r="G46" s="1667"/>
      <c r="H46" s="1106">
        <v>1</v>
      </c>
      <c r="I46" s="1673"/>
      <c r="J46" s="1673">
        <f t="shared" si="1"/>
        <v>3</v>
      </c>
      <c r="K46" s="1667"/>
      <c r="L46" s="1106">
        <v>4</v>
      </c>
      <c r="M46" s="1674">
        <f t="shared" si="35"/>
        <v>0</v>
      </c>
      <c r="N46" s="1674">
        <f t="shared" si="35"/>
        <v>7</v>
      </c>
      <c r="O46" s="1667"/>
      <c r="P46" s="1106">
        <v>5</v>
      </c>
      <c r="Q46" s="1673">
        <f t="shared" si="36"/>
        <v>0</v>
      </c>
      <c r="R46" s="1673">
        <f t="shared" si="36"/>
        <v>12</v>
      </c>
      <c r="S46" s="1667"/>
      <c r="T46" s="1106">
        <v>3</v>
      </c>
      <c r="U46" s="1673">
        <f t="shared" si="37"/>
        <v>0</v>
      </c>
      <c r="V46" s="1673">
        <f t="shared" si="37"/>
        <v>15</v>
      </c>
      <c r="W46" s="1667"/>
      <c r="X46" s="1106">
        <v>3</v>
      </c>
      <c r="Y46" s="1674">
        <f t="shared" si="47"/>
        <v>0</v>
      </c>
      <c r="Z46" s="1674">
        <f t="shared" si="38"/>
        <v>11</v>
      </c>
      <c r="AA46" s="1820">
        <f t="shared" si="39"/>
        <v>0</v>
      </c>
      <c r="AB46" s="1820">
        <f t="shared" si="39"/>
        <v>18</v>
      </c>
      <c r="AC46" s="1667"/>
      <c r="AD46" s="1106">
        <v>1</v>
      </c>
      <c r="AE46" s="1673">
        <f t="shared" si="40"/>
        <v>0</v>
      </c>
      <c r="AF46" s="1673">
        <f t="shared" si="40"/>
        <v>19</v>
      </c>
      <c r="AG46" s="1667"/>
      <c r="AH46" s="1106">
        <v>0</v>
      </c>
      <c r="AI46" s="1673">
        <f t="shared" si="41"/>
        <v>0</v>
      </c>
      <c r="AJ46" s="1673">
        <f t="shared" si="41"/>
        <v>19</v>
      </c>
      <c r="AK46" s="1667"/>
      <c r="AL46" s="1106">
        <v>5</v>
      </c>
      <c r="AM46" s="1674">
        <f t="shared" si="48"/>
        <v>0</v>
      </c>
      <c r="AN46" s="1674">
        <f t="shared" si="42"/>
        <v>6</v>
      </c>
      <c r="AO46" s="1673">
        <f t="shared" si="43"/>
        <v>0</v>
      </c>
      <c r="AP46" s="1673">
        <f t="shared" si="43"/>
        <v>24</v>
      </c>
      <c r="AQ46" s="1667"/>
      <c r="AR46" s="1106">
        <v>3</v>
      </c>
      <c r="AS46" s="1673">
        <f t="shared" si="11"/>
        <v>0</v>
      </c>
      <c r="AT46" s="1673">
        <f t="shared" si="11"/>
        <v>27</v>
      </c>
      <c r="AU46" s="1667"/>
      <c r="AV46" s="1106">
        <v>3</v>
      </c>
      <c r="AW46" s="1673">
        <f t="shared" si="12"/>
        <v>0</v>
      </c>
      <c r="AX46" s="1673">
        <f t="shared" si="12"/>
        <v>30</v>
      </c>
      <c r="AY46" s="1667"/>
      <c r="AZ46" s="1106">
        <v>2</v>
      </c>
      <c r="BA46" s="1674">
        <f t="shared" si="49"/>
        <v>0</v>
      </c>
      <c r="BB46" s="1674">
        <f t="shared" si="44"/>
        <v>8</v>
      </c>
      <c r="BC46" s="1820">
        <f t="shared" si="45"/>
        <v>0</v>
      </c>
      <c r="BD46" s="1820">
        <f t="shared" si="45"/>
        <v>14</v>
      </c>
      <c r="BE46" s="1673">
        <f t="shared" si="46"/>
        <v>0</v>
      </c>
      <c r="BF46" s="1673">
        <f t="shared" si="46"/>
        <v>32</v>
      </c>
    </row>
    <row r="47" spans="2:58" x14ac:dyDescent="0.25">
      <c r="B47" s="5147"/>
      <c r="C47" s="421" t="s">
        <v>1458</v>
      </c>
      <c r="D47" s="421"/>
      <c r="E47" s="1667"/>
      <c r="F47" s="1106">
        <v>7842</v>
      </c>
      <c r="G47" s="1667"/>
      <c r="H47" s="1106">
        <v>3741</v>
      </c>
      <c r="I47" s="1673"/>
      <c r="J47" s="1673">
        <f t="shared" si="1"/>
        <v>11583</v>
      </c>
      <c r="K47" s="1667"/>
      <c r="L47" s="1106">
        <v>15477</v>
      </c>
      <c r="M47" s="1674">
        <f t="shared" si="35"/>
        <v>0</v>
      </c>
      <c r="N47" s="1674">
        <f t="shared" si="35"/>
        <v>27060</v>
      </c>
      <c r="O47" s="1667"/>
      <c r="P47" s="1106">
        <v>19120</v>
      </c>
      <c r="Q47" s="1673">
        <f t="shared" si="36"/>
        <v>0</v>
      </c>
      <c r="R47" s="1673">
        <f t="shared" si="36"/>
        <v>46180</v>
      </c>
      <c r="S47" s="1667"/>
      <c r="T47" s="1106">
        <v>11184</v>
      </c>
      <c r="U47" s="1673">
        <f t="shared" si="37"/>
        <v>0</v>
      </c>
      <c r="V47" s="1673">
        <f t="shared" si="37"/>
        <v>57364</v>
      </c>
      <c r="W47" s="1667"/>
      <c r="X47" s="1106">
        <v>11691</v>
      </c>
      <c r="Y47" s="1674">
        <f t="shared" si="47"/>
        <v>0</v>
      </c>
      <c r="Z47" s="1674">
        <f t="shared" si="38"/>
        <v>41995</v>
      </c>
      <c r="AA47" s="1820">
        <f t="shared" si="39"/>
        <v>0</v>
      </c>
      <c r="AB47" s="1820">
        <f t="shared" si="39"/>
        <v>69055</v>
      </c>
      <c r="AC47" s="1667"/>
      <c r="AD47" s="1106">
        <v>3902</v>
      </c>
      <c r="AE47" s="1673">
        <f t="shared" si="40"/>
        <v>0</v>
      </c>
      <c r="AF47" s="1673">
        <f t="shared" si="40"/>
        <v>72957</v>
      </c>
      <c r="AG47" s="1667"/>
      <c r="AH47" s="1106">
        <v>0</v>
      </c>
      <c r="AI47" s="1673">
        <f t="shared" si="41"/>
        <v>0</v>
      </c>
      <c r="AJ47" s="1673">
        <f t="shared" si="41"/>
        <v>72957</v>
      </c>
      <c r="AK47" s="1667"/>
      <c r="AL47" s="1106">
        <v>18476</v>
      </c>
      <c r="AM47" s="1674">
        <f t="shared" si="48"/>
        <v>0</v>
      </c>
      <c r="AN47" s="1674">
        <f t="shared" si="42"/>
        <v>22378</v>
      </c>
      <c r="AO47" s="1673">
        <f t="shared" si="43"/>
        <v>0</v>
      </c>
      <c r="AP47" s="1673">
        <f t="shared" si="43"/>
        <v>91433</v>
      </c>
      <c r="AQ47" s="1667"/>
      <c r="AR47" s="1106">
        <v>11317</v>
      </c>
      <c r="AS47" s="1673">
        <f t="shared" si="11"/>
        <v>0</v>
      </c>
      <c r="AT47" s="1673">
        <f t="shared" si="11"/>
        <v>102750</v>
      </c>
      <c r="AU47" s="1667"/>
      <c r="AV47" s="1106">
        <v>11409</v>
      </c>
      <c r="AW47" s="1673">
        <f t="shared" si="12"/>
        <v>0</v>
      </c>
      <c r="AX47" s="1673">
        <f t="shared" si="12"/>
        <v>114159</v>
      </c>
      <c r="AY47" s="1667"/>
      <c r="AZ47" s="1106">
        <v>7575</v>
      </c>
      <c r="BA47" s="1674">
        <f t="shared" si="49"/>
        <v>0</v>
      </c>
      <c r="BB47" s="1674">
        <f t="shared" si="44"/>
        <v>30301</v>
      </c>
      <c r="BC47" s="1820">
        <f t="shared" si="45"/>
        <v>0</v>
      </c>
      <c r="BD47" s="1820">
        <f t="shared" si="45"/>
        <v>52679</v>
      </c>
      <c r="BE47" s="1673">
        <f t="shared" si="46"/>
        <v>0</v>
      </c>
      <c r="BF47" s="1673">
        <f t="shared" si="46"/>
        <v>121734</v>
      </c>
    </row>
    <row r="48" spans="2:58" x14ac:dyDescent="0.25">
      <c r="B48" s="5161" t="s">
        <v>1653</v>
      </c>
      <c r="C48" s="1081" t="s">
        <v>1457</v>
      </c>
      <c r="D48" s="421"/>
      <c r="E48" s="1667"/>
      <c r="F48" s="1106"/>
      <c r="G48" s="1667"/>
      <c r="H48" s="1106"/>
      <c r="I48" s="1673"/>
      <c r="J48" s="1673">
        <f t="shared" si="1"/>
        <v>0</v>
      </c>
      <c r="K48" s="1667"/>
      <c r="L48" s="1106"/>
      <c r="M48" s="1674"/>
      <c r="N48" s="1674">
        <f t="shared" si="35"/>
        <v>0</v>
      </c>
      <c r="O48" s="1667"/>
      <c r="P48" s="1106"/>
      <c r="Q48" s="1673"/>
      <c r="R48" s="1673">
        <f t="shared" si="36"/>
        <v>0</v>
      </c>
      <c r="S48" s="1667"/>
      <c r="T48" s="1106"/>
      <c r="U48" s="1673"/>
      <c r="V48" s="1673">
        <f t="shared" si="37"/>
        <v>0</v>
      </c>
      <c r="W48" s="1667"/>
      <c r="X48" s="1106"/>
      <c r="Y48" s="1674"/>
      <c r="Z48" s="1674">
        <f t="shared" si="38"/>
        <v>0</v>
      </c>
      <c r="AA48" s="1820">
        <f t="shared" si="39"/>
        <v>0</v>
      </c>
      <c r="AB48" s="1820">
        <f t="shared" si="39"/>
        <v>0</v>
      </c>
      <c r="AC48" s="1667"/>
      <c r="AD48" s="1106">
        <v>1</v>
      </c>
      <c r="AE48" s="1673"/>
      <c r="AF48" s="1673">
        <f t="shared" si="40"/>
        <v>1</v>
      </c>
      <c r="AG48" s="1667"/>
      <c r="AH48" s="1106">
        <v>1</v>
      </c>
      <c r="AI48" s="1673">
        <f t="shared" si="41"/>
        <v>0</v>
      </c>
      <c r="AJ48" s="1673">
        <f t="shared" si="41"/>
        <v>2</v>
      </c>
      <c r="AK48" s="1667"/>
      <c r="AL48" s="1106">
        <v>1</v>
      </c>
      <c r="AM48" s="1674">
        <f t="shared" si="48"/>
        <v>0</v>
      </c>
      <c r="AN48" s="1674">
        <f t="shared" si="42"/>
        <v>3</v>
      </c>
      <c r="AO48" s="1673">
        <f t="shared" si="43"/>
        <v>0</v>
      </c>
      <c r="AP48" s="1673">
        <f t="shared" si="43"/>
        <v>3</v>
      </c>
      <c r="AQ48" s="1667"/>
      <c r="AR48" s="1106">
        <v>0</v>
      </c>
      <c r="AS48" s="1673">
        <f t="shared" si="11"/>
        <v>0</v>
      </c>
      <c r="AT48" s="1673">
        <f t="shared" si="11"/>
        <v>3</v>
      </c>
      <c r="AU48" s="1667"/>
      <c r="AV48" s="1106">
        <v>1</v>
      </c>
      <c r="AW48" s="1673">
        <f t="shared" si="12"/>
        <v>0</v>
      </c>
      <c r="AX48" s="1673">
        <f t="shared" si="12"/>
        <v>4</v>
      </c>
      <c r="AY48" s="1667"/>
      <c r="AZ48" s="1106">
        <v>2</v>
      </c>
      <c r="BA48" s="1674">
        <f t="shared" si="49"/>
        <v>0</v>
      </c>
      <c r="BB48" s="1674">
        <f t="shared" si="44"/>
        <v>3</v>
      </c>
      <c r="BC48" s="1820">
        <f t="shared" si="45"/>
        <v>0</v>
      </c>
      <c r="BD48" s="1820">
        <f t="shared" si="45"/>
        <v>6</v>
      </c>
      <c r="BE48" s="1673">
        <f t="shared" si="46"/>
        <v>0</v>
      </c>
      <c r="BF48" s="1673">
        <f t="shared" si="46"/>
        <v>6</v>
      </c>
    </row>
    <row r="49" spans="2:58" x14ac:dyDescent="0.25">
      <c r="B49" s="5162"/>
      <c r="C49" s="1081" t="s">
        <v>1458</v>
      </c>
      <c r="D49" s="421"/>
      <c r="E49" s="1667"/>
      <c r="F49" s="1106"/>
      <c r="G49" s="1667"/>
      <c r="H49" s="1106"/>
      <c r="I49" s="1673"/>
      <c r="J49" s="1673">
        <f t="shared" si="1"/>
        <v>0</v>
      </c>
      <c r="K49" s="1667"/>
      <c r="L49" s="1106"/>
      <c r="M49" s="1674"/>
      <c r="N49" s="1674">
        <f t="shared" si="35"/>
        <v>0</v>
      </c>
      <c r="O49" s="1667"/>
      <c r="P49" s="1106"/>
      <c r="Q49" s="1673"/>
      <c r="R49" s="1673">
        <f t="shared" si="36"/>
        <v>0</v>
      </c>
      <c r="S49" s="1667"/>
      <c r="T49" s="1106"/>
      <c r="U49" s="1673"/>
      <c r="V49" s="1673">
        <f t="shared" si="37"/>
        <v>0</v>
      </c>
      <c r="W49" s="1667"/>
      <c r="X49" s="1106"/>
      <c r="Y49" s="1674"/>
      <c r="Z49" s="1674">
        <f t="shared" si="38"/>
        <v>0</v>
      </c>
      <c r="AA49" s="1820">
        <f t="shared" si="39"/>
        <v>0</v>
      </c>
      <c r="AB49" s="1820">
        <f t="shared" si="39"/>
        <v>0</v>
      </c>
      <c r="AC49" s="1667"/>
      <c r="AD49" s="1106">
        <v>3740</v>
      </c>
      <c r="AE49" s="1673"/>
      <c r="AF49" s="1673">
        <f t="shared" si="40"/>
        <v>3740</v>
      </c>
      <c r="AG49" s="1667"/>
      <c r="AH49" s="1106">
        <v>4044</v>
      </c>
      <c r="AI49" s="1673">
        <f t="shared" si="41"/>
        <v>0</v>
      </c>
      <c r="AJ49" s="1673">
        <f t="shared" si="41"/>
        <v>7784</v>
      </c>
      <c r="AK49" s="1667"/>
      <c r="AL49" s="1106">
        <v>3979</v>
      </c>
      <c r="AM49" s="1674">
        <f t="shared" si="48"/>
        <v>0</v>
      </c>
      <c r="AN49" s="1674">
        <f t="shared" si="42"/>
        <v>11763</v>
      </c>
      <c r="AO49" s="1673">
        <f t="shared" si="43"/>
        <v>0</v>
      </c>
      <c r="AP49" s="1673">
        <f t="shared" si="43"/>
        <v>11763</v>
      </c>
      <c r="AQ49" s="1667"/>
      <c r="AR49" s="1106">
        <v>0</v>
      </c>
      <c r="AS49" s="1673">
        <f t="shared" si="11"/>
        <v>0</v>
      </c>
      <c r="AT49" s="1673">
        <f t="shared" si="11"/>
        <v>11763</v>
      </c>
      <c r="AU49" s="1667"/>
      <c r="AV49" s="1106">
        <v>3942</v>
      </c>
      <c r="AW49" s="1673">
        <f t="shared" si="12"/>
        <v>0</v>
      </c>
      <c r="AX49" s="1673">
        <f t="shared" si="12"/>
        <v>15705</v>
      </c>
      <c r="AY49" s="1667"/>
      <c r="AZ49" s="1106">
        <v>8073</v>
      </c>
      <c r="BA49" s="1674">
        <f t="shared" si="49"/>
        <v>0</v>
      </c>
      <c r="BB49" s="1674">
        <f t="shared" si="44"/>
        <v>12015</v>
      </c>
      <c r="BC49" s="1820">
        <f t="shared" si="45"/>
        <v>0</v>
      </c>
      <c r="BD49" s="1820">
        <f t="shared" si="45"/>
        <v>23778</v>
      </c>
      <c r="BE49" s="1673">
        <f t="shared" si="46"/>
        <v>0</v>
      </c>
      <c r="BF49" s="1673">
        <f t="shared" si="46"/>
        <v>23778</v>
      </c>
    </row>
    <row r="50" spans="2:58" x14ac:dyDescent="0.25">
      <c r="B50" s="5159" t="s">
        <v>2</v>
      </c>
      <c r="C50" s="1678" t="s">
        <v>1457</v>
      </c>
      <c r="D50" s="1679"/>
      <c r="E50" s="1680"/>
      <c r="F50" s="1680">
        <f>+F40+F42+F46+F44+F48</f>
        <v>2</v>
      </c>
      <c r="G50" s="1680"/>
      <c r="H50" s="1680">
        <f>+H40+H42+H46+H44+H48</f>
        <v>1</v>
      </c>
      <c r="I50" s="1680"/>
      <c r="J50" s="1680">
        <f t="shared" si="1"/>
        <v>3</v>
      </c>
      <c r="K50" s="1680"/>
      <c r="L50" s="1680">
        <f>+L40+L42+L46+L44+L48</f>
        <v>7</v>
      </c>
      <c r="M50" s="1680">
        <f t="shared" si="35"/>
        <v>0</v>
      </c>
      <c r="N50" s="1680">
        <f t="shared" si="35"/>
        <v>10</v>
      </c>
      <c r="O50" s="1680"/>
      <c r="P50" s="1680">
        <f>+P40+P42+P46+P44+P48</f>
        <v>10</v>
      </c>
      <c r="Q50" s="1680">
        <f t="shared" si="36"/>
        <v>0</v>
      </c>
      <c r="R50" s="1680">
        <f t="shared" si="36"/>
        <v>20</v>
      </c>
      <c r="S50" s="1680"/>
      <c r="T50" s="1680">
        <f>+T40+T42+T46+T44+T48</f>
        <v>7</v>
      </c>
      <c r="U50" s="1680">
        <f t="shared" si="37"/>
        <v>0</v>
      </c>
      <c r="V50" s="1680">
        <f t="shared" si="37"/>
        <v>27</v>
      </c>
      <c r="W50" s="1680"/>
      <c r="X50" s="1680">
        <f>+X40+X42+X46+X44+X48</f>
        <v>4</v>
      </c>
      <c r="Y50" s="1680">
        <f>O50+S50+W50</f>
        <v>0</v>
      </c>
      <c r="Z50" s="1680">
        <f t="shared" si="38"/>
        <v>21</v>
      </c>
      <c r="AA50" s="1680">
        <f t="shared" si="39"/>
        <v>0</v>
      </c>
      <c r="AB50" s="1680">
        <f t="shared" si="39"/>
        <v>31</v>
      </c>
      <c r="AC50" s="1680"/>
      <c r="AD50" s="1680">
        <f>+AD40+AD42+AD46+AD44+AD48</f>
        <v>2</v>
      </c>
      <c r="AE50" s="1680">
        <f t="shared" si="40"/>
        <v>0</v>
      </c>
      <c r="AF50" s="1680">
        <f t="shared" si="40"/>
        <v>33</v>
      </c>
      <c r="AG50" s="1680"/>
      <c r="AH50" s="1680">
        <f>+AH40+AH42+AH46+AH44+AH48</f>
        <v>4</v>
      </c>
      <c r="AI50" s="1680">
        <f t="shared" si="41"/>
        <v>0</v>
      </c>
      <c r="AJ50" s="1680">
        <f t="shared" si="41"/>
        <v>37</v>
      </c>
      <c r="AK50" s="1680"/>
      <c r="AL50" s="1680">
        <f>+AL40+AL42+AL46+AL44+AL48</f>
        <v>9</v>
      </c>
      <c r="AM50" s="1680">
        <f>AC50+AG50+AK50</f>
        <v>0</v>
      </c>
      <c r="AN50" s="1680">
        <f t="shared" si="42"/>
        <v>15</v>
      </c>
      <c r="AO50" s="1680">
        <f t="shared" si="43"/>
        <v>0</v>
      </c>
      <c r="AP50" s="1680">
        <f t="shared" si="43"/>
        <v>46</v>
      </c>
      <c r="AQ50" s="1680"/>
      <c r="AR50" s="1680">
        <f>+AR40+AR42+AR46+AR44+AR48</f>
        <v>4</v>
      </c>
      <c r="AS50" s="1680">
        <f t="shared" si="11"/>
        <v>0</v>
      </c>
      <c r="AT50" s="1680">
        <f t="shared" si="11"/>
        <v>50</v>
      </c>
      <c r="AU50" s="1680"/>
      <c r="AV50" s="1680">
        <f>+AV40+AV42+AV46+AV44+AV48</f>
        <v>5</v>
      </c>
      <c r="AW50" s="1680">
        <f t="shared" si="12"/>
        <v>0</v>
      </c>
      <c r="AX50" s="1680">
        <f t="shared" si="12"/>
        <v>55</v>
      </c>
      <c r="AY50" s="1680"/>
      <c r="AZ50" s="1680">
        <f>+AZ40+AZ42+AZ46+AZ44+AZ48</f>
        <v>4</v>
      </c>
      <c r="BA50" s="1680">
        <f>AQ50+AU50+AY50</f>
        <v>0</v>
      </c>
      <c r="BB50" s="1680">
        <f t="shared" si="44"/>
        <v>13</v>
      </c>
      <c r="BC50" s="1680">
        <f t="shared" si="45"/>
        <v>0</v>
      </c>
      <c r="BD50" s="1680">
        <f t="shared" si="45"/>
        <v>28</v>
      </c>
      <c r="BE50" s="1680">
        <f t="shared" si="46"/>
        <v>0</v>
      </c>
      <c r="BF50" s="1680">
        <f t="shared" si="46"/>
        <v>59</v>
      </c>
    </row>
    <row r="51" spans="2:58" x14ac:dyDescent="0.25">
      <c r="B51" s="5160"/>
      <c r="C51" s="1678" t="s">
        <v>1458</v>
      </c>
      <c r="D51" s="1679"/>
      <c r="E51" s="1680">
        <v>11347.249714160036</v>
      </c>
      <c r="F51" s="1680">
        <f>+F41+F43+F47+F45+F49</f>
        <v>7842</v>
      </c>
      <c r="G51" s="1680">
        <v>11744.403454155639</v>
      </c>
      <c r="H51" s="1680">
        <f>+H41+H43+H47+H45+H49</f>
        <v>3741</v>
      </c>
      <c r="I51" s="1680"/>
      <c r="J51" s="1680">
        <f t="shared" si="1"/>
        <v>11583</v>
      </c>
      <c r="K51" s="1680">
        <v>26872.840454316658</v>
      </c>
      <c r="L51" s="1680">
        <f>+L41+L43+L47+L45+L49</f>
        <v>27622</v>
      </c>
      <c r="M51" s="1680">
        <f t="shared" si="35"/>
        <v>26872.840454316658</v>
      </c>
      <c r="N51" s="1680">
        <f t="shared" si="35"/>
        <v>39205</v>
      </c>
      <c r="O51" s="1680">
        <v>27786.86141879225</v>
      </c>
      <c r="P51" s="1680">
        <f>+P41+P43+P47+P45+P49</f>
        <v>39505</v>
      </c>
      <c r="Q51" s="1680">
        <f t="shared" si="36"/>
        <v>54659.701873108905</v>
      </c>
      <c r="R51" s="1680">
        <f t="shared" si="36"/>
        <v>78710</v>
      </c>
      <c r="S51" s="1680">
        <v>27809.555918220569</v>
      </c>
      <c r="T51" s="1680">
        <f>+T41+T43+T47+T45+T49</f>
        <v>27245</v>
      </c>
      <c r="U51" s="1680">
        <f t="shared" si="37"/>
        <v>82469.257791329466</v>
      </c>
      <c r="V51" s="1680">
        <f t="shared" si="37"/>
        <v>105955</v>
      </c>
      <c r="W51" s="1680">
        <v>27046.169693700453</v>
      </c>
      <c r="X51" s="1680">
        <f>+X41+X43+X47+X45+X49</f>
        <v>15799</v>
      </c>
      <c r="Y51" s="1680">
        <f>O51+S51+W51</f>
        <v>82642.587030713272</v>
      </c>
      <c r="Z51" s="1680">
        <f t="shared" si="38"/>
        <v>82549</v>
      </c>
      <c r="AA51" s="1680">
        <f t="shared" si="39"/>
        <v>109515.42748502993</v>
      </c>
      <c r="AB51" s="1680">
        <f t="shared" si="39"/>
        <v>121754</v>
      </c>
      <c r="AC51" s="1680">
        <v>27965.296920547411</v>
      </c>
      <c r="AD51" s="1680">
        <f>+AD41+AD43+AD47+AD45+AD49</f>
        <v>7642</v>
      </c>
      <c r="AE51" s="1680">
        <f t="shared" si="40"/>
        <v>137480.72440557735</v>
      </c>
      <c r="AF51" s="1680">
        <f t="shared" si="40"/>
        <v>129396</v>
      </c>
      <c r="AG51" s="1680"/>
      <c r="AH51" s="1680">
        <f>+AH41+AH43+AH47+AH45+AH49</f>
        <v>16143</v>
      </c>
      <c r="AI51" s="1680">
        <f t="shared" si="41"/>
        <v>137480.72440557735</v>
      </c>
      <c r="AJ51" s="1680">
        <f t="shared" si="41"/>
        <v>145539</v>
      </c>
      <c r="AK51" s="1680"/>
      <c r="AL51" s="1680">
        <f>+AL41+AL43+AL47+AL45+AL49</f>
        <v>34525</v>
      </c>
      <c r="AM51" s="1680">
        <f>AC51+AG51+AK51</f>
        <v>27965.296920547411</v>
      </c>
      <c r="AN51" s="1680">
        <f t="shared" si="42"/>
        <v>58310</v>
      </c>
      <c r="AO51" s="1680">
        <f t="shared" si="43"/>
        <v>137480.72440557735</v>
      </c>
      <c r="AP51" s="1680">
        <f t="shared" si="43"/>
        <v>180064</v>
      </c>
      <c r="AQ51" s="1680"/>
      <c r="AR51" s="1680">
        <f>+AR41+AR43+AR47+AR45+AR49</f>
        <v>15392</v>
      </c>
      <c r="AS51" s="1680">
        <f t="shared" si="11"/>
        <v>137480.72440557735</v>
      </c>
      <c r="AT51" s="1680">
        <f t="shared" si="11"/>
        <v>195456</v>
      </c>
      <c r="AU51" s="1680"/>
      <c r="AV51" s="1680">
        <f>+AV41+AV43+AV47+AV45+AV49</f>
        <v>19370</v>
      </c>
      <c r="AW51" s="1680">
        <f t="shared" si="12"/>
        <v>137480.72440557735</v>
      </c>
      <c r="AX51" s="1680">
        <f t="shared" si="12"/>
        <v>214826</v>
      </c>
      <c r="AY51" s="1680"/>
      <c r="AZ51" s="1680">
        <f>+AZ41+AZ43+AZ47+AZ45+AZ49</f>
        <v>15648</v>
      </c>
      <c r="BA51" s="1680">
        <f>AQ51+AU51+AY51</f>
        <v>0</v>
      </c>
      <c r="BB51" s="1680">
        <f t="shared" si="44"/>
        <v>50410</v>
      </c>
      <c r="BC51" s="1680">
        <f t="shared" si="45"/>
        <v>27965.296920547411</v>
      </c>
      <c r="BD51" s="1680">
        <f t="shared" si="45"/>
        <v>108720</v>
      </c>
      <c r="BE51" s="1680">
        <f t="shared" si="46"/>
        <v>137480.72440557735</v>
      </c>
      <c r="BF51" s="1680">
        <f t="shared" si="46"/>
        <v>230474</v>
      </c>
    </row>
    <row r="52" spans="2:58" s="334" customFormat="1" x14ac:dyDescent="0.25">
      <c r="B52" s="1769"/>
      <c r="C52" s="1081"/>
      <c r="D52" s="1081"/>
      <c r="E52" s="1081"/>
      <c r="F52" s="1081"/>
      <c r="G52" s="1081"/>
      <c r="H52" s="1081"/>
      <c r="I52" s="1081"/>
      <c r="J52" s="1081"/>
      <c r="K52" s="1081"/>
      <c r="L52" s="1081"/>
      <c r="M52" s="1081"/>
      <c r="N52" s="1081"/>
      <c r="O52" s="1081"/>
      <c r="P52" s="1081"/>
      <c r="Q52" s="1081"/>
      <c r="R52" s="1081"/>
      <c r="S52" s="1081"/>
      <c r="T52" s="1081"/>
      <c r="U52" s="1081"/>
      <c r="V52" s="1081"/>
      <c r="W52" s="1081"/>
      <c r="X52" s="1081"/>
      <c r="Y52" s="1081"/>
      <c r="Z52" s="1081"/>
      <c r="AA52" s="1081"/>
      <c r="AB52" s="1081"/>
      <c r="AC52" s="1081"/>
      <c r="AD52" s="1081"/>
      <c r="AE52" s="1081"/>
      <c r="AF52" s="1081"/>
      <c r="AG52" s="1081"/>
      <c r="AH52" s="1081"/>
      <c r="AI52" s="1081"/>
      <c r="AJ52" s="1081"/>
      <c r="AK52" s="1081"/>
      <c r="AL52" s="1081"/>
      <c r="AM52" s="1081"/>
      <c r="AN52" s="1081"/>
      <c r="AO52" s="1081"/>
      <c r="AP52" s="1081"/>
      <c r="AQ52" s="1081"/>
      <c r="AR52" s="1081"/>
      <c r="AS52" s="1081"/>
      <c r="AT52" s="1081"/>
      <c r="AU52" s="1081"/>
      <c r="AV52" s="1081"/>
      <c r="AW52" s="1081"/>
      <c r="AX52" s="1081"/>
      <c r="AY52" s="1081"/>
      <c r="AZ52" s="1081"/>
      <c r="BA52" s="1081"/>
      <c r="BB52" s="1081"/>
      <c r="BC52" s="1081"/>
      <c r="BD52" s="1081"/>
      <c r="BE52" s="1081"/>
      <c r="BF52" s="1081"/>
    </row>
    <row r="53" spans="2:58" x14ac:dyDescent="0.25">
      <c r="B53" s="1770" t="s">
        <v>1466</v>
      </c>
      <c r="C53" s="1081"/>
      <c r="D53" s="1081"/>
      <c r="E53" s="1081"/>
      <c r="F53" s="1081"/>
      <c r="G53" s="1081"/>
      <c r="H53" s="1081"/>
      <c r="I53" s="1081"/>
      <c r="J53" s="1081"/>
      <c r="K53" s="1081"/>
      <c r="L53" s="1081"/>
      <c r="M53" s="1081"/>
      <c r="N53" s="1081"/>
      <c r="O53" s="1081"/>
      <c r="P53" s="1081"/>
      <c r="Q53" s="1081"/>
      <c r="R53" s="1081"/>
      <c r="S53" s="1081"/>
      <c r="T53" s="1081"/>
      <c r="U53" s="1081"/>
      <c r="V53" s="1081"/>
      <c r="W53" s="1081"/>
      <c r="X53" s="1081"/>
      <c r="Y53" s="1081"/>
      <c r="Z53" s="1081"/>
      <c r="AA53" s="1081"/>
      <c r="AB53" s="1081"/>
      <c r="AC53" s="1081"/>
      <c r="AD53" s="1081"/>
      <c r="AE53" s="1081"/>
      <c r="AF53" s="1081"/>
      <c r="AG53" s="1081"/>
      <c r="AH53" s="1081"/>
      <c r="AI53" s="1081"/>
      <c r="AJ53" s="1081"/>
      <c r="AK53" s="1081"/>
      <c r="AL53" s="1081"/>
      <c r="AM53" s="1081"/>
      <c r="AN53" s="1081"/>
      <c r="AO53" s="1081"/>
      <c r="AP53" s="1081"/>
      <c r="AQ53" s="1081"/>
      <c r="AR53" s="1081"/>
      <c r="AS53" s="1081"/>
      <c r="AT53" s="1081"/>
      <c r="AU53" s="1081"/>
      <c r="AV53" s="1081"/>
      <c r="AW53" s="1081"/>
      <c r="AX53" s="1081"/>
      <c r="AY53" s="1081"/>
      <c r="AZ53" s="1081"/>
      <c r="BA53" s="1081"/>
      <c r="BB53" s="1081"/>
      <c r="BC53" s="1081"/>
      <c r="BD53" s="1081"/>
      <c r="BE53" s="1081"/>
      <c r="BF53" s="1081"/>
    </row>
    <row r="54" spans="2:58" x14ac:dyDescent="0.25">
      <c r="B54" s="5145" t="s">
        <v>1467</v>
      </c>
      <c r="C54" s="421" t="s">
        <v>1457</v>
      </c>
      <c r="D54" s="421"/>
      <c r="E54" s="1667"/>
      <c r="F54" s="1106">
        <v>3</v>
      </c>
      <c r="G54" s="1667"/>
      <c r="H54" s="1106">
        <v>4</v>
      </c>
      <c r="I54" s="1673"/>
      <c r="J54" s="1673">
        <f t="shared" si="1"/>
        <v>7</v>
      </c>
      <c r="K54" s="1667"/>
      <c r="L54" s="1106">
        <v>4</v>
      </c>
      <c r="M54" s="1674">
        <f t="shared" ref="M54:N67" si="50">+I54+K54</f>
        <v>0</v>
      </c>
      <c r="N54" s="1674">
        <f t="shared" si="35"/>
        <v>11</v>
      </c>
      <c r="O54" s="1667"/>
      <c r="P54" s="1106">
        <v>4</v>
      </c>
      <c r="Q54" s="1673">
        <f t="shared" ref="Q54:R67" si="51">+M54+O54</f>
        <v>0</v>
      </c>
      <c r="R54" s="1673">
        <f t="shared" si="36"/>
        <v>15</v>
      </c>
      <c r="S54" s="1667"/>
      <c r="T54" s="1106">
        <v>3</v>
      </c>
      <c r="U54" s="1673">
        <f t="shared" ref="U54:V67" si="52">+Q54+S54</f>
        <v>0</v>
      </c>
      <c r="V54" s="1673">
        <f t="shared" si="37"/>
        <v>18</v>
      </c>
      <c r="W54" s="1667"/>
      <c r="X54" s="1106">
        <v>5</v>
      </c>
      <c r="Y54" s="1674">
        <f>O54+S54+W54</f>
        <v>0</v>
      </c>
      <c r="Z54" s="1674">
        <f t="shared" si="38"/>
        <v>12</v>
      </c>
      <c r="AA54" s="1820">
        <f t="shared" ref="AA54:AB67" si="53">+M54+Y54</f>
        <v>0</v>
      </c>
      <c r="AB54" s="1820">
        <f t="shared" si="39"/>
        <v>23</v>
      </c>
      <c r="AC54" s="1667"/>
      <c r="AD54" s="1106">
        <v>4</v>
      </c>
      <c r="AE54" s="1673">
        <f t="shared" ref="AE54:AF67" si="54">+AA54+AC54</f>
        <v>0</v>
      </c>
      <c r="AF54" s="1673">
        <f t="shared" si="40"/>
        <v>27</v>
      </c>
      <c r="AG54" s="1667"/>
      <c r="AH54" s="1106">
        <v>4</v>
      </c>
      <c r="AI54" s="1673">
        <f t="shared" ref="AI54:AJ67" si="55">+AE54+AG54</f>
        <v>0</v>
      </c>
      <c r="AJ54" s="1673">
        <f t="shared" si="41"/>
        <v>31</v>
      </c>
      <c r="AK54" s="1667"/>
      <c r="AL54" s="1106">
        <v>2</v>
      </c>
      <c r="AM54" s="1674">
        <f>AC54+AG54+AK54</f>
        <v>0</v>
      </c>
      <c r="AN54" s="1674">
        <f t="shared" si="42"/>
        <v>10</v>
      </c>
      <c r="AO54" s="1673">
        <f t="shared" ref="AO54:AP67" si="56">+AI54+AK54</f>
        <v>0</v>
      </c>
      <c r="AP54" s="1673">
        <f t="shared" si="43"/>
        <v>33</v>
      </c>
      <c r="AQ54" s="1667"/>
      <c r="AR54" s="1106">
        <v>3</v>
      </c>
      <c r="AS54" s="1673">
        <f t="shared" si="11"/>
        <v>0</v>
      </c>
      <c r="AT54" s="1673">
        <f t="shared" si="11"/>
        <v>36</v>
      </c>
      <c r="AU54" s="1667"/>
      <c r="AV54" s="1106">
        <v>3</v>
      </c>
      <c r="AW54" s="1673">
        <f t="shared" si="12"/>
        <v>0</v>
      </c>
      <c r="AX54" s="1673">
        <f t="shared" si="12"/>
        <v>39</v>
      </c>
      <c r="AY54" s="1667"/>
      <c r="AZ54" s="1106">
        <v>1</v>
      </c>
      <c r="BA54" s="1674">
        <f>AQ54+AU54+AY54</f>
        <v>0</v>
      </c>
      <c r="BB54" s="1674">
        <f t="shared" ref="BB54:BB63" si="57">AR54+AV54+AZ54</f>
        <v>7</v>
      </c>
      <c r="BC54" s="1820">
        <f t="shared" ref="BC54:BD63" si="58">+AM54+BA54</f>
        <v>0</v>
      </c>
      <c r="BD54" s="1820">
        <f t="shared" si="58"/>
        <v>17</v>
      </c>
      <c r="BE54" s="1673">
        <f t="shared" ref="BE54:BF63" si="59">+AW54+AY54</f>
        <v>0</v>
      </c>
      <c r="BF54" s="1673">
        <f t="shared" si="59"/>
        <v>40</v>
      </c>
    </row>
    <row r="55" spans="2:58" x14ac:dyDescent="0.25">
      <c r="B55" s="5147"/>
      <c r="C55" s="421" t="s">
        <v>1458</v>
      </c>
      <c r="D55" s="421"/>
      <c r="E55" s="1667"/>
      <c r="F55" s="1106">
        <v>11743</v>
      </c>
      <c r="G55" s="1667"/>
      <c r="H55" s="1106">
        <v>15694</v>
      </c>
      <c r="I55" s="1673"/>
      <c r="J55" s="1673">
        <f t="shared" si="1"/>
        <v>27437</v>
      </c>
      <c r="K55" s="1667"/>
      <c r="L55" s="1106">
        <v>15689</v>
      </c>
      <c r="M55" s="1674">
        <f t="shared" si="50"/>
        <v>0</v>
      </c>
      <c r="N55" s="1674">
        <f t="shared" si="35"/>
        <v>43126</v>
      </c>
      <c r="O55" s="1667"/>
      <c r="P55" s="1106">
        <v>15795</v>
      </c>
      <c r="Q55" s="1673">
        <f t="shared" si="51"/>
        <v>0</v>
      </c>
      <c r="R55" s="1673">
        <f t="shared" si="36"/>
        <v>58921</v>
      </c>
      <c r="S55" s="1667"/>
      <c r="T55" s="1106">
        <v>12015</v>
      </c>
      <c r="U55" s="1673">
        <f t="shared" si="52"/>
        <v>0</v>
      </c>
      <c r="V55" s="1673">
        <f t="shared" si="37"/>
        <v>70936</v>
      </c>
      <c r="W55" s="1667"/>
      <c r="X55" s="1106">
        <v>19434</v>
      </c>
      <c r="Y55" s="1674">
        <f t="shared" ref="Y55:Y59" si="60">O55+S55+W55</f>
        <v>0</v>
      </c>
      <c r="Z55" s="1674">
        <f t="shared" si="38"/>
        <v>47244</v>
      </c>
      <c r="AA55" s="1820">
        <f t="shared" si="53"/>
        <v>0</v>
      </c>
      <c r="AB55" s="1820">
        <f t="shared" si="39"/>
        <v>90370</v>
      </c>
      <c r="AC55" s="1667"/>
      <c r="AD55" s="1106">
        <v>16002</v>
      </c>
      <c r="AE55" s="1673">
        <f t="shared" si="54"/>
        <v>0</v>
      </c>
      <c r="AF55" s="1673">
        <f t="shared" si="40"/>
        <v>106372</v>
      </c>
      <c r="AG55" s="1667"/>
      <c r="AH55" s="1106">
        <v>15937.16</v>
      </c>
      <c r="AI55" s="1673">
        <f t="shared" si="55"/>
        <v>0</v>
      </c>
      <c r="AJ55" s="1673">
        <f t="shared" si="41"/>
        <v>122309.16</v>
      </c>
      <c r="AK55" s="1667"/>
      <c r="AL55" s="1106">
        <v>8093</v>
      </c>
      <c r="AM55" s="1674">
        <f t="shared" ref="AM55:AM61" si="61">AC55+AG55+AK55</f>
        <v>0</v>
      </c>
      <c r="AN55" s="1674">
        <f t="shared" si="42"/>
        <v>40032.160000000003</v>
      </c>
      <c r="AO55" s="1673">
        <f t="shared" si="56"/>
        <v>0</v>
      </c>
      <c r="AP55" s="1673">
        <f t="shared" si="43"/>
        <v>130402.16</v>
      </c>
      <c r="AQ55" s="1667"/>
      <c r="AR55" s="1106">
        <v>11853</v>
      </c>
      <c r="AS55" s="1673">
        <f t="shared" si="11"/>
        <v>0</v>
      </c>
      <c r="AT55" s="1673">
        <f t="shared" si="11"/>
        <v>142255.16</v>
      </c>
      <c r="AU55" s="1667"/>
      <c r="AV55" s="1106">
        <v>11912</v>
      </c>
      <c r="AW55" s="1673">
        <f t="shared" si="12"/>
        <v>0</v>
      </c>
      <c r="AX55" s="1673">
        <f t="shared" si="12"/>
        <v>154167.16</v>
      </c>
      <c r="AY55" s="1667"/>
      <c r="AZ55" s="1106">
        <v>4053</v>
      </c>
      <c r="BA55" s="1674">
        <f t="shared" ref="BA55:BA61" si="62">AQ55+AU55+AY55</f>
        <v>0</v>
      </c>
      <c r="BB55" s="1674">
        <f t="shared" si="57"/>
        <v>27818</v>
      </c>
      <c r="BC55" s="1820">
        <f t="shared" si="58"/>
        <v>0</v>
      </c>
      <c r="BD55" s="1820">
        <f t="shared" si="58"/>
        <v>67850.16</v>
      </c>
      <c r="BE55" s="1673">
        <f t="shared" si="59"/>
        <v>0</v>
      </c>
      <c r="BF55" s="1673">
        <f t="shared" si="59"/>
        <v>158220.16</v>
      </c>
    </row>
    <row r="56" spans="2:58" x14ac:dyDescent="0.25">
      <c r="B56" s="5145" t="s">
        <v>1468</v>
      </c>
      <c r="C56" s="421" t="s">
        <v>1457</v>
      </c>
      <c r="D56" s="421"/>
      <c r="E56" s="421"/>
      <c r="F56" s="1106">
        <v>0</v>
      </c>
      <c r="G56" s="421"/>
      <c r="H56" s="1106">
        <v>1</v>
      </c>
      <c r="I56" s="1673"/>
      <c r="J56" s="1673">
        <f t="shared" si="1"/>
        <v>1</v>
      </c>
      <c r="K56" s="421"/>
      <c r="L56" s="1106">
        <v>1</v>
      </c>
      <c r="M56" s="1674">
        <f t="shared" si="50"/>
        <v>0</v>
      </c>
      <c r="N56" s="1674">
        <f t="shared" si="50"/>
        <v>2</v>
      </c>
      <c r="O56" s="421"/>
      <c r="P56" s="1106">
        <v>1</v>
      </c>
      <c r="Q56" s="1673">
        <f t="shared" si="51"/>
        <v>0</v>
      </c>
      <c r="R56" s="1673">
        <f t="shared" si="51"/>
        <v>3</v>
      </c>
      <c r="S56" s="421"/>
      <c r="T56" s="1106">
        <v>0</v>
      </c>
      <c r="U56" s="1673">
        <f t="shared" si="52"/>
        <v>0</v>
      </c>
      <c r="V56" s="1673">
        <f t="shared" si="52"/>
        <v>3</v>
      </c>
      <c r="W56" s="421"/>
      <c r="X56" s="1106">
        <v>0</v>
      </c>
      <c r="Y56" s="1674">
        <f t="shared" si="60"/>
        <v>0</v>
      </c>
      <c r="Z56" s="1674">
        <f t="shared" si="38"/>
        <v>1</v>
      </c>
      <c r="AA56" s="1820">
        <f t="shared" si="53"/>
        <v>0</v>
      </c>
      <c r="AB56" s="1820">
        <f t="shared" si="53"/>
        <v>3</v>
      </c>
      <c r="AC56" s="421"/>
      <c r="AD56" s="1106">
        <v>0</v>
      </c>
      <c r="AE56" s="1673">
        <f t="shared" si="54"/>
        <v>0</v>
      </c>
      <c r="AF56" s="1673">
        <f t="shared" si="54"/>
        <v>3</v>
      </c>
      <c r="AG56" s="421"/>
      <c r="AH56" s="1106">
        <v>1</v>
      </c>
      <c r="AI56" s="1673">
        <f t="shared" si="55"/>
        <v>0</v>
      </c>
      <c r="AJ56" s="1673">
        <f t="shared" si="55"/>
        <v>4</v>
      </c>
      <c r="AK56" s="421"/>
      <c r="AL56" s="1106">
        <v>1</v>
      </c>
      <c r="AM56" s="1674">
        <f t="shared" si="61"/>
        <v>0</v>
      </c>
      <c r="AN56" s="1674">
        <f t="shared" si="42"/>
        <v>2</v>
      </c>
      <c r="AO56" s="1673">
        <f t="shared" si="56"/>
        <v>0</v>
      </c>
      <c r="AP56" s="1673">
        <f t="shared" si="56"/>
        <v>5</v>
      </c>
      <c r="AQ56" s="421"/>
      <c r="AR56" s="1106">
        <v>0</v>
      </c>
      <c r="AS56" s="1673">
        <f t="shared" si="11"/>
        <v>0</v>
      </c>
      <c r="AT56" s="1673">
        <f t="shared" si="11"/>
        <v>5</v>
      </c>
      <c r="AU56" s="421"/>
      <c r="AV56" s="1106">
        <v>0</v>
      </c>
      <c r="AW56" s="1673">
        <f t="shared" si="12"/>
        <v>0</v>
      </c>
      <c r="AX56" s="1673">
        <f t="shared" si="12"/>
        <v>5</v>
      </c>
      <c r="AY56" s="421"/>
      <c r="AZ56" s="1106">
        <v>0</v>
      </c>
      <c r="BA56" s="1674">
        <f t="shared" si="62"/>
        <v>0</v>
      </c>
      <c r="BB56" s="1674">
        <f t="shared" si="57"/>
        <v>0</v>
      </c>
      <c r="BC56" s="1820">
        <f t="shared" si="58"/>
        <v>0</v>
      </c>
      <c r="BD56" s="1820">
        <f t="shared" si="58"/>
        <v>2</v>
      </c>
      <c r="BE56" s="1673">
        <f t="shared" si="59"/>
        <v>0</v>
      </c>
      <c r="BF56" s="1673">
        <f t="shared" si="59"/>
        <v>5</v>
      </c>
    </row>
    <row r="57" spans="2:58" x14ac:dyDescent="0.25">
      <c r="B57" s="5147"/>
      <c r="C57" s="421" t="s">
        <v>1458</v>
      </c>
      <c r="D57" s="421"/>
      <c r="E57" s="1667"/>
      <c r="F57" s="1106">
        <v>0</v>
      </c>
      <c r="G57" s="1667"/>
      <c r="H57" s="1106">
        <v>3780</v>
      </c>
      <c r="I57" s="1673"/>
      <c r="J57" s="1673">
        <f t="shared" si="1"/>
        <v>3780</v>
      </c>
      <c r="K57" s="1667"/>
      <c r="L57" s="1106">
        <v>3760</v>
      </c>
      <c r="M57" s="1674">
        <f t="shared" si="50"/>
        <v>0</v>
      </c>
      <c r="N57" s="1674">
        <f t="shared" si="50"/>
        <v>7540</v>
      </c>
      <c r="O57" s="1667"/>
      <c r="P57" s="1106">
        <v>3933</v>
      </c>
      <c r="Q57" s="1673">
        <f t="shared" si="51"/>
        <v>0</v>
      </c>
      <c r="R57" s="1673">
        <f t="shared" si="51"/>
        <v>11473</v>
      </c>
      <c r="S57" s="1667"/>
      <c r="T57" s="1106">
        <v>0</v>
      </c>
      <c r="U57" s="1673">
        <f t="shared" si="52"/>
        <v>0</v>
      </c>
      <c r="V57" s="1673">
        <f t="shared" si="52"/>
        <v>11473</v>
      </c>
      <c r="W57" s="1667"/>
      <c r="X57" s="1106">
        <v>0</v>
      </c>
      <c r="Y57" s="1674">
        <f t="shared" si="60"/>
        <v>0</v>
      </c>
      <c r="Z57" s="1674">
        <f t="shared" si="38"/>
        <v>3933</v>
      </c>
      <c r="AA57" s="1820">
        <f t="shared" si="53"/>
        <v>0</v>
      </c>
      <c r="AB57" s="1820">
        <f t="shared" si="53"/>
        <v>11473</v>
      </c>
      <c r="AC57" s="1667"/>
      <c r="AD57" s="1106">
        <v>0</v>
      </c>
      <c r="AE57" s="1673">
        <f t="shared" si="54"/>
        <v>0</v>
      </c>
      <c r="AF57" s="1673">
        <f t="shared" si="54"/>
        <v>11473</v>
      </c>
      <c r="AG57" s="1667"/>
      <c r="AH57" s="1106">
        <v>3995.4</v>
      </c>
      <c r="AI57" s="1673">
        <f t="shared" si="55"/>
        <v>0</v>
      </c>
      <c r="AJ57" s="1673">
        <f t="shared" si="55"/>
        <v>15468.4</v>
      </c>
      <c r="AK57" s="1667"/>
      <c r="AL57" s="1106">
        <v>4012.6</v>
      </c>
      <c r="AM57" s="1674">
        <f t="shared" si="61"/>
        <v>0</v>
      </c>
      <c r="AN57" s="1674">
        <f t="shared" si="42"/>
        <v>8008</v>
      </c>
      <c r="AO57" s="1673">
        <f t="shared" si="56"/>
        <v>0</v>
      </c>
      <c r="AP57" s="1673">
        <f t="shared" si="56"/>
        <v>19481</v>
      </c>
      <c r="AQ57" s="1667"/>
      <c r="AR57" s="1106">
        <v>0</v>
      </c>
      <c r="AS57" s="1673">
        <f t="shared" si="11"/>
        <v>0</v>
      </c>
      <c r="AT57" s="1673">
        <f t="shared" si="11"/>
        <v>19481</v>
      </c>
      <c r="AU57" s="1667"/>
      <c r="AV57" s="1106">
        <v>0</v>
      </c>
      <c r="AW57" s="1673">
        <f t="shared" si="12"/>
        <v>0</v>
      </c>
      <c r="AX57" s="1673">
        <f t="shared" si="12"/>
        <v>19481</v>
      </c>
      <c r="AY57" s="1667"/>
      <c r="AZ57" s="1106">
        <v>0</v>
      </c>
      <c r="BA57" s="1674">
        <f t="shared" si="62"/>
        <v>0</v>
      </c>
      <c r="BB57" s="1674">
        <f t="shared" si="57"/>
        <v>0</v>
      </c>
      <c r="BC57" s="1820">
        <f t="shared" si="58"/>
        <v>0</v>
      </c>
      <c r="BD57" s="1820">
        <f t="shared" si="58"/>
        <v>8008</v>
      </c>
      <c r="BE57" s="1673">
        <f t="shared" si="59"/>
        <v>0</v>
      </c>
      <c r="BF57" s="1673">
        <f t="shared" si="59"/>
        <v>19481</v>
      </c>
    </row>
    <row r="58" spans="2:58" x14ac:dyDescent="0.25">
      <c r="B58" s="5145" t="s">
        <v>1465</v>
      </c>
      <c r="C58" s="421" t="s">
        <v>1457</v>
      </c>
      <c r="D58" s="421"/>
      <c r="E58" s="1667"/>
      <c r="F58" s="1106">
        <v>2</v>
      </c>
      <c r="G58" s="1667"/>
      <c r="H58" s="1106">
        <v>4</v>
      </c>
      <c r="I58" s="1673"/>
      <c r="J58" s="1673">
        <f t="shared" si="1"/>
        <v>6</v>
      </c>
      <c r="K58" s="1667"/>
      <c r="L58" s="1106">
        <v>3</v>
      </c>
      <c r="M58" s="1674">
        <f t="shared" si="50"/>
        <v>0</v>
      </c>
      <c r="N58" s="1674">
        <f t="shared" si="50"/>
        <v>9</v>
      </c>
      <c r="O58" s="1667"/>
      <c r="P58" s="1106">
        <v>4</v>
      </c>
      <c r="Q58" s="1673">
        <f t="shared" si="51"/>
        <v>0</v>
      </c>
      <c r="R58" s="1673">
        <f t="shared" si="51"/>
        <v>13</v>
      </c>
      <c r="S58" s="1667"/>
      <c r="T58" s="1106">
        <v>4</v>
      </c>
      <c r="U58" s="1673">
        <f t="shared" si="52"/>
        <v>0</v>
      </c>
      <c r="V58" s="1673">
        <f t="shared" si="52"/>
        <v>17</v>
      </c>
      <c r="W58" s="1667"/>
      <c r="X58" s="1106">
        <v>5</v>
      </c>
      <c r="Y58" s="1674">
        <f t="shared" si="60"/>
        <v>0</v>
      </c>
      <c r="Z58" s="1674">
        <f t="shared" si="38"/>
        <v>13</v>
      </c>
      <c r="AA58" s="1820">
        <f t="shared" si="53"/>
        <v>0</v>
      </c>
      <c r="AB58" s="1820">
        <f t="shared" si="53"/>
        <v>22</v>
      </c>
      <c r="AC58" s="1667"/>
      <c r="AD58" s="1106">
        <v>3</v>
      </c>
      <c r="AE58" s="1673">
        <f t="shared" si="54"/>
        <v>0</v>
      </c>
      <c r="AF58" s="1673">
        <f t="shared" si="54"/>
        <v>25</v>
      </c>
      <c r="AG58" s="1667"/>
      <c r="AH58" s="1106">
        <v>5</v>
      </c>
      <c r="AI58" s="1673">
        <f t="shared" si="55"/>
        <v>0</v>
      </c>
      <c r="AJ58" s="1673">
        <f t="shared" si="55"/>
        <v>30</v>
      </c>
      <c r="AK58" s="1667"/>
      <c r="AL58" s="1106">
        <v>4</v>
      </c>
      <c r="AM58" s="1674">
        <f t="shared" si="61"/>
        <v>0</v>
      </c>
      <c r="AN58" s="1674">
        <f t="shared" si="42"/>
        <v>12</v>
      </c>
      <c r="AO58" s="1673">
        <f t="shared" si="56"/>
        <v>0</v>
      </c>
      <c r="AP58" s="1673">
        <f t="shared" si="56"/>
        <v>34</v>
      </c>
      <c r="AQ58" s="1667"/>
      <c r="AR58" s="1106">
        <v>5</v>
      </c>
      <c r="AS58" s="1673">
        <f t="shared" si="11"/>
        <v>0</v>
      </c>
      <c r="AT58" s="1673">
        <f t="shared" si="11"/>
        <v>39</v>
      </c>
      <c r="AU58" s="1667"/>
      <c r="AV58" s="1106">
        <v>8</v>
      </c>
      <c r="AW58" s="1673">
        <f t="shared" si="12"/>
        <v>0</v>
      </c>
      <c r="AX58" s="1673">
        <f t="shared" si="12"/>
        <v>47</v>
      </c>
      <c r="AY58" s="1667"/>
      <c r="AZ58" s="1106">
        <v>7</v>
      </c>
      <c r="BA58" s="1674">
        <f t="shared" si="62"/>
        <v>0</v>
      </c>
      <c r="BB58" s="1674">
        <f t="shared" si="57"/>
        <v>20</v>
      </c>
      <c r="BC58" s="1820">
        <f t="shared" si="58"/>
        <v>0</v>
      </c>
      <c r="BD58" s="1820">
        <f t="shared" si="58"/>
        <v>32</v>
      </c>
      <c r="BE58" s="1673">
        <f t="shared" si="59"/>
        <v>0</v>
      </c>
      <c r="BF58" s="1673">
        <f t="shared" si="59"/>
        <v>54</v>
      </c>
    </row>
    <row r="59" spans="2:58" x14ac:dyDescent="0.25">
      <c r="B59" s="5147"/>
      <c r="C59" s="421" t="s">
        <v>1458</v>
      </c>
      <c r="D59" s="421"/>
      <c r="E59" s="1667"/>
      <c r="F59" s="1106">
        <v>7873</v>
      </c>
      <c r="G59" s="1667"/>
      <c r="H59" s="1106">
        <v>15330</v>
      </c>
      <c r="I59" s="1673"/>
      <c r="J59" s="1673">
        <f t="shared" si="1"/>
        <v>23203</v>
      </c>
      <c r="K59" s="1667"/>
      <c r="L59" s="1106">
        <v>11064</v>
      </c>
      <c r="M59" s="1674">
        <f t="shared" si="50"/>
        <v>0</v>
      </c>
      <c r="N59" s="1674">
        <f t="shared" si="50"/>
        <v>34267</v>
      </c>
      <c r="O59" s="1667"/>
      <c r="P59" s="1106">
        <v>15118</v>
      </c>
      <c r="Q59" s="1673">
        <f t="shared" si="51"/>
        <v>0</v>
      </c>
      <c r="R59" s="1673">
        <f t="shared" si="51"/>
        <v>49385</v>
      </c>
      <c r="S59" s="1667"/>
      <c r="T59" s="1106">
        <v>15294</v>
      </c>
      <c r="U59" s="1673">
        <f t="shared" si="52"/>
        <v>0</v>
      </c>
      <c r="V59" s="1673">
        <f t="shared" si="52"/>
        <v>64679</v>
      </c>
      <c r="W59" s="1667"/>
      <c r="X59" s="1106">
        <v>18641</v>
      </c>
      <c r="Y59" s="1674">
        <f t="shared" si="60"/>
        <v>0</v>
      </c>
      <c r="Z59" s="1674">
        <f t="shared" si="38"/>
        <v>49053</v>
      </c>
      <c r="AA59" s="1820">
        <f t="shared" si="53"/>
        <v>0</v>
      </c>
      <c r="AB59" s="1820">
        <f t="shared" si="53"/>
        <v>83320</v>
      </c>
      <c r="AC59" s="1667"/>
      <c r="AD59" s="1106">
        <v>12084</v>
      </c>
      <c r="AE59" s="1673">
        <f t="shared" si="54"/>
        <v>0</v>
      </c>
      <c r="AF59" s="1673">
        <f t="shared" si="54"/>
        <v>95404</v>
      </c>
      <c r="AG59" s="1667"/>
      <c r="AH59" s="1106">
        <v>18058</v>
      </c>
      <c r="AI59" s="1673">
        <f t="shared" si="55"/>
        <v>0</v>
      </c>
      <c r="AJ59" s="1673">
        <f t="shared" si="55"/>
        <v>113462</v>
      </c>
      <c r="AK59" s="1667"/>
      <c r="AL59" s="1106">
        <v>15586</v>
      </c>
      <c r="AM59" s="1674">
        <f t="shared" si="61"/>
        <v>0</v>
      </c>
      <c r="AN59" s="1674">
        <f t="shared" si="42"/>
        <v>45728</v>
      </c>
      <c r="AO59" s="1673">
        <f t="shared" si="56"/>
        <v>0</v>
      </c>
      <c r="AP59" s="1673">
        <f t="shared" si="56"/>
        <v>129048</v>
      </c>
      <c r="AQ59" s="1667"/>
      <c r="AR59" s="1106">
        <v>16408</v>
      </c>
      <c r="AS59" s="1673">
        <f t="shared" si="11"/>
        <v>0</v>
      </c>
      <c r="AT59" s="1673">
        <f t="shared" si="11"/>
        <v>145456</v>
      </c>
      <c r="AU59" s="1667"/>
      <c r="AV59" s="1106">
        <v>27023</v>
      </c>
      <c r="AW59" s="1673">
        <f t="shared" si="12"/>
        <v>0</v>
      </c>
      <c r="AX59" s="1673">
        <f t="shared" si="12"/>
        <v>172479</v>
      </c>
      <c r="AY59" s="1667"/>
      <c r="AZ59" s="1106">
        <v>24518</v>
      </c>
      <c r="BA59" s="1674">
        <f t="shared" si="62"/>
        <v>0</v>
      </c>
      <c r="BB59" s="1674">
        <f t="shared" si="57"/>
        <v>67949</v>
      </c>
      <c r="BC59" s="1820">
        <f t="shared" si="58"/>
        <v>0</v>
      </c>
      <c r="BD59" s="1820">
        <f t="shared" si="58"/>
        <v>113677</v>
      </c>
      <c r="BE59" s="1673">
        <f t="shared" si="59"/>
        <v>0</v>
      </c>
      <c r="BF59" s="1673">
        <f t="shared" si="59"/>
        <v>196997</v>
      </c>
    </row>
    <row r="60" spans="2:58" x14ac:dyDescent="0.25">
      <c r="B60" s="5145" t="s">
        <v>1653</v>
      </c>
      <c r="C60" s="421" t="s">
        <v>1457</v>
      </c>
      <c r="D60" s="421"/>
      <c r="E60" s="1667"/>
      <c r="F60" s="1106"/>
      <c r="G60" s="1667"/>
      <c r="H60" s="1106"/>
      <c r="I60" s="1673"/>
      <c r="J60" s="1673">
        <f t="shared" si="1"/>
        <v>0</v>
      </c>
      <c r="K60" s="1667"/>
      <c r="L60" s="1106"/>
      <c r="M60" s="1674"/>
      <c r="N60" s="1674">
        <f t="shared" si="50"/>
        <v>0</v>
      </c>
      <c r="O60" s="1667"/>
      <c r="P60" s="1106"/>
      <c r="Q60" s="1673"/>
      <c r="R60" s="1673">
        <f t="shared" si="51"/>
        <v>0</v>
      </c>
      <c r="S60" s="1667"/>
      <c r="T60" s="1106"/>
      <c r="U60" s="1673"/>
      <c r="V60" s="1673">
        <f t="shared" si="52"/>
        <v>0</v>
      </c>
      <c r="W60" s="1667"/>
      <c r="X60" s="1106"/>
      <c r="Y60" s="1674"/>
      <c r="Z60" s="1674">
        <f t="shared" si="38"/>
        <v>0</v>
      </c>
      <c r="AA60" s="1820">
        <f t="shared" si="53"/>
        <v>0</v>
      </c>
      <c r="AB60" s="1820">
        <f t="shared" si="53"/>
        <v>0</v>
      </c>
      <c r="AC60" s="1667"/>
      <c r="AD60" s="1106">
        <v>1</v>
      </c>
      <c r="AE60" s="1673"/>
      <c r="AF60" s="1673">
        <f t="shared" si="54"/>
        <v>1</v>
      </c>
      <c r="AG60" s="1667"/>
      <c r="AH60" s="1106">
        <v>2</v>
      </c>
      <c r="AI60" s="1673">
        <f t="shared" si="55"/>
        <v>0</v>
      </c>
      <c r="AJ60" s="1673">
        <f t="shared" si="55"/>
        <v>3</v>
      </c>
      <c r="AK60" s="1667"/>
      <c r="AL60" s="1106">
        <v>2</v>
      </c>
      <c r="AM60" s="1674">
        <f t="shared" si="61"/>
        <v>0</v>
      </c>
      <c r="AN60" s="1674">
        <f t="shared" si="42"/>
        <v>5</v>
      </c>
      <c r="AO60" s="1673">
        <f t="shared" si="56"/>
        <v>0</v>
      </c>
      <c r="AP60" s="1673">
        <f t="shared" si="56"/>
        <v>5</v>
      </c>
      <c r="AQ60" s="1667"/>
      <c r="AR60" s="1106">
        <v>0</v>
      </c>
      <c r="AS60" s="1673">
        <f t="shared" si="11"/>
        <v>0</v>
      </c>
      <c r="AT60" s="1673">
        <f t="shared" si="11"/>
        <v>5</v>
      </c>
      <c r="AU60" s="1667"/>
      <c r="AV60" s="1106">
        <v>2</v>
      </c>
      <c r="AW60" s="1673">
        <f t="shared" si="12"/>
        <v>0</v>
      </c>
      <c r="AX60" s="1673">
        <f t="shared" si="12"/>
        <v>7</v>
      </c>
      <c r="AY60" s="1667"/>
      <c r="AZ60" s="1106">
        <v>2</v>
      </c>
      <c r="BA60" s="1674">
        <f t="shared" si="62"/>
        <v>0</v>
      </c>
      <c r="BB60" s="1674">
        <f t="shared" si="57"/>
        <v>4</v>
      </c>
      <c r="BC60" s="1820">
        <f t="shared" si="58"/>
        <v>0</v>
      </c>
      <c r="BD60" s="1820">
        <f t="shared" si="58"/>
        <v>9</v>
      </c>
      <c r="BE60" s="1673">
        <f t="shared" si="59"/>
        <v>0</v>
      </c>
      <c r="BF60" s="1673">
        <f t="shared" si="59"/>
        <v>9</v>
      </c>
    </row>
    <row r="61" spans="2:58" x14ac:dyDescent="0.25">
      <c r="B61" s="5147"/>
      <c r="C61" s="421" t="s">
        <v>1458</v>
      </c>
      <c r="D61" s="421"/>
      <c r="E61" s="1667"/>
      <c r="F61" s="1106"/>
      <c r="G61" s="1667"/>
      <c r="H61" s="1106"/>
      <c r="I61" s="1673"/>
      <c r="J61" s="1673">
        <f t="shared" si="1"/>
        <v>0</v>
      </c>
      <c r="K61" s="1667"/>
      <c r="L61" s="1106"/>
      <c r="M61" s="1674"/>
      <c r="N61" s="1674">
        <f t="shared" si="50"/>
        <v>0</v>
      </c>
      <c r="O61" s="1667"/>
      <c r="P61" s="1106"/>
      <c r="Q61" s="1673"/>
      <c r="R61" s="1673">
        <f t="shared" si="51"/>
        <v>0</v>
      </c>
      <c r="S61" s="1667"/>
      <c r="T61" s="1106"/>
      <c r="U61" s="1673"/>
      <c r="V61" s="1673">
        <f t="shared" si="52"/>
        <v>0</v>
      </c>
      <c r="W61" s="1667"/>
      <c r="X61" s="1106"/>
      <c r="Y61" s="1674"/>
      <c r="Z61" s="1674">
        <f t="shared" si="38"/>
        <v>0</v>
      </c>
      <c r="AA61" s="1820">
        <f t="shared" si="53"/>
        <v>0</v>
      </c>
      <c r="AB61" s="1820">
        <f t="shared" si="53"/>
        <v>0</v>
      </c>
      <c r="AC61" s="1667"/>
      <c r="AD61" s="1106">
        <v>3892</v>
      </c>
      <c r="AE61" s="1673"/>
      <c r="AF61" s="1673">
        <f t="shared" si="54"/>
        <v>3892</v>
      </c>
      <c r="AG61" s="1667"/>
      <c r="AH61" s="1106">
        <v>7800</v>
      </c>
      <c r="AI61" s="1673">
        <f t="shared" si="55"/>
        <v>0</v>
      </c>
      <c r="AJ61" s="1673">
        <f t="shared" si="55"/>
        <v>11692</v>
      </c>
      <c r="AK61" s="1667"/>
      <c r="AL61" s="1106">
        <v>7972</v>
      </c>
      <c r="AM61" s="1674">
        <f t="shared" si="61"/>
        <v>0</v>
      </c>
      <c r="AN61" s="1674">
        <f t="shared" si="42"/>
        <v>19664</v>
      </c>
      <c r="AO61" s="1673">
        <f t="shared" si="56"/>
        <v>0</v>
      </c>
      <c r="AP61" s="1673">
        <f t="shared" si="56"/>
        <v>19664</v>
      </c>
      <c r="AQ61" s="1667"/>
      <c r="AR61" s="1106">
        <v>0</v>
      </c>
      <c r="AS61" s="1673">
        <f t="shared" si="11"/>
        <v>0</v>
      </c>
      <c r="AT61" s="1673">
        <f t="shared" si="11"/>
        <v>19664</v>
      </c>
      <c r="AU61" s="1667"/>
      <c r="AV61" s="1106">
        <v>7839</v>
      </c>
      <c r="AW61" s="1673">
        <f t="shared" si="12"/>
        <v>0</v>
      </c>
      <c r="AX61" s="1673">
        <f t="shared" si="12"/>
        <v>27503</v>
      </c>
      <c r="AY61" s="1667"/>
      <c r="AZ61" s="1106">
        <v>8054</v>
      </c>
      <c r="BA61" s="1674">
        <f t="shared" si="62"/>
        <v>0</v>
      </c>
      <c r="BB61" s="1674">
        <f t="shared" si="57"/>
        <v>15893</v>
      </c>
      <c r="BC61" s="1820">
        <f t="shared" si="58"/>
        <v>0</v>
      </c>
      <c r="BD61" s="1820">
        <f t="shared" si="58"/>
        <v>35557</v>
      </c>
      <c r="BE61" s="1673">
        <f t="shared" si="59"/>
        <v>0</v>
      </c>
      <c r="BF61" s="1673">
        <f t="shared" si="59"/>
        <v>35557</v>
      </c>
    </row>
    <row r="62" spans="2:58" x14ac:dyDescent="0.25">
      <c r="B62" s="5159" t="s">
        <v>2</v>
      </c>
      <c r="C62" s="1678" t="s">
        <v>1457</v>
      </c>
      <c r="D62" s="1679"/>
      <c r="E62" s="1680"/>
      <c r="F62" s="1680">
        <f>+F54+F56+F58+F60</f>
        <v>5</v>
      </c>
      <c r="G62" s="1680"/>
      <c r="H62" s="1680">
        <f>+H54+H56+H58+H60</f>
        <v>9</v>
      </c>
      <c r="I62" s="1680"/>
      <c r="J62" s="1680">
        <f t="shared" si="1"/>
        <v>14</v>
      </c>
      <c r="K62" s="1680"/>
      <c r="L62" s="1680">
        <f>+L54+L56+L58+L60</f>
        <v>8</v>
      </c>
      <c r="M62" s="1680">
        <f t="shared" si="50"/>
        <v>0</v>
      </c>
      <c r="N62" s="1680">
        <f t="shared" si="50"/>
        <v>22</v>
      </c>
      <c r="O62" s="1680"/>
      <c r="P62" s="1680">
        <f>+P54+P56+P58+P60</f>
        <v>9</v>
      </c>
      <c r="Q62" s="1680">
        <f t="shared" si="51"/>
        <v>0</v>
      </c>
      <c r="R62" s="1680">
        <f t="shared" si="51"/>
        <v>31</v>
      </c>
      <c r="S62" s="1680"/>
      <c r="T62" s="1680">
        <f>+T54+T56+T58+T60</f>
        <v>7</v>
      </c>
      <c r="U62" s="1680">
        <f t="shared" si="52"/>
        <v>0</v>
      </c>
      <c r="V62" s="1680">
        <f t="shared" si="52"/>
        <v>38</v>
      </c>
      <c r="W62" s="1680"/>
      <c r="X62" s="1680">
        <f>+X54+X56+X58+X60</f>
        <v>10</v>
      </c>
      <c r="Y62" s="1680">
        <f>O62+S62+W62</f>
        <v>0</v>
      </c>
      <c r="Z62" s="1680">
        <f t="shared" si="38"/>
        <v>26</v>
      </c>
      <c r="AA62" s="1680">
        <f t="shared" si="53"/>
        <v>0</v>
      </c>
      <c r="AB62" s="1680">
        <f t="shared" si="53"/>
        <v>48</v>
      </c>
      <c r="AC62" s="1680"/>
      <c r="AD62" s="1680">
        <f>+AD54+AD56+AD58+AD60</f>
        <v>8</v>
      </c>
      <c r="AE62" s="1680">
        <f t="shared" si="54"/>
        <v>0</v>
      </c>
      <c r="AF62" s="1680">
        <f t="shared" si="54"/>
        <v>56</v>
      </c>
      <c r="AG62" s="1680"/>
      <c r="AH62" s="1680">
        <f>+AH54+AH56+AH58+AH60</f>
        <v>12</v>
      </c>
      <c r="AI62" s="1680">
        <f t="shared" si="55"/>
        <v>0</v>
      </c>
      <c r="AJ62" s="1680">
        <f t="shared" si="55"/>
        <v>68</v>
      </c>
      <c r="AK62" s="1680"/>
      <c r="AL62" s="1680">
        <f>+AL54+AL56+AL58+AL60</f>
        <v>9</v>
      </c>
      <c r="AM62" s="1680">
        <f>AC62+AG62+AK62</f>
        <v>0</v>
      </c>
      <c r="AN62" s="1680">
        <f t="shared" si="42"/>
        <v>29</v>
      </c>
      <c r="AO62" s="1680">
        <f t="shared" si="56"/>
        <v>0</v>
      </c>
      <c r="AP62" s="1680">
        <f t="shared" si="56"/>
        <v>77</v>
      </c>
      <c r="AQ62" s="1680"/>
      <c r="AR62" s="1680">
        <f>+AR54+AR56+AR58+AR60</f>
        <v>8</v>
      </c>
      <c r="AS62" s="1680">
        <f t="shared" si="11"/>
        <v>0</v>
      </c>
      <c r="AT62" s="1680">
        <f t="shared" si="11"/>
        <v>85</v>
      </c>
      <c r="AU62" s="1680"/>
      <c r="AV62" s="1680">
        <f>+AV54+AV56+AV58+AV60</f>
        <v>13</v>
      </c>
      <c r="AW62" s="1680">
        <f t="shared" si="12"/>
        <v>0</v>
      </c>
      <c r="AX62" s="1680">
        <f t="shared" si="12"/>
        <v>98</v>
      </c>
      <c r="AY62" s="1680"/>
      <c r="AZ62" s="1680">
        <f>+AZ54+AZ56+AZ58+AZ60</f>
        <v>10</v>
      </c>
      <c r="BA62" s="1680">
        <f>AQ62+AU62+AY62</f>
        <v>0</v>
      </c>
      <c r="BB62" s="1680">
        <f t="shared" si="57"/>
        <v>31</v>
      </c>
      <c r="BC62" s="1680">
        <f t="shared" si="58"/>
        <v>0</v>
      </c>
      <c r="BD62" s="1680">
        <f t="shared" si="58"/>
        <v>60</v>
      </c>
      <c r="BE62" s="1680">
        <f t="shared" si="59"/>
        <v>0</v>
      </c>
      <c r="BF62" s="1680">
        <f t="shared" si="59"/>
        <v>108</v>
      </c>
    </row>
    <row r="63" spans="2:58" x14ac:dyDescent="0.25">
      <c r="B63" s="5160"/>
      <c r="C63" s="1678" t="s">
        <v>1458</v>
      </c>
      <c r="D63" s="1679"/>
      <c r="E63" s="1680">
        <v>20737.881456282961</v>
      </c>
      <c r="F63" s="1680">
        <f>+F55+F57+F59+F61</f>
        <v>19616</v>
      </c>
      <c r="G63" s="1680">
        <v>21103.849937491155</v>
      </c>
      <c r="H63" s="1680">
        <f>+H55+H57+H59+H61</f>
        <v>34804</v>
      </c>
      <c r="I63" s="1680"/>
      <c r="J63" s="1680">
        <f t="shared" si="1"/>
        <v>54420</v>
      </c>
      <c r="K63" s="1680">
        <v>25917.776201084154</v>
      </c>
      <c r="L63" s="1680">
        <f>+L55+L57+L59+L61</f>
        <v>30513</v>
      </c>
      <c r="M63" s="1680">
        <f t="shared" si="50"/>
        <v>25917.776201084154</v>
      </c>
      <c r="N63" s="1680">
        <f t="shared" si="50"/>
        <v>84933</v>
      </c>
      <c r="O63" s="1680">
        <v>26794.84863228161</v>
      </c>
      <c r="P63" s="1680">
        <f>+P55+P57+P59+P61</f>
        <v>34846</v>
      </c>
      <c r="Q63" s="1680">
        <f t="shared" si="51"/>
        <v>52712.624833365764</v>
      </c>
      <c r="R63" s="1680">
        <f t="shared" si="51"/>
        <v>119779</v>
      </c>
      <c r="S63" s="1680">
        <v>26783.813762091813</v>
      </c>
      <c r="T63" s="1680">
        <f>+T55+T57+T59+T61</f>
        <v>27309</v>
      </c>
      <c r="U63" s="1680">
        <f t="shared" si="52"/>
        <v>79496.438595457585</v>
      </c>
      <c r="V63" s="1680">
        <f t="shared" si="52"/>
        <v>147088</v>
      </c>
      <c r="W63" s="1680">
        <v>26051.286787432487</v>
      </c>
      <c r="X63" s="1680">
        <f>+X55+X57+X59+X61</f>
        <v>38075</v>
      </c>
      <c r="Y63" s="1680">
        <f>O63+S63+W63</f>
        <v>79629.949181805918</v>
      </c>
      <c r="Z63" s="1680">
        <f t="shared" si="38"/>
        <v>100230</v>
      </c>
      <c r="AA63" s="1680">
        <f t="shared" si="53"/>
        <v>105547.72538289007</v>
      </c>
      <c r="AB63" s="1680">
        <f t="shared" si="53"/>
        <v>185163</v>
      </c>
      <c r="AC63" s="1680">
        <v>26933.259064614278</v>
      </c>
      <c r="AD63" s="1680">
        <f>+AD55+AD57+AD59+AD61</f>
        <v>31978</v>
      </c>
      <c r="AE63" s="1680">
        <f t="shared" si="54"/>
        <v>132480.98444750434</v>
      </c>
      <c r="AF63" s="1680">
        <f t="shared" si="54"/>
        <v>217141</v>
      </c>
      <c r="AG63" s="1680"/>
      <c r="AH63" s="1680">
        <f>+AH55+AH57+AH59+AH61</f>
        <v>45790.559999999998</v>
      </c>
      <c r="AI63" s="1680">
        <f t="shared" si="55"/>
        <v>132480.98444750434</v>
      </c>
      <c r="AJ63" s="1680">
        <f t="shared" si="55"/>
        <v>262931.56</v>
      </c>
      <c r="AK63" s="1680"/>
      <c r="AL63" s="1680">
        <f>+AL55+AL57+AL59+AL61</f>
        <v>35663.599999999999</v>
      </c>
      <c r="AM63" s="1680">
        <f>AC63+AG63+AK63</f>
        <v>26933.259064614278</v>
      </c>
      <c r="AN63" s="1680">
        <f t="shared" si="42"/>
        <v>113432.16</v>
      </c>
      <c r="AO63" s="1680">
        <f t="shared" si="56"/>
        <v>132480.98444750434</v>
      </c>
      <c r="AP63" s="1680">
        <f t="shared" si="56"/>
        <v>298595.15999999997</v>
      </c>
      <c r="AQ63" s="1680"/>
      <c r="AR63" s="1680">
        <f>+AR55+AR57+AR59+AR61</f>
        <v>28261</v>
      </c>
      <c r="AS63" s="1680">
        <f t="shared" si="11"/>
        <v>132480.98444750434</v>
      </c>
      <c r="AT63" s="1680">
        <f t="shared" si="11"/>
        <v>326856.15999999997</v>
      </c>
      <c r="AU63" s="1680"/>
      <c r="AV63" s="1680">
        <f>+AV55+AV57+AV59+AV61</f>
        <v>46774</v>
      </c>
      <c r="AW63" s="1680">
        <f t="shared" si="12"/>
        <v>132480.98444750434</v>
      </c>
      <c r="AX63" s="1680">
        <f t="shared" si="12"/>
        <v>373630.16</v>
      </c>
      <c r="AY63" s="1680"/>
      <c r="AZ63" s="1680">
        <f>+AZ55+AZ57+AZ59+AZ61</f>
        <v>36625</v>
      </c>
      <c r="BA63" s="1680">
        <f>AQ63+AU63+AY63</f>
        <v>0</v>
      </c>
      <c r="BB63" s="1680">
        <f t="shared" si="57"/>
        <v>111660</v>
      </c>
      <c r="BC63" s="1680">
        <f t="shared" si="58"/>
        <v>26933.259064614278</v>
      </c>
      <c r="BD63" s="1680">
        <f t="shared" si="58"/>
        <v>225092.16</v>
      </c>
      <c r="BE63" s="1680">
        <f t="shared" si="59"/>
        <v>132480.98444750434</v>
      </c>
      <c r="BF63" s="1680">
        <f t="shared" si="59"/>
        <v>410255.16</v>
      </c>
    </row>
    <row r="64" spans="2:58" x14ac:dyDescent="0.25">
      <c r="B64" s="1769"/>
      <c r="C64" s="1081"/>
      <c r="D64" s="1081"/>
      <c r="E64" s="1081"/>
      <c r="F64" s="1081"/>
      <c r="G64" s="1081"/>
      <c r="H64" s="1081"/>
      <c r="I64" s="1081"/>
      <c r="J64" s="1081"/>
      <c r="K64" s="1081"/>
      <c r="L64" s="1081"/>
      <c r="M64" s="1081"/>
      <c r="N64" s="1081"/>
      <c r="O64" s="1081"/>
      <c r="P64" s="1081"/>
      <c r="Q64" s="1081"/>
      <c r="R64" s="1081"/>
      <c r="S64" s="1081"/>
      <c r="T64" s="1081"/>
      <c r="U64" s="1081"/>
      <c r="V64" s="1081"/>
      <c r="W64" s="1081"/>
      <c r="X64" s="1081"/>
      <c r="Y64" s="1081"/>
      <c r="Z64" s="1081"/>
      <c r="AA64" s="1081"/>
      <c r="AB64" s="1081"/>
      <c r="AC64" s="1081"/>
      <c r="AD64" s="1081"/>
      <c r="AE64" s="1081"/>
      <c r="AF64" s="1081"/>
      <c r="AG64" s="1081"/>
      <c r="AH64" s="1081"/>
      <c r="AI64" s="1081"/>
      <c r="AJ64" s="1081"/>
      <c r="AK64" s="1081"/>
      <c r="AL64" s="1081"/>
      <c r="AM64" s="1081"/>
      <c r="AN64" s="1081"/>
      <c r="AO64" s="1081"/>
      <c r="AP64" s="1081"/>
      <c r="AQ64" s="1081"/>
      <c r="AR64" s="1081"/>
      <c r="AS64" s="1081"/>
      <c r="AT64" s="1081"/>
      <c r="AU64" s="1081"/>
      <c r="AV64" s="1081"/>
      <c r="AW64" s="1081"/>
      <c r="AX64" s="1081"/>
      <c r="AY64" s="1081"/>
      <c r="AZ64" s="1081"/>
      <c r="BA64" s="1081"/>
      <c r="BB64" s="1081"/>
      <c r="BC64" s="1081"/>
      <c r="BD64" s="1081"/>
      <c r="BE64" s="1081"/>
      <c r="BF64" s="1081"/>
    </row>
    <row r="65" spans="2:58" ht="18.75" x14ac:dyDescent="0.3">
      <c r="B65" s="1768" t="s">
        <v>1469</v>
      </c>
      <c r="C65" s="1081"/>
      <c r="D65" s="1081"/>
      <c r="E65" s="1081"/>
      <c r="F65" s="1081"/>
      <c r="G65" s="1081"/>
      <c r="H65" s="1081"/>
      <c r="I65" s="1081"/>
      <c r="J65" s="1081"/>
      <c r="K65" s="1081"/>
      <c r="L65" s="1081"/>
      <c r="M65" s="1081"/>
      <c r="N65" s="1081"/>
      <c r="O65" s="1081"/>
      <c r="P65" s="1081"/>
      <c r="Q65" s="1081"/>
      <c r="R65" s="1081"/>
      <c r="S65" s="1081"/>
      <c r="T65" s="1081"/>
      <c r="U65" s="1081"/>
      <c r="V65" s="1081"/>
      <c r="W65" s="1081"/>
      <c r="X65" s="1081"/>
      <c r="Y65" s="1081"/>
      <c r="Z65" s="1081"/>
      <c r="AA65" s="1081"/>
      <c r="AB65" s="1081"/>
      <c r="AC65" s="1081"/>
      <c r="AD65" s="1081"/>
      <c r="AE65" s="1081"/>
      <c r="AF65" s="1081"/>
      <c r="AG65" s="1081"/>
      <c r="AH65" s="1081"/>
      <c r="AI65" s="1081"/>
      <c r="AJ65" s="1081"/>
      <c r="AK65" s="1081"/>
      <c r="AL65" s="1081"/>
      <c r="AM65" s="1081"/>
      <c r="AN65" s="1081"/>
      <c r="AO65" s="1081"/>
      <c r="AP65" s="1081"/>
      <c r="AQ65" s="1081"/>
      <c r="AR65" s="1081"/>
      <c r="AS65" s="1081"/>
      <c r="AT65" s="1081"/>
      <c r="AU65" s="1081"/>
      <c r="AV65" s="1081"/>
      <c r="AW65" s="1081"/>
      <c r="AX65" s="1081"/>
      <c r="AY65" s="1081"/>
      <c r="AZ65" s="1081"/>
      <c r="BA65" s="1081"/>
      <c r="BB65" s="1081"/>
      <c r="BC65" s="1081"/>
      <c r="BD65" s="1081"/>
      <c r="BE65" s="1081"/>
      <c r="BF65" s="1081"/>
    </row>
    <row r="66" spans="2:58" ht="18.75" x14ac:dyDescent="0.3">
      <c r="B66" s="5151" t="s">
        <v>2</v>
      </c>
      <c r="C66" s="1681" t="s">
        <v>1457</v>
      </c>
      <c r="D66" s="1682"/>
      <c r="E66" s="1683"/>
      <c r="F66" s="1683">
        <f>+F50+F62</f>
        <v>7</v>
      </c>
      <c r="G66" s="1683"/>
      <c r="H66" s="1683">
        <f>+H50+H62</f>
        <v>10</v>
      </c>
      <c r="I66" s="1683"/>
      <c r="J66" s="1683">
        <f t="shared" si="1"/>
        <v>17</v>
      </c>
      <c r="K66" s="1683"/>
      <c r="L66" s="1683">
        <f>+L50+L62</f>
        <v>15</v>
      </c>
      <c r="M66" s="1683"/>
      <c r="N66" s="1683">
        <f t="shared" si="50"/>
        <v>32</v>
      </c>
      <c r="O66" s="1683"/>
      <c r="P66" s="1683">
        <f>+P50+P62</f>
        <v>19</v>
      </c>
      <c r="Q66" s="1683"/>
      <c r="R66" s="1683">
        <f t="shared" si="51"/>
        <v>51</v>
      </c>
      <c r="S66" s="1683"/>
      <c r="T66" s="1683">
        <f>+T50+T62</f>
        <v>14</v>
      </c>
      <c r="U66" s="1683"/>
      <c r="V66" s="1683">
        <f t="shared" si="52"/>
        <v>65</v>
      </c>
      <c r="W66" s="1683"/>
      <c r="X66" s="1683">
        <f>+X50+X62</f>
        <v>14</v>
      </c>
      <c r="Y66" s="1683"/>
      <c r="Z66" s="1683">
        <f t="shared" si="38"/>
        <v>47</v>
      </c>
      <c r="AA66" s="1683">
        <f t="shared" ref="AA66:AA67" si="63">+M66+Y66</f>
        <v>0</v>
      </c>
      <c r="AB66" s="1683">
        <f t="shared" si="53"/>
        <v>79</v>
      </c>
      <c r="AC66" s="1683"/>
      <c r="AD66" s="1683">
        <f>+AD50+AD62</f>
        <v>10</v>
      </c>
      <c r="AE66" s="1683"/>
      <c r="AF66" s="1683">
        <f t="shared" si="54"/>
        <v>89</v>
      </c>
      <c r="AG66" s="1683"/>
      <c r="AH66" s="1683">
        <f>+AH50+AH62</f>
        <v>16</v>
      </c>
      <c r="AI66" s="1683"/>
      <c r="AJ66" s="1683">
        <f t="shared" si="55"/>
        <v>105</v>
      </c>
      <c r="AK66" s="1683"/>
      <c r="AL66" s="1683">
        <f>+AL50+AL62</f>
        <v>18</v>
      </c>
      <c r="AM66" s="1683">
        <f t="shared" si="42"/>
        <v>0</v>
      </c>
      <c r="AN66" s="1683">
        <f t="shared" si="42"/>
        <v>44</v>
      </c>
      <c r="AO66" s="1683"/>
      <c r="AP66" s="1683">
        <f t="shared" si="56"/>
        <v>123</v>
      </c>
      <c r="AQ66" s="1683"/>
      <c r="AR66" s="1683">
        <f>+AR50+AR62</f>
        <v>12</v>
      </c>
      <c r="AS66" s="1683">
        <f t="shared" si="11"/>
        <v>0</v>
      </c>
      <c r="AT66" s="1683">
        <f t="shared" si="11"/>
        <v>135</v>
      </c>
      <c r="AU66" s="1683"/>
      <c r="AV66" s="1683">
        <f>+AV50+AV62</f>
        <v>18</v>
      </c>
      <c r="AW66" s="1683">
        <f t="shared" si="12"/>
        <v>0</v>
      </c>
      <c r="AX66" s="1683">
        <f t="shared" si="12"/>
        <v>153</v>
      </c>
      <c r="AY66" s="1683"/>
      <c r="AZ66" s="1683">
        <f>+AZ50+AZ62</f>
        <v>14</v>
      </c>
      <c r="BA66" s="1683">
        <f t="shared" ref="BA66:BB67" si="64">AQ66+AU66+AY66</f>
        <v>0</v>
      </c>
      <c r="BB66" s="1683">
        <f t="shared" si="64"/>
        <v>44</v>
      </c>
      <c r="BC66" s="1683">
        <f>+AM66+BA66</f>
        <v>0</v>
      </c>
      <c r="BD66" s="1683">
        <f>+AN66+BB66</f>
        <v>88</v>
      </c>
      <c r="BE66" s="1683">
        <f t="shared" ref="BE66:BF67" si="65">+AW66+AY66</f>
        <v>0</v>
      </c>
      <c r="BF66" s="1683">
        <f t="shared" si="65"/>
        <v>167</v>
      </c>
    </row>
    <row r="67" spans="2:58" ht="18.75" x14ac:dyDescent="0.3">
      <c r="B67" s="5153"/>
      <c r="C67" s="1681" t="s">
        <v>1458</v>
      </c>
      <c r="D67" s="1682"/>
      <c r="E67" s="1683">
        <f>+E51+E63</f>
        <v>32085.131170442997</v>
      </c>
      <c r="F67" s="1683">
        <f>+F51+F63</f>
        <v>27458</v>
      </c>
      <c r="G67" s="1683">
        <f t="shared" ref="G67" si="66">+G51+G63</f>
        <v>32848.253391646795</v>
      </c>
      <c r="H67" s="1683">
        <f>+H51+H63</f>
        <v>38545</v>
      </c>
      <c r="I67" s="1683"/>
      <c r="J67" s="1683">
        <f t="shared" si="1"/>
        <v>66003</v>
      </c>
      <c r="K67" s="1683">
        <f>+K51+K63</f>
        <v>52790.616655400809</v>
      </c>
      <c r="L67" s="1683">
        <f>+L51+L63</f>
        <v>58135</v>
      </c>
      <c r="M67" s="1683">
        <f t="shared" ref="M67" si="67">+I67+K67</f>
        <v>52790.616655400809</v>
      </c>
      <c r="N67" s="1683">
        <f t="shared" si="50"/>
        <v>124138</v>
      </c>
      <c r="O67" s="1683">
        <f>+O51+O63</f>
        <v>54581.71005107386</v>
      </c>
      <c r="P67" s="1683">
        <f>+P51+P63</f>
        <v>74351</v>
      </c>
      <c r="Q67" s="1683">
        <f t="shared" ref="Q67" si="68">+M67+O67</f>
        <v>107372.32670647468</v>
      </c>
      <c r="R67" s="1683">
        <f t="shared" si="51"/>
        <v>198489</v>
      </c>
      <c r="S67" s="1683">
        <f>+S51+S63</f>
        <v>54593.369680312382</v>
      </c>
      <c r="T67" s="1683">
        <f>+T51+T63</f>
        <v>54554</v>
      </c>
      <c r="U67" s="1683">
        <f t="shared" ref="U67" si="69">+Q67+S67</f>
        <v>161965.69638678705</v>
      </c>
      <c r="V67" s="1683">
        <f t="shared" si="52"/>
        <v>253043</v>
      </c>
      <c r="W67" s="1683">
        <f>+W51+W63</f>
        <v>53097.45648113294</v>
      </c>
      <c r="X67" s="1683">
        <f>+X51+X63</f>
        <v>53874</v>
      </c>
      <c r="Y67" s="1683">
        <f>O67+S67+W67</f>
        <v>162272.53621251919</v>
      </c>
      <c r="Z67" s="1683">
        <f t="shared" si="38"/>
        <v>182779</v>
      </c>
      <c r="AA67" s="1683">
        <f t="shared" si="63"/>
        <v>215063.15286792</v>
      </c>
      <c r="AB67" s="1683">
        <f t="shared" si="53"/>
        <v>306917</v>
      </c>
      <c r="AC67" s="1683">
        <f>+AC51+AC63</f>
        <v>54898.555985161685</v>
      </c>
      <c r="AD67" s="1683">
        <f>+AD51+AD63</f>
        <v>39620</v>
      </c>
      <c r="AE67" s="1683">
        <f t="shared" ref="AE67" si="70">+AA67+AC67</f>
        <v>269961.70885308168</v>
      </c>
      <c r="AF67" s="1683">
        <f t="shared" si="54"/>
        <v>346537</v>
      </c>
      <c r="AG67" s="1683"/>
      <c r="AH67" s="1683">
        <f>+AH51+AH63</f>
        <v>61933.56</v>
      </c>
      <c r="AI67" s="1683">
        <f t="shared" ref="AI67" si="71">+AE67+AG67</f>
        <v>269961.70885308168</v>
      </c>
      <c r="AJ67" s="1683">
        <f t="shared" si="55"/>
        <v>408470.56</v>
      </c>
      <c r="AK67" s="1683"/>
      <c r="AL67" s="1683">
        <f>+AL51+AL63</f>
        <v>70188.600000000006</v>
      </c>
      <c r="AM67" s="1683">
        <f>AC67+AG67+AK67</f>
        <v>54898.555985161685</v>
      </c>
      <c r="AN67" s="1683">
        <f t="shared" si="42"/>
        <v>171742.16</v>
      </c>
      <c r="AO67" s="1683">
        <f t="shared" ref="AO67" si="72">+AI67+AK67</f>
        <v>269961.70885308168</v>
      </c>
      <c r="AP67" s="1683">
        <f t="shared" si="56"/>
        <v>478659.16000000003</v>
      </c>
      <c r="AQ67" s="1683"/>
      <c r="AR67" s="1683">
        <f>+AR51+AR63</f>
        <v>43653</v>
      </c>
      <c r="AS67" s="1683">
        <f t="shared" si="11"/>
        <v>269961.70885308168</v>
      </c>
      <c r="AT67" s="1683">
        <f t="shared" si="11"/>
        <v>522312.16000000003</v>
      </c>
      <c r="AU67" s="1683"/>
      <c r="AV67" s="1683">
        <f>+AV51+AV63</f>
        <v>66144</v>
      </c>
      <c r="AW67" s="1683">
        <f t="shared" si="12"/>
        <v>269961.70885308168</v>
      </c>
      <c r="AX67" s="1683">
        <f t="shared" si="12"/>
        <v>588456.16</v>
      </c>
      <c r="AY67" s="1683"/>
      <c r="AZ67" s="1683">
        <f>+AZ51+AZ63</f>
        <v>52273</v>
      </c>
      <c r="BA67" s="1683">
        <f>AQ67+AU67+AY67</f>
        <v>0</v>
      </c>
      <c r="BB67" s="1683">
        <f t="shared" si="64"/>
        <v>162070</v>
      </c>
      <c r="BC67" s="1683">
        <f>+AM67+BA67</f>
        <v>54898.555985161685</v>
      </c>
      <c r="BD67" s="1683">
        <f>+AN67+BB67</f>
        <v>333812.16000000003</v>
      </c>
      <c r="BE67" s="1683">
        <f t="shared" si="65"/>
        <v>269961.70885308168</v>
      </c>
      <c r="BF67" s="1683">
        <f t="shared" si="65"/>
        <v>640729.16</v>
      </c>
    </row>
    <row r="68" spans="2:58" s="334" customFormat="1" ht="18.75" x14ac:dyDescent="0.3">
      <c r="B68" s="1771"/>
      <c r="C68" s="1684"/>
      <c r="D68" s="1685"/>
      <c r="E68" s="1686"/>
      <c r="F68" s="1686"/>
      <c r="G68" s="1686"/>
      <c r="H68" s="1686"/>
      <c r="I68" s="1686"/>
      <c r="J68" s="1686"/>
      <c r="K68" s="1686"/>
      <c r="L68" s="1686"/>
      <c r="M68" s="1686"/>
      <c r="N68" s="1686"/>
      <c r="O68" s="1686"/>
      <c r="P68" s="1686"/>
      <c r="Q68" s="1686"/>
      <c r="R68" s="1686"/>
      <c r="S68" s="1686"/>
      <c r="T68" s="1686"/>
      <c r="U68" s="1686"/>
      <c r="V68" s="1686"/>
      <c r="W68" s="1686"/>
      <c r="X68" s="1686"/>
      <c r="Y68" s="1686"/>
      <c r="Z68" s="1686"/>
      <c r="AA68" s="1686"/>
      <c r="AB68" s="1686"/>
      <c r="AC68" s="1686"/>
      <c r="AD68" s="1686"/>
      <c r="AE68" s="1686"/>
      <c r="AF68" s="1686"/>
      <c r="AG68" s="1686"/>
      <c r="AH68" s="1686"/>
      <c r="AI68" s="1686"/>
      <c r="AJ68" s="1686"/>
      <c r="AK68" s="1686"/>
      <c r="AL68" s="1686"/>
      <c r="AM68" s="1686"/>
      <c r="AN68" s="1686"/>
      <c r="AO68" s="1686"/>
      <c r="AP68" s="1686"/>
      <c r="AQ68" s="1686"/>
      <c r="AR68" s="1686"/>
      <c r="AS68" s="1686"/>
      <c r="AT68" s="1686"/>
      <c r="AU68" s="1686"/>
      <c r="AV68" s="1686"/>
      <c r="AW68" s="1686"/>
      <c r="AX68" s="1686"/>
      <c r="AY68" s="1686"/>
      <c r="AZ68" s="1686"/>
      <c r="BA68" s="1686"/>
      <c r="BB68" s="1686"/>
      <c r="BC68" s="1686"/>
      <c r="BD68" s="1686"/>
      <c r="BE68" s="1686"/>
      <c r="BF68" s="1686"/>
    </row>
    <row r="69" spans="2:58" ht="18.75" x14ac:dyDescent="0.3">
      <c r="B69" s="1768" t="s">
        <v>1470</v>
      </c>
      <c r="C69" s="1081"/>
      <c r="D69" s="1081"/>
      <c r="E69" s="1081"/>
      <c r="F69" s="1081"/>
      <c r="G69" s="1081"/>
      <c r="H69" s="1081"/>
      <c r="I69" s="1081"/>
      <c r="J69" s="1081"/>
      <c r="K69" s="1081"/>
      <c r="L69" s="1081"/>
      <c r="M69" s="1081"/>
      <c r="N69" s="1081"/>
      <c r="O69" s="1081"/>
      <c r="P69" s="1081"/>
      <c r="Q69" s="1081"/>
      <c r="R69" s="1081"/>
      <c r="S69" s="1081"/>
      <c r="T69" s="1081"/>
      <c r="U69" s="1081"/>
      <c r="V69" s="1081"/>
      <c r="W69" s="1081"/>
      <c r="X69" s="1081"/>
      <c r="Y69" s="1081"/>
      <c r="Z69" s="1081"/>
      <c r="AA69" s="1081"/>
      <c r="AB69" s="1081"/>
      <c r="AC69" s="1081"/>
      <c r="AD69" s="1081"/>
      <c r="AE69" s="1081"/>
      <c r="AF69" s="1081"/>
      <c r="AG69" s="1081"/>
      <c r="AH69" s="1081"/>
      <c r="AI69" s="1081"/>
      <c r="AJ69" s="1081"/>
      <c r="AK69" s="1081"/>
      <c r="AL69" s="1081"/>
      <c r="AM69" s="1081"/>
      <c r="AN69" s="1081"/>
      <c r="AO69" s="1081"/>
      <c r="AP69" s="1081"/>
      <c r="AQ69" s="1081"/>
      <c r="AR69" s="1081"/>
      <c r="AS69" s="1081"/>
      <c r="AT69" s="1081"/>
      <c r="AU69" s="1081"/>
      <c r="AV69" s="1081"/>
      <c r="AW69" s="1081"/>
      <c r="AX69" s="1081"/>
      <c r="AY69" s="1081"/>
      <c r="AZ69" s="1081"/>
      <c r="BA69" s="1081"/>
      <c r="BB69" s="1081"/>
      <c r="BC69" s="1081"/>
      <c r="BD69" s="1081"/>
      <c r="BE69" s="1081"/>
      <c r="BF69" s="1081"/>
    </row>
    <row r="70" spans="2:58" x14ac:dyDescent="0.25">
      <c r="B70" s="5145" t="s">
        <v>1471</v>
      </c>
      <c r="C70" s="421" t="s">
        <v>1457</v>
      </c>
      <c r="D70" s="421"/>
      <c r="E70" s="1667"/>
      <c r="F70" s="1106">
        <v>5</v>
      </c>
      <c r="G70" s="1667"/>
      <c r="H70" s="1106">
        <v>7</v>
      </c>
      <c r="I70" s="1673"/>
      <c r="J70" s="1673">
        <f t="shared" si="1"/>
        <v>12</v>
      </c>
      <c r="K70" s="1667"/>
      <c r="L70" s="1106">
        <v>11</v>
      </c>
      <c r="M70" s="1674">
        <f t="shared" ref="M70:N83" si="73">+I70+K70</f>
        <v>0</v>
      </c>
      <c r="N70" s="1674">
        <f t="shared" si="73"/>
        <v>23</v>
      </c>
      <c r="O70" s="1667"/>
      <c r="P70" s="1106">
        <v>9</v>
      </c>
      <c r="Q70" s="1673">
        <f t="shared" ref="Q70:R83" si="74">+M70+O70</f>
        <v>0</v>
      </c>
      <c r="R70" s="1673">
        <f t="shared" si="74"/>
        <v>32</v>
      </c>
      <c r="S70" s="1667"/>
      <c r="T70" s="1106">
        <v>0</v>
      </c>
      <c r="U70" s="1673">
        <f t="shared" ref="U70:V83" si="75">+Q70+S70</f>
        <v>0</v>
      </c>
      <c r="V70" s="1673">
        <f t="shared" si="75"/>
        <v>32</v>
      </c>
      <c r="W70" s="1667"/>
      <c r="X70" s="1106">
        <v>0</v>
      </c>
      <c r="Y70" s="1674">
        <f>O70+S70+W70</f>
        <v>0</v>
      </c>
      <c r="Z70" s="1674">
        <f t="shared" si="38"/>
        <v>9</v>
      </c>
      <c r="AA70" s="1820">
        <f t="shared" ref="AA70:AB83" si="76">+M70+Y70</f>
        <v>0</v>
      </c>
      <c r="AB70" s="1820">
        <f t="shared" si="76"/>
        <v>32</v>
      </c>
      <c r="AC70" s="1667"/>
      <c r="AD70" s="1106">
        <v>0</v>
      </c>
      <c r="AE70" s="1673">
        <f t="shared" ref="AE70:AF83" si="77">+AA70+AC70</f>
        <v>0</v>
      </c>
      <c r="AF70" s="1673">
        <f t="shared" si="77"/>
        <v>32</v>
      </c>
      <c r="AG70" s="1667"/>
      <c r="AH70" s="1106">
        <v>0</v>
      </c>
      <c r="AI70" s="1673">
        <f t="shared" ref="AI70:AJ83" si="78">+AE70+AG70</f>
        <v>0</v>
      </c>
      <c r="AJ70" s="1673">
        <f t="shared" si="78"/>
        <v>32</v>
      </c>
      <c r="AK70" s="1667"/>
      <c r="AL70" s="1106">
        <v>0</v>
      </c>
      <c r="AM70" s="1674">
        <f>AC70+AG70+AK70</f>
        <v>0</v>
      </c>
      <c r="AN70" s="1674">
        <f t="shared" si="42"/>
        <v>0</v>
      </c>
      <c r="AO70" s="1673">
        <f t="shared" ref="AO70:AP83" si="79">+AI70+AK70</f>
        <v>0</v>
      </c>
      <c r="AP70" s="1673">
        <f t="shared" si="79"/>
        <v>32</v>
      </c>
      <c r="AQ70" s="1667"/>
      <c r="AR70" s="1106">
        <v>8</v>
      </c>
      <c r="AS70" s="1673">
        <f t="shared" si="11"/>
        <v>0</v>
      </c>
      <c r="AT70" s="1673">
        <f t="shared" si="11"/>
        <v>40</v>
      </c>
      <c r="AU70" s="1667"/>
      <c r="AV70" s="1106">
        <v>10</v>
      </c>
      <c r="AW70" s="1673">
        <f t="shared" si="12"/>
        <v>0</v>
      </c>
      <c r="AX70" s="1673">
        <f t="shared" si="12"/>
        <v>50</v>
      </c>
      <c r="AY70" s="1667"/>
      <c r="AZ70" s="1106">
        <v>8</v>
      </c>
      <c r="BA70" s="1674">
        <f>AQ70+AU70+AY70</f>
        <v>0</v>
      </c>
      <c r="BB70" s="1674">
        <f t="shared" ref="BB70:BB77" si="80">AR70+AV70+AZ70</f>
        <v>26</v>
      </c>
      <c r="BC70" s="1820">
        <f t="shared" ref="BC70:BD77" si="81">+AM70+BA70</f>
        <v>0</v>
      </c>
      <c r="BD70" s="1820">
        <f t="shared" si="81"/>
        <v>26</v>
      </c>
      <c r="BE70" s="1673">
        <f t="shared" ref="BE70:BF77" si="82">+AW70+AY70</f>
        <v>0</v>
      </c>
      <c r="BF70" s="1673">
        <f t="shared" si="82"/>
        <v>58</v>
      </c>
    </row>
    <row r="71" spans="2:58" x14ac:dyDescent="0.25">
      <c r="B71" s="5147"/>
      <c r="C71" s="421" t="s">
        <v>1458</v>
      </c>
      <c r="D71" s="421"/>
      <c r="E71" s="1667"/>
      <c r="F71" s="1106">
        <v>20380</v>
      </c>
      <c r="G71" s="1667"/>
      <c r="H71" s="1106">
        <v>28335</v>
      </c>
      <c r="I71" s="1673"/>
      <c r="J71" s="1673">
        <f t="shared" si="1"/>
        <v>48715</v>
      </c>
      <c r="K71" s="1667"/>
      <c r="L71" s="1106">
        <v>44633</v>
      </c>
      <c r="M71" s="1674">
        <f t="shared" si="73"/>
        <v>0</v>
      </c>
      <c r="N71" s="1674">
        <f t="shared" si="73"/>
        <v>93348</v>
      </c>
      <c r="O71" s="1667"/>
      <c r="P71" s="1106">
        <v>36433</v>
      </c>
      <c r="Q71" s="1673">
        <f t="shared" si="74"/>
        <v>0</v>
      </c>
      <c r="R71" s="1673">
        <f t="shared" si="74"/>
        <v>129781</v>
      </c>
      <c r="S71" s="1667"/>
      <c r="T71" s="1106">
        <v>0</v>
      </c>
      <c r="U71" s="1673">
        <f t="shared" si="75"/>
        <v>0</v>
      </c>
      <c r="V71" s="1673">
        <f t="shared" si="75"/>
        <v>129781</v>
      </c>
      <c r="W71" s="1667"/>
      <c r="X71" s="1106">
        <v>0</v>
      </c>
      <c r="Y71" s="1674">
        <f>O71+S71+W71</f>
        <v>0</v>
      </c>
      <c r="Z71" s="1674">
        <f t="shared" si="38"/>
        <v>36433</v>
      </c>
      <c r="AA71" s="1820">
        <f t="shared" si="76"/>
        <v>0</v>
      </c>
      <c r="AB71" s="1820">
        <f t="shared" si="76"/>
        <v>129781</v>
      </c>
      <c r="AC71" s="1667"/>
      <c r="AD71" s="1106">
        <v>0</v>
      </c>
      <c r="AE71" s="1673">
        <f t="shared" si="77"/>
        <v>0</v>
      </c>
      <c r="AF71" s="1673">
        <f t="shared" si="77"/>
        <v>129781</v>
      </c>
      <c r="AG71" s="1667"/>
      <c r="AH71" s="1106">
        <v>0</v>
      </c>
      <c r="AI71" s="1673">
        <f t="shared" si="78"/>
        <v>0</v>
      </c>
      <c r="AJ71" s="1673">
        <f t="shared" si="78"/>
        <v>129781</v>
      </c>
      <c r="AK71" s="1667"/>
      <c r="AL71" s="1106">
        <v>0</v>
      </c>
      <c r="AM71" s="1674">
        <f>AC71+AG71+AK71</f>
        <v>0</v>
      </c>
      <c r="AN71" s="1674">
        <f t="shared" si="42"/>
        <v>0</v>
      </c>
      <c r="AO71" s="1673">
        <f t="shared" si="79"/>
        <v>0</v>
      </c>
      <c r="AP71" s="1673">
        <f t="shared" si="79"/>
        <v>129781</v>
      </c>
      <c r="AQ71" s="1667"/>
      <c r="AR71" s="1106">
        <v>32638</v>
      </c>
      <c r="AS71" s="1673">
        <f t="shared" si="11"/>
        <v>0</v>
      </c>
      <c r="AT71" s="1673">
        <f t="shared" si="11"/>
        <v>162419</v>
      </c>
      <c r="AU71" s="1667"/>
      <c r="AV71" s="1106">
        <v>40768</v>
      </c>
      <c r="AW71" s="1673">
        <f t="shared" si="12"/>
        <v>0</v>
      </c>
      <c r="AX71" s="1673">
        <f t="shared" si="12"/>
        <v>203187</v>
      </c>
      <c r="AY71" s="1667"/>
      <c r="AZ71" s="1106">
        <v>32116</v>
      </c>
      <c r="BA71" s="1674">
        <f>AQ71+AU71+AY71</f>
        <v>0</v>
      </c>
      <c r="BB71" s="1674">
        <f t="shared" si="80"/>
        <v>105522</v>
      </c>
      <c r="BC71" s="1820">
        <f t="shared" si="81"/>
        <v>0</v>
      </c>
      <c r="BD71" s="1820">
        <f t="shared" si="81"/>
        <v>105522</v>
      </c>
      <c r="BE71" s="1673">
        <f t="shared" si="82"/>
        <v>0</v>
      </c>
      <c r="BF71" s="1673">
        <f t="shared" si="82"/>
        <v>235303</v>
      </c>
    </row>
    <row r="72" spans="2:58" x14ac:dyDescent="0.25">
      <c r="B72" s="5145" t="s">
        <v>1507</v>
      </c>
      <c r="C72" s="421" t="s">
        <v>1457</v>
      </c>
      <c r="D72" s="421"/>
      <c r="E72" s="1667"/>
      <c r="F72" s="1106"/>
      <c r="G72" s="1667"/>
      <c r="H72" s="1106"/>
      <c r="I72" s="1673"/>
      <c r="J72" s="1673">
        <f t="shared" ref="J72:J133" si="83">+F72+H72</f>
        <v>0</v>
      </c>
      <c r="K72" s="1667"/>
      <c r="L72" s="1106"/>
      <c r="M72" s="1674">
        <f t="shared" si="73"/>
        <v>0</v>
      </c>
      <c r="N72" s="1674">
        <f t="shared" si="73"/>
        <v>0</v>
      </c>
      <c r="O72" s="1667"/>
      <c r="P72" s="1106"/>
      <c r="Q72" s="1673">
        <f t="shared" si="74"/>
        <v>0</v>
      </c>
      <c r="R72" s="1673">
        <f t="shared" si="74"/>
        <v>0</v>
      </c>
      <c r="S72" s="1667"/>
      <c r="T72" s="1106">
        <v>9</v>
      </c>
      <c r="U72" s="1673">
        <f t="shared" si="75"/>
        <v>0</v>
      </c>
      <c r="V72" s="1673">
        <f t="shared" si="75"/>
        <v>9</v>
      </c>
      <c r="W72" s="1667"/>
      <c r="X72" s="1106">
        <v>7</v>
      </c>
      <c r="Y72" s="1674">
        <f t="shared" ref="Y72:Y75" si="84">O72+S72+W72</f>
        <v>0</v>
      </c>
      <c r="Z72" s="1674">
        <f t="shared" si="38"/>
        <v>16</v>
      </c>
      <c r="AA72" s="1820">
        <f t="shared" si="76"/>
        <v>0</v>
      </c>
      <c r="AB72" s="1820">
        <f t="shared" si="76"/>
        <v>16</v>
      </c>
      <c r="AC72" s="1667"/>
      <c r="AD72" s="1106">
        <v>7</v>
      </c>
      <c r="AE72" s="1673">
        <f t="shared" si="77"/>
        <v>0</v>
      </c>
      <c r="AF72" s="1673">
        <f t="shared" si="77"/>
        <v>23</v>
      </c>
      <c r="AG72" s="1667"/>
      <c r="AH72" s="1106">
        <v>7</v>
      </c>
      <c r="AI72" s="1673">
        <f t="shared" si="78"/>
        <v>0</v>
      </c>
      <c r="AJ72" s="1673">
        <f t="shared" si="78"/>
        <v>30</v>
      </c>
      <c r="AK72" s="1667"/>
      <c r="AL72" s="1106">
        <v>8</v>
      </c>
      <c r="AM72" s="1674">
        <f t="shared" ref="AM72:AM75" si="85">AC72+AG72+AK72</f>
        <v>0</v>
      </c>
      <c r="AN72" s="1674">
        <f t="shared" si="42"/>
        <v>22</v>
      </c>
      <c r="AO72" s="1673">
        <f t="shared" si="79"/>
        <v>0</v>
      </c>
      <c r="AP72" s="1673">
        <f t="shared" si="79"/>
        <v>38</v>
      </c>
      <c r="AQ72" s="1667"/>
      <c r="AR72" s="1106">
        <v>0</v>
      </c>
      <c r="AS72" s="1673">
        <f t="shared" ref="AS72:AT135" si="86">+AQ72+AO72</f>
        <v>0</v>
      </c>
      <c r="AT72" s="1673">
        <f t="shared" si="86"/>
        <v>38</v>
      </c>
      <c r="AU72" s="1667"/>
      <c r="AV72" s="1106">
        <v>0</v>
      </c>
      <c r="AW72" s="1673">
        <f t="shared" ref="AW72:AX135" si="87">+AS72+AU72</f>
        <v>0</v>
      </c>
      <c r="AX72" s="1673">
        <f t="shared" si="87"/>
        <v>38</v>
      </c>
      <c r="AY72" s="1667"/>
      <c r="AZ72" s="1106"/>
      <c r="BA72" s="1674">
        <f t="shared" ref="BA72:BA75" si="88">AQ72+AU72+AY72</f>
        <v>0</v>
      </c>
      <c r="BB72" s="1674">
        <f t="shared" si="80"/>
        <v>0</v>
      </c>
      <c r="BC72" s="1820">
        <f t="shared" si="81"/>
        <v>0</v>
      </c>
      <c r="BD72" s="1820">
        <f t="shared" si="81"/>
        <v>22</v>
      </c>
      <c r="BE72" s="1673">
        <f t="shared" si="82"/>
        <v>0</v>
      </c>
      <c r="BF72" s="1673">
        <f t="shared" si="82"/>
        <v>38</v>
      </c>
    </row>
    <row r="73" spans="2:58" x14ac:dyDescent="0.25">
      <c r="B73" s="5147"/>
      <c r="C73" s="421" t="s">
        <v>1458</v>
      </c>
      <c r="D73" s="421"/>
      <c r="E73" s="1667"/>
      <c r="F73" s="1106"/>
      <c r="G73" s="1667"/>
      <c r="H73" s="1106"/>
      <c r="I73" s="1673"/>
      <c r="J73" s="1673">
        <f t="shared" si="83"/>
        <v>0</v>
      </c>
      <c r="K73" s="1667"/>
      <c r="L73" s="1106"/>
      <c r="M73" s="1674">
        <f t="shared" si="73"/>
        <v>0</v>
      </c>
      <c r="N73" s="1674">
        <f t="shared" si="73"/>
        <v>0</v>
      </c>
      <c r="O73" s="1667"/>
      <c r="P73" s="1106"/>
      <c r="Q73" s="1673">
        <f t="shared" si="74"/>
        <v>0</v>
      </c>
      <c r="R73" s="1673">
        <f t="shared" si="74"/>
        <v>0</v>
      </c>
      <c r="S73" s="1667"/>
      <c r="T73" s="1106">
        <v>36616</v>
      </c>
      <c r="U73" s="1673">
        <f t="shared" si="75"/>
        <v>0</v>
      </c>
      <c r="V73" s="1673">
        <f t="shared" si="75"/>
        <v>36616</v>
      </c>
      <c r="W73" s="1667"/>
      <c r="X73" s="1106">
        <v>28479</v>
      </c>
      <c r="Y73" s="1674">
        <f t="shared" si="84"/>
        <v>0</v>
      </c>
      <c r="Z73" s="1674">
        <f t="shared" si="38"/>
        <v>65095</v>
      </c>
      <c r="AA73" s="1820">
        <f t="shared" si="76"/>
        <v>0</v>
      </c>
      <c r="AB73" s="1820">
        <f t="shared" si="76"/>
        <v>65095</v>
      </c>
      <c r="AC73" s="1667"/>
      <c r="AD73" s="1106">
        <v>24484</v>
      </c>
      <c r="AE73" s="1673">
        <f t="shared" si="77"/>
        <v>0</v>
      </c>
      <c r="AF73" s="1673">
        <f t="shared" si="77"/>
        <v>89579</v>
      </c>
      <c r="AG73" s="1667"/>
      <c r="AH73" s="1106">
        <v>28464</v>
      </c>
      <c r="AI73" s="1673">
        <f t="shared" si="78"/>
        <v>0</v>
      </c>
      <c r="AJ73" s="1673">
        <f t="shared" si="78"/>
        <v>118043</v>
      </c>
      <c r="AK73" s="1667"/>
      <c r="AL73" s="1106">
        <v>32350</v>
      </c>
      <c r="AM73" s="1674">
        <f t="shared" si="85"/>
        <v>0</v>
      </c>
      <c r="AN73" s="1674">
        <f t="shared" si="42"/>
        <v>85298</v>
      </c>
      <c r="AO73" s="1673">
        <f t="shared" si="79"/>
        <v>0</v>
      </c>
      <c r="AP73" s="1673">
        <f t="shared" si="79"/>
        <v>150393</v>
      </c>
      <c r="AQ73" s="1667"/>
      <c r="AR73" s="1106">
        <v>0</v>
      </c>
      <c r="AS73" s="1673">
        <f t="shared" si="86"/>
        <v>0</v>
      </c>
      <c r="AT73" s="1673">
        <f t="shared" si="86"/>
        <v>150393</v>
      </c>
      <c r="AU73" s="1667"/>
      <c r="AV73" s="1106">
        <v>0</v>
      </c>
      <c r="AW73" s="1673">
        <f t="shared" si="87"/>
        <v>0</v>
      </c>
      <c r="AX73" s="1673">
        <f t="shared" si="87"/>
        <v>150393</v>
      </c>
      <c r="AY73" s="1667"/>
      <c r="AZ73" s="1106"/>
      <c r="BA73" s="1674">
        <f t="shared" si="88"/>
        <v>0</v>
      </c>
      <c r="BB73" s="1674">
        <f t="shared" si="80"/>
        <v>0</v>
      </c>
      <c r="BC73" s="1820">
        <f t="shared" si="81"/>
        <v>0</v>
      </c>
      <c r="BD73" s="1820">
        <f t="shared" si="81"/>
        <v>85298</v>
      </c>
      <c r="BE73" s="1673">
        <f t="shared" si="82"/>
        <v>0</v>
      </c>
      <c r="BF73" s="1673">
        <f t="shared" si="82"/>
        <v>150393</v>
      </c>
    </row>
    <row r="74" spans="2:58" x14ac:dyDescent="0.25">
      <c r="B74" s="5145" t="s">
        <v>1472</v>
      </c>
      <c r="C74" s="421" t="s">
        <v>1457</v>
      </c>
      <c r="D74" s="421"/>
      <c r="E74" s="421"/>
      <c r="F74" s="1106">
        <v>3</v>
      </c>
      <c r="G74" s="421"/>
      <c r="H74" s="1106">
        <v>2</v>
      </c>
      <c r="I74" s="1673"/>
      <c r="J74" s="1673">
        <f t="shared" si="83"/>
        <v>5</v>
      </c>
      <c r="K74" s="421"/>
      <c r="L74" s="1106">
        <v>9</v>
      </c>
      <c r="M74" s="1674">
        <f t="shared" si="73"/>
        <v>0</v>
      </c>
      <c r="N74" s="1674">
        <f t="shared" si="73"/>
        <v>14</v>
      </c>
      <c r="O74" s="421"/>
      <c r="P74" s="1106">
        <v>12</v>
      </c>
      <c r="Q74" s="1673">
        <f t="shared" si="74"/>
        <v>0</v>
      </c>
      <c r="R74" s="1673">
        <f t="shared" si="74"/>
        <v>26</v>
      </c>
      <c r="S74" s="421"/>
      <c r="T74" s="1106">
        <v>9</v>
      </c>
      <c r="U74" s="1673">
        <f t="shared" si="75"/>
        <v>0</v>
      </c>
      <c r="V74" s="1673">
        <f t="shared" si="75"/>
        <v>35</v>
      </c>
      <c r="W74" s="421"/>
      <c r="X74" s="1106">
        <v>8</v>
      </c>
      <c r="Y74" s="1674">
        <f t="shared" si="84"/>
        <v>0</v>
      </c>
      <c r="Z74" s="1674">
        <f t="shared" si="38"/>
        <v>29</v>
      </c>
      <c r="AA74" s="1820">
        <f t="shared" si="76"/>
        <v>0</v>
      </c>
      <c r="AB74" s="1820">
        <f t="shared" si="76"/>
        <v>43</v>
      </c>
      <c r="AC74" s="421"/>
      <c r="AD74" s="1106">
        <v>10</v>
      </c>
      <c r="AE74" s="1673">
        <f t="shared" si="77"/>
        <v>0</v>
      </c>
      <c r="AF74" s="1673">
        <f t="shared" si="77"/>
        <v>53</v>
      </c>
      <c r="AG74" s="421"/>
      <c r="AH74" s="1106">
        <v>10</v>
      </c>
      <c r="AI74" s="1673">
        <f t="shared" si="78"/>
        <v>0</v>
      </c>
      <c r="AJ74" s="1673">
        <f t="shared" si="78"/>
        <v>63</v>
      </c>
      <c r="AK74" s="421"/>
      <c r="AL74" s="1106">
        <v>11</v>
      </c>
      <c r="AM74" s="1674">
        <f t="shared" si="85"/>
        <v>0</v>
      </c>
      <c r="AN74" s="1674">
        <f t="shared" si="42"/>
        <v>31</v>
      </c>
      <c r="AO74" s="1673">
        <f t="shared" si="79"/>
        <v>0</v>
      </c>
      <c r="AP74" s="1673">
        <f t="shared" si="79"/>
        <v>74</v>
      </c>
      <c r="AQ74" s="421"/>
      <c r="AR74" s="1106">
        <v>8</v>
      </c>
      <c r="AS74" s="1673">
        <f t="shared" si="86"/>
        <v>0</v>
      </c>
      <c r="AT74" s="1673">
        <f t="shared" si="86"/>
        <v>82</v>
      </c>
      <c r="AU74" s="421"/>
      <c r="AV74" s="1106">
        <v>9</v>
      </c>
      <c r="AW74" s="1673">
        <f t="shared" si="87"/>
        <v>0</v>
      </c>
      <c r="AX74" s="1673">
        <f t="shared" si="87"/>
        <v>91</v>
      </c>
      <c r="AY74" s="421"/>
      <c r="AZ74" s="1106">
        <v>9</v>
      </c>
      <c r="BA74" s="1674">
        <f t="shared" si="88"/>
        <v>0</v>
      </c>
      <c r="BB74" s="1674">
        <f t="shared" si="80"/>
        <v>26</v>
      </c>
      <c r="BC74" s="1820">
        <f t="shared" si="81"/>
        <v>0</v>
      </c>
      <c r="BD74" s="1820">
        <f t="shared" si="81"/>
        <v>57</v>
      </c>
      <c r="BE74" s="1673">
        <f t="shared" si="82"/>
        <v>0</v>
      </c>
      <c r="BF74" s="1673">
        <f t="shared" si="82"/>
        <v>100</v>
      </c>
    </row>
    <row r="75" spans="2:58" x14ac:dyDescent="0.25">
      <c r="B75" s="5147"/>
      <c r="C75" s="421" t="s">
        <v>1458</v>
      </c>
      <c r="D75" s="421"/>
      <c r="E75" s="1667"/>
      <c r="F75" s="1106">
        <v>11495</v>
      </c>
      <c r="G75" s="1667"/>
      <c r="H75" s="1106">
        <v>7762</v>
      </c>
      <c r="I75" s="1673"/>
      <c r="J75" s="1673">
        <f t="shared" si="83"/>
        <v>19257</v>
      </c>
      <c r="K75" s="1667"/>
      <c r="L75" s="1106">
        <v>35127</v>
      </c>
      <c r="M75" s="1674">
        <f t="shared" si="73"/>
        <v>0</v>
      </c>
      <c r="N75" s="1674">
        <f t="shared" si="73"/>
        <v>54384</v>
      </c>
      <c r="O75" s="1667"/>
      <c r="P75" s="1106">
        <v>45844</v>
      </c>
      <c r="Q75" s="1673">
        <f t="shared" si="74"/>
        <v>0</v>
      </c>
      <c r="R75" s="1673">
        <f t="shared" si="74"/>
        <v>100228</v>
      </c>
      <c r="S75" s="1667"/>
      <c r="T75" s="1106">
        <v>34762</v>
      </c>
      <c r="U75" s="1673">
        <f t="shared" si="75"/>
        <v>0</v>
      </c>
      <c r="V75" s="1673">
        <f t="shared" si="75"/>
        <v>134990</v>
      </c>
      <c r="W75" s="1667"/>
      <c r="X75" s="1106">
        <v>30682</v>
      </c>
      <c r="Y75" s="1674">
        <f t="shared" si="84"/>
        <v>0</v>
      </c>
      <c r="Z75" s="1674">
        <f t="shared" si="38"/>
        <v>111288</v>
      </c>
      <c r="AA75" s="1820">
        <f t="shared" si="76"/>
        <v>0</v>
      </c>
      <c r="AB75" s="1820">
        <f t="shared" si="76"/>
        <v>165672</v>
      </c>
      <c r="AC75" s="1667"/>
      <c r="AD75" s="1106">
        <v>38589</v>
      </c>
      <c r="AE75" s="1673">
        <f t="shared" si="77"/>
        <v>0</v>
      </c>
      <c r="AF75" s="1673">
        <f t="shared" si="77"/>
        <v>204261</v>
      </c>
      <c r="AG75" s="1667"/>
      <c r="AH75" s="1106">
        <v>39497</v>
      </c>
      <c r="AI75" s="1673">
        <f t="shared" si="78"/>
        <v>0</v>
      </c>
      <c r="AJ75" s="1673">
        <f t="shared" si="78"/>
        <v>243758</v>
      </c>
      <c r="AK75" s="1667"/>
      <c r="AL75" s="1106">
        <v>42985</v>
      </c>
      <c r="AM75" s="1674">
        <f t="shared" si="85"/>
        <v>0</v>
      </c>
      <c r="AN75" s="1674">
        <f t="shared" si="42"/>
        <v>121071</v>
      </c>
      <c r="AO75" s="1673">
        <f t="shared" si="79"/>
        <v>0</v>
      </c>
      <c r="AP75" s="1673">
        <f t="shared" si="79"/>
        <v>286743</v>
      </c>
      <c r="AQ75" s="1667"/>
      <c r="AR75" s="1106">
        <v>31857</v>
      </c>
      <c r="AS75" s="1673">
        <f t="shared" si="86"/>
        <v>0</v>
      </c>
      <c r="AT75" s="1673">
        <f t="shared" si="86"/>
        <v>318600</v>
      </c>
      <c r="AU75" s="1667"/>
      <c r="AV75" s="1106">
        <v>35477</v>
      </c>
      <c r="AW75" s="1673">
        <f t="shared" si="87"/>
        <v>0</v>
      </c>
      <c r="AX75" s="1673">
        <f t="shared" si="87"/>
        <v>354077</v>
      </c>
      <c r="AY75" s="1667"/>
      <c r="AZ75" s="1106">
        <v>35750</v>
      </c>
      <c r="BA75" s="1674">
        <f t="shared" si="88"/>
        <v>0</v>
      </c>
      <c r="BB75" s="1674">
        <f t="shared" si="80"/>
        <v>103084</v>
      </c>
      <c r="BC75" s="1820">
        <f t="shared" si="81"/>
        <v>0</v>
      </c>
      <c r="BD75" s="1820">
        <f t="shared" si="81"/>
        <v>224155</v>
      </c>
      <c r="BE75" s="1673">
        <f t="shared" si="82"/>
        <v>0</v>
      </c>
      <c r="BF75" s="1673">
        <f t="shared" si="82"/>
        <v>389827</v>
      </c>
    </row>
    <row r="76" spans="2:58" ht="18.75" x14ac:dyDescent="0.3">
      <c r="B76" s="5151" t="s">
        <v>2</v>
      </c>
      <c r="C76" s="1681" t="s">
        <v>1457</v>
      </c>
      <c r="D76" s="1682"/>
      <c r="E76" s="1683"/>
      <c r="F76" s="1683">
        <f>+F70+F74+F72</f>
        <v>8</v>
      </c>
      <c r="G76" s="1683"/>
      <c r="H76" s="1683">
        <f>+H70+H74+H72</f>
        <v>9</v>
      </c>
      <c r="I76" s="1683"/>
      <c r="J76" s="1683">
        <f t="shared" si="83"/>
        <v>17</v>
      </c>
      <c r="K76" s="1683"/>
      <c r="L76" s="1683">
        <f>+L70+L74+L72</f>
        <v>20</v>
      </c>
      <c r="M76" s="1683">
        <f>+I76+K76</f>
        <v>0</v>
      </c>
      <c r="N76" s="1683">
        <f t="shared" si="73"/>
        <v>37</v>
      </c>
      <c r="O76" s="1683"/>
      <c r="P76" s="1683">
        <f>+P70+P74+P72</f>
        <v>21</v>
      </c>
      <c r="Q76" s="1683">
        <f>+M76+O76</f>
        <v>0</v>
      </c>
      <c r="R76" s="1683">
        <f t="shared" si="74"/>
        <v>58</v>
      </c>
      <c r="S76" s="1683"/>
      <c r="T76" s="1683">
        <f>+T70+T74+T72</f>
        <v>18</v>
      </c>
      <c r="U76" s="1683">
        <f>+Q76+S76</f>
        <v>0</v>
      </c>
      <c r="V76" s="1683">
        <f t="shared" si="75"/>
        <v>76</v>
      </c>
      <c r="W76" s="1683"/>
      <c r="X76" s="1683">
        <f>+X70+X74+X72</f>
        <v>15</v>
      </c>
      <c r="Y76" s="1683">
        <f>O76+S76+W76</f>
        <v>0</v>
      </c>
      <c r="Z76" s="1683">
        <f t="shared" si="38"/>
        <v>54</v>
      </c>
      <c r="AA76" s="1683">
        <f t="shared" si="76"/>
        <v>0</v>
      </c>
      <c r="AB76" s="1683">
        <f t="shared" si="76"/>
        <v>91</v>
      </c>
      <c r="AC76" s="1683"/>
      <c r="AD76" s="1683">
        <f>+AD70+AD74+AD72</f>
        <v>17</v>
      </c>
      <c r="AE76" s="1683">
        <f>+AA76+AC76</f>
        <v>0</v>
      </c>
      <c r="AF76" s="1683">
        <f t="shared" si="77"/>
        <v>108</v>
      </c>
      <c r="AG76" s="1683"/>
      <c r="AH76" s="1683">
        <f>+AH70+AH74+AH72</f>
        <v>17</v>
      </c>
      <c r="AI76" s="1683">
        <f>+AE76+AG76</f>
        <v>0</v>
      </c>
      <c r="AJ76" s="1683">
        <f t="shared" si="78"/>
        <v>125</v>
      </c>
      <c r="AK76" s="1683"/>
      <c r="AL76" s="1683">
        <f>+AL70+AL74+AL72</f>
        <v>19</v>
      </c>
      <c r="AM76" s="1683">
        <f>AC76+AG76+AK76</f>
        <v>0</v>
      </c>
      <c r="AN76" s="1683">
        <f t="shared" si="42"/>
        <v>53</v>
      </c>
      <c r="AO76" s="1683">
        <f>+AI76+AK76</f>
        <v>0</v>
      </c>
      <c r="AP76" s="1683">
        <f t="shared" si="79"/>
        <v>144</v>
      </c>
      <c r="AQ76" s="1683"/>
      <c r="AR76" s="1683">
        <f>+AR70+AR74+AR72</f>
        <v>16</v>
      </c>
      <c r="AS76" s="1683">
        <f t="shared" si="86"/>
        <v>0</v>
      </c>
      <c r="AT76" s="1683">
        <f t="shared" si="86"/>
        <v>160</v>
      </c>
      <c r="AU76" s="1683"/>
      <c r="AV76" s="1683">
        <f>+AV70+AV74+AV72</f>
        <v>19</v>
      </c>
      <c r="AW76" s="1683">
        <f t="shared" si="87"/>
        <v>0</v>
      </c>
      <c r="AX76" s="1683">
        <f t="shared" si="87"/>
        <v>179</v>
      </c>
      <c r="AY76" s="1683"/>
      <c r="AZ76" s="1683">
        <f>+AZ70+AZ74+AZ72</f>
        <v>17</v>
      </c>
      <c r="BA76" s="1683">
        <f>AQ76+AU76+AY76</f>
        <v>0</v>
      </c>
      <c r="BB76" s="1683">
        <f t="shared" si="80"/>
        <v>52</v>
      </c>
      <c r="BC76" s="1683">
        <f t="shared" si="81"/>
        <v>0</v>
      </c>
      <c r="BD76" s="1683">
        <f t="shared" si="81"/>
        <v>105</v>
      </c>
      <c r="BE76" s="1683">
        <f t="shared" si="82"/>
        <v>0</v>
      </c>
      <c r="BF76" s="1683">
        <f t="shared" si="82"/>
        <v>196</v>
      </c>
    </row>
    <row r="77" spans="2:58" ht="18.75" x14ac:dyDescent="0.3">
      <c r="B77" s="5153"/>
      <c r="C77" s="1681" t="s">
        <v>1458</v>
      </c>
      <c r="D77" s="1682"/>
      <c r="E77" s="1683">
        <v>36132.221129673999</v>
      </c>
      <c r="F77" s="1683">
        <f>+F71+F75+F73</f>
        <v>31875</v>
      </c>
      <c r="G77" s="1683">
        <v>37018.977516319253</v>
      </c>
      <c r="H77" s="1683">
        <f>+H71+H75+H73</f>
        <v>36097</v>
      </c>
      <c r="I77" s="1683"/>
      <c r="J77" s="1683">
        <f t="shared" si="83"/>
        <v>67972</v>
      </c>
      <c r="K77" s="1683">
        <v>66622.288847558651</v>
      </c>
      <c r="L77" s="1683">
        <f>+L71+L75+L73</f>
        <v>79760</v>
      </c>
      <c r="M77" s="1683">
        <f>+I77+K77</f>
        <v>66622.288847558651</v>
      </c>
      <c r="N77" s="1683">
        <f t="shared" si="73"/>
        <v>147732</v>
      </c>
      <c r="O77" s="1683">
        <v>68888.300466670378</v>
      </c>
      <c r="P77" s="1683">
        <f>+P71+P75+P73</f>
        <v>82277</v>
      </c>
      <c r="Q77" s="1683">
        <f>+M77+O77</f>
        <v>135510.58931422903</v>
      </c>
      <c r="R77" s="1683">
        <f t="shared" si="74"/>
        <v>230009</v>
      </c>
      <c r="S77" s="1683">
        <v>68944.563945729635</v>
      </c>
      <c r="T77" s="1683">
        <f>+T71+T75+T73</f>
        <v>71378</v>
      </c>
      <c r="U77" s="1683">
        <f>+Q77+S77</f>
        <v>204455.15325995866</v>
      </c>
      <c r="V77" s="1683">
        <f t="shared" si="75"/>
        <v>301387</v>
      </c>
      <c r="W77" s="1683">
        <v>67052.001168873758</v>
      </c>
      <c r="X77" s="1683">
        <f>+X71+X75+X73</f>
        <v>59161</v>
      </c>
      <c r="Y77" s="1683">
        <f>O77+S77+W77</f>
        <v>204884.86558127374</v>
      </c>
      <c r="Z77" s="1683">
        <f t="shared" si="38"/>
        <v>212816</v>
      </c>
      <c r="AA77" s="1683">
        <f t="shared" si="76"/>
        <v>271507.15442883241</v>
      </c>
      <c r="AB77" s="1683">
        <f t="shared" si="76"/>
        <v>360548</v>
      </c>
      <c r="AC77" s="1683">
        <v>69330.672070773799</v>
      </c>
      <c r="AD77" s="1683">
        <f>+AD71+AD75+AD73</f>
        <v>63073</v>
      </c>
      <c r="AE77" s="1683">
        <f>+AA77+AC77</f>
        <v>340837.82649960619</v>
      </c>
      <c r="AF77" s="1683">
        <f t="shared" si="77"/>
        <v>423621</v>
      </c>
      <c r="AG77" s="1683"/>
      <c r="AH77" s="1683">
        <f>+AH71+AH75+AH73</f>
        <v>67961</v>
      </c>
      <c r="AI77" s="1683">
        <f>+AE77+AG77</f>
        <v>340837.82649960619</v>
      </c>
      <c r="AJ77" s="1683">
        <f t="shared" si="78"/>
        <v>491582</v>
      </c>
      <c r="AK77" s="1683"/>
      <c r="AL77" s="1683">
        <f>+AL71+AL75+AL73</f>
        <v>75335</v>
      </c>
      <c r="AM77" s="1683">
        <f>AC77+AG77+AK77</f>
        <v>69330.672070773799</v>
      </c>
      <c r="AN77" s="1683">
        <f t="shared" si="42"/>
        <v>206369</v>
      </c>
      <c r="AO77" s="1683">
        <f>+AI77+AK77</f>
        <v>340837.82649960619</v>
      </c>
      <c r="AP77" s="1683">
        <f t="shared" si="79"/>
        <v>566917</v>
      </c>
      <c r="AQ77" s="1683"/>
      <c r="AR77" s="1683">
        <f>+AR71+AR75+AR73</f>
        <v>64495</v>
      </c>
      <c r="AS77" s="1683">
        <f t="shared" si="86"/>
        <v>340837.82649960619</v>
      </c>
      <c r="AT77" s="1683">
        <f t="shared" si="86"/>
        <v>631412</v>
      </c>
      <c r="AU77" s="1683"/>
      <c r="AV77" s="1683">
        <f>+AV71+AV75+AV73</f>
        <v>76245</v>
      </c>
      <c r="AW77" s="1683">
        <f t="shared" si="87"/>
        <v>340837.82649960619</v>
      </c>
      <c r="AX77" s="1683">
        <f t="shared" si="87"/>
        <v>707657</v>
      </c>
      <c r="AY77" s="1683"/>
      <c r="AZ77" s="1683">
        <f>+AZ71+AZ75+AZ73</f>
        <v>67866</v>
      </c>
      <c r="BA77" s="1683">
        <f>AQ77+AU77+AY77</f>
        <v>0</v>
      </c>
      <c r="BB77" s="1683">
        <f t="shared" si="80"/>
        <v>208606</v>
      </c>
      <c r="BC77" s="1683">
        <f t="shared" si="81"/>
        <v>69330.672070773799</v>
      </c>
      <c r="BD77" s="1683">
        <f t="shared" si="81"/>
        <v>414975</v>
      </c>
      <c r="BE77" s="1683">
        <f t="shared" si="82"/>
        <v>340837.82649960619</v>
      </c>
      <c r="BF77" s="1683">
        <f t="shared" si="82"/>
        <v>775523</v>
      </c>
    </row>
    <row r="78" spans="2:58" x14ac:dyDescent="0.25">
      <c r="B78" s="1772"/>
      <c r="C78" s="1433"/>
      <c r="D78" s="1433"/>
      <c r="E78" s="1433"/>
      <c r="F78" s="1433"/>
      <c r="G78" s="1433"/>
      <c r="H78" s="1433"/>
      <c r="I78" s="1433"/>
      <c r="J78" s="1433"/>
      <c r="K78" s="1433"/>
      <c r="L78" s="1433"/>
      <c r="M78" s="1433"/>
      <c r="N78" s="1433"/>
      <c r="O78" s="1433"/>
      <c r="P78" s="1433"/>
      <c r="Q78" s="1433"/>
      <c r="R78" s="1433"/>
      <c r="S78" s="1433"/>
      <c r="T78" s="1433"/>
      <c r="U78" s="1433"/>
      <c r="V78" s="1433"/>
      <c r="W78" s="1433"/>
      <c r="X78" s="1433"/>
      <c r="Y78" s="1433"/>
      <c r="Z78" s="1433"/>
      <c r="AA78" s="1433"/>
      <c r="AB78" s="1433"/>
      <c r="AC78" s="1433"/>
      <c r="AD78" s="1433"/>
      <c r="AE78" s="1433"/>
      <c r="AF78" s="1433"/>
      <c r="AG78" s="1433"/>
      <c r="AH78" s="1433"/>
      <c r="AI78" s="1433"/>
      <c r="AJ78" s="1433"/>
      <c r="AK78" s="1433"/>
      <c r="AL78" s="1433"/>
      <c r="AM78" s="1433"/>
      <c r="AN78" s="1433"/>
      <c r="AO78" s="1433"/>
      <c r="AP78" s="1433"/>
      <c r="AQ78" s="1433"/>
      <c r="AR78" s="1433"/>
      <c r="AS78" s="1433"/>
      <c r="AT78" s="1433"/>
      <c r="AU78" s="1433"/>
      <c r="AV78" s="1433"/>
      <c r="AW78" s="1433"/>
      <c r="AX78" s="1433"/>
      <c r="AY78" s="1433"/>
      <c r="AZ78" s="1433"/>
      <c r="BA78" s="1433"/>
      <c r="BB78" s="1433"/>
      <c r="BC78" s="1433"/>
      <c r="BD78" s="1433"/>
      <c r="BE78" s="1433"/>
      <c r="BF78" s="1433"/>
    </row>
    <row r="79" spans="2:58" ht="18.75" x14ac:dyDescent="0.3">
      <c r="B79" s="1768" t="s">
        <v>1473</v>
      </c>
      <c r="C79" s="1081"/>
      <c r="D79" s="1081"/>
      <c r="E79" s="1081"/>
      <c r="F79" s="1081"/>
      <c r="G79" s="1081"/>
      <c r="H79" s="1081"/>
      <c r="I79" s="1081"/>
      <c r="J79" s="1081"/>
      <c r="K79" s="1081"/>
      <c r="L79" s="1081"/>
      <c r="M79" s="1081"/>
      <c r="N79" s="1081"/>
      <c r="O79" s="1081"/>
      <c r="P79" s="1081"/>
      <c r="Q79" s="1081"/>
      <c r="R79" s="1081"/>
      <c r="S79" s="1081"/>
      <c r="T79" s="1081"/>
      <c r="U79" s="1081"/>
      <c r="V79" s="1081"/>
      <c r="W79" s="1081"/>
      <c r="X79" s="1081"/>
      <c r="Y79" s="1081"/>
      <c r="Z79" s="1081"/>
      <c r="AA79" s="1081"/>
      <c r="AB79" s="1081"/>
      <c r="AC79" s="1081"/>
      <c r="AD79" s="1081"/>
      <c r="AE79" s="1081"/>
      <c r="AF79" s="1081"/>
      <c r="AG79" s="1081"/>
      <c r="AH79" s="1081"/>
      <c r="AI79" s="1081"/>
      <c r="AJ79" s="1081"/>
      <c r="AK79" s="1081"/>
      <c r="AL79" s="1081"/>
      <c r="AM79" s="1081"/>
      <c r="AN79" s="1081"/>
      <c r="AO79" s="1081"/>
      <c r="AP79" s="1081"/>
      <c r="AQ79" s="1081"/>
      <c r="AR79" s="1081"/>
      <c r="AS79" s="1081"/>
      <c r="AT79" s="1081"/>
      <c r="AU79" s="1081"/>
      <c r="AV79" s="1081"/>
      <c r="AW79" s="1081"/>
      <c r="AX79" s="1081"/>
      <c r="AY79" s="1081"/>
      <c r="AZ79" s="1081"/>
      <c r="BA79" s="1081"/>
      <c r="BB79" s="1081"/>
      <c r="BC79" s="1081"/>
      <c r="BD79" s="1081"/>
      <c r="BE79" s="1081"/>
      <c r="BF79" s="1081"/>
    </row>
    <row r="80" spans="2:58" x14ac:dyDescent="0.25">
      <c r="B80" s="4609" t="s">
        <v>25</v>
      </c>
      <c r="C80" s="421" t="s">
        <v>1458</v>
      </c>
      <c r="D80" s="421"/>
      <c r="E80" s="1667"/>
      <c r="F80" s="3216">
        <v>2235.64</v>
      </c>
      <c r="G80" s="1667"/>
      <c r="H80" s="3216">
        <v>0</v>
      </c>
      <c r="I80" s="4614"/>
      <c r="J80" s="3216">
        <f t="shared" si="83"/>
        <v>2235.64</v>
      </c>
      <c r="K80" s="1667"/>
      <c r="L80" s="3216">
        <v>1668</v>
      </c>
      <c r="M80" s="4614">
        <f t="shared" ref="M80:M82" si="89">+I80+K80</f>
        <v>0</v>
      </c>
      <c r="N80" s="3216">
        <f t="shared" si="73"/>
        <v>3903.64</v>
      </c>
      <c r="O80" s="1667"/>
      <c r="P80" s="3216">
        <v>816</v>
      </c>
      <c r="Q80" s="4614">
        <f t="shared" ref="Q80:Q82" si="90">+M80+O80</f>
        <v>0</v>
      </c>
      <c r="R80" s="3216">
        <f t="shared" si="74"/>
        <v>4719.6399999999994</v>
      </c>
      <c r="S80" s="1667"/>
      <c r="T80" s="3216">
        <v>0</v>
      </c>
      <c r="U80" s="4614">
        <f t="shared" ref="U80:U82" si="91">+Q80+S80</f>
        <v>0</v>
      </c>
      <c r="V80" s="3216">
        <f t="shared" si="75"/>
        <v>4719.6399999999994</v>
      </c>
      <c r="W80" s="1667"/>
      <c r="X80" s="3216">
        <v>0</v>
      </c>
      <c r="Y80" s="4614">
        <f>O80+S80+W80</f>
        <v>0</v>
      </c>
      <c r="Z80" s="3216">
        <f t="shared" si="38"/>
        <v>816</v>
      </c>
      <c r="AA80" s="4614">
        <f t="shared" ref="AA80:AA82" si="92">+M80+Y80</f>
        <v>0</v>
      </c>
      <c r="AB80" s="3216">
        <f t="shared" si="76"/>
        <v>4719.6399999999994</v>
      </c>
      <c r="AC80" s="1667"/>
      <c r="AD80" s="3216">
        <v>0</v>
      </c>
      <c r="AE80" s="4614">
        <f t="shared" ref="AE80:AE82" si="93">+AA80+AC80</f>
        <v>0</v>
      </c>
      <c r="AF80" s="3216">
        <f t="shared" si="77"/>
        <v>4719.6399999999994</v>
      </c>
      <c r="AG80" s="1667"/>
      <c r="AH80" s="3216">
        <v>0</v>
      </c>
      <c r="AI80" s="4614">
        <f t="shared" ref="AI80:AI82" si="94">+AE80+AG80</f>
        <v>0</v>
      </c>
      <c r="AJ80" s="3216">
        <f t="shared" si="78"/>
        <v>4719.6399999999994</v>
      </c>
      <c r="AK80" s="1667"/>
      <c r="AL80" s="3216">
        <v>0</v>
      </c>
      <c r="AM80" s="4614">
        <f>AC80+AG80+AK80</f>
        <v>0</v>
      </c>
      <c r="AN80" s="3216">
        <f t="shared" si="42"/>
        <v>0</v>
      </c>
      <c r="AO80" s="4614">
        <f t="shared" ref="AO80:AO82" si="95">+AI80+AK80</f>
        <v>0</v>
      </c>
      <c r="AP80" s="3216">
        <f t="shared" si="79"/>
        <v>4719.6399999999994</v>
      </c>
      <c r="AQ80" s="1667"/>
      <c r="AR80" s="3216">
        <v>0</v>
      </c>
      <c r="AS80" s="4614">
        <f t="shared" si="86"/>
        <v>0</v>
      </c>
      <c r="AT80" s="3216">
        <f t="shared" si="86"/>
        <v>4719.6399999999994</v>
      </c>
      <c r="AU80" s="1667"/>
      <c r="AV80" s="3216">
        <v>0</v>
      </c>
      <c r="AW80" s="4614">
        <f t="shared" si="87"/>
        <v>0</v>
      </c>
      <c r="AX80" s="3216">
        <f t="shared" si="87"/>
        <v>4719.6399999999994</v>
      </c>
      <c r="AY80" s="1667"/>
      <c r="AZ80" s="3216"/>
      <c r="BA80" s="4614">
        <f>AQ80+AU80+AY80</f>
        <v>0</v>
      </c>
      <c r="BB80" s="3216">
        <f t="shared" ref="BB80:BB83" si="96">AR80+AV80+AZ80</f>
        <v>0</v>
      </c>
      <c r="BC80" s="4614">
        <f t="shared" ref="BC80:BD83" si="97">+AM80+BA80</f>
        <v>0</v>
      </c>
      <c r="BD80" s="3216">
        <f t="shared" si="97"/>
        <v>0</v>
      </c>
      <c r="BE80" s="4614">
        <f t="shared" ref="BE80:BF83" si="98">+AW80+AY80</f>
        <v>0</v>
      </c>
      <c r="BF80" s="3216">
        <f t="shared" si="98"/>
        <v>4719.6399999999994</v>
      </c>
    </row>
    <row r="81" spans="2:58" x14ac:dyDescent="0.25">
      <c r="B81" s="5145" t="s">
        <v>24</v>
      </c>
      <c r="C81" s="421" t="s">
        <v>1457</v>
      </c>
      <c r="D81" s="421"/>
      <c r="E81" s="421"/>
      <c r="F81" s="1106">
        <v>0</v>
      </c>
      <c r="G81" s="421"/>
      <c r="H81" s="1106">
        <v>1</v>
      </c>
      <c r="I81" s="4614"/>
      <c r="J81" s="1106">
        <f t="shared" si="83"/>
        <v>1</v>
      </c>
      <c r="K81" s="421"/>
      <c r="L81" s="1106">
        <v>0</v>
      </c>
      <c r="M81" s="4614">
        <f t="shared" si="89"/>
        <v>0</v>
      </c>
      <c r="N81" s="1106">
        <f t="shared" si="73"/>
        <v>1</v>
      </c>
      <c r="O81" s="421"/>
      <c r="P81" s="1106">
        <v>1</v>
      </c>
      <c r="Q81" s="4614">
        <f t="shared" si="90"/>
        <v>0</v>
      </c>
      <c r="R81" s="1106">
        <f t="shared" si="74"/>
        <v>2</v>
      </c>
      <c r="S81" s="421"/>
      <c r="T81" s="1106">
        <v>1</v>
      </c>
      <c r="U81" s="4614">
        <f t="shared" si="91"/>
        <v>0</v>
      </c>
      <c r="V81" s="1106">
        <f t="shared" si="75"/>
        <v>3</v>
      </c>
      <c r="W81" s="421"/>
      <c r="X81" s="1106">
        <v>0</v>
      </c>
      <c r="Y81" s="4614">
        <f t="shared" ref="Y81:Y82" si="99">O81+S81+W81</f>
        <v>0</v>
      </c>
      <c r="Z81" s="1106">
        <f t="shared" si="38"/>
        <v>2</v>
      </c>
      <c r="AA81" s="4614">
        <f t="shared" si="92"/>
        <v>0</v>
      </c>
      <c r="AB81" s="1106">
        <f t="shared" si="76"/>
        <v>3</v>
      </c>
      <c r="AC81" s="421"/>
      <c r="AD81" s="1106">
        <v>1</v>
      </c>
      <c r="AE81" s="4614">
        <f t="shared" si="93"/>
        <v>0</v>
      </c>
      <c r="AF81" s="1106">
        <f t="shared" si="77"/>
        <v>4</v>
      </c>
      <c r="AG81" s="421"/>
      <c r="AH81" s="1106">
        <v>0</v>
      </c>
      <c r="AI81" s="4614">
        <f t="shared" si="94"/>
        <v>0</v>
      </c>
      <c r="AJ81" s="1106">
        <f t="shared" si="78"/>
        <v>4</v>
      </c>
      <c r="AK81" s="421"/>
      <c r="AL81" s="1106">
        <v>0</v>
      </c>
      <c r="AM81" s="4614">
        <f t="shared" ref="AM81:AM82" si="100">AC81+AG81+AK81</f>
        <v>0</v>
      </c>
      <c r="AN81" s="1106">
        <f t="shared" si="42"/>
        <v>1</v>
      </c>
      <c r="AO81" s="4614">
        <f t="shared" si="95"/>
        <v>0</v>
      </c>
      <c r="AP81" s="1106">
        <f t="shared" si="79"/>
        <v>4</v>
      </c>
      <c r="AQ81" s="421"/>
      <c r="AR81" s="1106">
        <v>0</v>
      </c>
      <c r="AS81" s="4614">
        <f t="shared" si="86"/>
        <v>0</v>
      </c>
      <c r="AT81" s="1106">
        <f t="shared" si="86"/>
        <v>4</v>
      </c>
      <c r="AU81" s="421"/>
      <c r="AV81" s="1106">
        <v>0</v>
      </c>
      <c r="AW81" s="4614">
        <f t="shared" si="87"/>
        <v>0</v>
      </c>
      <c r="AX81" s="1106">
        <f t="shared" si="87"/>
        <v>4</v>
      </c>
      <c r="AY81" s="421"/>
      <c r="AZ81" s="1106">
        <v>0</v>
      </c>
      <c r="BA81" s="4614">
        <f t="shared" ref="BA81:BA82" si="101">AQ81+AU81+AY81</f>
        <v>0</v>
      </c>
      <c r="BB81" s="1106">
        <f t="shared" si="96"/>
        <v>0</v>
      </c>
      <c r="BC81" s="4614">
        <f t="shared" si="97"/>
        <v>0</v>
      </c>
      <c r="BD81" s="1106">
        <f t="shared" si="97"/>
        <v>1</v>
      </c>
      <c r="BE81" s="4614">
        <f t="shared" si="98"/>
        <v>0</v>
      </c>
      <c r="BF81" s="1106">
        <f t="shared" si="98"/>
        <v>4</v>
      </c>
    </row>
    <row r="82" spans="2:58" x14ac:dyDescent="0.25">
      <c r="B82" s="5147"/>
      <c r="C82" s="421" t="s">
        <v>1458</v>
      </c>
      <c r="D82" s="421"/>
      <c r="E82" s="1667"/>
      <c r="F82" s="1106">
        <v>0</v>
      </c>
      <c r="G82" s="1667"/>
      <c r="H82" s="1106">
        <v>3839</v>
      </c>
      <c r="I82" s="4614"/>
      <c r="J82" s="1106">
        <f t="shared" si="83"/>
        <v>3839</v>
      </c>
      <c r="K82" s="1667"/>
      <c r="L82" s="1106">
        <v>0</v>
      </c>
      <c r="M82" s="4614">
        <f t="shared" si="89"/>
        <v>0</v>
      </c>
      <c r="N82" s="1106">
        <f t="shared" si="73"/>
        <v>3839</v>
      </c>
      <c r="O82" s="1667"/>
      <c r="P82" s="1106">
        <v>3611</v>
      </c>
      <c r="Q82" s="4614">
        <f t="shared" si="90"/>
        <v>0</v>
      </c>
      <c r="R82" s="1106">
        <f t="shared" si="74"/>
        <v>7450</v>
      </c>
      <c r="S82" s="1667"/>
      <c r="T82" s="1106">
        <v>3739</v>
      </c>
      <c r="U82" s="4614">
        <f t="shared" si="91"/>
        <v>0</v>
      </c>
      <c r="V82" s="1106">
        <f t="shared" si="75"/>
        <v>11189</v>
      </c>
      <c r="W82" s="1667"/>
      <c r="X82" s="1106">
        <v>0</v>
      </c>
      <c r="Y82" s="4614">
        <f t="shared" si="99"/>
        <v>0</v>
      </c>
      <c r="Z82" s="1106">
        <f t="shared" si="38"/>
        <v>7350</v>
      </c>
      <c r="AA82" s="4614">
        <f t="shared" si="92"/>
        <v>0</v>
      </c>
      <c r="AB82" s="1106">
        <f t="shared" si="76"/>
        <v>11189</v>
      </c>
      <c r="AC82" s="1667"/>
      <c r="AD82" s="1106">
        <v>3728</v>
      </c>
      <c r="AE82" s="4614">
        <f t="shared" si="93"/>
        <v>0</v>
      </c>
      <c r="AF82" s="1106">
        <f t="shared" si="77"/>
        <v>14917</v>
      </c>
      <c r="AG82" s="1667"/>
      <c r="AH82" s="1106">
        <v>0</v>
      </c>
      <c r="AI82" s="4614">
        <f t="shared" si="94"/>
        <v>0</v>
      </c>
      <c r="AJ82" s="1106">
        <f t="shared" si="78"/>
        <v>14917</v>
      </c>
      <c r="AK82" s="1667"/>
      <c r="AL82" s="1106">
        <v>0</v>
      </c>
      <c r="AM82" s="4614">
        <f t="shared" si="100"/>
        <v>0</v>
      </c>
      <c r="AN82" s="1106">
        <f t="shared" si="42"/>
        <v>3728</v>
      </c>
      <c r="AO82" s="4614">
        <f t="shared" si="95"/>
        <v>0</v>
      </c>
      <c r="AP82" s="1106">
        <f t="shared" si="79"/>
        <v>14917</v>
      </c>
      <c r="AQ82" s="1667"/>
      <c r="AR82" s="1106">
        <v>0</v>
      </c>
      <c r="AS82" s="4614">
        <f t="shared" si="86"/>
        <v>0</v>
      </c>
      <c r="AT82" s="1106">
        <f t="shared" si="86"/>
        <v>14917</v>
      </c>
      <c r="AU82" s="1667"/>
      <c r="AV82" s="1106">
        <v>0</v>
      </c>
      <c r="AW82" s="4614">
        <f t="shared" si="87"/>
        <v>0</v>
      </c>
      <c r="AX82" s="1106">
        <f t="shared" si="87"/>
        <v>14917</v>
      </c>
      <c r="AY82" s="1667"/>
      <c r="AZ82" s="1106">
        <v>0</v>
      </c>
      <c r="BA82" s="4614">
        <f t="shared" si="101"/>
        <v>0</v>
      </c>
      <c r="BB82" s="1106">
        <f t="shared" si="96"/>
        <v>0</v>
      </c>
      <c r="BC82" s="4614">
        <f t="shared" si="97"/>
        <v>0</v>
      </c>
      <c r="BD82" s="1106">
        <f t="shared" si="97"/>
        <v>3728</v>
      </c>
      <c r="BE82" s="4614">
        <f t="shared" si="98"/>
        <v>0</v>
      </c>
      <c r="BF82" s="1106">
        <f t="shared" si="98"/>
        <v>14917</v>
      </c>
    </row>
    <row r="83" spans="2:58" ht="18.75" x14ac:dyDescent="0.3">
      <c r="B83" s="4610" t="s">
        <v>2</v>
      </c>
      <c r="C83" s="1681" t="s">
        <v>1458</v>
      </c>
      <c r="D83" s="1682"/>
      <c r="E83" s="1683">
        <v>2754.4303797468351</v>
      </c>
      <c r="F83" s="1683">
        <f>+F80+F82</f>
        <v>2235.64</v>
      </c>
      <c r="G83" s="1683">
        <v>3618.5654008438814</v>
      </c>
      <c r="H83" s="1683">
        <f>+H80+H82</f>
        <v>3839</v>
      </c>
      <c r="I83" s="1683"/>
      <c r="J83" s="1683">
        <f t="shared" si="83"/>
        <v>6074.6399999999994</v>
      </c>
      <c r="K83" s="1683">
        <v>6416.8101265822779</v>
      </c>
      <c r="L83" s="1683">
        <f>+L80+L82</f>
        <v>1668</v>
      </c>
      <c r="M83" s="1683">
        <f>+I83+K83</f>
        <v>6416.8101265822779</v>
      </c>
      <c r="N83" s="1683">
        <f t="shared" si="73"/>
        <v>7742.6399999999994</v>
      </c>
      <c r="O83" s="1683">
        <v>6634.32911392405</v>
      </c>
      <c r="P83" s="1683">
        <f>+P80+P82</f>
        <v>4427</v>
      </c>
      <c r="Q83" s="1683">
        <f>+M83+O83</f>
        <v>13051.139240506327</v>
      </c>
      <c r="R83" s="1683">
        <f t="shared" si="74"/>
        <v>12169.64</v>
      </c>
      <c r="S83" s="1683">
        <v>6634.32911392405</v>
      </c>
      <c r="T83" s="1683">
        <f>+T80+T82</f>
        <v>3739</v>
      </c>
      <c r="U83" s="1683">
        <f>+Q83+S83</f>
        <v>19685.468354430377</v>
      </c>
      <c r="V83" s="1683">
        <f t="shared" si="75"/>
        <v>15908.64</v>
      </c>
      <c r="W83" s="1683">
        <v>6452.6582278481001</v>
      </c>
      <c r="X83" s="1683">
        <f>+X80+X82</f>
        <v>0</v>
      </c>
      <c r="Y83" s="1683">
        <f>O83+S83+W83</f>
        <v>19721.3164556962</v>
      </c>
      <c r="Z83" s="1683">
        <f t="shared" si="38"/>
        <v>8166</v>
      </c>
      <c r="AA83" s="1683">
        <f>+M83+Y83</f>
        <v>26138.126582278477</v>
      </c>
      <c r="AB83" s="1683">
        <f t="shared" si="76"/>
        <v>15908.64</v>
      </c>
      <c r="AC83" s="1683">
        <v>6671.3924050632904</v>
      </c>
      <c r="AD83" s="1683">
        <f>+AD80+AD82</f>
        <v>3728</v>
      </c>
      <c r="AE83" s="1683">
        <f>+AA83+AC83</f>
        <v>32809.518987341769</v>
      </c>
      <c r="AF83" s="1683">
        <f t="shared" si="77"/>
        <v>19636.64</v>
      </c>
      <c r="AG83" s="1683"/>
      <c r="AH83" s="1683">
        <f>+AH80+AH82</f>
        <v>0</v>
      </c>
      <c r="AI83" s="1683">
        <f>+AE83+AG83</f>
        <v>32809.518987341769</v>
      </c>
      <c r="AJ83" s="1683">
        <f t="shared" si="78"/>
        <v>19636.64</v>
      </c>
      <c r="AK83" s="1683"/>
      <c r="AL83" s="1683">
        <f>+AL80+AL82</f>
        <v>0</v>
      </c>
      <c r="AM83" s="1683">
        <f>AC83+AG83+AK83</f>
        <v>6671.3924050632904</v>
      </c>
      <c r="AN83" s="1683">
        <f t="shared" si="42"/>
        <v>3728</v>
      </c>
      <c r="AO83" s="1683">
        <f>+AI83+AK83</f>
        <v>32809.518987341769</v>
      </c>
      <c r="AP83" s="1683">
        <f t="shared" si="79"/>
        <v>19636.64</v>
      </c>
      <c r="AQ83" s="1683"/>
      <c r="AR83" s="1683">
        <f>+AR80+AR82</f>
        <v>0</v>
      </c>
      <c r="AS83" s="1683">
        <f t="shared" si="86"/>
        <v>32809.518987341769</v>
      </c>
      <c r="AT83" s="1683">
        <f t="shared" si="86"/>
        <v>19636.64</v>
      </c>
      <c r="AU83" s="1683"/>
      <c r="AV83" s="1683">
        <f>+AV80+AV82</f>
        <v>0</v>
      </c>
      <c r="AW83" s="1683">
        <f t="shared" si="87"/>
        <v>32809.518987341769</v>
      </c>
      <c r="AX83" s="1683">
        <f t="shared" si="87"/>
        <v>19636.64</v>
      </c>
      <c r="AY83" s="1683"/>
      <c r="AZ83" s="1683">
        <f>+AZ80+AZ82</f>
        <v>0</v>
      </c>
      <c r="BA83" s="1683">
        <f>AQ83+AU83+AY83</f>
        <v>0</v>
      </c>
      <c r="BB83" s="1683">
        <f t="shared" si="96"/>
        <v>0</v>
      </c>
      <c r="BC83" s="1683">
        <f t="shared" si="97"/>
        <v>6671.3924050632904</v>
      </c>
      <c r="BD83" s="1683">
        <f t="shared" si="97"/>
        <v>3728</v>
      </c>
      <c r="BE83" s="1683">
        <f t="shared" si="98"/>
        <v>32809.518987341769</v>
      </c>
      <c r="BF83" s="1683">
        <f t="shared" si="98"/>
        <v>19636.64</v>
      </c>
    </row>
    <row r="84" spans="2:58" x14ac:dyDescent="0.25">
      <c r="B84" s="1772"/>
      <c r="C84" s="1433"/>
      <c r="D84" s="1433"/>
      <c r="E84" s="1433"/>
      <c r="F84" s="1433"/>
      <c r="G84" s="1433"/>
      <c r="H84" s="1433"/>
      <c r="I84" s="1433"/>
      <c r="J84" s="1433"/>
      <c r="K84" s="1433"/>
      <c r="L84" s="1433"/>
      <c r="M84" s="1433"/>
      <c r="N84" s="1433"/>
      <c r="O84" s="1433"/>
      <c r="P84" s="1433"/>
      <c r="Q84" s="1433"/>
      <c r="R84" s="1433"/>
      <c r="S84" s="1433"/>
      <c r="T84" s="1433"/>
      <c r="U84" s="1433"/>
      <c r="V84" s="1433"/>
      <c r="W84" s="1433"/>
      <c r="X84" s="1433"/>
      <c r="Y84" s="1433"/>
      <c r="Z84" s="1433"/>
      <c r="AA84" s="1433"/>
      <c r="AB84" s="1433"/>
      <c r="AC84" s="1433"/>
      <c r="AD84" s="1433"/>
      <c r="AE84" s="1433"/>
      <c r="AF84" s="1433"/>
      <c r="AG84" s="1433"/>
      <c r="AH84" s="1433"/>
      <c r="AI84" s="1433"/>
      <c r="AJ84" s="1433"/>
      <c r="AK84" s="1433"/>
      <c r="AL84" s="1433"/>
      <c r="AM84" s="1433"/>
      <c r="AN84" s="1433"/>
      <c r="AO84" s="1433"/>
      <c r="AP84" s="1433"/>
      <c r="AQ84" s="1433"/>
      <c r="AR84" s="1433"/>
      <c r="AS84" s="1433"/>
      <c r="AT84" s="1433"/>
      <c r="AU84" s="1433"/>
      <c r="AV84" s="1433"/>
      <c r="AW84" s="1433"/>
      <c r="AX84" s="1433"/>
      <c r="AY84" s="1433"/>
      <c r="AZ84" s="1433"/>
      <c r="BA84" s="1433"/>
      <c r="BB84" s="1433"/>
      <c r="BC84" s="1433"/>
      <c r="BD84" s="1433"/>
      <c r="BE84" s="1433"/>
      <c r="BF84" s="1433"/>
    </row>
    <row r="85" spans="2:58" ht="23.25" x14ac:dyDescent="0.35">
      <c r="B85" s="5163" t="s">
        <v>1494</v>
      </c>
      <c r="C85" s="5164"/>
      <c r="D85" s="1081"/>
      <c r="E85" s="1081"/>
      <c r="F85" s="1081"/>
      <c r="G85" s="1081"/>
      <c r="H85" s="1081"/>
      <c r="I85" s="1081"/>
      <c r="J85" s="1081"/>
      <c r="K85" s="1081"/>
      <c r="L85" s="1081"/>
      <c r="M85" s="1081"/>
      <c r="N85" s="1081"/>
      <c r="O85" s="1081"/>
      <c r="P85" s="1081"/>
      <c r="Q85" s="1081"/>
      <c r="R85" s="1081"/>
      <c r="S85" s="1081"/>
      <c r="T85" s="1081"/>
      <c r="U85" s="1081"/>
      <c r="V85" s="1081"/>
      <c r="W85" s="1081"/>
      <c r="X85" s="1081"/>
      <c r="Y85" s="1081"/>
      <c r="Z85" s="1081"/>
      <c r="AA85" s="1081"/>
      <c r="AB85" s="1081"/>
      <c r="AC85" s="1081"/>
      <c r="AD85" s="1081"/>
      <c r="AE85" s="1081"/>
      <c r="AF85" s="1081"/>
      <c r="AG85" s="1081"/>
      <c r="AH85" s="1081"/>
      <c r="AI85" s="1081"/>
      <c r="AJ85" s="1081"/>
      <c r="AK85" s="1081"/>
      <c r="AL85" s="1081"/>
      <c r="AM85" s="1081"/>
      <c r="AN85" s="1081"/>
      <c r="AO85" s="1081"/>
      <c r="AP85" s="1081"/>
      <c r="AQ85" s="1081"/>
      <c r="AR85" s="1081"/>
      <c r="AS85" s="1081"/>
      <c r="AT85" s="1081"/>
      <c r="AU85" s="1081"/>
      <c r="AV85" s="1081"/>
      <c r="AW85" s="1081"/>
      <c r="AX85" s="1081"/>
      <c r="AY85" s="1081"/>
      <c r="AZ85" s="1081"/>
      <c r="BA85" s="1081"/>
      <c r="BB85" s="1081"/>
      <c r="BC85" s="1081"/>
      <c r="BD85" s="1081"/>
      <c r="BE85" s="1081"/>
      <c r="BF85" s="1081"/>
    </row>
    <row r="86" spans="2:58" s="334" customFormat="1" x14ac:dyDescent="0.25">
      <c r="B86" s="5167" t="s">
        <v>1474</v>
      </c>
      <c r="C86" s="1081" t="s">
        <v>1476</v>
      </c>
      <c r="D86" s="1081"/>
      <c r="E86" s="1677"/>
      <c r="F86" s="1698"/>
      <c r="G86" s="1677"/>
      <c r="H86" s="1698"/>
      <c r="I86" s="1677"/>
      <c r="J86" s="1698"/>
      <c r="K86" s="1677"/>
      <c r="L86" s="1698"/>
      <c r="M86" s="1677"/>
      <c r="N86" s="1698"/>
      <c r="O86" s="1677"/>
      <c r="P86" s="1698"/>
      <c r="Q86" s="1677"/>
      <c r="R86" s="1698"/>
      <c r="S86" s="1677"/>
      <c r="T86" s="1698"/>
      <c r="U86" s="1677"/>
      <c r="V86" s="1698"/>
      <c r="W86" s="1677"/>
      <c r="X86" s="1698"/>
      <c r="Y86" s="1677"/>
      <c r="Z86" s="1698"/>
      <c r="AA86" s="1677"/>
      <c r="AB86" s="1698"/>
      <c r="AC86" s="1677"/>
      <c r="AD86" s="1698"/>
      <c r="AE86" s="1677"/>
      <c r="AF86" s="1698"/>
      <c r="AG86" s="1677"/>
      <c r="AH86" s="1698"/>
      <c r="AI86" s="1677"/>
      <c r="AJ86" s="1698"/>
      <c r="AK86" s="1677"/>
      <c r="AL86" s="1698"/>
      <c r="AM86" s="1677"/>
      <c r="AN86" s="1698"/>
      <c r="AO86" s="1677"/>
      <c r="AP86" s="1698"/>
      <c r="AQ86" s="1677"/>
      <c r="AR86" s="1698"/>
      <c r="AS86" s="1677"/>
      <c r="AT86" s="1698"/>
      <c r="AU86" s="1677"/>
      <c r="AV86" s="1698"/>
      <c r="AW86" s="1677"/>
      <c r="AX86" s="1698"/>
      <c r="AY86" s="1677"/>
      <c r="AZ86" s="1698"/>
      <c r="BA86" s="1677"/>
      <c r="BB86" s="1698"/>
      <c r="BC86" s="1677"/>
      <c r="BD86" s="1698"/>
      <c r="BE86" s="1677"/>
      <c r="BF86" s="1698"/>
    </row>
    <row r="87" spans="2:58" x14ac:dyDescent="0.25">
      <c r="B87" s="5168"/>
      <c r="C87" s="1394" t="s">
        <v>1457</v>
      </c>
      <c r="D87" s="421"/>
      <c r="E87" s="1667"/>
      <c r="F87" s="1515">
        <v>0</v>
      </c>
      <c r="G87" s="1667"/>
      <c r="H87" s="1515">
        <v>0</v>
      </c>
      <c r="I87" s="1673"/>
      <c r="J87" s="1673">
        <f t="shared" si="83"/>
        <v>0</v>
      </c>
      <c r="K87" s="1667"/>
      <c r="L87" s="1515">
        <v>1</v>
      </c>
      <c r="M87" s="1674">
        <f t="shared" ref="M87:N102" si="102">+I87+K87</f>
        <v>0</v>
      </c>
      <c r="N87" s="1674">
        <f t="shared" si="102"/>
        <v>1</v>
      </c>
      <c r="O87" s="1667"/>
      <c r="P87" s="1515">
        <v>0</v>
      </c>
      <c r="Q87" s="1673">
        <f t="shared" ref="Q87:R102" si="103">+M87+O87</f>
        <v>0</v>
      </c>
      <c r="R87" s="1673">
        <f t="shared" si="103"/>
        <v>1</v>
      </c>
      <c r="S87" s="1667"/>
      <c r="T87" s="1515">
        <v>0</v>
      </c>
      <c r="U87" s="1673">
        <f t="shared" ref="U87:V102" si="104">+Q87+S87</f>
        <v>0</v>
      </c>
      <c r="V87" s="1673">
        <f t="shared" si="104"/>
        <v>1</v>
      </c>
      <c r="W87" s="1667"/>
      <c r="X87" s="1515">
        <v>0</v>
      </c>
      <c r="Y87" s="1674">
        <f t="shared" ref="Y87:Y88" si="105">O87+S87+W87</f>
        <v>0</v>
      </c>
      <c r="Z87" s="1674">
        <f t="shared" si="38"/>
        <v>0</v>
      </c>
      <c r="AA87" s="1820">
        <f t="shared" ref="AA87:AB102" si="106">+M87+Y87</f>
        <v>0</v>
      </c>
      <c r="AB87" s="1820">
        <f t="shared" si="106"/>
        <v>1</v>
      </c>
      <c r="AC87" s="1667"/>
      <c r="AD87" s="1515"/>
      <c r="AE87" s="1673">
        <f t="shared" ref="AE87:AF102" si="107">+AA87+AC87</f>
        <v>0</v>
      </c>
      <c r="AF87" s="1673">
        <f t="shared" si="107"/>
        <v>1</v>
      </c>
      <c r="AG87" s="1667"/>
      <c r="AH87" s="1515">
        <v>0</v>
      </c>
      <c r="AI87" s="1673">
        <f t="shared" ref="AI87:AJ102" si="108">+AE87+AG87</f>
        <v>0</v>
      </c>
      <c r="AJ87" s="1673">
        <f t="shared" si="108"/>
        <v>1</v>
      </c>
      <c r="AK87" s="1667"/>
      <c r="AL87" s="1515">
        <v>0</v>
      </c>
      <c r="AM87" s="1674">
        <f t="shared" ref="AM87:AM88" si="109">AC87+AG87+AK87</f>
        <v>0</v>
      </c>
      <c r="AN87" s="1674">
        <f t="shared" si="42"/>
        <v>0</v>
      </c>
      <c r="AO87" s="1673">
        <f t="shared" ref="AO87:AP102" si="110">+AI87+AK87</f>
        <v>0</v>
      </c>
      <c r="AP87" s="1673">
        <f t="shared" si="110"/>
        <v>1</v>
      </c>
      <c r="AQ87" s="1667"/>
      <c r="AR87" s="1515">
        <v>1</v>
      </c>
      <c r="AS87" s="1673">
        <f t="shared" si="86"/>
        <v>0</v>
      </c>
      <c r="AT87" s="1673">
        <f t="shared" si="86"/>
        <v>2</v>
      </c>
      <c r="AU87" s="1667"/>
      <c r="AV87" s="1515">
        <v>0</v>
      </c>
      <c r="AW87" s="1673">
        <f t="shared" si="87"/>
        <v>0</v>
      </c>
      <c r="AX87" s="1673">
        <f t="shared" si="87"/>
        <v>2</v>
      </c>
      <c r="AY87" s="1667"/>
      <c r="AZ87" s="1515">
        <v>0</v>
      </c>
      <c r="BA87" s="1674">
        <f t="shared" ref="BA87:BB88" si="111">AQ87+AU87+AY87</f>
        <v>0</v>
      </c>
      <c r="BB87" s="1674">
        <f t="shared" si="111"/>
        <v>1</v>
      </c>
      <c r="BC87" s="1820">
        <f>+AM87+BA87</f>
        <v>0</v>
      </c>
      <c r="BD87" s="1820">
        <f>+AN87+BB87</f>
        <v>1</v>
      </c>
      <c r="BE87" s="1673">
        <f t="shared" ref="BE87:BF88" si="112">+AW87+AY87</f>
        <v>0</v>
      </c>
      <c r="BF87" s="1673">
        <f t="shared" si="112"/>
        <v>2</v>
      </c>
    </row>
    <row r="88" spans="2:58" x14ac:dyDescent="0.25">
      <c r="B88" s="5168"/>
      <c r="C88" s="1394" t="s">
        <v>1458</v>
      </c>
      <c r="D88" s="421"/>
      <c r="E88" s="1667"/>
      <c r="F88" s="1106">
        <v>0</v>
      </c>
      <c r="G88" s="1667"/>
      <c r="H88" s="1106">
        <v>0</v>
      </c>
      <c r="I88" s="1673"/>
      <c r="J88" s="1673">
        <f t="shared" si="83"/>
        <v>0</v>
      </c>
      <c r="K88" s="1667"/>
      <c r="L88" s="1106">
        <v>2584</v>
      </c>
      <c r="M88" s="1674">
        <f t="shared" si="102"/>
        <v>0</v>
      </c>
      <c r="N88" s="1674">
        <f t="shared" si="102"/>
        <v>2584</v>
      </c>
      <c r="O88" s="1667"/>
      <c r="P88" s="1106">
        <v>0</v>
      </c>
      <c r="Q88" s="1673">
        <f t="shared" si="103"/>
        <v>0</v>
      </c>
      <c r="R88" s="1673">
        <f t="shared" si="103"/>
        <v>2584</v>
      </c>
      <c r="S88" s="1667"/>
      <c r="T88" s="1106">
        <v>0</v>
      </c>
      <c r="U88" s="1673">
        <f t="shared" si="104"/>
        <v>0</v>
      </c>
      <c r="V88" s="1673">
        <f t="shared" si="104"/>
        <v>2584</v>
      </c>
      <c r="W88" s="1667"/>
      <c r="X88" s="1106">
        <v>0</v>
      </c>
      <c r="Y88" s="1674">
        <f t="shared" si="105"/>
        <v>0</v>
      </c>
      <c r="Z88" s="1674">
        <f t="shared" si="38"/>
        <v>0</v>
      </c>
      <c r="AA88" s="1820">
        <f t="shared" si="106"/>
        <v>0</v>
      </c>
      <c r="AB88" s="1820">
        <f t="shared" si="106"/>
        <v>2584</v>
      </c>
      <c r="AC88" s="1667"/>
      <c r="AD88" s="1106"/>
      <c r="AE88" s="1673">
        <f t="shared" si="107"/>
        <v>0</v>
      </c>
      <c r="AF88" s="1673">
        <f t="shared" si="107"/>
        <v>2584</v>
      </c>
      <c r="AG88" s="1667"/>
      <c r="AH88" s="1106">
        <v>0</v>
      </c>
      <c r="AI88" s="1673">
        <f t="shared" si="108"/>
        <v>0</v>
      </c>
      <c r="AJ88" s="1673">
        <f t="shared" si="108"/>
        <v>2584</v>
      </c>
      <c r="AK88" s="1667"/>
      <c r="AL88" s="1106">
        <v>0</v>
      </c>
      <c r="AM88" s="1674">
        <f t="shared" si="109"/>
        <v>0</v>
      </c>
      <c r="AN88" s="1674">
        <f t="shared" si="42"/>
        <v>0</v>
      </c>
      <c r="AO88" s="1673">
        <f t="shared" si="110"/>
        <v>0</v>
      </c>
      <c r="AP88" s="1673">
        <f t="shared" si="110"/>
        <v>2584</v>
      </c>
      <c r="AQ88" s="1667"/>
      <c r="AR88" s="1106">
        <v>4037</v>
      </c>
      <c r="AS88" s="1673">
        <f t="shared" si="86"/>
        <v>0</v>
      </c>
      <c r="AT88" s="1673">
        <f t="shared" si="86"/>
        <v>6621</v>
      </c>
      <c r="AU88" s="1667"/>
      <c r="AV88" s="1106">
        <v>0</v>
      </c>
      <c r="AW88" s="1673">
        <f t="shared" si="87"/>
        <v>0</v>
      </c>
      <c r="AX88" s="1673">
        <f t="shared" si="87"/>
        <v>6621</v>
      </c>
      <c r="AY88" s="1667"/>
      <c r="AZ88" s="1106">
        <v>0</v>
      </c>
      <c r="BA88" s="1674">
        <f t="shared" si="111"/>
        <v>0</v>
      </c>
      <c r="BB88" s="1674">
        <f t="shared" si="111"/>
        <v>4037</v>
      </c>
      <c r="BC88" s="1820">
        <f>+AM88+BA88</f>
        <v>0</v>
      </c>
      <c r="BD88" s="1820">
        <f>+AN88+BB88</f>
        <v>4037</v>
      </c>
      <c r="BE88" s="1673">
        <f t="shared" si="112"/>
        <v>0</v>
      </c>
      <c r="BF88" s="1673">
        <f t="shared" si="112"/>
        <v>6621</v>
      </c>
    </row>
    <row r="89" spans="2:58" s="334" customFormat="1" x14ac:dyDescent="0.25">
      <c r="B89" s="5168"/>
      <c r="C89" s="1081" t="s">
        <v>1633</v>
      </c>
      <c r="D89" s="1081"/>
      <c r="E89" s="1677"/>
      <c r="F89" s="1698"/>
      <c r="G89" s="1677"/>
      <c r="H89" s="1698"/>
      <c r="I89" s="3843"/>
      <c r="J89" s="3843"/>
      <c r="K89" s="1677"/>
      <c r="L89" s="1698"/>
      <c r="M89" s="3843"/>
      <c r="N89" s="3843"/>
      <c r="O89" s="1677"/>
      <c r="P89" s="1698"/>
      <c r="Q89" s="3843"/>
      <c r="R89" s="3843"/>
      <c r="S89" s="1677"/>
      <c r="T89" s="1698"/>
      <c r="U89" s="3843"/>
      <c r="V89" s="3843"/>
      <c r="W89" s="1677"/>
      <c r="X89" s="1698"/>
      <c r="Y89" s="3843"/>
      <c r="Z89" s="3843"/>
      <c r="AA89" s="3843"/>
      <c r="AB89" s="3843"/>
      <c r="AC89" s="1677"/>
      <c r="AD89" s="1698"/>
      <c r="AE89" s="3843"/>
      <c r="AF89" s="3843"/>
      <c r="AG89" s="1677"/>
      <c r="AH89" s="1698"/>
      <c r="AI89" s="3843"/>
      <c r="AJ89" s="3843"/>
      <c r="AK89" s="1677"/>
      <c r="AL89" s="1698"/>
      <c r="AM89" s="3843"/>
      <c r="AN89" s="3843"/>
      <c r="AO89" s="3843"/>
      <c r="AP89" s="3843"/>
      <c r="AQ89" s="1677"/>
      <c r="AR89" s="1698"/>
      <c r="AS89" s="3843"/>
      <c r="AT89" s="3843"/>
      <c r="AU89" s="1677"/>
      <c r="AV89" s="1698"/>
      <c r="AW89" s="3843"/>
      <c r="AX89" s="3843"/>
      <c r="AY89" s="1677"/>
      <c r="AZ89" s="1698"/>
      <c r="BA89" s="3843"/>
      <c r="BB89" s="3843"/>
      <c r="BC89" s="3843"/>
      <c r="BD89" s="3843"/>
      <c r="BE89" s="3843"/>
      <c r="BF89" s="3843"/>
    </row>
    <row r="90" spans="2:58" x14ac:dyDescent="0.25">
      <c r="B90" s="5168"/>
      <c r="C90" s="1394" t="s">
        <v>1457</v>
      </c>
      <c r="D90" s="421"/>
      <c r="E90" s="1667"/>
      <c r="F90" s="1515">
        <v>0</v>
      </c>
      <c r="G90" s="1667"/>
      <c r="H90" s="1515">
        <v>1</v>
      </c>
      <c r="I90" s="1673"/>
      <c r="J90" s="1673">
        <f t="shared" si="83"/>
        <v>1</v>
      </c>
      <c r="K90" s="1667"/>
      <c r="L90" s="1515">
        <v>0</v>
      </c>
      <c r="M90" s="1674">
        <f t="shared" si="102"/>
        <v>0</v>
      </c>
      <c r="N90" s="1674">
        <f t="shared" si="102"/>
        <v>1</v>
      </c>
      <c r="O90" s="1667"/>
      <c r="P90" s="1515">
        <v>1</v>
      </c>
      <c r="Q90" s="1673">
        <f t="shared" si="103"/>
        <v>0</v>
      </c>
      <c r="R90" s="1673">
        <f t="shared" si="103"/>
        <v>2</v>
      </c>
      <c r="S90" s="1667"/>
      <c r="T90" s="1515">
        <v>0</v>
      </c>
      <c r="U90" s="1673">
        <f t="shared" ref="U90:U91" si="113">+Q90+S90</f>
        <v>0</v>
      </c>
      <c r="V90" s="1673">
        <f t="shared" si="104"/>
        <v>2</v>
      </c>
      <c r="W90" s="1667"/>
      <c r="X90" s="1515">
        <v>1</v>
      </c>
      <c r="Y90" s="1674">
        <f t="shared" ref="Y90:Y91" si="114">O90+S90+W90</f>
        <v>0</v>
      </c>
      <c r="Z90" s="1674">
        <f t="shared" si="38"/>
        <v>2</v>
      </c>
      <c r="AA90" s="1820">
        <f t="shared" ref="AA90:AA91" si="115">+M90+Y90</f>
        <v>0</v>
      </c>
      <c r="AB90" s="1820">
        <f t="shared" si="106"/>
        <v>3</v>
      </c>
      <c r="AC90" s="1667"/>
      <c r="AD90" s="1515"/>
      <c r="AE90" s="1673">
        <f t="shared" ref="AE90:AE91" si="116">+AA90+AC90</f>
        <v>0</v>
      </c>
      <c r="AF90" s="1673">
        <f t="shared" si="107"/>
        <v>3</v>
      </c>
      <c r="AG90" s="1667"/>
      <c r="AH90" s="1515">
        <v>0</v>
      </c>
      <c r="AI90" s="1673">
        <f t="shared" ref="AI90:AI94" si="117">+AE90+AG90</f>
        <v>0</v>
      </c>
      <c r="AJ90" s="1673">
        <f t="shared" si="108"/>
        <v>3</v>
      </c>
      <c r="AK90" s="1667"/>
      <c r="AL90" s="1515">
        <v>0</v>
      </c>
      <c r="AM90" s="1674">
        <f t="shared" ref="AM90:AM91" si="118">AC90+AG90+AK90</f>
        <v>0</v>
      </c>
      <c r="AN90" s="1674">
        <f t="shared" si="42"/>
        <v>0</v>
      </c>
      <c r="AO90" s="1673">
        <f t="shared" ref="AO90:AO94" si="119">+AI90+AK90</f>
        <v>0</v>
      </c>
      <c r="AP90" s="1673">
        <f t="shared" si="110"/>
        <v>3</v>
      </c>
      <c r="AQ90" s="1667"/>
      <c r="AR90" s="1515">
        <v>0</v>
      </c>
      <c r="AS90" s="1673">
        <f t="shared" si="86"/>
        <v>0</v>
      </c>
      <c r="AT90" s="1673">
        <f t="shared" si="86"/>
        <v>3</v>
      </c>
      <c r="AU90" s="1667"/>
      <c r="AV90" s="1515">
        <v>1</v>
      </c>
      <c r="AW90" s="1673">
        <f t="shared" si="87"/>
        <v>0</v>
      </c>
      <c r="AX90" s="1673">
        <f t="shared" si="87"/>
        <v>4</v>
      </c>
      <c r="AY90" s="1667"/>
      <c r="AZ90" s="1515">
        <v>0</v>
      </c>
      <c r="BA90" s="1674">
        <f t="shared" ref="BA90:BB91" si="120">AQ90+AU90+AY90</f>
        <v>0</v>
      </c>
      <c r="BB90" s="1674">
        <f t="shared" si="120"/>
        <v>1</v>
      </c>
      <c r="BC90" s="1820">
        <f>+AM90+BA90</f>
        <v>0</v>
      </c>
      <c r="BD90" s="1820">
        <f>+AN90+BB90</f>
        <v>1</v>
      </c>
      <c r="BE90" s="1673">
        <f t="shared" ref="BE90:BF91" si="121">+AW90+AY90</f>
        <v>0</v>
      </c>
      <c r="BF90" s="1673">
        <f t="shared" si="121"/>
        <v>4</v>
      </c>
    </row>
    <row r="91" spans="2:58" x14ac:dyDescent="0.25">
      <c r="B91" s="5168"/>
      <c r="C91" s="1394" t="s">
        <v>1458</v>
      </c>
      <c r="D91" s="421"/>
      <c r="E91" s="1667"/>
      <c r="F91" s="1106">
        <v>0</v>
      </c>
      <c r="G91" s="1667"/>
      <c r="H91" s="1106">
        <v>3863</v>
      </c>
      <c r="I91" s="1673"/>
      <c r="J91" s="1673">
        <f t="shared" si="83"/>
        <v>3863</v>
      </c>
      <c r="K91" s="1667"/>
      <c r="L91" s="1106">
        <v>0</v>
      </c>
      <c r="M91" s="1674">
        <f t="shared" si="102"/>
        <v>0</v>
      </c>
      <c r="N91" s="1674">
        <f t="shared" si="102"/>
        <v>3863</v>
      </c>
      <c r="O91" s="1667"/>
      <c r="P91" s="1106">
        <v>3998</v>
      </c>
      <c r="Q91" s="1673">
        <f t="shared" si="103"/>
        <v>0</v>
      </c>
      <c r="R91" s="1673">
        <f t="shared" si="103"/>
        <v>7861</v>
      </c>
      <c r="S91" s="1667"/>
      <c r="T91" s="1106">
        <v>0</v>
      </c>
      <c r="U91" s="1673">
        <f t="shared" si="113"/>
        <v>0</v>
      </c>
      <c r="V91" s="1673">
        <f t="shared" si="104"/>
        <v>7861</v>
      </c>
      <c r="W91" s="1667"/>
      <c r="X91" s="1106">
        <v>3967</v>
      </c>
      <c r="Y91" s="1674">
        <f t="shared" si="114"/>
        <v>0</v>
      </c>
      <c r="Z91" s="1674">
        <f t="shared" si="38"/>
        <v>7965</v>
      </c>
      <c r="AA91" s="1820">
        <f t="shared" si="115"/>
        <v>0</v>
      </c>
      <c r="AB91" s="1820">
        <f t="shared" si="106"/>
        <v>11828</v>
      </c>
      <c r="AC91" s="1667"/>
      <c r="AD91" s="1106"/>
      <c r="AE91" s="1673">
        <f t="shared" si="116"/>
        <v>0</v>
      </c>
      <c r="AF91" s="1673">
        <f t="shared" si="107"/>
        <v>11828</v>
      </c>
      <c r="AG91" s="1667"/>
      <c r="AH91" s="1106">
        <v>0</v>
      </c>
      <c r="AI91" s="1673">
        <f t="shared" si="117"/>
        <v>0</v>
      </c>
      <c r="AJ91" s="1673">
        <f t="shared" si="108"/>
        <v>11828</v>
      </c>
      <c r="AK91" s="1667"/>
      <c r="AL91" s="1106">
        <v>0</v>
      </c>
      <c r="AM91" s="1674">
        <f t="shared" si="118"/>
        <v>0</v>
      </c>
      <c r="AN91" s="1674">
        <f t="shared" si="42"/>
        <v>0</v>
      </c>
      <c r="AO91" s="1673">
        <f t="shared" si="119"/>
        <v>0</v>
      </c>
      <c r="AP91" s="1673">
        <f t="shared" si="110"/>
        <v>11828</v>
      </c>
      <c r="AQ91" s="1667"/>
      <c r="AR91" s="1106">
        <v>0</v>
      </c>
      <c r="AS91" s="1673">
        <f t="shared" si="86"/>
        <v>0</v>
      </c>
      <c r="AT91" s="1673">
        <f t="shared" si="86"/>
        <v>11828</v>
      </c>
      <c r="AU91" s="1667"/>
      <c r="AV91" s="1106">
        <v>3750</v>
      </c>
      <c r="AW91" s="1673">
        <f t="shared" si="87"/>
        <v>0</v>
      </c>
      <c r="AX91" s="1673">
        <f t="shared" si="87"/>
        <v>15578</v>
      </c>
      <c r="AY91" s="1667"/>
      <c r="AZ91" s="1106">
        <v>0</v>
      </c>
      <c r="BA91" s="1674">
        <f t="shared" si="120"/>
        <v>0</v>
      </c>
      <c r="BB91" s="1674">
        <f t="shared" si="120"/>
        <v>3750</v>
      </c>
      <c r="BC91" s="1820">
        <f>+AM91+BA91</f>
        <v>0</v>
      </c>
      <c r="BD91" s="1820">
        <f>+AN91+BB91</f>
        <v>3750</v>
      </c>
      <c r="BE91" s="1673">
        <f t="shared" si="121"/>
        <v>0</v>
      </c>
      <c r="BF91" s="1673">
        <f t="shared" si="121"/>
        <v>15578</v>
      </c>
    </row>
    <row r="92" spans="2:58" x14ac:dyDescent="0.25">
      <c r="B92" s="5168"/>
      <c r="C92" s="1081" t="s">
        <v>1632</v>
      </c>
      <c r="D92" s="421"/>
      <c r="E92" s="1677"/>
      <c r="F92" s="1698"/>
      <c r="G92" s="1677"/>
      <c r="H92" s="1698"/>
      <c r="I92" s="3843"/>
      <c r="J92" s="3843"/>
      <c r="K92" s="1677"/>
      <c r="L92" s="1698"/>
      <c r="M92" s="3843"/>
      <c r="N92" s="3843"/>
      <c r="O92" s="1677"/>
      <c r="P92" s="1698"/>
      <c r="Q92" s="3843"/>
      <c r="R92" s="3843"/>
      <c r="S92" s="1677"/>
      <c r="T92" s="1698"/>
      <c r="U92" s="3843"/>
      <c r="V92" s="3843"/>
      <c r="W92" s="1677"/>
      <c r="X92" s="1698"/>
      <c r="Y92" s="3843"/>
      <c r="Z92" s="3843"/>
      <c r="AA92" s="3843"/>
      <c r="AB92" s="3843"/>
      <c r="AC92" s="1677"/>
      <c r="AD92" s="1698"/>
      <c r="AE92" s="3843"/>
      <c r="AF92" s="3843"/>
      <c r="AG92" s="1677"/>
      <c r="AH92" s="1698"/>
      <c r="AI92" s="3843"/>
      <c r="AJ92" s="3843"/>
      <c r="AK92" s="1667"/>
      <c r="AL92" s="1106"/>
      <c r="AM92" s="3843"/>
      <c r="AN92" s="3843"/>
      <c r="AO92" s="3843"/>
      <c r="AP92" s="3843"/>
      <c r="AQ92" s="1677"/>
      <c r="AR92" s="1698"/>
      <c r="AS92" s="3843"/>
      <c r="AT92" s="3843"/>
      <c r="AU92" s="1677"/>
      <c r="AV92" s="1698"/>
      <c r="AW92" s="3843"/>
      <c r="AX92" s="3843"/>
      <c r="AY92" s="1677"/>
      <c r="AZ92" s="1698"/>
      <c r="BA92" s="3843"/>
      <c r="BB92" s="3843"/>
      <c r="BC92" s="3843"/>
      <c r="BD92" s="3843"/>
      <c r="BE92" s="3843"/>
      <c r="BF92" s="3843"/>
    </row>
    <row r="93" spans="2:58" x14ac:dyDescent="0.25">
      <c r="B93" s="5168"/>
      <c r="C93" s="1394" t="s">
        <v>1457</v>
      </c>
      <c r="D93" s="421"/>
      <c r="E93" s="1667"/>
      <c r="F93" s="1106"/>
      <c r="G93" s="1667"/>
      <c r="H93" s="1106"/>
      <c r="I93" s="1673"/>
      <c r="J93" s="1673">
        <f t="shared" si="83"/>
        <v>0</v>
      </c>
      <c r="K93" s="1667"/>
      <c r="L93" s="1106"/>
      <c r="M93" s="1674"/>
      <c r="N93" s="1674">
        <f t="shared" si="102"/>
        <v>0</v>
      </c>
      <c r="O93" s="1667"/>
      <c r="P93" s="1106"/>
      <c r="Q93" s="1673"/>
      <c r="R93" s="1673">
        <f t="shared" si="103"/>
        <v>0</v>
      </c>
      <c r="S93" s="1667"/>
      <c r="T93" s="1106"/>
      <c r="U93" s="1673"/>
      <c r="V93" s="1673">
        <f t="shared" si="104"/>
        <v>0</v>
      </c>
      <c r="W93" s="1667"/>
      <c r="X93" s="1106"/>
      <c r="Y93" s="1674">
        <f t="shared" ref="Y93:Y94" si="122">O93+S93+W93</f>
        <v>0</v>
      </c>
      <c r="Z93" s="1674">
        <f t="shared" si="38"/>
        <v>0</v>
      </c>
      <c r="AA93" s="1820">
        <f t="shared" ref="AA93:AA94" si="123">+M93+Y93</f>
        <v>0</v>
      </c>
      <c r="AB93" s="1820">
        <f t="shared" si="106"/>
        <v>0</v>
      </c>
      <c r="AC93" s="1667"/>
      <c r="AD93" s="1106">
        <v>1</v>
      </c>
      <c r="AE93" s="1673"/>
      <c r="AF93" s="1673">
        <f t="shared" si="107"/>
        <v>1</v>
      </c>
      <c r="AG93" s="1667"/>
      <c r="AH93" s="1106">
        <v>0</v>
      </c>
      <c r="AI93" s="1673">
        <f t="shared" si="117"/>
        <v>0</v>
      </c>
      <c r="AJ93" s="1673">
        <f t="shared" si="108"/>
        <v>1</v>
      </c>
      <c r="AK93" s="1667"/>
      <c r="AL93" s="1106">
        <v>1</v>
      </c>
      <c r="AM93" s="1674">
        <f t="shared" ref="AM93:AM94" si="124">AC93+AG93+AK93</f>
        <v>0</v>
      </c>
      <c r="AN93" s="1674">
        <f t="shared" si="42"/>
        <v>2</v>
      </c>
      <c r="AO93" s="1673">
        <f t="shared" si="119"/>
        <v>0</v>
      </c>
      <c r="AP93" s="1673">
        <f t="shared" si="110"/>
        <v>2</v>
      </c>
      <c r="AQ93" s="1667"/>
      <c r="AR93" s="1106">
        <v>1</v>
      </c>
      <c r="AS93" s="1673">
        <f t="shared" si="86"/>
        <v>0</v>
      </c>
      <c r="AT93" s="1673">
        <f t="shared" si="86"/>
        <v>3</v>
      </c>
      <c r="AU93" s="1667"/>
      <c r="AV93" s="1106">
        <v>0</v>
      </c>
      <c r="AW93" s="1673">
        <f t="shared" si="87"/>
        <v>0</v>
      </c>
      <c r="AX93" s="1673">
        <f t="shared" si="87"/>
        <v>3</v>
      </c>
      <c r="AY93" s="1667"/>
      <c r="AZ93" s="1106">
        <v>2</v>
      </c>
      <c r="BA93" s="1674">
        <f t="shared" ref="BA93:BB94" si="125">AQ93+AU93+AY93</f>
        <v>0</v>
      </c>
      <c r="BB93" s="1674">
        <f t="shared" si="125"/>
        <v>3</v>
      </c>
      <c r="BC93" s="1820">
        <f>+AM93+BA93</f>
        <v>0</v>
      </c>
      <c r="BD93" s="1820">
        <f>+AN93+BB93</f>
        <v>5</v>
      </c>
      <c r="BE93" s="1673">
        <f t="shared" ref="BE93:BF94" si="126">+AW93+AY93</f>
        <v>0</v>
      </c>
      <c r="BF93" s="1673">
        <f t="shared" si="126"/>
        <v>5</v>
      </c>
    </row>
    <row r="94" spans="2:58" x14ac:dyDescent="0.25">
      <c r="B94" s="5168"/>
      <c r="C94" s="1394" t="s">
        <v>1458</v>
      </c>
      <c r="D94" s="421"/>
      <c r="E94" s="1667"/>
      <c r="F94" s="1106"/>
      <c r="G94" s="1667"/>
      <c r="H94" s="1106"/>
      <c r="I94" s="1673"/>
      <c r="J94" s="1673">
        <f t="shared" si="83"/>
        <v>0</v>
      </c>
      <c r="K94" s="1667"/>
      <c r="L94" s="1106"/>
      <c r="M94" s="1674"/>
      <c r="N94" s="1674">
        <f t="shared" si="102"/>
        <v>0</v>
      </c>
      <c r="O94" s="1667"/>
      <c r="P94" s="1106"/>
      <c r="Q94" s="1673"/>
      <c r="R94" s="1673">
        <f t="shared" si="103"/>
        <v>0</v>
      </c>
      <c r="S94" s="1667"/>
      <c r="T94" s="1106"/>
      <c r="U94" s="1673"/>
      <c r="V94" s="1673">
        <f t="shared" si="104"/>
        <v>0</v>
      </c>
      <c r="W94" s="1667"/>
      <c r="X94" s="1106"/>
      <c r="Y94" s="1674">
        <f t="shared" si="122"/>
        <v>0</v>
      </c>
      <c r="Z94" s="1674">
        <f t="shared" si="38"/>
        <v>0</v>
      </c>
      <c r="AA94" s="1820">
        <f t="shared" si="123"/>
        <v>0</v>
      </c>
      <c r="AB94" s="1820">
        <f t="shared" si="106"/>
        <v>0</v>
      </c>
      <c r="AC94" s="1667"/>
      <c r="AD94" s="1106">
        <v>3931</v>
      </c>
      <c r="AE94" s="1673"/>
      <c r="AF94" s="1673">
        <f t="shared" si="107"/>
        <v>3931</v>
      </c>
      <c r="AG94" s="1667"/>
      <c r="AH94" s="1106">
        <v>0</v>
      </c>
      <c r="AI94" s="1673">
        <f t="shared" si="117"/>
        <v>0</v>
      </c>
      <c r="AJ94" s="1673">
        <f t="shared" si="108"/>
        <v>3931</v>
      </c>
      <c r="AK94" s="1667"/>
      <c r="AL94" s="1106">
        <v>3047</v>
      </c>
      <c r="AM94" s="1674">
        <f t="shared" si="124"/>
        <v>0</v>
      </c>
      <c r="AN94" s="1674">
        <f t="shared" si="42"/>
        <v>6978</v>
      </c>
      <c r="AO94" s="1673">
        <f t="shared" si="119"/>
        <v>0</v>
      </c>
      <c r="AP94" s="1673">
        <f t="shared" si="110"/>
        <v>6978</v>
      </c>
      <c r="AQ94" s="1667"/>
      <c r="AR94" s="1106">
        <v>3911</v>
      </c>
      <c r="AS94" s="1673">
        <f t="shared" si="86"/>
        <v>0</v>
      </c>
      <c r="AT94" s="1673">
        <f t="shared" si="86"/>
        <v>10889</v>
      </c>
      <c r="AU94" s="1667"/>
      <c r="AV94" s="1106">
        <v>0</v>
      </c>
      <c r="AW94" s="1673">
        <f t="shared" si="87"/>
        <v>0</v>
      </c>
      <c r="AX94" s="1673">
        <f t="shared" si="87"/>
        <v>10889</v>
      </c>
      <c r="AY94" s="1667"/>
      <c r="AZ94" s="1106">
        <v>7845</v>
      </c>
      <c r="BA94" s="1674">
        <f t="shared" si="125"/>
        <v>0</v>
      </c>
      <c r="BB94" s="1674">
        <f t="shared" si="125"/>
        <v>11756</v>
      </c>
      <c r="BC94" s="1820">
        <f>+AM94+BA94</f>
        <v>0</v>
      </c>
      <c r="BD94" s="1820">
        <f>+AN94+BB94</f>
        <v>18734</v>
      </c>
      <c r="BE94" s="1673">
        <f t="shared" si="126"/>
        <v>0</v>
      </c>
      <c r="BF94" s="1673">
        <f t="shared" si="126"/>
        <v>18734</v>
      </c>
    </row>
    <row r="95" spans="2:58" s="334" customFormat="1" ht="18.75" x14ac:dyDescent="0.3">
      <c r="B95" s="5168"/>
      <c r="C95" s="1703" t="s">
        <v>23</v>
      </c>
      <c r="D95" s="1684"/>
      <c r="E95" s="3844"/>
      <c r="F95" s="3845"/>
      <c r="G95" s="3844"/>
      <c r="H95" s="3845"/>
      <c r="I95" s="3846"/>
      <c r="J95" s="3846"/>
      <c r="K95" s="3844"/>
      <c r="L95" s="3845"/>
      <c r="M95" s="3846"/>
      <c r="N95" s="3846"/>
      <c r="O95" s="3844"/>
      <c r="P95" s="3845"/>
      <c r="Q95" s="3846"/>
      <c r="R95" s="3846"/>
      <c r="S95" s="3844"/>
      <c r="T95" s="3845"/>
      <c r="U95" s="3846"/>
      <c r="V95" s="3846"/>
      <c r="W95" s="3844"/>
      <c r="X95" s="3845"/>
      <c r="Y95" s="3846"/>
      <c r="Z95" s="3846"/>
      <c r="AA95" s="3846"/>
      <c r="AB95" s="3846"/>
      <c r="AC95" s="3844"/>
      <c r="AD95" s="3845"/>
      <c r="AE95" s="3846"/>
      <c r="AF95" s="3846"/>
      <c r="AG95" s="3844"/>
      <c r="AH95" s="3845"/>
      <c r="AI95" s="3846"/>
      <c r="AJ95" s="3846"/>
      <c r="AK95" s="3844"/>
      <c r="AL95" s="3845"/>
      <c r="AM95" s="3846"/>
      <c r="AN95" s="3846"/>
      <c r="AO95" s="3846"/>
      <c r="AP95" s="3846"/>
      <c r="AQ95" s="3844"/>
      <c r="AR95" s="3845"/>
      <c r="AS95" s="3846"/>
      <c r="AT95" s="3846"/>
      <c r="AU95" s="3844"/>
      <c r="AV95" s="3845"/>
      <c r="AW95" s="3846"/>
      <c r="AX95" s="3846"/>
      <c r="AY95" s="3844"/>
      <c r="AZ95" s="3845"/>
      <c r="BA95" s="3846"/>
      <c r="BB95" s="3846"/>
      <c r="BC95" s="3846"/>
      <c r="BD95" s="3846"/>
      <c r="BE95" s="3846"/>
      <c r="BF95" s="3846"/>
    </row>
    <row r="96" spans="2:58" ht="18.75" x14ac:dyDescent="0.3">
      <c r="B96" s="5168"/>
      <c r="C96" s="1691" t="s">
        <v>1457</v>
      </c>
      <c r="D96" s="1681"/>
      <c r="E96" s="1687"/>
      <c r="F96" s="1690">
        <f>+F87+F90+F93</f>
        <v>0</v>
      </c>
      <c r="G96" s="1687"/>
      <c r="H96" s="1690">
        <f>+H87+H90+H93</f>
        <v>1</v>
      </c>
      <c r="I96" s="1688"/>
      <c r="J96" s="1683">
        <f t="shared" si="83"/>
        <v>1</v>
      </c>
      <c r="K96" s="1687"/>
      <c r="L96" s="1690">
        <f>+L87+L90+L93</f>
        <v>1</v>
      </c>
      <c r="M96" s="1688"/>
      <c r="N96" s="1683">
        <f t="shared" si="102"/>
        <v>2</v>
      </c>
      <c r="O96" s="1687"/>
      <c r="P96" s="1690">
        <f>+P87+P90+P93</f>
        <v>1</v>
      </c>
      <c r="Q96" s="1688"/>
      <c r="R96" s="1683">
        <f t="shared" si="103"/>
        <v>3</v>
      </c>
      <c r="S96" s="1687"/>
      <c r="T96" s="1690">
        <f>+T87+T90+T93</f>
        <v>0</v>
      </c>
      <c r="U96" s="1688"/>
      <c r="V96" s="1683">
        <f t="shared" si="104"/>
        <v>3</v>
      </c>
      <c r="W96" s="1687"/>
      <c r="X96" s="1690">
        <f>+X87+X90+X93</f>
        <v>1</v>
      </c>
      <c r="Y96" s="1688"/>
      <c r="Z96" s="1683">
        <f t="shared" si="38"/>
        <v>2</v>
      </c>
      <c r="AA96" s="1688">
        <f t="shared" ref="AA96:AA97" si="127">+M96+Y96</f>
        <v>0</v>
      </c>
      <c r="AB96" s="1683">
        <f t="shared" si="106"/>
        <v>4</v>
      </c>
      <c r="AC96" s="1687"/>
      <c r="AD96" s="1690">
        <f>+AD87+AD90+AD93</f>
        <v>1</v>
      </c>
      <c r="AE96" s="1688"/>
      <c r="AF96" s="1683">
        <f t="shared" si="107"/>
        <v>5</v>
      </c>
      <c r="AG96" s="1687"/>
      <c r="AH96" s="1690">
        <f>+AH87+AH90+AH93</f>
        <v>0</v>
      </c>
      <c r="AI96" s="1688"/>
      <c r="AJ96" s="1683">
        <f t="shared" si="108"/>
        <v>5</v>
      </c>
      <c r="AK96" s="1687"/>
      <c r="AL96" s="3097">
        <f>+AL87+AL90+AL93</f>
        <v>1</v>
      </c>
      <c r="AM96" s="1688"/>
      <c r="AN96" s="1683">
        <f t="shared" si="42"/>
        <v>2</v>
      </c>
      <c r="AO96" s="1688"/>
      <c r="AP96" s="1683">
        <f t="shared" si="110"/>
        <v>6</v>
      </c>
      <c r="AQ96" s="1687"/>
      <c r="AR96" s="1690">
        <f>+AR87+AR90+AR93</f>
        <v>2</v>
      </c>
      <c r="AS96" s="1688">
        <f t="shared" si="86"/>
        <v>0</v>
      </c>
      <c r="AT96" s="1683">
        <f t="shared" si="86"/>
        <v>8</v>
      </c>
      <c r="AU96" s="1687"/>
      <c r="AV96" s="1690">
        <f>+AV87+AV90+AV93</f>
        <v>1</v>
      </c>
      <c r="AW96" s="1688">
        <f t="shared" si="87"/>
        <v>0</v>
      </c>
      <c r="AX96" s="1683">
        <f t="shared" si="87"/>
        <v>9</v>
      </c>
      <c r="AY96" s="1687"/>
      <c r="AZ96" s="1690">
        <f>+AZ87+AZ90+AZ93</f>
        <v>2</v>
      </c>
      <c r="BA96" s="1688"/>
      <c r="BB96" s="1683">
        <f t="shared" ref="BB96:BB97" si="128">AR96+AV96+AZ96</f>
        <v>5</v>
      </c>
      <c r="BC96" s="1688">
        <f>+AM96+BA96</f>
        <v>0</v>
      </c>
      <c r="BD96" s="1683">
        <f>+AN96+BB96</f>
        <v>7</v>
      </c>
      <c r="BE96" s="1688">
        <f t="shared" ref="BE96:BF97" si="129">+AW96+AY96</f>
        <v>0</v>
      </c>
      <c r="BF96" s="1683">
        <f t="shared" si="129"/>
        <v>11</v>
      </c>
    </row>
    <row r="97" spans="1:58" ht="18.75" x14ac:dyDescent="0.3">
      <c r="B97" s="5169"/>
      <c r="C97" s="1691" t="s">
        <v>1458</v>
      </c>
      <c r="D97" s="1681"/>
      <c r="E97" s="1687"/>
      <c r="F97" s="1689">
        <f>+F88+F91+F94</f>
        <v>0</v>
      </c>
      <c r="G97" s="1687"/>
      <c r="H97" s="1689">
        <f>+H88+H91+H94</f>
        <v>3863</v>
      </c>
      <c r="I97" s="1688"/>
      <c r="J97" s="1688">
        <f t="shared" si="83"/>
        <v>3863</v>
      </c>
      <c r="K97" s="1687"/>
      <c r="L97" s="1689">
        <f>+L88+L91+L94</f>
        <v>2584</v>
      </c>
      <c r="M97" s="1688"/>
      <c r="N97" s="1688">
        <f t="shared" si="102"/>
        <v>6447</v>
      </c>
      <c r="O97" s="1687"/>
      <c r="P97" s="1689">
        <f>+P88+P91+P94</f>
        <v>3998</v>
      </c>
      <c r="Q97" s="1688"/>
      <c r="R97" s="1688">
        <f t="shared" si="103"/>
        <v>10445</v>
      </c>
      <c r="S97" s="1687"/>
      <c r="T97" s="1689">
        <f>+T88+T91+T94</f>
        <v>0</v>
      </c>
      <c r="U97" s="1688"/>
      <c r="V97" s="1688">
        <f t="shared" si="104"/>
        <v>10445</v>
      </c>
      <c r="W97" s="1687"/>
      <c r="X97" s="1689">
        <f>+X88+X91+X94</f>
        <v>3967</v>
      </c>
      <c r="Y97" s="1688"/>
      <c r="Z97" s="1688">
        <f t="shared" si="38"/>
        <v>7965</v>
      </c>
      <c r="AA97" s="1688">
        <f t="shared" si="127"/>
        <v>0</v>
      </c>
      <c r="AB97" s="1688">
        <f t="shared" si="106"/>
        <v>14412</v>
      </c>
      <c r="AC97" s="1687"/>
      <c r="AD97" s="1689">
        <f>+AD88+AD91+AD94</f>
        <v>3931</v>
      </c>
      <c r="AE97" s="1688"/>
      <c r="AF97" s="1688">
        <f t="shared" si="107"/>
        <v>18343</v>
      </c>
      <c r="AG97" s="1687"/>
      <c r="AH97" s="1689">
        <f>+AH88+AH91+AH94</f>
        <v>0</v>
      </c>
      <c r="AI97" s="1688"/>
      <c r="AJ97" s="1688">
        <f t="shared" si="108"/>
        <v>18343</v>
      </c>
      <c r="AK97" s="1687"/>
      <c r="AL97" s="1689">
        <f>+AL88+AL91+AL94</f>
        <v>3047</v>
      </c>
      <c r="AM97" s="1688"/>
      <c r="AN97" s="1688">
        <f t="shared" si="42"/>
        <v>6978</v>
      </c>
      <c r="AO97" s="1688"/>
      <c r="AP97" s="1688">
        <f t="shared" si="110"/>
        <v>21390</v>
      </c>
      <c r="AQ97" s="1687"/>
      <c r="AR97" s="1689">
        <f>+AR88+AR91+AR94</f>
        <v>7948</v>
      </c>
      <c r="AS97" s="1688">
        <f t="shared" si="86"/>
        <v>0</v>
      </c>
      <c r="AT97" s="1688">
        <f t="shared" si="86"/>
        <v>29338</v>
      </c>
      <c r="AU97" s="1687"/>
      <c r="AV97" s="1689">
        <f>+AV88+AV91+AV94</f>
        <v>3750</v>
      </c>
      <c r="AW97" s="1688">
        <f t="shared" si="87"/>
        <v>0</v>
      </c>
      <c r="AX97" s="1688">
        <f t="shared" si="87"/>
        <v>33088</v>
      </c>
      <c r="AY97" s="1687"/>
      <c r="AZ97" s="1689">
        <f>+AZ88+AZ91+AZ94</f>
        <v>7845</v>
      </c>
      <c r="BA97" s="1688"/>
      <c r="BB97" s="1688">
        <f t="shared" si="128"/>
        <v>19543</v>
      </c>
      <c r="BC97" s="1688">
        <f>+AM97+BA97</f>
        <v>0</v>
      </c>
      <c r="BD97" s="1688">
        <f>+AN97+BB97</f>
        <v>26521</v>
      </c>
      <c r="BE97" s="1688">
        <f t="shared" si="129"/>
        <v>0</v>
      </c>
      <c r="BF97" s="1688">
        <f t="shared" si="129"/>
        <v>40933</v>
      </c>
    </row>
    <row r="98" spans="1:58" s="334" customFormat="1" x14ac:dyDescent="0.25">
      <c r="B98" s="5170" t="s">
        <v>1475</v>
      </c>
      <c r="C98" s="1081" t="s">
        <v>1477</v>
      </c>
      <c r="D98" s="1081"/>
      <c r="E98" s="1081"/>
      <c r="F98" s="1698"/>
      <c r="G98" s="1081"/>
      <c r="H98" s="1698"/>
      <c r="I98" s="3843"/>
      <c r="J98" s="3843"/>
      <c r="K98" s="1081"/>
      <c r="L98" s="1698"/>
      <c r="M98" s="3843"/>
      <c r="N98" s="3843"/>
      <c r="O98" s="1081"/>
      <c r="P98" s="1698"/>
      <c r="Q98" s="3843"/>
      <c r="R98" s="3843"/>
      <c r="S98" s="1081"/>
      <c r="T98" s="1698"/>
      <c r="U98" s="3843"/>
      <c r="V98" s="3843"/>
      <c r="W98" s="1081"/>
      <c r="X98" s="1698"/>
      <c r="Y98" s="3843"/>
      <c r="Z98" s="3843"/>
      <c r="AA98" s="3843"/>
      <c r="AB98" s="3843"/>
      <c r="AC98" s="1081"/>
      <c r="AD98" s="1698"/>
      <c r="AE98" s="3843"/>
      <c r="AF98" s="3843"/>
      <c r="AG98" s="1081"/>
      <c r="AH98" s="1698"/>
      <c r="AI98" s="3843"/>
      <c r="AJ98" s="3843"/>
      <c r="AK98" s="1081"/>
      <c r="AL98" s="1698"/>
      <c r="AM98" s="3843"/>
      <c r="AN98" s="3843"/>
      <c r="AO98" s="3843"/>
      <c r="AP98" s="3843"/>
      <c r="AQ98" s="1081"/>
      <c r="AR98" s="1698"/>
      <c r="AS98" s="3843"/>
      <c r="AT98" s="3843"/>
      <c r="AU98" s="1081"/>
      <c r="AV98" s="1698"/>
      <c r="AW98" s="3843"/>
      <c r="AX98" s="3843"/>
      <c r="AY98" s="1081"/>
      <c r="AZ98" s="1698"/>
      <c r="BA98" s="3843"/>
      <c r="BB98" s="3843"/>
      <c r="BC98" s="3843"/>
      <c r="BD98" s="3843"/>
      <c r="BE98" s="3843"/>
      <c r="BF98" s="3843"/>
    </row>
    <row r="99" spans="1:58" x14ac:dyDescent="0.25">
      <c r="B99" s="5170"/>
      <c r="C99" s="1394" t="s">
        <v>1457</v>
      </c>
      <c r="D99" s="421"/>
      <c r="E99" s="421"/>
      <c r="F99" s="1675">
        <v>6.1</v>
      </c>
      <c r="G99" s="421"/>
      <c r="H99" s="1675">
        <v>7.6</v>
      </c>
      <c r="I99" s="1673"/>
      <c r="J99" s="1673">
        <f t="shared" si="83"/>
        <v>13.7</v>
      </c>
      <c r="K99" s="421"/>
      <c r="L99" s="1675">
        <v>5.4</v>
      </c>
      <c r="M99" s="1674">
        <f t="shared" ref="M99:N115" si="130">+I99+K99</f>
        <v>0</v>
      </c>
      <c r="N99" s="1674">
        <f t="shared" si="102"/>
        <v>19.100000000000001</v>
      </c>
      <c r="O99" s="421"/>
      <c r="P99" s="1675">
        <v>6.5</v>
      </c>
      <c r="Q99" s="1673">
        <f t="shared" ref="Q99:R115" si="131">+M99+O99</f>
        <v>0</v>
      </c>
      <c r="R99" s="1673">
        <f t="shared" si="103"/>
        <v>25.6</v>
      </c>
      <c r="S99" s="421"/>
      <c r="T99" s="1675">
        <v>7</v>
      </c>
      <c r="U99" s="1673">
        <f t="shared" ref="U99:U100" si="132">+Q99+S99</f>
        <v>0</v>
      </c>
      <c r="V99" s="1673">
        <f t="shared" si="104"/>
        <v>32.6</v>
      </c>
      <c r="W99" s="421"/>
      <c r="X99" s="1675">
        <v>6</v>
      </c>
      <c r="Y99" s="1674">
        <f t="shared" ref="Y99:Y100" si="133">O99+S99+W99</f>
        <v>0</v>
      </c>
      <c r="Z99" s="1674">
        <f t="shared" si="38"/>
        <v>19.5</v>
      </c>
      <c r="AA99" s="1820">
        <f t="shared" ref="AA99:AA100" si="134">+M99+Y99</f>
        <v>0</v>
      </c>
      <c r="AB99" s="1820">
        <f t="shared" si="106"/>
        <v>38.6</v>
      </c>
      <c r="AC99" s="421"/>
      <c r="AD99" s="1675">
        <v>6.1</v>
      </c>
      <c r="AE99" s="1673">
        <f t="shared" ref="AE99:AE100" si="135">+AA99+AC99</f>
        <v>0</v>
      </c>
      <c r="AF99" s="1673">
        <f t="shared" si="107"/>
        <v>44.7</v>
      </c>
      <c r="AG99" s="421"/>
      <c r="AH99" s="1675">
        <v>5.5</v>
      </c>
      <c r="AI99" s="1673">
        <f t="shared" ref="AI99:AI100" si="136">+AE99+AG99</f>
        <v>0</v>
      </c>
      <c r="AJ99" s="1673">
        <f t="shared" si="108"/>
        <v>50.2</v>
      </c>
      <c r="AK99" s="421"/>
      <c r="AL99" s="1675">
        <v>5.4</v>
      </c>
      <c r="AM99" s="1674">
        <f t="shared" ref="AM99:AM100" si="137">AC99+AG99+AK99</f>
        <v>0</v>
      </c>
      <c r="AN99" s="1674">
        <f t="shared" si="42"/>
        <v>17</v>
      </c>
      <c r="AO99" s="1673">
        <f t="shared" ref="AO99:AO100" si="138">+AI99+AK99</f>
        <v>0</v>
      </c>
      <c r="AP99" s="1673">
        <f t="shared" si="110"/>
        <v>55.6</v>
      </c>
      <c r="AQ99" s="421"/>
      <c r="AR99" s="1675">
        <v>5.2</v>
      </c>
      <c r="AS99" s="1673">
        <f t="shared" si="86"/>
        <v>0</v>
      </c>
      <c r="AT99" s="1673">
        <f t="shared" si="86"/>
        <v>60.800000000000004</v>
      </c>
      <c r="AU99" s="421"/>
      <c r="AV99" s="1675">
        <v>6.6</v>
      </c>
      <c r="AW99" s="1673">
        <f t="shared" si="87"/>
        <v>0</v>
      </c>
      <c r="AX99" s="1673">
        <f t="shared" si="87"/>
        <v>67.400000000000006</v>
      </c>
      <c r="AY99" s="421"/>
      <c r="AZ99" s="1675">
        <v>6.5</v>
      </c>
      <c r="BA99" s="1674">
        <f t="shared" ref="BA99:BB100" si="139">AQ99+AU99+AY99</f>
        <v>0</v>
      </c>
      <c r="BB99" s="1674">
        <f t="shared" si="139"/>
        <v>18.3</v>
      </c>
      <c r="BC99" s="1820">
        <f>+AM99+BA99</f>
        <v>0</v>
      </c>
      <c r="BD99" s="1820">
        <f>+AN99+BB99</f>
        <v>35.299999999999997</v>
      </c>
      <c r="BE99" s="1673">
        <f t="shared" ref="BE99:BF100" si="140">+AW99+AY99</f>
        <v>0</v>
      </c>
      <c r="BF99" s="1673">
        <f t="shared" si="140"/>
        <v>73.900000000000006</v>
      </c>
    </row>
    <row r="100" spans="1:58" x14ac:dyDescent="0.25">
      <c r="B100" s="5170"/>
      <c r="C100" s="1394" t="s">
        <v>1458</v>
      </c>
      <c r="D100" s="421"/>
      <c r="E100" s="421"/>
      <c r="F100" s="863">
        <v>23331</v>
      </c>
      <c r="G100" s="421"/>
      <c r="H100" s="863">
        <v>28560</v>
      </c>
      <c r="I100" s="1673"/>
      <c r="J100" s="1673">
        <f t="shared" si="83"/>
        <v>51891</v>
      </c>
      <c r="K100" s="421"/>
      <c r="L100" s="863">
        <v>21202</v>
      </c>
      <c r="M100" s="1674">
        <f t="shared" si="130"/>
        <v>0</v>
      </c>
      <c r="N100" s="1674">
        <f t="shared" si="102"/>
        <v>73093</v>
      </c>
      <c r="O100" s="421"/>
      <c r="P100" s="863">
        <v>25635</v>
      </c>
      <c r="Q100" s="1673">
        <f t="shared" si="131"/>
        <v>0</v>
      </c>
      <c r="R100" s="1673">
        <f t="shared" si="103"/>
        <v>98728</v>
      </c>
      <c r="S100" s="421"/>
      <c r="T100" s="863">
        <v>26735</v>
      </c>
      <c r="U100" s="1673">
        <f t="shared" si="132"/>
        <v>0</v>
      </c>
      <c r="V100" s="1673">
        <f t="shared" si="104"/>
        <v>125463</v>
      </c>
      <c r="W100" s="421"/>
      <c r="X100" s="863">
        <v>22907</v>
      </c>
      <c r="Y100" s="1674">
        <f t="shared" si="133"/>
        <v>0</v>
      </c>
      <c r="Z100" s="1674">
        <f t="shared" si="38"/>
        <v>75277</v>
      </c>
      <c r="AA100" s="1820">
        <f t="shared" si="134"/>
        <v>0</v>
      </c>
      <c r="AB100" s="1820">
        <f t="shared" si="106"/>
        <v>148370</v>
      </c>
      <c r="AC100" s="421"/>
      <c r="AD100" s="863">
        <v>23689</v>
      </c>
      <c r="AE100" s="1673">
        <f t="shared" si="135"/>
        <v>0</v>
      </c>
      <c r="AF100" s="1673">
        <f t="shared" si="107"/>
        <v>172059</v>
      </c>
      <c r="AG100" s="421"/>
      <c r="AH100" s="863">
        <v>21542</v>
      </c>
      <c r="AI100" s="1673">
        <f t="shared" si="136"/>
        <v>0</v>
      </c>
      <c r="AJ100" s="1673">
        <f t="shared" si="108"/>
        <v>193601</v>
      </c>
      <c r="AK100" s="421"/>
      <c r="AL100" s="863">
        <v>20932.38</v>
      </c>
      <c r="AM100" s="1674">
        <f t="shared" si="137"/>
        <v>0</v>
      </c>
      <c r="AN100" s="1674">
        <f t="shared" si="42"/>
        <v>66163.38</v>
      </c>
      <c r="AO100" s="1673">
        <f t="shared" si="138"/>
        <v>0</v>
      </c>
      <c r="AP100" s="1673">
        <f t="shared" si="110"/>
        <v>214533.38</v>
      </c>
      <c r="AQ100" s="421"/>
      <c r="AR100" s="863">
        <v>20604</v>
      </c>
      <c r="AS100" s="1673">
        <f t="shared" si="86"/>
        <v>0</v>
      </c>
      <c r="AT100" s="1673">
        <f t="shared" si="86"/>
        <v>235137.38</v>
      </c>
      <c r="AU100" s="421"/>
      <c r="AV100" s="863">
        <v>25786</v>
      </c>
      <c r="AW100" s="1673">
        <f t="shared" si="87"/>
        <v>0</v>
      </c>
      <c r="AX100" s="1673">
        <f t="shared" si="87"/>
        <v>260923.38</v>
      </c>
      <c r="AY100" s="421"/>
      <c r="AZ100" s="863">
        <v>25340</v>
      </c>
      <c r="BA100" s="1674">
        <f t="shared" si="139"/>
        <v>0</v>
      </c>
      <c r="BB100" s="1674">
        <f t="shared" si="139"/>
        <v>71730</v>
      </c>
      <c r="BC100" s="1820">
        <f>+AM100+BA100</f>
        <v>0</v>
      </c>
      <c r="BD100" s="1820">
        <f>+AN100+BB100</f>
        <v>137893.38</v>
      </c>
      <c r="BE100" s="1673">
        <f t="shared" si="140"/>
        <v>0</v>
      </c>
      <c r="BF100" s="1673">
        <f t="shared" si="140"/>
        <v>286263.38</v>
      </c>
    </row>
    <row r="101" spans="1:58" s="334" customFormat="1" x14ac:dyDescent="0.25">
      <c r="B101" s="5170"/>
      <c r="C101" s="1081" t="s">
        <v>1478</v>
      </c>
      <c r="D101" s="1081"/>
      <c r="E101" s="1081"/>
      <c r="F101" s="1699"/>
      <c r="G101" s="1081"/>
      <c r="H101" s="1699"/>
      <c r="I101" s="3843"/>
      <c r="J101" s="3843"/>
      <c r="K101" s="1081"/>
      <c r="L101" s="1699"/>
      <c r="M101" s="3843"/>
      <c r="N101" s="3843"/>
      <c r="O101" s="1081"/>
      <c r="P101" s="1699"/>
      <c r="Q101" s="3843"/>
      <c r="R101" s="3843"/>
      <c r="S101" s="1081"/>
      <c r="T101" s="1699"/>
      <c r="U101" s="3843"/>
      <c r="V101" s="3843"/>
      <c r="W101" s="1081"/>
      <c r="X101" s="1699"/>
      <c r="Y101" s="3843"/>
      <c r="Z101" s="3843"/>
      <c r="AA101" s="3843"/>
      <c r="AB101" s="3843"/>
      <c r="AC101" s="1081"/>
      <c r="AD101" s="1699"/>
      <c r="AE101" s="3843"/>
      <c r="AF101" s="3843"/>
      <c r="AG101" s="1081"/>
      <c r="AH101" s="1699"/>
      <c r="AI101" s="3843"/>
      <c r="AJ101" s="3843"/>
      <c r="AK101" s="1081"/>
      <c r="AL101" s="1699"/>
      <c r="AM101" s="3843"/>
      <c r="AN101" s="3843"/>
      <c r="AO101" s="3843"/>
      <c r="AP101" s="3843"/>
      <c r="AQ101" s="1081"/>
      <c r="AR101" s="1699"/>
      <c r="AS101" s="3843"/>
      <c r="AT101" s="3843"/>
      <c r="AU101" s="1081"/>
      <c r="AV101" s="1699"/>
      <c r="AW101" s="3843"/>
      <c r="AX101" s="3843"/>
      <c r="AY101" s="1081"/>
      <c r="AZ101" s="1699"/>
      <c r="BA101" s="3843"/>
      <c r="BB101" s="3843"/>
      <c r="BC101" s="3843"/>
      <c r="BD101" s="3843"/>
      <c r="BE101" s="3843"/>
      <c r="BF101" s="3843"/>
    </row>
    <row r="102" spans="1:58" x14ac:dyDescent="0.25">
      <c r="B102" s="5170"/>
      <c r="C102" s="1394" t="s">
        <v>1457</v>
      </c>
      <c r="D102" s="421"/>
      <c r="E102" s="1667"/>
      <c r="F102" s="1675">
        <v>1.5</v>
      </c>
      <c r="G102" s="1667"/>
      <c r="H102" s="1675">
        <v>1.4</v>
      </c>
      <c r="I102" s="1673"/>
      <c r="J102" s="1673">
        <f t="shared" si="83"/>
        <v>2.9</v>
      </c>
      <c r="K102" s="1667"/>
      <c r="L102" s="1675">
        <v>2</v>
      </c>
      <c r="M102" s="1674">
        <f t="shared" si="130"/>
        <v>0</v>
      </c>
      <c r="N102" s="1674">
        <f t="shared" si="102"/>
        <v>4.9000000000000004</v>
      </c>
      <c r="O102" s="1667"/>
      <c r="P102" s="1675">
        <v>2</v>
      </c>
      <c r="Q102" s="1673">
        <f t="shared" si="131"/>
        <v>0</v>
      </c>
      <c r="R102" s="1673">
        <f t="shared" si="103"/>
        <v>6.9</v>
      </c>
      <c r="S102" s="1667"/>
      <c r="T102" s="1675">
        <v>1.5</v>
      </c>
      <c r="U102" s="1673">
        <f t="shared" ref="U102:V117" si="141">+Q102+S102</f>
        <v>0</v>
      </c>
      <c r="V102" s="1673">
        <f t="shared" si="104"/>
        <v>8.4</v>
      </c>
      <c r="W102" s="1667"/>
      <c r="X102" s="1675">
        <v>2</v>
      </c>
      <c r="Y102" s="1674">
        <f t="shared" ref="Y102:Y103" si="142">O102+S102+W102</f>
        <v>0</v>
      </c>
      <c r="Z102" s="1674">
        <f t="shared" si="38"/>
        <v>5.5</v>
      </c>
      <c r="AA102" s="1820">
        <f t="shared" ref="AA102:AB117" si="143">+M102+Y102</f>
        <v>0</v>
      </c>
      <c r="AB102" s="1820">
        <f t="shared" si="106"/>
        <v>10.4</v>
      </c>
      <c r="AC102" s="1667"/>
      <c r="AD102" s="1675">
        <v>1</v>
      </c>
      <c r="AE102" s="1673">
        <f t="shared" ref="AE102:AF117" si="144">+AA102+AC102</f>
        <v>0</v>
      </c>
      <c r="AF102" s="1673">
        <f t="shared" si="107"/>
        <v>11.4</v>
      </c>
      <c r="AG102" s="1667"/>
      <c r="AH102" s="1675">
        <v>1.5</v>
      </c>
      <c r="AI102" s="1673">
        <f t="shared" ref="AI102:AJ117" si="145">+AE102+AG102</f>
        <v>0</v>
      </c>
      <c r="AJ102" s="1673">
        <f t="shared" si="108"/>
        <v>12.9</v>
      </c>
      <c r="AK102" s="1667"/>
      <c r="AL102" s="1675">
        <v>1</v>
      </c>
      <c r="AM102" s="1674">
        <f t="shared" ref="AM102:AM103" si="146">AC102+AG102+AK102</f>
        <v>0</v>
      </c>
      <c r="AN102" s="1674">
        <f t="shared" si="42"/>
        <v>3.5</v>
      </c>
      <c r="AO102" s="1673">
        <f t="shared" ref="AO102:AP117" si="147">+AI102+AK102</f>
        <v>0</v>
      </c>
      <c r="AP102" s="1673">
        <f t="shared" si="110"/>
        <v>13.9</v>
      </c>
      <c r="AQ102" s="1667"/>
      <c r="AR102" s="1675">
        <v>1.5</v>
      </c>
      <c r="AS102" s="1673">
        <f t="shared" si="86"/>
        <v>0</v>
      </c>
      <c r="AT102" s="1673">
        <f t="shared" si="86"/>
        <v>15.4</v>
      </c>
      <c r="AU102" s="1667"/>
      <c r="AV102" s="1675">
        <v>2</v>
      </c>
      <c r="AW102" s="1673">
        <f t="shared" si="87"/>
        <v>0</v>
      </c>
      <c r="AX102" s="1673">
        <f t="shared" si="87"/>
        <v>17.399999999999999</v>
      </c>
      <c r="AY102" s="1667"/>
      <c r="AZ102" s="1675">
        <v>0.9</v>
      </c>
      <c r="BA102" s="1674">
        <f t="shared" ref="BA102:BB103" si="148">AQ102+AU102+AY102</f>
        <v>0</v>
      </c>
      <c r="BB102" s="1674">
        <f t="shared" si="148"/>
        <v>4.4000000000000004</v>
      </c>
      <c r="BC102" s="1820">
        <f>+AM102+BA102</f>
        <v>0</v>
      </c>
      <c r="BD102" s="1820">
        <f>+AN102+BB102</f>
        <v>7.9</v>
      </c>
      <c r="BE102" s="1673">
        <f t="shared" ref="BE102:BF103" si="149">+AW102+AY102</f>
        <v>0</v>
      </c>
      <c r="BF102" s="1673">
        <f t="shared" si="149"/>
        <v>18.299999999999997</v>
      </c>
    </row>
    <row r="103" spans="1:58" x14ac:dyDescent="0.25">
      <c r="B103" s="5170"/>
      <c r="C103" s="1394" t="s">
        <v>1458</v>
      </c>
      <c r="D103" s="421"/>
      <c r="E103" s="421"/>
      <c r="F103" s="863">
        <v>5821</v>
      </c>
      <c r="G103" s="421"/>
      <c r="H103" s="863">
        <v>5747</v>
      </c>
      <c r="I103" s="1673"/>
      <c r="J103" s="1673">
        <f t="shared" si="83"/>
        <v>11568</v>
      </c>
      <c r="K103" s="421"/>
      <c r="L103" s="863">
        <v>7528</v>
      </c>
      <c r="M103" s="1674">
        <f t="shared" si="130"/>
        <v>0</v>
      </c>
      <c r="N103" s="1674">
        <f t="shared" si="130"/>
        <v>19096</v>
      </c>
      <c r="O103" s="421"/>
      <c r="P103" s="863">
        <v>7666</v>
      </c>
      <c r="Q103" s="1673">
        <f t="shared" si="131"/>
        <v>0</v>
      </c>
      <c r="R103" s="1673">
        <f t="shared" si="131"/>
        <v>26762</v>
      </c>
      <c r="S103" s="421"/>
      <c r="T103" s="863">
        <v>5824</v>
      </c>
      <c r="U103" s="1673">
        <f t="shared" si="141"/>
        <v>0</v>
      </c>
      <c r="V103" s="1673">
        <f t="shared" si="141"/>
        <v>32586</v>
      </c>
      <c r="W103" s="421"/>
      <c r="X103" s="863">
        <v>8115</v>
      </c>
      <c r="Y103" s="1674">
        <f t="shared" si="142"/>
        <v>0</v>
      </c>
      <c r="Z103" s="1674">
        <f t="shared" si="38"/>
        <v>21605</v>
      </c>
      <c r="AA103" s="1820">
        <f t="shared" si="143"/>
        <v>0</v>
      </c>
      <c r="AB103" s="1820">
        <f t="shared" si="143"/>
        <v>40701</v>
      </c>
      <c r="AC103" s="421"/>
      <c r="AD103" s="863">
        <v>3611</v>
      </c>
      <c r="AE103" s="1673">
        <f t="shared" si="144"/>
        <v>0</v>
      </c>
      <c r="AF103" s="1673">
        <f t="shared" si="144"/>
        <v>44312</v>
      </c>
      <c r="AG103" s="421"/>
      <c r="AH103" s="863">
        <v>5867</v>
      </c>
      <c r="AI103" s="1673">
        <f t="shared" si="145"/>
        <v>0</v>
      </c>
      <c r="AJ103" s="1673">
        <f t="shared" si="145"/>
        <v>50179</v>
      </c>
      <c r="AK103" s="421"/>
      <c r="AL103" s="863">
        <v>3938.3</v>
      </c>
      <c r="AM103" s="1674">
        <f t="shared" si="146"/>
        <v>0</v>
      </c>
      <c r="AN103" s="1674">
        <f t="shared" si="42"/>
        <v>13416.3</v>
      </c>
      <c r="AO103" s="1673">
        <f t="shared" si="147"/>
        <v>0</v>
      </c>
      <c r="AP103" s="1673">
        <f t="shared" si="147"/>
        <v>54117.3</v>
      </c>
      <c r="AQ103" s="421"/>
      <c r="AR103" s="863">
        <v>5874</v>
      </c>
      <c r="AS103" s="1673">
        <f t="shared" si="86"/>
        <v>0</v>
      </c>
      <c r="AT103" s="1673">
        <f t="shared" si="86"/>
        <v>59991.3</v>
      </c>
      <c r="AU103" s="421"/>
      <c r="AV103" s="863">
        <v>7909</v>
      </c>
      <c r="AW103" s="1673">
        <f t="shared" si="87"/>
        <v>0</v>
      </c>
      <c r="AX103" s="1673">
        <f t="shared" si="87"/>
        <v>67900.3</v>
      </c>
      <c r="AY103" s="421"/>
      <c r="AZ103" s="863">
        <v>3511</v>
      </c>
      <c r="BA103" s="1674">
        <f t="shared" si="148"/>
        <v>0</v>
      </c>
      <c r="BB103" s="1674">
        <f t="shared" si="148"/>
        <v>17294</v>
      </c>
      <c r="BC103" s="1820">
        <f>+AM103+BA103</f>
        <v>0</v>
      </c>
      <c r="BD103" s="1820">
        <f>+AN103+BB103</f>
        <v>30710.3</v>
      </c>
      <c r="BE103" s="1673">
        <f t="shared" si="149"/>
        <v>0</v>
      </c>
      <c r="BF103" s="1673">
        <f t="shared" si="149"/>
        <v>71411.3</v>
      </c>
    </row>
    <row r="104" spans="1:58" s="334" customFormat="1" x14ac:dyDescent="0.25">
      <c r="B104" s="5170"/>
      <c r="C104" s="1081" t="s">
        <v>1402</v>
      </c>
      <c r="D104" s="1081"/>
      <c r="E104" s="1081"/>
      <c r="F104" s="1699"/>
      <c r="G104" s="1081"/>
      <c r="H104" s="1699"/>
      <c r="I104" s="3843"/>
      <c r="J104" s="3843"/>
      <c r="K104" s="1081"/>
      <c r="L104" s="1699"/>
      <c r="M104" s="3843"/>
      <c r="N104" s="3843"/>
      <c r="O104" s="1081"/>
      <c r="P104" s="1699"/>
      <c r="Q104" s="3843"/>
      <c r="R104" s="3843"/>
      <c r="S104" s="1081"/>
      <c r="T104" s="1699"/>
      <c r="U104" s="3843"/>
      <c r="V104" s="3843"/>
      <c r="W104" s="1081"/>
      <c r="X104" s="1699"/>
      <c r="Y104" s="3843"/>
      <c r="Z104" s="3843"/>
      <c r="AA104" s="3843"/>
      <c r="AB104" s="3843"/>
      <c r="AC104" s="1081"/>
      <c r="AD104" s="1699"/>
      <c r="AE104" s="3843"/>
      <c r="AF104" s="3843"/>
      <c r="AG104" s="1081"/>
      <c r="AH104" s="1699"/>
      <c r="AI104" s="3843"/>
      <c r="AJ104" s="3843"/>
      <c r="AK104" s="1081"/>
      <c r="AL104" s="1699"/>
      <c r="AM104" s="3843"/>
      <c r="AN104" s="3843"/>
      <c r="AO104" s="3843"/>
      <c r="AP104" s="3843"/>
      <c r="AQ104" s="1081"/>
      <c r="AR104" s="1699"/>
      <c r="AS104" s="3843"/>
      <c r="AT104" s="3843"/>
      <c r="AU104" s="1081"/>
      <c r="AV104" s="1699"/>
      <c r="AW104" s="3843"/>
      <c r="AX104" s="3843"/>
      <c r="AY104" s="1081"/>
      <c r="AZ104" s="1699"/>
      <c r="BA104" s="3843"/>
      <c r="BB104" s="3843"/>
      <c r="BC104" s="3843"/>
      <c r="BD104" s="3843"/>
      <c r="BE104" s="3843"/>
      <c r="BF104" s="3843"/>
    </row>
    <row r="105" spans="1:58" x14ac:dyDescent="0.25">
      <c r="B105" s="5170"/>
      <c r="C105" s="1394" t="s">
        <v>1457</v>
      </c>
      <c r="D105" s="421"/>
      <c r="E105" s="421"/>
      <c r="F105" s="1675">
        <v>0</v>
      </c>
      <c r="G105" s="421"/>
      <c r="H105" s="1675">
        <v>0</v>
      </c>
      <c r="I105" s="1673"/>
      <c r="J105" s="1673">
        <f t="shared" si="83"/>
        <v>0</v>
      </c>
      <c r="K105" s="421"/>
      <c r="L105" s="1675">
        <v>1</v>
      </c>
      <c r="M105" s="1674">
        <f t="shared" si="130"/>
        <v>0</v>
      </c>
      <c r="N105" s="1674">
        <f t="shared" si="130"/>
        <v>1</v>
      </c>
      <c r="O105" s="421"/>
      <c r="P105" s="1675">
        <v>1</v>
      </c>
      <c r="Q105" s="1673">
        <f t="shared" si="131"/>
        <v>0</v>
      </c>
      <c r="R105" s="1673">
        <f t="shared" si="131"/>
        <v>2</v>
      </c>
      <c r="S105" s="421"/>
      <c r="T105" s="1675">
        <v>1.5</v>
      </c>
      <c r="U105" s="1673">
        <f t="shared" ref="U105:U106" si="150">+Q105+S105</f>
        <v>0</v>
      </c>
      <c r="V105" s="1673">
        <f t="shared" si="141"/>
        <v>3.5</v>
      </c>
      <c r="W105" s="421"/>
      <c r="X105" s="1675">
        <v>2</v>
      </c>
      <c r="Y105" s="1674">
        <f t="shared" ref="Y105:Z120" si="151">O105+S105+W105</f>
        <v>0</v>
      </c>
      <c r="Z105" s="1674">
        <f t="shared" si="151"/>
        <v>4.5</v>
      </c>
      <c r="AA105" s="1820">
        <f t="shared" ref="AA105:AA106" si="152">+M105+Y105</f>
        <v>0</v>
      </c>
      <c r="AB105" s="1820">
        <f t="shared" si="143"/>
        <v>5.5</v>
      </c>
      <c r="AC105" s="421"/>
      <c r="AD105" s="1675">
        <v>0</v>
      </c>
      <c r="AE105" s="1673">
        <f t="shared" ref="AE105:AE106" si="153">+AA105+AC105</f>
        <v>0</v>
      </c>
      <c r="AF105" s="1673">
        <f t="shared" si="144"/>
        <v>5.5</v>
      </c>
      <c r="AG105" s="421"/>
      <c r="AH105" s="1675">
        <v>1.6</v>
      </c>
      <c r="AI105" s="1673">
        <f t="shared" ref="AI105:AI106" si="154">+AE105+AG105</f>
        <v>0</v>
      </c>
      <c r="AJ105" s="1673">
        <f t="shared" si="145"/>
        <v>7.1</v>
      </c>
      <c r="AK105" s="421"/>
      <c r="AL105" s="1675">
        <v>2</v>
      </c>
      <c r="AM105" s="1674">
        <f t="shared" ref="AM105:AN120" si="155">AC105+AG105+AK105</f>
        <v>0</v>
      </c>
      <c r="AN105" s="1674">
        <f t="shared" si="155"/>
        <v>3.6</v>
      </c>
      <c r="AO105" s="1673">
        <f t="shared" ref="AO105:AO106" si="156">+AI105+AK105</f>
        <v>0</v>
      </c>
      <c r="AP105" s="1673">
        <f t="shared" si="147"/>
        <v>9.1</v>
      </c>
      <c r="AQ105" s="421"/>
      <c r="AR105" s="1675">
        <v>1</v>
      </c>
      <c r="AS105" s="1673">
        <f t="shared" si="86"/>
        <v>0</v>
      </c>
      <c r="AT105" s="1673">
        <f t="shared" si="86"/>
        <v>10.1</v>
      </c>
      <c r="AU105" s="421"/>
      <c r="AV105" s="1675">
        <v>0</v>
      </c>
      <c r="AW105" s="1673">
        <f t="shared" si="87"/>
        <v>0</v>
      </c>
      <c r="AX105" s="1673">
        <f t="shared" si="87"/>
        <v>10.1</v>
      </c>
      <c r="AY105" s="421"/>
      <c r="AZ105" s="1675">
        <v>1.1000000000000001</v>
      </c>
      <c r="BA105" s="1674">
        <f t="shared" ref="BA105:BB106" si="157">AQ105+AU105+AY105</f>
        <v>0</v>
      </c>
      <c r="BB105" s="1674">
        <f t="shared" si="157"/>
        <v>2.1</v>
      </c>
      <c r="BC105" s="1820">
        <f>+AM105+BA105</f>
        <v>0</v>
      </c>
      <c r="BD105" s="1820">
        <f>+AN105+BB105</f>
        <v>5.7</v>
      </c>
      <c r="BE105" s="1673">
        <f t="shared" ref="BE105:BF106" si="158">+AW105+AY105</f>
        <v>0</v>
      </c>
      <c r="BF105" s="1673">
        <f t="shared" si="158"/>
        <v>11.2</v>
      </c>
    </row>
    <row r="106" spans="1:58" x14ac:dyDescent="0.25">
      <c r="B106" s="5170"/>
      <c r="C106" s="1394" t="s">
        <v>1458</v>
      </c>
      <c r="D106" s="421"/>
      <c r="E106" s="421"/>
      <c r="F106" s="863">
        <v>0</v>
      </c>
      <c r="G106" s="421"/>
      <c r="H106" s="863">
        <v>0</v>
      </c>
      <c r="I106" s="1673"/>
      <c r="J106" s="1673">
        <f t="shared" si="83"/>
        <v>0</v>
      </c>
      <c r="K106" s="421"/>
      <c r="L106" s="863">
        <v>3883</v>
      </c>
      <c r="M106" s="1674">
        <f t="shared" si="130"/>
        <v>0</v>
      </c>
      <c r="N106" s="1674">
        <f t="shared" si="130"/>
        <v>3883</v>
      </c>
      <c r="O106" s="421"/>
      <c r="P106" s="863">
        <v>3940</v>
      </c>
      <c r="Q106" s="1673">
        <f t="shared" si="131"/>
        <v>0</v>
      </c>
      <c r="R106" s="1673">
        <f t="shared" si="131"/>
        <v>7823</v>
      </c>
      <c r="S106" s="421"/>
      <c r="T106" s="863">
        <v>5887</v>
      </c>
      <c r="U106" s="1673">
        <f t="shared" si="150"/>
        <v>0</v>
      </c>
      <c r="V106" s="1673">
        <f t="shared" si="141"/>
        <v>13710</v>
      </c>
      <c r="W106" s="421"/>
      <c r="X106" s="863">
        <v>7647</v>
      </c>
      <c r="Y106" s="1674">
        <f t="shared" si="151"/>
        <v>0</v>
      </c>
      <c r="Z106" s="1674">
        <f t="shared" si="151"/>
        <v>17474</v>
      </c>
      <c r="AA106" s="1820">
        <f t="shared" si="152"/>
        <v>0</v>
      </c>
      <c r="AB106" s="1820">
        <f t="shared" si="143"/>
        <v>21357</v>
      </c>
      <c r="AC106" s="421"/>
      <c r="AD106" s="863">
        <v>0</v>
      </c>
      <c r="AE106" s="1673">
        <f t="shared" si="153"/>
        <v>0</v>
      </c>
      <c r="AF106" s="1673">
        <f t="shared" si="144"/>
        <v>21357</v>
      </c>
      <c r="AG106" s="421"/>
      <c r="AH106" s="863">
        <v>6221</v>
      </c>
      <c r="AI106" s="1673">
        <f t="shared" si="154"/>
        <v>0</v>
      </c>
      <c r="AJ106" s="1673">
        <f t="shared" si="145"/>
        <v>27578</v>
      </c>
      <c r="AK106" s="421"/>
      <c r="AL106" s="863">
        <v>7663.56</v>
      </c>
      <c r="AM106" s="1674">
        <f t="shared" si="155"/>
        <v>0</v>
      </c>
      <c r="AN106" s="1674">
        <f t="shared" si="155"/>
        <v>13884.560000000001</v>
      </c>
      <c r="AO106" s="1673">
        <f t="shared" si="156"/>
        <v>0</v>
      </c>
      <c r="AP106" s="1673">
        <f t="shared" si="147"/>
        <v>35241.56</v>
      </c>
      <c r="AQ106" s="421"/>
      <c r="AR106" s="863">
        <v>3822</v>
      </c>
      <c r="AS106" s="1673">
        <f t="shared" si="86"/>
        <v>0</v>
      </c>
      <c r="AT106" s="1673">
        <f t="shared" si="86"/>
        <v>39063.56</v>
      </c>
      <c r="AU106" s="421"/>
      <c r="AV106" s="863">
        <v>0</v>
      </c>
      <c r="AW106" s="1673">
        <f t="shared" si="87"/>
        <v>0</v>
      </c>
      <c r="AX106" s="1673">
        <f t="shared" si="87"/>
        <v>39063.56</v>
      </c>
      <c r="AY106" s="421"/>
      <c r="AZ106" s="863">
        <v>4068</v>
      </c>
      <c r="BA106" s="1674">
        <f t="shared" si="157"/>
        <v>0</v>
      </c>
      <c r="BB106" s="1674">
        <f t="shared" si="157"/>
        <v>7890</v>
      </c>
      <c r="BC106" s="1820">
        <f>+AM106+BA106</f>
        <v>0</v>
      </c>
      <c r="BD106" s="1820">
        <f>+AN106+BB106</f>
        <v>21774.560000000001</v>
      </c>
      <c r="BE106" s="1673">
        <f t="shared" si="158"/>
        <v>0</v>
      </c>
      <c r="BF106" s="1673">
        <f t="shared" si="158"/>
        <v>43131.56</v>
      </c>
    </row>
    <row r="107" spans="1:58" s="334" customFormat="1" x14ac:dyDescent="0.25">
      <c r="B107" s="5170"/>
      <c r="C107" s="1081" t="s">
        <v>1479</v>
      </c>
      <c r="D107" s="1081"/>
      <c r="E107" s="1081"/>
      <c r="F107" s="1699"/>
      <c r="G107" s="1081"/>
      <c r="H107" s="1699"/>
      <c r="I107" s="3843"/>
      <c r="J107" s="3843"/>
      <c r="K107" s="1081"/>
      <c r="L107" s="1699"/>
      <c r="M107" s="3843"/>
      <c r="N107" s="3843"/>
      <c r="O107" s="1081"/>
      <c r="P107" s="1699"/>
      <c r="Q107" s="3843"/>
      <c r="R107" s="3843"/>
      <c r="S107" s="1081"/>
      <c r="T107" s="1699"/>
      <c r="U107" s="3843"/>
      <c r="V107" s="3843"/>
      <c r="W107" s="1081"/>
      <c r="X107" s="1699"/>
      <c r="Y107" s="3843"/>
      <c r="Z107" s="3843"/>
      <c r="AA107" s="3843"/>
      <c r="AB107" s="3843"/>
      <c r="AC107" s="1081"/>
      <c r="AD107" s="1699"/>
      <c r="AE107" s="3843"/>
      <c r="AF107" s="3843"/>
      <c r="AG107" s="1081"/>
      <c r="AH107" s="1699"/>
      <c r="AI107" s="3843"/>
      <c r="AJ107" s="3843"/>
      <c r="AK107" s="1081"/>
      <c r="AL107" s="1699"/>
      <c r="AM107" s="3843"/>
      <c r="AN107" s="3843"/>
      <c r="AO107" s="3843"/>
      <c r="AP107" s="3843"/>
      <c r="AQ107" s="1081"/>
      <c r="AR107" s="1699"/>
      <c r="AS107" s="3843"/>
      <c r="AT107" s="3843"/>
      <c r="AU107" s="1081"/>
      <c r="AV107" s="1699"/>
      <c r="AW107" s="3843"/>
      <c r="AX107" s="3843"/>
      <c r="AY107" s="1081"/>
      <c r="AZ107" s="1699"/>
      <c r="BA107" s="3843"/>
      <c r="BB107" s="3843"/>
      <c r="BC107" s="3843"/>
      <c r="BD107" s="3843"/>
      <c r="BE107" s="3843"/>
      <c r="BF107" s="3843"/>
    </row>
    <row r="108" spans="1:58" x14ac:dyDescent="0.25">
      <c r="B108" s="5170"/>
      <c r="C108" s="1394" t="s">
        <v>1457</v>
      </c>
      <c r="D108" s="421"/>
      <c r="E108" s="421"/>
      <c r="F108" s="1675">
        <v>1.9</v>
      </c>
      <c r="G108" s="421"/>
      <c r="H108" s="1675">
        <v>1</v>
      </c>
      <c r="I108" s="1673"/>
      <c r="J108" s="1673">
        <f t="shared" si="83"/>
        <v>2.9</v>
      </c>
      <c r="K108" s="421"/>
      <c r="L108" s="1675">
        <v>0.5</v>
      </c>
      <c r="M108" s="1674">
        <f t="shared" si="130"/>
        <v>0</v>
      </c>
      <c r="N108" s="1674">
        <f t="shared" si="130"/>
        <v>3.4</v>
      </c>
      <c r="O108" s="421"/>
      <c r="P108" s="1675">
        <v>0</v>
      </c>
      <c r="Q108" s="1673">
        <f t="shared" si="131"/>
        <v>0</v>
      </c>
      <c r="R108" s="1673">
        <f t="shared" si="131"/>
        <v>3.4</v>
      </c>
      <c r="S108" s="421"/>
      <c r="T108" s="1675">
        <v>2</v>
      </c>
      <c r="U108" s="1673">
        <f t="shared" ref="U108:U109" si="159">+Q108+S108</f>
        <v>0</v>
      </c>
      <c r="V108" s="1673">
        <f t="shared" si="141"/>
        <v>5.4</v>
      </c>
      <c r="W108" s="421"/>
      <c r="X108" s="1675">
        <v>1</v>
      </c>
      <c r="Y108" s="1674">
        <f t="shared" ref="Y108:Y109" si="160">O108+S108+W108</f>
        <v>0</v>
      </c>
      <c r="Z108" s="1674">
        <f t="shared" si="151"/>
        <v>3</v>
      </c>
      <c r="AA108" s="1820">
        <f t="shared" ref="AA108:AA109" si="161">+M108+Y108</f>
        <v>0</v>
      </c>
      <c r="AB108" s="1820">
        <f t="shared" si="143"/>
        <v>6.4</v>
      </c>
      <c r="AC108" s="421"/>
      <c r="AD108" s="1675">
        <v>1</v>
      </c>
      <c r="AE108" s="1673">
        <f t="shared" ref="AE108:AE109" si="162">+AA108+AC108</f>
        <v>0</v>
      </c>
      <c r="AF108" s="1673">
        <f t="shared" si="144"/>
        <v>7.4</v>
      </c>
      <c r="AG108" s="421"/>
      <c r="AH108" s="1675">
        <v>0.9</v>
      </c>
      <c r="AI108" s="1673">
        <f t="shared" ref="AI108:AI109" si="163">+AE108+AG108</f>
        <v>0</v>
      </c>
      <c r="AJ108" s="1673">
        <f t="shared" si="145"/>
        <v>8.3000000000000007</v>
      </c>
      <c r="AK108" s="421"/>
      <c r="AL108" s="1675">
        <v>2</v>
      </c>
      <c r="AM108" s="1674">
        <f t="shared" ref="AM108:AM109" si="164">AC108+AG108+AK108</f>
        <v>0</v>
      </c>
      <c r="AN108" s="1674">
        <f t="shared" si="155"/>
        <v>3.9</v>
      </c>
      <c r="AO108" s="1673">
        <f t="shared" ref="AO108:AO109" si="165">+AI108+AK108</f>
        <v>0</v>
      </c>
      <c r="AP108" s="1673">
        <f t="shared" si="147"/>
        <v>10.3</v>
      </c>
      <c r="AQ108" s="421"/>
      <c r="AR108" s="1675">
        <v>2</v>
      </c>
      <c r="AS108" s="1673">
        <f t="shared" si="86"/>
        <v>0</v>
      </c>
      <c r="AT108" s="1673">
        <f t="shared" si="86"/>
        <v>12.3</v>
      </c>
      <c r="AU108" s="421"/>
      <c r="AV108" s="1675">
        <v>1.4</v>
      </c>
      <c r="AW108" s="1673">
        <f t="shared" si="87"/>
        <v>0</v>
      </c>
      <c r="AX108" s="1673">
        <f t="shared" si="87"/>
        <v>13.700000000000001</v>
      </c>
      <c r="AY108" s="421"/>
      <c r="AZ108" s="1675">
        <v>1</v>
      </c>
      <c r="BA108" s="1674">
        <f t="shared" ref="BA108:BB109" si="166">AQ108+AU108+AY108</f>
        <v>0</v>
      </c>
      <c r="BB108" s="1674">
        <f t="shared" si="166"/>
        <v>4.4000000000000004</v>
      </c>
      <c r="BC108" s="1820">
        <f>+AM108+BA108</f>
        <v>0</v>
      </c>
      <c r="BD108" s="1820">
        <f>+AN108+BB108</f>
        <v>8.3000000000000007</v>
      </c>
      <c r="BE108" s="1673">
        <f t="shared" ref="BE108:BF109" si="167">+AW108+AY108</f>
        <v>0</v>
      </c>
      <c r="BF108" s="1673">
        <f t="shared" si="167"/>
        <v>14.700000000000001</v>
      </c>
    </row>
    <row r="109" spans="1:58" x14ac:dyDescent="0.25">
      <c r="B109" s="5170"/>
      <c r="C109" s="1394" t="s">
        <v>1458</v>
      </c>
      <c r="D109" s="421"/>
      <c r="E109" s="421"/>
      <c r="F109" s="863">
        <v>7202</v>
      </c>
      <c r="G109" s="421"/>
      <c r="H109" s="863">
        <v>3413</v>
      </c>
      <c r="I109" s="1673"/>
      <c r="J109" s="1673">
        <f t="shared" si="83"/>
        <v>10615</v>
      </c>
      <c r="K109" s="421"/>
      <c r="L109" s="863">
        <v>1935</v>
      </c>
      <c r="M109" s="1674">
        <f t="shared" si="130"/>
        <v>0</v>
      </c>
      <c r="N109" s="1674">
        <f t="shared" si="130"/>
        <v>12550</v>
      </c>
      <c r="O109" s="421"/>
      <c r="P109" s="863">
        <v>0</v>
      </c>
      <c r="Q109" s="1673">
        <f t="shared" si="131"/>
        <v>0</v>
      </c>
      <c r="R109" s="1673">
        <f t="shared" si="131"/>
        <v>12550</v>
      </c>
      <c r="S109" s="421"/>
      <c r="T109" s="863">
        <v>7662</v>
      </c>
      <c r="U109" s="1673">
        <f t="shared" si="159"/>
        <v>0</v>
      </c>
      <c r="V109" s="1673">
        <f t="shared" si="141"/>
        <v>20212</v>
      </c>
      <c r="W109" s="421"/>
      <c r="X109" s="863">
        <v>3782</v>
      </c>
      <c r="Y109" s="1674">
        <f t="shared" si="160"/>
        <v>0</v>
      </c>
      <c r="Z109" s="1674">
        <f t="shared" si="151"/>
        <v>11444</v>
      </c>
      <c r="AA109" s="1820">
        <f t="shared" si="161"/>
        <v>0</v>
      </c>
      <c r="AB109" s="1820">
        <f t="shared" si="143"/>
        <v>23994</v>
      </c>
      <c r="AC109" s="421"/>
      <c r="AD109" s="863">
        <v>3732</v>
      </c>
      <c r="AE109" s="1673">
        <f t="shared" si="162"/>
        <v>0</v>
      </c>
      <c r="AF109" s="1673">
        <f t="shared" si="144"/>
        <v>27726</v>
      </c>
      <c r="AG109" s="421"/>
      <c r="AH109" s="863">
        <v>3261</v>
      </c>
      <c r="AI109" s="1673">
        <f t="shared" si="163"/>
        <v>0</v>
      </c>
      <c r="AJ109" s="1673">
        <f t="shared" si="145"/>
        <v>30987</v>
      </c>
      <c r="AK109" s="421"/>
      <c r="AL109" s="863">
        <v>7456.25</v>
      </c>
      <c r="AM109" s="1674">
        <f t="shared" si="164"/>
        <v>0</v>
      </c>
      <c r="AN109" s="1674">
        <f t="shared" si="155"/>
        <v>14449.25</v>
      </c>
      <c r="AO109" s="1673">
        <f t="shared" si="165"/>
        <v>0</v>
      </c>
      <c r="AP109" s="1673">
        <f t="shared" si="147"/>
        <v>38443.25</v>
      </c>
      <c r="AQ109" s="421"/>
      <c r="AR109" s="863">
        <v>7586</v>
      </c>
      <c r="AS109" s="1673">
        <f t="shared" si="86"/>
        <v>0</v>
      </c>
      <c r="AT109" s="1673">
        <f t="shared" si="86"/>
        <v>46029.25</v>
      </c>
      <c r="AU109" s="421"/>
      <c r="AV109" s="863">
        <v>5699</v>
      </c>
      <c r="AW109" s="1673">
        <f t="shared" si="87"/>
        <v>0</v>
      </c>
      <c r="AX109" s="1673">
        <f t="shared" si="87"/>
        <v>51728.25</v>
      </c>
      <c r="AY109" s="421"/>
      <c r="AZ109" s="863">
        <v>3871</v>
      </c>
      <c r="BA109" s="1674">
        <f t="shared" si="166"/>
        <v>0</v>
      </c>
      <c r="BB109" s="1674">
        <f t="shared" si="166"/>
        <v>17156</v>
      </c>
      <c r="BC109" s="1820">
        <f>+AM109+BA109</f>
        <v>0</v>
      </c>
      <c r="BD109" s="1820">
        <f>+AN109+BB109</f>
        <v>31605.25</v>
      </c>
      <c r="BE109" s="1673">
        <f t="shared" si="167"/>
        <v>0</v>
      </c>
      <c r="BF109" s="1673">
        <f t="shared" si="167"/>
        <v>55599.25</v>
      </c>
    </row>
    <row r="110" spans="1:58" s="334" customFormat="1" x14ac:dyDescent="0.25">
      <c r="B110" s="5170"/>
      <c r="C110" s="1081" t="s">
        <v>1480</v>
      </c>
      <c r="D110" s="1081"/>
      <c r="E110" s="1081"/>
      <c r="F110" s="1699"/>
      <c r="G110" s="1081"/>
      <c r="H110" s="1699"/>
      <c r="I110" s="3843"/>
      <c r="J110" s="3843"/>
      <c r="K110" s="1081"/>
      <c r="L110" s="1699"/>
      <c r="M110" s="3843"/>
      <c r="N110" s="3843"/>
      <c r="O110" s="1081"/>
      <c r="P110" s="1699"/>
      <c r="Q110" s="3843"/>
      <c r="R110" s="3843"/>
      <c r="S110" s="1081"/>
      <c r="T110" s="1699"/>
      <c r="U110" s="3843"/>
      <c r="V110" s="3843"/>
      <c r="W110" s="1081"/>
      <c r="X110" s="1699"/>
      <c r="Y110" s="3843"/>
      <c r="Z110" s="3843"/>
      <c r="AA110" s="3843"/>
      <c r="AB110" s="3843"/>
      <c r="AC110" s="1081"/>
      <c r="AD110" s="1699"/>
      <c r="AE110" s="3843"/>
      <c r="AF110" s="3843"/>
      <c r="AG110" s="1081"/>
      <c r="AH110" s="1699"/>
      <c r="AI110" s="3843"/>
      <c r="AJ110" s="3843"/>
      <c r="AK110" s="1081"/>
      <c r="AL110" s="1699"/>
      <c r="AM110" s="3843"/>
      <c r="AN110" s="3843"/>
      <c r="AO110" s="3843"/>
      <c r="AP110" s="3843"/>
      <c r="AQ110" s="1081"/>
      <c r="AR110" s="1699"/>
      <c r="AS110" s="3843"/>
      <c r="AT110" s="3843"/>
      <c r="AU110" s="1081"/>
      <c r="AV110" s="1699"/>
      <c r="AW110" s="3843"/>
      <c r="AX110" s="3843"/>
      <c r="AY110" s="1081"/>
      <c r="AZ110" s="1699"/>
      <c r="BA110" s="3843"/>
      <c r="BB110" s="3843"/>
      <c r="BC110" s="3843"/>
      <c r="BD110" s="3843"/>
      <c r="BE110" s="3843"/>
      <c r="BF110" s="3843"/>
    </row>
    <row r="111" spans="1:58" x14ac:dyDescent="0.25">
      <c r="A111" s="4606">
        <v>26877</v>
      </c>
      <c r="B111" s="5170"/>
      <c r="C111" s="1394" t="s">
        <v>1457</v>
      </c>
      <c r="D111" s="421"/>
      <c r="E111" s="421"/>
      <c r="F111" s="1675">
        <v>1.9</v>
      </c>
      <c r="G111" s="421"/>
      <c r="H111" s="1675">
        <v>4</v>
      </c>
      <c r="I111" s="1673"/>
      <c r="J111" s="1673">
        <f t="shared" si="83"/>
        <v>5.9</v>
      </c>
      <c r="K111" s="421"/>
      <c r="L111" s="1675">
        <v>2.5</v>
      </c>
      <c r="M111" s="1674">
        <f t="shared" si="130"/>
        <v>0</v>
      </c>
      <c r="N111" s="1674">
        <f t="shared" si="130"/>
        <v>8.4</v>
      </c>
      <c r="O111" s="421"/>
      <c r="P111" s="1675">
        <v>2.5</v>
      </c>
      <c r="Q111" s="1673">
        <f t="shared" si="131"/>
        <v>0</v>
      </c>
      <c r="R111" s="1673">
        <f t="shared" si="131"/>
        <v>10.9</v>
      </c>
      <c r="S111" s="421"/>
      <c r="T111" s="1675">
        <v>3</v>
      </c>
      <c r="U111" s="1673">
        <f t="shared" ref="U111:U112" si="168">+Q111+S111</f>
        <v>0</v>
      </c>
      <c r="V111" s="1673">
        <f t="shared" si="141"/>
        <v>13.9</v>
      </c>
      <c r="W111" s="421"/>
      <c r="X111" s="1675">
        <v>3</v>
      </c>
      <c r="Y111" s="1674">
        <f t="shared" ref="Y111:Y112" si="169">O111+S111+W111</f>
        <v>0</v>
      </c>
      <c r="Z111" s="1674">
        <f t="shared" si="151"/>
        <v>8.5</v>
      </c>
      <c r="AA111" s="1820">
        <f t="shared" ref="AA111:AA112" si="170">+M111+Y111</f>
        <v>0</v>
      </c>
      <c r="AB111" s="1820">
        <f t="shared" si="143"/>
        <v>16.899999999999999</v>
      </c>
      <c r="AC111" s="421"/>
      <c r="AD111" s="1675">
        <v>3.9</v>
      </c>
      <c r="AE111" s="1673">
        <f t="shared" ref="AE111:AE112" si="171">+AA111+AC111</f>
        <v>0</v>
      </c>
      <c r="AF111" s="1673">
        <f t="shared" si="144"/>
        <v>20.799999999999997</v>
      </c>
      <c r="AG111" s="421"/>
      <c r="AH111" s="1675">
        <v>3.5</v>
      </c>
      <c r="AI111" s="1673">
        <f t="shared" ref="AI111:AI112" si="172">+AE111+AG111</f>
        <v>0</v>
      </c>
      <c r="AJ111" s="1673">
        <f t="shared" si="145"/>
        <v>24.299999999999997</v>
      </c>
      <c r="AK111" s="421"/>
      <c r="AL111" s="1675">
        <v>2.5</v>
      </c>
      <c r="AM111" s="1674">
        <f t="shared" ref="AM111:AM112" si="173">AC111+AG111+AK111</f>
        <v>0</v>
      </c>
      <c r="AN111" s="1674">
        <f t="shared" si="155"/>
        <v>9.9</v>
      </c>
      <c r="AO111" s="1673">
        <f t="shared" ref="AO111:AO112" si="174">+AI111+AK111</f>
        <v>0</v>
      </c>
      <c r="AP111" s="1673">
        <f t="shared" si="147"/>
        <v>26.799999999999997</v>
      </c>
      <c r="AQ111" s="421"/>
      <c r="AR111" s="1675">
        <v>2.5</v>
      </c>
      <c r="AS111" s="1673">
        <f t="shared" si="86"/>
        <v>0</v>
      </c>
      <c r="AT111" s="1673">
        <f t="shared" si="86"/>
        <v>29.299999999999997</v>
      </c>
      <c r="AU111" s="421"/>
      <c r="AV111" s="1675">
        <v>1</v>
      </c>
      <c r="AW111" s="1673">
        <f t="shared" si="87"/>
        <v>0</v>
      </c>
      <c r="AX111" s="1673">
        <f t="shared" si="87"/>
        <v>30.299999999999997</v>
      </c>
      <c r="AY111" s="421"/>
      <c r="AZ111" s="1675">
        <v>2</v>
      </c>
      <c r="BA111" s="1674">
        <f t="shared" ref="BA111:BB112" si="175">AQ111+AU111+AY111</f>
        <v>0</v>
      </c>
      <c r="BB111" s="1674">
        <f t="shared" si="175"/>
        <v>5.5</v>
      </c>
      <c r="BC111" s="1820">
        <f>+AM111+BA111</f>
        <v>0</v>
      </c>
      <c r="BD111" s="1820">
        <f>+AN111+BB111</f>
        <v>15.4</v>
      </c>
      <c r="BE111" s="1673">
        <f t="shared" ref="BE111:BF112" si="176">+AW111+AY111</f>
        <v>0</v>
      </c>
      <c r="BF111" s="1673">
        <f t="shared" si="176"/>
        <v>32.299999999999997</v>
      </c>
    </row>
    <row r="112" spans="1:58" x14ac:dyDescent="0.25">
      <c r="A112" s="4606">
        <v>27363</v>
      </c>
      <c r="B112" s="5170"/>
      <c r="C112" s="1394" t="s">
        <v>1458</v>
      </c>
      <c r="D112" s="421"/>
      <c r="E112" s="421"/>
      <c r="F112" s="863">
        <v>7514</v>
      </c>
      <c r="G112" s="421"/>
      <c r="H112" s="863">
        <v>15483</v>
      </c>
      <c r="I112" s="1673"/>
      <c r="J112" s="1673">
        <f t="shared" si="83"/>
        <v>22997</v>
      </c>
      <c r="K112" s="421"/>
      <c r="L112" s="863">
        <v>9611</v>
      </c>
      <c r="M112" s="1674">
        <f t="shared" si="130"/>
        <v>0</v>
      </c>
      <c r="N112" s="1674">
        <f t="shared" si="130"/>
        <v>32608</v>
      </c>
      <c r="O112" s="421"/>
      <c r="P112" s="863">
        <v>9588</v>
      </c>
      <c r="Q112" s="1673">
        <f t="shared" si="131"/>
        <v>0</v>
      </c>
      <c r="R112" s="1673">
        <f t="shared" si="131"/>
        <v>42196</v>
      </c>
      <c r="S112" s="421"/>
      <c r="T112" s="863">
        <v>11647</v>
      </c>
      <c r="U112" s="1673">
        <f t="shared" si="168"/>
        <v>0</v>
      </c>
      <c r="V112" s="1673">
        <f t="shared" si="141"/>
        <v>53843</v>
      </c>
      <c r="W112" s="421"/>
      <c r="X112" s="863">
        <v>11790</v>
      </c>
      <c r="Y112" s="1674">
        <f t="shared" si="169"/>
        <v>0</v>
      </c>
      <c r="Z112" s="1674">
        <f t="shared" si="151"/>
        <v>33025</v>
      </c>
      <c r="AA112" s="1820">
        <f t="shared" si="170"/>
        <v>0</v>
      </c>
      <c r="AB112" s="1820">
        <f t="shared" si="143"/>
        <v>65633</v>
      </c>
      <c r="AC112" s="421"/>
      <c r="AD112" s="863">
        <v>15646</v>
      </c>
      <c r="AE112" s="1673">
        <f t="shared" si="171"/>
        <v>0</v>
      </c>
      <c r="AF112" s="1673">
        <f t="shared" si="144"/>
        <v>81279</v>
      </c>
      <c r="AG112" s="421"/>
      <c r="AH112" s="863">
        <v>13429</v>
      </c>
      <c r="AI112" s="1673">
        <f t="shared" si="172"/>
        <v>0</v>
      </c>
      <c r="AJ112" s="1673">
        <f t="shared" si="145"/>
        <v>94708</v>
      </c>
      <c r="AK112" s="421"/>
      <c r="AL112" s="863">
        <v>9786.4500000000007</v>
      </c>
      <c r="AM112" s="1674">
        <f t="shared" si="173"/>
        <v>0</v>
      </c>
      <c r="AN112" s="1674">
        <f t="shared" si="155"/>
        <v>38861.449999999997</v>
      </c>
      <c r="AO112" s="1673">
        <f t="shared" si="174"/>
        <v>0</v>
      </c>
      <c r="AP112" s="1673">
        <f t="shared" si="147"/>
        <v>104494.45</v>
      </c>
      <c r="AQ112" s="421"/>
      <c r="AR112" s="863">
        <v>9703</v>
      </c>
      <c r="AS112" s="1673">
        <f t="shared" si="86"/>
        <v>0</v>
      </c>
      <c r="AT112" s="1673">
        <f t="shared" si="86"/>
        <v>114197.45</v>
      </c>
      <c r="AU112" s="421"/>
      <c r="AV112" s="863">
        <v>3853</v>
      </c>
      <c r="AW112" s="1673">
        <f t="shared" si="87"/>
        <v>0</v>
      </c>
      <c r="AX112" s="1673">
        <f t="shared" si="87"/>
        <v>118050.45</v>
      </c>
      <c r="AY112" s="421"/>
      <c r="AZ112" s="863">
        <v>7584</v>
      </c>
      <c r="BA112" s="1674">
        <f t="shared" si="175"/>
        <v>0</v>
      </c>
      <c r="BB112" s="1674">
        <f t="shared" si="175"/>
        <v>21140</v>
      </c>
      <c r="BC112" s="1820">
        <f>+AM112+BA112</f>
        <v>0</v>
      </c>
      <c r="BD112" s="1820">
        <f>+AN112+BB112</f>
        <v>60001.45</v>
      </c>
      <c r="BE112" s="1673">
        <f t="shared" si="176"/>
        <v>0</v>
      </c>
      <c r="BF112" s="1673">
        <f t="shared" si="176"/>
        <v>125634.45</v>
      </c>
    </row>
    <row r="113" spans="1:58" s="334" customFormat="1" x14ac:dyDescent="0.25">
      <c r="A113" s="334">
        <f>SUM(A111:A112)</f>
        <v>54240</v>
      </c>
      <c r="B113" s="5170"/>
      <c r="C113" s="1081" t="s">
        <v>1481</v>
      </c>
      <c r="D113" s="1081"/>
      <c r="E113" s="1081"/>
      <c r="F113" s="1699"/>
      <c r="G113" s="1081"/>
      <c r="H113" s="1699"/>
      <c r="I113" s="3843"/>
      <c r="J113" s="3843"/>
      <c r="K113" s="1081"/>
      <c r="L113" s="1699"/>
      <c r="M113" s="3843"/>
      <c r="N113" s="3843"/>
      <c r="O113" s="1081"/>
      <c r="P113" s="1699"/>
      <c r="Q113" s="3843"/>
      <c r="R113" s="3843"/>
      <c r="S113" s="1081"/>
      <c r="T113" s="1699"/>
      <c r="U113" s="3843"/>
      <c r="V113" s="3843"/>
      <c r="W113" s="1081"/>
      <c r="X113" s="1699"/>
      <c r="Y113" s="3843"/>
      <c r="Z113" s="3843"/>
      <c r="AA113" s="3843"/>
      <c r="AB113" s="3843"/>
      <c r="AC113" s="1081"/>
      <c r="AD113" s="1699"/>
      <c r="AE113" s="3843"/>
      <c r="AF113" s="3843"/>
      <c r="AG113" s="1081"/>
      <c r="AH113" s="1699"/>
      <c r="AI113" s="3843"/>
      <c r="AJ113" s="3843"/>
      <c r="AK113" s="1081"/>
      <c r="AL113" s="1699"/>
      <c r="AM113" s="3843"/>
      <c r="AN113" s="3843"/>
      <c r="AO113" s="3843"/>
      <c r="AP113" s="3843"/>
      <c r="AQ113" s="1081"/>
      <c r="AR113" s="1699"/>
      <c r="AS113" s="3843"/>
      <c r="AT113" s="3843"/>
      <c r="AU113" s="1081"/>
      <c r="AV113" s="1699"/>
      <c r="AW113" s="3843"/>
      <c r="AX113" s="3843"/>
      <c r="AY113" s="1081"/>
      <c r="AZ113" s="1699"/>
      <c r="BA113" s="3843"/>
      <c r="BB113" s="3843"/>
      <c r="BC113" s="3843"/>
      <c r="BD113" s="3843"/>
      <c r="BE113" s="3843"/>
      <c r="BF113" s="3843"/>
    </row>
    <row r="114" spans="1:58" x14ac:dyDescent="0.25">
      <c r="A114" s="4606">
        <v>3967</v>
      </c>
      <c r="B114" s="5170"/>
      <c r="C114" s="1394" t="s">
        <v>1457</v>
      </c>
      <c r="D114" s="421"/>
      <c r="E114" s="421"/>
      <c r="F114" s="1675">
        <v>0.5</v>
      </c>
      <c r="G114" s="421"/>
      <c r="H114" s="1675">
        <v>1</v>
      </c>
      <c r="I114" s="1673"/>
      <c r="J114" s="1673">
        <f t="shared" si="83"/>
        <v>1.5</v>
      </c>
      <c r="K114" s="421"/>
      <c r="L114" s="1675">
        <v>1.6</v>
      </c>
      <c r="M114" s="1674">
        <f t="shared" si="130"/>
        <v>0</v>
      </c>
      <c r="N114" s="1674">
        <f t="shared" si="130"/>
        <v>3.1</v>
      </c>
      <c r="O114" s="421"/>
      <c r="P114" s="1675">
        <v>1</v>
      </c>
      <c r="Q114" s="1673">
        <f t="shared" si="131"/>
        <v>0</v>
      </c>
      <c r="R114" s="1673">
        <f t="shared" si="131"/>
        <v>4.0999999999999996</v>
      </c>
      <c r="S114" s="421"/>
      <c r="T114" s="1675">
        <v>1</v>
      </c>
      <c r="U114" s="1673">
        <f t="shared" ref="U114:U115" si="177">+Q114+S114</f>
        <v>0</v>
      </c>
      <c r="V114" s="1673">
        <f t="shared" si="141"/>
        <v>5.0999999999999996</v>
      </c>
      <c r="W114" s="421"/>
      <c r="X114" s="1675">
        <v>0</v>
      </c>
      <c r="Y114" s="1674">
        <f t="shared" ref="Y114:Y115" si="178">O114+S114+W114</f>
        <v>0</v>
      </c>
      <c r="Z114" s="1674">
        <f t="shared" si="151"/>
        <v>2</v>
      </c>
      <c r="AA114" s="1820">
        <f t="shared" ref="AA114:AA115" si="179">+M114+Y114</f>
        <v>0</v>
      </c>
      <c r="AB114" s="1820">
        <f t="shared" si="143"/>
        <v>5.0999999999999996</v>
      </c>
      <c r="AC114" s="421"/>
      <c r="AD114" s="1675">
        <v>0</v>
      </c>
      <c r="AE114" s="1673">
        <f t="shared" ref="AE114:AE115" si="180">+AA114+AC114</f>
        <v>0</v>
      </c>
      <c r="AF114" s="1673">
        <f t="shared" si="144"/>
        <v>5.0999999999999996</v>
      </c>
      <c r="AG114" s="421"/>
      <c r="AH114" s="1675">
        <v>1</v>
      </c>
      <c r="AI114" s="1673">
        <f t="shared" ref="AI114:AI115" si="181">+AE114+AG114</f>
        <v>0</v>
      </c>
      <c r="AJ114" s="1673">
        <f t="shared" si="145"/>
        <v>6.1</v>
      </c>
      <c r="AK114" s="421"/>
      <c r="AL114" s="1675">
        <v>1.1000000000000001</v>
      </c>
      <c r="AM114" s="1674">
        <f t="shared" ref="AM114:AM115" si="182">AC114+AG114+AK114</f>
        <v>0</v>
      </c>
      <c r="AN114" s="1674">
        <f t="shared" si="155"/>
        <v>2.1</v>
      </c>
      <c r="AO114" s="1673">
        <f t="shared" ref="AO114:AO115" si="183">+AI114+AK114</f>
        <v>0</v>
      </c>
      <c r="AP114" s="1673">
        <f t="shared" si="147"/>
        <v>7.1999999999999993</v>
      </c>
      <c r="AQ114" s="421"/>
      <c r="AR114" s="1675">
        <v>1.8</v>
      </c>
      <c r="AS114" s="1673">
        <f t="shared" si="86"/>
        <v>0</v>
      </c>
      <c r="AT114" s="1673">
        <f t="shared" si="86"/>
        <v>9</v>
      </c>
      <c r="AU114" s="421"/>
      <c r="AV114" s="1675">
        <v>2</v>
      </c>
      <c r="AW114" s="1673">
        <f t="shared" si="87"/>
        <v>0</v>
      </c>
      <c r="AX114" s="1673">
        <f t="shared" si="87"/>
        <v>11</v>
      </c>
      <c r="AY114" s="421"/>
      <c r="AZ114" s="1675">
        <v>0.5</v>
      </c>
      <c r="BA114" s="1674">
        <f t="shared" ref="BA114:BB115" si="184">AQ114+AU114+AY114</f>
        <v>0</v>
      </c>
      <c r="BB114" s="1674">
        <f t="shared" si="184"/>
        <v>4.3</v>
      </c>
      <c r="BC114" s="1820">
        <f>+AM114+BA114</f>
        <v>0</v>
      </c>
      <c r="BD114" s="1820">
        <f>+AN114+BB114</f>
        <v>6.4</v>
      </c>
      <c r="BE114" s="1673">
        <f t="shared" ref="BE114:BF115" si="185">+AW114+AY114</f>
        <v>0</v>
      </c>
      <c r="BF114" s="1673">
        <f t="shared" si="185"/>
        <v>11.5</v>
      </c>
    </row>
    <row r="115" spans="1:58" x14ac:dyDescent="0.25">
      <c r="A115" s="4606">
        <f>SUM(A113:A114)</f>
        <v>58207</v>
      </c>
      <c r="B115" s="5170"/>
      <c r="C115" s="1394" t="s">
        <v>1458</v>
      </c>
      <c r="D115" s="421"/>
      <c r="E115" s="421"/>
      <c r="F115" s="863">
        <v>1785</v>
      </c>
      <c r="G115" s="421"/>
      <c r="H115" s="863">
        <v>3612</v>
      </c>
      <c r="I115" s="1673"/>
      <c r="J115" s="1673">
        <f t="shared" si="83"/>
        <v>5397</v>
      </c>
      <c r="K115" s="421"/>
      <c r="L115" s="863">
        <v>6079</v>
      </c>
      <c r="M115" s="1674">
        <f t="shared" si="130"/>
        <v>0</v>
      </c>
      <c r="N115" s="1674">
        <f t="shared" si="130"/>
        <v>11476</v>
      </c>
      <c r="O115" s="421"/>
      <c r="P115" s="863">
        <v>3983</v>
      </c>
      <c r="Q115" s="1673">
        <f t="shared" si="131"/>
        <v>0</v>
      </c>
      <c r="R115" s="1673">
        <f t="shared" si="131"/>
        <v>15459</v>
      </c>
      <c r="S115" s="421"/>
      <c r="T115" s="863">
        <v>3669</v>
      </c>
      <c r="U115" s="1673">
        <f t="shared" si="177"/>
        <v>0</v>
      </c>
      <c r="V115" s="1673">
        <f t="shared" si="141"/>
        <v>19128</v>
      </c>
      <c r="W115" s="421"/>
      <c r="X115" s="863">
        <v>0</v>
      </c>
      <c r="Y115" s="1674">
        <f t="shared" si="178"/>
        <v>0</v>
      </c>
      <c r="Z115" s="1674">
        <f t="shared" si="151"/>
        <v>7652</v>
      </c>
      <c r="AA115" s="1820">
        <f t="shared" si="179"/>
        <v>0</v>
      </c>
      <c r="AB115" s="1820">
        <f t="shared" si="143"/>
        <v>19128</v>
      </c>
      <c r="AC115" s="421"/>
      <c r="AD115" s="863">
        <v>0</v>
      </c>
      <c r="AE115" s="1673">
        <f t="shared" si="180"/>
        <v>0</v>
      </c>
      <c r="AF115" s="1673">
        <f t="shared" si="144"/>
        <v>19128</v>
      </c>
      <c r="AG115" s="421"/>
      <c r="AH115" s="863">
        <v>3727</v>
      </c>
      <c r="AI115" s="1673">
        <f t="shared" si="181"/>
        <v>0</v>
      </c>
      <c r="AJ115" s="1673">
        <f t="shared" si="145"/>
        <v>22855</v>
      </c>
      <c r="AK115" s="421"/>
      <c r="AL115" s="863">
        <v>4146.99</v>
      </c>
      <c r="AM115" s="1674">
        <f t="shared" si="182"/>
        <v>0</v>
      </c>
      <c r="AN115" s="1674">
        <f t="shared" si="155"/>
        <v>7873.99</v>
      </c>
      <c r="AO115" s="1673">
        <f t="shared" si="183"/>
        <v>0</v>
      </c>
      <c r="AP115" s="1673">
        <f t="shared" si="147"/>
        <v>27001.989999999998</v>
      </c>
      <c r="AQ115" s="421"/>
      <c r="AR115" s="863">
        <v>6982</v>
      </c>
      <c r="AS115" s="1673">
        <f t="shared" si="86"/>
        <v>0</v>
      </c>
      <c r="AT115" s="1673">
        <f t="shared" si="86"/>
        <v>33983.99</v>
      </c>
      <c r="AU115" s="421"/>
      <c r="AV115" s="863">
        <v>8067</v>
      </c>
      <c r="AW115" s="1673">
        <f t="shared" si="87"/>
        <v>0</v>
      </c>
      <c r="AX115" s="1673">
        <f t="shared" si="87"/>
        <v>42050.99</v>
      </c>
      <c r="AY115" s="421"/>
      <c r="AZ115" s="863">
        <v>1993</v>
      </c>
      <c r="BA115" s="1674">
        <f t="shared" si="184"/>
        <v>0</v>
      </c>
      <c r="BB115" s="1674">
        <f t="shared" si="184"/>
        <v>17042</v>
      </c>
      <c r="BC115" s="1820">
        <f>+AM115+BA115</f>
        <v>0</v>
      </c>
      <c r="BD115" s="1820">
        <f>+AN115+BB115</f>
        <v>24915.989999999998</v>
      </c>
      <c r="BE115" s="1673">
        <f t="shared" si="185"/>
        <v>0</v>
      </c>
      <c r="BF115" s="1673">
        <f t="shared" si="185"/>
        <v>44043.99</v>
      </c>
    </row>
    <row r="116" spans="1:58" s="334" customFormat="1" ht="15.75" x14ac:dyDescent="0.25">
      <c r="B116" s="5170"/>
      <c r="C116" s="1703" t="s">
        <v>23</v>
      </c>
      <c r="D116" s="1081"/>
      <c r="E116" s="1081"/>
      <c r="F116" s="1081"/>
      <c r="G116" s="1081"/>
      <c r="H116" s="1081"/>
      <c r="I116" s="3843"/>
      <c r="J116" s="3843"/>
      <c r="K116" s="1081"/>
      <c r="L116" s="1081"/>
      <c r="M116" s="3843"/>
      <c r="N116" s="3843"/>
      <c r="O116" s="1081"/>
      <c r="P116" s="1081"/>
      <c r="Q116" s="3843"/>
      <c r="R116" s="3843"/>
      <c r="S116" s="1081"/>
      <c r="T116" s="1081"/>
      <c r="U116" s="3843"/>
      <c r="V116" s="3843"/>
      <c r="W116" s="1081"/>
      <c r="X116" s="1081"/>
      <c r="Y116" s="3843"/>
      <c r="Z116" s="3843"/>
      <c r="AA116" s="3843"/>
      <c r="AB116" s="3843"/>
      <c r="AC116" s="1081"/>
      <c r="AD116" s="1081"/>
      <c r="AE116" s="3843"/>
      <c r="AF116" s="3843"/>
      <c r="AG116" s="1081"/>
      <c r="AH116" s="1081"/>
      <c r="AI116" s="3843"/>
      <c r="AJ116" s="3843"/>
      <c r="AK116" s="1081"/>
      <c r="AL116" s="1081"/>
      <c r="AM116" s="3843"/>
      <c r="AN116" s="3843"/>
      <c r="AO116" s="3843"/>
      <c r="AP116" s="3843"/>
      <c r="AQ116" s="1081"/>
      <c r="AR116" s="1081"/>
      <c r="AS116" s="3843"/>
      <c r="AT116" s="3843"/>
      <c r="AU116" s="1081"/>
      <c r="AV116" s="1081"/>
      <c r="AW116" s="3843"/>
      <c r="AX116" s="3843"/>
      <c r="AY116" s="1081"/>
      <c r="AZ116" s="1081"/>
      <c r="BA116" s="3843"/>
      <c r="BB116" s="3843"/>
      <c r="BC116" s="3843"/>
      <c r="BD116" s="3843"/>
      <c r="BE116" s="3843"/>
      <c r="BF116" s="3843"/>
    </row>
    <row r="117" spans="1:58" ht="18.75" x14ac:dyDescent="0.3">
      <c r="B117" s="5170"/>
      <c r="C117" s="1691" t="s">
        <v>1457</v>
      </c>
      <c r="D117" s="1681"/>
      <c r="E117" s="1687"/>
      <c r="F117" s="1690">
        <f>+F99+F102+F105+F108+F111+F114</f>
        <v>11.9</v>
      </c>
      <c r="G117" s="1687"/>
      <c r="H117" s="1690">
        <f>+H99+H102+H105+H108+H111+H114</f>
        <v>15</v>
      </c>
      <c r="I117" s="1688"/>
      <c r="J117" s="1690">
        <f t="shared" si="83"/>
        <v>26.9</v>
      </c>
      <c r="K117" s="1687"/>
      <c r="L117" s="1690">
        <f>+L99+L102+L105+L108+L111+L114</f>
        <v>13</v>
      </c>
      <c r="M117" s="1688"/>
      <c r="N117" s="1690">
        <f t="shared" ref="N117:N133" si="186">+J117+L117</f>
        <v>39.9</v>
      </c>
      <c r="O117" s="1687"/>
      <c r="P117" s="1690">
        <f>+P99+P102+P105+P108+P111+P114</f>
        <v>13</v>
      </c>
      <c r="Q117" s="1688"/>
      <c r="R117" s="1690">
        <f t="shared" ref="R117:R133" si="187">+N117+P117</f>
        <v>52.9</v>
      </c>
      <c r="S117" s="1687"/>
      <c r="T117" s="1690">
        <f>+T99+T102+T105+T108+T111+T114</f>
        <v>16</v>
      </c>
      <c r="U117" s="1688"/>
      <c r="V117" s="1690">
        <f t="shared" si="141"/>
        <v>68.900000000000006</v>
      </c>
      <c r="W117" s="1687"/>
      <c r="X117" s="1690">
        <f>+X99+X102+X105+X108+X111+X114</f>
        <v>14</v>
      </c>
      <c r="Y117" s="1688"/>
      <c r="Z117" s="1690">
        <f t="shared" si="151"/>
        <v>43</v>
      </c>
      <c r="AA117" s="1688">
        <f t="shared" ref="AA117:AB132" si="188">+M117+Y117</f>
        <v>0</v>
      </c>
      <c r="AB117" s="1690">
        <f t="shared" si="143"/>
        <v>82.9</v>
      </c>
      <c r="AC117" s="1687"/>
      <c r="AD117" s="1690">
        <f>+AD99+AD102+AD105+AD108+AD111+AD114</f>
        <v>12</v>
      </c>
      <c r="AE117" s="1688"/>
      <c r="AF117" s="1690">
        <f t="shared" si="144"/>
        <v>94.9</v>
      </c>
      <c r="AG117" s="1687"/>
      <c r="AH117" s="1690">
        <f>+AH99+AH102+AH105+AH108+AH111+AH114</f>
        <v>14</v>
      </c>
      <c r="AI117" s="1688"/>
      <c r="AJ117" s="1690">
        <f t="shared" si="145"/>
        <v>108.9</v>
      </c>
      <c r="AK117" s="1687"/>
      <c r="AL117" s="3097">
        <f>+AL99+AL102+AL105+AL108+AL111+AL114</f>
        <v>14</v>
      </c>
      <c r="AM117" s="1688"/>
      <c r="AN117" s="1690">
        <f t="shared" si="155"/>
        <v>40</v>
      </c>
      <c r="AO117" s="1688"/>
      <c r="AP117" s="1690">
        <f t="shared" si="147"/>
        <v>122.9</v>
      </c>
      <c r="AQ117" s="1687"/>
      <c r="AR117" s="1690">
        <f>+AR99+AR102+AR105+AR108+AR111+AR114</f>
        <v>14</v>
      </c>
      <c r="AS117" s="1688">
        <f t="shared" si="86"/>
        <v>0</v>
      </c>
      <c r="AT117" s="1690">
        <f t="shared" si="86"/>
        <v>136.9</v>
      </c>
      <c r="AU117" s="1687"/>
      <c r="AV117" s="1690">
        <f>+AV99+AV102+AV105+AV108+AV111+AV114</f>
        <v>13</v>
      </c>
      <c r="AW117" s="1688">
        <f t="shared" si="87"/>
        <v>0</v>
      </c>
      <c r="AX117" s="1690">
        <f t="shared" si="87"/>
        <v>149.9</v>
      </c>
      <c r="AY117" s="1687"/>
      <c r="AZ117" s="1690">
        <f>+AZ99+AZ102+AZ105+AZ108+AZ111+AZ114</f>
        <v>12</v>
      </c>
      <c r="BA117" s="1688"/>
      <c r="BB117" s="1690">
        <f t="shared" ref="BB117:BB118" si="189">AR117+AV117+AZ117</f>
        <v>39</v>
      </c>
      <c r="BC117" s="1688">
        <f>+AM117+BA117</f>
        <v>0</v>
      </c>
      <c r="BD117" s="1690">
        <f>+AN117+BB117</f>
        <v>79</v>
      </c>
      <c r="BE117" s="1688">
        <f t="shared" ref="BE117:BF118" si="190">+AW117+AY117</f>
        <v>0</v>
      </c>
      <c r="BF117" s="1690">
        <f t="shared" si="190"/>
        <v>161.9</v>
      </c>
    </row>
    <row r="118" spans="1:58" ht="18.75" x14ac:dyDescent="0.3">
      <c r="B118" s="5170"/>
      <c r="C118" s="1691" t="s">
        <v>1458</v>
      </c>
      <c r="D118" s="1681"/>
      <c r="E118" s="1687"/>
      <c r="F118" s="1690">
        <f>+F100+F103+F106+F109+F112+F115</f>
        <v>45653</v>
      </c>
      <c r="G118" s="1687"/>
      <c r="H118" s="1690">
        <f>+H100+H103+H106+H109+H112+H115</f>
        <v>56815</v>
      </c>
      <c r="I118" s="1688"/>
      <c r="J118" s="1690">
        <f t="shared" si="83"/>
        <v>102468</v>
      </c>
      <c r="K118" s="1687"/>
      <c r="L118" s="1690">
        <f>+L100+L103+L106+L109+L112+L115</f>
        <v>50238</v>
      </c>
      <c r="M118" s="1688"/>
      <c r="N118" s="1690">
        <f t="shared" si="186"/>
        <v>152706</v>
      </c>
      <c r="O118" s="1687"/>
      <c r="P118" s="1690">
        <f>+P100+P103+P106+P109+P112+P115</f>
        <v>50812</v>
      </c>
      <c r="Q118" s="1688"/>
      <c r="R118" s="1690">
        <f t="shared" si="187"/>
        <v>203518</v>
      </c>
      <c r="S118" s="1687"/>
      <c r="T118" s="1690">
        <f>+T100+T103+T106+T109+T112+T115</f>
        <v>61424</v>
      </c>
      <c r="U118" s="1688"/>
      <c r="V118" s="1690">
        <f t="shared" ref="V118:V133" si="191">+R118+T118</f>
        <v>264942</v>
      </c>
      <c r="W118" s="1687"/>
      <c r="X118" s="1690">
        <f>+X100+X103+X106+X109+X112+X115</f>
        <v>54241</v>
      </c>
      <c r="Y118" s="1688"/>
      <c r="Z118" s="1690">
        <f t="shared" si="151"/>
        <v>166477</v>
      </c>
      <c r="AA118" s="1688">
        <f t="shared" si="188"/>
        <v>0</v>
      </c>
      <c r="AB118" s="1690">
        <f t="shared" si="188"/>
        <v>319183</v>
      </c>
      <c r="AC118" s="1687"/>
      <c r="AD118" s="1690">
        <f>+AD100+AD103+AD106+AD109+AD112+AD115</f>
        <v>46678</v>
      </c>
      <c r="AE118" s="1688"/>
      <c r="AF118" s="1690">
        <f t="shared" ref="AF118:AF133" si="192">+AB118+AD118</f>
        <v>365861</v>
      </c>
      <c r="AG118" s="1687"/>
      <c r="AH118" s="1690">
        <f>+AH100+AH103+AH106+AH109+AH112+AH115</f>
        <v>54047</v>
      </c>
      <c r="AI118" s="1688"/>
      <c r="AJ118" s="1690">
        <f t="shared" ref="AJ118:AJ133" si="193">+AF118+AH118</f>
        <v>419908</v>
      </c>
      <c r="AK118" s="1687"/>
      <c r="AL118" s="1690">
        <f>+AL100+AL103+AL106+AL109+AL112+AL115</f>
        <v>53923.93</v>
      </c>
      <c r="AM118" s="1688"/>
      <c r="AN118" s="1690">
        <f t="shared" si="155"/>
        <v>154648.93</v>
      </c>
      <c r="AO118" s="1688"/>
      <c r="AP118" s="1690">
        <f t="shared" ref="AP118:AP133" si="194">+AJ118+AL118</f>
        <v>473831.93</v>
      </c>
      <c r="AQ118" s="1687"/>
      <c r="AR118" s="1690">
        <f>+AR100+AR103+AR106+AR109+AR112+AR115</f>
        <v>54571</v>
      </c>
      <c r="AS118" s="1688">
        <f t="shared" si="86"/>
        <v>0</v>
      </c>
      <c r="AT118" s="1690">
        <f t="shared" si="86"/>
        <v>528402.92999999993</v>
      </c>
      <c r="AU118" s="1687"/>
      <c r="AV118" s="1690">
        <f>+AV100+AV103+AV106+AV109+AV112+AV115</f>
        <v>51314</v>
      </c>
      <c r="AW118" s="1688">
        <f t="shared" si="87"/>
        <v>0</v>
      </c>
      <c r="AX118" s="1690">
        <f t="shared" si="87"/>
        <v>579716.92999999993</v>
      </c>
      <c r="AY118" s="1687"/>
      <c r="AZ118" s="1690">
        <f>+AZ100+AZ103+AZ106+AZ109+AZ112+AZ115</f>
        <v>46367</v>
      </c>
      <c r="BA118" s="1688"/>
      <c r="BB118" s="1690">
        <f t="shared" si="189"/>
        <v>152252</v>
      </c>
      <c r="BC118" s="1688">
        <f>+AM118+BA118</f>
        <v>0</v>
      </c>
      <c r="BD118" s="1690">
        <f>+AN118+BB118</f>
        <v>306900.93</v>
      </c>
      <c r="BE118" s="1688">
        <f t="shared" si="190"/>
        <v>0</v>
      </c>
      <c r="BF118" s="1690">
        <f t="shared" si="190"/>
        <v>626083.92999999993</v>
      </c>
    </row>
    <row r="119" spans="1:58" s="334" customFormat="1" ht="21" x14ac:dyDescent="0.35">
      <c r="B119" s="5171" t="s">
        <v>1491</v>
      </c>
      <c r="C119" s="5172"/>
      <c r="D119" s="3847"/>
      <c r="E119" s="3847"/>
      <c r="F119" s="3847"/>
      <c r="G119" s="3847"/>
      <c r="H119" s="3847"/>
      <c r="I119" s="3848"/>
      <c r="J119" s="3847"/>
      <c r="K119" s="3847"/>
      <c r="L119" s="3847"/>
      <c r="M119" s="3848"/>
      <c r="N119" s="3847"/>
      <c r="O119" s="3847"/>
      <c r="P119" s="3847"/>
      <c r="Q119" s="3848"/>
      <c r="R119" s="3847"/>
      <c r="S119" s="3847"/>
      <c r="T119" s="3847"/>
      <c r="U119" s="3848"/>
      <c r="V119" s="3847"/>
      <c r="W119" s="3847"/>
      <c r="X119" s="3847"/>
      <c r="Y119" s="3848"/>
      <c r="Z119" s="3847"/>
      <c r="AA119" s="3848"/>
      <c r="AB119" s="3847"/>
      <c r="AC119" s="3847"/>
      <c r="AD119" s="3847"/>
      <c r="AE119" s="3848"/>
      <c r="AF119" s="3847"/>
      <c r="AG119" s="3847"/>
      <c r="AH119" s="3847"/>
      <c r="AI119" s="3848"/>
      <c r="AJ119" s="3847"/>
      <c r="AK119" s="3847"/>
      <c r="AL119" s="3847"/>
      <c r="AM119" s="3848"/>
      <c r="AN119" s="3847"/>
      <c r="AO119" s="3848"/>
      <c r="AP119" s="3847"/>
      <c r="AQ119" s="3847"/>
      <c r="AR119" s="3847"/>
      <c r="AS119" s="3848"/>
      <c r="AT119" s="3847"/>
      <c r="AU119" s="3847"/>
      <c r="AV119" s="3847"/>
      <c r="AW119" s="3848"/>
      <c r="AX119" s="3847"/>
      <c r="AY119" s="3847"/>
      <c r="AZ119" s="3847"/>
      <c r="BA119" s="3848"/>
      <c r="BB119" s="3847"/>
      <c r="BC119" s="3848"/>
      <c r="BD119" s="3847"/>
      <c r="BE119" s="3848"/>
      <c r="BF119" s="3847"/>
    </row>
    <row r="120" spans="1:58" ht="21" x14ac:dyDescent="0.35">
      <c r="B120" s="5165" t="s">
        <v>1489</v>
      </c>
      <c r="C120" s="5166" t="s">
        <v>1457</v>
      </c>
      <c r="D120" s="1858"/>
      <c r="E120" s="1859"/>
      <c r="F120" s="3821">
        <f>+F117+F96</f>
        <v>11.9</v>
      </c>
      <c r="G120" s="1859"/>
      <c r="H120" s="3821">
        <f>+H117+H96</f>
        <v>16</v>
      </c>
      <c r="I120" s="3849"/>
      <c r="J120" s="3821">
        <f t="shared" si="83"/>
        <v>27.9</v>
      </c>
      <c r="K120" s="1859"/>
      <c r="L120" s="3821">
        <f>+L117+L96</f>
        <v>14</v>
      </c>
      <c r="M120" s="3849"/>
      <c r="N120" s="3821">
        <f t="shared" si="186"/>
        <v>41.9</v>
      </c>
      <c r="O120" s="1859"/>
      <c r="P120" s="3821">
        <f>+P117+P96</f>
        <v>14</v>
      </c>
      <c r="Q120" s="3849"/>
      <c r="R120" s="3821">
        <f t="shared" si="187"/>
        <v>55.9</v>
      </c>
      <c r="S120" s="1859"/>
      <c r="T120" s="3821">
        <f>+T117+T96</f>
        <v>16</v>
      </c>
      <c r="U120" s="3849"/>
      <c r="V120" s="3821">
        <f t="shared" si="191"/>
        <v>71.900000000000006</v>
      </c>
      <c r="W120" s="1859"/>
      <c r="X120" s="3821">
        <f>+X117+X96</f>
        <v>15</v>
      </c>
      <c r="Y120" s="3849"/>
      <c r="Z120" s="3821">
        <f t="shared" si="151"/>
        <v>45</v>
      </c>
      <c r="AA120" s="3849">
        <f t="shared" si="188"/>
        <v>0</v>
      </c>
      <c r="AB120" s="3821">
        <f t="shared" si="188"/>
        <v>86.9</v>
      </c>
      <c r="AC120" s="1859"/>
      <c r="AD120" s="3821">
        <f>+AD117+AD96</f>
        <v>13</v>
      </c>
      <c r="AE120" s="3849"/>
      <c r="AF120" s="3821">
        <f t="shared" si="192"/>
        <v>99.9</v>
      </c>
      <c r="AG120" s="1859"/>
      <c r="AH120" s="3821">
        <f>+AH117+AH96</f>
        <v>14</v>
      </c>
      <c r="AI120" s="3849"/>
      <c r="AJ120" s="3821">
        <f t="shared" si="193"/>
        <v>113.9</v>
      </c>
      <c r="AK120" s="1859"/>
      <c r="AL120" s="3099">
        <f>+AL117+AL96</f>
        <v>15</v>
      </c>
      <c r="AM120" s="3849"/>
      <c r="AN120" s="3821">
        <f t="shared" si="155"/>
        <v>42</v>
      </c>
      <c r="AO120" s="3849"/>
      <c r="AP120" s="3821">
        <f t="shared" si="194"/>
        <v>128.9</v>
      </c>
      <c r="AQ120" s="1859"/>
      <c r="AR120" s="3821">
        <f>+AR117+AR96</f>
        <v>16</v>
      </c>
      <c r="AS120" s="3849">
        <f t="shared" si="86"/>
        <v>0</v>
      </c>
      <c r="AT120" s="3821">
        <f t="shared" si="86"/>
        <v>144.9</v>
      </c>
      <c r="AU120" s="1859"/>
      <c r="AV120" s="3821">
        <f>+AV117+AV96</f>
        <v>14</v>
      </c>
      <c r="AW120" s="3849">
        <f t="shared" si="87"/>
        <v>0</v>
      </c>
      <c r="AX120" s="3821">
        <f t="shared" si="87"/>
        <v>158.9</v>
      </c>
      <c r="AY120" s="1859"/>
      <c r="AZ120" s="3821">
        <f>+AZ117+AZ96</f>
        <v>14</v>
      </c>
      <c r="BA120" s="3849"/>
      <c r="BB120" s="3821">
        <f t="shared" ref="BB120:BB125" si="195">AR120+AV120+AZ120</f>
        <v>44</v>
      </c>
      <c r="BC120" s="3849">
        <f t="shared" ref="BC120:BD125" si="196">+AM120+BA120</f>
        <v>0</v>
      </c>
      <c r="BD120" s="3821">
        <f t="shared" si="196"/>
        <v>86</v>
      </c>
      <c r="BE120" s="3849">
        <f t="shared" ref="BE120:BF125" si="197">+AW120+AY120</f>
        <v>0</v>
      </c>
      <c r="BF120" s="3821">
        <f t="shared" si="197"/>
        <v>172.9</v>
      </c>
    </row>
    <row r="121" spans="1:58" ht="21" x14ac:dyDescent="0.35">
      <c r="B121" s="5165" t="s">
        <v>1490</v>
      </c>
      <c r="C121" s="5166" t="s">
        <v>1458</v>
      </c>
      <c r="D121" s="1858"/>
      <c r="E121" s="1859"/>
      <c r="F121" s="3821">
        <f>+F118+F97</f>
        <v>45653</v>
      </c>
      <c r="G121" s="1859"/>
      <c r="H121" s="3821">
        <f>+H118+H97</f>
        <v>60678</v>
      </c>
      <c r="I121" s="3849"/>
      <c r="J121" s="3821">
        <f t="shared" si="83"/>
        <v>106331</v>
      </c>
      <c r="K121" s="1859"/>
      <c r="L121" s="3821">
        <f>+L118+L97</f>
        <v>52822</v>
      </c>
      <c r="M121" s="3849"/>
      <c r="N121" s="3821">
        <f t="shared" si="186"/>
        <v>159153</v>
      </c>
      <c r="O121" s="1859"/>
      <c r="P121" s="3821">
        <f>+P118+P97</f>
        <v>54810</v>
      </c>
      <c r="Q121" s="3849"/>
      <c r="R121" s="3821">
        <f t="shared" si="187"/>
        <v>213963</v>
      </c>
      <c r="S121" s="1859"/>
      <c r="T121" s="3821">
        <f>+T118+T97</f>
        <v>61424</v>
      </c>
      <c r="U121" s="3849"/>
      <c r="V121" s="3821">
        <f t="shared" si="191"/>
        <v>275387</v>
      </c>
      <c r="W121" s="1859"/>
      <c r="X121" s="3821">
        <f>+X118+X97</f>
        <v>58208</v>
      </c>
      <c r="Y121" s="3849"/>
      <c r="Z121" s="3821">
        <f t="shared" ref="Z121:Z133" si="198">P121+T121+X121</f>
        <v>174442</v>
      </c>
      <c r="AA121" s="3849">
        <f t="shared" si="188"/>
        <v>0</v>
      </c>
      <c r="AB121" s="3821">
        <f t="shared" si="188"/>
        <v>333595</v>
      </c>
      <c r="AC121" s="1859"/>
      <c r="AD121" s="3821">
        <f>+AD118+AD97</f>
        <v>50609</v>
      </c>
      <c r="AE121" s="3849"/>
      <c r="AF121" s="3821">
        <f t="shared" si="192"/>
        <v>384204</v>
      </c>
      <c r="AG121" s="1859"/>
      <c r="AH121" s="3821">
        <f>+AH118+AH97</f>
        <v>54047</v>
      </c>
      <c r="AI121" s="3849"/>
      <c r="AJ121" s="3821">
        <f t="shared" si="193"/>
        <v>438251</v>
      </c>
      <c r="AK121" s="1859"/>
      <c r="AL121" s="3821">
        <f>+AL118+AL97</f>
        <v>56970.93</v>
      </c>
      <c r="AM121" s="3849"/>
      <c r="AN121" s="3821">
        <f t="shared" ref="AM121:AN133" si="199">AD121+AH121+AL121</f>
        <v>161626.93</v>
      </c>
      <c r="AO121" s="3849"/>
      <c r="AP121" s="3821">
        <f t="shared" si="194"/>
        <v>495221.93</v>
      </c>
      <c r="AQ121" s="1859"/>
      <c r="AR121" s="3821">
        <f>+AR118+AR97</f>
        <v>62519</v>
      </c>
      <c r="AS121" s="3849">
        <f t="shared" si="86"/>
        <v>0</v>
      </c>
      <c r="AT121" s="3821">
        <f t="shared" si="86"/>
        <v>557740.92999999993</v>
      </c>
      <c r="AU121" s="1859"/>
      <c r="AV121" s="3821">
        <f>+AV118+AV97</f>
        <v>55064</v>
      </c>
      <c r="AW121" s="3849">
        <f t="shared" si="87"/>
        <v>0</v>
      </c>
      <c r="AX121" s="3821">
        <f t="shared" si="87"/>
        <v>612804.92999999993</v>
      </c>
      <c r="AY121" s="1859"/>
      <c r="AZ121" s="3821">
        <f>+AZ118+AZ97</f>
        <v>54212</v>
      </c>
      <c r="BA121" s="3849"/>
      <c r="BB121" s="3821">
        <f t="shared" si="195"/>
        <v>171795</v>
      </c>
      <c r="BC121" s="3849">
        <f t="shared" si="196"/>
        <v>0</v>
      </c>
      <c r="BD121" s="3821">
        <f t="shared" si="196"/>
        <v>333421.93</v>
      </c>
      <c r="BE121" s="3849">
        <f t="shared" si="197"/>
        <v>0</v>
      </c>
      <c r="BF121" s="3821">
        <f t="shared" si="197"/>
        <v>667016.92999999993</v>
      </c>
    </row>
    <row r="122" spans="1:58" ht="21" x14ac:dyDescent="0.35">
      <c r="B122" s="5173" t="s">
        <v>1482</v>
      </c>
      <c r="C122" s="1692" t="s">
        <v>1483</v>
      </c>
      <c r="D122" s="1693"/>
      <c r="E122" s="1694"/>
      <c r="F122" s="1700">
        <v>30480</v>
      </c>
      <c r="G122" s="1694"/>
      <c r="H122" s="1700">
        <v>48777</v>
      </c>
      <c r="I122" s="3850"/>
      <c r="J122" s="1700">
        <f t="shared" si="83"/>
        <v>79257</v>
      </c>
      <c r="K122" s="1694"/>
      <c r="L122" s="1700">
        <v>38559</v>
      </c>
      <c r="M122" s="3850"/>
      <c r="N122" s="1700">
        <f t="shared" si="186"/>
        <v>117816</v>
      </c>
      <c r="O122" s="1694"/>
      <c r="P122" s="1700">
        <v>31126</v>
      </c>
      <c r="Q122" s="3850"/>
      <c r="R122" s="1700">
        <f t="shared" si="187"/>
        <v>148942</v>
      </c>
      <c r="S122" s="1694"/>
      <c r="T122" s="1700">
        <f>19017+2082+1920+3659+3763+3669</f>
        <v>34110</v>
      </c>
      <c r="U122" s="3850"/>
      <c r="V122" s="1700">
        <f t="shared" si="191"/>
        <v>183052</v>
      </c>
      <c r="W122" s="1694"/>
      <c r="X122" s="1700">
        <v>26877</v>
      </c>
      <c r="Y122" s="3850"/>
      <c r="Z122" s="1700">
        <f t="shared" si="198"/>
        <v>92113</v>
      </c>
      <c r="AA122" s="3850">
        <f>+M122+Y122</f>
        <v>0</v>
      </c>
      <c r="AB122" s="1700">
        <f t="shared" si="188"/>
        <v>209929</v>
      </c>
      <c r="AC122" s="1694"/>
      <c r="AD122" s="1700">
        <v>30959</v>
      </c>
      <c r="AE122" s="3850"/>
      <c r="AF122" s="1700">
        <f t="shared" si="192"/>
        <v>240888</v>
      </c>
      <c r="AG122" s="1694"/>
      <c r="AH122" s="1700">
        <v>38153</v>
      </c>
      <c r="AI122" s="3850"/>
      <c r="AJ122" s="1700">
        <f t="shared" si="193"/>
        <v>279041</v>
      </c>
      <c r="AK122" s="1694"/>
      <c r="AL122" s="1700">
        <v>38413</v>
      </c>
      <c r="AM122" s="3850"/>
      <c r="AN122" s="1700">
        <f t="shared" si="199"/>
        <v>107525</v>
      </c>
      <c r="AO122" s="3850"/>
      <c r="AP122" s="1700">
        <f t="shared" si="194"/>
        <v>317454</v>
      </c>
      <c r="AQ122" s="1694"/>
      <c r="AR122" s="1700">
        <v>31122</v>
      </c>
      <c r="AS122" s="3850">
        <f t="shared" si="86"/>
        <v>0</v>
      </c>
      <c r="AT122" s="1700">
        <f t="shared" si="86"/>
        <v>348576</v>
      </c>
      <c r="AU122" s="1694"/>
      <c r="AV122" s="1700">
        <v>31339.3</v>
      </c>
      <c r="AW122" s="3850">
        <f t="shared" si="87"/>
        <v>0</v>
      </c>
      <c r="AX122" s="1700">
        <f t="shared" si="87"/>
        <v>379915.3</v>
      </c>
      <c r="AY122" s="1694"/>
      <c r="AZ122" s="1700">
        <v>38647</v>
      </c>
      <c r="BA122" s="3850"/>
      <c r="BB122" s="1700">
        <f t="shared" si="195"/>
        <v>101108.3</v>
      </c>
      <c r="BC122" s="3850">
        <f t="shared" si="196"/>
        <v>0</v>
      </c>
      <c r="BD122" s="1700">
        <f t="shared" si="196"/>
        <v>208633.3</v>
      </c>
      <c r="BE122" s="3850">
        <f t="shared" si="197"/>
        <v>0</v>
      </c>
      <c r="BF122" s="1700">
        <f t="shared" si="197"/>
        <v>418562.3</v>
      </c>
    </row>
    <row r="123" spans="1:58" ht="21" x14ac:dyDescent="0.35">
      <c r="B123" s="5174"/>
      <c r="C123" s="1692" t="s">
        <v>1484</v>
      </c>
      <c r="D123" s="1693"/>
      <c r="E123" s="1694"/>
      <c r="F123" s="1700">
        <v>11595.8</v>
      </c>
      <c r="G123" s="1694"/>
      <c r="H123" s="1700">
        <v>8039</v>
      </c>
      <c r="I123" s="3850"/>
      <c r="J123" s="1700">
        <f t="shared" si="83"/>
        <v>19634.8</v>
      </c>
      <c r="K123" s="1694"/>
      <c r="L123" s="1700">
        <v>11678</v>
      </c>
      <c r="M123" s="3850"/>
      <c r="N123" s="1700">
        <f t="shared" si="186"/>
        <v>31312.799999999999</v>
      </c>
      <c r="O123" s="1694"/>
      <c r="P123" s="1700">
        <v>19687</v>
      </c>
      <c r="Q123" s="3850"/>
      <c r="R123" s="1700">
        <f t="shared" si="187"/>
        <v>50999.8</v>
      </c>
      <c r="S123" s="1694"/>
      <c r="T123" s="1700">
        <v>27314</v>
      </c>
      <c r="U123" s="3850"/>
      <c r="V123" s="1700">
        <f t="shared" si="191"/>
        <v>78313.8</v>
      </c>
      <c r="W123" s="1694"/>
      <c r="X123" s="1700">
        <v>27363</v>
      </c>
      <c r="Y123" s="3850"/>
      <c r="Z123" s="1700">
        <f t="shared" si="198"/>
        <v>74364</v>
      </c>
      <c r="AA123" s="3850">
        <f t="shared" ref="AA123:AA125" si="200">+M123+Y123</f>
        <v>0</v>
      </c>
      <c r="AB123" s="1700">
        <f t="shared" si="188"/>
        <v>105676.8</v>
      </c>
      <c r="AC123" s="1694"/>
      <c r="AD123" s="1700">
        <v>11749</v>
      </c>
      <c r="AE123" s="3850"/>
      <c r="AF123" s="1700">
        <f t="shared" si="192"/>
        <v>117425.8</v>
      </c>
      <c r="AG123" s="1694"/>
      <c r="AH123" s="1700">
        <v>15893</v>
      </c>
      <c r="AI123" s="3850"/>
      <c r="AJ123" s="1700">
        <f t="shared" si="193"/>
        <v>133318.79999999999</v>
      </c>
      <c r="AK123" s="1694"/>
      <c r="AL123" s="1700">
        <v>11750</v>
      </c>
      <c r="AM123" s="3850"/>
      <c r="AN123" s="1700">
        <f t="shared" si="199"/>
        <v>39392</v>
      </c>
      <c r="AO123" s="3850"/>
      <c r="AP123" s="1700">
        <f t="shared" si="194"/>
        <v>145068.79999999999</v>
      </c>
      <c r="AQ123" s="1694"/>
      <c r="AR123" s="1700">
        <v>19839</v>
      </c>
      <c r="AS123" s="3850">
        <f t="shared" si="86"/>
        <v>0</v>
      </c>
      <c r="AT123" s="1700">
        <f t="shared" si="86"/>
        <v>164907.79999999999</v>
      </c>
      <c r="AU123" s="1694"/>
      <c r="AV123" s="1700">
        <v>19974.7</v>
      </c>
      <c r="AW123" s="3850">
        <f t="shared" si="87"/>
        <v>0</v>
      </c>
      <c r="AX123" s="1700">
        <f t="shared" si="87"/>
        <v>184882.5</v>
      </c>
      <c r="AY123" s="1694"/>
      <c r="AZ123" s="1700">
        <v>7720</v>
      </c>
      <c r="BA123" s="3850"/>
      <c r="BB123" s="1700">
        <f t="shared" si="195"/>
        <v>47533.7</v>
      </c>
      <c r="BC123" s="3850">
        <f t="shared" si="196"/>
        <v>0</v>
      </c>
      <c r="BD123" s="1700">
        <f t="shared" si="196"/>
        <v>86925.7</v>
      </c>
      <c r="BE123" s="3850">
        <f t="shared" si="197"/>
        <v>0</v>
      </c>
      <c r="BF123" s="1700">
        <f t="shared" si="197"/>
        <v>192602.5</v>
      </c>
    </row>
    <row r="124" spans="1:58" ht="21" x14ac:dyDescent="0.35">
      <c r="B124" s="5174"/>
      <c r="C124" s="1692" t="s">
        <v>1485</v>
      </c>
      <c r="D124" s="1693"/>
      <c r="E124" s="1694"/>
      <c r="F124" s="1700">
        <v>3577.9</v>
      </c>
      <c r="G124" s="1694"/>
      <c r="H124" s="1700">
        <v>0</v>
      </c>
      <c r="I124" s="3850"/>
      <c r="J124" s="1700">
        <f t="shared" si="83"/>
        <v>3577.9</v>
      </c>
      <c r="K124" s="1694"/>
      <c r="L124" s="1700">
        <v>0</v>
      </c>
      <c r="M124" s="3850"/>
      <c r="N124" s="1700">
        <f t="shared" si="186"/>
        <v>3577.9</v>
      </c>
      <c r="O124" s="1694"/>
      <c r="P124" s="1700">
        <v>0</v>
      </c>
      <c r="Q124" s="3850"/>
      <c r="R124" s="1700">
        <f t="shared" si="187"/>
        <v>3577.9</v>
      </c>
      <c r="S124" s="1694"/>
      <c r="T124" s="1700">
        <v>0</v>
      </c>
      <c r="U124" s="3850"/>
      <c r="V124" s="1700">
        <f t="shared" si="191"/>
        <v>3577.9</v>
      </c>
      <c r="W124" s="1694"/>
      <c r="X124" s="1700">
        <v>0</v>
      </c>
      <c r="Y124" s="3850"/>
      <c r="Z124" s="1700">
        <f t="shared" si="198"/>
        <v>0</v>
      </c>
      <c r="AA124" s="3850">
        <f t="shared" si="200"/>
        <v>0</v>
      </c>
      <c r="AB124" s="1700">
        <f t="shared" si="188"/>
        <v>3577.9</v>
      </c>
      <c r="AC124" s="1694"/>
      <c r="AD124" s="1700">
        <v>3970</v>
      </c>
      <c r="AE124" s="3850"/>
      <c r="AF124" s="1700">
        <f t="shared" si="192"/>
        <v>7547.9</v>
      </c>
      <c r="AG124" s="1694"/>
      <c r="AH124" s="1700">
        <v>0</v>
      </c>
      <c r="AI124" s="3850"/>
      <c r="AJ124" s="1700">
        <f t="shared" si="193"/>
        <v>7547.9</v>
      </c>
      <c r="AK124" s="1694"/>
      <c r="AL124" s="1700">
        <v>3761</v>
      </c>
      <c r="AM124" s="3850"/>
      <c r="AN124" s="1700">
        <f t="shared" si="199"/>
        <v>7731</v>
      </c>
      <c r="AO124" s="3850"/>
      <c r="AP124" s="1700">
        <f t="shared" si="194"/>
        <v>11308.9</v>
      </c>
      <c r="AQ124" s="1694"/>
      <c r="AR124" s="1700">
        <v>3609</v>
      </c>
      <c r="AS124" s="3850">
        <f t="shared" si="86"/>
        <v>0</v>
      </c>
      <c r="AT124" s="1700">
        <f t="shared" si="86"/>
        <v>14917.9</v>
      </c>
      <c r="AU124" s="1694"/>
      <c r="AV124" s="1700">
        <v>0</v>
      </c>
      <c r="AW124" s="3850">
        <f t="shared" si="87"/>
        <v>0</v>
      </c>
      <c r="AX124" s="1700">
        <f t="shared" si="87"/>
        <v>14917.9</v>
      </c>
      <c r="AY124" s="1694"/>
      <c r="AZ124" s="1700">
        <v>0</v>
      </c>
      <c r="BA124" s="3850"/>
      <c r="BB124" s="1700">
        <f t="shared" si="195"/>
        <v>3609</v>
      </c>
      <c r="BC124" s="3850">
        <f t="shared" si="196"/>
        <v>0</v>
      </c>
      <c r="BD124" s="1700">
        <f t="shared" si="196"/>
        <v>11340</v>
      </c>
      <c r="BE124" s="3850">
        <f t="shared" si="197"/>
        <v>0</v>
      </c>
      <c r="BF124" s="1700">
        <f t="shared" si="197"/>
        <v>14917.9</v>
      </c>
    </row>
    <row r="125" spans="1:58" ht="23.25" x14ac:dyDescent="0.35">
      <c r="B125" s="5175"/>
      <c r="C125" s="1695" t="s">
        <v>23</v>
      </c>
      <c r="D125" s="1696"/>
      <c r="E125" s="1697"/>
      <c r="F125" s="1701">
        <f>+F122+F123+F124</f>
        <v>45653.700000000004</v>
      </c>
      <c r="G125" s="1697"/>
      <c r="H125" s="1701">
        <f>+H122+H123+H124</f>
        <v>56816</v>
      </c>
      <c r="I125" s="3851"/>
      <c r="J125" s="1701">
        <f t="shared" si="83"/>
        <v>102469.70000000001</v>
      </c>
      <c r="K125" s="1697"/>
      <c r="L125" s="1701">
        <f>+L122+L123+L124</f>
        <v>50237</v>
      </c>
      <c r="M125" s="3851"/>
      <c r="N125" s="1701">
        <f t="shared" si="186"/>
        <v>152706.70000000001</v>
      </c>
      <c r="O125" s="1697"/>
      <c r="P125" s="1701">
        <f>+P122+P123+P124</f>
        <v>50813</v>
      </c>
      <c r="Q125" s="3851"/>
      <c r="R125" s="1701">
        <f t="shared" si="187"/>
        <v>203519.7</v>
      </c>
      <c r="S125" s="1697"/>
      <c r="T125" s="1701">
        <f>+T122+T123+T124</f>
        <v>61424</v>
      </c>
      <c r="U125" s="3851"/>
      <c r="V125" s="1701">
        <f t="shared" si="191"/>
        <v>264943.7</v>
      </c>
      <c r="W125" s="1697"/>
      <c r="X125" s="1701">
        <f>+X122+X123+X124</f>
        <v>54240</v>
      </c>
      <c r="Y125" s="3851"/>
      <c r="Z125" s="1701">
        <f t="shared" si="198"/>
        <v>166477</v>
      </c>
      <c r="AA125" s="3851">
        <f t="shared" si="200"/>
        <v>0</v>
      </c>
      <c r="AB125" s="1701">
        <f t="shared" si="188"/>
        <v>319183.7</v>
      </c>
      <c r="AC125" s="1697"/>
      <c r="AD125" s="1701">
        <f>+AD122+AD123+AD124</f>
        <v>46678</v>
      </c>
      <c r="AE125" s="3851"/>
      <c r="AF125" s="1701">
        <f t="shared" si="192"/>
        <v>365861.7</v>
      </c>
      <c r="AG125" s="1697"/>
      <c r="AH125" s="1701">
        <f>+AH122+AH123+AH124</f>
        <v>54046</v>
      </c>
      <c r="AI125" s="3851"/>
      <c r="AJ125" s="1701">
        <f t="shared" si="193"/>
        <v>419907.7</v>
      </c>
      <c r="AK125" s="1697"/>
      <c r="AL125" s="1701">
        <f>+AL122+AL123+AL124</f>
        <v>53924</v>
      </c>
      <c r="AM125" s="3851"/>
      <c r="AN125" s="1701">
        <f t="shared" si="199"/>
        <v>154648</v>
      </c>
      <c r="AO125" s="3851"/>
      <c r="AP125" s="1701">
        <f t="shared" si="194"/>
        <v>473831.7</v>
      </c>
      <c r="AQ125" s="1697"/>
      <c r="AR125" s="1701">
        <f>+AR122+AR123+AR124</f>
        <v>54570</v>
      </c>
      <c r="AS125" s="3851">
        <f t="shared" si="86"/>
        <v>0</v>
      </c>
      <c r="AT125" s="1701">
        <f t="shared" si="86"/>
        <v>528401.69999999995</v>
      </c>
      <c r="AU125" s="1697"/>
      <c r="AV125" s="1701">
        <f>+AV122+AV123+AV124</f>
        <v>51314</v>
      </c>
      <c r="AW125" s="3851">
        <f t="shared" si="87"/>
        <v>0</v>
      </c>
      <c r="AX125" s="1701">
        <f t="shared" si="87"/>
        <v>579715.69999999995</v>
      </c>
      <c r="AY125" s="1697"/>
      <c r="AZ125" s="1701">
        <f>+AZ122+AZ123+AZ124</f>
        <v>46367</v>
      </c>
      <c r="BA125" s="3851"/>
      <c r="BB125" s="1701">
        <f t="shared" si="195"/>
        <v>152251</v>
      </c>
      <c r="BC125" s="3851">
        <f t="shared" si="196"/>
        <v>0</v>
      </c>
      <c r="BD125" s="1701">
        <f t="shared" si="196"/>
        <v>306899</v>
      </c>
      <c r="BE125" s="3851">
        <f t="shared" si="197"/>
        <v>0</v>
      </c>
      <c r="BF125" s="1701">
        <f t="shared" si="197"/>
        <v>626082.69999999995</v>
      </c>
    </row>
    <row r="126" spans="1:58" x14ac:dyDescent="0.25">
      <c r="B126" s="1772"/>
      <c r="C126" s="1433"/>
      <c r="D126" s="1433"/>
      <c r="E126" s="1433"/>
      <c r="F126" s="1433"/>
      <c r="G126" s="1433"/>
      <c r="H126" s="1433"/>
      <c r="I126" s="1433"/>
      <c r="J126" s="1433"/>
      <c r="K126" s="1433"/>
      <c r="L126" s="1433"/>
      <c r="M126" s="1433"/>
      <c r="N126" s="1433"/>
      <c r="O126" s="1433"/>
      <c r="P126" s="1433"/>
      <c r="Q126" s="1433"/>
      <c r="R126" s="1433"/>
      <c r="S126" s="1433"/>
      <c r="T126" s="1433"/>
      <c r="U126" s="1433"/>
      <c r="V126" s="1433"/>
      <c r="W126" s="1433"/>
      <c r="X126" s="1433"/>
      <c r="Y126" s="1433"/>
      <c r="Z126" s="1433"/>
      <c r="AA126" s="1433"/>
      <c r="AB126" s="1433"/>
      <c r="AC126" s="1433"/>
      <c r="AD126" s="1433"/>
      <c r="AE126" s="1433"/>
      <c r="AF126" s="1433"/>
      <c r="AG126" s="1433"/>
      <c r="AH126" s="1433"/>
      <c r="AI126" s="1433"/>
      <c r="AJ126" s="1433"/>
      <c r="AK126" s="1433"/>
      <c r="AL126" s="1433"/>
      <c r="AM126" s="1433"/>
      <c r="AN126" s="1433"/>
      <c r="AO126" s="1433"/>
      <c r="AP126" s="1433"/>
      <c r="AQ126" s="1433"/>
      <c r="AR126" s="1433"/>
      <c r="AS126" s="1433"/>
      <c r="AT126" s="1433"/>
      <c r="AU126" s="1433"/>
      <c r="AV126" s="1433"/>
      <c r="AW126" s="1433"/>
      <c r="AX126" s="1433"/>
      <c r="AY126" s="1433"/>
      <c r="AZ126" s="1433"/>
      <c r="BA126" s="1433"/>
      <c r="BB126" s="1433"/>
      <c r="BC126" s="1433"/>
      <c r="BD126" s="1433"/>
      <c r="BE126" s="1433"/>
      <c r="BF126" s="1433"/>
    </row>
    <row r="127" spans="1:58" ht="23.25" x14ac:dyDescent="0.35">
      <c r="B127" s="5163" t="s">
        <v>1495</v>
      </c>
      <c r="C127" s="5164"/>
      <c r="D127" s="1081"/>
      <c r="E127" s="1081"/>
      <c r="F127" s="1081"/>
      <c r="G127" s="1081"/>
      <c r="H127" s="1081"/>
      <c r="I127" s="1081"/>
      <c r="J127" s="1081"/>
      <c r="K127" s="1081"/>
      <c r="L127" s="1081"/>
      <c r="M127" s="1081"/>
      <c r="N127" s="1081"/>
      <c r="O127" s="1081"/>
      <c r="P127" s="1081"/>
      <c r="Q127" s="1081"/>
      <c r="R127" s="1081"/>
      <c r="S127" s="1081"/>
      <c r="T127" s="1081"/>
      <c r="U127" s="1081"/>
      <c r="V127" s="1081"/>
      <c r="W127" s="1081"/>
      <c r="X127" s="1081"/>
      <c r="Y127" s="1081"/>
      <c r="Z127" s="1081"/>
      <c r="AA127" s="1081"/>
      <c r="AB127" s="1081"/>
      <c r="AC127" s="1081"/>
      <c r="AD127" s="1081"/>
      <c r="AE127" s="1081"/>
      <c r="AF127" s="1081"/>
      <c r="AG127" s="1081"/>
      <c r="AH127" s="1081"/>
      <c r="AI127" s="1081"/>
      <c r="AJ127" s="1081"/>
      <c r="AK127" s="1081"/>
      <c r="AL127" s="1081"/>
      <c r="AM127" s="1081"/>
      <c r="AN127" s="1081"/>
      <c r="AO127" s="1081"/>
      <c r="AP127" s="1081"/>
      <c r="AQ127" s="1081"/>
      <c r="AR127" s="1081"/>
      <c r="AS127" s="1081"/>
      <c r="AT127" s="1081"/>
      <c r="AU127" s="1081"/>
      <c r="AV127" s="1081"/>
      <c r="AW127" s="1081"/>
      <c r="AX127" s="1081"/>
      <c r="AY127" s="1081"/>
      <c r="AZ127" s="1081"/>
      <c r="BA127" s="1081"/>
      <c r="BB127" s="1081"/>
      <c r="BC127" s="1081"/>
      <c r="BD127" s="1081"/>
      <c r="BE127" s="1081"/>
      <c r="BF127" s="1081"/>
    </row>
    <row r="128" spans="1:58" s="334" customFormat="1" x14ac:dyDescent="0.25">
      <c r="B128" s="5167" t="s">
        <v>1474</v>
      </c>
      <c r="C128" s="1081" t="s">
        <v>1668</v>
      </c>
      <c r="D128" s="1081"/>
      <c r="E128" s="1677"/>
      <c r="F128" s="1698"/>
      <c r="G128" s="1677"/>
      <c r="H128" s="1698"/>
      <c r="I128" s="1677"/>
      <c r="J128" s="1698"/>
      <c r="K128" s="1677"/>
      <c r="L128" s="1698"/>
      <c r="M128" s="1677"/>
      <c r="N128" s="1698"/>
      <c r="O128" s="1677"/>
      <c r="P128" s="1698"/>
      <c r="Q128" s="1677"/>
      <c r="R128" s="1698"/>
      <c r="S128" s="1677"/>
      <c r="T128" s="1698"/>
      <c r="U128" s="1677"/>
      <c r="V128" s="1698"/>
      <c r="W128" s="1677"/>
      <c r="X128" s="1698"/>
      <c r="Y128" s="1677"/>
      <c r="Z128" s="1698"/>
      <c r="AA128" s="1677"/>
      <c r="AB128" s="1698"/>
      <c r="AC128" s="1677"/>
      <c r="AD128" s="1698"/>
      <c r="AE128" s="1677"/>
      <c r="AF128" s="1698"/>
      <c r="AG128" s="1677"/>
      <c r="AH128" s="1698"/>
      <c r="AI128" s="1677"/>
      <c r="AJ128" s="1698"/>
      <c r="AK128" s="1677"/>
      <c r="AL128" s="1698"/>
      <c r="AM128" s="1677"/>
      <c r="AN128" s="1698"/>
      <c r="AO128" s="1677"/>
      <c r="AP128" s="1698"/>
      <c r="AQ128" s="1677"/>
      <c r="AR128" s="1698"/>
      <c r="AS128" s="1677"/>
      <c r="AT128" s="1698"/>
      <c r="AU128" s="1677"/>
      <c r="AV128" s="1698"/>
      <c r="AW128" s="1677"/>
      <c r="AX128" s="1698"/>
      <c r="AY128" s="1677"/>
      <c r="AZ128" s="1698"/>
      <c r="BA128" s="1677"/>
      <c r="BB128" s="1698"/>
      <c r="BC128" s="1677"/>
      <c r="BD128" s="1698"/>
      <c r="BE128" s="1677"/>
      <c r="BF128" s="1698"/>
    </row>
    <row r="129" spans="1:58" x14ac:dyDescent="0.25">
      <c r="B129" s="5168"/>
      <c r="C129" s="1394" t="s">
        <v>1457</v>
      </c>
      <c r="D129" s="421"/>
      <c r="E129" s="1667"/>
      <c r="F129" s="787">
        <v>0</v>
      </c>
      <c r="G129" s="1667"/>
      <c r="H129" s="787">
        <v>0</v>
      </c>
      <c r="I129" s="1673"/>
      <c r="J129" s="1673">
        <f t="shared" si="83"/>
        <v>0</v>
      </c>
      <c r="K129" s="1667"/>
      <c r="L129" s="787">
        <v>0</v>
      </c>
      <c r="M129" s="1674">
        <f t="shared" ref="M129:N144" si="201">+I129+K129</f>
        <v>0</v>
      </c>
      <c r="N129" s="1674">
        <f t="shared" si="186"/>
        <v>0</v>
      </c>
      <c r="O129" s="1667"/>
      <c r="P129" s="787">
        <v>0</v>
      </c>
      <c r="Q129" s="1673">
        <f t="shared" ref="Q129:R144" si="202">+M129+O129</f>
        <v>0</v>
      </c>
      <c r="R129" s="1673">
        <f t="shared" si="187"/>
        <v>0</v>
      </c>
      <c r="S129" s="1667"/>
      <c r="T129" s="787">
        <v>0</v>
      </c>
      <c r="U129" s="1673">
        <f t="shared" ref="U129:U130" si="203">+Q129+S129</f>
        <v>0</v>
      </c>
      <c r="V129" s="1673">
        <f t="shared" si="191"/>
        <v>0</v>
      </c>
      <c r="W129" s="1667"/>
      <c r="X129" s="787">
        <v>0</v>
      </c>
      <c r="Y129" s="1674">
        <f>O129+S129+W129</f>
        <v>0</v>
      </c>
      <c r="Z129" s="1674">
        <f t="shared" si="198"/>
        <v>0</v>
      </c>
      <c r="AA129" s="1820">
        <f t="shared" ref="AA129:AA130" si="204">+M129+Y129</f>
        <v>0</v>
      </c>
      <c r="AB129" s="1820">
        <f t="shared" si="188"/>
        <v>0</v>
      </c>
      <c r="AC129" s="1667"/>
      <c r="AD129" s="787">
        <v>0</v>
      </c>
      <c r="AE129" s="1673">
        <f t="shared" ref="AE129:AE130" si="205">+AA129+AC129</f>
        <v>0</v>
      </c>
      <c r="AF129" s="1673">
        <f t="shared" si="192"/>
        <v>0</v>
      </c>
      <c r="AG129" s="1667"/>
      <c r="AH129" s="787">
        <v>0</v>
      </c>
      <c r="AI129" s="1673">
        <f t="shared" ref="AI129:AI133" si="206">+AE129+AG129</f>
        <v>0</v>
      </c>
      <c r="AJ129" s="1673">
        <f t="shared" si="193"/>
        <v>0</v>
      </c>
      <c r="AK129" s="1667"/>
      <c r="AL129" s="787">
        <v>0</v>
      </c>
      <c r="AM129" s="1674">
        <f>AC129+AG129+AK129</f>
        <v>0</v>
      </c>
      <c r="AN129" s="1674">
        <f t="shared" si="199"/>
        <v>0</v>
      </c>
      <c r="AO129" s="1673">
        <f t="shared" ref="AO129:AO133" si="207">+AI129+AK129</f>
        <v>0</v>
      </c>
      <c r="AP129" s="1673">
        <f t="shared" si="194"/>
        <v>0</v>
      </c>
      <c r="AQ129" s="1667"/>
      <c r="AR129" s="787">
        <v>0</v>
      </c>
      <c r="AS129" s="1673">
        <f t="shared" si="86"/>
        <v>0</v>
      </c>
      <c r="AT129" s="1673">
        <f t="shared" si="86"/>
        <v>0</v>
      </c>
      <c r="AU129" s="1667"/>
      <c r="AV129" s="787">
        <v>0</v>
      </c>
      <c r="AW129" s="1673">
        <f t="shared" si="87"/>
        <v>0</v>
      </c>
      <c r="AX129" s="1673">
        <f t="shared" si="87"/>
        <v>0</v>
      </c>
      <c r="AY129" s="1667"/>
      <c r="AZ129" s="963">
        <v>0</v>
      </c>
      <c r="BA129" s="1674">
        <f>AQ129+AU129+AY129</f>
        <v>0</v>
      </c>
      <c r="BB129" s="1674">
        <f t="shared" ref="BB129:BB130" si="208">AR129+AV129+AZ129</f>
        <v>0</v>
      </c>
      <c r="BC129" s="1820">
        <f>+AM129+BA129</f>
        <v>0</v>
      </c>
      <c r="BD129" s="1820">
        <f>+AN129+BB129</f>
        <v>0</v>
      </c>
      <c r="BE129" s="1673">
        <f t="shared" ref="BE129:BF130" si="209">+AW129+AY129</f>
        <v>0</v>
      </c>
      <c r="BF129" s="1673">
        <f t="shared" si="209"/>
        <v>0</v>
      </c>
    </row>
    <row r="130" spans="1:58" x14ac:dyDescent="0.25">
      <c r="B130" s="5168"/>
      <c r="C130" s="1394" t="s">
        <v>1458</v>
      </c>
      <c r="D130" s="421"/>
      <c r="E130" s="1667"/>
      <c r="F130" s="1106">
        <v>0</v>
      </c>
      <c r="G130" s="1667"/>
      <c r="H130" s="1106">
        <v>0</v>
      </c>
      <c r="I130" s="1673"/>
      <c r="J130" s="1673">
        <f t="shared" si="83"/>
        <v>0</v>
      </c>
      <c r="K130" s="1667"/>
      <c r="L130" s="1106">
        <v>0</v>
      </c>
      <c r="M130" s="1674">
        <f t="shared" si="201"/>
        <v>0</v>
      </c>
      <c r="N130" s="1674">
        <f t="shared" si="186"/>
        <v>0</v>
      </c>
      <c r="O130" s="1667"/>
      <c r="P130" s="1106">
        <v>0</v>
      </c>
      <c r="Q130" s="1673">
        <f t="shared" si="202"/>
        <v>0</v>
      </c>
      <c r="R130" s="1673">
        <f t="shared" si="187"/>
        <v>0</v>
      </c>
      <c r="S130" s="1667"/>
      <c r="T130" s="1106">
        <v>0</v>
      </c>
      <c r="U130" s="1673">
        <f t="shared" si="203"/>
        <v>0</v>
      </c>
      <c r="V130" s="1673">
        <f t="shared" si="191"/>
        <v>0</v>
      </c>
      <c r="W130" s="1667"/>
      <c r="X130" s="1106">
        <v>0</v>
      </c>
      <c r="Y130" s="1674">
        <f>O130+S130+W130</f>
        <v>0</v>
      </c>
      <c r="Z130" s="1674">
        <f t="shared" si="198"/>
        <v>0</v>
      </c>
      <c r="AA130" s="1820">
        <f t="shared" si="204"/>
        <v>0</v>
      </c>
      <c r="AB130" s="1820">
        <f t="shared" si="188"/>
        <v>0</v>
      </c>
      <c r="AC130" s="1667"/>
      <c r="AD130" s="1106">
        <v>0</v>
      </c>
      <c r="AE130" s="1673">
        <f t="shared" si="205"/>
        <v>0</v>
      </c>
      <c r="AF130" s="1673">
        <f t="shared" si="192"/>
        <v>0</v>
      </c>
      <c r="AG130" s="1667"/>
      <c r="AH130" s="1106">
        <v>0</v>
      </c>
      <c r="AI130" s="1673">
        <f t="shared" si="206"/>
        <v>0</v>
      </c>
      <c r="AJ130" s="1673">
        <f t="shared" si="193"/>
        <v>0</v>
      </c>
      <c r="AK130" s="1667"/>
      <c r="AL130" s="1106">
        <v>0</v>
      </c>
      <c r="AM130" s="1674">
        <f>AC130+AG130+AK130</f>
        <v>0</v>
      </c>
      <c r="AN130" s="1674">
        <f t="shared" si="199"/>
        <v>0</v>
      </c>
      <c r="AO130" s="1673">
        <f t="shared" si="207"/>
        <v>0</v>
      </c>
      <c r="AP130" s="1673">
        <f t="shared" si="194"/>
        <v>0</v>
      </c>
      <c r="AQ130" s="1667"/>
      <c r="AR130" s="1106">
        <v>0</v>
      </c>
      <c r="AS130" s="1673">
        <f t="shared" si="86"/>
        <v>0</v>
      </c>
      <c r="AT130" s="1673">
        <f t="shared" si="86"/>
        <v>0</v>
      </c>
      <c r="AU130" s="1667"/>
      <c r="AV130" s="1106">
        <v>0</v>
      </c>
      <c r="AW130" s="1673">
        <f t="shared" si="87"/>
        <v>0</v>
      </c>
      <c r="AX130" s="1673">
        <f t="shared" si="87"/>
        <v>0</v>
      </c>
      <c r="AY130" s="1667"/>
      <c r="AZ130" s="1698">
        <v>0</v>
      </c>
      <c r="BA130" s="1674">
        <f>AQ130+AU130+AY130</f>
        <v>0</v>
      </c>
      <c r="BB130" s="1674">
        <f t="shared" si="208"/>
        <v>0</v>
      </c>
      <c r="BC130" s="1820">
        <f>+AM130+BA130</f>
        <v>0</v>
      </c>
      <c r="BD130" s="1820">
        <f>+AN130+BB130</f>
        <v>0</v>
      </c>
      <c r="BE130" s="1673">
        <f t="shared" si="209"/>
        <v>0</v>
      </c>
      <c r="BF130" s="1673">
        <f t="shared" si="209"/>
        <v>0</v>
      </c>
    </row>
    <row r="131" spans="1:58" s="334" customFormat="1" x14ac:dyDescent="0.25">
      <c r="B131" s="5168"/>
      <c r="C131" s="1081" t="s">
        <v>1632</v>
      </c>
      <c r="D131" s="1081"/>
      <c r="E131" s="1677"/>
      <c r="F131" s="1698"/>
      <c r="G131" s="1677"/>
      <c r="H131" s="1698"/>
      <c r="I131" s="3843"/>
      <c r="J131" s="3843"/>
      <c r="K131" s="1677"/>
      <c r="L131" s="1698"/>
      <c r="M131" s="3843"/>
      <c r="N131" s="3843"/>
      <c r="O131" s="1677"/>
      <c r="P131" s="1698"/>
      <c r="Q131" s="3843"/>
      <c r="R131" s="3843"/>
      <c r="S131" s="1677"/>
      <c r="T131" s="1698"/>
      <c r="U131" s="3843"/>
      <c r="V131" s="3843"/>
      <c r="W131" s="1677"/>
      <c r="X131" s="1698"/>
      <c r="Y131" s="3843"/>
      <c r="Z131" s="3843"/>
      <c r="AA131" s="3843"/>
      <c r="AB131" s="3843"/>
      <c r="AC131" s="1677"/>
      <c r="AD131" s="1698"/>
      <c r="AE131" s="3843"/>
      <c r="AF131" s="3843"/>
      <c r="AG131" s="1677"/>
      <c r="AH131" s="1698"/>
      <c r="AI131" s="3843"/>
      <c r="AJ131" s="3843"/>
      <c r="AK131" s="1677"/>
      <c r="AL131" s="1698"/>
      <c r="AM131" s="3843"/>
      <c r="AN131" s="3843"/>
      <c r="AO131" s="3843"/>
      <c r="AP131" s="3843"/>
      <c r="AQ131" s="1677"/>
      <c r="AR131" s="1698"/>
      <c r="AS131" s="3843"/>
      <c r="AT131" s="3843"/>
      <c r="AU131" s="1677"/>
      <c r="AV131" s="1698"/>
      <c r="AW131" s="3843"/>
      <c r="AX131" s="3843"/>
      <c r="AY131" s="1677"/>
      <c r="AZ131" s="1698"/>
      <c r="BA131" s="3843"/>
      <c r="BB131" s="3843"/>
      <c r="BC131" s="3843"/>
      <c r="BD131" s="3843"/>
      <c r="BE131" s="3843"/>
      <c r="BF131" s="3843"/>
    </row>
    <row r="132" spans="1:58" x14ac:dyDescent="0.25">
      <c r="B132" s="5168"/>
      <c r="C132" s="3098" t="s">
        <v>1457</v>
      </c>
      <c r="D132" s="421"/>
      <c r="E132" s="1667"/>
      <c r="F132" s="1106">
        <v>0</v>
      </c>
      <c r="G132" s="1667"/>
      <c r="H132" s="1106">
        <v>0</v>
      </c>
      <c r="I132" s="1673"/>
      <c r="J132" s="1673">
        <f t="shared" si="83"/>
        <v>0</v>
      </c>
      <c r="K132" s="1667"/>
      <c r="L132" s="1106">
        <v>0</v>
      </c>
      <c r="M132" s="1674"/>
      <c r="N132" s="1674">
        <f t="shared" si="186"/>
        <v>0</v>
      </c>
      <c r="O132" s="1667"/>
      <c r="P132" s="1106">
        <v>0</v>
      </c>
      <c r="Q132" s="1673"/>
      <c r="R132" s="1673">
        <f t="shared" si="187"/>
        <v>0</v>
      </c>
      <c r="S132" s="1667"/>
      <c r="T132" s="1106">
        <v>0</v>
      </c>
      <c r="U132" s="1673"/>
      <c r="V132" s="1673">
        <f t="shared" si="191"/>
        <v>0</v>
      </c>
      <c r="W132" s="1667"/>
      <c r="X132" s="1106">
        <v>1</v>
      </c>
      <c r="Y132" s="1674"/>
      <c r="Z132" s="1674">
        <f t="shared" si="198"/>
        <v>1</v>
      </c>
      <c r="AA132" s="1820">
        <f t="shared" ref="AA132:AB133" si="210">+M132+Y132</f>
        <v>0</v>
      </c>
      <c r="AB132" s="1820">
        <f t="shared" si="188"/>
        <v>1</v>
      </c>
      <c r="AC132" s="1667"/>
      <c r="AD132" s="1106">
        <v>2</v>
      </c>
      <c r="AE132" s="1673"/>
      <c r="AF132" s="1673">
        <f t="shared" si="192"/>
        <v>3</v>
      </c>
      <c r="AG132" s="1667"/>
      <c r="AH132" s="1106">
        <v>0</v>
      </c>
      <c r="AI132" s="1673">
        <f t="shared" si="206"/>
        <v>0</v>
      </c>
      <c r="AJ132" s="1673">
        <f t="shared" si="193"/>
        <v>3</v>
      </c>
      <c r="AK132" s="1667"/>
      <c r="AL132" s="1106">
        <v>3</v>
      </c>
      <c r="AM132" s="1674">
        <f t="shared" si="199"/>
        <v>0</v>
      </c>
      <c r="AN132" s="1674">
        <f t="shared" si="199"/>
        <v>5</v>
      </c>
      <c r="AO132" s="1673">
        <f t="shared" si="207"/>
        <v>0</v>
      </c>
      <c r="AP132" s="1673">
        <f t="shared" si="194"/>
        <v>6</v>
      </c>
      <c r="AQ132" s="1667"/>
      <c r="AR132" s="1106">
        <v>0</v>
      </c>
      <c r="AS132" s="1673">
        <f t="shared" si="86"/>
        <v>0</v>
      </c>
      <c r="AT132" s="1673">
        <f t="shared" si="86"/>
        <v>6</v>
      </c>
      <c r="AU132" s="1667"/>
      <c r="AV132" s="1106">
        <v>2</v>
      </c>
      <c r="AW132" s="1673">
        <f t="shared" si="87"/>
        <v>0</v>
      </c>
      <c r="AX132" s="1673">
        <f t="shared" si="87"/>
        <v>8</v>
      </c>
      <c r="AY132" s="1667"/>
      <c r="AZ132" s="1698">
        <v>2</v>
      </c>
      <c r="BA132" s="1674">
        <f t="shared" ref="BA132:BB133" si="211">AQ132+AU132+AY132</f>
        <v>0</v>
      </c>
      <c r="BB132" s="1674">
        <f t="shared" si="211"/>
        <v>4</v>
      </c>
      <c r="BC132" s="1820">
        <f>+AM132+BA132</f>
        <v>0</v>
      </c>
      <c r="BD132" s="1820">
        <f>+AN132+BB132</f>
        <v>9</v>
      </c>
      <c r="BE132" s="1673">
        <f t="shared" ref="BE132:BF133" si="212">+AW132+AY132</f>
        <v>0</v>
      </c>
      <c r="BF132" s="1673">
        <f t="shared" si="212"/>
        <v>10</v>
      </c>
    </row>
    <row r="133" spans="1:58" x14ac:dyDescent="0.25">
      <c r="B133" s="5168"/>
      <c r="C133" s="3098" t="s">
        <v>1458</v>
      </c>
      <c r="D133" s="421"/>
      <c r="E133" s="1667"/>
      <c r="F133" s="1106">
        <v>0</v>
      </c>
      <c r="G133" s="1667"/>
      <c r="H133" s="1106">
        <v>0</v>
      </c>
      <c r="I133" s="1673"/>
      <c r="J133" s="1673">
        <f t="shared" si="83"/>
        <v>0</v>
      </c>
      <c r="K133" s="1667"/>
      <c r="L133" s="1106">
        <v>0</v>
      </c>
      <c r="M133" s="1674"/>
      <c r="N133" s="1674">
        <f t="shared" si="186"/>
        <v>0</v>
      </c>
      <c r="O133" s="1667"/>
      <c r="P133" s="1106">
        <v>0</v>
      </c>
      <c r="Q133" s="1673"/>
      <c r="R133" s="1673">
        <f t="shared" si="187"/>
        <v>0</v>
      </c>
      <c r="S133" s="1667"/>
      <c r="T133" s="1106">
        <v>0</v>
      </c>
      <c r="U133" s="1673"/>
      <c r="V133" s="1673">
        <f t="shared" si="191"/>
        <v>0</v>
      </c>
      <c r="W133" s="1667"/>
      <c r="X133" s="1106">
        <v>4045</v>
      </c>
      <c r="Y133" s="1674"/>
      <c r="Z133" s="1674">
        <f t="shared" si="198"/>
        <v>4045</v>
      </c>
      <c r="AA133" s="1820">
        <f t="shared" si="210"/>
        <v>0</v>
      </c>
      <c r="AB133" s="1820">
        <f t="shared" si="210"/>
        <v>4045</v>
      </c>
      <c r="AC133" s="1667"/>
      <c r="AD133" s="1106">
        <v>7902</v>
      </c>
      <c r="AE133" s="1673"/>
      <c r="AF133" s="1673">
        <f t="shared" si="192"/>
        <v>11947</v>
      </c>
      <c r="AG133" s="1667"/>
      <c r="AH133" s="1106">
        <v>0</v>
      </c>
      <c r="AI133" s="1673">
        <f t="shared" si="206"/>
        <v>0</v>
      </c>
      <c r="AJ133" s="1673">
        <f t="shared" si="193"/>
        <v>11947</v>
      </c>
      <c r="AK133" s="1667"/>
      <c r="AL133" s="1106">
        <v>10818</v>
      </c>
      <c r="AM133" s="1674">
        <f t="shared" si="199"/>
        <v>0</v>
      </c>
      <c r="AN133" s="1674">
        <f t="shared" si="199"/>
        <v>18720</v>
      </c>
      <c r="AO133" s="1673">
        <f t="shared" si="207"/>
        <v>0</v>
      </c>
      <c r="AP133" s="1673">
        <f t="shared" si="194"/>
        <v>22765</v>
      </c>
      <c r="AQ133" s="1667"/>
      <c r="AR133" s="1106">
        <v>0</v>
      </c>
      <c r="AS133" s="1673">
        <f t="shared" si="86"/>
        <v>0</v>
      </c>
      <c r="AT133" s="1673">
        <f t="shared" si="86"/>
        <v>22765</v>
      </c>
      <c r="AU133" s="1667"/>
      <c r="AV133" s="1106">
        <v>7634</v>
      </c>
      <c r="AW133" s="1673">
        <f t="shared" si="87"/>
        <v>0</v>
      </c>
      <c r="AX133" s="1673">
        <f t="shared" si="87"/>
        <v>30399</v>
      </c>
      <c r="AY133" s="1667"/>
      <c r="AZ133" s="1698">
        <v>7663</v>
      </c>
      <c r="BA133" s="1674">
        <f t="shared" si="211"/>
        <v>0</v>
      </c>
      <c r="BB133" s="1674">
        <f t="shared" si="211"/>
        <v>15297</v>
      </c>
      <c r="BC133" s="1820">
        <f>+AM133+BA133</f>
        <v>0</v>
      </c>
      <c r="BD133" s="1820">
        <f>+AN133+BB133</f>
        <v>34017</v>
      </c>
      <c r="BE133" s="1673">
        <f t="shared" si="212"/>
        <v>0</v>
      </c>
      <c r="BF133" s="1673">
        <f t="shared" si="212"/>
        <v>38062</v>
      </c>
    </row>
    <row r="134" spans="1:58" s="334" customFormat="1" x14ac:dyDescent="0.25">
      <c r="B134" s="5168"/>
      <c r="C134" s="1081" t="s">
        <v>1633</v>
      </c>
      <c r="D134" s="1081"/>
      <c r="E134" s="1677"/>
      <c r="F134" s="1698"/>
      <c r="G134" s="1677"/>
      <c r="H134" s="1698"/>
      <c r="I134" s="3843"/>
      <c r="J134" s="3843"/>
      <c r="K134" s="1677"/>
      <c r="L134" s="1698"/>
      <c r="M134" s="3843"/>
      <c r="N134" s="3843"/>
      <c r="O134" s="1677"/>
      <c r="P134" s="1698"/>
      <c r="Q134" s="3843"/>
      <c r="R134" s="3843"/>
      <c r="S134" s="1677"/>
      <c r="T134" s="1698"/>
      <c r="U134" s="3843"/>
      <c r="V134" s="3843"/>
      <c r="W134" s="1677"/>
      <c r="X134" s="1698"/>
      <c r="Y134" s="3843"/>
      <c r="Z134" s="3843"/>
      <c r="AA134" s="3843"/>
      <c r="AB134" s="3843"/>
      <c r="AC134" s="1677"/>
      <c r="AD134" s="1698"/>
      <c r="AE134" s="3843"/>
      <c r="AF134" s="3843"/>
      <c r="AG134" s="1677"/>
      <c r="AH134" s="1698"/>
      <c r="AI134" s="3843"/>
      <c r="AJ134" s="3843"/>
      <c r="AK134" s="1677"/>
      <c r="AL134" s="1698"/>
      <c r="AM134" s="3843"/>
      <c r="AN134" s="3843"/>
      <c r="AO134" s="3843"/>
      <c r="AP134" s="3843"/>
      <c r="AQ134" s="1677"/>
      <c r="AR134" s="1698"/>
      <c r="AS134" s="3843"/>
      <c r="AT134" s="3843"/>
      <c r="AU134" s="1677"/>
      <c r="AV134" s="1698"/>
      <c r="AW134" s="3843"/>
      <c r="AX134" s="3843"/>
      <c r="AY134" s="1677"/>
      <c r="AZ134" s="1698"/>
      <c r="BA134" s="3843"/>
      <c r="BB134" s="3843"/>
      <c r="BC134" s="3843"/>
      <c r="BD134" s="3843"/>
      <c r="BE134" s="3843"/>
      <c r="BF134" s="3843"/>
    </row>
    <row r="135" spans="1:58" x14ac:dyDescent="0.25">
      <c r="A135" s="4606">
        <v>131094</v>
      </c>
      <c r="B135" s="5168"/>
      <c r="C135" s="1394" t="s">
        <v>1457</v>
      </c>
      <c r="D135" s="421"/>
      <c r="E135" s="1667"/>
      <c r="F135" s="1515">
        <v>1</v>
      </c>
      <c r="G135" s="1667"/>
      <c r="H135" s="1515">
        <v>1</v>
      </c>
      <c r="I135" s="1673"/>
      <c r="J135" s="1673">
        <f t="shared" ref="J135:J198" si="213">+F135+H135</f>
        <v>2</v>
      </c>
      <c r="K135" s="1667"/>
      <c r="L135" s="1515">
        <v>1</v>
      </c>
      <c r="M135" s="1674">
        <f t="shared" si="201"/>
        <v>0</v>
      </c>
      <c r="N135" s="1674">
        <f t="shared" si="201"/>
        <v>3</v>
      </c>
      <c r="O135" s="1667"/>
      <c r="P135" s="1515">
        <v>1</v>
      </c>
      <c r="Q135" s="1673">
        <f t="shared" si="202"/>
        <v>0</v>
      </c>
      <c r="R135" s="1673">
        <f t="shared" si="202"/>
        <v>4</v>
      </c>
      <c r="S135" s="1667"/>
      <c r="T135" s="1515">
        <v>2</v>
      </c>
      <c r="U135" s="1673">
        <f t="shared" ref="U135:V150" si="214">+Q135+S135</f>
        <v>0</v>
      </c>
      <c r="V135" s="1673">
        <f t="shared" si="214"/>
        <v>6</v>
      </c>
      <c r="W135" s="1667"/>
      <c r="X135" s="1515">
        <v>0</v>
      </c>
      <c r="Y135" s="1674">
        <f>O135+S135+W135</f>
        <v>0</v>
      </c>
      <c r="Z135" s="1674">
        <f t="shared" ref="Z135:Z198" si="215">P135+T135+X135</f>
        <v>3</v>
      </c>
      <c r="AA135" s="1820">
        <f t="shared" ref="AA135:AB150" si="216">+M135+Y135</f>
        <v>0</v>
      </c>
      <c r="AB135" s="1820">
        <f t="shared" si="216"/>
        <v>6</v>
      </c>
      <c r="AC135" s="1667"/>
      <c r="AD135" s="1515">
        <v>0</v>
      </c>
      <c r="AE135" s="1673">
        <f t="shared" ref="AE135:AF150" si="217">+AA135+AC135</f>
        <v>0</v>
      </c>
      <c r="AF135" s="1673">
        <f t="shared" si="217"/>
        <v>6</v>
      </c>
      <c r="AG135" s="1667"/>
      <c r="AH135" s="1515">
        <v>0</v>
      </c>
      <c r="AI135" s="1673">
        <f t="shared" ref="AI135:AJ150" si="218">+AE135+AG135</f>
        <v>0</v>
      </c>
      <c r="AJ135" s="1673">
        <f t="shared" si="218"/>
        <v>6</v>
      </c>
      <c r="AK135" s="1667"/>
      <c r="AL135" s="1515">
        <v>0</v>
      </c>
      <c r="AM135" s="1674">
        <f>AC135+AG135+AK135</f>
        <v>0</v>
      </c>
      <c r="AN135" s="1674">
        <f t="shared" ref="AM135:AN198" si="219">AD135+AH135+AL135</f>
        <v>0</v>
      </c>
      <c r="AO135" s="1673">
        <f t="shared" ref="AO135:AP150" si="220">+AI135+AK135</f>
        <v>0</v>
      </c>
      <c r="AP135" s="1673">
        <f t="shared" si="220"/>
        <v>6</v>
      </c>
      <c r="AQ135" s="1667"/>
      <c r="AR135" s="1515">
        <v>1</v>
      </c>
      <c r="AS135" s="1673">
        <f t="shared" si="86"/>
        <v>0</v>
      </c>
      <c r="AT135" s="1673">
        <f t="shared" si="86"/>
        <v>7</v>
      </c>
      <c r="AU135" s="1667"/>
      <c r="AV135" s="1515">
        <v>0</v>
      </c>
      <c r="AW135" s="1673">
        <f t="shared" si="87"/>
        <v>0</v>
      </c>
      <c r="AX135" s="1673">
        <f t="shared" si="87"/>
        <v>7</v>
      </c>
      <c r="AY135" s="1667"/>
      <c r="AZ135" s="4661">
        <v>0</v>
      </c>
      <c r="BA135" s="1674">
        <f>AQ135+AU135+AY135</f>
        <v>0</v>
      </c>
      <c r="BB135" s="1674">
        <f t="shared" ref="BB135:BB136" si="221">AR135+AV135+AZ135</f>
        <v>1</v>
      </c>
      <c r="BC135" s="1820">
        <f>+AM135+BA135</f>
        <v>0</v>
      </c>
      <c r="BD135" s="1820">
        <f>+AN135+BB135</f>
        <v>1</v>
      </c>
      <c r="BE135" s="1673">
        <f t="shared" ref="BE135:BF136" si="222">+AW135+AY135</f>
        <v>0</v>
      </c>
      <c r="BF135" s="1673">
        <f t="shared" si="222"/>
        <v>7</v>
      </c>
    </row>
    <row r="136" spans="1:58" x14ac:dyDescent="0.25">
      <c r="A136" s="4606">
        <v>3701</v>
      </c>
      <c r="B136" s="5168"/>
      <c r="C136" s="1394" t="s">
        <v>1458</v>
      </c>
      <c r="D136" s="421"/>
      <c r="E136" s="1667"/>
      <c r="F136" s="1106">
        <v>3966</v>
      </c>
      <c r="G136" s="1667"/>
      <c r="H136" s="1106">
        <v>3956</v>
      </c>
      <c r="I136" s="1673"/>
      <c r="J136" s="1673">
        <f t="shared" si="213"/>
        <v>7922</v>
      </c>
      <c r="K136" s="1667"/>
      <c r="L136" s="1106">
        <v>3988</v>
      </c>
      <c r="M136" s="1674">
        <f t="shared" si="201"/>
        <v>0</v>
      </c>
      <c r="N136" s="1674">
        <f t="shared" si="201"/>
        <v>11910</v>
      </c>
      <c r="O136" s="1667"/>
      <c r="P136" s="1106">
        <v>3868</v>
      </c>
      <c r="Q136" s="1673">
        <f t="shared" si="202"/>
        <v>0</v>
      </c>
      <c r="R136" s="1673">
        <f t="shared" si="202"/>
        <v>15778</v>
      </c>
      <c r="S136" s="1667"/>
      <c r="T136" s="1106">
        <v>7123</v>
      </c>
      <c r="U136" s="1673">
        <f t="shared" si="214"/>
        <v>0</v>
      </c>
      <c r="V136" s="1673">
        <f t="shared" si="214"/>
        <v>22901</v>
      </c>
      <c r="W136" s="1667"/>
      <c r="X136" s="1106">
        <v>0</v>
      </c>
      <c r="Y136" s="1674">
        <f>O136+S136+W136</f>
        <v>0</v>
      </c>
      <c r="Z136" s="1674">
        <f t="shared" si="215"/>
        <v>10991</v>
      </c>
      <c r="AA136" s="1820">
        <f t="shared" si="216"/>
        <v>0</v>
      </c>
      <c r="AB136" s="1820">
        <f t="shared" si="216"/>
        <v>22901</v>
      </c>
      <c r="AC136" s="1667"/>
      <c r="AD136" s="1106">
        <v>0</v>
      </c>
      <c r="AE136" s="1673">
        <f t="shared" si="217"/>
        <v>0</v>
      </c>
      <c r="AF136" s="1673">
        <f t="shared" si="217"/>
        <v>22901</v>
      </c>
      <c r="AG136" s="1667"/>
      <c r="AH136" s="1106">
        <v>0</v>
      </c>
      <c r="AI136" s="1673">
        <f t="shared" si="218"/>
        <v>0</v>
      </c>
      <c r="AJ136" s="1673">
        <f t="shared" si="218"/>
        <v>22901</v>
      </c>
      <c r="AK136" s="1667"/>
      <c r="AL136" s="1106">
        <v>0</v>
      </c>
      <c r="AM136" s="1674">
        <f>AC136+AG136+AK136</f>
        <v>0</v>
      </c>
      <c r="AN136" s="1674">
        <f t="shared" si="219"/>
        <v>0</v>
      </c>
      <c r="AO136" s="1673">
        <f t="shared" si="220"/>
        <v>0</v>
      </c>
      <c r="AP136" s="1673">
        <f t="shared" si="220"/>
        <v>22901</v>
      </c>
      <c r="AQ136" s="1667"/>
      <c r="AR136" s="1106">
        <v>3677</v>
      </c>
      <c r="AS136" s="1673">
        <f t="shared" ref="AS136:AT198" si="223">+AQ136+AO136</f>
        <v>0</v>
      </c>
      <c r="AT136" s="1673">
        <f t="shared" si="223"/>
        <v>26578</v>
      </c>
      <c r="AU136" s="1667"/>
      <c r="AV136" s="1106">
        <v>0</v>
      </c>
      <c r="AW136" s="1673">
        <f t="shared" ref="AW136:AX198" si="224">+AS136+AU136</f>
        <v>0</v>
      </c>
      <c r="AX136" s="1673">
        <f t="shared" si="224"/>
        <v>26578</v>
      </c>
      <c r="AY136" s="1667"/>
      <c r="AZ136" s="1698">
        <v>0</v>
      </c>
      <c r="BA136" s="1674">
        <f>AQ136+AU136+AY136</f>
        <v>0</v>
      </c>
      <c r="BB136" s="1674">
        <f t="shared" si="221"/>
        <v>3677</v>
      </c>
      <c r="BC136" s="1820">
        <f>+AM136+BA136</f>
        <v>0</v>
      </c>
      <c r="BD136" s="1820">
        <f>+AN136+BB136</f>
        <v>3677</v>
      </c>
      <c r="BE136" s="1673">
        <f t="shared" si="222"/>
        <v>0</v>
      </c>
      <c r="BF136" s="1673">
        <f t="shared" si="222"/>
        <v>26578</v>
      </c>
    </row>
    <row r="137" spans="1:58" s="334" customFormat="1" ht="18.75" x14ac:dyDescent="0.3">
      <c r="A137" s="334">
        <f>SUM(A135:A136)</f>
        <v>134795</v>
      </c>
      <c r="B137" s="5168"/>
      <c r="C137" s="1703" t="s">
        <v>23</v>
      </c>
      <c r="D137" s="1684"/>
      <c r="E137" s="3844"/>
      <c r="F137" s="3845"/>
      <c r="G137" s="3844"/>
      <c r="H137" s="3845"/>
      <c r="I137" s="3843"/>
      <c r="J137" s="3843"/>
      <c r="K137" s="3844"/>
      <c r="L137" s="3845"/>
      <c r="M137" s="3843"/>
      <c r="N137" s="3843"/>
      <c r="O137" s="3844"/>
      <c r="P137" s="3845"/>
      <c r="Q137" s="3843"/>
      <c r="R137" s="3843"/>
      <c r="S137" s="3844"/>
      <c r="T137" s="3845"/>
      <c r="U137" s="3843"/>
      <c r="V137" s="3843"/>
      <c r="W137" s="3844"/>
      <c r="X137" s="3845"/>
      <c r="Y137" s="3843"/>
      <c r="Z137" s="3843"/>
      <c r="AA137" s="3843"/>
      <c r="AB137" s="3843"/>
      <c r="AC137" s="3844"/>
      <c r="AD137" s="3845"/>
      <c r="AE137" s="3843"/>
      <c r="AF137" s="3843"/>
      <c r="AG137" s="3844"/>
      <c r="AH137" s="3845"/>
      <c r="AI137" s="3843"/>
      <c r="AJ137" s="3843"/>
      <c r="AK137" s="3844"/>
      <c r="AL137" s="3845"/>
      <c r="AM137" s="3843"/>
      <c r="AN137" s="3843"/>
      <c r="AO137" s="3843"/>
      <c r="AP137" s="3843"/>
      <c r="AQ137" s="3844"/>
      <c r="AR137" s="3845"/>
      <c r="AS137" s="3843"/>
      <c r="AT137" s="3843"/>
      <c r="AU137" s="3844"/>
      <c r="AV137" s="3845"/>
      <c r="AW137" s="3843"/>
      <c r="AX137" s="3843"/>
      <c r="AY137" s="3844"/>
      <c r="AZ137" s="3845"/>
      <c r="BA137" s="3843"/>
      <c r="BB137" s="3843"/>
      <c r="BC137" s="3843"/>
      <c r="BD137" s="3843"/>
      <c r="BE137" s="3843"/>
      <c r="BF137" s="3843"/>
    </row>
    <row r="138" spans="1:58" ht="18.75" x14ac:dyDescent="0.3">
      <c r="A138" s="4606">
        <v>30704</v>
      </c>
      <c r="B138" s="5168"/>
      <c r="C138" s="1691" t="s">
        <v>1457</v>
      </c>
      <c r="D138" s="1681"/>
      <c r="E138" s="1687"/>
      <c r="F138" s="1690">
        <f>+F129+F132+F135</f>
        <v>1</v>
      </c>
      <c r="G138" s="1687"/>
      <c r="H138" s="1690">
        <f>+H129+H132+H135</f>
        <v>1</v>
      </c>
      <c r="I138" s="1688"/>
      <c r="J138" s="1683">
        <f t="shared" si="213"/>
        <v>2</v>
      </c>
      <c r="K138" s="1687"/>
      <c r="L138" s="1690">
        <f>+L129+L132+L135</f>
        <v>1</v>
      </c>
      <c r="M138" s="1688"/>
      <c r="N138" s="1683">
        <f t="shared" si="201"/>
        <v>3</v>
      </c>
      <c r="O138" s="1687"/>
      <c r="P138" s="1690">
        <f>+P129+P132+P135</f>
        <v>1</v>
      </c>
      <c r="Q138" s="1688"/>
      <c r="R138" s="1683">
        <f t="shared" si="202"/>
        <v>4</v>
      </c>
      <c r="S138" s="1687"/>
      <c r="T138" s="1690">
        <f>+T129+T132+T135</f>
        <v>2</v>
      </c>
      <c r="U138" s="1688"/>
      <c r="V138" s="1683">
        <f t="shared" si="214"/>
        <v>6</v>
      </c>
      <c r="W138" s="1687"/>
      <c r="X138" s="1690">
        <f>+X129+X132+X135</f>
        <v>1</v>
      </c>
      <c r="Y138" s="1688"/>
      <c r="Z138" s="1683">
        <f t="shared" si="215"/>
        <v>4</v>
      </c>
      <c r="AA138" s="1688">
        <f t="shared" ref="AA138:AA139" si="225">+M138+Y138</f>
        <v>0</v>
      </c>
      <c r="AB138" s="1683">
        <f t="shared" si="216"/>
        <v>7</v>
      </c>
      <c r="AC138" s="1687"/>
      <c r="AD138" s="1690">
        <f>+AD129+AD132+AD135</f>
        <v>2</v>
      </c>
      <c r="AE138" s="1688"/>
      <c r="AF138" s="1683">
        <f t="shared" si="217"/>
        <v>9</v>
      </c>
      <c r="AG138" s="1687"/>
      <c r="AH138" s="1690">
        <f>+AH129+AH132+AH135</f>
        <v>0</v>
      </c>
      <c r="AI138" s="1688"/>
      <c r="AJ138" s="1683">
        <f t="shared" si="218"/>
        <v>9</v>
      </c>
      <c r="AK138" s="1687"/>
      <c r="AL138" s="3097">
        <f>+AL129+AL132+AL135</f>
        <v>3</v>
      </c>
      <c r="AM138" s="1688"/>
      <c r="AN138" s="1683">
        <f t="shared" si="219"/>
        <v>5</v>
      </c>
      <c r="AO138" s="1688"/>
      <c r="AP138" s="1683">
        <f t="shared" si="220"/>
        <v>12</v>
      </c>
      <c r="AQ138" s="1687"/>
      <c r="AR138" s="1690">
        <f>+AR129+AR132+AR135</f>
        <v>1</v>
      </c>
      <c r="AS138" s="1688">
        <f t="shared" si="223"/>
        <v>0</v>
      </c>
      <c r="AT138" s="1683">
        <f t="shared" si="223"/>
        <v>13</v>
      </c>
      <c r="AU138" s="1687"/>
      <c r="AV138" s="1690">
        <f>+AV129+AV132+AV135</f>
        <v>2</v>
      </c>
      <c r="AW138" s="1688">
        <f t="shared" si="224"/>
        <v>0</v>
      </c>
      <c r="AX138" s="1683">
        <f t="shared" si="224"/>
        <v>15</v>
      </c>
      <c r="AY138" s="1687"/>
      <c r="AZ138" s="1690">
        <f>+AZ129+AZ132+AZ135</f>
        <v>2</v>
      </c>
      <c r="BA138" s="1688"/>
      <c r="BB138" s="1683">
        <f t="shared" ref="BB138:BB139" si="226">AR138+AV138+AZ138</f>
        <v>5</v>
      </c>
      <c r="BC138" s="1688">
        <f>+AM138+BA138</f>
        <v>0</v>
      </c>
      <c r="BD138" s="1683">
        <f>+AN138+BB138</f>
        <v>10</v>
      </c>
      <c r="BE138" s="1688">
        <f t="shared" ref="BE138:BF139" si="227">+AW138+AY138</f>
        <v>0</v>
      </c>
      <c r="BF138" s="1683">
        <f t="shared" si="227"/>
        <v>17</v>
      </c>
    </row>
    <row r="139" spans="1:58" ht="18.75" x14ac:dyDescent="0.3">
      <c r="A139" s="4606">
        <f>+A135-A138</f>
        <v>100390</v>
      </c>
      <c r="B139" s="5169"/>
      <c r="C139" s="1691" t="s">
        <v>1458</v>
      </c>
      <c r="D139" s="1681"/>
      <c r="E139" s="1687"/>
      <c r="F139" s="1689">
        <f>+F130+F133+F136</f>
        <v>3966</v>
      </c>
      <c r="G139" s="1687"/>
      <c r="H139" s="1689">
        <f>+H130+H133+H136</f>
        <v>3956</v>
      </c>
      <c r="I139" s="1688"/>
      <c r="J139" s="1688">
        <f t="shared" si="213"/>
        <v>7922</v>
      </c>
      <c r="K139" s="1687"/>
      <c r="L139" s="1689">
        <f>+L130+L133+L136</f>
        <v>3988</v>
      </c>
      <c r="M139" s="1688"/>
      <c r="N139" s="1688">
        <f t="shared" si="201"/>
        <v>11910</v>
      </c>
      <c r="O139" s="1687"/>
      <c r="P139" s="1689">
        <f>+P130+P133+P136</f>
        <v>3868</v>
      </c>
      <c r="Q139" s="1688"/>
      <c r="R139" s="1688">
        <f t="shared" si="202"/>
        <v>15778</v>
      </c>
      <c r="S139" s="1687"/>
      <c r="T139" s="1689">
        <f>+T130+T133+T136</f>
        <v>7123</v>
      </c>
      <c r="U139" s="1688"/>
      <c r="V139" s="1688">
        <f t="shared" si="214"/>
        <v>22901</v>
      </c>
      <c r="W139" s="1687"/>
      <c r="X139" s="1689">
        <f>+X130+X133+X136</f>
        <v>4045</v>
      </c>
      <c r="Y139" s="1688"/>
      <c r="Z139" s="1688">
        <f t="shared" si="215"/>
        <v>15036</v>
      </c>
      <c r="AA139" s="1688">
        <f t="shared" si="225"/>
        <v>0</v>
      </c>
      <c r="AB139" s="1688">
        <f t="shared" si="216"/>
        <v>26946</v>
      </c>
      <c r="AC139" s="1687"/>
      <c r="AD139" s="1689">
        <f>+AD130+AD133+AD136</f>
        <v>7902</v>
      </c>
      <c r="AE139" s="1688"/>
      <c r="AF139" s="1688">
        <f t="shared" si="217"/>
        <v>34848</v>
      </c>
      <c r="AG139" s="1687"/>
      <c r="AH139" s="1689">
        <f>+AH130+AH133+AH136</f>
        <v>0</v>
      </c>
      <c r="AI139" s="1688"/>
      <c r="AJ139" s="1688">
        <f t="shared" si="218"/>
        <v>34848</v>
      </c>
      <c r="AK139" s="1687"/>
      <c r="AL139" s="1689">
        <f>+AL130+AL133+AL136</f>
        <v>10818</v>
      </c>
      <c r="AM139" s="1688"/>
      <c r="AN139" s="1688">
        <f t="shared" si="219"/>
        <v>18720</v>
      </c>
      <c r="AO139" s="1688"/>
      <c r="AP139" s="1688">
        <f t="shared" si="220"/>
        <v>45666</v>
      </c>
      <c r="AQ139" s="1687"/>
      <c r="AR139" s="1689">
        <f>+AR130+AR133+AR136</f>
        <v>3677</v>
      </c>
      <c r="AS139" s="1688">
        <f t="shared" si="223"/>
        <v>0</v>
      </c>
      <c r="AT139" s="1688">
        <f t="shared" si="223"/>
        <v>49343</v>
      </c>
      <c r="AU139" s="1687"/>
      <c r="AV139" s="1689">
        <f>+AV130+AV133+AV136</f>
        <v>7634</v>
      </c>
      <c r="AW139" s="1688">
        <f t="shared" si="224"/>
        <v>0</v>
      </c>
      <c r="AX139" s="1688">
        <f t="shared" si="224"/>
        <v>56977</v>
      </c>
      <c r="AY139" s="1687"/>
      <c r="AZ139" s="1689">
        <f>+AZ130+AZ133+AZ136</f>
        <v>7663</v>
      </c>
      <c r="BA139" s="1688"/>
      <c r="BB139" s="1688">
        <f t="shared" si="226"/>
        <v>18974</v>
      </c>
      <c r="BC139" s="1688">
        <f>+AM139+BA139</f>
        <v>0</v>
      </c>
      <c r="BD139" s="1688">
        <f>+AN139+BB139</f>
        <v>37694</v>
      </c>
      <c r="BE139" s="1688">
        <f t="shared" si="227"/>
        <v>0</v>
      </c>
      <c r="BF139" s="1688">
        <f t="shared" si="227"/>
        <v>64640</v>
      </c>
    </row>
    <row r="140" spans="1:58" s="334" customFormat="1" x14ac:dyDescent="0.25">
      <c r="A140" s="334">
        <f>+A139+A136</f>
        <v>104091</v>
      </c>
      <c r="B140" s="5170" t="s">
        <v>1475</v>
      </c>
      <c r="C140" s="1081" t="s">
        <v>1477</v>
      </c>
      <c r="D140" s="1081"/>
      <c r="E140" s="1081"/>
      <c r="F140" s="1698"/>
      <c r="G140" s="1081"/>
      <c r="H140" s="1698"/>
      <c r="I140" s="3843"/>
      <c r="J140" s="3843"/>
      <c r="K140" s="1081"/>
      <c r="L140" s="1698"/>
      <c r="M140" s="3843"/>
      <c r="N140" s="3843"/>
      <c r="O140" s="1081"/>
      <c r="P140" s="1698"/>
      <c r="Q140" s="3843"/>
      <c r="R140" s="3843"/>
      <c r="S140" s="1081"/>
      <c r="T140" s="1698"/>
      <c r="U140" s="3843"/>
      <c r="V140" s="3843"/>
      <c r="W140" s="1081"/>
      <c r="X140" s="1698"/>
      <c r="Y140" s="3843"/>
      <c r="Z140" s="3843"/>
      <c r="AA140" s="3843"/>
      <c r="AB140" s="3843"/>
      <c r="AC140" s="1081"/>
      <c r="AD140" s="1698"/>
      <c r="AE140" s="3843"/>
      <c r="AF140" s="3843"/>
      <c r="AG140" s="1081"/>
      <c r="AH140" s="1698"/>
      <c r="AI140" s="3843"/>
      <c r="AJ140" s="3843"/>
      <c r="AK140" s="1081"/>
      <c r="AL140" s="1698"/>
      <c r="AM140" s="3843"/>
      <c r="AN140" s="3843"/>
      <c r="AO140" s="3843"/>
      <c r="AP140" s="3843"/>
      <c r="AQ140" s="1081"/>
      <c r="AR140" s="1698"/>
      <c r="AS140" s="3843"/>
      <c r="AT140" s="3843"/>
      <c r="AU140" s="1081"/>
      <c r="AV140" s="1698"/>
      <c r="AW140" s="3843"/>
      <c r="AX140" s="3843"/>
      <c r="AY140" s="1081"/>
      <c r="AZ140" s="1698"/>
      <c r="BA140" s="3843"/>
      <c r="BB140" s="3843"/>
      <c r="BC140" s="3843"/>
      <c r="BD140" s="3843"/>
      <c r="BE140" s="3843"/>
      <c r="BF140" s="3843"/>
    </row>
    <row r="141" spans="1:58" x14ac:dyDescent="0.25">
      <c r="B141" s="5170"/>
      <c r="C141" s="1394" t="s">
        <v>1457</v>
      </c>
      <c r="D141" s="421"/>
      <c r="E141" s="421"/>
      <c r="F141" s="4614">
        <v>10.5</v>
      </c>
      <c r="G141" s="421"/>
      <c r="H141" s="4614">
        <v>13.6</v>
      </c>
      <c r="I141" s="1673"/>
      <c r="J141" s="1673">
        <f t="shared" si="213"/>
        <v>24.1</v>
      </c>
      <c r="K141" s="421"/>
      <c r="L141" s="4614">
        <v>11</v>
      </c>
      <c r="M141" s="1674">
        <f t="shared" ref="M141:N157" si="228">+I141+K141</f>
        <v>0</v>
      </c>
      <c r="N141" s="1674">
        <f t="shared" si="201"/>
        <v>35.1</v>
      </c>
      <c r="O141" s="421"/>
      <c r="P141" s="4614">
        <v>12.2</v>
      </c>
      <c r="Q141" s="1673">
        <f t="shared" ref="Q141:R157" si="229">+M141+O141</f>
        <v>0</v>
      </c>
      <c r="R141" s="1673">
        <f t="shared" si="202"/>
        <v>47.3</v>
      </c>
      <c r="S141" s="421"/>
      <c r="T141" s="4614">
        <v>12.6</v>
      </c>
      <c r="U141" s="1673">
        <f t="shared" ref="U141:U142" si="230">+Q141+S141</f>
        <v>0</v>
      </c>
      <c r="V141" s="1673">
        <f t="shared" si="214"/>
        <v>59.9</v>
      </c>
      <c r="W141" s="421"/>
      <c r="X141" s="4614">
        <v>11</v>
      </c>
      <c r="Y141" s="1674">
        <f>O141+S141+W141</f>
        <v>0</v>
      </c>
      <c r="Z141" s="1674">
        <f t="shared" si="215"/>
        <v>35.799999999999997</v>
      </c>
      <c r="AA141" s="1820">
        <f t="shared" ref="AA141:AA142" si="231">+M141+Y141</f>
        <v>0</v>
      </c>
      <c r="AB141" s="1820">
        <f t="shared" si="216"/>
        <v>70.900000000000006</v>
      </c>
      <c r="AC141" s="421"/>
      <c r="AD141" s="4614">
        <v>12.6</v>
      </c>
      <c r="AE141" s="1673">
        <f t="shared" ref="AE141:AE142" si="232">+AA141+AC141</f>
        <v>0</v>
      </c>
      <c r="AF141" s="1673">
        <f t="shared" si="217"/>
        <v>83.5</v>
      </c>
      <c r="AG141" s="421"/>
      <c r="AH141" s="4614">
        <v>11.4</v>
      </c>
      <c r="AI141" s="1673">
        <f t="shared" ref="AI141:AI142" si="233">+AE141+AG141</f>
        <v>0</v>
      </c>
      <c r="AJ141" s="1673">
        <f t="shared" si="218"/>
        <v>94.9</v>
      </c>
      <c r="AK141" s="421"/>
      <c r="AL141" s="4614">
        <v>8</v>
      </c>
      <c r="AM141" s="1674">
        <f>AC141+AG141+AK141</f>
        <v>0</v>
      </c>
      <c r="AN141" s="1674">
        <f t="shared" si="219"/>
        <v>32</v>
      </c>
      <c r="AO141" s="1673">
        <f t="shared" ref="AO141:AO142" si="234">+AI141+AK141</f>
        <v>0</v>
      </c>
      <c r="AP141" s="1673">
        <f t="shared" si="220"/>
        <v>102.9</v>
      </c>
      <c r="AQ141" s="421"/>
      <c r="AR141" s="4614">
        <v>8</v>
      </c>
      <c r="AS141" s="1673">
        <f t="shared" si="223"/>
        <v>0</v>
      </c>
      <c r="AT141" s="1673">
        <f t="shared" si="223"/>
        <v>110.9</v>
      </c>
      <c r="AU141" s="421"/>
      <c r="AV141" s="4614">
        <v>12.2</v>
      </c>
      <c r="AW141" s="1673">
        <f t="shared" si="224"/>
        <v>0</v>
      </c>
      <c r="AX141" s="1673">
        <f t="shared" si="224"/>
        <v>123.10000000000001</v>
      </c>
      <c r="AY141" s="421"/>
      <c r="AZ141" s="979">
        <v>11.4</v>
      </c>
      <c r="BA141" s="1674">
        <f>AQ141+AU141+AY141</f>
        <v>0</v>
      </c>
      <c r="BB141" s="1674">
        <f t="shared" ref="BB141:BB142" si="235">AR141+AV141+AZ141</f>
        <v>31.6</v>
      </c>
      <c r="BC141" s="1820">
        <f>+AM141+BA141</f>
        <v>0</v>
      </c>
      <c r="BD141" s="1820">
        <f>+AN141+BB141</f>
        <v>63.6</v>
      </c>
      <c r="BE141" s="1673">
        <f t="shared" ref="BE141:BF142" si="236">+AW141+AY141</f>
        <v>0</v>
      </c>
      <c r="BF141" s="1673">
        <f t="shared" si="236"/>
        <v>134.5</v>
      </c>
    </row>
    <row r="142" spans="1:58" x14ac:dyDescent="0.25">
      <c r="B142" s="5170"/>
      <c r="C142" s="1394" t="s">
        <v>1458</v>
      </c>
      <c r="D142" s="421"/>
      <c r="E142" s="421"/>
      <c r="F142" s="4614">
        <v>40725</v>
      </c>
      <c r="G142" s="421"/>
      <c r="H142" s="4614">
        <v>52294</v>
      </c>
      <c r="I142" s="1673"/>
      <c r="J142" s="1673">
        <f t="shared" si="213"/>
        <v>93019</v>
      </c>
      <c r="K142" s="421"/>
      <c r="L142" s="4614">
        <v>41800</v>
      </c>
      <c r="M142" s="1674">
        <f t="shared" si="228"/>
        <v>0</v>
      </c>
      <c r="N142" s="1674">
        <f t="shared" si="201"/>
        <v>134819</v>
      </c>
      <c r="O142" s="421"/>
      <c r="P142" s="4614">
        <v>47532</v>
      </c>
      <c r="Q142" s="1673">
        <f t="shared" si="229"/>
        <v>0</v>
      </c>
      <c r="R142" s="1673">
        <f t="shared" si="202"/>
        <v>182351</v>
      </c>
      <c r="S142" s="421"/>
      <c r="T142" s="4614">
        <v>48791</v>
      </c>
      <c r="U142" s="1673">
        <f t="shared" si="230"/>
        <v>0</v>
      </c>
      <c r="V142" s="1673">
        <f t="shared" si="214"/>
        <v>231142</v>
      </c>
      <c r="W142" s="421"/>
      <c r="X142" s="4614">
        <v>42835</v>
      </c>
      <c r="Y142" s="1674">
        <f>O142+S142+W142</f>
        <v>0</v>
      </c>
      <c r="Z142" s="1674">
        <f t="shared" si="215"/>
        <v>139158</v>
      </c>
      <c r="AA142" s="1820">
        <f t="shared" si="231"/>
        <v>0</v>
      </c>
      <c r="AB142" s="1820">
        <f t="shared" si="216"/>
        <v>273977</v>
      </c>
      <c r="AC142" s="421"/>
      <c r="AD142" s="4614">
        <v>48377</v>
      </c>
      <c r="AE142" s="1673">
        <f t="shared" si="232"/>
        <v>0</v>
      </c>
      <c r="AF142" s="1673">
        <f t="shared" si="217"/>
        <v>322354</v>
      </c>
      <c r="AG142" s="421"/>
      <c r="AH142" s="4614">
        <v>43346</v>
      </c>
      <c r="AI142" s="1673">
        <f t="shared" si="233"/>
        <v>0</v>
      </c>
      <c r="AJ142" s="1673">
        <f t="shared" si="218"/>
        <v>365700</v>
      </c>
      <c r="AK142" s="421"/>
      <c r="AL142" s="4614">
        <v>30614</v>
      </c>
      <c r="AM142" s="1674">
        <f>AC142+AG142+AK142</f>
        <v>0</v>
      </c>
      <c r="AN142" s="1674">
        <f t="shared" si="219"/>
        <v>122337</v>
      </c>
      <c r="AO142" s="1673">
        <f t="shared" si="234"/>
        <v>0</v>
      </c>
      <c r="AP142" s="1673">
        <f t="shared" si="220"/>
        <v>396314</v>
      </c>
      <c r="AQ142" s="421"/>
      <c r="AR142" s="4614">
        <v>30508</v>
      </c>
      <c r="AS142" s="1673">
        <f t="shared" si="223"/>
        <v>0</v>
      </c>
      <c r="AT142" s="1673">
        <f t="shared" si="223"/>
        <v>426822</v>
      </c>
      <c r="AU142" s="421"/>
      <c r="AV142" s="4614">
        <v>47849</v>
      </c>
      <c r="AW142" s="1673">
        <f t="shared" si="224"/>
        <v>0</v>
      </c>
      <c r="AX142" s="1673">
        <f t="shared" si="224"/>
        <v>474671</v>
      </c>
      <c r="AY142" s="421"/>
      <c r="AZ142" s="979">
        <v>44399</v>
      </c>
      <c r="BA142" s="1674">
        <f>AQ142+AU142+AY142</f>
        <v>0</v>
      </c>
      <c r="BB142" s="1674">
        <f t="shared" si="235"/>
        <v>122756</v>
      </c>
      <c r="BC142" s="1820">
        <f>+AM142+BA142</f>
        <v>0</v>
      </c>
      <c r="BD142" s="1820">
        <f>+AN142+BB142</f>
        <v>245093</v>
      </c>
      <c r="BE142" s="1673">
        <f t="shared" si="236"/>
        <v>0</v>
      </c>
      <c r="BF142" s="1673">
        <f t="shared" si="236"/>
        <v>519070</v>
      </c>
    </row>
    <row r="143" spans="1:58" s="334" customFormat="1" x14ac:dyDescent="0.25">
      <c r="B143" s="5170"/>
      <c r="C143" s="1081" t="s">
        <v>1478</v>
      </c>
      <c r="D143" s="1081"/>
      <c r="E143" s="1081"/>
      <c r="F143" s="979"/>
      <c r="G143" s="1081"/>
      <c r="H143" s="979"/>
      <c r="I143" s="3843"/>
      <c r="J143" s="3843"/>
      <c r="K143" s="1081"/>
      <c r="L143" s="979"/>
      <c r="M143" s="3843"/>
      <c r="N143" s="3843"/>
      <c r="O143" s="1081"/>
      <c r="P143" s="979"/>
      <c r="Q143" s="3843"/>
      <c r="R143" s="3843"/>
      <c r="S143" s="1081"/>
      <c r="T143" s="979"/>
      <c r="U143" s="3843"/>
      <c r="V143" s="3843"/>
      <c r="W143" s="1081"/>
      <c r="X143" s="979"/>
      <c r="Y143" s="3843"/>
      <c r="Z143" s="3843"/>
      <c r="AA143" s="3843"/>
      <c r="AB143" s="3843"/>
      <c r="AC143" s="1081"/>
      <c r="AD143" s="979"/>
      <c r="AE143" s="3843"/>
      <c r="AF143" s="3843"/>
      <c r="AG143" s="1081"/>
      <c r="AH143" s="979"/>
      <c r="AI143" s="3843"/>
      <c r="AJ143" s="3843"/>
      <c r="AK143" s="1081"/>
      <c r="AL143" s="979"/>
      <c r="AM143" s="3843"/>
      <c r="AN143" s="3843"/>
      <c r="AO143" s="3843"/>
      <c r="AP143" s="3843"/>
      <c r="AQ143" s="1081"/>
      <c r="AR143" s="979"/>
      <c r="AS143" s="3843"/>
      <c r="AT143" s="3843"/>
      <c r="AU143" s="1081"/>
      <c r="AV143" s="979"/>
      <c r="AW143" s="3843"/>
      <c r="AX143" s="3843"/>
      <c r="AY143" s="1081"/>
      <c r="AZ143" s="979"/>
      <c r="BA143" s="3843"/>
      <c r="BB143" s="3843"/>
      <c r="BC143" s="3843"/>
      <c r="BD143" s="3843"/>
      <c r="BE143" s="3843"/>
      <c r="BF143" s="3843"/>
    </row>
    <row r="144" spans="1:58" x14ac:dyDescent="0.25">
      <c r="B144" s="5170"/>
      <c r="C144" s="1394" t="s">
        <v>1457</v>
      </c>
      <c r="D144" s="421"/>
      <c r="E144" s="1667"/>
      <c r="F144" s="1675">
        <v>2</v>
      </c>
      <c r="G144" s="1667"/>
      <c r="H144" s="1675">
        <v>2.4</v>
      </c>
      <c r="I144" s="1673"/>
      <c r="J144" s="1673">
        <f t="shared" si="213"/>
        <v>4.4000000000000004</v>
      </c>
      <c r="K144" s="1667"/>
      <c r="L144" s="1675">
        <v>2.5</v>
      </c>
      <c r="M144" s="1674">
        <f t="shared" si="228"/>
        <v>0</v>
      </c>
      <c r="N144" s="1674">
        <f t="shared" si="201"/>
        <v>6.9</v>
      </c>
      <c r="O144" s="1667"/>
      <c r="P144" s="1675">
        <v>3</v>
      </c>
      <c r="Q144" s="1673">
        <f t="shared" si="229"/>
        <v>0</v>
      </c>
      <c r="R144" s="1673">
        <f t="shared" si="202"/>
        <v>9.9</v>
      </c>
      <c r="S144" s="1667"/>
      <c r="T144" s="1675">
        <v>2</v>
      </c>
      <c r="U144" s="1673">
        <f t="shared" ref="U144:U145" si="237">+Q144+S144</f>
        <v>0</v>
      </c>
      <c r="V144" s="1673">
        <f t="shared" si="214"/>
        <v>11.9</v>
      </c>
      <c r="W144" s="1667"/>
      <c r="X144" s="1675">
        <v>2</v>
      </c>
      <c r="Y144" s="1674">
        <f>O144+S144+W144</f>
        <v>0</v>
      </c>
      <c r="Z144" s="1674">
        <f t="shared" si="215"/>
        <v>7</v>
      </c>
      <c r="AA144" s="1820">
        <f t="shared" ref="AA144:AA145" si="238">+M144+Y144</f>
        <v>0</v>
      </c>
      <c r="AB144" s="1820">
        <f t="shared" si="216"/>
        <v>13.9</v>
      </c>
      <c r="AC144" s="1667"/>
      <c r="AD144" s="1675">
        <v>3</v>
      </c>
      <c r="AE144" s="1673">
        <f t="shared" ref="AE144:AE145" si="239">+AA144+AC144</f>
        <v>0</v>
      </c>
      <c r="AF144" s="1673">
        <f t="shared" si="217"/>
        <v>16.899999999999999</v>
      </c>
      <c r="AG144" s="1667"/>
      <c r="AH144" s="1675">
        <v>1.5</v>
      </c>
      <c r="AI144" s="1673">
        <f t="shared" ref="AI144:AI145" si="240">+AE144+AG144</f>
        <v>0</v>
      </c>
      <c r="AJ144" s="1673">
        <f t="shared" si="218"/>
        <v>18.399999999999999</v>
      </c>
      <c r="AK144" s="1667"/>
      <c r="AL144" s="1675">
        <v>2.5</v>
      </c>
      <c r="AM144" s="1674">
        <f>AC144+AG144+AK144</f>
        <v>0</v>
      </c>
      <c r="AN144" s="1674">
        <f t="shared" si="219"/>
        <v>7</v>
      </c>
      <c r="AO144" s="1673">
        <f t="shared" ref="AO144:AO145" si="241">+AI144+AK144</f>
        <v>0</v>
      </c>
      <c r="AP144" s="1673">
        <f t="shared" si="220"/>
        <v>20.9</v>
      </c>
      <c r="AQ144" s="1667"/>
      <c r="AR144" s="1675">
        <v>3</v>
      </c>
      <c r="AS144" s="1673">
        <f t="shared" si="223"/>
        <v>0</v>
      </c>
      <c r="AT144" s="1673">
        <f t="shared" si="223"/>
        <v>23.9</v>
      </c>
      <c r="AU144" s="1667"/>
      <c r="AV144" s="1675">
        <v>3</v>
      </c>
      <c r="AW144" s="1673">
        <f t="shared" si="224"/>
        <v>0</v>
      </c>
      <c r="AX144" s="1673">
        <f t="shared" si="224"/>
        <v>26.9</v>
      </c>
      <c r="AY144" s="1667"/>
      <c r="AZ144" s="4044">
        <v>1.4</v>
      </c>
      <c r="BA144" s="1674">
        <f>AQ144+AU144+AY144</f>
        <v>0</v>
      </c>
      <c r="BB144" s="1674">
        <f t="shared" ref="BB144:BB145" si="242">AR144+AV144+AZ144</f>
        <v>7.4</v>
      </c>
      <c r="BC144" s="1820">
        <f>+AM144+BA144</f>
        <v>0</v>
      </c>
      <c r="BD144" s="1820">
        <f>+AN144+BB144</f>
        <v>14.4</v>
      </c>
      <c r="BE144" s="1673">
        <f t="shared" ref="BE144:BF145" si="243">+AW144+AY144</f>
        <v>0</v>
      </c>
      <c r="BF144" s="1673">
        <f t="shared" si="243"/>
        <v>28.299999999999997</v>
      </c>
    </row>
    <row r="145" spans="2:58" x14ac:dyDescent="0.25">
      <c r="B145" s="5170"/>
      <c r="C145" s="1394" t="s">
        <v>1458</v>
      </c>
      <c r="D145" s="421"/>
      <c r="E145" s="421"/>
      <c r="F145" s="4614">
        <v>7757</v>
      </c>
      <c r="G145" s="421"/>
      <c r="H145" s="4614">
        <v>9303</v>
      </c>
      <c r="I145" s="1673"/>
      <c r="J145" s="1673">
        <f t="shared" si="213"/>
        <v>17060</v>
      </c>
      <c r="K145" s="421"/>
      <c r="L145" s="4614">
        <v>9449</v>
      </c>
      <c r="M145" s="1674">
        <f t="shared" si="228"/>
        <v>0</v>
      </c>
      <c r="N145" s="1674">
        <f t="shared" si="228"/>
        <v>26509</v>
      </c>
      <c r="O145" s="421"/>
      <c r="P145" s="4614">
        <v>11869</v>
      </c>
      <c r="Q145" s="1673">
        <f t="shared" si="229"/>
        <v>0</v>
      </c>
      <c r="R145" s="1673">
        <f t="shared" si="229"/>
        <v>38378</v>
      </c>
      <c r="S145" s="421"/>
      <c r="T145" s="4614">
        <v>7721</v>
      </c>
      <c r="U145" s="1673">
        <f t="shared" si="237"/>
        <v>0</v>
      </c>
      <c r="V145" s="1673">
        <f t="shared" si="214"/>
        <v>46099</v>
      </c>
      <c r="W145" s="421"/>
      <c r="X145" s="4614">
        <v>7603</v>
      </c>
      <c r="Y145" s="1674">
        <f>O145+S145+W145</f>
        <v>0</v>
      </c>
      <c r="Z145" s="1674">
        <f t="shared" si="215"/>
        <v>27193</v>
      </c>
      <c r="AA145" s="1820">
        <f t="shared" si="238"/>
        <v>0</v>
      </c>
      <c r="AB145" s="1820">
        <f t="shared" si="216"/>
        <v>53702</v>
      </c>
      <c r="AC145" s="421"/>
      <c r="AD145" s="4614">
        <v>11569</v>
      </c>
      <c r="AE145" s="1673">
        <f t="shared" si="239"/>
        <v>0</v>
      </c>
      <c r="AF145" s="1673">
        <f t="shared" si="217"/>
        <v>65271</v>
      </c>
      <c r="AG145" s="421"/>
      <c r="AH145" s="4614">
        <v>5954</v>
      </c>
      <c r="AI145" s="1673">
        <f t="shared" si="240"/>
        <v>0</v>
      </c>
      <c r="AJ145" s="1673">
        <f t="shared" si="218"/>
        <v>71225</v>
      </c>
      <c r="AK145" s="421"/>
      <c r="AL145" s="4614">
        <v>9682</v>
      </c>
      <c r="AM145" s="1674">
        <f>AC145+AG145+AK145</f>
        <v>0</v>
      </c>
      <c r="AN145" s="1674">
        <f t="shared" si="219"/>
        <v>27205</v>
      </c>
      <c r="AO145" s="1673">
        <f t="shared" si="241"/>
        <v>0</v>
      </c>
      <c r="AP145" s="1673">
        <f t="shared" si="220"/>
        <v>80907</v>
      </c>
      <c r="AQ145" s="421"/>
      <c r="AR145" s="4614">
        <v>11511</v>
      </c>
      <c r="AS145" s="1673">
        <f t="shared" si="223"/>
        <v>0</v>
      </c>
      <c r="AT145" s="1673">
        <f t="shared" si="223"/>
        <v>92418</v>
      </c>
      <c r="AU145" s="421"/>
      <c r="AV145" s="4614">
        <v>11461</v>
      </c>
      <c r="AW145" s="1673">
        <f t="shared" si="224"/>
        <v>0</v>
      </c>
      <c r="AX145" s="1673">
        <f t="shared" si="224"/>
        <v>103879</v>
      </c>
      <c r="AY145" s="421"/>
      <c r="AZ145" s="979">
        <v>5404</v>
      </c>
      <c r="BA145" s="1674">
        <f>AQ145+AU145+AY145</f>
        <v>0</v>
      </c>
      <c r="BB145" s="1674">
        <f t="shared" si="242"/>
        <v>28376</v>
      </c>
      <c r="BC145" s="1820">
        <f>+AM145+BA145</f>
        <v>0</v>
      </c>
      <c r="BD145" s="1820">
        <f>+AN145+BB145</f>
        <v>55581</v>
      </c>
      <c r="BE145" s="1673">
        <f t="shared" si="243"/>
        <v>0</v>
      </c>
      <c r="BF145" s="1673">
        <f t="shared" si="243"/>
        <v>109283</v>
      </c>
    </row>
    <row r="146" spans="2:58" s="334" customFormat="1" x14ac:dyDescent="0.25">
      <c r="B146" s="5170"/>
      <c r="C146" s="1081" t="s">
        <v>1402</v>
      </c>
      <c r="D146" s="1081"/>
      <c r="E146" s="1081"/>
      <c r="F146" s="979"/>
      <c r="G146" s="1081"/>
      <c r="H146" s="979"/>
      <c r="I146" s="3843"/>
      <c r="J146" s="3843"/>
      <c r="K146" s="1081"/>
      <c r="L146" s="979"/>
      <c r="M146" s="3843"/>
      <c r="N146" s="3843"/>
      <c r="O146" s="1081"/>
      <c r="P146" s="979"/>
      <c r="Q146" s="3843"/>
      <c r="R146" s="3843"/>
      <c r="S146" s="1081"/>
      <c r="T146" s="979"/>
      <c r="U146" s="3843"/>
      <c r="V146" s="3843"/>
      <c r="W146" s="1081"/>
      <c r="X146" s="979"/>
      <c r="Y146" s="3843"/>
      <c r="Z146" s="3843"/>
      <c r="AA146" s="3843"/>
      <c r="AB146" s="3843"/>
      <c r="AC146" s="1081"/>
      <c r="AD146" s="979"/>
      <c r="AE146" s="3843"/>
      <c r="AF146" s="3843"/>
      <c r="AG146" s="1081"/>
      <c r="AH146" s="979"/>
      <c r="AI146" s="3843"/>
      <c r="AJ146" s="3843"/>
      <c r="AK146" s="1081"/>
      <c r="AL146" s="979"/>
      <c r="AM146" s="3843"/>
      <c r="AN146" s="3843"/>
      <c r="AO146" s="3843"/>
      <c r="AP146" s="3843"/>
      <c r="AQ146" s="1081"/>
      <c r="AR146" s="979"/>
      <c r="AS146" s="3843"/>
      <c r="AT146" s="3843"/>
      <c r="AU146" s="1081"/>
      <c r="AV146" s="979"/>
      <c r="AW146" s="3843"/>
      <c r="AX146" s="3843"/>
      <c r="AY146" s="1081"/>
      <c r="AZ146" s="979"/>
      <c r="BA146" s="3843"/>
      <c r="BB146" s="3843"/>
      <c r="BC146" s="3843"/>
      <c r="BD146" s="3843"/>
      <c r="BE146" s="3843"/>
      <c r="BF146" s="3843"/>
    </row>
    <row r="147" spans="2:58" x14ac:dyDescent="0.25">
      <c r="B147" s="5170"/>
      <c r="C147" s="1394" t="s">
        <v>1457</v>
      </c>
      <c r="D147" s="421"/>
      <c r="E147" s="421"/>
      <c r="F147" s="1675">
        <v>0</v>
      </c>
      <c r="G147" s="421"/>
      <c r="H147" s="1675">
        <v>0</v>
      </c>
      <c r="I147" s="1673"/>
      <c r="J147" s="1673">
        <f t="shared" si="213"/>
        <v>0</v>
      </c>
      <c r="K147" s="421"/>
      <c r="L147" s="1675">
        <v>1.5</v>
      </c>
      <c r="M147" s="1674">
        <f t="shared" si="228"/>
        <v>0</v>
      </c>
      <c r="N147" s="1674">
        <f t="shared" si="228"/>
        <v>1.5</v>
      </c>
      <c r="O147" s="421"/>
      <c r="P147" s="1675">
        <v>4</v>
      </c>
      <c r="Q147" s="1673">
        <f t="shared" si="229"/>
        <v>0</v>
      </c>
      <c r="R147" s="1673">
        <f t="shared" si="229"/>
        <v>5.5</v>
      </c>
      <c r="S147" s="421"/>
      <c r="T147" s="1675">
        <v>0</v>
      </c>
      <c r="U147" s="1673">
        <f t="shared" ref="U147:U148" si="244">+Q147+S147</f>
        <v>0</v>
      </c>
      <c r="V147" s="1673">
        <f t="shared" si="214"/>
        <v>5.5</v>
      </c>
      <c r="W147" s="421"/>
      <c r="X147" s="1675">
        <v>3</v>
      </c>
      <c r="Y147" s="1674">
        <f>O147+S147+W147</f>
        <v>0</v>
      </c>
      <c r="Z147" s="1674">
        <f t="shared" si="215"/>
        <v>7</v>
      </c>
      <c r="AA147" s="1820">
        <f t="shared" ref="AA147:AA148" si="245">+M147+Y147</f>
        <v>0</v>
      </c>
      <c r="AB147" s="1820">
        <f t="shared" si="216"/>
        <v>8.5</v>
      </c>
      <c r="AC147" s="421"/>
      <c r="AD147" s="1675">
        <v>2</v>
      </c>
      <c r="AE147" s="1673">
        <f t="shared" ref="AE147:AE148" si="246">+AA147+AC147</f>
        <v>0</v>
      </c>
      <c r="AF147" s="1673">
        <f t="shared" si="217"/>
        <v>10.5</v>
      </c>
      <c r="AG147" s="421"/>
      <c r="AH147" s="1675">
        <v>2</v>
      </c>
      <c r="AI147" s="1673">
        <f t="shared" ref="AI147:AI148" si="247">+AE147+AG147</f>
        <v>0</v>
      </c>
      <c r="AJ147" s="1673">
        <f t="shared" si="218"/>
        <v>12.5</v>
      </c>
      <c r="AK147" s="421"/>
      <c r="AL147" s="1675">
        <v>3.5</v>
      </c>
      <c r="AM147" s="1674">
        <f>AC147+AG147+AK147</f>
        <v>0</v>
      </c>
      <c r="AN147" s="1674">
        <f t="shared" si="219"/>
        <v>7.5</v>
      </c>
      <c r="AO147" s="1673">
        <f t="shared" ref="AO147:AO148" si="248">+AI147+AK147</f>
        <v>0</v>
      </c>
      <c r="AP147" s="1673">
        <f t="shared" si="220"/>
        <v>16</v>
      </c>
      <c r="AQ147" s="421"/>
      <c r="AR147" s="1675">
        <v>2.5</v>
      </c>
      <c r="AS147" s="1673">
        <f t="shared" si="223"/>
        <v>0</v>
      </c>
      <c r="AT147" s="1673">
        <f t="shared" si="223"/>
        <v>18.5</v>
      </c>
      <c r="AU147" s="421"/>
      <c r="AV147" s="1675">
        <v>0</v>
      </c>
      <c r="AW147" s="1673">
        <f t="shared" si="224"/>
        <v>0</v>
      </c>
      <c r="AX147" s="1673">
        <f t="shared" si="224"/>
        <v>18.5</v>
      </c>
      <c r="AY147" s="421"/>
      <c r="AZ147" s="4044">
        <v>3</v>
      </c>
      <c r="BA147" s="1674">
        <f>AQ147+AU147+AY147</f>
        <v>0</v>
      </c>
      <c r="BB147" s="1674">
        <f t="shared" ref="BB147:BB148" si="249">AR147+AV147+AZ147</f>
        <v>5.5</v>
      </c>
      <c r="BC147" s="1820">
        <f>+AM147+BA147</f>
        <v>0</v>
      </c>
      <c r="BD147" s="1820">
        <f>+AN147+BB147</f>
        <v>13</v>
      </c>
      <c r="BE147" s="1673">
        <f t="shared" ref="BE147:BF148" si="250">+AW147+AY147</f>
        <v>0</v>
      </c>
      <c r="BF147" s="1673">
        <f t="shared" si="250"/>
        <v>21.5</v>
      </c>
    </row>
    <row r="148" spans="2:58" x14ac:dyDescent="0.25">
      <c r="B148" s="5170"/>
      <c r="C148" s="1394" t="s">
        <v>1458</v>
      </c>
      <c r="D148" s="421"/>
      <c r="E148" s="421"/>
      <c r="F148" s="4614">
        <v>0</v>
      </c>
      <c r="G148" s="421"/>
      <c r="H148" s="4614">
        <v>0</v>
      </c>
      <c r="I148" s="1673"/>
      <c r="J148" s="1673">
        <f t="shared" si="213"/>
        <v>0</v>
      </c>
      <c r="K148" s="421"/>
      <c r="L148" s="4614">
        <v>5795</v>
      </c>
      <c r="M148" s="1674">
        <f t="shared" si="228"/>
        <v>0</v>
      </c>
      <c r="N148" s="1674">
        <f t="shared" si="228"/>
        <v>5795</v>
      </c>
      <c r="O148" s="421"/>
      <c r="P148" s="4614">
        <v>14962</v>
      </c>
      <c r="Q148" s="1673">
        <f t="shared" si="229"/>
        <v>0</v>
      </c>
      <c r="R148" s="1673">
        <f t="shared" si="229"/>
        <v>20757</v>
      </c>
      <c r="S148" s="421"/>
      <c r="T148" s="4614">
        <v>0</v>
      </c>
      <c r="U148" s="1673">
        <f t="shared" si="244"/>
        <v>0</v>
      </c>
      <c r="V148" s="1673">
        <f t="shared" si="214"/>
        <v>20757</v>
      </c>
      <c r="W148" s="421"/>
      <c r="X148" s="4614">
        <v>11536</v>
      </c>
      <c r="Y148" s="1674">
        <f>O148+S148+W148</f>
        <v>0</v>
      </c>
      <c r="Z148" s="1674">
        <f t="shared" si="215"/>
        <v>26498</v>
      </c>
      <c r="AA148" s="1820">
        <f t="shared" si="245"/>
        <v>0</v>
      </c>
      <c r="AB148" s="1820">
        <f t="shared" si="216"/>
        <v>32293</v>
      </c>
      <c r="AC148" s="421"/>
      <c r="AD148" s="4614">
        <v>7733</v>
      </c>
      <c r="AE148" s="1673">
        <f t="shared" si="246"/>
        <v>0</v>
      </c>
      <c r="AF148" s="1673">
        <f t="shared" si="217"/>
        <v>40026</v>
      </c>
      <c r="AG148" s="421"/>
      <c r="AH148" s="4614">
        <v>7522</v>
      </c>
      <c r="AI148" s="1673">
        <f t="shared" si="247"/>
        <v>0</v>
      </c>
      <c r="AJ148" s="1673">
        <f t="shared" si="218"/>
        <v>47548</v>
      </c>
      <c r="AK148" s="421"/>
      <c r="AL148" s="4614">
        <v>13375</v>
      </c>
      <c r="AM148" s="1674">
        <f>AC148+AG148+AK148</f>
        <v>0</v>
      </c>
      <c r="AN148" s="1674">
        <f t="shared" si="219"/>
        <v>28630</v>
      </c>
      <c r="AO148" s="1673">
        <f t="shared" si="248"/>
        <v>0</v>
      </c>
      <c r="AP148" s="1673">
        <f t="shared" si="220"/>
        <v>60923</v>
      </c>
      <c r="AQ148" s="421"/>
      <c r="AR148" s="4614">
        <v>9733</v>
      </c>
      <c r="AS148" s="1673">
        <f t="shared" si="223"/>
        <v>0</v>
      </c>
      <c r="AT148" s="1673">
        <f t="shared" si="223"/>
        <v>70656</v>
      </c>
      <c r="AU148" s="421"/>
      <c r="AV148" s="4614">
        <v>0</v>
      </c>
      <c r="AW148" s="1673">
        <f t="shared" si="224"/>
        <v>0</v>
      </c>
      <c r="AX148" s="1673">
        <f t="shared" si="224"/>
        <v>70656</v>
      </c>
      <c r="AY148" s="421"/>
      <c r="AZ148" s="979">
        <v>11621</v>
      </c>
      <c r="BA148" s="1674">
        <f>AQ148+AU148+AY148</f>
        <v>0</v>
      </c>
      <c r="BB148" s="1674">
        <f t="shared" si="249"/>
        <v>21354</v>
      </c>
      <c r="BC148" s="1820">
        <f>+AM148+BA148</f>
        <v>0</v>
      </c>
      <c r="BD148" s="1820">
        <f>+AN148+BB148</f>
        <v>49984</v>
      </c>
      <c r="BE148" s="1673">
        <f t="shared" si="250"/>
        <v>0</v>
      </c>
      <c r="BF148" s="1673">
        <f t="shared" si="250"/>
        <v>82277</v>
      </c>
    </row>
    <row r="149" spans="2:58" s="334" customFormat="1" x14ac:dyDescent="0.25">
      <c r="B149" s="5170"/>
      <c r="C149" s="1081" t="s">
        <v>1479</v>
      </c>
      <c r="D149" s="1081"/>
      <c r="E149" s="1081"/>
      <c r="F149" s="979"/>
      <c r="G149" s="1081"/>
      <c r="H149" s="979"/>
      <c r="I149" s="3843"/>
      <c r="J149" s="3843"/>
      <c r="K149" s="1081"/>
      <c r="L149" s="979"/>
      <c r="M149" s="3843"/>
      <c r="N149" s="3843"/>
      <c r="O149" s="1081"/>
      <c r="P149" s="979"/>
      <c r="Q149" s="3843"/>
      <c r="R149" s="3843"/>
      <c r="S149" s="1081"/>
      <c r="T149" s="979"/>
      <c r="U149" s="3843"/>
      <c r="V149" s="3843"/>
      <c r="W149" s="1081"/>
      <c r="X149" s="979"/>
      <c r="Y149" s="3843"/>
      <c r="Z149" s="3843"/>
      <c r="AA149" s="3843"/>
      <c r="AB149" s="3843"/>
      <c r="AC149" s="1081"/>
      <c r="AD149" s="979"/>
      <c r="AE149" s="3843"/>
      <c r="AF149" s="3843"/>
      <c r="AG149" s="1081"/>
      <c r="AH149" s="979"/>
      <c r="AI149" s="3843"/>
      <c r="AJ149" s="3843"/>
      <c r="AK149" s="1081"/>
      <c r="AL149" s="979"/>
      <c r="AM149" s="3843"/>
      <c r="AN149" s="3843"/>
      <c r="AO149" s="3843"/>
      <c r="AP149" s="3843"/>
      <c r="AQ149" s="1081"/>
      <c r="AR149" s="979"/>
      <c r="AS149" s="3843"/>
      <c r="AT149" s="3843"/>
      <c r="AU149" s="1081"/>
      <c r="AV149" s="979"/>
      <c r="AW149" s="3843"/>
      <c r="AX149" s="3843"/>
      <c r="AY149" s="1081"/>
      <c r="AZ149" s="979"/>
      <c r="BA149" s="3843"/>
      <c r="BB149" s="3843"/>
      <c r="BC149" s="3843"/>
      <c r="BD149" s="3843"/>
      <c r="BE149" s="3843"/>
      <c r="BF149" s="3843"/>
    </row>
    <row r="150" spans="2:58" x14ac:dyDescent="0.25">
      <c r="B150" s="5170"/>
      <c r="C150" s="1394" t="s">
        <v>1457</v>
      </c>
      <c r="D150" s="421"/>
      <c r="E150" s="421"/>
      <c r="F150" s="1675">
        <v>3</v>
      </c>
      <c r="G150" s="421"/>
      <c r="H150" s="1675">
        <v>3</v>
      </c>
      <c r="I150" s="1673"/>
      <c r="J150" s="1673">
        <f t="shared" si="213"/>
        <v>6</v>
      </c>
      <c r="K150" s="421"/>
      <c r="L150" s="1675">
        <v>1</v>
      </c>
      <c r="M150" s="1674">
        <f t="shared" si="228"/>
        <v>0</v>
      </c>
      <c r="N150" s="1674">
        <f t="shared" si="228"/>
        <v>7</v>
      </c>
      <c r="O150" s="421"/>
      <c r="P150" s="1675">
        <v>4</v>
      </c>
      <c r="Q150" s="1673">
        <f t="shared" si="229"/>
        <v>0</v>
      </c>
      <c r="R150" s="1673">
        <f t="shared" si="229"/>
        <v>11</v>
      </c>
      <c r="S150" s="421"/>
      <c r="T150" s="1675">
        <v>3.5</v>
      </c>
      <c r="U150" s="1673">
        <f t="shared" ref="U150:V165" si="251">+Q150+S150</f>
        <v>0</v>
      </c>
      <c r="V150" s="1673">
        <f t="shared" si="214"/>
        <v>14.5</v>
      </c>
      <c r="W150" s="421"/>
      <c r="X150" s="1675">
        <f>3</f>
        <v>3</v>
      </c>
      <c r="Y150" s="1674">
        <f>O150+S150+W150</f>
        <v>0</v>
      </c>
      <c r="Z150" s="1674">
        <f t="shared" si="215"/>
        <v>10.5</v>
      </c>
      <c r="AA150" s="1820">
        <f t="shared" ref="AA150:AB165" si="252">+M150+Y150</f>
        <v>0</v>
      </c>
      <c r="AB150" s="1820">
        <f t="shared" si="216"/>
        <v>17.5</v>
      </c>
      <c r="AC150" s="421"/>
      <c r="AD150" s="1675">
        <v>3</v>
      </c>
      <c r="AE150" s="1673">
        <f t="shared" ref="AE150:AF165" si="253">+AA150+AC150</f>
        <v>0</v>
      </c>
      <c r="AF150" s="1673">
        <f t="shared" si="217"/>
        <v>20.5</v>
      </c>
      <c r="AG150" s="421"/>
      <c r="AH150" s="1675">
        <v>2</v>
      </c>
      <c r="AI150" s="1673">
        <f t="shared" ref="AI150:AJ165" si="254">+AE150+AG150</f>
        <v>0</v>
      </c>
      <c r="AJ150" s="1673">
        <f t="shared" si="218"/>
        <v>22.5</v>
      </c>
      <c r="AK150" s="421"/>
      <c r="AL150" s="1675">
        <v>3.5</v>
      </c>
      <c r="AM150" s="1674">
        <f>AC150+AG150+AK150</f>
        <v>0</v>
      </c>
      <c r="AN150" s="1674">
        <f t="shared" si="219"/>
        <v>8.5</v>
      </c>
      <c r="AO150" s="1673">
        <f t="shared" ref="AO150:AP165" si="255">+AI150+AK150</f>
        <v>0</v>
      </c>
      <c r="AP150" s="1673">
        <f t="shared" si="220"/>
        <v>26</v>
      </c>
      <c r="AQ150" s="421"/>
      <c r="AR150" s="1675">
        <v>2</v>
      </c>
      <c r="AS150" s="1673">
        <f t="shared" si="223"/>
        <v>0</v>
      </c>
      <c r="AT150" s="1673">
        <f t="shared" si="223"/>
        <v>28</v>
      </c>
      <c r="AU150" s="421"/>
      <c r="AV150" s="1675">
        <v>2</v>
      </c>
      <c r="AW150" s="1673">
        <f t="shared" si="224"/>
        <v>0</v>
      </c>
      <c r="AX150" s="1673">
        <f t="shared" si="224"/>
        <v>30</v>
      </c>
      <c r="AY150" s="421"/>
      <c r="AZ150" s="4044">
        <v>2</v>
      </c>
      <c r="BA150" s="1674">
        <f>AQ150+AU150+AY150</f>
        <v>0</v>
      </c>
      <c r="BB150" s="1674">
        <f t="shared" ref="BB150:BB151" si="256">AR150+AV150+AZ150</f>
        <v>6</v>
      </c>
      <c r="BC150" s="1820">
        <f>+AM150+BA150</f>
        <v>0</v>
      </c>
      <c r="BD150" s="1820">
        <f>+AN150+BB150</f>
        <v>14.5</v>
      </c>
      <c r="BE150" s="1673">
        <f t="shared" ref="BE150:BF151" si="257">+AW150+AY150</f>
        <v>0</v>
      </c>
      <c r="BF150" s="1673">
        <f t="shared" si="257"/>
        <v>32</v>
      </c>
    </row>
    <row r="151" spans="2:58" x14ac:dyDescent="0.25">
      <c r="B151" s="5170"/>
      <c r="C151" s="1394" t="s">
        <v>1458</v>
      </c>
      <c r="D151" s="421"/>
      <c r="E151" s="421"/>
      <c r="F151" s="4614">
        <v>11444</v>
      </c>
      <c r="G151" s="421"/>
      <c r="H151" s="4614">
        <v>11030</v>
      </c>
      <c r="I151" s="1673"/>
      <c r="J151" s="1673">
        <f t="shared" si="213"/>
        <v>22474</v>
      </c>
      <c r="K151" s="421"/>
      <c r="L151" s="4614">
        <v>3874</v>
      </c>
      <c r="M151" s="1674">
        <f t="shared" si="228"/>
        <v>0</v>
      </c>
      <c r="N151" s="1674">
        <f t="shared" si="228"/>
        <v>26348</v>
      </c>
      <c r="O151" s="421"/>
      <c r="P151" s="4614">
        <v>14504</v>
      </c>
      <c r="Q151" s="1673">
        <f t="shared" si="229"/>
        <v>0</v>
      </c>
      <c r="R151" s="1673">
        <f t="shared" si="229"/>
        <v>40852</v>
      </c>
      <c r="S151" s="421"/>
      <c r="T151" s="4614">
        <v>13820</v>
      </c>
      <c r="U151" s="1673">
        <f t="shared" si="251"/>
        <v>0</v>
      </c>
      <c r="V151" s="1673">
        <f t="shared" si="251"/>
        <v>54672</v>
      </c>
      <c r="W151" s="421"/>
      <c r="X151" s="4614">
        <f>11377</f>
        <v>11377</v>
      </c>
      <c r="Y151" s="1674">
        <f>O151+S151+W151</f>
        <v>0</v>
      </c>
      <c r="Z151" s="1674">
        <f t="shared" si="215"/>
        <v>39701</v>
      </c>
      <c r="AA151" s="1820">
        <f t="shared" si="252"/>
        <v>0</v>
      </c>
      <c r="AB151" s="1820">
        <f t="shared" si="252"/>
        <v>66049</v>
      </c>
      <c r="AC151" s="421"/>
      <c r="AD151" s="4614">
        <v>11141</v>
      </c>
      <c r="AE151" s="1673">
        <f t="shared" si="253"/>
        <v>0</v>
      </c>
      <c r="AF151" s="1673">
        <f t="shared" si="253"/>
        <v>77190</v>
      </c>
      <c r="AG151" s="421"/>
      <c r="AH151" s="4614">
        <v>7495</v>
      </c>
      <c r="AI151" s="1673">
        <f t="shared" si="254"/>
        <v>0</v>
      </c>
      <c r="AJ151" s="1673">
        <f t="shared" si="254"/>
        <v>84685</v>
      </c>
      <c r="AK151" s="421"/>
      <c r="AL151" s="4614">
        <v>13042</v>
      </c>
      <c r="AM151" s="1674">
        <f>AC151+AG151+AK151</f>
        <v>0</v>
      </c>
      <c r="AN151" s="1674">
        <f t="shared" si="219"/>
        <v>31678</v>
      </c>
      <c r="AO151" s="1673">
        <f t="shared" si="255"/>
        <v>0</v>
      </c>
      <c r="AP151" s="1673">
        <f t="shared" si="255"/>
        <v>97727</v>
      </c>
      <c r="AQ151" s="421"/>
      <c r="AR151" s="4614">
        <v>7706</v>
      </c>
      <c r="AS151" s="1673">
        <f t="shared" si="223"/>
        <v>0</v>
      </c>
      <c r="AT151" s="1673">
        <f t="shared" si="223"/>
        <v>105433</v>
      </c>
      <c r="AU151" s="421"/>
      <c r="AV151" s="4614">
        <v>7577</v>
      </c>
      <c r="AW151" s="1673">
        <f t="shared" si="224"/>
        <v>0</v>
      </c>
      <c r="AX151" s="1673">
        <f t="shared" si="224"/>
        <v>113010</v>
      </c>
      <c r="AY151" s="421"/>
      <c r="AZ151" s="979">
        <v>7685</v>
      </c>
      <c r="BA151" s="1674">
        <f>AQ151+AU151+AY151</f>
        <v>0</v>
      </c>
      <c r="BB151" s="1674">
        <f t="shared" si="256"/>
        <v>22968</v>
      </c>
      <c r="BC151" s="1820">
        <f>+AM151+BA151</f>
        <v>0</v>
      </c>
      <c r="BD151" s="1820">
        <f>+AN151+BB151</f>
        <v>54646</v>
      </c>
      <c r="BE151" s="1673">
        <f t="shared" si="257"/>
        <v>0</v>
      </c>
      <c r="BF151" s="1673">
        <f t="shared" si="257"/>
        <v>120695</v>
      </c>
    </row>
    <row r="152" spans="2:58" s="334" customFormat="1" x14ac:dyDescent="0.25">
      <c r="B152" s="5170"/>
      <c r="C152" s="1081" t="s">
        <v>1480</v>
      </c>
      <c r="D152" s="1081"/>
      <c r="E152" s="1081"/>
      <c r="F152" s="979"/>
      <c r="G152" s="1081"/>
      <c r="H152" s="979"/>
      <c r="I152" s="3843"/>
      <c r="J152" s="3843"/>
      <c r="K152" s="1081"/>
      <c r="L152" s="979"/>
      <c r="M152" s="3843"/>
      <c r="N152" s="3843"/>
      <c r="O152" s="1081"/>
      <c r="P152" s="979"/>
      <c r="Q152" s="3843"/>
      <c r="R152" s="3843"/>
      <c r="S152" s="1081"/>
      <c r="T152" s="979"/>
      <c r="U152" s="3843"/>
      <c r="V152" s="3843"/>
      <c r="W152" s="1081"/>
      <c r="X152" s="979"/>
      <c r="Y152" s="3843"/>
      <c r="Z152" s="3843"/>
      <c r="AA152" s="3843"/>
      <c r="AB152" s="3843"/>
      <c r="AC152" s="1081"/>
      <c r="AD152" s="979"/>
      <c r="AE152" s="3843"/>
      <c r="AF152" s="3843"/>
      <c r="AG152" s="1081"/>
      <c r="AH152" s="979"/>
      <c r="AI152" s="3843"/>
      <c r="AJ152" s="3843"/>
      <c r="AK152" s="1081"/>
      <c r="AL152" s="979"/>
      <c r="AM152" s="3843"/>
      <c r="AN152" s="3843"/>
      <c r="AO152" s="3843"/>
      <c r="AP152" s="3843"/>
      <c r="AQ152" s="1081"/>
      <c r="AR152" s="979"/>
      <c r="AS152" s="3843"/>
      <c r="AT152" s="3843"/>
      <c r="AU152" s="1081"/>
      <c r="AV152" s="979"/>
      <c r="AW152" s="3843"/>
      <c r="AX152" s="3843"/>
      <c r="AY152" s="1081"/>
      <c r="AZ152" s="979"/>
      <c r="BA152" s="3843"/>
      <c r="BB152" s="3843"/>
      <c r="BC152" s="3843"/>
      <c r="BD152" s="3843"/>
      <c r="BE152" s="3843"/>
      <c r="BF152" s="3843"/>
    </row>
    <row r="153" spans="2:58" x14ac:dyDescent="0.25">
      <c r="B153" s="5170"/>
      <c r="C153" s="1394" t="s">
        <v>1457</v>
      </c>
      <c r="D153" s="421"/>
      <c r="E153" s="421"/>
      <c r="F153" s="4614">
        <v>4.5</v>
      </c>
      <c r="G153" s="421"/>
      <c r="H153" s="4614">
        <v>4</v>
      </c>
      <c r="I153" s="1673"/>
      <c r="J153" s="1673">
        <f t="shared" si="213"/>
        <v>8.5</v>
      </c>
      <c r="K153" s="421"/>
      <c r="L153" s="4614">
        <v>7</v>
      </c>
      <c r="M153" s="1674">
        <f t="shared" si="228"/>
        <v>0</v>
      </c>
      <c r="N153" s="1674">
        <f t="shared" si="228"/>
        <v>15.5</v>
      </c>
      <c r="O153" s="421"/>
      <c r="P153" s="4614">
        <v>5.5</v>
      </c>
      <c r="Q153" s="1673">
        <f t="shared" si="229"/>
        <v>0</v>
      </c>
      <c r="R153" s="1673">
        <f t="shared" si="229"/>
        <v>21</v>
      </c>
      <c r="S153" s="421"/>
      <c r="T153" s="4614">
        <v>6.2</v>
      </c>
      <c r="U153" s="1673">
        <f t="shared" ref="U153:U154" si="258">+Q153+S153</f>
        <v>0</v>
      </c>
      <c r="V153" s="1673">
        <f t="shared" si="251"/>
        <v>27.2</v>
      </c>
      <c r="W153" s="421"/>
      <c r="X153" s="4614">
        <v>7</v>
      </c>
      <c r="Y153" s="1674">
        <f>O153+S153+W153</f>
        <v>0</v>
      </c>
      <c r="Z153" s="1674">
        <f t="shared" si="215"/>
        <v>18.7</v>
      </c>
      <c r="AA153" s="1820">
        <f t="shared" ref="AA153:AA154" si="259">+M153+Y153</f>
        <v>0</v>
      </c>
      <c r="AB153" s="1820">
        <f t="shared" si="252"/>
        <v>34.200000000000003</v>
      </c>
      <c r="AC153" s="421"/>
      <c r="AD153" s="4614">
        <v>6.5</v>
      </c>
      <c r="AE153" s="1673">
        <f t="shared" ref="AE153:AE154" si="260">+AA153+AC153</f>
        <v>0</v>
      </c>
      <c r="AF153" s="1673">
        <f t="shared" si="253"/>
        <v>40.700000000000003</v>
      </c>
      <c r="AG153" s="421"/>
      <c r="AH153" s="4614">
        <v>6.6</v>
      </c>
      <c r="AI153" s="1673">
        <f t="shared" ref="AI153:AI154" si="261">+AE153+AG153</f>
        <v>0</v>
      </c>
      <c r="AJ153" s="1673">
        <f t="shared" si="254"/>
        <v>47.300000000000004</v>
      </c>
      <c r="AK153" s="421"/>
      <c r="AL153" s="4614">
        <v>4.5</v>
      </c>
      <c r="AM153" s="1674">
        <f>AC153+AG153+AK153</f>
        <v>0</v>
      </c>
      <c r="AN153" s="1674">
        <f t="shared" si="219"/>
        <v>17.600000000000001</v>
      </c>
      <c r="AO153" s="1673">
        <f t="shared" ref="AO153:AO154" si="262">+AI153+AK153</f>
        <v>0</v>
      </c>
      <c r="AP153" s="1673">
        <f t="shared" si="255"/>
        <v>51.800000000000004</v>
      </c>
      <c r="AQ153" s="421"/>
      <c r="AR153" s="4614">
        <v>3.4</v>
      </c>
      <c r="AS153" s="1673">
        <f t="shared" si="223"/>
        <v>0</v>
      </c>
      <c r="AT153" s="1673">
        <f t="shared" si="223"/>
        <v>55.2</v>
      </c>
      <c r="AU153" s="421"/>
      <c r="AV153" s="4614">
        <v>1</v>
      </c>
      <c r="AW153" s="1673">
        <f t="shared" si="224"/>
        <v>0</v>
      </c>
      <c r="AX153" s="1673">
        <f t="shared" si="224"/>
        <v>56.2</v>
      </c>
      <c r="AY153" s="421"/>
      <c r="AZ153" s="979">
        <v>4</v>
      </c>
      <c r="BA153" s="1674">
        <f>AQ153+AU153+AY153</f>
        <v>0</v>
      </c>
      <c r="BB153" s="1674">
        <f t="shared" ref="BB153:BB154" si="263">AR153+AV153+AZ153</f>
        <v>8.4</v>
      </c>
      <c r="BC153" s="1820">
        <f>+AM153+BA153</f>
        <v>0</v>
      </c>
      <c r="BD153" s="1820">
        <f>+AN153+BB153</f>
        <v>26</v>
      </c>
      <c r="BE153" s="1673">
        <f t="shared" ref="BE153:BF154" si="264">+AW153+AY153</f>
        <v>0</v>
      </c>
      <c r="BF153" s="1673">
        <f t="shared" si="264"/>
        <v>60.2</v>
      </c>
    </row>
    <row r="154" spans="2:58" x14ac:dyDescent="0.25">
      <c r="B154" s="5170"/>
      <c r="C154" s="1394" t="s">
        <v>1458</v>
      </c>
      <c r="D154" s="421"/>
      <c r="E154" s="421"/>
      <c r="F154" s="4614">
        <v>17471</v>
      </c>
      <c r="G154" s="421"/>
      <c r="H154" s="4614">
        <v>15457</v>
      </c>
      <c r="I154" s="1673"/>
      <c r="J154" s="1673">
        <f t="shared" si="213"/>
        <v>32928</v>
      </c>
      <c r="K154" s="421"/>
      <c r="L154" s="4614">
        <v>27157</v>
      </c>
      <c r="M154" s="1674">
        <f t="shared" si="228"/>
        <v>0</v>
      </c>
      <c r="N154" s="1674">
        <f t="shared" si="228"/>
        <v>60085</v>
      </c>
      <c r="O154" s="421"/>
      <c r="P154" s="4614">
        <v>20976</v>
      </c>
      <c r="Q154" s="1673">
        <f t="shared" si="229"/>
        <v>0</v>
      </c>
      <c r="R154" s="1673">
        <f t="shared" si="229"/>
        <v>81061</v>
      </c>
      <c r="S154" s="421"/>
      <c r="T154" s="4614">
        <v>23404</v>
      </c>
      <c r="U154" s="1673">
        <f t="shared" si="258"/>
        <v>0</v>
      </c>
      <c r="V154" s="1673">
        <f t="shared" si="251"/>
        <v>104465</v>
      </c>
      <c r="W154" s="421"/>
      <c r="X154" s="4614">
        <v>27039</v>
      </c>
      <c r="Y154" s="1674">
        <f>O154+S154+W154</f>
        <v>0</v>
      </c>
      <c r="Z154" s="1674">
        <f t="shared" si="215"/>
        <v>71419</v>
      </c>
      <c r="AA154" s="1820">
        <f t="shared" si="259"/>
        <v>0</v>
      </c>
      <c r="AB154" s="1820">
        <f t="shared" si="252"/>
        <v>131504</v>
      </c>
      <c r="AC154" s="421"/>
      <c r="AD154" s="4614">
        <v>24860</v>
      </c>
      <c r="AE154" s="1673">
        <f t="shared" si="260"/>
        <v>0</v>
      </c>
      <c r="AF154" s="1673">
        <f t="shared" si="253"/>
        <v>156364</v>
      </c>
      <c r="AG154" s="421"/>
      <c r="AH154" s="4614">
        <v>25427</v>
      </c>
      <c r="AI154" s="1673">
        <f t="shared" si="261"/>
        <v>0</v>
      </c>
      <c r="AJ154" s="1673">
        <f t="shared" si="254"/>
        <v>181791</v>
      </c>
      <c r="AK154" s="421"/>
      <c r="AL154" s="4614">
        <v>17469</v>
      </c>
      <c r="AM154" s="1674">
        <f>AC154+AG154+AK154</f>
        <v>0</v>
      </c>
      <c r="AN154" s="1674">
        <f t="shared" si="219"/>
        <v>67756</v>
      </c>
      <c r="AO154" s="1673">
        <f t="shared" si="262"/>
        <v>0</v>
      </c>
      <c r="AP154" s="1673">
        <f t="shared" si="255"/>
        <v>199260</v>
      </c>
      <c r="AQ154" s="421"/>
      <c r="AR154" s="4614">
        <v>13524</v>
      </c>
      <c r="AS154" s="1673">
        <f t="shared" si="223"/>
        <v>0</v>
      </c>
      <c r="AT154" s="1673">
        <f t="shared" si="223"/>
        <v>212784</v>
      </c>
      <c r="AU154" s="421"/>
      <c r="AV154" s="4614">
        <v>3929</v>
      </c>
      <c r="AW154" s="1673">
        <f t="shared" si="224"/>
        <v>0</v>
      </c>
      <c r="AX154" s="1673">
        <f t="shared" si="224"/>
        <v>216713</v>
      </c>
      <c r="AY154" s="421"/>
      <c r="AZ154" s="979">
        <v>14619</v>
      </c>
      <c r="BA154" s="1674">
        <f>AQ154+AU154+AY154</f>
        <v>0</v>
      </c>
      <c r="BB154" s="1674">
        <f t="shared" si="263"/>
        <v>32072</v>
      </c>
      <c r="BC154" s="1820">
        <f>+AM154+BA154</f>
        <v>0</v>
      </c>
      <c r="BD154" s="1820">
        <f>+AN154+BB154</f>
        <v>99828</v>
      </c>
      <c r="BE154" s="1673">
        <f t="shared" si="264"/>
        <v>0</v>
      </c>
      <c r="BF154" s="1673">
        <f t="shared" si="264"/>
        <v>231332</v>
      </c>
    </row>
    <row r="155" spans="2:58" s="334" customFormat="1" x14ac:dyDescent="0.25">
      <c r="B155" s="5170"/>
      <c r="C155" s="1081" t="s">
        <v>1481</v>
      </c>
      <c r="D155" s="1081"/>
      <c r="E155" s="1081"/>
      <c r="F155" s="979"/>
      <c r="G155" s="1081"/>
      <c r="H155" s="979"/>
      <c r="I155" s="3843"/>
      <c r="J155" s="3843"/>
      <c r="K155" s="1081"/>
      <c r="L155" s="979"/>
      <c r="M155" s="3843"/>
      <c r="N155" s="3843"/>
      <c r="O155" s="1081"/>
      <c r="P155" s="979"/>
      <c r="Q155" s="3843"/>
      <c r="R155" s="3843"/>
      <c r="S155" s="1081"/>
      <c r="T155" s="979"/>
      <c r="U155" s="3843"/>
      <c r="V155" s="3843"/>
      <c r="W155" s="1081"/>
      <c r="X155" s="979"/>
      <c r="Y155" s="3843"/>
      <c r="Z155" s="3843"/>
      <c r="AA155" s="3843"/>
      <c r="AB155" s="3843"/>
      <c r="AC155" s="1081"/>
      <c r="AD155" s="979"/>
      <c r="AE155" s="3843"/>
      <c r="AF155" s="3843"/>
      <c r="AG155" s="1081"/>
      <c r="AH155" s="979"/>
      <c r="AI155" s="3843"/>
      <c r="AJ155" s="3843"/>
      <c r="AK155" s="1081"/>
      <c r="AL155" s="979"/>
      <c r="AM155" s="3843"/>
      <c r="AN155" s="3843"/>
      <c r="AO155" s="3843"/>
      <c r="AP155" s="3843"/>
      <c r="AQ155" s="1081"/>
      <c r="AR155" s="979"/>
      <c r="AS155" s="3843"/>
      <c r="AT155" s="3843"/>
      <c r="AU155" s="1081"/>
      <c r="AV155" s="979"/>
      <c r="AW155" s="3843"/>
      <c r="AX155" s="3843"/>
      <c r="AY155" s="1081"/>
      <c r="AZ155" s="979"/>
      <c r="BA155" s="3843"/>
      <c r="BB155" s="3843"/>
      <c r="BC155" s="3843"/>
      <c r="BD155" s="3843"/>
      <c r="BE155" s="3843"/>
      <c r="BF155" s="3843"/>
    </row>
    <row r="156" spans="2:58" x14ac:dyDescent="0.25">
      <c r="B156" s="5170"/>
      <c r="C156" s="1394" t="s">
        <v>1457</v>
      </c>
      <c r="D156" s="421"/>
      <c r="E156" s="421"/>
      <c r="F156" s="1675">
        <v>1</v>
      </c>
      <c r="G156" s="421"/>
      <c r="H156" s="1675">
        <v>2</v>
      </c>
      <c r="I156" s="1673"/>
      <c r="J156" s="1673">
        <f t="shared" si="213"/>
        <v>3</v>
      </c>
      <c r="K156" s="421"/>
      <c r="L156" s="1675">
        <v>1</v>
      </c>
      <c r="M156" s="1674">
        <f t="shared" si="228"/>
        <v>0</v>
      </c>
      <c r="N156" s="1674">
        <f t="shared" si="228"/>
        <v>4</v>
      </c>
      <c r="O156" s="421"/>
      <c r="P156" s="1675">
        <v>2</v>
      </c>
      <c r="Q156" s="1673">
        <f t="shared" si="229"/>
        <v>0</v>
      </c>
      <c r="R156" s="1673">
        <f t="shared" si="229"/>
        <v>6</v>
      </c>
      <c r="S156" s="421"/>
      <c r="T156" s="1675">
        <v>1</v>
      </c>
      <c r="U156" s="1673">
        <f t="shared" ref="U156:U157" si="265">+Q156+S156</f>
        <v>0</v>
      </c>
      <c r="V156" s="1673">
        <f t="shared" si="251"/>
        <v>7</v>
      </c>
      <c r="W156" s="421"/>
      <c r="X156" s="1675">
        <v>0</v>
      </c>
      <c r="Y156" s="1674">
        <f>O156+S156+W156</f>
        <v>0</v>
      </c>
      <c r="Z156" s="1674">
        <f t="shared" si="215"/>
        <v>3</v>
      </c>
      <c r="AA156" s="1820">
        <f t="shared" ref="AA156:AA157" si="266">+M156+Y156</f>
        <v>0</v>
      </c>
      <c r="AB156" s="1820">
        <f t="shared" si="252"/>
        <v>7</v>
      </c>
      <c r="AC156" s="421"/>
      <c r="AD156" s="1675">
        <v>0</v>
      </c>
      <c r="AE156" s="1673">
        <f t="shared" ref="AE156:AE157" si="267">+AA156+AC156</f>
        <v>0</v>
      </c>
      <c r="AF156" s="1673">
        <f t="shared" si="253"/>
        <v>7</v>
      </c>
      <c r="AG156" s="421"/>
      <c r="AH156" s="1675">
        <v>2.5</v>
      </c>
      <c r="AI156" s="1673">
        <f t="shared" ref="AI156:AI157" si="268">+AE156+AG156</f>
        <v>0</v>
      </c>
      <c r="AJ156" s="1673">
        <f t="shared" si="254"/>
        <v>9.5</v>
      </c>
      <c r="AK156" s="421"/>
      <c r="AL156" s="1675">
        <v>2</v>
      </c>
      <c r="AM156" s="1674">
        <f>AC156+AG156+AK156</f>
        <v>0</v>
      </c>
      <c r="AN156" s="1674">
        <f t="shared" si="219"/>
        <v>4.5</v>
      </c>
      <c r="AO156" s="1673">
        <f t="shared" ref="AO156:AO157" si="269">+AI156+AK156</f>
        <v>0</v>
      </c>
      <c r="AP156" s="1673">
        <f t="shared" si="255"/>
        <v>11.5</v>
      </c>
      <c r="AQ156" s="421"/>
      <c r="AR156" s="1675">
        <v>2</v>
      </c>
      <c r="AS156" s="1673">
        <f t="shared" si="223"/>
        <v>0</v>
      </c>
      <c r="AT156" s="1673">
        <f t="shared" si="223"/>
        <v>13.5</v>
      </c>
      <c r="AU156" s="421"/>
      <c r="AV156" s="1675">
        <v>3.5</v>
      </c>
      <c r="AW156" s="1673">
        <f t="shared" si="224"/>
        <v>0</v>
      </c>
      <c r="AX156" s="1673">
        <f t="shared" si="224"/>
        <v>17</v>
      </c>
      <c r="AY156" s="421"/>
      <c r="AZ156" s="4044">
        <v>2</v>
      </c>
      <c r="BA156" s="1674">
        <f>AQ156+AU156+AY156</f>
        <v>0</v>
      </c>
      <c r="BB156" s="1674">
        <f t="shared" ref="BB156:BB157" si="270">AR156+AV156+AZ156</f>
        <v>7.5</v>
      </c>
      <c r="BC156" s="1820">
        <f>+AM156+BA156</f>
        <v>0</v>
      </c>
      <c r="BD156" s="1820">
        <f>+AN156+BB156</f>
        <v>12</v>
      </c>
      <c r="BE156" s="1673">
        <f t="shared" ref="BE156:BF157" si="271">+AW156+AY156</f>
        <v>0</v>
      </c>
      <c r="BF156" s="1673">
        <f t="shared" si="271"/>
        <v>19</v>
      </c>
    </row>
    <row r="157" spans="2:58" x14ac:dyDescent="0.25">
      <c r="B157" s="5170"/>
      <c r="C157" s="1394" t="s">
        <v>1458</v>
      </c>
      <c r="D157" s="421"/>
      <c r="E157" s="421"/>
      <c r="F157" s="4614">
        <v>3964</v>
      </c>
      <c r="G157" s="421"/>
      <c r="H157" s="4614">
        <v>7707</v>
      </c>
      <c r="I157" s="1673"/>
      <c r="J157" s="1673">
        <f t="shared" si="213"/>
        <v>11671</v>
      </c>
      <c r="K157" s="421"/>
      <c r="L157" s="4614">
        <v>3972</v>
      </c>
      <c r="M157" s="1674">
        <f t="shared" si="228"/>
        <v>0</v>
      </c>
      <c r="N157" s="1674">
        <f t="shared" si="228"/>
        <v>15643</v>
      </c>
      <c r="O157" s="421"/>
      <c r="P157" s="4614">
        <v>7651</v>
      </c>
      <c r="Q157" s="1673">
        <f t="shared" si="229"/>
        <v>0</v>
      </c>
      <c r="R157" s="1673">
        <f t="shared" si="229"/>
        <v>23294</v>
      </c>
      <c r="S157" s="421"/>
      <c r="T157" s="4614">
        <v>3832</v>
      </c>
      <c r="U157" s="1673">
        <f t="shared" si="265"/>
        <v>0</v>
      </c>
      <c r="V157" s="1673">
        <f t="shared" si="251"/>
        <v>27126</v>
      </c>
      <c r="W157" s="421"/>
      <c r="X157" s="4614">
        <v>0</v>
      </c>
      <c r="Y157" s="1674">
        <f>O157+S157+W157</f>
        <v>0</v>
      </c>
      <c r="Z157" s="1674">
        <f t="shared" si="215"/>
        <v>11483</v>
      </c>
      <c r="AA157" s="1820">
        <f t="shared" si="266"/>
        <v>0</v>
      </c>
      <c r="AB157" s="1820">
        <f t="shared" si="252"/>
        <v>27126</v>
      </c>
      <c r="AC157" s="421"/>
      <c r="AD157" s="4614">
        <v>0</v>
      </c>
      <c r="AE157" s="1673">
        <f t="shared" si="267"/>
        <v>0</v>
      </c>
      <c r="AF157" s="1673">
        <f t="shared" si="253"/>
        <v>27126</v>
      </c>
      <c r="AG157" s="421"/>
      <c r="AH157" s="4614">
        <v>9093</v>
      </c>
      <c r="AI157" s="1673">
        <f t="shared" si="268"/>
        <v>0</v>
      </c>
      <c r="AJ157" s="1673">
        <f t="shared" si="254"/>
        <v>36219</v>
      </c>
      <c r="AK157" s="421"/>
      <c r="AL157" s="4614">
        <v>7508</v>
      </c>
      <c r="AM157" s="1674">
        <f>AC157+AG157+AK157</f>
        <v>0</v>
      </c>
      <c r="AN157" s="1674">
        <f t="shared" si="219"/>
        <v>16601</v>
      </c>
      <c r="AO157" s="1673">
        <f t="shared" si="269"/>
        <v>0</v>
      </c>
      <c r="AP157" s="1673">
        <f t="shared" si="255"/>
        <v>43727</v>
      </c>
      <c r="AQ157" s="421"/>
      <c r="AR157" s="4614">
        <v>8001</v>
      </c>
      <c r="AS157" s="1673">
        <f t="shared" si="223"/>
        <v>0</v>
      </c>
      <c r="AT157" s="1673">
        <f t="shared" si="223"/>
        <v>51728</v>
      </c>
      <c r="AU157" s="421"/>
      <c r="AV157" s="4614">
        <v>13680</v>
      </c>
      <c r="AW157" s="1673">
        <f t="shared" si="224"/>
        <v>0</v>
      </c>
      <c r="AX157" s="1673">
        <f t="shared" si="224"/>
        <v>65408</v>
      </c>
      <c r="AY157" s="421"/>
      <c r="AZ157" s="979">
        <v>7532</v>
      </c>
      <c r="BA157" s="1674">
        <f>AQ157+AU157+AY157</f>
        <v>0</v>
      </c>
      <c r="BB157" s="1674">
        <f t="shared" si="270"/>
        <v>29213</v>
      </c>
      <c r="BC157" s="1820">
        <f>+AM157+BA157</f>
        <v>0</v>
      </c>
      <c r="BD157" s="1820">
        <f>+AN157+BB157</f>
        <v>45814</v>
      </c>
      <c r="BE157" s="1673">
        <f t="shared" si="271"/>
        <v>0</v>
      </c>
      <c r="BF157" s="1673">
        <f t="shared" si="271"/>
        <v>72940</v>
      </c>
    </row>
    <row r="158" spans="2:58" s="334" customFormat="1" ht="15.75" x14ac:dyDescent="0.25">
      <c r="B158" s="5170"/>
      <c r="C158" s="1703" t="s">
        <v>23</v>
      </c>
      <c r="D158" s="1081"/>
      <c r="E158" s="1081"/>
      <c r="F158" s="1081"/>
      <c r="G158" s="1081"/>
      <c r="H158" s="1081"/>
      <c r="I158" s="979"/>
      <c r="J158" s="1081"/>
      <c r="K158" s="1081"/>
      <c r="L158" s="1081"/>
      <c r="M158" s="979"/>
      <c r="N158" s="1081"/>
      <c r="O158" s="1081"/>
      <c r="P158" s="1081"/>
      <c r="Q158" s="979"/>
      <c r="R158" s="1081"/>
      <c r="S158" s="1081"/>
      <c r="T158" s="1081"/>
      <c r="U158" s="979"/>
      <c r="V158" s="1081"/>
      <c r="W158" s="1081"/>
      <c r="X158" s="1081"/>
      <c r="Y158" s="979"/>
      <c r="Z158" s="1081"/>
      <c r="AA158" s="979"/>
      <c r="AB158" s="1081"/>
      <c r="AC158" s="1081"/>
      <c r="AD158" s="1081"/>
      <c r="AE158" s="979"/>
      <c r="AF158" s="1081"/>
      <c r="AG158" s="1081"/>
      <c r="AH158" s="1081"/>
      <c r="AI158" s="979"/>
      <c r="AJ158" s="1081"/>
      <c r="AK158" s="1081"/>
      <c r="AL158" s="1081"/>
      <c r="AM158" s="979"/>
      <c r="AN158" s="1081"/>
      <c r="AO158" s="979"/>
      <c r="AP158" s="1081"/>
      <c r="AQ158" s="1081"/>
      <c r="AR158" s="1081"/>
      <c r="AS158" s="979"/>
      <c r="AT158" s="1081"/>
      <c r="AU158" s="1081"/>
      <c r="AV158" s="1081"/>
      <c r="AW158" s="979"/>
      <c r="AX158" s="1081"/>
      <c r="AY158" s="1081"/>
      <c r="AZ158" s="1081"/>
      <c r="BA158" s="979"/>
      <c r="BB158" s="1081"/>
      <c r="BC158" s="979"/>
      <c r="BD158" s="1081"/>
      <c r="BE158" s="979"/>
      <c r="BF158" s="1081"/>
    </row>
    <row r="159" spans="2:58" ht="18.75" x14ac:dyDescent="0.3">
      <c r="B159" s="5170"/>
      <c r="C159" s="1691" t="s">
        <v>1457</v>
      </c>
      <c r="D159" s="1681"/>
      <c r="E159" s="1687"/>
      <c r="F159" s="1690">
        <f>+F141+F144+F147+F150+F153+F156</f>
        <v>21</v>
      </c>
      <c r="G159" s="1687"/>
      <c r="H159" s="1690">
        <f>+H141+H144+H147+H150+H153+H156</f>
        <v>25</v>
      </c>
      <c r="I159" s="1688"/>
      <c r="J159" s="1690">
        <f t="shared" si="213"/>
        <v>46</v>
      </c>
      <c r="K159" s="1687"/>
      <c r="L159" s="1690">
        <f>+L141+L144+L147+L150+L153+L156</f>
        <v>24</v>
      </c>
      <c r="M159" s="1688">
        <f t="shared" ref="M159:N174" si="272">+I159+K159</f>
        <v>0</v>
      </c>
      <c r="N159" s="1690">
        <f t="shared" si="272"/>
        <v>70</v>
      </c>
      <c r="O159" s="1687"/>
      <c r="P159" s="1690">
        <f>+P141+P144+P147+P150+P153+P156</f>
        <v>30.7</v>
      </c>
      <c r="Q159" s="1688">
        <f t="shared" ref="Q159:R174" si="273">+M159+O159</f>
        <v>0</v>
      </c>
      <c r="R159" s="1690">
        <f t="shared" si="273"/>
        <v>100.7</v>
      </c>
      <c r="S159" s="1687"/>
      <c r="T159" s="1690">
        <f>+T141+T144+T147+T150+T153+T156</f>
        <v>25.3</v>
      </c>
      <c r="U159" s="1688">
        <f t="shared" ref="U159:U160" si="274">+Q159+S159</f>
        <v>0</v>
      </c>
      <c r="V159" s="1690">
        <f t="shared" si="251"/>
        <v>126</v>
      </c>
      <c r="W159" s="1687"/>
      <c r="X159" s="1690">
        <f>+X141+X144+X147+X150+X153+X156</f>
        <v>26</v>
      </c>
      <c r="Y159" s="1688">
        <f>O159+S159+W159</f>
        <v>0</v>
      </c>
      <c r="Z159" s="1690">
        <f t="shared" si="215"/>
        <v>82</v>
      </c>
      <c r="AA159" s="1688">
        <f t="shared" ref="AA159:AA160" si="275">+M159+Y159</f>
        <v>0</v>
      </c>
      <c r="AB159" s="1690">
        <f t="shared" si="252"/>
        <v>152</v>
      </c>
      <c r="AC159" s="1687"/>
      <c r="AD159" s="1690">
        <f>+AD141+AD144+AD147+AD150+AD153+AD156</f>
        <v>27.1</v>
      </c>
      <c r="AE159" s="1688">
        <f t="shared" ref="AE159:AE160" si="276">+AA159+AC159</f>
        <v>0</v>
      </c>
      <c r="AF159" s="1690">
        <f t="shared" si="253"/>
        <v>179.1</v>
      </c>
      <c r="AG159" s="1687"/>
      <c r="AH159" s="1690">
        <f>+AH141+AH144+AH147+AH150+AH153+AH156</f>
        <v>26</v>
      </c>
      <c r="AI159" s="1688">
        <f t="shared" ref="AI159:AI160" si="277">+AE159+AG159</f>
        <v>0</v>
      </c>
      <c r="AJ159" s="1690">
        <f t="shared" si="254"/>
        <v>205.1</v>
      </c>
      <c r="AK159" s="1687"/>
      <c r="AL159" s="3097">
        <f>+AL141+AL144+AL147+AL150+AL153+AL156</f>
        <v>24</v>
      </c>
      <c r="AM159" s="1688">
        <f>AC159+AG159+AK159</f>
        <v>0</v>
      </c>
      <c r="AN159" s="1690">
        <f t="shared" si="219"/>
        <v>77.099999999999994</v>
      </c>
      <c r="AO159" s="1688">
        <f t="shared" ref="AO159:AO160" si="278">+AI159+AK159</f>
        <v>0</v>
      </c>
      <c r="AP159" s="1690">
        <f t="shared" si="255"/>
        <v>229.1</v>
      </c>
      <c r="AQ159" s="1687"/>
      <c r="AR159" s="1690">
        <f>+AR141+AR144+AR147+AR150+AR153+AR156</f>
        <v>20.9</v>
      </c>
      <c r="AS159" s="1688">
        <f t="shared" si="223"/>
        <v>0</v>
      </c>
      <c r="AT159" s="1690">
        <f t="shared" si="223"/>
        <v>250</v>
      </c>
      <c r="AU159" s="1687"/>
      <c r="AV159" s="3097">
        <f>+AV141+AV144+AV147+AV150+AV153+AV156</f>
        <v>21.7</v>
      </c>
      <c r="AW159" s="1688">
        <f t="shared" si="224"/>
        <v>0</v>
      </c>
      <c r="AX159" s="1690">
        <f t="shared" si="224"/>
        <v>271.7</v>
      </c>
      <c r="AY159" s="1687"/>
      <c r="AZ159" s="3097">
        <f>+AZ141+AZ144+AZ147+AZ150+AZ153+AZ156</f>
        <v>23.8</v>
      </c>
      <c r="BA159" s="1688">
        <f>AQ159+AU159+AY159</f>
        <v>0</v>
      </c>
      <c r="BB159" s="1690">
        <f t="shared" ref="BB159:BB160" si="279">AR159+AV159+AZ159</f>
        <v>66.399999999999991</v>
      </c>
      <c r="BC159" s="1688">
        <f>+AM159+BA159</f>
        <v>0</v>
      </c>
      <c r="BD159" s="1690">
        <f>+AN159+BB159</f>
        <v>143.5</v>
      </c>
      <c r="BE159" s="1688">
        <f t="shared" ref="BE159:BF160" si="280">+AW159+AY159</f>
        <v>0</v>
      </c>
      <c r="BF159" s="1690">
        <f t="shared" si="280"/>
        <v>295.5</v>
      </c>
    </row>
    <row r="160" spans="2:58" ht="18.75" x14ac:dyDescent="0.3">
      <c r="B160" s="5170"/>
      <c r="C160" s="1691" t="s">
        <v>1458</v>
      </c>
      <c r="D160" s="1681"/>
      <c r="E160" s="1687"/>
      <c r="F160" s="1689">
        <f>+F142+F145+F148+F151+F154+F157</f>
        <v>81361</v>
      </c>
      <c r="G160" s="1687"/>
      <c r="H160" s="1689">
        <f>+H142+H145+H148+H151+H154+H157</f>
        <v>95791</v>
      </c>
      <c r="I160" s="1688"/>
      <c r="J160" s="1689">
        <f t="shared" si="213"/>
        <v>177152</v>
      </c>
      <c r="K160" s="1687"/>
      <c r="L160" s="1689">
        <f>+L142+L145+L148+L151+L154+L157</f>
        <v>92047</v>
      </c>
      <c r="M160" s="1688">
        <f t="shared" si="272"/>
        <v>0</v>
      </c>
      <c r="N160" s="1689">
        <f t="shared" si="272"/>
        <v>269199</v>
      </c>
      <c r="O160" s="1687"/>
      <c r="P160" s="1689">
        <f>+P142+P145+P148+P151+P154+P157</f>
        <v>117494</v>
      </c>
      <c r="Q160" s="1688">
        <f t="shared" si="273"/>
        <v>0</v>
      </c>
      <c r="R160" s="1689">
        <f t="shared" si="273"/>
        <v>386693</v>
      </c>
      <c r="S160" s="1687"/>
      <c r="T160" s="1689">
        <f>+T142+T145+T148+T151+T154+T157</f>
        <v>97568</v>
      </c>
      <c r="U160" s="1688">
        <f t="shared" si="274"/>
        <v>0</v>
      </c>
      <c r="V160" s="1689">
        <f t="shared" si="251"/>
        <v>484261</v>
      </c>
      <c r="W160" s="1687"/>
      <c r="X160" s="1689">
        <f>+X142+X145+X148+X151+X154+X157</f>
        <v>100390</v>
      </c>
      <c r="Y160" s="1688">
        <f>O160+S160+W160</f>
        <v>0</v>
      </c>
      <c r="Z160" s="1689">
        <f t="shared" si="215"/>
        <v>315452</v>
      </c>
      <c r="AA160" s="1688">
        <f t="shared" si="275"/>
        <v>0</v>
      </c>
      <c r="AB160" s="1689">
        <f t="shared" si="252"/>
        <v>584651</v>
      </c>
      <c r="AC160" s="1687"/>
      <c r="AD160" s="1689">
        <f>+AD142+AD145+AD148+AD151+AD154+AD157</f>
        <v>103680</v>
      </c>
      <c r="AE160" s="1688">
        <f t="shared" si="276"/>
        <v>0</v>
      </c>
      <c r="AF160" s="1689">
        <f t="shared" si="253"/>
        <v>688331</v>
      </c>
      <c r="AG160" s="1687"/>
      <c r="AH160" s="1689">
        <f>+AH142+AH145+AH148+AH151+AH154+AH157</f>
        <v>98837</v>
      </c>
      <c r="AI160" s="1688">
        <f t="shared" si="277"/>
        <v>0</v>
      </c>
      <c r="AJ160" s="1689">
        <f t="shared" si="254"/>
        <v>787168</v>
      </c>
      <c r="AK160" s="1687"/>
      <c r="AL160" s="1689">
        <f>+AL142+AL145+AL148+AL151+AL154+AL157</f>
        <v>91690</v>
      </c>
      <c r="AM160" s="1688">
        <f>AC160+AG160+AK160</f>
        <v>0</v>
      </c>
      <c r="AN160" s="1689">
        <f t="shared" si="219"/>
        <v>294207</v>
      </c>
      <c r="AO160" s="1688">
        <f t="shared" si="278"/>
        <v>0</v>
      </c>
      <c r="AP160" s="1689">
        <f t="shared" si="255"/>
        <v>878858</v>
      </c>
      <c r="AQ160" s="1687"/>
      <c r="AR160" s="1689">
        <f>+AR142+AR145+AR148+AR151+AR154+AR157</f>
        <v>80983</v>
      </c>
      <c r="AS160" s="1688">
        <f t="shared" si="223"/>
        <v>0</v>
      </c>
      <c r="AT160" s="1689">
        <f t="shared" si="223"/>
        <v>959841</v>
      </c>
      <c r="AU160" s="1687"/>
      <c r="AV160" s="1689">
        <f>+AV142+AV145+AV148+AV151+AV154+AV157</f>
        <v>84496</v>
      </c>
      <c r="AW160" s="1688">
        <f t="shared" si="224"/>
        <v>0</v>
      </c>
      <c r="AX160" s="1689">
        <f t="shared" si="224"/>
        <v>1044337</v>
      </c>
      <c r="AY160" s="1687"/>
      <c r="AZ160" s="1689">
        <f>+AZ142+AZ145+AZ148+AZ151+AZ154+AZ157</f>
        <v>91260</v>
      </c>
      <c r="BA160" s="1688">
        <f>AQ160+AU160+AY160</f>
        <v>0</v>
      </c>
      <c r="BB160" s="1689">
        <f t="shared" si="279"/>
        <v>256739</v>
      </c>
      <c r="BC160" s="1688">
        <f>+AM160+BA160</f>
        <v>0</v>
      </c>
      <c r="BD160" s="1689">
        <f>+AN160+BB160</f>
        <v>550946</v>
      </c>
      <c r="BE160" s="1688">
        <f t="shared" si="280"/>
        <v>0</v>
      </c>
      <c r="BF160" s="1689">
        <f t="shared" si="280"/>
        <v>1135597</v>
      </c>
    </row>
    <row r="161" spans="2:58" s="334" customFormat="1" ht="21" x14ac:dyDescent="0.35">
      <c r="B161" s="5171" t="s">
        <v>1491</v>
      </c>
      <c r="C161" s="5172"/>
      <c r="D161" s="3847"/>
      <c r="E161" s="3847"/>
      <c r="F161" s="3847"/>
      <c r="G161" s="3847"/>
      <c r="H161" s="3847"/>
      <c r="I161" s="3848"/>
      <c r="J161" s="3847"/>
      <c r="K161" s="3847"/>
      <c r="L161" s="3847"/>
      <c r="M161" s="3848"/>
      <c r="N161" s="3847"/>
      <c r="O161" s="3847"/>
      <c r="P161" s="3847"/>
      <c r="Q161" s="3848"/>
      <c r="R161" s="3847"/>
      <c r="S161" s="3847"/>
      <c r="T161" s="3847"/>
      <c r="U161" s="3848"/>
      <c r="V161" s="3847"/>
      <c r="W161" s="3847"/>
      <c r="X161" s="3847"/>
      <c r="Y161" s="3848"/>
      <c r="Z161" s="3847"/>
      <c r="AA161" s="3848"/>
      <c r="AB161" s="3847"/>
      <c r="AC161" s="3847"/>
      <c r="AD161" s="3847"/>
      <c r="AE161" s="3848"/>
      <c r="AF161" s="3847"/>
      <c r="AG161" s="3847"/>
      <c r="AH161" s="3847"/>
      <c r="AI161" s="3848"/>
      <c r="AJ161" s="3847"/>
      <c r="AK161" s="3847"/>
      <c r="AL161" s="3847"/>
      <c r="AM161" s="3848"/>
      <c r="AN161" s="3847"/>
      <c r="AO161" s="3848"/>
      <c r="AP161" s="3847"/>
      <c r="AQ161" s="3847"/>
      <c r="AR161" s="3847"/>
      <c r="AS161" s="3848"/>
      <c r="AT161" s="3847"/>
      <c r="AU161" s="3847"/>
      <c r="AV161" s="3847"/>
      <c r="AW161" s="3848"/>
      <c r="AX161" s="3847"/>
      <c r="AY161" s="3847"/>
      <c r="AZ161" s="3847"/>
      <c r="BA161" s="3848"/>
      <c r="BB161" s="3847"/>
      <c r="BC161" s="3848"/>
      <c r="BD161" s="3847"/>
      <c r="BE161" s="3848"/>
      <c r="BF161" s="3847"/>
    </row>
    <row r="162" spans="2:58" ht="21" x14ac:dyDescent="0.35">
      <c r="B162" s="5165" t="s">
        <v>1489</v>
      </c>
      <c r="C162" s="5166" t="s">
        <v>1457</v>
      </c>
      <c r="D162" s="1858"/>
      <c r="E162" s="1859"/>
      <c r="F162" s="3821">
        <f>+F159+F138</f>
        <v>22</v>
      </c>
      <c r="G162" s="1859"/>
      <c r="H162" s="3821">
        <f>+H159+H138</f>
        <v>26</v>
      </c>
      <c r="I162" s="3849"/>
      <c r="J162" s="3821">
        <f t="shared" si="213"/>
        <v>48</v>
      </c>
      <c r="K162" s="1859"/>
      <c r="L162" s="3821">
        <f>+L159+L138</f>
        <v>25</v>
      </c>
      <c r="M162" s="3849">
        <f>+I162+K162</f>
        <v>0</v>
      </c>
      <c r="N162" s="3821">
        <f t="shared" si="272"/>
        <v>73</v>
      </c>
      <c r="O162" s="1859"/>
      <c r="P162" s="3821">
        <f>+P159+P138</f>
        <v>31.7</v>
      </c>
      <c r="Q162" s="3849">
        <f>+M162+O162</f>
        <v>0</v>
      </c>
      <c r="R162" s="3821">
        <f t="shared" si="273"/>
        <v>104.7</v>
      </c>
      <c r="S162" s="1859"/>
      <c r="T162" s="3821">
        <f>+T159+T138</f>
        <v>27.3</v>
      </c>
      <c r="U162" s="3849">
        <f>+Q162+S162</f>
        <v>0</v>
      </c>
      <c r="V162" s="3821">
        <f t="shared" si="251"/>
        <v>132</v>
      </c>
      <c r="W162" s="1859"/>
      <c r="X162" s="3821">
        <f>+X159+X138</f>
        <v>27</v>
      </c>
      <c r="Y162" s="3849">
        <f>O162+S162+W162</f>
        <v>0</v>
      </c>
      <c r="Z162" s="3821">
        <f t="shared" si="215"/>
        <v>86</v>
      </c>
      <c r="AA162" s="3849">
        <f t="shared" ref="AA162:AB177" si="281">+M162+Y162</f>
        <v>0</v>
      </c>
      <c r="AB162" s="3821">
        <f t="shared" si="252"/>
        <v>159</v>
      </c>
      <c r="AC162" s="1859"/>
      <c r="AD162" s="3821">
        <f>+AD159+AD138</f>
        <v>29.1</v>
      </c>
      <c r="AE162" s="3849">
        <f>+AA162+AC162</f>
        <v>0</v>
      </c>
      <c r="AF162" s="3821">
        <f t="shared" si="253"/>
        <v>188.1</v>
      </c>
      <c r="AG162" s="1859"/>
      <c r="AH162" s="3821">
        <f>+AH159+AH138</f>
        <v>26</v>
      </c>
      <c r="AI162" s="3849">
        <f>+AE162+AG162</f>
        <v>0</v>
      </c>
      <c r="AJ162" s="3821">
        <f t="shared" si="254"/>
        <v>214.1</v>
      </c>
      <c r="AK162" s="1859"/>
      <c r="AL162" s="3099">
        <f>+AL159+AL138</f>
        <v>27</v>
      </c>
      <c r="AM162" s="3849">
        <f>AC162+AG162+AK162</f>
        <v>0</v>
      </c>
      <c r="AN162" s="3821">
        <f t="shared" si="219"/>
        <v>82.1</v>
      </c>
      <c r="AO162" s="3849">
        <f>+AI162+AK162</f>
        <v>0</v>
      </c>
      <c r="AP162" s="3821">
        <f t="shared" si="255"/>
        <v>241.1</v>
      </c>
      <c r="AQ162" s="1859"/>
      <c r="AR162" s="3821">
        <f>+AR159+AR138</f>
        <v>21.9</v>
      </c>
      <c r="AS162" s="3849">
        <f t="shared" si="223"/>
        <v>0</v>
      </c>
      <c r="AT162" s="3821">
        <f t="shared" si="223"/>
        <v>263</v>
      </c>
      <c r="AU162" s="1859"/>
      <c r="AV162" s="3099">
        <f>+AV159+AV138</f>
        <v>23.7</v>
      </c>
      <c r="AW162" s="3849">
        <f t="shared" si="224"/>
        <v>0</v>
      </c>
      <c r="AX162" s="3821">
        <f t="shared" si="224"/>
        <v>286.7</v>
      </c>
      <c r="AY162" s="1859"/>
      <c r="AZ162" s="3099">
        <f>+AZ159+AZ138</f>
        <v>25.8</v>
      </c>
      <c r="BA162" s="3849">
        <f>AQ162+AU162+AY162</f>
        <v>0</v>
      </c>
      <c r="BB162" s="3821">
        <f t="shared" ref="BB162:BB169" si="282">AR162+AV162+AZ162</f>
        <v>71.399999999999991</v>
      </c>
      <c r="BC162" s="3849">
        <f t="shared" ref="BC162:BD169" si="283">+AM162+BA162</f>
        <v>0</v>
      </c>
      <c r="BD162" s="3821">
        <f t="shared" si="283"/>
        <v>153.5</v>
      </c>
      <c r="BE162" s="3849">
        <f t="shared" ref="BE162:BF169" si="284">+AW162+AY162</f>
        <v>0</v>
      </c>
      <c r="BF162" s="3821">
        <f t="shared" si="284"/>
        <v>312.5</v>
      </c>
    </row>
    <row r="163" spans="2:58" ht="21" x14ac:dyDescent="0.35">
      <c r="B163" s="5165" t="s">
        <v>1490</v>
      </c>
      <c r="C163" s="5166" t="s">
        <v>1458</v>
      </c>
      <c r="D163" s="1858"/>
      <c r="E163" s="1859"/>
      <c r="F163" s="4611">
        <f>+F160+F139</f>
        <v>85327</v>
      </c>
      <c r="G163" s="1859"/>
      <c r="H163" s="4611">
        <f>+H160+H139</f>
        <v>99747</v>
      </c>
      <c r="I163" s="3849"/>
      <c r="J163" s="4611">
        <f t="shared" si="213"/>
        <v>185074</v>
      </c>
      <c r="K163" s="1859"/>
      <c r="L163" s="4611">
        <f>+L160+L139</f>
        <v>96035</v>
      </c>
      <c r="M163" s="3849">
        <f>+I163+K163</f>
        <v>0</v>
      </c>
      <c r="N163" s="4611">
        <f t="shared" si="272"/>
        <v>281109</v>
      </c>
      <c r="O163" s="1859"/>
      <c r="P163" s="4611">
        <f>+P160+P139</f>
        <v>121362</v>
      </c>
      <c r="Q163" s="3849">
        <f>+M163+O163</f>
        <v>0</v>
      </c>
      <c r="R163" s="4611">
        <f t="shared" si="273"/>
        <v>402471</v>
      </c>
      <c r="S163" s="1859"/>
      <c r="T163" s="4611">
        <f>+T160+T139</f>
        <v>104691</v>
      </c>
      <c r="U163" s="3849">
        <f>+Q163+S163</f>
        <v>0</v>
      </c>
      <c r="V163" s="4611">
        <f t="shared" si="251"/>
        <v>507162</v>
      </c>
      <c r="W163" s="1859"/>
      <c r="X163" s="4611">
        <f>+X160+X139</f>
        <v>104435</v>
      </c>
      <c r="Y163" s="3849">
        <f>O163+S163+W163</f>
        <v>0</v>
      </c>
      <c r="Z163" s="4611">
        <f t="shared" si="215"/>
        <v>330488</v>
      </c>
      <c r="AA163" s="3849">
        <f t="shared" si="281"/>
        <v>0</v>
      </c>
      <c r="AB163" s="4611">
        <f t="shared" si="252"/>
        <v>611597</v>
      </c>
      <c r="AC163" s="1859"/>
      <c r="AD163" s="4611">
        <f>+AD160+AD139</f>
        <v>111582</v>
      </c>
      <c r="AE163" s="3849">
        <f>+AA163+AC163</f>
        <v>0</v>
      </c>
      <c r="AF163" s="4611">
        <f t="shared" si="253"/>
        <v>723179</v>
      </c>
      <c r="AG163" s="1859"/>
      <c r="AH163" s="4611">
        <f>+AH160+AH139</f>
        <v>98837</v>
      </c>
      <c r="AI163" s="3849">
        <f>+AE163+AG163</f>
        <v>0</v>
      </c>
      <c r="AJ163" s="4611">
        <f t="shared" si="254"/>
        <v>822016</v>
      </c>
      <c r="AK163" s="1859"/>
      <c r="AL163" s="4611">
        <f>+AL160+AL139</f>
        <v>102508</v>
      </c>
      <c r="AM163" s="3849">
        <f>AC163+AG163+AK163</f>
        <v>0</v>
      </c>
      <c r="AN163" s="4611">
        <f t="shared" si="219"/>
        <v>312927</v>
      </c>
      <c r="AO163" s="3849">
        <f>+AI163+AK163</f>
        <v>0</v>
      </c>
      <c r="AP163" s="4611">
        <f t="shared" si="255"/>
        <v>924524</v>
      </c>
      <c r="AQ163" s="1859"/>
      <c r="AR163" s="4611">
        <f>+AR160+AR139</f>
        <v>84660</v>
      </c>
      <c r="AS163" s="3849">
        <f t="shared" si="223"/>
        <v>0</v>
      </c>
      <c r="AT163" s="4611">
        <f t="shared" si="223"/>
        <v>1009184</v>
      </c>
      <c r="AU163" s="1859"/>
      <c r="AV163" s="4611">
        <f>+AV160+AV139</f>
        <v>92130</v>
      </c>
      <c r="AW163" s="3849">
        <f t="shared" si="224"/>
        <v>0</v>
      </c>
      <c r="AX163" s="4611">
        <f t="shared" si="224"/>
        <v>1101314</v>
      </c>
      <c r="AY163" s="1859"/>
      <c r="AZ163" s="4611">
        <f>+AZ160+AZ139</f>
        <v>98923</v>
      </c>
      <c r="BA163" s="3849">
        <f>AQ163+AU163+AY163</f>
        <v>0</v>
      </c>
      <c r="BB163" s="4611">
        <f t="shared" si="282"/>
        <v>275713</v>
      </c>
      <c r="BC163" s="3849">
        <f t="shared" si="283"/>
        <v>0</v>
      </c>
      <c r="BD163" s="4611">
        <f t="shared" si="283"/>
        <v>588640</v>
      </c>
      <c r="BE163" s="3849">
        <f t="shared" si="284"/>
        <v>0</v>
      </c>
      <c r="BF163" s="4611">
        <f t="shared" si="284"/>
        <v>1200237</v>
      </c>
    </row>
    <row r="164" spans="2:58" ht="15.75" x14ac:dyDescent="0.25">
      <c r="B164" s="5177" t="s">
        <v>1487</v>
      </c>
      <c r="C164" s="1702" t="s">
        <v>1457</v>
      </c>
      <c r="D164" s="1703"/>
      <c r="E164" s="1704"/>
      <c r="F164" s="1705">
        <v>3</v>
      </c>
      <c r="G164" s="1704"/>
      <c r="H164" s="1705">
        <v>2</v>
      </c>
      <c r="I164" s="3852"/>
      <c r="J164" s="1705">
        <f t="shared" si="213"/>
        <v>5</v>
      </c>
      <c r="K164" s="1704"/>
      <c r="L164" s="1705">
        <v>9</v>
      </c>
      <c r="M164" s="3852">
        <f t="shared" ref="M164:M165" si="285">+I164+K164</f>
        <v>0</v>
      </c>
      <c r="N164" s="1705">
        <f t="shared" si="272"/>
        <v>14</v>
      </c>
      <c r="O164" s="1704"/>
      <c r="P164" s="1705">
        <v>5.3</v>
      </c>
      <c r="Q164" s="3852">
        <f t="shared" ref="Q164:Q165" si="286">+M164+O164</f>
        <v>0</v>
      </c>
      <c r="R164" s="1705">
        <f t="shared" si="273"/>
        <v>19.3</v>
      </c>
      <c r="S164" s="1704"/>
      <c r="T164" s="1705">
        <v>8.6999999999999993</v>
      </c>
      <c r="U164" s="3852">
        <f t="shared" ref="U164:U165" si="287">+Q164+S164</f>
        <v>0</v>
      </c>
      <c r="V164" s="1705">
        <f t="shared" si="251"/>
        <v>28</v>
      </c>
      <c r="W164" s="1704"/>
      <c r="X164" s="1705">
        <v>8</v>
      </c>
      <c r="Y164" s="3852">
        <f t="shared" ref="Y164:Y165" si="288">O164+S164+W164</f>
        <v>0</v>
      </c>
      <c r="Z164" s="1705">
        <f t="shared" si="215"/>
        <v>22</v>
      </c>
      <c r="AA164" s="3852">
        <f t="shared" si="281"/>
        <v>0</v>
      </c>
      <c r="AB164" s="1705">
        <f t="shared" si="252"/>
        <v>36</v>
      </c>
      <c r="AC164" s="1704"/>
      <c r="AD164" s="1705">
        <v>8</v>
      </c>
      <c r="AE164" s="3852">
        <f t="shared" ref="AE164:AE165" si="289">+AA164+AC164</f>
        <v>0</v>
      </c>
      <c r="AF164" s="1705">
        <f t="shared" si="253"/>
        <v>44</v>
      </c>
      <c r="AG164" s="1704"/>
      <c r="AH164" s="1705">
        <v>7</v>
      </c>
      <c r="AI164" s="3852">
        <f t="shared" ref="AI164:AI165" si="290">+AE164+AG164</f>
        <v>0</v>
      </c>
      <c r="AJ164" s="1705">
        <f t="shared" si="254"/>
        <v>51</v>
      </c>
      <c r="AK164" s="1704"/>
      <c r="AL164" s="1705">
        <v>6</v>
      </c>
      <c r="AM164" s="3852">
        <f t="shared" ref="AM164:AM165" si="291">AC164+AG164+AK164</f>
        <v>0</v>
      </c>
      <c r="AN164" s="1705">
        <f t="shared" si="219"/>
        <v>21</v>
      </c>
      <c r="AO164" s="3852">
        <f t="shared" ref="AO164:AO165" si="292">+AI164+AK164</f>
        <v>0</v>
      </c>
      <c r="AP164" s="1705">
        <f t="shared" si="255"/>
        <v>57</v>
      </c>
      <c r="AQ164" s="1704"/>
      <c r="AR164" s="1705">
        <v>6</v>
      </c>
      <c r="AS164" s="3852">
        <f t="shared" si="223"/>
        <v>0</v>
      </c>
      <c r="AT164" s="1705">
        <f t="shared" si="223"/>
        <v>63</v>
      </c>
      <c r="AU164" s="1704"/>
      <c r="AV164" s="1705">
        <v>6.3</v>
      </c>
      <c r="AW164" s="3852">
        <f t="shared" si="224"/>
        <v>0</v>
      </c>
      <c r="AX164" s="1705">
        <f t="shared" si="224"/>
        <v>69.3</v>
      </c>
      <c r="AY164" s="1704"/>
      <c r="AZ164" s="1705">
        <v>9.1999999999999993</v>
      </c>
      <c r="BA164" s="3852">
        <f t="shared" ref="BA164:BA165" si="293">AQ164+AU164+AY164</f>
        <v>0</v>
      </c>
      <c r="BB164" s="1705">
        <f t="shared" si="282"/>
        <v>21.5</v>
      </c>
      <c r="BC164" s="3852">
        <f t="shared" si="283"/>
        <v>0</v>
      </c>
      <c r="BD164" s="1705">
        <f t="shared" si="283"/>
        <v>42.5</v>
      </c>
      <c r="BE164" s="3852">
        <f t="shared" si="284"/>
        <v>0</v>
      </c>
      <c r="BF164" s="1705">
        <f t="shared" si="284"/>
        <v>78.5</v>
      </c>
    </row>
    <row r="165" spans="2:58" ht="15.75" x14ac:dyDescent="0.25">
      <c r="B165" s="5178"/>
      <c r="C165" s="1702" t="s">
        <v>1458</v>
      </c>
      <c r="D165" s="1703"/>
      <c r="E165" s="1707">
        <v>12479.891242777841</v>
      </c>
      <c r="F165" s="1707">
        <v>11278</v>
      </c>
      <c r="G165" s="1707">
        <v>11385.521694800045</v>
      </c>
      <c r="H165" s="1707">
        <v>7662</v>
      </c>
      <c r="I165" s="1707"/>
      <c r="J165" s="1707">
        <f t="shared" si="213"/>
        <v>18940</v>
      </c>
      <c r="K165" s="1707">
        <v>33649.951852271442</v>
      </c>
      <c r="L165" s="1707">
        <v>34588</v>
      </c>
      <c r="M165" s="1707">
        <f t="shared" si="285"/>
        <v>33649.951852271442</v>
      </c>
      <c r="N165" s="1707">
        <f t="shared" si="272"/>
        <v>53528</v>
      </c>
      <c r="O165" s="1707">
        <v>36182.253313696616</v>
      </c>
      <c r="P165" s="1707">
        <v>20573</v>
      </c>
      <c r="Q165" s="1707">
        <f t="shared" si="286"/>
        <v>69832.205165968058</v>
      </c>
      <c r="R165" s="1707">
        <f t="shared" si="273"/>
        <v>74101</v>
      </c>
      <c r="S165" s="1707"/>
      <c r="T165" s="1707">
        <v>34035</v>
      </c>
      <c r="U165" s="1707">
        <f t="shared" si="287"/>
        <v>69832.205165968058</v>
      </c>
      <c r="V165" s="1707">
        <f t="shared" si="251"/>
        <v>108136</v>
      </c>
      <c r="W165" s="1707"/>
      <c r="X165" s="1707">
        <v>30704</v>
      </c>
      <c r="Y165" s="1707">
        <f t="shared" si="288"/>
        <v>36182.253313696616</v>
      </c>
      <c r="Z165" s="1707">
        <f t="shared" si="215"/>
        <v>85312</v>
      </c>
      <c r="AA165" s="1707">
        <f t="shared" si="281"/>
        <v>69832.205165968058</v>
      </c>
      <c r="AB165" s="1707">
        <f t="shared" si="252"/>
        <v>138840</v>
      </c>
      <c r="AC165" s="1707"/>
      <c r="AD165" s="1707">
        <v>30389</v>
      </c>
      <c r="AE165" s="1707">
        <f t="shared" si="289"/>
        <v>69832.205165968058</v>
      </c>
      <c r="AF165" s="1707">
        <f t="shared" si="253"/>
        <v>169229</v>
      </c>
      <c r="AG165" s="1707"/>
      <c r="AH165" s="1707">
        <v>26827</v>
      </c>
      <c r="AI165" s="1707">
        <f t="shared" si="290"/>
        <v>69832.205165968058</v>
      </c>
      <c r="AJ165" s="1707">
        <f t="shared" si="254"/>
        <v>196056</v>
      </c>
      <c r="AK165" s="1707"/>
      <c r="AL165" s="1707">
        <v>23236</v>
      </c>
      <c r="AM165" s="1707">
        <f t="shared" si="291"/>
        <v>0</v>
      </c>
      <c r="AN165" s="1707">
        <f t="shared" si="219"/>
        <v>80452</v>
      </c>
      <c r="AO165" s="1707">
        <f t="shared" si="292"/>
        <v>69832.205165968058</v>
      </c>
      <c r="AP165" s="1707">
        <f t="shared" si="255"/>
        <v>219292</v>
      </c>
      <c r="AQ165" s="1707"/>
      <c r="AR165" s="1707">
        <v>30796</v>
      </c>
      <c r="AS165" s="1707">
        <f t="shared" si="223"/>
        <v>69832.205165968058</v>
      </c>
      <c r="AT165" s="1707">
        <f t="shared" si="223"/>
        <v>250088</v>
      </c>
      <c r="AU165" s="1707"/>
      <c r="AV165" s="1707">
        <v>24947</v>
      </c>
      <c r="AW165" s="1707">
        <f t="shared" si="224"/>
        <v>69832.205165968058</v>
      </c>
      <c r="AX165" s="1707">
        <f t="shared" si="224"/>
        <v>275035</v>
      </c>
      <c r="AY165" s="1707"/>
      <c r="AZ165" s="1707">
        <v>35768</v>
      </c>
      <c r="BA165" s="1707">
        <f t="shared" si="293"/>
        <v>0</v>
      </c>
      <c r="BB165" s="1707">
        <f t="shared" si="282"/>
        <v>91511</v>
      </c>
      <c r="BC165" s="1707">
        <f t="shared" si="283"/>
        <v>0</v>
      </c>
      <c r="BD165" s="1707">
        <f t="shared" si="283"/>
        <v>171963</v>
      </c>
      <c r="BE165" s="1707">
        <f t="shared" si="284"/>
        <v>69832.205165968058</v>
      </c>
      <c r="BF165" s="1707">
        <f t="shared" si="284"/>
        <v>310803</v>
      </c>
    </row>
    <row r="166" spans="2:58" ht="21" x14ac:dyDescent="0.35">
      <c r="B166" s="5179" t="s">
        <v>1488</v>
      </c>
      <c r="C166" s="1692" t="s">
        <v>1483</v>
      </c>
      <c r="D166" s="1693"/>
      <c r="E166" s="1694"/>
      <c r="F166" s="1700">
        <v>53060.2</v>
      </c>
      <c r="G166" s="1694"/>
      <c r="H166" s="1700">
        <v>67884</v>
      </c>
      <c r="I166" s="3850"/>
      <c r="J166" s="1700">
        <f t="shared" si="213"/>
        <v>120944.2</v>
      </c>
      <c r="K166" s="1694"/>
      <c r="L166" s="1700">
        <v>86956</v>
      </c>
      <c r="M166" s="3850"/>
      <c r="N166" s="1700">
        <f t="shared" si="272"/>
        <v>207900.2</v>
      </c>
      <c r="O166" s="1694"/>
      <c r="P166" s="1700">
        <v>68289</v>
      </c>
      <c r="Q166" s="3850"/>
      <c r="R166" s="1700">
        <f t="shared" si="273"/>
        <v>276189.2</v>
      </c>
      <c r="S166" s="1694"/>
      <c r="T166" s="1700">
        <f>3893+19378+7721+11656</f>
        <v>42648</v>
      </c>
      <c r="U166" s="3850"/>
      <c r="V166" s="1700">
        <f t="shared" ref="V166:V198" si="294">+R166+T166</f>
        <v>318837.2</v>
      </c>
      <c r="W166" s="1694"/>
      <c r="X166" s="1700">
        <v>57130</v>
      </c>
      <c r="Y166" s="3850"/>
      <c r="Z166" s="1700">
        <f t="shared" si="215"/>
        <v>168067</v>
      </c>
      <c r="AA166" s="3850">
        <f t="shared" si="281"/>
        <v>0</v>
      </c>
      <c r="AB166" s="1700">
        <f t="shared" si="281"/>
        <v>375967.2</v>
      </c>
      <c r="AC166" s="1694"/>
      <c r="AD166" s="1700">
        <f>23076+38122+3789+7733+3682+7492</f>
        <v>83894</v>
      </c>
      <c r="AE166" s="3850"/>
      <c r="AF166" s="1700">
        <f t="shared" ref="AF166:AF198" si="295">+AB166+AD166</f>
        <v>459861.2</v>
      </c>
      <c r="AG166" s="1694"/>
      <c r="AH166" s="1700">
        <v>98865</v>
      </c>
      <c r="AI166" s="3850"/>
      <c r="AJ166" s="1700">
        <f t="shared" ref="AJ166:AJ198" si="296">+AF166+AH166</f>
        <v>558726.19999999995</v>
      </c>
      <c r="AK166" s="1694"/>
      <c r="AL166" s="1700">
        <v>72084</v>
      </c>
      <c r="AM166" s="3850"/>
      <c r="AN166" s="1700">
        <f t="shared" si="219"/>
        <v>254843</v>
      </c>
      <c r="AO166" s="3850"/>
      <c r="AP166" s="1700">
        <f t="shared" ref="AP166:AP198" si="297">+AJ166+AL166</f>
        <v>630810.19999999995</v>
      </c>
      <c r="AQ166" s="1694"/>
      <c r="AR166" s="1700">
        <v>77526</v>
      </c>
      <c r="AS166" s="3850">
        <f t="shared" si="223"/>
        <v>0</v>
      </c>
      <c r="AT166" s="1700">
        <f t="shared" si="223"/>
        <v>708336.2</v>
      </c>
      <c r="AU166" s="1694"/>
      <c r="AV166" s="1700">
        <v>70236.587901811814</v>
      </c>
      <c r="AW166" s="3850">
        <f t="shared" si="224"/>
        <v>0</v>
      </c>
      <c r="AX166" s="1700">
        <f t="shared" si="224"/>
        <v>778572.78790181177</v>
      </c>
      <c r="AY166" s="1694"/>
      <c r="AZ166" s="1700">
        <v>84307</v>
      </c>
      <c r="BA166" s="3850"/>
      <c r="BB166" s="1700">
        <f t="shared" si="282"/>
        <v>232069.58790181181</v>
      </c>
      <c r="BC166" s="3850">
        <f t="shared" si="283"/>
        <v>0</v>
      </c>
      <c r="BD166" s="1700">
        <f t="shared" si="283"/>
        <v>486912.58790181181</v>
      </c>
      <c r="BE166" s="3850">
        <f t="shared" si="284"/>
        <v>0</v>
      </c>
      <c r="BF166" s="1700">
        <f t="shared" si="284"/>
        <v>862879.78790181177</v>
      </c>
    </row>
    <row r="167" spans="2:58" ht="21" x14ac:dyDescent="0.35">
      <c r="B167" s="5180"/>
      <c r="C167" s="1692" t="s">
        <v>1484</v>
      </c>
      <c r="D167" s="1693"/>
      <c r="E167" s="1694"/>
      <c r="F167" s="1700">
        <v>39578.400000000001</v>
      </c>
      <c r="G167" s="1694"/>
      <c r="H167" s="1700">
        <v>35569</v>
      </c>
      <c r="I167" s="3850"/>
      <c r="J167" s="1700">
        <f t="shared" si="213"/>
        <v>75147.399999999994</v>
      </c>
      <c r="K167" s="1694"/>
      <c r="L167" s="1700">
        <v>39678</v>
      </c>
      <c r="M167" s="3850"/>
      <c r="N167" s="1700">
        <f t="shared" si="272"/>
        <v>114825.4</v>
      </c>
      <c r="O167" s="1694"/>
      <c r="P167" s="1700">
        <v>69778</v>
      </c>
      <c r="Q167" s="3850"/>
      <c r="R167" s="1700">
        <f t="shared" si="273"/>
        <v>184603.4</v>
      </c>
      <c r="S167" s="1694"/>
      <c r="T167" s="1700">
        <f>30142+28834+13820+8600</f>
        <v>81396</v>
      </c>
      <c r="U167" s="3850"/>
      <c r="V167" s="1700">
        <f t="shared" si="294"/>
        <v>265999.40000000002</v>
      </c>
      <c r="W167" s="1694"/>
      <c r="X167" s="1700">
        <v>70262</v>
      </c>
      <c r="Y167" s="3850"/>
      <c r="Z167" s="1700">
        <f t="shared" si="215"/>
        <v>221436</v>
      </c>
      <c r="AA167" s="3850">
        <f t="shared" si="281"/>
        <v>0</v>
      </c>
      <c r="AB167" s="1700">
        <f t="shared" si="281"/>
        <v>336261.4</v>
      </c>
      <c r="AC167" s="1694"/>
      <c r="AD167" s="1700">
        <f>10255+7780+4052+13577</f>
        <v>35664</v>
      </c>
      <c r="AE167" s="3850"/>
      <c r="AF167" s="1700">
        <f t="shared" si="295"/>
        <v>371925.4</v>
      </c>
      <c r="AG167" s="1694"/>
      <c r="AH167" s="1700">
        <v>23071</v>
      </c>
      <c r="AI167" s="3850"/>
      <c r="AJ167" s="1700">
        <f t="shared" si="296"/>
        <v>394996.4</v>
      </c>
      <c r="AK167" s="1694"/>
      <c r="AL167" s="1700">
        <v>39215</v>
      </c>
      <c r="AM167" s="3850"/>
      <c r="AN167" s="1700">
        <f t="shared" si="219"/>
        <v>97950</v>
      </c>
      <c r="AO167" s="3850"/>
      <c r="AP167" s="1700">
        <f t="shared" si="297"/>
        <v>434211.4</v>
      </c>
      <c r="AQ167" s="1694"/>
      <c r="AR167" s="1700">
        <v>27549</v>
      </c>
      <c r="AS167" s="3850">
        <f t="shared" si="223"/>
        <v>0</v>
      </c>
      <c r="AT167" s="1700">
        <f t="shared" si="223"/>
        <v>461760.4</v>
      </c>
      <c r="AU167" s="1694"/>
      <c r="AV167" s="1700">
        <v>35370.400000000001</v>
      </c>
      <c r="AW167" s="3850">
        <f t="shared" si="224"/>
        <v>0</v>
      </c>
      <c r="AX167" s="1700">
        <f t="shared" si="224"/>
        <v>497130.80000000005</v>
      </c>
      <c r="AY167" s="1694"/>
      <c r="AZ167" s="1700">
        <v>31696</v>
      </c>
      <c r="BA167" s="3850"/>
      <c r="BB167" s="1700">
        <f t="shared" si="282"/>
        <v>94615.4</v>
      </c>
      <c r="BC167" s="3850">
        <f t="shared" si="283"/>
        <v>0</v>
      </c>
      <c r="BD167" s="1700">
        <f t="shared" si="283"/>
        <v>192565.4</v>
      </c>
      <c r="BE167" s="3850">
        <f t="shared" si="284"/>
        <v>0</v>
      </c>
      <c r="BF167" s="1700">
        <f t="shared" si="284"/>
        <v>528826.80000000005</v>
      </c>
    </row>
    <row r="168" spans="2:58" ht="21" x14ac:dyDescent="0.35">
      <c r="B168" s="5180"/>
      <c r="C168" s="1692" t="s">
        <v>1485</v>
      </c>
      <c r="D168" s="1693"/>
      <c r="E168" s="1694"/>
      <c r="F168" s="1700">
        <v>0</v>
      </c>
      <c r="G168" s="1694"/>
      <c r="H168" s="1700">
        <v>0</v>
      </c>
      <c r="I168" s="3850"/>
      <c r="J168" s="1700">
        <f t="shared" si="213"/>
        <v>0</v>
      </c>
      <c r="K168" s="1694"/>
      <c r="L168" s="1700">
        <v>0</v>
      </c>
      <c r="M168" s="3850"/>
      <c r="N168" s="1700">
        <f t="shared" si="272"/>
        <v>0</v>
      </c>
      <c r="O168" s="1694"/>
      <c r="P168" s="1700">
        <v>0</v>
      </c>
      <c r="Q168" s="3850"/>
      <c r="R168" s="1700">
        <f t="shared" si="273"/>
        <v>0</v>
      </c>
      <c r="S168" s="1694"/>
      <c r="T168" s="1700">
        <v>7559</v>
      </c>
      <c r="U168" s="3850"/>
      <c r="V168" s="1700">
        <f t="shared" si="294"/>
        <v>7559</v>
      </c>
      <c r="W168" s="1694"/>
      <c r="X168" s="1700">
        <v>3701</v>
      </c>
      <c r="Y168" s="3850"/>
      <c r="Z168" s="1700">
        <f t="shared" si="215"/>
        <v>11260</v>
      </c>
      <c r="AA168" s="3850">
        <f t="shared" si="281"/>
        <v>0</v>
      </c>
      <c r="AB168" s="1700">
        <f t="shared" si="281"/>
        <v>11260</v>
      </c>
      <c r="AC168" s="1694"/>
      <c r="AD168" s="1700">
        <v>14510</v>
      </c>
      <c r="AE168" s="3850"/>
      <c r="AF168" s="1700">
        <f t="shared" si="295"/>
        <v>25770</v>
      </c>
      <c r="AG168" s="1694"/>
      <c r="AH168" s="1700">
        <v>3729</v>
      </c>
      <c r="AI168" s="3850"/>
      <c r="AJ168" s="1700">
        <f t="shared" si="296"/>
        <v>29499</v>
      </c>
      <c r="AK168" s="1694"/>
      <c r="AL168" s="1700">
        <v>3627</v>
      </c>
      <c r="AM168" s="3850"/>
      <c r="AN168" s="1700">
        <f t="shared" si="219"/>
        <v>21866</v>
      </c>
      <c r="AO168" s="3850"/>
      <c r="AP168" s="1700">
        <f t="shared" si="297"/>
        <v>33126</v>
      </c>
      <c r="AQ168" s="1694"/>
      <c r="AR168" s="1700">
        <v>6703</v>
      </c>
      <c r="AS168" s="3850">
        <f t="shared" si="223"/>
        <v>0</v>
      </c>
      <c r="AT168" s="1700">
        <f t="shared" si="223"/>
        <v>39829</v>
      </c>
      <c r="AU168" s="1694"/>
      <c r="AV168" s="4100">
        <v>3836</v>
      </c>
      <c r="AW168" s="3850">
        <f t="shared" si="224"/>
        <v>0</v>
      </c>
      <c r="AX168" s="1700">
        <f t="shared" si="224"/>
        <v>43665</v>
      </c>
      <c r="AY168" s="1694"/>
      <c r="AZ168" s="1700">
        <v>11025</v>
      </c>
      <c r="BA168" s="3850"/>
      <c r="BB168" s="1700">
        <f t="shared" si="282"/>
        <v>21564</v>
      </c>
      <c r="BC168" s="3850">
        <f t="shared" si="283"/>
        <v>0</v>
      </c>
      <c r="BD168" s="1700">
        <f t="shared" si="283"/>
        <v>43430</v>
      </c>
      <c r="BE168" s="3850">
        <f t="shared" si="284"/>
        <v>0</v>
      </c>
      <c r="BF168" s="1700">
        <f t="shared" si="284"/>
        <v>54690</v>
      </c>
    </row>
    <row r="169" spans="2:58" ht="23.25" x14ac:dyDescent="0.35">
      <c r="B169" s="5181"/>
      <c r="C169" s="1695" t="s">
        <v>23</v>
      </c>
      <c r="D169" s="1696"/>
      <c r="E169" s="1697"/>
      <c r="F169" s="1701">
        <f>+F166+F167+F168</f>
        <v>92638.6</v>
      </c>
      <c r="G169" s="1697"/>
      <c r="H169" s="1701">
        <f>+H166+H167+H168</f>
        <v>103453</v>
      </c>
      <c r="I169" s="3851"/>
      <c r="J169" s="1701">
        <f t="shared" si="213"/>
        <v>196091.6</v>
      </c>
      <c r="K169" s="1697"/>
      <c r="L169" s="1701">
        <f>+L166+L167+L168</f>
        <v>126634</v>
      </c>
      <c r="M169" s="3851"/>
      <c r="N169" s="1701">
        <f t="shared" si="272"/>
        <v>322725.59999999998</v>
      </c>
      <c r="O169" s="1697"/>
      <c r="P169" s="1701">
        <f>+P166+P167+P168</f>
        <v>138067</v>
      </c>
      <c r="Q169" s="3851"/>
      <c r="R169" s="1701">
        <f t="shared" si="273"/>
        <v>460792.6</v>
      </c>
      <c r="S169" s="1697"/>
      <c r="T169" s="1701">
        <f>+T166+T167+T168</f>
        <v>131603</v>
      </c>
      <c r="U169" s="3851"/>
      <c r="V169" s="1701">
        <f t="shared" si="294"/>
        <v>592395.6</v>
      </c>
      <c r="W169" s="1697"/>
      <c r="X169" s="1701">
        <f>+X166+X167+X168</f>
        <v>131093</v>
      </c>
      <c r="Y169" s="3851"/>
      <c r="Z169" s="1701">
        <f t="shared" si="215"/>
        <v>400763</v>
      </c>
      <c r="AA169" s="3851">
        <f t="shared" si="281"/>
        <v>0</v>
      </c>
      <c r="AB169" s="1701">
        <f t="shared" si="281"/>
        <v>723488.6</v>
      </c>
      <c r="AC169" s="1697"/>
      <c r="AD169" s="1701">
        <f>+AD166+AD167+AD168</f>
        <v>134068</v>
      </c>
      <c r="AE169" s="3851"/>
      <c r="AF169" s="1701">
        <f t="shared" si="295"/>
        <v>857556.6</v>
      </c>
      <c r="AG169" s="1697"/>
      <c r="AH169" s="1701">
        <f>+AH166+AH167+AH168</f>
        <v>125665</v>
      </c>
      <c r="AI169" s="3851"/>
      <c r="AJ169" s="1701">
        <f t="shared" si="296"/>
        <v>983221.6</v>
      </c>
      <c r="AK169" s="1697"/>
      <c r="AL169" s="1701">
        <f>+AL166+AL167+AL168</f>
        <v>114926</v>
      </c>
      <c r="AM169" s="3851"/>
      <c r="AN169" s="1701">
        <f t="shared" si="219"/>
        <v>374659</v>
      </c>
      <c r="AO169" s="3851"/>
      <c r="AP169" s="1701">
        <f t="shared" si="297"/>
        <v>1098147.6000000001</v>
      </c>
      <c r="AQ169" s="1697"/>
      <c r="AR169" s="1701">
        <f>+AR166+AR167+AR168</f>
        <v>111778</v>
      </c>
      <c r="AS169" s="3851">
        <f t="shared" si="223"/>
        <v>0</v>
      </c>
      <c r="AT169" s="1701">
        <f t="shared" si="223"/>
        <v>1209925.6000000001</v>
      </c>
      <c r="AU169" s="1697"/>
      <c r="AV169" s="1701">
        <f>+AV166+AV167+AV168</f>
        <v>109442.98790181181</v>
      </c>
      <c r="AW169" s="3851">
        <f t="shared" si="224"/>
        <v>0</v>
      </c>
      <c r="AX169" s="1701">
        <f t="shared" si="224"/>
        <v>1319368.5879018118</v>
      </c>
      <c r="AY169" s="1697"/>
      <c r="AZ169" s="1701">
        <f>+AZ166+AZ167+AZ168</f>
        <v>127028</v>
      </c>
      <c r="BA169" s="3851"/>
      <c r="BB169" s="1701">
        <f t="shared" si="282"/>
        <v>348248.98790181184</v>
      </c>
      <c r="BC169" s="3851">
        <f t="shared" si="283"/>
        <v>0</v>
      </c>
      <c r="BD169" s="1701">
        <f t="shared" si="283"/>
        <v>722907.98790181184</v>
      </c>
      <c r="BE169" s="3851">
        <f t="shared" si="284"/>
        <v>0</v>
      </c>
      <c r="BF169" s="1701">
        <f t="shared" si="284"/>
        <v>1446396.5879018118</v>
      </c>
    </row>
    <row r="170" spans="2:58" x14ac:dyDescent="0.25">
      <c r="B170" s="1772"/>
      <c r="C170" s="1433"/>
      <c r="D170" s="1433"/>
      <c r="E170" s="1773"/>
      <c r="F170" s="1773"/>
      <c r="G170" s="1773"/>
      <c r="H170" s="1773"/>
      <c r="I170" s="1773"/>
      <c r="J170" s="1773"/>
      <c r="K170" s="1773"/>
      <c r="L170" s="1773"/>
      <c r="M170" s="1773"/>
      <c r="N170" s="1773"/>
      <c r="O170" s="1773"/>
      <c r="P170" s="1773"/>
      <c r="Q170" s="1773"/>
      <c r="R170" s="1773"/>
      <c r="S170" s="1773"/>
      <c r="T170" s="1773"/>
      <c r="U170" s="1773"/>
      <c r="V170" s="1773"/>
      <c r="W170" s="1773"/>
      <c r="X170" s="1773"/>
      <c r="Y170" s="1773"/>
      <c r="Z170" s="1773"/>
      <c r="AA170" s="1773"/>
      <c r="AB170" s="1773"/>
      <c r="AC170" s="1773"/>
      <c r="AD170" s="1773"/>
      <c r="AE170" s="1773"/>
      <c r="AF170" s="1773"/>
      <c r="AG170" s="1773"/>
      <c r="AH170" s="1773"/>
      <c r="AI170" s="1773"/>
      <c r="AJ170" s="1773"/>
      <c r="AK170" s="1773"/>
      <c r="AL170" s="1773"/>
      <c r="AM170" s="1773"/>
      <c r="AN170" s="1773"/>
      <c r="AO170" s="1773"/>
      <c r="AP170" s="1773"/>
      <c r="AQ170" s="1773"/>
      <c r="AR170" s="1773"/>
      <c r="AS170" s="1773"/>
      <c r="AT170" s="1773"/>
      <c r="AU170" s="1773"/>
      <c r="AV170" s="1773"/>
      <c r="AW170" s="1773"/>
      <c r="AX170" s="1773"/>
      <c r="AY170" s="1773"/>
      <c r="AZ170" s="1773"/>
      <c r="BA170" s="1773"/>
      <c r="BB170" s="1773"/>
      <c r="BC170" s="1773"/>
      <c r="BD170" s="1773"/>
      <c r="BE170" s="1773"/>
      <c r="BF170" s="1773"/>
    </row>
    <row r="171" spans="2:58" ht="23.25" x14ac:dyDescent="0.35">
      <c r="B171" s="5163" t="s">
        <v>1486</v>
      </c>
      <c r="C171" s="5164"/>
      <c r="D171" s="1081"/>
      <c r="E171" s="3100"/>
      <c r="F171" s="3100"/>
      <c r="G171" s="3100"/>
      <c r="H171" s="3100"/>
      <c r="I171" s="3100"/>
      <c r="J171" s="3100"/>
      <c r="K171" s="3100"/>
      <c r="L171" s="3100"/>
      <c r="M171" s="3100"/>
      <c r="N171" s="3100"/>
      <c r="O171" s="3100"/>
      <c r="P171" s="3100"/>
      <c r="Q171" s="3100"/>
      <c r="R171" s="3100"/>
      <c r="S171" s="3100"/>
      <c r="T171" s="3100"/>
      <c r="U171" s="3100"/>
      <c r="V171" s="3100"/>
      <c r="W171" s="3100"/>
      <c r="X171" s="3100"/>
      <c r="Y171" s="3100"/>
      <c r="Z171" s="3100"/>
      <c r="AA171" s="3100"/>
      <c r="AB171" s="3100"/>
      <c r="AC171" s="3100"/>
      <c r="AD171" s="3100"/>
      <c r="AE171" s="3100"/>
      <c r="AF171" s="3100"/>
      <c r="AG171" s="3100"/>
      <c r="AH171" s="3100"/>
      <c r="AI171" s="3100"/>
      <c r="AJ171" s="3100"/>
      <c r="AK171" s="3100"/>
      <c r="AL171" s="3100"/>
      <c r="AM171" s="3100"/>
      <c r="AN171" s="3100"/>
      <c r="AO171" s="3100"/>
      <c r="AP171" s="3100"/>
      <c r="AQ171" s="3100"/>
      <c r="AR171" s="3100"/>
      <c r="AS171" s="3100"/>
      <c r="AT171" s="3100"/>
      <c r="AU171" s="3100"/>
      <c r="AV171" s="3100"/>
      <c r="AW171" s="3100"/>
      <c r="AX171" s="3100"/>
      <c r="AY171" s="3100"/>
      <c r="AZ171" s="3100"/>
      <c r="BA171" s="3100"/>
      <c r="BB171" s="3100"/>
      <c r="BC171" s="3100"/>
      <c r="BD171" s="3100"/>
      <c r="BE171" s="3100"/>
      <c r="BF171" s="3100"/>
    </row>
    <row r="172" spans="2:58" x14ac:dyDescent="0.25">
      <c r="B172" s="5167" t="s">
        <v>1474</v>
      </c>
      <c r="C172" s="1081" t="s">
        <v>1476</v>
      </c>
      <c r="D172" s="1081"/>
      <c r="E172" s="1677"/>
      <c r="F172" s="1698"/>
      <c r="G172" s="1677"/>
      <c r="H172" s="1698"/>
      <c r="I172" s="1677"/>
      <c r="J172" s="1698"/>
      <c r="K172" s="1677"/>
      <c r="L172" s="1698"/>
      <c r="M172" s="1677"/>
      <c r="N172" s="1698"/>
      <c r="O172" s="1677"/>
      <c r="P172" s="1698"/>
      <c r="Q172" s="1677"/>
      <c r="R172" s="1698"/>
      <c r="S172" s="1677"/>
      <c r="T172" s="1698"/>
      <c r="U172" s="1677"/>
      <c r="V172" s="1698"/>
      <c r="W172" s="1677"/>
      <c r="X172" s="1698"/>
      <c r="Y172" s="1677"/>
      <c r="Z172" s="1698"/>
      <c r="AA172" s="1677"/>
      <c r="AB172" s="1698"/>
      <c r="AC172" s="1677"/>
      <c r="AD172" s="1698"/>
      <c r="AE172" s="1677"/>
      <c r="AF172" s="1698"/>
      <c r="AG172" s="1677"/>
      <c r="AH172" s="1698"/>
      <c r="AI172" s="1677"/>
      <c r="AJ172" s="1698"/>
      <c r="AK172" s="1677"/>
      <c r="AL172" s="1698"/>
      <c r="AM172" s="1677"/>
      <c r="AN172" s="1698"/>
      <c r="AO172" s="1677"/>
      <c r="AP172" s="1698"/>
      <c r="AQ172" s="1677"/>
      <c r="AR172" s="1698"/>
      <c r="AS172" s="1677"/>
      <c r="AT172" s="1698"/>
      <c r="AU172" s="1677"/>
      <c r="AV172" s="1698"/>
      <c r="AW172" s="1677"/>
      <c r="AX172" s="1698"/>
      <c r="AY172" s="1677"/>
      <c r="AZ172" s="1698"/>
      <c r="BA172" s="1677"/>
      <c r="BB172" s="1698"/>
      <c r="BC172" s="1677"/>
      <c r="BD172" s="1698"/>
      <c r="BE172" s="1677"/>
      <c r="BF172" s="1698"/>
    </row>
    <row r="173" spans="2:58" x14ac:dyDescent="0.25">
      <c r="B173" s="5168"/>
      <c r="C173" s="1394" t="s">
        <v>1457</v>
      </c>
      <c r="D173" s="421"/>
      <c r="E173" s="1667"/>
      <c r="F173" s="1515">
        <f>+F87+F129</f>
        <v>0</v>
      </c>
      <c r="G173" s="1667"/>
      <c r="H173" s="1515">
        <f>+H87+H129</f>
        <v>0</v>
      </c>
      <c r="I173" s="1673"/>
      <c r="J173" s="1673">
        <f t="shared" si="213"/>
        <v>0</v>
      </c>
      <c r="K173" s="1667"/>
      <c r="L173" s="1515">
        <f>+L87+L129</f>
        <v>1</v>
      </c>
      <c r="M173" s="1674">
        <f t="shared" ref="M173:M174" si="298">+I173+K173</f>
        <v>0</v>
      </c>
      <c r="N173" s="1674">
        <f t="shared" si="272"/>
        <v>1</v>
      </c>
      <c r="O173" s="1667"/>
      <c r="P173" s="1515">
        <f>+P87+P129</f>
        <v>0</v>
      </c>
      <c r="Q173" s="1673">
        <f t="shared" ref="Q173:Q174" si="299">+M173+O173</f>
        <v>0</v>
      </c>
      <c r="R173" s="1673">
        <f t="shared" si="273"/>
        <v>1</v>
      </c>
      <c r="S173" s="1667"/>
      <c r="T173" s="1515">
        <f>+T87+T129</f>
        <v>0</v>
      </c>
      <c r="U173" s="1673">
        <f t="shared" ref="U173:U174" si="300">+Q173+S173</f>
        <v>0</v>
      </c>
      <c r="V173" s="1673">
        <f t="shared" si="294"/>
        <v>1</v>
      </c>
      <c r="W173" s="1667"/>
      <c r="X173" s="1515">
        <f>+X87+X129</f>
        <v>0</v>
      </c>
      <c r="Y173" s="1674">
        <f t="shared" ref="Y173:Y174" si="301">O173+S173+W173</f>
        <v>0</v>
      </c>
      <c r="Z173" s="1674">
        <f t="shared" si="215"/>
        <v>0</v>
      </c>
      <c r="AA173" s="1820">
        <f t="shared" ref="AA173:AA174" si="302">+M173+Y173</f>
        <v>0</v>
      </c>
      <c r="AB173" s="1820">
        <f t="shared" si="281"/>
        <v>1</v>
      </c>
      <c r="AC173" s="1667"/>
      <c r="AD173" s="1515">
        <f>+AD87+AD129</f>
        <v>0</v>
      </c>
      <c r="AE173" s="1673">
        <f t="shared" ref="AE173:AE174" si="303">+AA173+AC173</f>
        <v>0</v>
      </c>
      <c r="AF173" s="1673">
        <f t="shared" si="295"/>
        <v>1</v>
      </c>
      <c r="AG173" s="1667"/>
      <c r="AH173" s="1515">
        <f>+AH87+AH129</f>
        <v>0</v>
      </c>
      <c r="AI173" s="1673">
        <f t="shared" ref="AI173:AI177" si="304">+AE173+AG173</f>
        <v>0</v>
      </c>
      <c r="AJ173" s="1673">
        <f t="shared" si="296"/>
        <v>1</v>
      </c>
      <c r="AK173" s="1667"/>
      <c r="AL173" s="1515">
        <f>+AL87+AL129</f>
        <v>0</v>
      </c>
      <c r="AM173" s="1674">
        <f t="shared" ref="AM173:AM174" si="305">AC173+AG173+AK173</f>
        <v>0</v>
      </c>
      <c r="AN173" s="1674">
        <f t="shared" si="219"/>
        <v>0</v>
      </c>
      <c r="AO173" s="1673">
        <f t="shared" ref="AO173:AO177" si="306">+AI173+AK173</f>
        <v>0</v>
      </c>
      <c r="AP173" s="1673">
        <f t="shared" si="297"/>
        <v>1</v>
      </c>
      <c r="AQ173" s="1667"/>
      <c r="AR173" s="1515">
        <f>+AR87+AR129</f>
        <v>1</v>
      </c>
      <c r="AS173" s="1673">
        <f t="shared" si="223"/>
        <v>0</v>
      </c>
      <c r="AT173" s="1673">
        <f t="shared" si="223"/>
        <v>2</v>
      </c>
      <c r="AU173" s="1667"/>
      <c r="AV173" s="1515">
        <f>+AV87+AV129</f>
        <v>0</v>
      </c>
      <c r="AW173" s="1673">
        <f t="shared" si="224"/>
        <v>0</v>
      </c>
      <c r="AX173" s="1673">
        <f t="shared" si="224"/>
        <v>2</v>
      </c>
      <c r="AY173" s="1667"/>
      <c r="AZ173" s="1515">
        <f>+AZ87+AZ129</f>
        <v>0</v>
      </c>
      <c r="BA173" s="1674">
        <f t="shared" ref="BA173:BB174" si="307">AQ173+AU173+AY173</f>
        <v>0</v>
      </c>
      <c r="BB173" s="1674">
        <f t="shared" si="307"/>
        <v>1</v>
      </c>
      <c r="BC173" s="1820">
        <f>+AM173+BA173</f>
        <v>0</v>
      </c>
      <c r="BD173" s="1820">
        <f>+AN173+BB173</f>
        <v>1</v>
      </c>
      <c r="BE173" s="1673">
        <f t="shared" ref="BE173:BF174" si="308">+AW173+AY173</f>
        <v>0</v>
      </c>
      <c r="BF173" s="1673">
        <f t="shared" si="308"/>
        <v>2</v>
      </c>
    </row>
    <row r="174" spans="2:58" x14ac:dyDescent="0.25">
      <c r="B174" s="5168"/>
      <c r="C174" s="1394" t="s">
        <v>1458</v>
      </c>
      <c r="D174" s="421"/>
      <c r="E174" s="1667"/>
      <c r="F174" s="1106">
        <f>+F130+F88</f>
        <v>0</v>
      </c>
      <c r="G174" s="1667"/>
      <c r="H174" s="1106">
        <f>+H130+H88</f>
        <v>0</v>
      </c>
      <c r="I174" s="1673"/>
      <c r="J174" s="1673">
        <f t="shared" si="213"/>
        <v>0</v>
      </c>
      <c r="K174" s="1667"/>
      <c r="L174" s="1106">
        <f>+L130+L88</f>
        <v>2584</v>
      </c>
      <c r="M174" s="1674">
        <f t="shared" si="298"/>
        <v>0</v>
      </c>
      <c r="N174" s="1674">
        <f t="shared" si="272"/>
        <v>2584</v>
      </c>
      <c r="O174" s="1667"/>
      <c r="P174" s="1106">
        <f>+P130+P88</f>
        <v>0</v>
      </c>
      <c r="Q174" s="1673">
        <f t="shared" si="299"/>
        <v>0</v>
      </c>
      <c r="R174" s="1673">
        <f t="shared" si="273"/>
        <v>2584</v>
      </c>
      <c r="S174" s="1667"/>
      <c r="T174" s="1106">
        <f>+T130+T88</f>
        <v>0</v>
      </c>
      <c r="U174" s="1673">
        <f t="shared" si="300"/>
        <v>0</v>
      </c>
      <c r="V174" s="1673">
        <f t="shared" si="294"/>
        <v>2584</v>
      </c>
      <c r="W174" s="1667"/>
      <c r="X174" s="1106">
        <f>+X130+X88</f>
        <v>0</v>
      </c>
      <c r="Y174" s="1674">
        <f t="shared" si="301"/>
        <v>0</v>
      </c>
      <c r="Z174" s="1674">
        <f t="shared" si="215"/>
        <v>0</v>
      </c>
      <c r="AA174" s="1820">
        <f t="shared" si="302"/>
        <v>0</v>
      </c>
      <c r="AB174" s="1820">
        <f t="shared" si="281"/>
        <v>2584</v>
      </c>
      <c r="AC174" s="1667"/>
      <c r="AD174" s="1106">
        <f>+AD130+AD88</f>
        <v>0</v>
      </c>
      <c r="AE174" s="1673">
        <f t="shared" si="303"/>
        <v>0</v>
      </c>
      <c r="AF174" s="1673">
        <f t="shared" si="295"/>
        <v>2584</v>
      </c>
      <c r="AG174" s="1667"/>
      <c r="AH174" s="1106">
        <f>+AH130+AH88</f>
        <v>0</v>
      </c>
      <c r="AI174" s="1673">
        <f t="shared" si="304"/>
        <v>0</v>
      </c>
      <c r="AJ174" s="1673">
        <f t="shared" si="296"/>
        <v>2584</v>
      </c>
      <c r="AK174" s="1667"/>
      <c r="AL174" s="1106">
        <f>+AL130+AL88</f>
        <v>0</v>
      </c>
      <c r="AM174" s="1674">
        <f t="shared" si="305"/>
        <v>0</v>
      </c>
      <c r="AN174" s="1674">
        <f t="shared" si="219"/>
        <v>0</v>
      </c>
      <c r="AO174" s="1673">
        <f t="shared" si="306"/>
        <v>0</v>
      </c>
      <c r="AP174" s="1673">
        <f t="shared" si="297"/>
        <v>2584</v>
      </c>
      <c r="AQ174" s="1667"/>
      <c r="AR174" s="1106">
        <f>+AR130+AR88</f>
        <v>4037</v>
      </c>
      <c r="AS174" s="1673">
        <f t="shared" si="223"/>
        <v>0</v>
      </c>
      <c r="AT174" s="1673">
        <f t="shared" si="223"/>
        <v>6621</v>
      </c>
      <c r="AU174" s="1667"/>
      <c r="AV174" s="1106">
        <f>+AV130+AV88</f>
        <v>0</v>
      </c>
      <c r="AW174" s="1673">
        <f t="shared" si="224"/>
        <v>0</v>
      </c>
      <c r="AX174" s="1673">
        <f t="shared" si="224"/>
        <v>6621</v>
      </c>
      <c r="AY174" s="1667"/>
      <c r="AZ174" s="1106">
        <f>+AZ130+AZ88</f>
        <v>0</v>
      </c>
      <c r="BA174" s="1674">
        <f t="shared" si="307"/>
        <v>0</v>
      </c>
      <c r="BB174" s="1674">
        <f t="shared" si="307"/>
        <v>4037</v>
      </c>
      <c r="BC174" s="1820">
        <f>+AM174+BA174</f>
        <v>0</v>
      </c>
      <c r="BD174" s="1820">
        <f>+AN174+BB174</f>
        <v>4037</v>
      </c>
      <c r="BE174" s="1673">
        <f t="shared" si="308"/>
        <v>0</v>
      </c>
      <c r="BF174" s="1673">
        <f t="shared" si="308"/>
        <v>6621</v>
      </c>
    </row>
    <row r="175" spans="2:58" s="334" customFormat="1" x14ac:dyDescent="0.25">
      <c r="B175" s="5168"/>
      <c r="C175" s="1081" t="s">
        <v>1632</v>
      </c>
      <c r="D175" s="1081"/>
      <c r="E175" s="1677"/>
      <c r="F175" s="1698"/>
      <c r="G175" s="1677"/>
      <c r="H175" s="1698"/>
      <c r="I175" s="3843"/>
      <c r="J175" s="3843"/>
      <c r="K175" s="1677"/>
      <c r="L175" s="1698"/>
      <c r="M175" s="3843"/>
      <c r="N175" s="3843"/>
      <c r="O175" s="1677"/>
      <c r="P175" s="1698"/>
      <c r="Q175" s="3843"/>
      <c r="R175" s="3843"/>
      <c r="S175" s="1677"/>
      <c r="T175" s="1698"/>
      <c r="U175" s="3843"/>
      <c r="V175" s="3843"/>
      <c r="W175" s="1677"/>
      <c r="X175" s="1698"/>
      <c r="Y175" s="3843"/>
      <c r="Z175" s="3843"/>
      <c r="AA175" s="3843"/>
      <c r="AB175" s="3843"/>
      <c r="AC175" s="1677"/>
      <c r="AD175" s="1698"/>
      <c r="AE175" s="3843"/>
      <c r="AF175" s="3843"/>
      <c r="AG175" s="1677"/>
      <c r="AH175" s="1698"/>
      <c r="AI175" s="3843"/>
      <c r="AJ175" s="3843"/>
      <c r="AK175" s="1677"/>
      <c r="AL175" s="1698"/>
      <c r="AM175" s="3843"/>
      <c r="AN175" s="3843"/>
      <c r="AO175" s="3843"/>
      <c r="AP175" s="3843"/>
      <c r="AQ175" s="1677"/>
      <c r="AR175" s="1698"/>
      <c r="AS175" s="3843"/>
      <c r="AT175" s="3843"/>
      <c r="AU175" s="1677"/>
      <c r="AV175" s="1698"/>
      <c r="AW175" s="3843"/>
      <c r="AX175" s="3843"/>
      <c r="AY175" s="1677"/>
      <c r="AZ175" s="1698"/>
      <c r="BA175" s="3843"/>
      <c r="BB175" s="3843"/>
      <c r="BC175" s="3843"/>
      <c r="BD175" s="3843"/>
      <c r="BE175" s="3843"/>
      <c r="BF175" s="3843"/>
    </row>
    <row r="176" spans="2:58" x14ac:dyDescent="0.25">
      <c r="B176" s="5168"/>
      <c r="C176" s="3098" t="s">
        <v>1457</v>
      </c>
      <c r="D176" s="421"/>
      <c r="E176" s="1667"/>
      <c r="F176" s="1106">
        <f>+F93+F132</f>
        <v>0</v>
      </c>
      <c r="G176" s="1667"/>
      <c r="H176" s="1106">
        <f>+H93+H132</f>
        <v>0</v>
      </c>
      <c r="I176" s="1673"/>
      <c r="J176" s="1673">
        <f t="shared" si="213"/>
        <v>0</v>
      </c>
      <c r="K176" s="1667"/>
      <c r="L176" s="1106">
        <f>+L93+L132</f>
        <v>0</v>
      </c>
      <c r="M176" s="1674"/>
      <c r="N176" s="1674">
        <f t="shared" ref="N176:N198" si="309">+J176+L176</f>
        <v>0</v>
      </c>
      <c r="O176" s="1667"/>
      <c r="P176" s="1106">
        <f>+P93+P132</f>
        <v>0</v>
      </c>
      <c r="Q176" s="1673"/>
      <c r="R176" s="1673">
        <f t="shared" ref="R176:R198" si="310">+N176+P176</f>
        <v>0</v>
      </c>
      <c r="S176" s="1667"/>
      <c r="T176" s="1106">
        <f>+T93+T132</f>
        <v>0</v>
      </c>
      <c r="U176" s="1673"/>
      <c r="V176" s="1673">
        <f t="shared" si="294"/>
        <v>0</v>
      </c>
      <c r="W176" s="1667"/>
      <c r="X176" s="1106">
        <f>+X93+X132</f>
        <v>1</v>
      </c>
      <c r="Y176" s="1674"/>
      <c r="Z176" s="1674">
        <f t="shared" si="215"/>
        <v>1</v>
      </c>
      <c r="AA176" s="1820">
        <f t="shared" ref="AA176:AA177" si="311">+M176+Y176</f>
        <v>0</v>
      </c>
      <c r="AB176" s="1820">
        <f t="shared" si="281"/>
        <v>1</v>
      </c>
      <c r="AC176" s="1667"/>
      <c r="AD176" s="1106">
        <f>+AD93+AD132</f>
        <v>3</v>
      </c>
      <c r="AE176" s="1673"/>
      <c r="AF176" s="1673">
        <f t="shared" si="295"/>
        <v>4</v>
      </c>
      <c r="AG176" s="1667"/>
      <c r="AH176" s="1106">
        <f>+AH93+AH132</f>
        <v>0</v>
      </c>
      <c r="AI176" s="1673">
        <f t="shared" si="304"/>
        <v>0</v>
      </c>
      <c r="AJ176" s="1673">
        <f t="shared" si="296"/>
        <v>4</v>
      </c>
      <c r="AK176" s="1667"/>
      <c r="AL176" s="1106">
        <f>+AL93+AL132</f>
        <v>4</v>
      </c>
      <c r="AM176" s="1674">
        <f t="shared" si="219"/>
        <v>0</v>
      </c>
      <c r="AN176" s="1674">
        <f t="shared" si="219"/>
        <v>7</v>
      </c>
      <c r="AO176" s="1673">
        <f t="shared" si="306"/>
        <v>0</v>
      </c>
      <c r="AP176" s="1673">
        <f t="shared" si="297"/>
        <v>8</v>
      </c>
      <c r="AQ176" s="1667"/>
      <c r="AR176" s="1106">
        <f>+AR93+AR132</f>
        <v>1</v>
      </c>
      <c r="AS176" s="1673">
        <f t="shared" si="223"/>
        <v>0</v>
      </c>
      <c r="AT176" s="1673">
        <f t="shared" si="223"/>
        <v>9</v>
      </c>
      <c r="AU176" s="1667"/>
      <c r="AV176" s="1106">
        <f>+AV93+AV132</f>
        <v>2</v>
      </c>
      <c r="AW176" s="1673">
        <f t="shared" si="224"/>
        <v>0</v>
      </c>
      <c r="AX176" s="1673">
        <f t="shared" si="224"/>
        <v>11</v>
      </c>
      <c r="AY176" s="1667"/>
      <c r="AZ176" s="1106">
        <f>+AZ93+AZ132</f>
        <v>4</v>
      </c>
      <c r="BA176" s="1674">
        <f t="shared" ref="BA176:BB177" si="312">AQ176+AU176+AY176</f>
        <v>0</v>
      </c>
      <c r="BB176" s="1674">
        <f t="shared" si="312"/>
        <v>7</v>
      </c>
      <c r="BC176" s="1820">
        <f>+AM176+BA176</f>
        <v>0</v>
      </c>
      <c r="BD176" s="1820">
        <f>+AN176+BB176</f>
        <v>14</v>
      </c>
      <c r="BE176" s="1673">
        <f t="shared" ref="BE176:BF177" si="313">+AW176+AY176</f>
        <v>0</v>
      </c>
      <c r="BF176" s="1673">
        <f t="shared" si="313"/>
        <v>15</v>
      </c>
    </row>
    <row r="177" spans="2:58" x14ac:dyDescent="0.25">
      <c r="B177" s="5168"/>
      <c r="C177" s="3098" t="s">
        <v>1458</v>
      </c>
      <c r="D177" s="421"/>
      <c r="E177" s="1667"/>
      <c r="F177" s="1106">
        <f>+F94+F133</f>
        <v>0</v>
      </c>
      <c r="G177" s="1667"/>
      <c r="H177" s="1106">
        <f>+H94+H133</f>
        <v>0</v>
      </c>
      <c r="I177" s="1673"/>
      <c r="J177" s="1673">
        <f t="shared" si="213"/>
        <v>0</v>
      </c>
      <c r="K177" s="1667"/>
      <c r="L177" s="1106">
        <f>+L94+L133</f>
        <v>0</v>
      </c>
      <c r="M177" s="1674"/>
      <c r="N177" s="1674">
        <f t="shared" si="309"/>
        <v>0</v>
      </c>
      <c r="O177" s="1667"/>
      <c r="P177" s="1106">
        <f>+P94+P133</f>
        <v>0</v>
      </c>
      <c r="Q177" s="1673"/>
      <c r="R177" s="1673">
        <f t="shared" si="310"/>
        <v>0</v>
      </c>
      <c r="S177" s="1667"/>
      <c r="T177" s="1106">
        <f>+T94+T133</f>
        <v>0</v>
      </c>
      <c r="U177" s="1673"/>
      <c r="V177" s="1673">
        <f t="shared" si="294"/>
        <v>0</v>
      </c>
      <c r="W177" s="1667"/>
      <c r="X177" s="1106">
        <f>+X94+X133</f>
        <v>4045</v>
      </c>
      <c r="Y177" s="1674"/>
      <c r="Z177" s="1674">
        <f t="shared" si="215"/>
        <v>4045</v>
      </c>
      <c r="AA177" s="1820">
        <f t="shared" si="311"/>
        <v>0</v>
      </c>
      <c r="AB177" s="1820">
        <f t="shared" si="281"/>
        <v>4045</v>
      </c>
      <c r="AC177" s="1667"/>
      <c r="AD177" s="1106">
        <f>+AD94+AD133</f>
        <v>11833</v>
      </c>
      <c r="AE177" s="1673"/>
      <c r="AF177" s="1673">
        <f t="shared" si="295"/>
        <v>15878</v>
      </c>
      <c r="AG177" s="1667"/>
      <c r="AH177" s="1106">
        <f>+AH94+AH133</f>
        <v>0</v>
      </c>
      <c r="AI177" s="1673">
        <f t="shared" si="304"/>
        <v>0</v>
      </c>
      <c r="AJ177" s="1673">
        <f t="shared" si="296"/>
        <v>15878</v>
      </c>
      <c r="AK177" s="1667"/>
      <c r="AL177" s="1106">
        <f>+AL94+AL133</f>
        <v>13865</v>
      </c>
      <c r="AM177" s="1674">
        <f t="shared" si="219"/>
        <v>0</v>
      </c>
      <c r="AN177" s="1674">
        <f t="shared" si="219"/>
        <v>25698</v>
      </c>
      <c r="AO177" s="1673">
        <f t="shared" si="306"/>
        <v>0</v>
      </c>
      <c r="AP177" s="1673">
        <f t="shared" si="297"/>
        <v>29743</v>
      </c>
      <c r="AQ177" s="1667"/>
      <c r="AR177" s="1106">
        <f>+AR94+AR133</f>
        <v>3911</v>
      </c>
      <c r="AS177" s="1673">
        <f t="shared" si="223"/>
        <v>0</v>
      </c>
      <c r="AT177" s="1673">
        <f t="shared" si="223"/>
        <v>33654</v>
      </c>
      <c r="AU177" s="1667"/>
      <c r="AV177" s="1106">
        <f>+AV94+AV133</f>
        <v>7634</v>
      </c>
      <c r="AW177" s="1673">
        <f t="shared" si="224"/>
        <v>0</v>
      </c>
      <c r="AX177" s="1673">
        <f t="shared" si="224"/>
        <v>41288</v>
      </c>
      <c r="AY177" s="1667"/>
      <c r="AZ177" s="1106">
        <f>+AZ94+AZ133</f>
        <v>15508</v>
      </c>
      <c r="BA177" s="1674">
        <f t="shared" si="312"/>
        <v>0</v>
      </c>
      <c r="BB177" s="1674">
        <f t="shared" si="312"/>
        <v>27053</v>
      </c>
      <c r="BC177" s="1820">
        <f>+AM177+BA177</f>
        <v>0</v>
      </c>
      <c r="BD177" s="1820">
        <f>+AN177+BB177</f>
        <v>52751</v>
      </c>
      <c r="BE177" s="1673">
        <f t="shared" si="313"/>
        <v>0</v>
      </c>
      <c r="BF177" s="1673">
        <f t="shared" si="313"/>
        <v>56796</v>
      </c>
    </row>
    <row r="178" spans="2:58" s="334" customFormat="1" x14ac:dyDescent="0.25">
      <c r="B178" s="5168"/>
      <c r="C178" s="1081" t="s">
        <v>1633</v>
      </c>
      <c r="D178" s="1081"/>
      <c r="E178" s="1677"/>
      <c r="F178" s="1698"/>
      <c r="G178" s="1677"/>
      <c r="H178" s="1698"/>
      <c r="I178" s="3843"/>
      <c r="J178" s="3843"/>
      <c r="K178" s="1677"/>
      <c r="L178" s="1698"/>
      <c r="M178" s="3843"/>
      <c r="N178" s="3843"/>
      <c r="O178" s="1677"/>
      <c r="P178" s="1698"/>
      <c r="Q178" s="3843"/>
      <c r="R178" s="3843"/>
      <c r="S178" s="1677"/>
      <c r="T178" s="1698"/>
      <c r="U178" s="3843"/>
      <c r="V178" s="3843"/>
      <c r="W178" s="1677"/>
      <c r="X178" s="1698"/>
      <c r="Y178" s="3843"/>
      <c r="Z178" s="3843"/>
      <c r="AA178" s="3843"/>
      <c r="AB178" s="3843"/>
      <c r="AC178" s="1677"/>
      <c r="AD178" s="1698"/>
      <c r="AE178" s="3843"/>
      <c r="AF178" s="3843"/>
      <c r="AG178" s="1677"/>
      <c r="AH178" s="1698"/>
      <c r="AI178" s="3843"/>
      <c r="AJ178" s="3843"/>
      <c r="AK178" s="1677"/>
      <c r="AL178" s="1698"/>
      <c r="AM178" s="3843"/>
      <c r="AN178" s="3843"/>
      <c r="AO178" s="3843"/>
      <c r="AP178" s="3843"/>
      <c r="AQ178" s="1677"/>
      <c r="AR178" s="1698"/>
      <c r="AS178" s="3843"/>
      <c r="AT178" s="3843"/>
      <c r="AU178" s="1677"/>
      <c r="AV178" s="1698"/>
      <c r="AW178" s="3843"/>
      <c r="AX178" s="3843"/>
      <c r="AY178" s="1677"/>
      <c r="AZ178" s="1698"/>
      <c r="BA178" s="3843"/>
      <c r="BB178" s="3843"/>
      <c r="BC178" s="3843"/>
      <c r="BD178" s="3843"/>
      <c r="BE178" s="3843"/>
      <c r="BF178" s="3843"/>
    </row>
    <row r="179" spans="2:58" x14ac:dyDescent="0.25">
      <c r="B179" s="5168"/>
      <c r="C179" s="1394" t="s">
        <v>1457</v>
      </c>
      <c r="D179" s="421"/>
      <c r="E179" s="1667"/>
      <c r="F179" s="1515">
        <f>+F90+F135</f>
        <v>1</v>
      </c>
      <c r="G179" s="1667"/>
      <c r="H179" s="1515">
        <f>+H90+H135</f>
        <v>2</v>
      </c>
      <c r="I179" s="1673"/>
      <c r="J179" s="1673">
        <f t="shared" si="213"/>
        <v>3</v>
      </c>
      <c r="K179" s="1667"/>
      <c r="L179" s="1515">
        <f>+L90+L135</f>
        <v>1</v>
      </c>
      <c r="M179" s="1674">
        <f t="shared" ref="M179:M180" si="314">+I179+K179</f>
        <v>0</v>
      </c>
      <c r="N179" s="1674">
        <f t="shared" si="309"/>
        <v>4</v>
      </c>
      <c r="O179" s="1667"/>
      <c r="P179" s="1515">
        <f>+P90+P135</f>
        <v>2</v>
      </c>
      <c r="Q179" s="1673">
        <f t="shared" ref="Q179:Q180" si="315">+M179+O179</f>
        <v>0</v>
      </c>
      <c r="R179" s="1673">
        <f t="shared" si="310"/>
        <v>6</v>
      </c>
      <c r="S179" s="1667"/>
      <c r="T179" s="1515">
        <f>+T90+T135</f>
        <v>2</v>
      </c>
      <c r="U179" s="1673">
        <f t="shared" ref="U179:U180" si="316">+Q179+S179</f>
        <v>0</v>
      </c>
      <c r="V179" s="1673">
        <f t="shared" si="294"/>
        <v>8</v>
      </c>
      <c r="W179" s="1667"/>
      <c r="X179" s="1515">
        <f>+X90+X135</f>
        <v>1</v>
      </c>
      <c r="Y179" s="1674">
        <f t="shared" ref="Y179:Y180" si="317">O179+S179+W179</f>
        <v>0</v>
      </c>
      <c r="Z179" s="1674">
        <f t="shared" si="215"/>
        <v>5</v>
      </c>
      <c r="AA179" s="1820">
        <f t="shared" ref="AA179:AB194" si="318">+M179+Y179</f>
        <v>0</v>
      </c>
      <c r="AB179" s="1820">
        <f t="shared" si="318"/>
        <v>9</v>
      </c>
      <c r="AC179" s="1667"/>
      <c r="AD179" s="1515">
        <f>+AD90+AD135</f>
        <v>0</v>
      </c>
      <c r="AE179" s="1673">
        <f t="shared" ref="AE179:AE180" si="319">+AA179+AC179</f>
        <v>0</v>
      </c>
      <c r="AF179" s="1673">
        <f t="shared" si="295"/>
        <v>9</v>
      </c>
      <c r="AG179" s="1667"/>
      <c r="AH179" s="1515">
        <f>+AH90+AH135</f>
        <v>0</v>
      </c>
      <c r="AI179" s="1673">
        <f t="shared" ref="AI179:AI180" si="320">+AE179+AG179</f>
        <v>0</v>
      </c>
      <c r="AJ179" s="1673">
        <f t="shared" si="296"/>
        <v>9</v>
      </c>
      <c r="AK179" s="1667"/>
      <c r="AL179" s="1515">
        <f>+AL90+AL135</f>
        <v>0</v>
      </c>
      <c r="AM179" s="1674">
        <f t="shared" ref="AM179:AM180" si="321">AC179+AG179+AK179</f>
        <v>0</v>
      </c>
      <c r="AN179" s="1674">
        <f t="shared" si="219"/>
        <v>0</v>
      </c>
      <c r="AO179" s="1673">
        <f t="shared" ref="AO179:AO180" si="322">+AI179+AK179</f>
        <v>0</v>
      </c>
      <c r="AP179" s="1673">
        <f t="shared" si="297"/>
        <v>9</v>
      </c>
      <c r="AQ179" s="1667"/>
      <c r="AR179" s="1515">
        <f>+AR90+AR135</f>
        <v>1</v>
      </c>
      <c r="AS179" s="1673">
        <f t="shared" si="223"/>
        <v>0</v>
      </c>
      <c r="AT179" s="1673">
        <f t="shared" si="223"/>
        <v>10</v>
      </c>
      <c r="AU179" s="1667"/>
      <c r="AV179" s="1515">
        <f>+AV90+AV135</f>
        <v>1</v>
      </c>
      <c r="AW179" s="1673">
        <f t="shared" si="224"/>
        <v>0</v>
      </c>
      <c r="AX179" s="1673">
        <f t="shared" si="224"/>
        <v>11</v>
      </c>
      <c r="AY179" s="1667"/>
      <c r="AZ179" s="1515">
        <f>+AZ90+AZ135</f>
        <v>0</v>
      </c>
      <c r="BA179" s="1674">
        <f t="shared" ref="BA179:BB180" si="323">AQ179+AU179+AY179</f>
        <v>0</v>
      </c>
      <c r="BB179" s="1674">
        <f t="shared" si="323"/>
        <v>2</v>
      </c>
      <c r="BC179" s="1820">
        <f>+AM179+BA179</f>
        <v>0</v>
      </c>
      <c r="BD179" s="1820">
        <f>+AN179+BB179</f>
        <v>2</v>
      </c>
      <c r="BE179" s="1673">
        <f t="shared" ref="BE179:BF180" si="324">+AW179+AY179</f>
        <v>0</v>
      </c>
      <c r="BF179" s="1673">
        <f t="shared" si="324"/>
        <v>11</v>
      </c>
    </row>
    <row r="180" spans="2:58" x14ac:dyDescent="0.25">
      <c r="B180" s="5168"/>
      <c r="C180" s="1394" t="s">
        <v>1458</v>
      </c>
      <c r="D180" s="421"/>
      <c r="E180" s="1667"/>
      <c r="F180" s="1106">
        <f>+F91+F136</f>
        <v>3966</v>
      </c>
      <c r="G180" s="1667"/>
      <c r="H180" s="1106">
        <f>+H91+H136</f>
        <v>7819</v>
      </c>
      <c r="I180" s="1673"/>
      <c r="J180" s="1673">
        <f t="shared" si="213"/>
        <v>11785</v>
      </c>
      <c r="K180" s="1667"/>
      <c r="L180" s="1106">
        <f>+L91+L136</f>
        <v>3988</v>
      </c>
      <c r="M180" s="1674">
        <f t="shared" si="314"/>
        <v>0</v>
      </c>
      <c r="N180" s="1674">
        <f t="shared" si="309"/>
        <v>15773</v>
      </c>
      <c r="O180" s="1667"/>
      <c r="P180" s="1106">
        <f>+P91+P136</f>
        <v>7866</v>
      </c>
      <c r="Q180" s="1673">
        <f t="shared" si="315"/>
        <v>0</v>
      </c>
      <c r="R180" s="1673">
        <f t="shared" si="310"/>
        <v>23639</v>
      </c>
      <c r="S180" s="1667"/>
      <c r="T180" s="1106">
        <f>+T91+T136</f>
        <v>7123</v>
      </c>
      <c r="U180" s="1673">
        <f t="shared" si="316"/>
        <v>0</v>
      </c>
      <c r="V180" s="1673">
        <f t="shared" si="294"/>
        <v>30762</v>
      </c>
      <c r="W180" s="1667"/>
      <c r="X180" s="1106">
        <f>+X91+X136</f>
        <v>3967</v>
      </c>
      <c r="Y180" s="1674">
        <f t="shared" si="317"/>
        <v>0</v>
      </c>
      <c r="Z180" s="1674">
        <f t="shared" si="215"/>
        <v>18956</v>
      </c>
      <c r="AA180" s="1820">
        <f t="shared" si="318"/>
        <v>0</v>
      </c>
      <c r="AB180" s="1820">
        <f t="shared" si="318"/>
        <v>34729</v>
      </c>
      <c r="AC180" s="1667"/>
      <c r="AD180" s="1106">
        <f>+AD91+AD136</f>
        <v>0</v>
      </c>
      <c r="AE180" s="1673">
        <f t="shared" si="319"/>
        <v>0</v>
      </c>
      <c r="AF180" s="1673">
        <f t="shared" si="295"/>
        <v>34729</v>
      </c>
      <c r="AG180" s="1667"/>
      <c r="AH180" s="1106">
        <f>+AH91+AH136</f>
        <v>0</v>
      </c>
      <c r="AI180" s="1673">
        <f t="shared" si="320"/>
        <v>0</v>
      </c>
      <c r="AJ180" s="1673">
        <f t="shared" si="296"/>
        <v>34729</v>
      </c>
      <c r="AK180" s="1667"/>
      <c r="AL180" s="1106">
        <f>+AL91+AL136</f>
        <v>0</v>
      </c>
      <c r="AM180" s="1674">
        <f t="shared" si="321"/>
        <v>0</v>
      </c>
      <c r="AN180" s="1674">
        <f t="shared" si="219"/>
        <v>0</v>
      </c>
      <c r="AO180" s="1673">
        <f t="shared" si="322"/>
        <v>0</v>
      </c>
      <c r="AP180" s="1673">
        <f t="shared" si="297"/>
        <v>34729</v>
      </c>
      <c r="AQ180" s="1667"/>
      <c r="AR180" s="1106">
        <f>+AR91+AR136</f>
        <v>3677</v>
      </c>
      <c r="AS180" s="1673">
        <f t="shared" si="223"/>
        <v>0</v>
      </c>
      <c r="AT180" s="1673">
        <f t="shared" si="223"/>
        <v>38406</v>
      </c>
      <c r="AU180" s="1667"/>
      <c r="AV180" s="1106">
        <f>+AV91+AV136</f>
        <v>3750</v>
      </c>
      <c r="AW180" s="1673">
        <f t="shared" si="224"/>
        <v>0</v>
      </c>
      <c r="AX180" s="1673">
        <f t="shared" si="224"/>
        <v>42156</v>
      </c>
      <c r="AY180" s="1667"/>
      <c r="AZ180" s="1106">
        <f>+AZ91+AZ136</f>
        <v>0</v>
      </c>
      <c r="BA180" s="1674">
        <f t="shared" si="323"/>
        <v>0</v>
      </c>
      <c r="BB180" s="1674">
        <f t="shared" si="323"/>
        <v>7427</v>
      </c>
      <c r="BC180" s="1820">
        <f>+AM180+BA180</f>
        <v>0</v>
      </c>
      <c r="BD180" s="1820">
        <f>+AN180+BB180</f>
        <v>7427</v>
      </c>
      <c r="BE180" s="1673">
        <f t="shared" si="324"/>
        <v>0</v>
      </c>
      <c r="BF180" s="1673">
        <f t="shared" si="324"/>
        <v>42156</v>
      </c>
    </row>
    <row r="181" spans="2:58" s="334" customFormat="1" ht="18.75" x14ac:dyDescent="0.3">
      <c r="B181" s="5168"/>
      <c r="C181" s="1703" t="s">
        <v>23</v>
      </c>
      <c r="D181" s="1684"/>
      <c r="E181" s="3844"/>
      <c r="F181" s="3845"/>
      <c r="G181" s="3844"/>
      <c r="H181" s="3845"/>
      <c r="I181" s="3843"/>
      <c r="J181" s="3843"/>
      <c r="K181" s="3844"/>
      <c r="L181" s="3845"/>
      <c r="M181" s="3843"/>
      <c r="N181" s="3843"/>
      <c r="O181" s="3844"/>
      <c r="P181" s="3845"/>
      <c r="Q181" s="3843"/>
      <c r="R181" s="3843"/>
      <c r="S181" s="3844"/>
      <c r="T181" s="3845"/>
      <c r="U181" s="3843"/>
      <c r="V181" s="3843"/>
      <c r="W181" s="3844"/>
      <c r="X181" s="3845"/>
      <c r="Y181" s="3843"/>
      <c r="Z181" s="3843"/>
      <c r="AA181" s="3843"/>
      <c r="AB181" s="3843"/>
      <c r="AC181" s="3844"/>
      <c r="AD181" s="3845"/>
      <c r="AE181" s="3843"/>
      <c r="AF181" s="3843"/>
      <c r="AG181" s="3844"/>
      <c r="AH181" s="3845"/>
      <c r="AI181" s="3843"/>
      <c r="AJ181" s="3843"/>
      <c r="AK181" s="3844"/>
      <c r="AL181" s="3845"/>
      <c r="AM181" s="3843"/>
      <c r="AN181" s="3843"/>
      <c r="AO181" s="3843"/>
      <c r="AP181" s="3843"/>
      <c r="AQ181" s="3844"/>
      <c r="AR181" s="3845"/>
      <c r="AS181" s="3843"/>
      <c r="AT181" s="3843"/>
      <c r="AU181" s="3844"/>
      <c r="AV181" s="3845"/>
      <c r="AW181" s="3843"/>
      <c r="AX181" s="3843"/>
      <c r="AY181" s="3844"/>
      <c r="AZ181" s="3845"/>
      <c r="BA181" s="3843"/>
      <c r="BB181" s="3843"/>
      <c r="BC181" s="3843"/>
      <c r="BD181" s="3843"/>
      <c r="BE181" s="3843"/>
      <c r="BF181" s="3843"/>
    </row>
    <row r="182" spans="2:58" ht="18.75" x14ac:dyDescent="0.3">
      <c r="B182" s="5168"/>
      <c r="C182" s="1691" t="s">
        <v>1457</v>
      </c>
      <c r="D182" s="1681"/>
      <c r="E182" s="1687"/>
      <c r="F182" s="1690">
        <f>+F173+F179+F176</f>
        <v>1</v>
      </c>
      <c r="G182" s="1687"/>
      <c r="H182" s="1690">
        <f>+H173+H179+H176</f>
        <v>2</v>
      </c>
      <c r="I182" s="1688"/>
      <c r="J182" s="1683">
        <f t="shared" si="213"/>
        <v>3</v>
      </c>
      <c r="K182" s="1687"/>
      <c r="L182" s="1690">
        <f>+L173+L179+L176</f>
        <v>2</v>
      </c>
      <c r="M182" s="1688"/>
      <c r="N182" s="1683">
        <f t="shared" si="309"/>
        <v>5</v>
      </c>
      <c r="O182" s="1687"/>
      <c r="P182" s="1690">
        <f>+P173+P179+P176</f>
        <v>2</v>
      </c>
      <c r="Q182" s="1688"/>
      <c r="R182" s="1683">
        <f t="shared" si="310"/>
        <v>7</v>
      </c>
      <c r="S182" s="1687"/>
      <c r="T182" s="1690">
        <f>+T173+T179+T176</f>
        <v>2</v>
      </c>
      <c r="U182" s="1688"/>
      <c r="V182" s="1683">
        <f t="shared" si="294"/>
        <v>9</v>
      </c>
      <c r="W182" s="1687"/>
      <c r="X182" s="1690">
        <f>+X173+X179+X176</f>
        <v>2</v>
      </c>
      <c r="Y182" s="1688">
        <f>O182+S182+W182</f>
        <v>0</v>
      </c>
      <c r="Z182" s="1683">
        <f t="shared" si="215"/>
        <v>6</v>
      </c>
      <c r="AA182" s="1688">
        <f t="shared" ref="AA182:AA183" si="325">+M182+Y182</f>
        <v>0</v>
      </c>
      <c r="AB182" s="1683">
        <f t="shared" si="318"/>
        <v>11</v>
      </c>
      <c r="AC182" s="1687"/>
      <c r="AD182" s="1690">
        <f>+AD173+AD179+AD176</f>
        <v>3</v>
      </c>
      <c r="AE182" s="1688"/>
      <c r="AF182" s="1683">
        <f t="shared" si="295"/>
        <v>14</v>
      </c>
      <c r="AG182" s="1687"/>
      <c r="AH182" s="1690">
        <f>+AH173+AH179+AH176</f>
        <v>0</v>
      </c>
      <c r="AI182" s="1688"/>
      <c r="AJ182" s="1683">
        <f t="shared" si="296"/>
        <v>14</v>
      </c>
      <c r="AK182" s="1687"/>
      <c r="AL182" s="3097">
        <f>+AL173+AL179+AL176</f>
        <v>4</v>
      </c>
      <c r="AM182" s="1688">
        <f>AC182+AG182+AK182</f>
        <v>0</v>
      </c>
      <c r="AN182" s="1683">
        <f t="shared" si="219"/>
        <v>7</v>
      </c>
      <c r="AO182" s="1688"/>
      <c r="AP182" s="1683">
        <f t="shared" si="297"/>
        <v>18</v>
      </c>
      <c r="AQ182" s="1687"/>
      <c r="AR182" s="1690">
        <f>+AR173+AR179+AR176</f>
        <v>3</v>
      </c>
      <c r="AS182" s="1688">
        <f t="shared" si="223"/>
        <v>0</v>
      </c>
      <c r="AT182" s="1683">
        <f t="shared" si="223"/>
        <v>21</v>
      </c>
      <c r="AU182" s="1687"/>
      <c r="AV182" s="1690">
        <f>+AV173+AV179+AV176</f>
        <v>3</v>
      </c>
      <c r="AW182" s="1688">
        <f t="shared" si="224"/>
        <v>0</v>
      </c>
      <c r="AX182" s="1683">
        <f t="shared" si="224"/>
        <v>24</v>
      </c>
      <c r="AY182" s="1687"/>
      <c r="AZ182" s="1690">
        <f>+AZ173+AZ179+AZ176</f>
        <v>4</v>
      </c>
      <c r="BA182" s="1688">
        <f>AQ182+AU182+AY182</f>
        <v>0</v>
      </c>
      <c r="BB182" s="1683">
        <f t="shared" ref="BB182:BB183" si="326">AR182+AV182+AZ182</f>
        <v>10</v>
      </c>
      <c r="BC182" s="1688">
        <f>+AM182+BA182</f>
        <v>0</v>
      </c>
      <c r="BD182" s="1683">
        <f>+AN182+BB182</f>
        <v>17</v>
      </c>
      <c r="BE182" s="1688">
        <f t="shared" ref="BE182:BF183" si="327">+AW182+AY182</f>
        <v>0</v>
      </c>
      <c r="BF182" s="1683">
        <f t="shared" si="327"/>
        <v>28</v>
      </c>
    </row>
    <row r="183" spans="2:58" ht="18.75" x14ac:dyDescent="0.3">
      <c r="B183" s="5169"/>
      <c r="C183" s="1691" t="s">
        <v>1458</v>
      </c>
      <c r="D183" s="1681"/>
      <c r="E183" s="1706">
        <v>8196.7561141304341</v>
      </c>
      <c r="F183" s="1690">
        <f>+F174+F180+F177</f>
        <v>3966</v>
      </c>
      <c r="G183" s="1706">
        <v>8469.9813179347821</v>
      </c>
      <c r="H183" s="1690">
        <f>+H174+H180+H177</f>
        <v>7819</v>
      </c>
      <c r="I183" s="1683"/>
      <c r="J183" s="1683">
        <f t="shared" si="213"/>
        <v>11785</v>
      </c>
      <c r="K183" s="1706">
        <v>8196.7561141304341</v>
      </c>
      <c r="L183" s="1690">
        <f>+L174+L180+L177</f>
        <v>6572</v>
      </c>
      <c r="M183" s="1683">
        <f t="shared" ref="M183" si="328">+I183+K183</f>
        <v>8196.7561141304341</v>
      </c>
      <c r="N183" s="1683">
        <f t="shared" si="309"/>
        <v>18357</v>
      </c>
      <c r="O183" s="1706">
        <v>8469.9813179347821</v>
      </c>
      <c r="P183" s="1690">
        <f>+P174+P180+P177</f>
        <v>7866</v>
      </c>
      <c r="Q183" s="1683">
        <f t="shared" ref="Q183" si="329">+M183+O183</f>
        <v>16666.737432065216</v>
      </c>
      <c r="R183" s="1683">
        <f t="shared" si="310"/>
        <v>26223</v>
      </c>
      <c r="S183" s="1706"/>
      <c r="T183" s="1690">
        <f>+T174+T180+T177</f>
        <v>7123</v>
      </c>
      <c r="U183" s="1683">
        <f t="shared" ref="U183" si="330">+Q183+S183</f>
        <v>16666.737432065216</v>
      </c>
      <c r="V183" s="1683">
        <f t="shared" si="294"/>
        <v>33346</v>
      </c>
      <c r="W183" s="1706"/>
      <c r="X183" s="1690">
        <f>+X174+X180+X177</f>
        <v>8012</v>
      </c>
      <c r="Y183" s="1683">
        <f>O183+S183+W183</f>
        <v>8469.9813179347821</v>
      </c>
      <c r="Z183" s="1683">
        <f t="shared" si="215"/>
        <v>23001</v>
      </c>
      <c r="AA183" s="1683">
        <f t="shared" si="325"/>
        <v>16666.737432065216</v>
      </c>
      <c r="AB183" s="1683">
        <f t="shared" si="318"/>
        <v>41358</v>
      </c>
      <c r="AC183" s="1706"/>
      <c r="AD183" s="1690">
        <f>+AD174+AD180+AD177</f>
        <v>11833</v>
      </c>
      <c r="AE183" s="1683">
        <f t="shared" ref="AE183" si="331">+AA183+AC183</f>
        <v>16666.737432065216</v>
      </c>
      <c r="AF183" s="1683">
        <f t="shared" si="295"/>
        <v>53191</v>
      </c>
      <c r="AG183" s="1706"/>
      <c r="AH183" s="1690">
        <f>+AH174+AH180+AH177</f>
        <v>0</v>
      </c>
      <c r="AI183" s="1683">
        <f t="shared" ref="AI183" si="332">+AE183+AG183</f>
        <v>16666.737432065216</v>
      </c>
      <c r="AJ183" s="1683">
        <f t="shared" si="296"/>
        <v>53191</v>
      </c>
      <c r="AK183" s="1706"/>
      <c r="AL183" s="1690">
        <f>+AL174+AL180+AL177</f>
        <v>13865</v>
      </c>
      <c r="AM183" s="1683">
        <f>AC183+AG183+AK183</f>
        <v>0</v>
      </c>
      <c r="AN183" s="1683">
        <f t="shared" si="219"/>
        <v>25698</v>
      </c>
      <c r="AO183" s="1683">
        <f t="shared" ref="AO183" si="333">+AI183+AK183</f>
        <v>16666.737432065216</v>
      </c>
      <c r="AP183" s="1683">
        <f t="shared" si="297"/>
        <v>67056</v>
      </c>
      <c r="AQ183" s="1706"/>
      <c r="AR183" s="1690">
        <f>+AR174+AR180+AR177</f>
        <v>11625</v>
      </c>
      <c r="AS183" s="1683">
        <f t="shared" si="223"/>
        <v>16666.737432065216</v>
      </c>
      <c r="AT183" s="1683">
        <f t="shared" si="223"/>
        <v>78681</v>
      </c>
      <c r="AU183" s="1706"/>
      <c r="AV183" s="1690">
        <f>+AV174+AV180+AV177</f>
        <v>11384</v>
      </c>
      <c r="AW183" s="1683">
        <f t="shared" si="224"/>
        <v>16666.737432065216</v>
      </c>
      <c r="AX183" s="1683">
        <f t="shared" si="224"/>
        <v>90065</v>
      </c>
      <c r="AY183" s="1706"/>
      <c r="AZ183" s="1690">
        <f>+AZ174+AZ180+AZ177</f>
        <v>15508</v>
      </c>
      <c r="BA183" s="1683">
        <f>AQ183+AU183+AY183</f>
        <v>0</v>
      </c>
      <c r="BB183" s="1683">
        <f t="shared" si="326"/>
        <v>38517</v>
      </c>
      <c r="BC183" s="1683">
        <f>+AM183+BA183</f>
        <v>0</v>
      </c>
      <c r="BD183" s="1683">
        <f>+AN183+BB183</f>
        <v>64215</v>
      </c>
      <c r="BE183" s="1683">
        <f t="shared" si="327"/>
        <v>16666.737432065216</v>
      </c>
      <c r="BF183" s="1683">
        <f t="shared" si="327"/>
        <v>105573</v>
      </c>
    </row>
    <row r="184" spans="2:58" x14ac:dyDescent="0.25">
      <c r="B184" s="5170" t="s">
        <v>1475</v>
      </c>
      <c r="C184" s="421" t="s">
        <v>1477</v>
      </c>
      <c r="D184" s="1081"/>
      <c r="E184" s="1081"/>
      <c r="F184" s="1698"/>
      <c r="G184" s="1081"/>
      <c r="H184" s="1698"/>
      <c r="I184" s="3843"/>
      <c r="J184" s="3843"/>
      <c r="K184" s="1081"/>
      <c r="L184" s="1698"/>
      <c r="M184" s="3843"/>
      <c r="N184" s="3843"/>
      <c r="O184" s="1081"/>
      <c r="P184" s="1698"/>
      <c r="Q184" s="3843"/>
      <c r="R184" s="3843"/>
      <c r="S184" s="1081"/>
      <c r="T184" s="1698"/>
      <c r="U184" s="3843"/>
      <c r="V184" s="3843"/>
      <c r="W184" s="1081"/>
      <c r="X184" s="1698"/>
      <c r="Y184" s="3843"/>
      <c r="Z184" s="3843"/>
      <c r="AA184" s="3843"/>
      <c r="AB184" s="3843"/>
      <c r="AC184" s="1081"/>
      <c r="AD184" s="1698"/>
      <c r="AE184" s="3843"/>
      <c r="AF184" s="3843"/>
      <c r="AG184" s="1081"/>
      <c r="AH184" s="1698"/>
      <c r="AI184" s="3843"/>
      <c r="AJ184" s="3843"/>
      <c r="AK184" s="1081"/>
      <c r="AL184" s="1698"/>
      <c r="AM184" s="3843"/>
      <c r="AN184" s="3843"/>
      <c r="AO184" s="3843"/>
      <c r="AP184" s="3843"/>
      <c r="AQ184" s="1081"/>
      <c r="AR184" s="1698"/>
      <c r="AS184" s="3843"/>
      <c r="AT184" s="3843"/>
      <c r="AU184" s="1081"/>
      <c r="AV184" s="1698"/>
      <c r="AW184" s="3843"/>
      <c r="AX184" s="3843"/>
      <c r="AY184" s="1081"/>
      <c r="AZ184" s="1698"/>
      <c r="BA184" s="3843"/>
      <c r="BB184" s="3843"/>
      <c r="BC184" s="3843"/>
      <c r="BD184" s="3843"/>
      <c r="BE184" s="3843"/>
      <c r="BF184" s="3843"/>
    </row>
    <row r="185" spans="2:58" x14ac:dyDescent="0.25">
      <c r="B185" s="5170"/>
      <c r="C185" s="1394" t="s">
        <v>1457</v>
      </c>
      <c r="D185" s="421"/>
      <c r="E185" s="421"/>
      <c r="F185" s="1515">
        <f>+F99+F141</f>
        <v>16.600000000000001</v>
      </c>
      <c r="G185" s="421"/>
      <c r="H185" s="1515">
        <f>+H99+H141</f>
        <v>21.2</v>
      </c>
      <c r="I185" s="1673"/>
      <c r="J185" s="1673">
        <f t="shared" si="213"/>
        <v>37.799999999999997</v>
      </c>
      <c r="K185" s="421"/>
      <c r="L185" s="1515">
        <f>+L99+L141</f>
        <v>16.399999999999999</v>
      </c>
      <c r="M185" s="1674">
        <f t="shared" ref="M185:M186" si="334">+I185+K185</f>
        <v>0</v>
      </c>
      <c r="N185" s="1674">
        <f t="shared" si="309"/>
        <v>54.199999999999996</v>
      </c>
      <c r="O185" s="421"/>
      <c r="P185" s="1515">
        <f>+P99+P141</f>
        <v>18.7</v>
      </c>
      <c r="Q185" s="1673">
        <f t="shared" ref="Q185:Q186" si="335">+M185+O185</f>
        <v>0</v>
      </c>
      <c r="R185" s="1673">
        <f t="shared" si="310"/>
        <v>72.899999999999991</v>
      </c>
      <c r="S185" s="421"/>
      <c r="T185" s="1515">
        <f>+T99+T141</f>
        <v>19.600000000000001</v>
      </c>
      <c r="U185" s="1673">
        <f t="shared" ref="U185:U186" si="336">+Q185+S185</f>
        <v>0</v>
      </c>
      <c r="V185" s="1673">
        <f t="shared" si="294"/>
        <v>92.5</v>
      </c>
      <c r="W185" s="421"/>
      <c r="X185" s="1515">
        <f>+X99+X141</f>
        <v>17</v>
      </c>
      <c r="Y185" s="1674">
        <f t="shared" ref="Y185:Y186" si="337">O185+S185+W185</f>
        <v>0</v>
      </c>
      <c r="Z185" s="1674">
        <f t="shared" si="215"/>
        <v>55.3</v>
      </c>
      <c r="AA185" s="1820">
        <f t="shared" ref="AA185:AA186" si="338">+M185+Y185</f>
        <v>0</v>
      </c>
      <c r="AB185" s="1820">
        <f t="shared" si="318"/>
        <v>109.5</v>
      </c>
      <c r="AC185" s="421"/>
      <c r="AD185" s="1515">
        <f>+AD99+AD141</f>
        <v>18.7</v>
      </c>
      <c r="AE185" s="1673">
        <f t="shared" ref="AE185:AE186" si="339">+AA185+AC185</f>
        <v>0</v>
      </c>
      <c r="AF185" s="1673">
        <f t="shared" si="295"/>
        <v>128.19999999999999</v>
      </c>
      <c r="AG185" s="421"/>
      <c r="AH185" s="1515">
        <f>+AH99+AH141</f>
        <v>16.899999999999999</v>
      </c>
      <c r="AI185" s="1673">
        <f t="shared" ref="AI185:AI186" si="340">+AE185+AG185</f>
        <v>0</v>
      </c>
      <c r="AJ185" s="1673">
        <f t="shared" si="296"/>
        <v>145.1</v>
      </c>
      <c r="AK185" s="421"/>
      <c r="AL185" s="1515">
        <f>+AL99+AL141</f>
        <v>13.4</v>
      </c>
      <c r="AM185" s="1674">
        <f t="shared" ref="AM185:AM186" si="341">AC185+AG185+AK185</f>
        <v>0</v>
      </c>
      <c r="AN185" s="1674">
        <f t="shared" si="219"/>
        <v>48.999999999999993</v>
      </c>
      <c r="AO185" s="1673">
        <f t="shared" ref="AO185:AO186" si="342">+AI185+AK185</f>
        <v>0</v>
      </c>
      <c r="AP185" s="1673">
        <f t="shared" si="297"/>
        <v>158.5</v>
      </c>
      <c r="AQ185" s="421"/>
      <c r="AR185" s="1515">
        <f>+AR99+AR141</f>
        <v>13.2</v>
      </c>
      <c r="AS185" s="1673">
        <f t="shared" si="223"/>
        <v>0</v>
      </c>
      <c r="AT185" s="1673">
        <f t="shared" si="223"/>
        <v>171.7</v>
      </c>
      <c r="AU185" s="421"/>
      <c r="AV185" s="1515">
        <f>+AV99+AV141</f>
        <v>18.799999999999997</v>
      </c>
      <c r="AW185" s="1673">
        <f t="shared" si="224"/>
        <v>0</v>
      </c>
      <c r="AX185" s="1673">
        <f t="shared" si="224"/>
        <v>190.5</v>
      </c>
      <c r="AY185" s="421"/>
      <c r="AZ185" s="1515">
        <f>+AZ99+AZ141</f>
        <v>17.899999999999999</v>
      </c>
      <c r="BA185" s="1674">
        <f t="shared" ref="BA185:BB186" si="343">AQ185+AU185+AY185</f>
        <v>0</v>
      </c>
      <c r="BB185" s="1674">
        <f t="shared" si="343"/>
        <v>49.899999999999991</v>
      </c>
      <c r="BC185" s="1820">
        <f>+AM185+BA185</f>
        <v>0</v>
      </c>
      <c r="BD185" s="1820">
        <f>+AN185+BB185</f>
        <v>98.899999999999977</v>
      </c>
      <c r="BE185" s="1673">
        <f t="shared" ref="BE185:BF186" si="344">+AW185+AY185</f>
        <v>0</v>
      </c>
      <c r="BF185" s="1673">
        <f t="shared" si="344"/>
        <v>208.4</v>
      </c>
    </row>
    <row r="186" spans="2:58" x14ac:dyDescent="0.25">
      <c r="B186" s="5170"/>
      <c r="C186" s="1394" t="s">
        <v>1458</v>
      </c>
      <c r="D186" s="421"/>
      <c r="E186" s="421"/>
      <c r="F186" s="777">
        <f>+F100+F142</f>
        <v>64056</v>
      </c>
      <c r="G186" s="421"/>
      <c r="H186" s="777">
        <f>+H100+H142</f>
        <v>80854</v>
      </c>
      <c r="I186" s="1673"/>
      <c r="J186" s="1673">
        <f t="shared" si="213"/>
        <v>144910</v>
      </c>
      <c r="K186" s="421"/>
      <c r="L186" s="777">
        <f>+L100+L142</f>
        <v>63002</v>
      </c>
      <c r="M186" s="1674">
        <f t="shared" si="334"/>
        <v>0</v>
      </c>
      <c r="N186" s="1674">
        <f t="shared" si="309"/>
        <v>207912</v>
      </c>
      <c r="O186" s="421"/>
      <c r="P186" s="777">
        <f>+P100+P142</f>
        <v>73167</v>
      </c>
      <c r="Q186" s="1673">
        <f t="shared" si="335"/>
        <v>0</v>
      </c>
      <c r="R186" s="1673">
        <f t="shared" si="310"/>
        <v>281079</v>
      </c>
      <c r="S186" s="421"/>
      <c r="T186" s="777">
        <f>+T100+T142</f>
        <v>75526</v>
      </c>
      <c r="U186" s="1673">
        <f t="shared" si="336"/>
        <v>0</v>
      </c>
      <c r="V186" s="1673">
        <f t="shared" si="294"/>
        <v>356605</v>
      </c>
      <c r="W186" s="421"/>
      <c r="X186" s="777">
        <f>+X100+X142</f>
        <v>65742</v>
      </c>
      <c r="Y186" s="1674">
        <f t="shared" si="337"/>
        <v>0</v>
      </c>
      <c r="Z186" s="1674">
        <f t="shared" si="215"/>
        <v>214435</v>
      </c>
      <c r="AA186" s="1820">
        <f t="shared" si="338"/>
        <v>0</v>
      </c>
      <c r="AB186" s="1820">
        <f t="shared" si="318"/>
        <v>422347</v>
      </c>
      <c r="AC186" s="421"/>
      <c r="AD186" s="777">
        <f>+AD100+AD142</f>
        <v>72066</v>
      </c>
      <c r="AE186" s="1673">
        <f t="shared" si="339"/>
        <v>0</v>
      </c>
      <c r="AF186" s="1673">
        <f t="shared" si="295"/>
        <v>494413</v>
      </c>
      <c r="AG186" s="421"/>
      <c r="AH186" s="777">
        <f>+AH100+AH142</f>
        <v>64888</v>
      </c>
      <c r="AI186" s="1673">
        <f t="shared" si="340"/>
        <v>0</v>
      </c>
      <c r="AJ186" s="1673">
        <f t="shared" si="296"/>
        <v>559301</v>
      </c>
      <c r="AK186" s="421"/>
      <c r="AL186" s="1106">
        <f>+AL100+AL142</f>
        <v>51546.380000000005</v>
      </c>
      <c r="AM186" s="1674">
        <f t="shared" si="341"/>
        <v>0</v>
      </c>
      <c r="AN186" s="1674">
        <f t="shared" si="219"/>
        <v>188500.38</v>
      </c>
      <c r="AO186" s="1673">
        <f t="shared" si="342"/>
        <v>0</v>
      </c>
      <c r="AP186" s="1673">
        <f t="shared" si="297"/>
        <v>610847.38</v>
      </c>
      <c r="AQ186" s="421"/>
      <c r="AR186" s="777">
        <f>+AR100+AR142</f>
        <v>51112</v>
      </c>
      <c r="AS186" s="1673">
        <f t="shared" si="223"/>
        <v>0</v>
      </c>
      <c r="AT186" s="1673">
        <f t="shared" si="223"/>
        <v>661959.38</v>
      </c>
      <c r="AU186" s="421"/>
      <c r="AV186" s="777">
        <f>+AV100+AV142</f>
        <v>73635</v>
      </c>
      <c r="AW186" s="1673">
        <f t="shared" si="224"/>
        <v>0</v>
      </c>
      <c r="AX186" s="1673">
        <f t="shared" si="224"/>
        <v>735594.38</v>
      </c>
      <c r="AY186" s="421"/>
      <c r="AZ186" s="777">
        <f>+AZ100+AZ142</f>
        <v>69739</v>
      </c>
      <c r="BA186" s="1674">
        <f t="shared" si="343"/>
        <v>0</v>
      </c>
      <c r="BB186" s="1674">
        <f t="shared" si="343"/>
        <v>194486</v>
      </c>
      <c r="BC186" s="1820">
        <f>+AM186+BA186</f>
        <v>0</v>
      </c>
      <c r="BD186" s="1820">
        <f>+AN186+BB186</f>
        <v>382986.38</v>
      </c>
      <c r="BE186" s="1673">
        <f t="shared" si="344"/>
        <v>0</v>
      </c>
      <c r="BF186" s="1673">
        <f t="shared" si="344"/>
        <v>805333.38</v>
      </c>
    </row>
    <row r="187" spans="2:58" s="334" customFormat="1" x14ac:dyDescent="0.25">
      <c r="B187" s="5170"/>
      <c r="C187" s="1081" t="s">
        <v>1478</v>
      </c>
      <c r="D187" s="1081"/>
      <c r="E187" s="1081"/>
      <c r="F187" s="979"/>
      <c r="G187" s="1081"/>
      <c r="H187" s="979"/>
      <c r="I187" s="3843"/>
      <c r="J187" s="3843"/>
      <c r="K187" s="1081"/>
      <c r="L187" s="979"/>
      <c r="M187" s="3843"/>
      <c r="N187" s="3843"/>
      <c r="O187" s="1081"/>
      <c r="P187" s="979"/>
      <c r="Q187" s="3843"/>
      <c r="R187" s="3843"/>
      <c r="S187" s="1081"/>
      <c r="T187" s="979"/>
      <c r="U187" s="3843"/>
      <c r="V187" s="3843"/>
      <c r="W187" s="1081"/>
      <c r="X187" s="979"/>
      <c r="Y187" s="3843"/>
      <c r="Z187" s="3843"/>
      <c r="AA187" s="3843"/>
      <c r="AB187" s="3843"/>
      <c r="AC187" s="1081"/>
      <c r="AD187" s="979"/>
      <c r="AE187" s="3843"/>
      <c r="AF187" s="3843"/>
      <c r="AG187" s="1081"/>
      <c r="AH187" s="979"/>
      <c r="AI187" s="3843"/>
      <c r="AJ187" s="3843"/>
      <c r="AK187" s="1081"/>
      <c r="AL187" s="979"/>
      <c r="AM187" s="3843"/>
      <c r="AN187" s="3843"/>
      <c r="AO187" s="3843"/>
      <c r="AP187" s="3843"/>
      <c r="AQ187" s="1081"/>
      <c r="AR187" s="979"/>
      <c r="AS187" s="3843"/>
      <c r="AT187" s="3843"/>
      <c r="AU187" s="1081"/>
      <c r="AV187" s="979"/>
      <c r="AW187" s="3843"/>
      <c r="AX187" s="3843"/>
      <c r="AY187" s="1081"/>
      <c r="AZ187" s="979"/>
      <c r="BA187" s="3843"/>
      <c r="BB187" s="3843"/>
      <c r="BC187" s="3843"/>
      <c r="BD187" s="3843"/>
      <c r="BE187" s="3843"/>
      <c r="BF187" s="3843"/>
    </row>
    <row r="188" spans="2:58" x14ac:dyDescent="0.25">
      <c r="B188" s="5170"/>
      <c r="C188" s="1394" t="s">
        <v>1457</v>
      </c>
      <c r="D188" s="421"/>
      <c r="E188" s="1667"/>
      <c r="F188" s="1515">
        <f>+F102+F144</f>
        <v>3.5</v>
      </c>
      <c r="G188" s="1667"/>
      <c r="H188" s="1515">
        <f>+H102+H144</f>
        <v>3.8</v>
      </c>
      <c r="I188" s="1673"/>
      <c r="J188" s="1673">
        <f t="shared" si="213"/>
        <v>7.3</v>
      </c>
      <c r="K188" s="1667"/>
      <c r="L188" s="1515">
        <f>+L102+L144</f>
        <v>4.5</v>
      </c>
      <c r="M188" s="1674">
        <f t="shared" ref="M188:M189" si="345">+I188+K188</f>
        <v>0</v>
      </c>
      <c r="N188" s="1674">
        <f t="shared" si="309"/>
        <v>11.8</v>
      </c>
      <c r="O188" s="1667"/>
      <c r="P188" s="1515">
        <f>+P102+P144</f>
        <v>5</v>
      </c>
      <c r="Q188" s="1673">
        <f t="shared" ref="Q188:Q189" si="346">+M188+O188</f>
        <v>0</v>
      </c>
      <c r="R188" s="1673">
        <f t="shared" si="310"/>
        <v>16.8</v>
      </c>
      <c r="S188" s="1667"/>
      <c r="T188" s="1515">
        <f>+T102+T144</f>
        <v>3.5</v>
      </c>
      <c r="U188" s="1673">
        <f t="shared" ref="U188:U189" si="347">+Q188+S188</f>
        <v>0</v>
      </c>
      <c r="V188" s="1673">
        <f t="shared" si="294"/>
        <v>20.3</v>
      </c>
      <c r="W188" s="1667"/>
      <c r="X188" s="1515">
        <f>+X102+X144</f>
        <v>4</v>
      </c>
      <c r="Y188" s="1674">
        <f t="shared" ref="Y188:Y189" si="348">O188+S188+W188</f>
        <v>0</v>
      </c>
      <c r="Z188" s="1674">
        <f t="shared" si="215"/>
        <v>12.5</v>
      </c>
      <c r="AA188" s="1820">
        <f t="shared" ref="AA188:AA189" si="349">+M188+Y188</f>
        <v>0</v>
      </c>
      <c r="AB188" s="1820">
        <f t="shared" si="318"/>
        <v>24.3</v>
      </c>
      <c r="AC188" s="1667"/>
      <c r="AD188" s="1515">
        <f>+AD102+AD144</f>
        <v>4</v>
      </c>
      <c r="AE188" s="1673">
        <f t="shared" ref="AE188:AE189" si="350">+AA188+AC188</f>
        <v>0</v>
      </c>
      <c r="AF188" s="1673">
        <f t="shared" si="295"/>
        <v>28.3</v>
      </c>
      <c r="AG188" s="1667"/>
      <c r="AH188" s="1515">
        <f>+AH102+AH144</f>
        <v>3</v>
      </c>
      <c r="AI188" s="1673">
        <f t="shared" ref="AI188:AI189" si="351">+AE188+AG188</f>
        <v>0</v>
      </c>
      <c r="AJ188" s="1673">
        <f t="shared" si="296"/>
        <v>31.3</v>
      </c>
      <c r="AK188" s="1667"/>
      <c r="AL188" s="1515">
        <f>+AL102+AL144</f>
        <v>3.5</v>
      </c>
      <c r="AM188" s="1674">
        <f t="shared" ref="AM188:AM189" si="352">AC188+AG188+AK188</f>
        <v>0</v>
      </c>
      <c r="AN188" s="1674">
        <f t="shared" si="219"/>
        <v>10.5</v>
      </c>
      <c r="AO188" s="1673">
        <f t="shared" ref="AO188:AO189" si="353">+AI188+AK188</f>
        <v>0</v>
      </c>
      <c r="AP188" s="1673">
        <f t="shared" si="297"/>
        <v>34.799999999999997</v>
      </c>
      <c r="AQ188" s="1667"/>
      <c r="AR188" s="1515">
        <f>+AR102+AR144</f>
        <v>4.5</v>
      </c>
      <c r="AS188" s="1673">
        <f t="shared" si="223"/>
        <v>0</v>
      </c>
      <c r="AT188" s="1673">
        <f t="shared" si="223"/>
        <v>39.299999999999997</v>
      </c>
      <c r="AU188" s="1667"/>
      <c r="AV188" s="1515">
        <f>+AV102+AV144</f>
        <v>5</v>
      </c>
      <c r="AW188" s="1673">
        <f t="shared" si="224"/>
        <v>0</v>
      </c>
      <c r="AX188" s="1673">
        <f t="shared" si="224"/>
        <v>44.3</v>
      </c>
      <c r="AY188" s="1667"/>
      <c r="AZ188" s="1515">
        <f>+AZ102+AZ144</f>
        <v>2.2999999999999998</v>
      </c>
      <c r="BA188" s="1674">
        <f t="shared" ref="BA188:BB189" si="354">AQ188+AU188+AY188</f>
        <v>0</v>
      </c>
      <c r="BB188" s="1674">
        <f t="shared" si="354"/>
        <v>11.8</v>
      </c>
      <c r="BC188" s="1820">
        <f>+AM188+BA188</f>
        <v>0</v>
      </c>
      <c r="BD188" s="1820">
        <f>+AN188+BB188</f>
        <v>22.3</v>
      </c>
      <c r="BE188" s="1673">
        <f t="shared" ref="BE188:BF189" si="355">+AW188+AY188</f>
        <v>0</v>
      </c>
      <c r="BF188" s="1673">
        <f t="shared" si="355"/>
        <v>46.599999999999994</v>
      </c>
    </row>
    <row r="189" spans="2:58" x14ac:dyDescent="0.25">
      <c r="B189" s="5170"/>
      <c r="C189" s="1394" t="s">
        <v>1458</v>
      </c>
      <c r="D189" s="421"/>
      <c r="E189" s="421"/>
      <c r="F189" s="777">
        <f>+F103+F145</f>
        <v>13578</v>
      </c>
      <c r="G189" s="421"/>
      <c r="H189" s="777">
        <f>+H103+H145</f>
        <v>15050</v>
      </c>
      <c r="I189" s="1673"/>
      <c r="J189" s="1673">
        <f t="shared" si="213"/>
        <v>28628</v>
      </c>
      <c r="K189" s="421"/>
      <c r="L189" s="777">
        <f>+L103+L145</f>
        <v>16977</v>
      </c>
      <c r="M189" s="1674">
        <f t="shared" si="345"/>
        <v>0</v>
      </c>
      <c r="N189" s="1674">
        <f t="shared" si="309"/>
        <v>45605</v>
      </c>
      <c r="O189" s="421"/>
      <c r="P189" s="777">
        <f>+P103+P145</f>
        <v>19535</v>
      </c>
      <c r="Q189" s="1673">
        <f t="shared" si="346"/>
        <v>0</v>
      </c>
      <c r="R189" s="1673">
        <f t="shared" si="310"/>
        <v>65140</v>
      </c>
      <c r="S189" s="421"/>
      <c r="T189" s="777">
        <f>+T103+T145</f>
        <v>13545</v>
      </c>
      <c r="U189" s="1673">
        <f t="shared" si="347"/>
        <v>0</v>
      </c>
      <c r="V189" s="1673">
        <f t="shared" si="294"/>
        <v>78685</v>
      </c>
      <c r="W189" s="421"/>
      <c r="X189" s="777">
        <f>+X103+X145</f>
        <v>15718</v>
      </c>
      <c r="Y189" s="1674">
        <f t="shared" si="348"/>
        <v>0</v>
      </c>
      <c r="Z189" s="1674">
        <f t="shared" si="215"/>
        <v>48798</v>
      </c>
      <c r="AA189" s="1820">
        <f t="shared" si="349"/>
        <v>0</v>
      </c>
      <c r="AB189" s="1820">
        <f t="shared" si="318"/>
        <v>94403</v>
      </c>
      <c r="AC189" s="421"/>
      <c r="AD189" s="777">
        <f>+AD103+AD145</f>
        <v>15180</v>
      </c>
      <c r="AE189" s="1673">
        <f t="shared" si="350"/>
        <v>0</v>
      </c>
      <c r="AF189" s="1673">
        <f t="shared" si="295"/>
        <v>109583</v>
      </c>
      <c r="AG189" s="421"/>
      <c r="AH189" s="777">
        <f>+AH103+AH145</f>
        <v>11821</v>
      </c>
      <c r="AI189" s="1673">
        <f t="shared" si="351"/>
        <v>0</v>
      </c>
      <c r="AJ189" s="1673">
        <f t="shared" si="296"/>
        <v>121404</v>
      </c>
      <c r="AK189" s="421"/>
      <c r="AL189" s="1106">
        <f>+AL103+AL145</f>
        <v>13620.3</v>
      </c>
      <c r="AM189" s="1674">
        <f t="shared" si="352"/>
        <v>0</v>
      </c>
      <c r="AN189" s="1674">
        <f t="shared" si="219"/>
        <v>40621.300000000003</v>
      </c>
      <c r="AO189" s="1673">
        <f t="shared" si="353"/>
        <v>0</v>
      </c>
      <c r="AP189" s="1673">
        <f t="shared" si="297"/>
        <v>135024.29999999999</v>
      </c>
      <c r="AQ189" s="421"/>
      <c r="AR189" s="777">
        <f>+AR103+AR145</f>
        <v>17385</v>
      </c>
      <c r="AS189" s="1673">
        <f t="shared" si="223"/>
        <v>0</v>
      </c>
      <c r="AT189" s="1673">
        <f t="shared" si="223"/>
        <v>152409.29999999999</v>
      </c>
      <c r="AU189" s="421"/>
      <c r="AV189" s="777">
        <f>+AV103+AV145</f>
        <v>19370</v>
      </c>
      <c r="AW189" s="1673">
        <f t="shared" si="224"/>
        <v>0</v>
      </c>
      <c r="AX189" s="1673">
        <f t="shared" si="224"/>
        <v>171779.3</v>
      </c>
      <c r="AY189" s="421"/>
      <c r="AZ189" s="777">
        <f>+AZ103+AZ145</f>
        <v>8915</v>
      </c>
      <c r="BA189" s="1674">
        <f t="shared" si="354"/>
        <v>0</v>
      </c>
      <c r="BB189" s="1674">
        <f t="shared" si="354"/>
        <v>45670</v>
      </c>
      <c r="BC189" s="1820">
        <f>+AM189+BA189</f>
        <v>0</v>
      </c>
      <c r="BD189" s="1820">
        <f>+AN189+BB189</f>
        <v>86291.3</v>
      </c>
      <c r="BE189" s="1673">
        <f t="shared" si="355"/>
        <v>0</v>
      </c>
      <c r="BF189" s="1673">
        <f t="shared" si="355"/>
        <v>180694.3</v>
      </c>
    </row>
    <row r="190" spans="2:58" s="334" customFormat="1" x14ac:dyDescent="0.25">
      <c r="B190" s="5170"/>
      <c r="C190" s="1081" t="s">
        <v>1402</v>
      </c>
      <c r="D190" s="1081"/>
      <c r="E190" s="1081"/>
      <c r="F190" s="979"/>
      <c r="G190" s="1081"/>
      <c r="H190" s="979"/>
      <c r="I190" s="3843"/>
      <c r="J190" s="3843"/>
      <c r="K190" s="1081"/>
      <c r="L190" s="979"/>
      <c r="M190" s="3843"/>
      <c r="N190" s="3843"/>
      <c r="O190" s="1081"/>
      <c r="P190" s="979"/>
      <c r="Q190" s="3843"/>
      <c r="R190" s="3843"/>
      <c r="S190" s="1081"/>
      <c r="T190" s="979"/>
      <c r="U190" s="3843"/>
      <c r="V190" s="3843"/>
      <c r="W190" s="1081"/>
      <c r="X190" s="979"/>
      <c r="Y190" s="3843"/>
      <c r="Z190" s="3843"/>
      <c r="AA190" s="3843"/>
      <c r="AB190" s="3843"/>
      <c r="AC190" s="1081"/>
      <c r="AD190" s="979"/>
      <c r="AE190" s="3843"/>
      <c r="AF190" s="3843"/>
      <c r="AG190" s="1081"/>
      <c r="AH190" s="979"/>
      <c r="AI190" s="3843"/>
      <c r="AJ190" s="3843"/>
      <c r="AK190" s="1081"/>
      <c r="AL190" s="979"/>
      <c r="AM190" s="3843"/>
      <c r="AN190" s="3843"/>
      <c r="AO190" s="3843"/>
      <c r="AP190" s="3843"/>
      <c r="AQ190" s="1081"/>
      <c r="AR190" s="979"/>
      <c r="AS190" s="3843"/>
      <c r="AT190" s="3843"/>
      <c r="AU190" s="1081"/>
      <c r="AV190" s="979"/>
      <c r="AW190" s="3843"/>
      <c r="AX190" s="3843"/>
      <c r="AY190" s="1081"/>
      <c r="AZ190" s="979"/>
      <c r="BA190" s="3843"/>
      <c r="BB190" s="3843"/>
      <c r="BC190" s="3843"/>
      <c r="BD190" s="3843"/>
      <c r="BE190" s="3843"/>
      <c r="BF190" s="3843"/>
    </row>
    <row r="191" spans="2:58" x14ac:dyDescent="0.25">
      <c r="B191" s="5170"/>
      <c r="C191" s="1394" t="s">
        <v>1457</v>
      </c>
      <c r="D191" s="421"/>
      <c r="E191" s="421"/>
      <c r="F191" s="1515">
        <f>+F105+F147</f>
        <v>0</v>
      </c>
      <c r="G191" s="421"/>
      <c r="H191" s="1515">
        <f>+H105+H147</f>
        <v>0</v>
      </c>
      <c r="I191" s="1673"/>
      <c r="J191" s="1673">
        <f t="shared" si="213"/>
        <v>0</v>
      </c>
      <c r="K191" s="421"/>
      <c r="L191" s="1515">
        <f>+L105+L147</f>
        <v>2.5</v>
      </c>
      <c r="M191" s="1674">
        <f t="shared" ref="M191:M192" si="356">+I191+K191</f>
        <v>0</v>
      </c>
      <c r="N191" s="1674">
        <f t="shared" si="309"/>
        <v>2.5</v>
      </c>
      <c r="O191" s="421"/>
      <c r="P191" s="1515">
        <f>+P105+P147</f>
        <v>5</v>
      </c>
      <c r="Q191" s="1673">
        <f t="shared" ref="Q191:Q192" si="357">+M191+O191</f>
        <v>0</v>
      </c>
      <c r="R191" s="1673">
        <f t="shared" si="310"/>
        <v>7.5</v>
      </c>
      <c r="S191" s="421"/>
      <c r="T191" s="1515">
        <f>+T105+T147</f>
        <v>1.5</v>
      </c>
      <c r="U191" s="1673">
        <f t="shared" ref="U191:U192" si="358">+Q191+S191</f>
        <v>0</v>
      </c>
      <c r="V191" s="1673">
        <f t="shared" si="294"/>
        <v>9</v>
      </c>
      <c r="W191" s="421"/>
      <c r="X191" s="1515">
        <f>+X105+X147</f>
        <v>5</v>
      </c>
      <c r="Y191" s="1674">
        <f t="shared" ref="Y191:Y192" si="359">O191+S191+W191</f>
        <v>0</v>
      </c>
      <c r="Z191" s="1674">
        <f t="shared" si="215"/>
        <v>11.5</v>
      </c>
      <c r="AA191" s="1820">
        <f t="shared" ref="AA191:AA192" si="360">+M191+Y191</f>
        <v>0</v>
      </c>
      <c r="AB191" s="1820">
        <f t="shared" si="318"/>
        <v>14</v>
      </c>
      <c r="AC191" s="421"/>
      <c r="AD191" s="1515">
        <f>+AD105+AD147</f>
        <v>2</v>
      </c>
      <c r="AE191" s="1673">
        <f t="shared" ref="AE191:AE192" si="361">+AA191+AC191</f>
        <v>0</v>
      </c>
      <c r="AF191" s="1673">
        <f t="shared" si="295"/>
        <v>16</v>
      </c>
      <c r="AG191" s="421"/>
      <c r="AH191" s="1515">
        <f>+AH105+AH147</f>
        <v>3.6</v>
      </c>
      <c r="AI191" s="1673">
        <f t="shared" ref="AI191:AI192" si="362">+AE191+AG191</f>
        <v>0</v>
      </c>
      <c r="AJ191" s="1673">
        <f t="shared" si="296"/>
        <v>19.600000000000001</v>
      </c>
      <c r="AK191" s="421"/>
      <c r="AL191" s="1515">
        <f>+AL105+AL147</f>
        <v>5.5</v>
      </c>
      <c r="AM191" s="1674">
        <f t="shared" ref="AM191:AM192" si="363">AC191+AG191+AK191</f>
        <v>0</v>
      </c>
      <c r="AN191" s="1674">
        <f t="shared" si="219"/>
        <v>11.1</v>
      </c>
      <c r="AO191" s="1673">
        <f t="shared" ref="AO191:AO192" si="364">+AI191+AK191</f>
        <v>0</v>
      </c>
      <c r="AP191" s="1673">
        <f t="shared" si="297"/>
        <v>25.1</v>
      </c>
      <c r="AQ191" s="421"/>
      <c r="AR191" s="1515">
        <f>+AR105+AR147</f>
        <v>3.5</v>
      </c>
      <c r="AS191" s="1673">
        <f t="shared" si="223"/>
        <v>0</v>
      </c>
      <c r="AT191" s="1673">
        <f t="shared" si="223"/>
        <v>28.6</v>
      </c>
      <c r="AU191" s="421"/>
      <c r="AV191" s="1515">
        <f>+AV105+AV147</f>
        <v>0</v>
      </c>
      <c r="AW191" s="1673">
        <f t="shared" si="224"/>
        <v>0</v>
      </c>
      <c r="AX191" s="1673">
        <f t="shared" si="224"/>
        <v>28.6</v>
      </c>
      <c r="AY191" s="421"/>
      <c r="AZ191" s="1515">
        <f>+AZ105+AZ147</f>
        <v>4.0999999999999996</v>
      </c>
      <c r="BA191" s="1674">
        <f t="shared" ref="BA191:BB192" si="365">AQ191+AU191+AY191</f>
        <v>0</v>
      </c>
      <c r="BB191" s="1674">
        <f t="shared" si="365"/>
        <v>7.6</v>
      </c>
      <c r="BC191" s="1820">
        <f>+AM191+BA191</f>
        <v>0</v>
      </c>
      <c r="BD191" s="1820">
        <f>+AN191+BB191</f>
        <v>18.7</v>
      </c>
      <c r="BE191" s="1673">
        <f t="shared" ref="BE191:BF192" si="366">+AW191+AY191</f>
        <v>0</v>
      </c>
      <c r="BF191" s="1673">
        <f t="shared" si="366"/>
        <v>32.700000000000003</v>
      </c>
    </row>
    <row r="192" spans="2:58" x14ac:dyDescent="0.25">
      <c r="B192" s="5170"/>
      <c r="C192" s="1394" t="s">
        <v>1458</v>
      </c>
      <c r="D192" s="421"/>
      <c r="E192" s="421"/>
      <c r="F192" s="777">
        <f>+F106+F148</f>
        <v>0</v>
      </c>
      <c r="G192" s="421"/>
      <c r="H192" s="777">
        <f>+H106+H148</f>
        <v>0</v>
      </c>
      <c r="I192" s="1673"/>
      <c r="J192" s="1673">
        <f t="shared" si="213"/>
        <v>0</v>
      </c>
      <c r="K192" s="421"/>
      <c r="L192" s="777">
        <f>+L106+L148</f>
        <v>9678</v>
      </c>
      <c r="M192" s="1674">
        <f t="shared" si="356"/>
        <v>0</v>
      </c>
      <c r="N192" s="1674">
        <f t="shared" si="309"/>
        <v>9678</v>
      </c>
      <c r="O192" s="421"/>
      <c r="P192" s="777">
        <f>+P106+P148</f>
        <v>18902</v>
      </c>
      <c r="Q192" s="1673">
        <f t="shared" si="357"/>
        <v>0</v>
      </c>
      <c r="R192" s="1673">
        <f t="shared" si="310"/>
        <v>28580</v>
      </c>
      <c r="S192" s="421"/>
      <c r="T192" s="777">
        <f>+T106+T148</f>
        <v>5887</v>
      </c>
      <c r="U192" s="1673">
        <f t="shared" si="358"/>
        <v>0</v>
      </c>
      <c r="V192" s="1673">
        <f t="shared" si="294"/>
        <v>34467</v>
      </c>
      <c r="W192" s="421"/>
      <c r="X192" s="777">
        <f>+X106+X148</f>
        <v>19183</v>
      </c>
      <c r="Y192" s="1674">
        <f t="shared" si="359"/>
        <v>0</v>
      </c>
      <c r="Z192" s="1674">
        <f t="shared" si="215"/>
        <v>43972</v>
      </c>
      <c r="AA192" s="1820">
        <f t="shared" si="360"/>
        <v>0</v>
      </c>
      <c r="AB192" s="1820">
        <f t="shared" si="318"/>
        <v>53650</v>
      </c>
      <c r="AC192" s="421"/>
      <c r="AD192" s="777">
        <f>+AD106+AD148</f>
        <v>7733</v>
      </c>
      <c r="AE192" s="1673">
        <f t="shared" si="361"/>
        <v>0</v>
      </c>
      <c r="AF192" s="1673">
        <f t="shared" si="295"/>
        <v>61383</v>
      </c>
      <c r="AG192" s="421"/>
      <c r="AH192" s="777">
        <f>+AH106+AH148</f>
        <v>13743</v>
      </c>
      <c r="AI192" s="1673">
        <f t="shared" si="362"/>
        <v>0</v>
      </c>
      <c r="AJ192" s="1673">
        <f t="shared" si="296"/>
        <v>75126</v>
      </c>
      <c r="AK192" s="421"/>
      <c r="AL192" s="1106">
        <f>+AL106+AL148</f>
        <v>21038.560000000001</v>
      </c>
      <c r="AM192" s="1674">
        <f t="shared" si="363"/>
        <v>0</v>
      </c>
      <c r="AN192" s="1674">
        <f t="shared" si="219"/>
        <v>42514.559999999998</v>
      </c>
      <c r="AO192" s="1673">
        <f t="shared" si="364"/>
        <v>0</v>
      </c>
      <c r="AP192" s="1673">
        <f t="shared" si="297"/>
        <v>96164.56</v>
      </c>
      <c r="AQ192" s="421"/>
      <c r="AR192" s="777">
        <f>+AR106+AR148</f>
        <v>13555</v>
      </c>
      <c r="AS192" s="1673">
        <f t="shared" si="223"/>
        <v>0</v>
      </c>
      <c r="AT192" s="1673">
        <f t="shared" si="223"/>
        <v>109719.56</v>
      </c>
      <c r="AU192" s="421"/>
      <c r="AV192" s="777">
        <f>+AV106+AV148</f>
        <v>0</v>
      </c>
      <c r="AW192" s="1673">
        <f t="shared" si="224"/>
        <v>0</v>
      </c>
      <c r="AX192" s="1673">
        <f t="shared" si="224"/>
        <v>109719.56</v>
      </c>
      <c r="AY192" s="421"/>
      <c r="AZ192" s="777">
        <f>+AZ106+AZ148</f>
        <v>15689</v>
      </c>
      <c r="BA192" s="1674">
        <f t="shared" si="365"/>
        <v>0</v>
      </c>
      <c r="BB192" s="1674">
        <f t="shared" si="365"/>
        <v>29244</v>
      </c>
      <c r="BC192" s="1820">
        <f>+AM192+BA192</f>
        <v>0</v>
      </c>
      <c r="BD192" s="1820">
        <f>+AN192+BB192</f>
        <v>71758.559999999998</v>
      </c>
      <c r="BE192" s="1673">
        <f t="shared" si="366"/>
        <v>0</v>
      </c>
      <c r="BF192" s="1673">
        <f t="shared" si="366"/>
        <v>125408.56</v>
      </c>
    </row>
    <row r="193" spans="2:58" s="334" customFormat="1" x14ac:dyDescent="0.25">
      <c r="B193" s="5170"/>
      <c r="C193" s="1081" t="s">
        <v>1479</v>
      </c>
      <c r="D193" s="1081"/>
      <c r="E193" s="1081"/>
      <c r="F193" s="979"/>
      <c r="G193" s="1081"/>
      <c r="H193" s="979"/>
      <c r="I193" s="3843"/>
      <c r="J193" s="3843"/>
      <c r="K193" s="1081"/>
      <c r="L193" s="979"/>
      <c r="M193" s="3843"/>
      <c r="N193" s="3843"/>
      <c r="O193" s="1081"/>
      <c r="P193" s="979"/>
      <c r="Q193" s="3843"/>
      <c r="R193" s="3843"/>
      <c r="S193" s="1081"/>
      <c r="T193" s="979"/>
      <c r="U193" s="3843"/>
      <c r="V193" s="3843"/>
      <c r="W193" s="1081"/>
      <c r="X193" s="979"/>
      <c r="Y193" s="3843"/>
      <c r="Z193" s="3843"/>
      <c r="AA193" s="3843"/>
      <c r="AB193" s="3843"/>
      <c r="AC193" s="1081"/>
      <c r="AD193" s="979"/>
      <c r="AE193" s="3843"/>
      <c r="AF193" s="3843"/>
      <c r="AG193" s="1081"/>
      <c r="AH193" s="979"/>
      <c r="AI193" s="3843"/>
      <c r="AJ193" s="3843"/>
      <c r="AK193" s="1081"/>
      <c r="AL193" s="979"/>
      <c r="AM193" s="3843"/>
      <c r="AN193" s="3843"/>
      <c r="AO193" s="3843"/>
      <c r="AP193" s="3843"/>
      <c r="AQ193" s="1081"/>
      <c r="AR193" s="979"/>
      <c r="AS193" s="3843"/>
      <c r="AT193" s="3843"/>
      <c r="AU193" s="1081"/>
      <c r="AV193" s="979"/>
      <c r="AW193" s="3843"/>
      <c r="AX193" s="3843"/>
      <c r="AY193" s="1081"/>
      <c r="AZ193" s="979"/>
      <c r="BA193" s="3843"/>
      <c r="BB193" s="3843"/>
      <c r="BC193" s="3843"/>
      <c r="BD193" s="3843"/>
      <c r="BE193" s="3843"/>
      <c r="BF193" s="3843"/>
    </row>
    <row r="194" spans="2:58" x14ac:dyDescent="0.25">
      <c r="B194" s="5170"/>
      <c r="C194" s="1394" t="s">
        <v>1457</v>
      </c>
      <c r="D194" s="421"/>
      <c r="E194" s="421"/>
      <c r="F194" s="1515">
        <f>+F108+F150</f>
        <v>4.9000000000000004</v>
      </c>
      <c r="G194" s="421"/>
      <c r="H194" s="1515">
        <f>+H108+H150</f>
        <v>4</v>
      </c>
      <c r="I194" s="1673"/>
      <c r="J194" s="1673">
        <f t="shared" si="213"/>
        <v>8.9</v>
      </c>
      <c r="K194" s="421"/>
      <c r="L194" s="1515">
        <f>+L108+L150</f>
        <v>1.5</v>
      </c>
      <c r="M194" s="1674">
        <f t="shared" ref="M194:M195" si="367">+I194+K194</f>
        <v>0</v>
      </c>
      <c r="N194" s="1674">
        <f t="shared" si="309"/>
        <v>10.4</v>
      </c>
      <c r="O194" s="421"/>
      <c r="P194" s="1515">
        <f>+P108+P150</f>
        <v>4</v>
      </c>
      <c r="Q194" s="1673">
        <f t="shared" ref="Q194:Q195" si="368">+M194+O194</f>
        <v>0</v>
      </c>
      <c r="R194" s="1673">
        <f t="shared" si="310"/>
        <v>14.4</v>
      </c>
      <c r="S194" s="421"/>
      <c r="T194" s="1515">
        <f>+T108+T150</f>
        <v>5.5</v>
      </c>
      <c r="U194" s="1673">
        <f t="shared" ref="U194:U195" si="369">+Q194+S194</f>
        <v>0</v>
      </c>
      <c r="V194" s="1673">
        <f t="shared" si="294"/>
        <v>19.899999999999999</v>
      </c>
      <c r="W194" s="421"/>
      <c r="X194" s="1515">
        <f>+X108+X150</f>
        <v>4</v>
      </c>
      <c r="Y194" s="1674">
        <f t="shared" ref="Y194:Y195" si="370">O194+S194+W194</f>
        <v>0</v>
      </c>
      <c r="Z194" s="1674">
        <f t="shared" si="215"/>
        <v>13.5</v>
      </c>
      <c r="AA194" s="1820">
        <f t="shared" ref="AA194:AB198" si="371">+M194+Y194</f>
        <v>0</v>
      </c>
      <c r="AB194" s="1820">
        <f t="shared" si="318"/>
        <v>23.9</v>
      </c>
      <c r="AC194" s="421"/>
      <c r="AD194" s="1515">
        <f>+AD108+AD150</f>
        <v>4</v>
      </c>
      <c r="AE194" s="1673">
        <f t="shared" ref="AE194:AE195" si="372">+AA194+AC194</f>
        <v>0</v>
      </c>
      <c r="AF194" s="1673">
        <f t="shared" si="295"/>
        <v>27.9</v>
      </c>
      <c r="AG194" s="421"/>
      <c r="AH194" s="1515">
        <f>+AH108+AH150</f>
        <v>2.9</v>
      </c>
      <c r="AI194" s="1673">
        <f t="shared" ref="AI194:AI195" si="373">+AE194+AG194</f>
        <v>0</v>
      </c>
      <c r="AJ194" s="1673">
        <f t="shared" si="296"/>
        <v>30.799999999999997</v>
      </c>
      <c r="AK194" s="421"/>
      <c r="AL194" s="1515">
        <f>+AL108+AL150</f>
        <v>5.5</v>
      </c>
      <c r="AM194" s="1674">
        <f t="shared" ref="AM194:AM195" si="374">AC194+AG194+AK194</f>
        <v>0</v>
      </c>
      <c r="AN194" s="1674">
        <f t="shared" si="219"/>
        <v>12.4</v>
      </c>
      <c r="AO194" s="1673">
        <f t="shared" ref="AO194:AO195" si="375">+AI194+AK194</f>
        <v>0</v>
      </c>
      <c r="AP194" s="1673">
        <f t="shared" si="297"/>
        <v>36.299999999999997</v>
      </c>
      <c r="AQ194" s="421"/>
      <c r="AR194" s="1515">
        <f>+AR108+AR150</f>
        <v>4</v>
      </c>
      <c r="AS194" s="1673">
        <f t="shared" si="223"/>
        <v>0</v>
      </c>
      <c r="AT194" s="1673">
        <f t="shared" si="223"/>
        <v>40.299999999999997</v>
      </c>
      <c r="AU194" s="421"/>
      <c r="AV194" s="1515">
        <f>+AV108+AV150</f>
        <v>3.4</v>
      </c>
      <c r="AW194" s="1673">
        <f t="shared" si="224"/>
        <v>0</v>
      </c>
      <c r="AX194" s="1673">
        <f t="shared" si="224"/>
        <v>43.699999999999996</v>
      </c>
      <c r="AY194" s="421"/>
      <c r="AZ194" s="1515">
        <f>+AZ108+AZ150</f>
        <v>3</v>
      </c>
      <c r="BA194" s="1674">
        <f t="shared" ref="BA194:BB195" si="376">AQ194+AU194+AY194</f>
        <v>0</v>
      </c>
      <c r="BB194" s="1674">
        <f t="shared" si="376"/>
        <v>10.4</v>
      </c>
      <c r="BC194" s="1820">
        <f>+AM194+BA194</f>
        <v>0</v>
      </c>
      <c r="BD194" s="1820">
        <f>+AN194+BB194</f>
        <v>22.8</v>
      </c>
      <c r="BE194" s="1673">
        <f t="shared" ref="BE194:BF195" si="377">+AW194+AY194</f>
        <v>0</v>
      </c>
      <c r="BF194" s="1673">
        <f t="shared" si="377"/>
        <v>46.699999999999996</v>
      </c>
    </row>
    <row r="195" spans="2:58" x14ac:dyDescent="0.25">
      <c r="B195" s="5170"/>
      <c r="C195" s="1394" t="s">
        <v>1458</v>
      </c>
      <c r="D195" s="421"/>
      <c r="E195" s="421"/>
      <c r="F195" s="777">
        <f>+F109+F151</f>
        <v>18646</v>
      </c>
      <c r="G195" s="421"/>
      <c r="H195" s="777">
        <f>+H109+H151</f>
        <v>14443</v>
      </c>
      <c r="I195" s="1673"/>
      <c r="J195" s="1673">
        <f t="shared" si="213"/>
        <v>33089</v>
      </c>
      <c r="K195" s="421"/>
      <c r="L195" s="777">
        <f>+L109+L151</f>
        <v>5809</v>
      </c>
      <c r="M195" s="1674">
        <f t="shared" si="367"/>
        <v>0</v>
      </c>
      <c r="N195" s="1674">
        <f t="shared" si="309"/>
        <v>38898</v>
      </c>
      <c r="O195" s="421"/>
      <c r="P195" s="777">
        <f>+P109+P151</f>
        <v>14504</v>
      </c>
      <c r="Q195" s="1673">
        <f t="shared" si="368"/>
        <v>0</v>
      </c>
      <c r="R195" s="1673">
        <f t="shared" si="310"/>
        <v>53402</v>
      </c>
      <c r="S195" s="421"/>
      <c r="T195" s="777">
        <f>+T109+T151</f>
        <v>21482</v>
      </c>
      <c r="U195" s="1673">
        <f t="shared" si="369"/>
        <v>0</v>
      </c>
      <c r="V195" s="1673">
        <f t="shared" si="294"/>
        <v>74884</v>
      </c>
      <c r="W195" s="421"/>
      <c r="X195" s="777">
        <f>+X109+X151</f>
        <v>15159</v>
      </c>
      <c r="Y195" s="1674">
        <f t="shared" si="370"/>
        <v>0</v>
      </c>
      <c r="Z195" s="1674">
        <f t="shared" si="215"/>
        <v>51145</v>
      </c>
      <c r="AA195" s="1820">
        <f t="shared" si="371"/>
        <v>0</v>
      </c>
      <c r="AB195" s="1820">
        <f t="shared" si="371"/>
        <v>90043</v>
      </c>
      <c r="AC195" s="421"/>
      <c r="AD195" s="777">
        <f>+AD109+AD151</f>
        <v>14873</v>
      </c>
      <c r="AE195" s="1673">
        <f t="shared" si="372"/>
        <v>0</v>
      </c>
      <c r="AF195" s="1673">
        <f t="shared" si="295"/>
        <v>104916</v>
      </c>
      <c r="AG195" s="421"/>
      <c r="AH195" s="777">
        <f>+AH109+AH151</f>
        <v>10756</v>
      </c>
      <c r="AI195" s="1673">
        <f t="shared" si="373"/>
        <v>0</v>
      </c>
      <c r="AJ195" s="1673">
        <f t="shared" si="296"/>
        <v>115672</v>
      </c>
      <c r="AK195" s="421"/>
      <c r="AL195" s="1106">
        <f>+AL109+AL151</f>
        <v>20498.25</v>
      </c>
      <c r="AM195" s="1674">
        <f t="shared" si="374"/>
        <v>0</v>
      </c>
      <c r="AN195" s="1674">
        <f t="shared" si="219"/>
        <v>46127.25</v>
      </c>
      <c r="AO195" s="1673">
        <f t="shared" si="375"/>
        <v>0</v>
      </c>
      <c r="AP195" s="1673">
        <f t="shared" si="297"/>
        <v>136170.25</v>
      </c>
      <c r="AQ195" s="421"/>
      <c r="AR195" s="777">
        <f>+AR109+AR151</f>
        <v>15292</v>
      </c>
      <c r="AS195" s="1673">
        <f t="shared" si="223"/>
        <v>0</v>
      </c>
      <c r="AT195" s="1673">
        <f t="shared" si="223"/>
        <v>151462.25</v>
      </c>
      <c r="AU195" s="421"/>
      <c r="AV195" s="777">
        <f>+AV109+AV151</f>
        <v>13276</v>
      </c>
      <c r="AW195" s="1673">
        <f t="shared" si="224"/>
        <v>0</v>
      </c>
      <c r="AX195" s="1673">
        <f t="shared" si="224"/>
        <v>164738.25</v>
      </c>
      <c r="AY195" s="421"/>
      <c r="AZ195" s="777">
        <f>+AZ109+AZ151</f>
        <v>11556</v>
      </c>
      <c r="BA195" s="1674">
        <f t="shared" si="376"/>
        <v>0</v>
      </c>
      <c r="BB195" s="1674">
        <f t="shared" si="376"/>
        <v>40124</v>
      </c>
      <c r="BC195" s="1820">
        <f>+AM195+BA195</f>
        <v>0</v>
      </c>
      <c r="BD195" s="1820">
        <f>+AN195+BB195</f>
        <v>86251.25</v>
      </c>
      <c r="BE195" s="1673">
        <f t="shared" si="377"/>
        <v>0</v>
      </c>
      <c r="BF195" s="1673">
        <f t="shared" si="377"/>
        <v>176294.25</v>
      </c>
    </row>
    <row r="196" spans="2:58" s="334" customFormat="1" x14ac:dyDescent="0.25">
      <c r="B196" s="5170"/>
      <c r="C196" s="1081" t="s">
        <v>1480</v>
      </c>
      <c r="D196" s="1081"/>
      <c r="E196" s="1081"/>
      <c r="F196" s="979"/>
      <c r="G196" s="1081"/>
      <c r="H196" s="979"/>
      <c r="I196" s="3843"/>
      <c r="J196" s="3843"/>
      <c r="K196" s="1081"/>
      <c r="L196" s="979"/>
      <c r="M196" s="3843"/>
      <c r="N196" s="3843"/>
      <c r="O196" s="1081"/>
      <c r="P196" s="979"/>
      <c r="Q196" s="3843"/>
      <c r="R196" s="3843"/>
      <c r="S196" s="1081"/>
      <c r="T196" s="979"/>
      <c r="U196" s="3843"/>
      <c r="V196" s="3843"/>
      <c r="W196" s="1081"/>
      <c r="X196" s="979"/>
      <c r="Y196" s="3843"/>
      <c r="Z196" s="3843"/>
      <c r="AA196" s="3843"/>
      <c r="AB196" s="3843"/>
      <c r="AC196" s="1081"/>
      <c r="AD196" s="979"/>
      <c r="AE196" s="3843"/>
      <c r="AF196" s="3843"/>
      <c r="AG196" s="1081"/>
      <c r="AH196" s="979"/>
      <c r="AI196" s="3843"/>
      <c r="AJ196" s="3843"/>
      <c r="AK196" s="1081"/>
      <c r="AL196" s="979"/>
      <c r="AM196" s="3843"/>
      <c r="AN196" s="3843"/>
      <c r="AO196" s="3843"/>
      <c r="AP196" s="3843"/>
      <c r="AQ196" s="1081"/>
      <c r="AR196" s="979"/>
      <c r="AS196" s="3843"/>
      <c r="AT196" s="3843"/>
      <c r="AU196" s="1081"/>
      <c r="AV196" s="979"/>
      <c r="AW196" s="3843"/>
      <c r="AX196" s="3843"/>
      <c r="AY196" s="1081"/>
      <c r="AZ196" s="979"/>
      <c r="BA196" s="3843"/>
      <c r="BB196" s="3843"/>
      <c r="BC196" s="3843"/>
      <c r="BD196" s="3843"/>
      <c r="BE196" s="3843"/>
      <c r="BF196" s="3843"/>
    </row>
    <row r="197" spans="2:58" x14ac:dyDescent="0.25">
      <c r="B197" s="5170"/>
      <c r="C197" s="1394" t="s">
        <v>1457</v>
      </c>
      <c r="D197" s="421"/>
      <c r="E197" s="421"/>
      <c r="F197" s="1515">
        <f>+F111+F153</f>
        <v>6.4</v>
      </c>
      <c r="G197" s="421"/>
      <c r="H197" s="1515">
        <f>+H111+H153</f>
        <v>8</v>
      </c>
      <c r="I197" s="1673"/>
      <c r="J197" s="1673">
        <f t="shared" si="213"/>
        <v>14.4</v>
      </c>
      <c r="K197" s="421"/>
      <c r="L197" s="1515">
        <f>+L111+L153</f>
        <v>9.5</v>
      </c>
      <c r="M197" s="1674">
        <f t="shared" ref="M197:M198" si="378">+I197+K197</f>
        <v>0</v>
      </c>
      <c r="N197" s="1674">
        <f t="shared" si="309"/>
        <v>23.9</v>
      </c>
      <c r="O197" s="421"/>
      <c r="P197" s="1515">
        <f>+P111+P153</f>
        <v>8</v>
      </c>
      <c r="Q197" s="1673">
        <f t="shared" ref="Q197:Q198" si="379">+M197+O197</f>
        <v>0</v>
      </c>
      <c r="R197" s="1673">
        <f t="shared" si="310"/>
        <v>31.9</v>
      </c>
      <c r="S197" s="421"/>
      <c r="T197" s="1515">
        <f>+T111+T153</f>
        <v>9.1999999999999993</v>
      </c>
      <c r="U197" s="1673">
        <f t="shared" ref="U197:U198" si="380">+Q197+S197</f>
        <v>0</v>
      </c>
      <c r="V197" s="1673">
        <f t="shared" si="294"/>
        <v>41.099999999999994</v>
      </c>
      <c r="W197" s="421"/>
      <c r="X197" s="1515">
        <f>+X111+X153</f>
        <v>10</v>
      </c>
      <c r="Y197" s="1674">
        <f t="shared" ref="Y197:Y198" si="381">O197+S197+W197</f>
        <v>0</v>
      </c>
      <c r="Z197" s="1674">
        <f t="shared" si="215"/>
        <v>27.2</v>
      </c>
      <c r="AA197" s="1820">
        <f t="shared" ref="AA197:AA198" si="382">+M197+Y197</f>
        <v>0</v>
      </c>
      <c r="AB197" s="1820">
        <f t="shared" si="371"/>
        <v>51.099999999999994</v>
      </c>
      <c r="AC197" s="421"/>
      <c r="AD197" s="1515">
        <f>+AD111+AD153</f>
        <v>10.4</v>
      </c>
      <c r="AE197" s="1673">
        <f t="shared" ref="AE197:AE198" si="383">+AA197+AC197</f>
        <v>0</v>
      </c>
      <c r="AF197" s="1673">
        <f t="shared" si="295"/>
        <v>61.499999999999993</v>
      </c>
      <c r="AG197" s="421"/>
      <c r="AH197" s="1515">
        <f>+AH111+AH153</f>
        <v>10.1</v>
      </c>
      <c r="AI197" s="1673">
        <f t="shared" ref="AI197:AI198" si="384">+AE197+AG197</f>
        <v>0</v>
      </c>
      <c r="AJ197" s="1673">
        <f t="shared" si="296"/>
        <v>71.599999999999994</v>
      </c>
      <c r="AK197" s="421"/>
      <c r="AL197" s="1515">
        <f>+AL111+AL153</f>
        <v>7</v>
      </c>
      <c r="AM197" s="1674">
        <f t="shared" ref="AM197:AM198" si="385">AC197+AG197+AK197</f>
        <v>0</v>
      </c>
      <c r="AN197" s="1674">
        <f t="shared" si="219"/>
        <v>27.5</v>
      </c>
      <c r="AO197" s="1673">
        <f t="shared" ref="AO197:AO198" si="386">+AI197+AK197</f>
        <v>0</v>
      </c>
      <c r="AP197" s="1673">
        <f t="shared" si="297"/>
        <v>78.599999999999994</v>
      </c>
      <c r="AQ197" s="421"/>
      <c r="AR197" s="1515">
        <f>+AR111+AR153</f>
        <v>5.9</v>
      </c>
      <c r="AS197" s="1673">
        <f t="shared" si="223"/>
        <v>0</v>
      </c>
      <c r="AT197" s="1673">
        <f t="shared" si="223"/>
        <v>84.5</v>
      </c>
      <c r="AU197" s="421"/>
      <c r="AV197" s="1515">
        <f>+AV111+AV153</f>
        <v>2</v>
      </c>
      <c r="AW197" s="1673">
        <f t="shared" si="224"/>
        <v>0</v>
      </c>
      <c r="AX197" s="1673">
        <f t="shared" si="224"/>
        <v>86.5</v>
      </c>
      <c r="AY197" s="421"/>
      <c r="AZ197" s="1515">
        <f>+AZ111+AZ153</f>
        <v>6</v>
      </c>
      <c r="BA197" s="1674">
        <f t="shared" ref="BA197:BB198" si="387">AQ197+AU197+AY197</f>
        <v>0</v>
      </c>
      <c r="BB197" s="1674">
        <f t="shared" si="387"/>
        <v>13.9</v>
      </c>
      <c r="BC197" s="1820">
        <f>+AM197+BA197</f>
        <v>0</v>
      </c>
      <c r="BD197" s="1820">
        <f>+AN197+BB197</f>
        <v>41.4</v>
      </c>
      <c r="BE197" s="1673">
        <f t="shared" ref="BE197:BF198" si="388">+AW197+AY197</f>
        <v>0</v>
      </c>
      <c r="BF197" s="1673">
        <f t="shared" si="388"/>
        <v>92.5</v>
      </c>
    </row>
    <row r="198" spans="2:58" x14ac:dyDescent="0.25">
      <c r="B198" s="5170"/>
      <c r="C198" s="1394" t="s">
        <v>1458</v>
      </c>
      <c r="D198" s="421"/>
      <c r="E198" s="421"/>
      <c r="F198" s="777">
        <f>+F112+F154</f>
        <v>24985</v>
      </c>
      <c r="G198" s="421"/>
      <c r="H198" s="777">
        <f>+H112+H154</f>
        <v>30940</v>
      </c>
      <c r="I198" s="1673"/>
      <c r="J198" s="1673">
        <f t="shared" si="213"/>
        <v>55925</v>
      </c>
      <c r="K198" s="421"/>
      <c r="L198" s="777">
        <f>+L112+L154</f>
        <v>36768</v>
      </c>
      <c r="M198" s="1674">
        <f t="shared" si="378"/>
        <v>0</v>
      </c>
      <c r="N198" s="1674">
        <f t="shared" si="309"/>
        <v>92693</v>
      </c>
      <c r="O198" s="421"/>
      <c r="P198" s="777">
        <f>+P112+P154</f>
        <v>30564</v>
      </c>
      <c r="Q198" s="1673">
        <f t="shared" si="379"/>
        <v>0</v>
      </c>
      <c r="R198" s="1673">
        <f t="shared" si="310"/>
        <v>123257</v>
      </c>
      <c r="S198" s="421"/>
      <c r="T198" s="777">
        <f>+T112+T154</f>
        <v>35051</v>
      </c>
      <c r="U198" s="1673">
        <f t="shared" si="380"/>
        <v>0</v>
      </c>
      <c r="V198" s="1673">
        <f t="shared" si="294"/>
        <v>158308</v>
      </c>
      <c r="W198" s="421"/>
      <c r="X198" s="777">
        <f>+X112+X154</f>
        <v>38829</v>
      </c>
      <c r="Y198" s="1674">
        <f t="shared" si="381"/>
        <v>0</v>
      </c>
      <c r="Z198" s="1674">
        <f t="shared" si="215"/>
        <v>104444</v>
      </c>
      <c r="AA198" s="1820">
        <f t="shared" si="382"/>
        <v>0</v>
      </c>
      <c r="AB198" s="1820">
        <f t="shared" si="371"/>
        <v>197137</v>
      </c>
      <c r="AC198" s="421"/>
      <c r="AD198" s="777">
        <f>+AD112+AD154</f>
        <v>40506</v>
      </c>
      <c r="AE198" s="1673">
        <f t="shared" si="383"/>
        <v>0</v>
      </c>
      <c r="AF198" s="1673">
        <f t="shared" si="295"/>
        <v>237643</v>
      </c>
      <c r="AG198" s="421"/>
      <c r="AH198" s="777">
        <f>+AH112+AH154</f>
        <v>38856</v>
      </c>
      <c r="AI198" s="1673">
        <f t="shared" si="384"/>
        <v>0</v>
      </c>
      <c r="AJ198" s="1673">
        <f t="shared" si="296"/>
        <v>276499</v>
      </c>
      <c r="AK198" s="421"/>
      <c r="AL198" s="1106">
        <f>+AL112+AL154</f>
        <v>27255.45</v>
      </c>
      <c r="AM198" s="1674">
        <f t="shared" si="385"/>
        <v>0</v>
      </c>
      <c r="AN198" s="1674">
        <f t="shared" si="219"/>
        <v>106617.45</v>
      </c>
      <c r="AO198" s="1673">
        <f t="shared" si="386"/>
        <v>0</v>
      </c>
      <c r="AP198" s="1673">
        <f t="shared" si="297"/>
        <v>303754.45</v>
      </c>
      <c r="AQ198" s="421"/>
      <c r="AR198" s="777">
        <f>+AR112+AR154</f>
        <v>23227</v>
      </c>
      <c r="AS198" s="1673">
        <f t="shared" si="223"/>
        <v>0</v>
      </c>
      <c r="AT198" s="1673">
        <f t="shared" si="223"/>
        <v>326981.45</v>
      </c>
      <c r="AU198" s="421"/>
      <c r="AV198" s="777">
        <f>+AV112+AV154</f>
        <v>7782</v>
      </c>
      <c r="AW198" s="1673">
        <f t="shared" si="224"/>
        <v>0</v>
      </c>
      <c r="AX198" s="1673">
        <f t="shared" si="224"/>
        <v>334763.45</v>
      </c>
      <c r="AY198" s="421"/>
      <c r="AZ198" s="777">
        <f>+AZ112+AZ154</f>
        <v>22203</v>
      </c>
      <c r="BA198" s="1674">
        <f t="shared" si="387"/>
        <v>0</v>
      </c>
      <c r="BB198" s="1674">
        <f t="shared" si="387"/>
        <v>53212</v>
      </c>
      <c r="BC198" s="1820">
        <f>+AM198+BA198</f>
        <v>0</v>
      </c>
      <c r="BD198" s="1820">
        <f>+AN198+BB198</f>
        <v>159829.45000000001</v>
      </c>
      <c r="BE198" s="1673">
        <f t="shared" si="388"/>
        <v>0</v>
      </c>
      <c r="BF198" s="1673">
        <f t="shared" si="388"/>
        <v>356966.45</v>
      </c>
    </row>
    <row r="199" spans="2:58" s="334" customFormat="1" x14ac:dyDescent="0.25">
      <c r="B199" s="5170"/>
      <c r="C199" s="1081" t="s">
        <v>1481</v>
      </c>
      <c r="D199" s="1081"/>
      <c r="E199" s="1081"/>
      <c r="F199" s="979"/>
      <c r="G199" s="1081"/>
      <c r="H199" s="979"/>
      <c r="I199" s="3843"/>
      <c r="J199" s="3843"/>
      <c r="K199" s="1081"/>
      <c r="L199" s="979"/>
      <c r="M199" s="3843"/>
      <c r="N199" s="3843"/>
      <c r="O199" s="1081"/>
      <c r="P199" s="979"/>
      <c r="Q199" s="3843"/>
      <c r="R199" s="3843"/>
      <c r="S199" s="1081"/>
      <c r="T199" s="979"/>
      <c r="U199" s="3843"/>
      <c r="V199" s="3843"/>
      <c r="W199" s="1081"/>
      <c r="X199" s="979"/>
      <c r="Y199" s="3843"/>
      <c r="Z199" s="3843"/>
      <c r="AA199" s="3843"/>
      <c r="AB199" s="3843"/>
      <c r="AC199" s="1081"/>
      <c r="AD199" s="979"/>
      <c r="AE199" s="3843"/>
      <c r="AF199" s="3843"/>
      <c r="AG199" s="1081"/>
      <c r="AH199" s="979"/>
      <c r="AI199" s="3843"/>
      <c r="AJ199" s="3843"/>
      <c r="AK199" s="1081"/>
      <c r="AL199" s="979"/>
      <c r="AM199" s="3843"/>
      <c r="AN199" s="3843"/>
      <c r="AO199" s="3843"/>
      <c r="AP199" s="3843"/>
      <c r="AQ199" s="1081"/>
      <c r="AR199" s="979"/>
      <c r="AS199" s="3843"/>
      <c r="AT199" s="3843"/>
      <c r="AU199" s="1081"/>
      <c r="AV199" s="979"/>
      <c r="AW199" s="3843"/>
      <c r="AX199" s="3843"/>
      <c r="AY199" s="1081"/>
      <c r="AZ199" s="979"/>
      <c r="BA199" s="3843"/>
      <c r="BB199" s="3843"/>
      <c r="BC199" s="3843"/>
      <c r="BD199" s="3843"/>
      <c r="BE199" s="3843"/>
      <c r="BF199" s="3843"/>
    </row>
    <row r="200" spans="2:58" x14ac:dyDescent="0.25">
      <c r="B200" s="5170"/>
      <c r="C200" s="1394" t="s">
        <v>1457</v>
      </c>
      <c r="D200" s="421"/>
      <c r="E200" s="421"/>
      <c r="F200" s="1515">
        <f>+F114+F156</f>
        <v>1.5</v>
      </c>
      <c r="G200" s="421"/>
      <c r="H200" s="1515">
        <f>+H114+H156</f>
        <v>3</v>
      </c>
      <c r="I200" s="1673"/>
      <c r="J200" s="1673">
        <f t="shared" ref="J200:J214" si="389">+F200+H200</f>
        <v>4.5</v>
      </c>
      <c r="K200" s="421"/>
      <c r="L200" s="1515">
        <f>+L114+L156</f>
        <v>2.6</v>
      </c>
      <c r="M200" s="1674">
        <f t="shared" ref="M200:N214" si="390">+I200+K200</f>
        <v>0</v>
      </c>
      <c r="N200" s="1674">
        <f t="shared" si="390"/>
        <v>7.1</v>
      </c>
      <c r="O200" s="421"/>
      <c r="P200" s="1515">
        <f>+P114+P156</f>
        <v>3</v>
      </c>
      <c r="Q200" s="1673">
        <f t="shared" ref="Q200:R214" si="391">+M200+O200</f>
        <v>0</v>
      </c>
      <c r="R200" s="1673">
        <f t="shared" si="391"/>
        <v>10.1</v>
      </c>
      <c r="S200" s="421"/>
      <c r="T200" s="1515">
        <f>+T114+T156</f>
        <v>2</v>
      </c>
      <c r="U200" s="1673">
        <f t="shared" ref="U200:V214" si="392">+Q200+S200</f>
        <v>0</v>
      </c>
      <c r="V200" s="1673">
        <f t="shared" si="392"/>
        <v>12.1</v>
      </c>
      <c r="W200" s="421"/>
      <c r="X200" s="1515">
        <f>+X114+X156</f>
        <v>0</v>
      </c>
      <c r="Y200" s="1674">
        <f t="shared" ref="Y200:Z214" si="393">O200+S200+W200</f>
        <v>0</v>
      </c>
      <c r="Z200" s="1674">
        <f t="shared" si="393"/>
        <v>5</v>
      </c>
      <c r="AA200" s="1820">
        <f t="shared" ref="AA200:AB214" si="394">+M200+Y200</f>
        <v>0</v>
      </c>
      <c r="AB200" s="1820">
        <f t="shared" si="394"/>
        <v>12.1</v>
      </c>
      <c r="AC200" s="421"/>
      <c r="AD200" s="1515">
        <f>+AD114+AD156</f>
        <v>0</v>
      </c>
      <c r="AE200" s="1673">
        <f t="shared" ref="AE200:AF214" si="395">+AA200+AC200</f>
        <v>0</v>
      </c>
      <c r="AF200" s="1673">
        <f t="shared" si="395"/>
        <v>12.1</v>
      </c>
      <c r="AG200" s="421"/>
      <c r="AH200" s="1515">
        <f>+AH114+AH156</f>
        <v>3.5</v>
      </c>
      <c r="AI200" s="1673">
        <f t="shared" ref="AI200:AJ214" si="396">+AE200+AG200</f>
        <v>0</v>
      </c>
      <c r="AJ200" s="1673">
        <f t="shared" si="396"/>
        <v>15.6</v>
      </c>
      <c r="AK200" s="421"/>
      <c r="AL200" s="1515">
        <f>+AL114+AL156</f>
        <v>3.1</v>
      </c>
      <c r="AM200" s="1674">
        <f t="shared" ref="AM200:AN214" si="397">AC200+AG200+AK200</f>
        <v>0</v>
      </c>
      <c r="AN200" s="1674">
        <f t="shared" si="397"/>
        <v>6.6</v>
      </c>
      <c r="AO200" s="1673">
        <f t="shared" ref="AO200:AP214" si="398">+AI200+AK200</f>
        <v>0</v>
      </c>
      <c r="AP200" s="1673">
        <f t="shared" si="398"/>
        <v>18.7</v>
      </c>
      <c r="AQ200" s="421"/>
      <c r="AR200" s="1515">
        <f>+AR114+AR156</f>
        <v>3.8</v>
      </c>
      <c r="AS200" s="1673">
        <f t="shared" ref="AS200:AT214" si="399">+AQ200+AO200</f>
        <v>0</v>
      </c>
      <c r="AT200" s="1673">
        <f t="shared" si="399"/>
        <v>22.5</v>
      </c>
      <c r="AU200" s="421"/>
      <c r="AV200" s="1515">
        <f>+AV114+AV156</f>
        <v>5.5</v>
      </c>
      <c r="AW200" s="1673">
        <f t="shared" ref="AW200:AX214" si="400">+AS200+AU200</f>
        <v>0</v>
      </c>
      <c r="AX200" s="1673">
        <f t="shared" si="400"/>
        <v>28</v>
      </c>
      <c r="AY200" s="421"/>
      <c r="AZ200" s="1515">
        <f>+AZ114+AZ156</f>
        <v>2.5</v>
      </c>
      <c r="BA200" s="1674">
        <f t="shared" ref="BA200:BB201" si="401">AQ200+AU200+AY200</f>
        <v>0</v>
      </c>
      <c r="BB200" s="1674">
        <f t="shared" si="401"/>
        <v>11.8</v>
      </c>
      <c r="BC200" s="1820">
        <f>+AM200+BA200</f>
        <v>0</v>
      </c>
      <c r="BD200" s="1820">
        <f>+AN200+BB200</f>
        <v>18.399999999999999</v>
      </c>
      <c r="BE200" s="1673">
        <f t="shared" ref="BE200:BF201" si="402">+AW200+AY200</f>
        <v>0</v>
      </c>
      <c r="BF200" s="1673">
        <f t="shared" si="402"/>
        <v>30.5</v>
      </c>
    </row>
    <row r="201" spans="2:58" x14ac:dyDescent="0.25">
      <c r="B201" s="5170"/>
      <c r="C201" s="1394" t="s">
        <v>1458</v>
      </c>
      <c r="D201" s="421"/>
      <c r="E201" s="421"/>
      <c r="F201" s="777">
        <f>+F115+F157</f>
        <v>5749</v>
      </c>
      <c r="G201" s="421"/>
      <c r="H201" s="777">
        <f>+H115+H157</f>
        <v>11319</v>
      </c>
      <c r="I201" s="1673"/>
      <c r="J201" s="1673">
        <f t="shared" si="389"/>
        <v>17068</v>
      </c>
      <c r="K201" s="421"/>
      <c r="L201" s="777">
        <f>+L115+L157</f>
        <v>10051</v>
      </c>
      <c r="M201" s="1674">
        <f t="shared" si="390"/>
        <v>0</v>
      </c>
      <c r="N201" s="1674">
        <f t="shared" si="390"/>
        <v>27119</v>
      </c>
      <c r="O201" s="421"/>
      <c r="P201" s="777">
        <f>+P115+P157</f>
        <v>11634</v>
      </c>
      <c r="Q201" s="1673">
        <f t="shared" si="391"/>
        <v>0</v>
      </c>
      <c r="R201" s="1673">
        <f t="shared" si="391"/>
        <v>38753</v>
      </c>
      <c r="S201" s="421"/>
      <c r="T201" s="777">
        <f>+T115+T157</f>
        <v>7501</v>
      </c>
      <c r="U201" s="1673">
        <f t="shared" si="392"/>
        <v>0</v>
      </c>
      <c r="V201" s="1673">
        <f t="shared" si="392"/>
        <v>46254</v>
      </c>
      <c r="W201" s="421"/>
      <c r="X201" s="777">
        <f>+X115+X157</f>
        <v>0</v>
      </c>
      <c r="Y201" s="1674">
        <f t="shared" si="393"/>
        <v>0</v>
      </c>
      <c r="Z201" s="1674">
        <f t="shared" si="393"/>
        <v>19135</v>
      </c>
      <c r="AA201" s="1820">
        <f t="shared" si="394"/>
        <v>0</v>
      </c>
      <c r="AB201" s="1820">
        <f t="shared" si="394"/>
        <v>46254</v>
      </c>
      <c r="AC201" s="421"/>
      <c r="AD201" s="777">
        <f>+AD115+AD157</f>
        <v>0</v>
      </c>
      <c r="AE201" s="1673">
        <f t="shared" si="395"/>
        <v>0</v>
      </c>
      <c r="AF201" s="1673">
        <f t="shared" si="395"/>
        <v>46254</v>
      </c>
      <c r="AG201" s="421"/>
      <c r="AH201" s="777">
        <f>+AH115+AH157</f>
        <v>12820</v>
      </c>
      <c r="AI201" s="1673">
        <f t="shared" si="396"/>
        <v>0</v>
      </c>
      <c r="AJ201" s="1673">
        <f t="shared" si="396"/>
        <v>59074</v>
      </c>
      <c r="AK201" s="421"/>
      <c r="AL201" s="1106">
        <f>+AL115+AL157</f>
        <v>11654.99</v>
      </c>
      <c r="AM201" s="1674">
        <f t="shared" si="397"/>
        <v>0</v>
      </c>
      <c r="AN201" s="1674">
        <f t="shared" si="397"/>
        <v>24474.989999999998</v>
      </c>
      <c r="AO201" s="1673">
        <f t="shared" si="398"/>
        <v>0</v>
      </c>
      <c r="AP201" s="1673">
        <f t="shared" si="398"/>
        <v>70728.990000000005</v>
      </c>
      <c r="AQ201" s="421"/>
      <c r="AR201" s="777">
        <f>+AR115+AR157</f>
        <v>14983</v>
      </c>
      <c r="AS201" s="1673">
        <f t="shared" si="399"/>
        <v>0</v>
      </c>
      <c r="AT201" s="1673">
        <f t="shared" si="399"/>
        <v>85711.99</v>
      </c>
      <c r="AU201" s="421"/>
      <c r="AV201" s="777">
        <f>+AV115+AV157</f>
        <v>21747</v>
      </c>
      <c r="AW201" s="1673">
        <f t="shared" si="400"/>
        <v>0</v>
      </c>
      <c r="AX201" s="1673">
        <f t="shared" si="400"/>
        <v>107458.99</v>
      </c>
      <c r="AY201" s="421"/>
      <c r="AZ201" s="777">
        <f>+AZ115+AZ157</f>
        <v>9525</v>
      </c>
      <c r="BA201" s="1674">
        <f t="shared" si="401"/>
        <v>0</v>
      </c>
      <c r="BB201" s="1674">
        <f t="shared" si="401"/>
        <v>46255</v>
      </c>
      <c r="BC201" s="1820">
        <f>+AM201+BA201</f>
        <v>0</v>
      </c>
      <c r="BD201" s="1820">
        <f>+AN201+BB201</f>
        <v>70729.989999999991</v>
      </c>
      <c r="BE201" s="1673">
        <f t="shared" si="402"/>
        <v>0</v>
      </c>
      <c r="BF201" s="1673">
        <f t="shared" si="402"/>
        <v>116983.99</v>
      </c>
    </row>
    <row r="202" spans="2:58" s="334" customFormat="1" ht="15.75" x14ac:dyDescent="0.25">
      <c r="B202" s="5170"/>
      <c r="C202" s="1703" t="s">
        <v>23</v>
      </c>
      <c r="D202" s="1081"/>
      <c r="E202" s="1081"/>
      <c r="F202" s="1081"/>
      <c r="G202" s="1081"/>
      <c r="H202" s="1081"/>
      <c r="I202" s="3843"/>
      <c r="J202" s="3843"/>
      <c r="K202" s="1081"/>
      <c r="L202" s="1081"/>
      <c r="M202" s="3843"/>
      <c r="N202" s="3843"/>
      <c r="O202" s="1081"/>
      <c r="P202" s="1081"/>
      <c r="Q202" s="3843"/>
      <c r="R202" s="3843"/>
      <c r="S202" s="1081"/>
      <c r="T202" s="1081"/>
      <c r="U202" s="3843"/>
      <c r="V202" s="3843"/>
      <c r="W202" s="1081"/>
      <c r="X202" s="1081"/>
      <c r="Y202" s="3843"/>
      <c r="Z202" s="3843"/>
      <c r="AA202" s="3843"/>
      <c r="AB202" s="3843"/>
      <c r="AC202" s="1081"/>
      <c r="AD202" s="1081"/>
      <c r="AE202" s="3843"/>
      <c r="AF202" s="3843"/>
      <c r="AG202" s="1081"/>
      <c r="AH202" s="1081"/>
      <c r="AI202" s="3843"/>
      <c r="AJ202" s="3843"/>
      <c r="AK202" s="1081"/>
      <c r="AL202" s="1081"/>
      <c r="AM202" s="3843"/>
      <c r="AN202" s="3843"/>
      <c r="AO202" s="3843"/>
      <c r="AP202" s="3843"/>
      <c r="AQ202" s="1081"/>
      <c r="AR202" s="1081"/>
      <c r="AS202" s="3843"/>
      <c r="AT202" s="3843"/>
      <c r="AU202" s="1081"/>
      <c r="AV202" s="1081"/>
      <c r="AW202" s="3843"/>
      <c r="AX202" s="3843"/>
      <c r="AY202" s="1081"/>
      <c r="AZ202" s="1081"/>
      <c r="BA202" s="3843"/>
      <c r="BB202" s="3843"/>
      <c r="BC202" s="3843"/>
      <c r="BD202" s="3843"/>
      <c r="BE202" s="3843"/>
      <c r="BF202" s="3843"/>
    </row>
    <row r="203" spans="2:58" ht="18.75" x14ac:dyDescent="0.3">
      <c r="B203" s="5170"/>
      <c r="C203" s="1691" t="s">
        <v>1457</v>
      </c>
      <c r="D203" s="1681"/>
      <c r="E203" s="1687"/>
      <c r="F203" s="1690">
        <f>+F185+F188+F191+F194+F197+F200</f>
        <v>32.9</v>
      </c>
      <c r="G203" s="1687"/>
      <c r="H203" s="1690">
        <f>+H185+H188+H191+H194+H197+H200</f>
        <v>40</v>
      </c>
      <c r="I203" s="1689"/>
      <c r="J203" s="1690">
        <f t="shared" si="389"/>
        <v>72.900000000000006</v>
      </c>
      <c r="K203" s="1687"/>
      <c r="L203" s="1690">
        <f>+L185+L188+L191+L194+L197+L200</f>
        <v>37</v>
      </c>
      <c r="M203" s="1689"/>
      <c r="N203" s="1690">
        <f t="shared" si="390"/>
        <v>109.9</v>
      </c>
      <c r="O203" s="1687"/>
      <c r="P203" s="1690">
        <f>+P185+P188+P191+P194+P197+P200</f>
        <v>43.7</v>
      </c>
      <c r="Q203" s="1689"/>
      <c r="R203" s="1690">
        <f t="shared" si="391"/>
        <v>153.60000000000002</v>
      </c>
      <c r="S203" s="1687"/>
      <c r="T203" s="1690">
        <f>+T185+T188+T191+T194+T197+T200</f>
        <v>41.3</v>
      </c>
      <c r="U203" s="1689"/>
      <c r="V203" s="1690">
        <f t="shared" si="392"/>
        <v>194.90000000000003</v>
      </c>
      <c r="W203" s="1687"/>
      <c r="X203" s="1690">
        <f>+X185+X188+X191+X194+X197+X200</f>
        <v>40</v>
      </c>
      <c r="Y203" s="1689">
        <f t="shared" ref="Y203:Y204" si="403">O203+S203+W203</f>
        <v>0</v>
      </c>
      <c r="Z203" s="1690">
        <f t="shared" si="393"/>
        <v>125</v>
      </c>
      <c r="AA203" s="1689">
        <f t="shared" ref="AA203:AA204" si="404">+M203+Y203</f>
        <v>0</v>
      </c>
      <c r="AB203" s="1690">
        <f t="shared" si="394"/>
        <v>234.9</v>
      </c>
      <c r="AC203" s="1687"/>
      <c r="AD203" s="1690">
        <f>+AD185+AD188+AD191+AD194+AD197+AD200</f>
        <v>39.1</v>
      </c>
      <c r="AE203" s="1689"/>
      <c r="AF203" s="1690">
        <f t="shared" si="395"/>
        <v>274</v>
      </c>
      <c r="AG203" s="1687"/>
      <c r="AH203" s="1690">
        <f>+AH185+AH188+AH191+AH194+AH197+AH200</f>
        <v>40</v>
      </c>
      <c r="AI203" s="1689"/>
      <c r="AJ203" s="1690">
        <f t="shared" si="396"/>
        <v>314</v>
      </c>
      <c r="AK203" s="1687"/>
      <c r="AL203" s="3097">
        <f>+AL185+AL188+AL191+AL194+AL197+AL200</f>
        <v>38</v>
      </c>
      <c r="AM203" s="1689">
        <f t="shared" ref="AM203:AM204" si="405">AC203+AG203+AK203</f>
        <v>0</v>
      </c>
      <c r="AN203" s="1690">
        <f t="shared" si="397"/>
        <v>117.1</v>
      </c>
      <c r="AO203" s="1689"/>
      <c r="AP203" s="1690">
        <f t="shared" si="398"/>
        <v>352</v>
      </c>
      <c r="AQ203" s="1687"/>
      <c r="AR203" s="1690">
        <f>+AR185+AR188+AR191+AR194+AR197+AR200</f>
        <v>34.9</v>
      </c>
      <c r="AS203" s="1689">
        <f t="shared" si="399"/>
        <v>0</v>
      </c>
      <c r="AT203" s="1690">
        <f t="shared" si="399"/>
        <v>386.9</v>
      </c>
      <c r="AU203" s="1687"/>
      <c r="AV203" s="1690">
        <f>+AV185+AV188+AV191+AV194+AV197+AV200</f>
        <v>34.699999999999996</v>
      </c>
      <c r="AW203" s="1689">
        <f t="shared" si="400"/>
        <v>0</v>
      </c>
      <c r="AX203" s="1690">
        <f t="shared" si="400"/>
        <v>421.59999999999997</v>
      </c>
      <c r="AY203" s="1687"/>
      <c r="AZ203" s="1690">
        <f>+AZ185+AZ188+AZ191+AZ194+AZ197+AZ200</f>
        <v>35.799999999999997</v>
      </c>
      <c r="BA203" s="1689">
        <f t="shared" ref="BA203:BB204" si="406">AQ203+AU203+AY203</f>
        <v>0</v>
      </c>
      <c r="BB203" s="1690">
        <f t="shared" si="406"/>
        <v>105.39999999999999</v>
      </c>
      <c r="BC203" s="1689">
        <f>+AM203+BA203</f>
        <v>0</v>
      </c>
      <c r="BD203" s="1690">
        <f>+AN203+BB203</f>
        <v>222.5</v>
      </c>
      <c r="BE203" s="1689">
        <f t="shared" ref="BE203:BF204" si="407">+AW203+AY203</f>
        <v>0</v>
      </c>
      <c r="BF203" s="1690">
        <f t="shared" si="407"/>
        <v>457.4</v>
      </c>
    </row>
    <row r="204" spans="2:58" ht="18.75" x14ac:dyDescent="0.3">
      <c r="B204" s="5170"/>
      <c r="C204" s="1691" t="s">
        <v>1458</v>
      </c>
      <c r="D204" s="1681"/>
      <c r="E204" s="1687">
        <v>155826.58321060383</v>
      </c>
      <c r="F204" s="1690">
        <f>+F186+F189+F192+F195+F198+F201</f>
        <v>127014</v>
      </c>
      <c r="G204" s="1687">
        <v>161020.80265095725</v>
      </c>
      <c r="H204" s="1690">
        <f>+H186+H189+H192+H195+H198+H201</f>
        <v>152606</v>
      </c>
      <c r="I204" s="1690"/>
      <c r="J204" s="1690">
        <f t="shared" si="389"/>
        <v>279620</v>
      </c>
      <c r="K204" s="1687">
        <v>155826.58321060383</v>
      </c>
      <c r="L204" s="1690">
        <f>+L186+L189+L192+L195+L198+L201</f>
        <v>142285</v>
      </c>
      <c r="M204" s="1689">
        <f t="shared" ref="M204" si="408">+I204+K204</f>
        <v>155826.58321060383</v>
      </c>
      <c r="N204" s="1690">
        <f t="shared" si="390"/>
        <v>421905</v>
      </c>
      <c r="O204" s="1687">
        <v>161020.80265095725</v>
      </c>
      <c r="P204" s="1690">
        <f>+P186+P189+P192+P195+P198+P201</f>
        <v>168306</v>
      </c>
      <c r="Q204" s="1690">
        <f t="shared" ref="Q204" si="409">+M204+O204</f>
        <v>316847.38586156105</v>
      </c>
      <c r="R204" s="1690">
        <f t="shared" si="391"/>
        <v>590211</v>
      </c>
      <c r="S204" s="1687"/>
      <c r="T204" s="1690">
        <f>+T186+T189+T192+T195+T198+T201</f>
        <v>158992</v>
      </c>
      <c r="U204" s="1690">
        <f t="shared" ref="U204" si="410">+Q204+S204</f>
        <v>316847.38586156105</v>
      </c>
      <c r="V204" s="1690">
        <f t="shared" si="392"/>
        <v>749203</v>
      </c>
      <c r="W204" s="1687"/>
      <c r="X204" s="1690">
        <f>+X186+X189+X192+X195+X198+X201</f>
        <v>154631</v>
      </c>
      <c r="Y204" s="1689">
        <f t="shared" si="403"/>
        <v>161020.80265095725</v>
      </c>
      <c r="Z204" s="1690">
        <f t="shared" si="393"/>
        <v>481929</v>
      </c>
      <c r="AA204" s="1689">
        <f t="shared" si="404"/>
        <v>316847.38586156105</v>
      </c>
      <c r="AB204" s="1690">
        <f t="shared" si="394"/>
        <v>903834</v>
      </c>
      <c r="AC204" s="1687"/>
      <c r="AD204" s="1690">
        <f>+AD186+AD189+AD192+AD195+AD198+AD201</f>
        <v>150358</v>
      </c>
      <c r="AE204" s="1690">
        <f t="shared" ref="AE204" si="411">+AA204+AC204</f>
        <v>316847.38586156105</v>
      </c>
      <c r="AF204" s="1690">
        <f t="shared" si="395"/>
        <v>1054192</v>
      </c>
      <c r="AG204" s="1687"/>
      <c r="AH204" s="1690">
        <f>+AH186+AH189+AH192+AH195+AH198+AH201</f>
        <v>152884</v>
      </c>
      <c r="AI204" s="1690">
        <f t="shared" ref="AI204" si="412">+AE204+AG204</f>
        <v>316847.38586156105</v>
      </c>
      <c r="AJ204" s="1690">
        <f t="shared" si="396"/>
        <v>1207076</v>
      </c>
      <c r="AK204" s="1687"/>
      <c r="AL204" s="1690">
        <f>+AL186+AL189+AL192+AL195+AL198+AL201</f>
        <v>145613.93</v>
      </c>
      <c r="AM204" s="1689">
        <f t="shared" si="405"/>
        <v>0</v>
      </c>
      <c r="AN204" s="1690">
        <f t="shared" si="397"/>
        <v>448855.93</v>
      </c>
      <c r="AO204" s="1690">
        <f t="shared" ref="AO204" si="413">+AI204+AK204</f>
        <v>316847.38586156105</v>
      </c>
      <c r="AP204" s="1690">
        <f t="shared" si="398"/>
        <v>1352689.93</v>
      </c>
      <c r="AQ204" s="1687"/>
      <c r="AR204" s="1690">
        <f>+AR186+AR189+AR192+AR195+AR198+AR201</f>
        <v>135554</v>
      </c>
      <c r="AS204" s="1690">
        <f t="shared" si="399"/>
        <v>316847.38586156105</v>
      </c>
      <c r="AT204" s="1690">
        <f t="shared" si="399"/>
        <v>1488243.93</v>
      </c>
      <c r="AU204" s="1687"/>
      <c r="AV204" s="1690">
        <f>+AV186+AV189+AV192+AV195+AV198+AV201</f>
        <v>135810</v>
      </c>
      <c r="AW204" s="1690">
        <f t="shared" si="400"/>
        <v>316847.38586156105</v>
      </c>
      <c r="AX204" s="1690">
        <f t="shared" si="400"/>
        <v>1624053.93</v>
      </c>
      <c r="AY204" s="1687"/>
      <c r="AZ204" s="1690">
        <f>+AZ186+AZ189+AZ192+AZ195+AZ198+AZ201</f>
        <v>137627</v>
      </c>
      <c r="BA204" s="1689">
        <f t="shared" si="406"/>
        <v>0</v>
      </c>
      <c r="BB204" s="1690">
        <f t="shared" si="406"/>
        <v>408991</v>
      </c>
      <c r="BC204" s="1689">
        <f>+AM204+BA204</f>
        <v>0</v>
      </c>
      <c r="BD204" s="1690">
        <f>+AN204+BB204</f>
        <v>857846.92999999993</v>
      </c>
      <c r="BE204" s="1690">
        <f t="shared" si="407"/>
        <v>316847.38586156105</v>
      </c>
      <c r="BF204" s="1690">
        <f t="shared" si="407"/>
        <v>1761680.93</v>
      </c>
    </row>
    <row r="205" spans="2:58" s="334" customFormat="1" ht="21" x14ac:dyDescent="0.35">
      <c r="B205" s="5171" t="s">
        <v>1491</v>
      </c>
      <c r="C205" s="5172"/>
      <c r="D205" s="3847"/>
      <c r="E205" s="3847"/>
      <c r="F205" s="3847"/>
      <c r="G205" s="3847"/>
      <c r="H205" s="3847"/>
      <c r="I205" s="3848"/>
      <c r="J205" s="3848"/>
      <c r="K205" s="3847"/>
      <c r="L205" s="3847"/>
      <c r="M205" s="3848"/>
      <c r="N205" s="3848"/>
      <c r="O205" s="3847"/>
      <c r="P205" s="3847"/>
      <c r="Q205" s="3848"/>
      <c r="R205" s="3848"/>
      <c r="S205" s="3847"/>
      <c r="T205" s="3847"/>
      <c r="U205" s="3848"/>
      <c r="V205" s="3848"/>
      <c r="W205" s="3847"/>
      <c r="X205" s="3847"/>
      <c r="Y205" s="3848"/>
      <c r="Z205" s="3848"/>
      <c r="AA205" s="3848"/>
      <c r="AB205" s="3848"/>
      <c r="AC205" s="3847"/>
      <c r="AD205" s="3847"/>
      <c r="AE205" s="3848"/>
      <c r="AF205" s="3848"/>
      <c r="AG205" s="3847"/>
      <c r="AH205" s="3847"/>
      <c r="AI205" s="3848"/>
      <c r="AJ205" s="3848"/>
      <c r="AK205" s="3847"/>
      <c r="AL205" s="3847"/>
      <c r="AM205" s="3848"/>
      <c r="AN205" s="3848"/>
      <c r="AO205" s="3848"/>
      <c r="AP205" s="3848"/>
      <c r="AQ205" s="3847"/>
      <c r="AR205" s="3847"/>
      <c r="AS205" s="3848"/>
      <c r="AT205" s="3848"/>
      <c r="AU205" s="3847"/>
      <c r="AV205" s="3847"/>
      <c r="AW205" s="3848"/>
      <c r="AX205" s="3848"/>
      <c r="AY205" s="3847"/>
      <c r="AZ205" s="3847"/>
      <c r="BA205" s="3848"/>
      <c r="BB205" s="3848"/>
      <c r="BC205" s="3848"/>
      <c r="BD205" s="3848"/>
      <c r="BE205" s="3848"/>
      <c r="BF205" s="3848"/>
    </row>
    <row r="206" spans="2:58" ht="21" x14ac:dyDescent="0.35">
      <c r="B206" s="5165" t="s">
        <v>1489</v>
      </c>
      <c r="C206" s="5166" t="s">
        <v>1457</v>
      </c>
      <c r="D206" s="1858"/>
      <c r="E206" s="1859"/>
      <c r="F206" s="3099">
        <f>+F203+F182</f>
        <v>33.9</v>
      </c>
      <c r="G206" s="1859"/>
      <c r="H206" s="3099">
        <f>+H203+H182</f>
        <v>42</v>
      </c>
      <c r="I206" s="3849"/>
      <c r="J206" s="3853">
        <f t="shared" si="389"/>
        <v>75.900000000000006</v>
      </c>
      <c r="K206" s="1859"/>
      <c r="L206" s="3099">
        <f>+L203+L182</f>
        <v>39</v>
      </c>
      <c r="M206" s="3849"/>
      <c r="N206" s="3853">
        <f t="shared" si="390"/>
        <v>114.9</v>
      </c>
      <c r="O206" s="1859"/>
      <c r="P206" s="3099">
        <f>+P203+P182</f>
        <v>45.7</v>
      </c>
      <c r="Q206" s="3849"/>
      <c r="R206" s="3853">
        <f t="shared" si="391"/>
        <v>160.60000000000002</v>
      </c>
      <c r="S206" s="1859"/>
      <c r="T206" s="3099">
        <f>+T203+T182</f>
        <v>43.3</v>
      </c>
      <c r="U206" s="3849"/>
      <c r="V206" s="3853">
        <f t="shared" si="392"/>
        <v>203.90000000000003</v>
      </c>
      <c r="W206" s="1859"/>
      <c r="X206" s="3099">
        <f>+X203+X182</f>
        <v>42</v>
      </c>
      <c r="Y206" s="3849"/>
      <c r="Z206" s="3853">
        <f t="shared" si="393"/>
        <v>131</v>
      </c>
      <c r="AA206" s="3849"/>
      <c r="AB206" s="3853">
        <f t="shared" si="394"/>
        <v>245.9</v>
      </c>
      <c r="AC206" s="1859"/>
      <c r="AD206" s="3099">
        <f>+AD203+AD182</f>
        <v>42.1</v>
      </c>
      <c r="AE206" s="3849"/>
      <c r="AF206" s="3853">
        <f t="shared" si="395"/>
        <v>288</v>
      </c>
      <c r="AG206" s="1859"/>
      <c r="AH206" s="3099">
        <f>+AH203+AH182</f>
        <v>40</v>
      </c>
      <c r="AI206" s="3849"/>
      <c r="AJ206" s="3853">
        <f t="shared" si="396"/>
        <v>328</v>
      </c>
      <c r="AK206" s="1859"/>
      <c r="AL206" s="3099">
        <f>+AL203+AL182</f>
        <v>42</v>
      </c>
      <c r="AM206" s="3849"/>
      <c r="AN206" s="3853">
        <f t="shared" si="397"/>
        <v>124.1</v>
      </c>
      <c r="AO206" s="3849"/>
      <c r="AP206" s="3853">
        <f t="shared" si="398"/>
        <v>370</v>
      </c>
      <c r="AQ206" s="1859"/>
      <c r="AR206" s="3099">
        <f>+AR203+AR182</f>
        <v>37.9</v>
      </c>
      <c r="AS206" s="3849">
        <f t="shared" si="399"/>
        <v>0</v>
      </c>
      <c r="AT206" s="3853">
        <f t="shared" si="399"/>
        <v>407.9</v>
      </c>
      <c r="AU206" s="1859"/>
      <c r="AV206" s="3099">
        <f>+AV203+AV182</f>
        <v>37.699999999999996</v>
      </c>
      <c r="AW206" s="3849">
        <f t="shared" si="400"/>
        <v>0</v>
      </c>
      <c r="AX206" s="3853">
        <f t="shared" si="400"/>
        <v>445.59999999999997</v>
      </c>
      <c r="AY206" s="1859"/>
      <c r="AZ206" s="3099">
        <f>+AZ203+AZ182</f>
        <v>39.799999999999997</v>
      </c>
      <c r="BA206" s="3849"/>
      <c r="BB206" s="3853">
        <f t="shared" ref="BB206:BB214" si="414">AR206+AV206+AZ206</f>
        <v>115.39999999999999</v>
      </c>
      <c r="BC206" s="3849"/>
      <c r="BD206" s="3853">
        <f t="shared" ref="BD206:BD214" si="415">+AN206+BB206</f>
        <v>239.5</v>
      </c>
      <c r="BE206" s="3849">
        <f t="shared" ref="BE206:BF214" si="416">+AW206+AY206</f>
        <v>0</v>
      </c>
      <c r="BF206" s="3853">
        <f t="shared" si="416"/>
        <v>485.4</v>
      </c>
    </row>
    <row r="207" spans="2:58" ht="21" x14ac:dyDescent="0.35">
      <c r="B207" s="5165" t="s">
        <v>1490</v>
      </c>
      <c r="C207" s="5166" t="s">
        <v>1458</v>
      </c>
      <c r="D207" s="1858"/>
      <c r="E207" s="1859"/>
      <c r="F207" s="3821">
        <f>+F204+F183</f>
        <v>130980</v>
      </c>
      <c r="G207" s="1859"/>
      <c r="H207" s="3821">
        <f>+H204+H183</f>
        <v>160425</v>
      </c>
      <c r="I207" s="3849"/>
      <c r="J207" s="3853">
        <f t="shared" si="389"/>
        <v>291405</v>
      </c>
      <c r="K207" s="1859"/>
      <c r="L207" s="3821">
        <f>+L204+L183</f>
        <v>148857</v>
      </c>
      <c r="M207" s="3849"/>
      <c r="N207" s="3853">
        <f t="shared" si="390"/>
        <v>440262</v>
      </c>
      <c r="O207" s="1859"/>
      <c r="P207" s="3821">
        <f>+P204+P183</f>
        <v>176172</v>
      </c>
      <c r="Q207" s="3849"/>
      <c r="R207" s="3853">
        <f t="shared" si="391"/>
        <v>616434</v>
      </c>
      <c r="S207" s="1859"/>
      <c r="T207" s="3821">
        <f>+T204+T183</f>
        <v>166115</v>
      </c>
      <c r="U207" s="3849"/>
      <c r="V207" s="3853">
        <f t="shared" si="392"/>
        <v>782549</v>
      </c>
      <c r="W207" s="1859"/>
      <c r="X207" s="3821">
        <f>+X204+X183</f>
        <v>162643</v>
      </c>
      <c r="Y207" s="3849"/>
      <c r="Z207" s="3853">
        <f t="shared" si="393"/>
        <v>504930</v>
      </c>
      <c r="AA207" s="3849"/>
      <c r="AB207" s="3853">
        <f t="shared" si="394"/>
        <v>945192</v>
      </c>
      <c r="AC207" s="1859"/>
      <c r="AD207" s="3821">
        <f>+AD204+AD183</f>
        <v>162191</v>
      </c>
      <c r="AE207" s="3849"/>
      <c r="AF207" s="3853">
        <f t="shared" si="395"/>
        <v>1107383</v>
      </c>
      <c r="AG207" s="1859"/>
      <c r="AH207" s="3821">
        <f>+AH204+AH183</f>
        <v>152884</v>
      </c>
      <c r="AI207" s="3849"/>
      <c r="AJ207" s="3853">
        <f t="shared" si="396"/>
        <v>1260267</v>
      </c>
      <c r="AK207" s="1859"/>
      <c r="AL207" s="3821">
        <f>+AL204+AL183</f>
        <v>159478.93</v>
      </c>
      <c r="AM207" s="3849"/>
      <c r="AN207" s="3853">
        <f t="shared" si="397"/>
        <v>474553.93</v>
      </c>
      <c r="AO207" s="3849"/>
      <c r="AP207" s="3853">
        <f t="shared" si="398"/>
        <v>1419745.93</v>
      </c>
      <c r="AQ207" s="1859"/>
      <c r="AR207" s="3821">
        <f>+AR204+AR183</f>
        <v>147179</v>
      </c>
      <c r="AS207" s="3849">
        <f t="shared" si="399"/>
        <v>0</v>
      </c>
      <c r="AT207" s="3853">
        <f t="shared" si="399"/>
        <v>1566924.93</v>
      </c>
      <c r="AU207" s="1859"/>
      <c r="AV207" s="3821">
        <f>+AV204+AV183</f>
        <v>147194</v>
      </c>
      <c r="AW207" s="3849">
        <f t="shared" si="400"/>
        <v>0</v>
      </c>
      <c r="AX207" s="3853">
        <f t="shared" si="400"/>
        <v>1714118.93</v>
      </c>
      <c r="AY207" s="1859"/>
      <c r="AZ207" s="3821">
        <f>+AZ204+AZ183</f>
        <v>153135</v>
      </c>
      <c r="BA207" s="3849"/>
      <c r="BB207" s="3853">
        <f t="shared" si="414"/>
        <v>447508</v>
      </c>
      <c r="BC207" s="3849"/>
      <c r="BD207" s="3853">
        <f t="shared" si="415"/>
        <v>922061.92999999993</v>
      </c>
      <c r="BE207" s="3849">
        <f t="shared" si="416"/>
        <v>0</v>
      </c>
      <c r="BF207" s="3853">
        <f t="shared" si="416"/>
        <v>1867253.93</v>
      </c>
    </row>
    <row r="208" spans="2:58" ht="15.75" x14ac:dyDescent="0.25">
      <c r="B208" s="5177" t="s">
        <v>1487</v>
      </c>
      <c r="C208" s="1702" t="s">
        <v>1457</v>
      </c>
      <c r="D208" s="1703"/>
      <c r="E208" s="1708"/>
      <c r="F208" s="1708">
        <f>+F164</f>
        <v>3</v>
      </c>
      <c r="G208" s="1708"/>
      <c r="H208" s="1708">
        <f t="shared" ref="F208:U209" si="417">+H164</f>
        <v>2</v>
      </c>
      <c r="I208" s="1708"/>
      <c r="J208" s="1708">
        <f t="shared" si="389"/>
        <v>5</v>
      </c>
      <c r="K208" s="1708"/>
      <c r="L208" s="1708">
        <f t="shared" si="417"/>
        <v>9</v>
      </c>
      <c r="M208" s="1708"/>
      <c r="N208" s="1708">
        <f t="shared" si="390"/>
        <v>14</v>
      </c>
      <c r="O208" s="1708"/>
      <c r="P208" s="1708">
        <f t="shared" si="417"/>
        <v>5.3</v>
      </c>
      <c r="Q208" s="1708"/>
      <c r="R208" s="1708">
        <f t="shared" si="391"/>
        <v>19.3</v>
      </c>
      <c r="S208" s="1708"/>
      <c r="T208" s="1708">
        <f t="shared" ref="T208" si="418">+T164</f>
        <v>8.6999999999999993</v>
      </c>
      <c r="U208" s="1708"/>
      <c r="V208" s="1708">
        <f t="shared" si="392"/>
        <v>28</v>
      </c>
      <c r="W208" s="1708"/>
      <c r="X208" s="1708">
        <f t="shared" ref="X208" si="419">+X164</f>
        <v>8</v>
      </c>
      <c r="Y208" s="1708"/>
      <c r="Z208" s="1708">
        <f t="shared" si="393"/>
        <v>22</v>
      </c>
      <c r="AA208" s="1708"/>
      <c r="AB208" s="1708">
        <f t="shared" si="394"/>
        <v>36</v>
      </c>
      <c r="AC208" s="1708"/>
      <c r="AD208" s="1708">
        <f t="shared" ref="AD208" si="420">+AD164</f>
        <v>8</v>
      </c>
      <c r="AE208" s="1708"/>
      <c r="AF208" s="1708">
        <f t="shared" si="395"/>
        <v>44</v>
      </c>
      <c r="AG208" s="1708"/>
      <c r="AH208" s="1708">
        <f t="shared" ref="AH208:AI209" si="421">+AH164</f>
        <v>7</v>
      </c>
      <c r="AI208" s="1708"/>
      <c r="AJ208" s="1708">
        <f t="shared" si="396"/>
        <v>51</v>
      </c>
      <c r="AK208" s="1708"/>
      <c r="AL208" s="1708">
        <f t="shared" ref="AL208:AO209" si="422">+AL164</f>
        <v>6</v>
      </c>
      <c r="AM208" s="1708"/>
      <c r="AN208" s="1708">
        <f t="shared" si="397"/>
        <v>21</v>
      </c>
      <c r="AO208" s="1708"/>
      <c r="AP208" s="1708">
        <f t="shared" si="398"/>
        <v>57</v>
      </c>
      <c r="AQ208" s="1708"/>
      <c r="AR208" s="1708">
        <f t="shared" ref="AR208:AR209" si="423">+AR164</f>
        <v>6</v>
      </c>
      <c r="AS208" s="1708">
        <f t="shared" si="399"/>
        <v>0</v>
      </c>
      <c r="AT208" s="1708">
        <f t="shared" si="399"/>
        <v>63</v>
      </c>
      <c r="AU208" s="1708"/>
      <c r="AV208" s="4101">
        <f t="shared" ref="AV208:AV209" si="424">+AV164</f>
        <v>6.3</v>
      </c>
      <c r="AW208" s="1708">
        <f t="shared" si="400"/>
        <v>0</v>
      </c>
      <c r="AX208" s="1708">
        <f t="shared" si="400"/>
        <v>69.3</v>
      </c>
      <c r="AY208" s="1708"/>
      <c r="AZ208" s="4101">
        <f t="shared" ref="AZ208:BA209" si="425">+AZ164</f>
        <v>9.1999999999999993</v>
      </c>
      <c r="BA208" s="1708"/>
      <c r="BB208" s="1708">
        <f t="shared" si="414"/>
        <v>21.5</v>
      </c>
      <c r="BC208" s="1708"/>
      <c r="BD208" s="1708">
        <f t="shared" si="415"/>
        <v>42.5</v>
      </c>
      <c r="BE208" s="1708">
        <f t="shared" si="416"/>
        <v>0</v>
      </c>
      <c r="BF208" s="1708">
        <f t="shared" si="416"/>
        <v>78.5</v>
      </c>
    </row>
    <row r="209" spans="2:60" ht="15.75" x14ac:dyDescent="0.25">
      <c r="B209" s="5178"/>
      <c r="C209" s="1702" t="s">
        <v>1458</v>
      </c>
      <c r="D209" s="1703"/>
      <c r="E209" s="1708">
        <f>+E165</f>
        <v>12479.891242777841</v>
      </c>
      <c r="F209" s="1708">
        <f t="shared" si="417"/>
        <v>11278</v>
      </c>
      <c r="G209" s="1708">
        <f t="shared" si="417"/>
        <v>11385.521694800045</v>
      </c>
      <c r="H209" s="1708">
        <f t="shared" si="417"/>
        <v>7662</v>
      </c>
      <c r="I209" s="1708"/>
      <c r="J209" s="1708">
        <f t="shared" si="389"/>
        <v>18940</v>
      </c>
      <c r="K209" s="1708">
        <f t="shared" si="417"/>
        <v>33649.951852271442</v>
      </c>
      <c r="L209" s="1708">
        <f t="shared" si="417"/>
        <v>34588</v>
      </c>
      <c r="M209" s="1708">
        <f t="shared" si="417"/>
        <v>33649.951852271442</v>
      </c>
      <c r="N209" s="1708">
        <f t="shared" si="390"/>
        <v>53528</v>
      </c>
      <c r="O209" s="1708">
        <f t="shared" si="417"/>
        <v>36182.253313696616</v>
      </c>
      <c r="P209" s="1708">
        <f t="shared" si="417"/>
        <v>20573</v>
      </c>
      <c r="Q209" s="1708">
        <f t="shared" si="417"/>
        <v>69832.205165968058</v>
      </c>
      <c r="R209" s="1708">
        <f t="shared" si="391"/>
        <v>74101</v>
      </c>
      <c r="S209" s="1708">
        <f t="shared" si="417"/>
        <v>0</v>
      </c>
      <c r="T209" s="1708">
        <f t="shared" si="417"/>
        <v>34035</v>
      </c>
      <c r="U209" s="1708">
        <f t="shared" si="417"/>
        <v>69832.205165968058</v>
      </c>
      <c r="V209" s="1708">
        <f t="shared" si="392"/>
        <v>108136</v>
      </c>
      <c r="W209" s="1708">
        <f t="shared" ref="W209:AE209" si="426">+W165</f>
        <v>0</v>
      </c>
      <c r="X209" s="1708">
        <f t="shared" si="426"/>
        <v>30704</v>
      </c>
      <c r="Y209" s="1708">
        <f t="shared" si="426"/>
        <v>36182.253313696616</v>
      </c>
      <c r="Z209" s="1708">
        <f t="shared" si="393"/>
        <v>85312</v>
      </c>
      <c r="AA209" s="1708">
        <f t="shared" si="426"/>
        <v>69832.205165968058</v>
      </c>
      <c r="AB209" s="1708">
        <f t="shared" si="394"/>
        <v>138840</v>
      </c>
      <c r="AC209" s="1708">
        <f t="shared" si="426"/>
        <v>0</v>
      </c>
      <c r="AD209" s="1708">
        <f t="shared" si="426"/>
        <v>30389</v>
      </c>
      <c r="AE209" s="1708">
        <f t="shared" si="426"/>
        <v>69832.205165968058</v>
      </c>
      <c r="AF209" s="1708">
        <f t="shared" si="395"/>
        <v>169229</v>
      </c>
      <c r="AG209" s="1708"/>
      <c r="AH209" s="1708">
        <f t="shared" si="421"/>
        <v>26827</v>
      </c>
      <c r="AI209" s="1708">
        <f t="shared" si="421"/>
        <v>69832.205165968058</v>
      </c>
      <c r="AJ209" s="1708">
        <f t="shared" si="396"/>
        <v>196056</v>
      </c>
      <c r="AK209" s="1708"/>
      <c r="AL209" s="1708">
        <f t="shared" si="422"/>
        <v>23236</v>
      </c>
      <c r="AM209" s="1708">
        <f t="shared" si="422"/>
        <v>0</v>
      </c>
      <c r="AN209" s="1708">
        <f t="shared" si="397"/>
        <v>80452</v>
      </c>
      <c r="AO209" s="1708">
        <f t="shared" si="422"/>
        <v>69832.205165968058</v>
      </c>
      <c r="AP209" s="1708">
        <f t="shared" si="398"/>
        <v>219292</v>
      </c>
      <c r="AQ209" s="1708"/>
      <c r="AR209" s="1708">
        <f t="shared" si="423"/>
        <v>30796</v>
      </c>
      <c r="AS209" s="1708">
        <f t="shared" si="399"/>
        <v>69832.205165968058</v>
      </c>
      <c r="AT209" s="1708">
        <f t="shared" si="399"/>
        <v>250088</v>
      </c>
      <c r="AU209" s="1708"/>
      <c r="AV209" s="1708">
        <f t="shared" si="424"/>
        <v>24947</v>
      </c>
      <c r="AW209" s="1708">
        <f t="shared" si="400"/>
        <v>69832.205165968058</v>
      </c>
      <c r="AX209" s="1708">
        <f t="shared" si="400"/>
        <v>275035</v>
      </c>
      <c r="AY209" s="1708"/>
      <c r="AZ209" s="1708">
        <f t="shared" si="425"/>
        <v>35768</v>
      </c>
      <c r="BA209" s="1708">
        <f t="shared" si="425"/>
        <v>0</v>
      </c>
      <c r="BB209" s="1708">
        <f t="shared" si="414"/>
        <v>91511</v>
      </c>
      <c r="BC209" s="1708">
        <f t="shared" ref="BC209" si="427">+BC165</f>
        <v>0</v>
      </c>
      <c r="BD209" s="1708">
        <f t="shared" si="415"/>
        <v>171963</v>
      </c>
      <c r="BE209" s="1708">
        <f t="shared" si="416"/>
        <v>69832.205165968058</v>
      </c>
      <c r="BF209" s="1708">
        <f t="shared" si="416"/>
        <v>310803</v>
      </c>
    </row>
    <row r="210" spans="2:60" ht="21" x14ac:dyDescent="0.35">
      <c r="B210" s="5182" t="s">
        <v>1492</v>
      </c>
      <c r="C210" s="1692" t="s">
        <v>1483</v>
      </c>
      <c r="D210" s="1693"/>
      <c r="E210" s="1694"/>
      <c r="F210" s="1700">
        <f>+F122+F166</f>
        <v>83540.2</v>
      </c>
      <c r="G210" s="1694"/>
      <c r="H210" s="1700">
        <f>+H122+H166</f>
        <v>116661</v>
      </c>
      <c r="I210" s="3850"/>
      <c r="J210" s="3854">
        <f t="shared" si="389"/>
        <v>200201.2</v>
      </c>
      <c r="K210" s="1694"/>
      <c r="L210" s="1700">
        <f>+L122+L166</f>
        <v>125515</v>
      </c>
      <c r="M210" s="3850"/>
      <c r="N210" s="3854">
        <f t="shared" si="390"/>
        <v>325716.2</v>
      </c>
      <c r="O210" s="1694"/>
      <c r="P210" s="1700">
        <f>+P122+P166</f>
        <v>99415</v>
      </c>
      <c r="Q210" s="3850"/>
      <c r="R210" s="3854">
        <f t="shared" si="391"/>
        <v>425131.2</v>
      </c>
      <c r="S210" s="1694"/>
      <c r="T210" s="1700">
        <f>+T122+T166</f>
        <v>76758</v>
      </c>
      <c r="U210" s="3850"/>
      <c r="V210" s="3854">
        <f t="shared" si="392"/>
        <v>501889.2</v>
      </c>
      <c r="W210" s="1694"/>
      <c r="X210" s="1700">
        <f>+X122+X166</f>
        <v>84007</v>
      </c>
      <c r="Y210" s="3850"/>
      <c r="Z210" s="3854">
        <f t="shared" si="393"/>
        <v>260180</v>
      </c>
      <c r="AA210" s="3850"/>
      <c r="AB210" s="3854">
        <f t="shared" si="394"/>
        <v>585896.19999999995</v>
      </c>
      <c r="AC210" s="1694"/>
      <c r="AD210" s="1700">
        <f>+AD122+AD166</f>
        <v>114853</v>
      </c>
      <c r="AE210" s="3850"/>
      <c r="AF210" s="3854">
        <f t="shared" si="395"/>
        <v>700749.2</v>
      </c>
      <c r="AG210" s="1694"/>
      <c r="AH210" s="1700">
        <f>+AH122+AH166</f>
        <v>137018</v>
      </c>
      <c r="AI210" s="3850"/>
      <c r="AJ210" s="3854">
        <f t="shared" si="396"/>
        <v>837767.2</v>
      </c>
      <c r="AK210" s="1694"/>
      <c r="AL210" s="1700">
        <f>+AL122+AL166</f>
        <v>110497</v>
      </c>
      <c r="AM210" s="3850"/>
      <c r="AN210" s="3854">
        <f t="shared" si="397"/>
        <v>362368</v>
      </c>
      <c r="AO210" s="3850"/>
      <c r="AP210" s="3854">
        <f t="shared" si="398"/>
        <v>948264.2</v>
      </c>
      <c r="AQ210" s="1694"/>
      <c r="AR210" s="1700">
        <f>+AR122+AR166</f>
        <v>108648</v>
      </c>
      <c r="AS210" s="3850">
        <f t="shared" si="399"/>
        <v>0</v>
      </c>
      <c r="AT210" s="3854">
        <f t="shared" si="399"/>
        <v>1056912.2</v>
      </c>
      <c r="AU210" s="1694"/>
      <c r="AV210" s="1700">
        <f>+AV122+AV166</f>
        <v>101575.88790181182</v>
      </c>
      <c r="AW210" s="3850">
        <f t="shared" si="400"/>
        <v>0</v>
      </c>
      <c r="AX210" s="3854">
        <f t="shared" si="400"/>
        <v>1158488.0879018118</v>
      </c>
      <c r="AY210" s="1694"/>
      <c r="AZ210" s="1700">
        <f>+AZ122+AZ166</f>
        <v>122954</v>
      </c>
      <c r="BA210" s="3850"/>
      <c r="BB210" s="3854">
        <f t="shared" si="414"/>
        <v>333177.8879018118</v>
      </c>
      <c r="BC210" s="3850"/>
      <c r="BD210" s="3854">
        <f t="shared" si="415"/>
        <v>695545.88790181186</v>
      </c>
      <c r="BE210" s="3850">
        <f t="shared" si="416"/>
        <v>0</v>
      </c>
      <c r="BF210" s="3854">
        <f t="shared" si="416"/>
        <v>1281442.0879018118</v>
      </c>
    </row>
    <row r="211" spans="2:60" ht="21" x14ac:dyDescent="0.35">
      <c r="B211" s="5183"/>
      <c r="C211" s="1692" t="s">
        <v>1484</v>
      </c>
      <c r="D211" s="1693"/>
      <c r="E211" s="1694"/>
      <c r="F211" s="1700">
        <f>+F123+F167</f>
        <v>51174.2</v>
      </c>
      <c r="G211" s="1694"/>
      <c r="H211" s="1700">
        <f>+H123+H167</f>
        <v>43608</v>
      </c>
      <c r="I211" s="3850"/>
      <c r="J211" s="3854">
        <f t="shared" si="389"/>
        <v>94782.2</v>
      </c>
      <c r="K211" s="1694"/>
      <c r="L211" s="1700">
        <f>+L123+L167</f>
        <v>51356</v>
      </c>
      <c r="M211" s="3850"/>
      <c r="N211" s="3854">
        <f t="shared" si="390"/>
        <v>146138.20000000001</v>
      </c>
      <c r="O211" s="1694"/>
      <c r="P211" s="1700">
        <f>+P123+P167</f>
        <v>89465</v>
      </c>
      <c r="Q211" s="3850"/>
      <c r="R211" s="3854">
        <f t="shared" si="391"/>
        <v>235603.20000000001</v>
      </c>
      <c r="S211" s="1694"/>
      <c r="T211" s="1700">
        <f>+T123+T167</f>
        <v>108710</v>
      </c>
      <c r="U211" s="3850"/>
      <c r="V211" s="3854">
        <f t="shared" si="392"/>
        <v>344313.2</v>
      </c>
      <c r="W211" s="1694"/>
      <c r="X211" s="1700">
        <f>+X123+X167</f>
        <v>97625</v>
      </c>
      <c r="Y211" s="3850"/>
      <c r="Z211" s="3854">
        <f t="shared" si="393"/>
        <v>295800</v>
      </c>
      <c r="AA211" s="3850"/>
      <c r="AB211" s="3854">
        <f t="shared" si="394"/>
        <v>441938.2</v>
      </c>
      <c r="AC211" s="1694"/>
      <c r="AD211" s="1700">
        <f>+AD123+AD167</f>
        <v>47413</v>
      </c>
      <c r="AE211" s="3850"/>
      <c r="AF211" s="3854">
        <f t="shared" si="395"/>
        <v>489351.2</v>
      </c>
      <c r="AG211" s="1694"/>
      <c r="AH211" s="1700">
        <f>+AH123+AH167</f>
        <v>38964</v>
      </c>
      <c r="AI211" s="3850"/>
      <c r="AJ211" s="3854">
        <f t="shared" si="396"/>
        <v>528315.19999999995</v>
      </c>
      <c r="AK211" s="1694"/>
      <c r="AL211" s="1700">
        <f>+AL123+AL167</f>
        <v>50965</v>
      </c>
      <c r="AM211" s="3850"/>
      <c r="AN211" s="3854">
        <f t="shared" si="397"/>
        <v>137342</v>
      </c>
      <c r="AO211" s="3850"/>
      <c r="AP211" s="3854">
        <f t="shared" si="398"/>
        <v>579280.19999999995</v>
      </c>
      <c r="AQ211" s="1694"/>
      <c r="AR211" s="1700">
        <f>+AR123+AR167</f>
        <v>47388</v>
      </c>
      <c r="AS211" s="3850">
        <f t="shared" si="399"/>
        <v>0</v>
      </c>
      <c r="AT211" s="3854">
        <f t="shared" si="399"/>
        <v>626668.19999999995</v>
      </c>
      <c r="AU211" s="1694"/>
      <c r="AV211" s="1700">
        <f>+AV123+AV167</f>
        <v>55345.100000000006</v>
      </c>
      <c r="AW211" s="3850">
        <f t="shared" si="400"/>
        <v>0</v>
      </c>
      <c r="AX211" s="3854">
        <f t="shared" si="400"/>
        <v>682013.29999999993</v>
      </c>
      <c r="AY211" s="1694"/>
      <c r="AZ211" s="1700">
        <f>+AZ123+AZ167</f>
        <v>39416</v>
      </c>
      <c r="BA211" s="3850"/>
      <c r="BB211" s="3854">
        <f t="shared" si="414"/>
        <v>142149.1</v>
      </c>
      <c r="BC211" s="3850"/>
      <c r="BD211" s="3854">
        <f t="shared" si="415"/>
        <v>279491.09999999998</v>
      </c>
      <c r="BE211" s="3850">
        <f t="shared" si="416"/>
        <v>0</v>
      </c>
      <c r="BF211" s="3854">
        <f t="shared" si="416"/>
        <v>721429.29999999993</v>
      </c>
    </row>
    <row r="212" spans="2:60" ht="21" x14ac:dyDescent="0.35">
      <c r="B212" s="5183"/>
      <c r="C212" s="1692" t="s">
        <v>1485</v>
      </c>
      <c r="D212" s="1693"/>
      <c r="E212" s="1694"/>
      <c r="F212" s="1700">
        <f>+F124+F168</f>
        <v>3577.9</v>
      </c>
      <c r="G212" s="1694"/>
      <c r="H212" s="1700">
        <f>+H124+H168</f>
        <v>0</v>
      </c>
      <c r="I212" s="3850"/>
      <c r="J212" s="3854">
        <f t="shared" si="389"/>
        <v>3577.9</v>
      </c>
      <c r="K212" s="1694"/>
      <c r="L212" s="1700">
        <f>+L124+L168</f>
        <v>0</v>
      </c>
      <c r="M212" s="3850"/>
      <c r="N212" s="3854">
        <f t="shared" si="390"/>
        <v>3577.9</v>
      </c>
      <c r="O212" s="1694"/>
      <c r="P212" s="1700">
        <f>+P124+P168</f>
        <v>0</v>
      </c>
      <c r="Q212" s="3850"/>
      <c r="R212" s="3854">
        <f t="shared" si="391"/>
        <v>3577.9</v>
      </c>
      <c r="S212" s="1694"/>
      <c r="T212" s="1700">
        <f>+T124+T168</f>
        <v>7559</v>
      </c>
      <c r="U212" s="3850"/>
      <c r="V212" s="3854">
        <f t="shared" si="392"/>
        <v>11136.9</v>
      </c>
      <c r="W212" s="1694"/>
      <c r="X212" s="1700">
        <f>+X124+X168</f>
        <v>3701</v>
      </c>
      <c r="Y212" s="3850"/>
      <c r="Z212" s="3854">
        <f t="shared" si="393"/>
        <v>11260</v>
      </c>
      <c r="AA212" s="3850"/>
      <c r="AB212" s="3854">
        <f t="shared" si="394"/>
        <v>14837.9</v>
      </c>
      <c r="AC212" s="1694"/>
      <c r="AD212" s="1700">
        <f>+AD124+AD168</f>
        <v>18480</v>
      </c>
      <c r="AE212" s="3850"/>
      <c r="AF212" s="3854">
        <f t="shared" si="395"/>
        <v>33317.9</v>
      </c>
      <c r="AG212" s="1694"/>
      <c r="AH212" s="1700">
        <f>+AH124+AH168</f>
        <v>3729</v>
      </c>
      <c r="AI212" s="3850"/>
      <c r="AJ212" s="3854">
        <f t="shared" si="396"/>
        <v>37046.9</v>
      </c>
      <c r="AK212" s="1694"/>
      <c r="AL212" s="1700">
        <f>+AL124+AL168</f>
        <v>7388</v>
      </c>
      <c r="AM212" s="3850"/>
      <c r="AN212" s="3854">
        <f t="shared" si="397"/>
        <v>29597</v>
      </c>
      <c r="AO212" s="3850"/>
      <c r="AP212" s="3854">
        <f t="shared" si="398"/>
        <v>44434.9</v>
      </c>
      <c r="AQ212" s="1694"/>
      <c r="AR212" s="1700">
        <f>+AR124+AR168</f>
        <v>10312</v>
      </c>
      <c r="AS212" s="3850">
        <f t="shared" si="399"/>
        <v>0</v>
      </c>
      <c r="AT212" s="3854">
        <f t="shared" si="399"/>
        <v>54746.9</v>
      </c>
      <c r="AU212" s="1694"/>
      <c r="AV212" s="1700">
        <f>+AV124+AV168</f>
        <v>3836</v>
      </c>
      <c r="AW212" s="3850">
        <f t="shared" si="400"/>
        <v>0</v>
      </c>
      <c r="AX212" s="3854">
        <f t="shared" si="400"/>
        <v>58582.9</v>
      </c>
      <c r="AY212" s="1694"/>
      <c r="AZ212" s="1700">
        <f>+AZ124+AZ168</f>
        <v>11025</v>
      </c>
      <c r="BA212" s="3850"/>
      <c r="BB212" s="3854">
        <f t="shared" si="414"/>
        <v>25173</v>
      </c>
      <c r="BC212" s="3850"/>
      <c r="BD212" s="3854">
        <f t="shared" si="415"/>
        <v>54770</v>
      </c>
      <c r="BE212" s="3850">
        <f t="shared" si="416"/>
        <v>0</v>
      </c>
      <c r="BF212" s="3854">
        <f t="shared" si="416"/>
        <v>69607.899999999994</v>
      </c>
    </row>
    <row r="213" spans="2:60" ht="23.25" x14ac:dyDescent="0.35">
      <c r="B213" s="5184"/>
      <c r="C213" s="3822" t="s">
        <v>23</v>
      </c>
      <c r="D213" s="3823"/>
      <c r="E213" s="3824"/>
      <c r="F213" s="3825">
        <f>+F210+F211+F212</f>
        <v>138292.29999999999</v>
      </c>
      <c r="G213" s="3824"/>
      <c r="H213" s="3825">
        <f>+H210+H211+H212</f>
        <v>160269</v>
      </c>
      <c r="I213" s="3855"/>
      <c r="J213" s="3856">
        <f t="shared" si="389"/>
        <v>298561.3</v>
      </c>
      <c r="K213" s="3824"/>
      <c r="L213" s="3825">
        <f>+L210+L211+L212</f>
        <v>176871</v>
      </c>
      <c r="M213" s="3855"/>
      <c r="N213" s="3856">
        <f t="shared" si="390"/>
        <v>475432.3</v>
      </c>
      <c r="O213" s="3824"/>
      <c r="P213" s="3825">
        <f>+P210+P211+P212</f>
        <v>188880</v>
      </c>
      <c r="Q213" s="3855"/>
      <c r="R213" s="3856">
        <f t="shared" si="391"/>
        <v>664312.30000000005</v>
      </c>
      <c r="S213" s="3824"/>
      <c r="T213" s="3825">
        <f>+T210+T211+T212</f>
        <v>193027</v>
      </c>
      <c r="U213" s="3855"/>
      <c r="V213" s="3856">
        <f t="shared" si="392"/>
        <v>857339.3</v>
      </c>
      <c r="W213" s="3824"/>
      <c r="X213" s="3825">
        <f>+X210+X211+X212</f>
        <v>185333</v>
      </c>
      <c r="Y213" s="3855"/>
      <c r="Z213" s="3856">
        <f t="shared" si="393"/>
        <v>567240</v>
      </c>
      <c r="AA213" s="3855"/>
      <c r="AB213" s="3856">
        <f t="shared" si="394"/>
        <v>1042672.3</v>
      </c>
      <c r="AC213" s="3824"/>
      <c r="AD213" s="3825">
        <f>+AD210+AD211+AD212</f>
        <v>180746</v>
      </c>
      <c r="AE213" s="3855"/>
      <c r="AF213" s="3856">
        <f t="shared" si="395"/>
        <v>1223418.3</v>
      </c>
      <c r="AG213" s="3824"/>
      <c r="AH213" s="3825">
        <f>+AH210+AH211+AH212</f>
        <v>179711</v>
      </c>
      <c r="AI213" s="3855"/>
      <c r="AJ213" s="3856">
        <f t="shared" si="396"/>
        <v>1403129.3</v>
      </c>
      <c r="AK213" s="3824"/>
      <c r="AL213" s="3825">
        <f>+AL210+AL211+AL212</f>
        <v>168850</v>
      </c>
      <c r="AM213" s="3855"/>
      <c r="AN213" s="3856">
        <f t="shared" si="397"/>
        <v>529307</v>
      </c>
      <c r="AO213" s="3855"/>
      <c r="AP213" s="3856">
        <f t="shared" si="398"/>
        <v>1571979.3</v>
      </c>
      <c r="AQ213" s="3824"/>
      <c r="AR213" s="3825">
        <f>+AR210+AR211+AR212</f>
        <v>166348</v>
      </c>
      <c r="AS213" s="3855">
        <f t="shared" si="399"/>
        <v>0</v>
      </c>
      <c r="AT213" s="3856">
        <f t="shared" si="399"/>
        <v>1738327.3</v>
      </c>
      <c r="AU213" s="3824"/>
      <c r="AV213" s="3825">
        <f>+AV210+AV211+AV212</f>
        <v>160756.98790181184</v>
      </c>
      <c r="AW213" s="3855">
        <f t="shared" si="400"/>
        <v>0</v>
      </c>
      <c r="AX213" s="3856">
        <f t="shared" si="400"/>
        <v>1899084.2879018118</v>
      </c>
      <c r="AY213" s="3824"/>
      <c r="AZ213" s="3825">
        <f>+AZ210+AZ211+AZ212</f>
        <v>173395</v>
      </c>
      <c r="BA213" s="3855"/>
      <c r="BB213" s="3856">
        <f t="shared" si="414"/>
        <v>500499.98790181184</v>
      </c>
      <c r="BC213" s="3855"/>
      <c r="BD213" s="3856">
        <f t="shared" si="415"/>
        <v>1029806.9879018118</v>
      </c>
      <c r="BE213" s="3855">
        <f t="shared" si="416"/>
        <v>0</v>
      </c>
      <c r="BF213" s="3856">
        <f t="shared" si="416"/>
        <v>2072479.2879018118</v>
      </c>
    </row>
    <row r="214" spans="2:60" ht="21" x14ac:dyDescent="0.35">
      <c r="B214" s="5165" t="s">
        <v>1654</v>
      </c>
      <c r="C214" s="5166"/>
      <c r="D214" s="1858"/>
      <c r="E214" s="1859"/>
      <c r="F214" s="3821">
        <v>3704.9</v>
      </c>
      <c r="G214" s="1859"/>
      <c r="H214" s="3821">
        <v>0</v>
      </c>
      <c r="I214" s="3849"/>
      <c r="J214" s="3853">
        <f t="shared" si="389"/>
        <v>3704.9</v>
      </c>
      <c r="K214" s="1859"/>
      <c r="L214" s="3821">
        <v>3984.8</v>
      </c>
      <c r="M214" s="3849"/>
      <c r="N214" s="3853">
        <f t="shared" si="390"/>
        <v>7689.7000000000007</v>
      </c>
      <c r="O214" s="1859"/>
      <c r="P214" s="3821">
        <v>4164.3999999999996</v>
      </c>
      <c r="Q214" s="3849"/>
      <c r="R214" s="3853">
        <f t="shared" si="391"/>
        <v>11854.1</v>
      </c>
      <c r="S214" s="1859"/>
      <c r="T214" s="3821">
        <v>0</v>
      </c>
      <c r="U214" s="3849"/>
      <c r="V214" s="3853">
        <f t="shared" si="392"/>
        <v>11854.1</v>
      </c>
      <c r="W214" s="1859"/>
      <c r="X214" s="3821">
        <v>0</v>
      </c>
      <c r="Y214" s="3849"/>
      <c r="Z214" s="3853">
        <f t="shared" si="393"/>
        <v>4164.3999999999996</v>
      </c>
      <c r="AA214" s="3849"/>
      <c r="AB214" s="3853">
        <f t="shared" si="394"/>
        <v>11854.1</v>
      </c>
      <c r="AC214" s="1859"/>
      <c r="AD214" s="3821">
        <v>4007.2</v>
      </c>
      <c r="AE214" s="3849"/>
      <c r="AF214" s="3853">
        <f t="shared" si="395"/>
        <v>15861.3</v>
      </c>
      <c r="AG214" s="1859"/>
      <c r="AH214" s="3821">
        <v>0</v>
      </c>
      <c r="AI214" s="3849"/>
      <c r="AJ214" s="3853">
        <f t="shared" si="396"/>
        <v>15861.3</v>
      </c>
      <c r="AK214" s="1859"/>
      <c r="AL214" s="3821">
        <v>0</v>
      </c>
      <c r="AM214" s="3849"/>
      <c r="AN214" s="3853">
        <f t="shared" si="397"/>
        <v>4007.2</v>
      </c>
      <c r="AO214" s="3849"/>
      <c r="AP214" s="3853">
        <f t="shared" si="398"/>
        <v>15861.3</v>
      </c>
      <c r="AQ214" s="1859"/>
      <c r="AR214" s="3821"/>
      <c r="AS214" s="3849">
        <f t="shared" si="399"/>
        <v>0</v>
      </c>
      <c r="AT214" s="3853">
        <f t="shared" si="399"/>
        <v>15861.3</v>
      </c>
      <c r="AU214" s="1859"/>
      <c r="AV214" s="3821">
        <v>3956</v>
      </c>
      <c r="AW214" s="3849">
        <f t="shared" si="400"/>
        <v>0</v>
      </c>
      <c r="AX214" s="3853">
        <f t="shared" si="400"/>
        <v>19817.3</v>
      </c>
      <c r="AY214" s="1859"/>
      <c r="AZ214" s="3821"/>
      <c r="BA214" s="3849"/>
      <c r="BB214" s="3853">
        <f t="shared" si="414"/>
        <v>3956</v>
      </c>
      <c r="BC214" s="3849"/>
      <c r="BD214" s="3853">
        <f t="shared" si="415"/>
        <v>7963.2</v>
      </c>
      <c r="BE214" s="3849">
        <f t="shared" si="416"/>
        <v>0</v>
      </c>
      <c r="BF214" s="3853">
        <f t="shared" si="416"/>
        <v>19817.3</v>
      </c>
    </row>
    <row r="215" spans="2:60" ht="15" hidden="1" customHeight="1" thickBot="1" x14ac:dyDescent="0.3">
      <c r="AR215" s="334"/>
      <c r="AS215" s="334"/>
      <c r="AT215" s="334"/>
      <c r="AU215" s="334"/>
      <c r="AV215" s="334"/>
      <c r="AW215" s="334"/>
      <c r="AX215" s="334"/>
      <c r="AY215" s="334"/>
      <c r="AZ215" s="334"/>
      <c r="BA215" s="334"/>
      <c r="BB215" s="334"/>
      <c r="BC215" s="334"/>
      <c r="BD215" s="334"/>
      <c r="BE215" s="334"/>
      <c r="BF215" s="334"/>
      <c r="BG215" s="334"/>
    </row>
    <row r="216" spans="2:60" ht="15" hidden="1" customHeight="1" x14ac:dyDescent="0.25">
      <c r="C216" s="5176" t="s">
        <v>1697</v>
      </c>
      <c r="F216" s="4090">
        <f t="shared" ref="F216:AR216" si="428">+F118+F160+F165</f>
        <v>138292</v>
      </c>
      <c r="G216" s="4090">
        <f t="shared" si="428"/>
        <v>11385.521694800045</v>
      </c>
      <c r="H216" s="4090">
        <f t="shared" si="428"/>
        <v>160268</v>
      </c>
      <c r="I216" s="4090">
        <f t="shared" si="428"/>
        <v>0</v>
      </c>
      <c r="J216" s="4090">
        <f t="shared" si="428"/>
        <v>298560</v>
      </c>
      <c r="K216" s="4090">
        <f t="shared" si="428"/>
        <v>33649.951852271442</v>
      </c>
      <c r="L216" s="4090">
        <f t="shared" si="428"/>
        <v>176873</v>
      </c>
      <c r="M216" s="4090">
        <f t="shared" si="428"/>
        <v>33649.951852271442</v>
      </c>
      <c r="N216" s="4090">
        <f t="shared" si="428"/>
        <v>475433</v>
      </c>
      <c r="O216" s="4090">
        <f t="shared" si="428"/>
        <v>36182.253313696616</v>
      </c>
      <c r="P216" s="4090">
        <f t="shared" si="428"/>
        <v>188879</v>
      </c>
      <c r="Q216" s="4090">
        <f t="shared" si="428"/>
        <v>69832.205165968058</v>
      </c>
      <c r="R216" s="4090">
        <f t="shared" si="428"/>
        <v>664312</v>
      </c>
      <c r="S216" s="4090">
        <f t="shared" si="428"/>
        <v>0</v>
      </c>
      <c r="T216" s="4090">
        <f t="shared" si="428"/>
        <v>193027</v>
      </c>
      <c r="U216" s="4090">
        <f t="shared" si="428"/>
        <v>69832.205165968058</v>
      </c>
      <c r="V216" s="4090">
        <f t="shared" si="428"/>
        <v>857339</v>
      </c>
      <c r="W216" s="4090">
        <f t="shared" si="428"/>
        <v>0</v>
      </c>
      <c r="X216" s="4090">
        <f t="shared" si="428"/>
        <v>185335</v>
      </c>
      <c r="Y216" s="4090">
        <f t="shared" si="428"/>
        <v>36182.253313696616</v>
      </c>
      <c r="Z216" s="4090">
        <f t="shared" si="428"/>
        <v>567241</v>
      </c>
      <c r="AA216" s="4090">
        <f t="shared" si="428"/>
        <v>69832.205165968058</v>
      </c>
      <c r="AB216" s="4090">
        <f t="shared" si="428"/>
        <v>1042674</v>
      </c>
      <c r="AC216" s="4090">
        <f t="shared" si="428"/>
        <v>0</v>
      </c>
      <c r="AD216" s="4090">
        <f t="shared" si="428"/>
        <v>180747</v>
      </c>
      <c r="AE216" s="4090">
        <f t="shared" si="428"/>
        <v>69832.205165968058</v>
      </c>
      <c r="AF216" s="4090">
        <f t="shared" si="428"/>
        <v>1223421</v>
      </c>
      <c r="AG216" s="4090">
        <f t="shared" si="428"/>
        <v>0</v>
      </c>
      <c r="AH216" s="1486">
        <f t="shared" si="428"/>
        <v>179711</v>
      </c>
      <c r="AI216" s="1486">
        <f t="shared" si="428"/>
        <v>69832.205165968058</v>
      </c>
      <c r="AJ216" s="1486">
        <f t="shared" si="428"/>
        <v>1403132</v>
      </c>
      <c r="AK216" s="1486">
        <f t="shared" si="428"/>
        <v>0</v>
      </c>
      <c r="AL216" s="4374">
        <f t="shared" si="428"/>
        <v>168849.93</v>
      </c>
      <c r="AM216" s="1486">
        <f t="shared" si="428"/>
        <v>0</v>
      </c>
      <c r="AN216" s="1486">
        <f t="shared" si="428"/>
        <v>529307.92999999993</v>
      </c>
      <c r="AO216" s="1486">
        <f t="shared" si="428"/>
        <v>69832.205165968058</v>
      </c>
      <c r="AP216" s="1486">
        <f t="shared" si="428"/>
        <v>1571981.93</v>
      </c>
      <c r="AQ216" s="1486">
        <f t="shared" si="428"/>
        <v>0</v>
      </c>
      <c r="AR216" s="4374">
        <f t="shared" si="428"/>
        <v>166350</v>
      </c>
      <c r="AS216" s="1486"/>
      <c r="AT216" s="1486"/>
      <c r="AU216" s="1486">
        <f t="shared" ref="AU216:AV216" si="429">+AU118+AU160+AU165</f>
        <v>0</v>
      </c>
      <c r="AV216" s="4374">
        <f t="shared" si="429"/>
        <v>160757</v>
      </c>
      <c r="AW216" s="1486"/>
      <c r="AX216" s="1486"/>
      <c r="AY216" s="1486">
        <f t="shared" ref="AY216:BD216" si="430">+AY118+AY160+AY165</f>
        <v>0</v>
      </c>
      <c r="AZ216" s="4374">
        <f t="shared" si="430"/>
        <v>173395</v>
      </c>
      <c r="BA216" s="1486">
        <f t="shared" si="430"/>
        <v>0</v>
      </c>
      <c r="BB216" s="1486">
        <f t="shared" si="430"/>
        <v>500502</v>
      </c>
      <c r="BC216" s="1486">
        <f t="shared" si="430"/>
        <v>0</v>
      </c>
      <c r="BD216" s="1486">
        <f t="shared" si="430"/>
        <v>1029809.9299999999</v>
      </c>
      <c r="BE216" s="1486"/>
      <c r="BF216" s="1486"/>
      <c r="BG216" s="334"/>
      <c r="BH216" s="334"/>
    </row>
    <row r="217" spans="2:60" ht="15.75" hidden="1" customHeight="1" thickBot="1" x14ac:dyDescent="0.3">
      <c r="C217" s="5176"/>
      <c r="F217" s="4090">
        <f>+F213-F216</f>
        <v>0.29999999998835847</v>
      </c>
      <c r="G217" s="4090">
        <f t="shared" ref="G217:AR217" si="431">+G213-G216</f>
        <v>-11385.521694800045</v>
      </c>
      <c r="H217" s="4090">
        <f t="shared" si="431"/>
        <v>1</v>
      </c>
      <c r="I217" s="4090">
        <f t="shared" si="431"/>
        <v>0</v>
      </c>
      <c r="J217" s="4090">
        <f t="shared" si="431"/>
        <v>1.2999999999883585</v>
      </c>
      <c r="K217" s="4090">
        <f t="shared" si="431"/>
        <v>-33649.951852271442</v>
      </c>
      <c r="L217" s="4090">
        <f t="shared" si="431"/>
        <v>-2</v>
      </c>
      <c r="M217" s="4090">
        <f t="shared" si="431"/>
        <v>-33649.951852271442</v>
      </c>
      <c r="N217" s="4090">
        <f t="shared" si="431"/>
        <v>-0.70000000001164153</v>
      </c>
      <c r="O217" s="4090">
        <f t="shared" si="431"/>
        <v>-36182.253313696616</v>
      </c>
      <c r="P217" s="4090">
        <f t="shared" si="431"/>
        <v>1</v>
      </c>
      <c r="Q217" s="4090">
        <f t="shared" si="431"/>
        <v>-69832.205165968058</v>
      </c>
      <c r="R217" s="4090">
        <f t="shared" si="431"/>
        <v>0.30000000004656613</v>
      </c>
      <c r="S217" s="4090">
        <f t="shared" si="431"/>
        <v>0</v>
      </c>
      <c r="T217" s="4090">
        <f t="shared" si="431"/>
        <v>0</v>
      </c>
      <c r="U217" s="4090">
        <f t="shared" si="431"/>
        <v>-69832.205165968058</v>
      </c>
      <c r="V217" s="4090">
        <f t="shared" si="431"/>
        <v>0.30000000004656613</v>
      </c>
      <c r="W217" s="4090">
        <f t="shared" si="431"/>
        <v>0</v>
      </c>
      <c r="X217" s="4090">
        <f t="shared" si="431"/>
        <v>-2</v>
      </c>
      <c r="Y217" s="4090">
        <f t="shared" si="431"/>
        <v>-36182.253313696616</v>
      </c>
      <c r="Z217" s="4090">
        <f t="shared" si="431"/>
        <v>-1</v>
      </c>
      <c r="AA217" s="4090">
        <f t="shared" si="431"/>
        <v>-69832.205165968058</v>
      </c>
      <c r="AB217" s="4090">
        <f t="shared" si="431"/>
        <v>-1.6999999999534339</v>
      </c>
      <c r="AC217" s="4090">
        <f t="shared" si="431"/>
        <v>0</v>
      </c>
      <c r="AD217" s="4090">
        <f t="shared" si="431"/>
        <v>-1</v>
      </c>
      <c r="AE217" s="4090">
        <f t="shared" si="431"/>
        <v>-69832.205165968058</v>
      </c>
      <c r="AF217" s="4090">
        <f t="shared" si="431"/>
        <v>-2.6999999999534339</v>
      </c>
      <c r="AG217" s="4090">
        <f t="shared" si="431"/>
        <v>0</v>
      </c>
      <c r="AH217" s="1486">
        <f t="shared" si="431"/>
        <v>0</v>
      </c>
      <c r="AI217" s="1486">
        <f t="shared" si="431"/>
        <v>-69832.205165968058</v>
      </c>
      <c r="AJ217" s="1486">
        <f t="shared" si="431"/>
        <v>-2.6999999999534339</v>
      </c>
      <c r="AK217" s="1486">
        <f t="shared" si="431"/>
        <v>0</v>
      </c>
      <c r="AL217" s="4375">
        <f t="shared" si="431"/>
        <v>7.0000000006984919E-2</v>
      </c>
      <c r="AM217" s="1486">
        <f t="shared" si="431"/>
        <v>0</v>
      </c>
      <c r="AN217" s="1486">
        <f t="shared" si="431"/>
        <v>-0.92999999993480742</v>
      </c>
      <c r="AO217" s="1486">
        <f t="shared" si="431"/>
        <v>-69832.205165968058</v>
      </c>
      <c r="AP217" s="1486">
        <f t="shared" si="431"/>
        <v>-2.6299999998882413</v>
      </c>
      <c r="AQ217" s="1486">
        <f t="shared" si="431"/>
        <v>0</v>
      </c>
      <c r="AR217" s="4375">
        <f t="shared" si="431"/>
        <v>-2</v>
      </c>
      <c r="AS217" s="1486"/>
      <c r="AT217" s="1486"/>
      <c r="AU217" s="1486">
        <f t="shared" ref="AU217:AV217" si="432">+AU213-AU216</f>
        <v>0</v>
      </c>
      <c r="AV217" s="4375">
        <f t="shared" si="432"/>
        <v>-1.2098188162781298E-2</v>
      </c>
      <c r="AW217" s="1486"/>
      <c r="AX217" s="1486"/>
      <c r="AY217" s="1486">
        <f t="shared" ref="AY217:BD217" si="433">+AY213-AY216</f>
        <v>0</v>
      </c>
      <c r="AZ217" s="4375">
        <f t="shared" si="433"/>
        <v>0</v>
      </c>
      <c r="BA217" s="1486">
        <f t="shared" si="433"/>
        <v>0</v>
      </c>
      <c r="BB217" s="1486">
        <f t="shared" si="433"/>
        <v>-2.0120981881627813</v>
      </c>
      <c r="BC217" s="1486">
        <f t="shared" si="433"/>
        <v>0</v>
      </c>
      <c r="BD217" s="1486">
        <f t="shared" si="433"/>
        <v>-2.9420981880975887</v>
      </c>
      <c r="BE217" s="1486"/>
      <c r="BF217" s="1486"/>
      <c r="BG217" s="334"/>
      <c r="BH217" s="334"/>
    </row>
    <row r="218" spans="2:60" hidden="1" x14ac:dyDescent="0.25">
      <c r="AH218" s="334"/>
      <c r="AI218" s="334"/>
      <c r="AJ218" s="334"/>
      <c r="AK218" s="334"/>
      <c r="AL218" s="334"/>
      <c r="AM218" s="334"/>
      <c r="AN218" s="334"/>
      <c r="AO218" s="334"/>
      <c r="AP218" s="334"/>
      <c r="AQ218" s="334"/>
      <c r="AR218" s="334"/>
      <c r="AS218" s="334"/>
      <c r="AT218" s="334"/>
      <c r="AU218" s="334"/>
      <c r="AV218" s="334"/>
      <c r="AW218" s="334"/>
      <c r="AX218" s="334"/>
      <c r="AY218" s="334"/>
      <c r="AZ218" s="334"/>
      <c r="BA218" s="334"/>
      <c r="BB218" s="334"/>
      <c r="BC218" s="334"/>
      <c r="BD218" s="334"/>
      <c r="BE218" s="334"/>
      <c r="BF218" s="334"/>
      <c r="BG218" s="334"/>
      <c r="BH218" s="334"/>
    </row>
    <row r="219" spans="2:60" x14ac:dyDescent="0.25">
      <c r="AH219" s="334"/>
      <c r="AI219" s="334"/>
      <c r="AJ219" s="334"/>
      <c r="AK219" s="334"/>
      <c r="AL219" s="334"/>
      <c r="AM219" s="334"/>
      <c r="AN219" s="334"/>
      <c r="AO219" s="334"/>
      <c r="AP219" s="334"/>
      <c r="AQ219" s="334"/>
      <c r="AR219" s="334"/>
      <c r="AS219" s="334"/>
      <c r="AT219" s="334"/>
      <c r="AU219" s="334"/>
      <c r="AV219" s="334"/>
      <c r="AW219" s="334"/>
      <c r="AX219" s="334"/>
      <c r="AY219" s="334"/>
      <c r="AZ219" s="334"/>
      <c r="BA219" s="334"/>
      <c r="BB219" s="334"/>
      <c r="BC219" s="334"/>
      <c r="BD219" s="334"/>
      <c r="BE219" s="334"/>
      <c r="BF219" s="334"/>
      <c r="BG219" s="334"/>
      <c r="BH219" s="334"/>
    </row>
    <row r="220" spans="2:60" x14ac:dyDescent="0.25">
      <c r="AH220" s="334"/>
      <c r="AI220" s="334"/>
      <c r="AJ220" s="334"/>
      <c r="AK220" s="334"/>
      <c r="AL220" s="334"/>
      <c r="AM220" s="334"/>
      <c r="AN220" s="334"/>
      <c r="AO220" s="334"/>
      <c r="AP220" s="334"/>
      <c r="AQ220" s="334"/>
      <c r="AR220" s="334"/>
      <c r="AS220" s="334"/>
      <c r="AT220" s="334"/>
      <c r="AU220" s="334"/>
      <c r="AV220" s="334"/>
      <c r="AW220" s="334"/>
      <c r="AX220" s="334"/>
      <c r="AY220" s="334"/>
      <c r="AZ220" s="334"/>
      <c r="BA220" s="334"/>
      <c r="BB220" s="334"/>
      <c r="BC220" s="334"/>
      <c r="BD220" s="334"/>
      <c r="BE220" s="334"/>
      <c r="BF220" s="334"/>
      <c r="BG220" s="334"/>
      <c r="BH220" s="334"/>
    </row>
  </sheetData>
  <mergeCells count="94">
    <mergeCell ref="C216:C217"/>
    <mergeCell ref="B164:B165"/>
    <mergeCell ref="B166:B169"/>
    <mergeCell ref="B171:C171"/>
    <mergeCell ref="B172:B183"/>
    <mergeCell ref="B184:B204"/>
    <mergeCell ref="B205:C205"/>
    <mergeCell ref="B206:C206"/>
    <mergeCell ref="B207:C207"/>
    <mergeCell ref="B208:B209"/>
    <mergeCell ref="B210:B213"/>
    <mergeCell ref="B214:C214"/>
    <mergeCell ref="B163:C163"/>
    <mergeCell ref="B86:B97"/>
    <mergeCell ref="B98:B118"/>
    <mergeCell ref="B119:C119"/>
    <mergeCell ref="B120:C120"/>
    <mergeCell ref="B121:C121"/>
    <mergeCell ref="B122:B125"/>
    <mergeCell ref="B127:C127"/>
    <mergeCell ref="B128:B139"/>
    <mergeCell ref="B140:B160"/>
    <mergeCell ref="B161:C161"/>
    <mergeCell ref="B162:C162"/>
    <mergeCell ref="B85:C85"/>
    <mergeCell ref="B54:B55"/>
    <mergeCell ref="B56:B57"/>
    <mergeCell ref="B58:B59"/>
    <mergeCell ref="B60:B61"/>
    <mergeCell ref="B62:B63"/>
    <mergeCell ref="B66:B67"/>
    <mergeCell ref="B70:B71"/>
    <mergeCell ref="B72:B73"/>
    <mergeCell ref="B74:B75"/>
    <mergeCell ref="B76:B77"/>
    <mergeCell ref="B81:B82"/>
    <mergeCell ref="B50:B51"/>
    <mergeCell ref="B30:B33"/>
    <mergeCell ref="C30:C32"/>
    <mergeCell ref="C33:D33"/>
    <mergeCell ref="B34:B37"/>
    <mergeCell ref="C34:C36"/>
    <mergeCell ref="C37:D37"/>
    <mergeCell ref="B40:B41"/>
    <mergeCell ref="B42:B43"/>
    <mergeCell ref="B44:B45"/>
    <mergeCell ref="B46:B47"/>
    <mergeCell ref="B48:B49"/>
    <mergeCell ref="B22:B25"/>
    <mergeCell ref="C22:C24"/>
    <mergeCell ref="C25:D25"/>
    <mergeCell ref="B26:B29"/>
    <mergeCell ref="C26:C28"/>
    <mergeCell ref="C29:D29"/>
    <mergeCell ref="B12:B15"/>
    <mergeCell ref="C12:C14"/>
    <mergeCell ref="C15:D15"/>
    <mergeCell ref="B16:B19"/>
    <mergeCell ref="C16:C18"/>
    <mergeCell ref="C19:D19"/>
    <mergeCell ref="BC4:BD4"/>
    <mergeCell ref="BE4:BF4"/>
    <mergeCell ref="B7:B10"/>
    <mergeCell ref="C7:C9"/>
    <mergeCell ref="C10:D10"/>
    <mergeCell ref="AY4:AZ4"/>
    <mergeCell ref="BA4:BB4"/>
    <mergeCell ref="AC4:AD4"/>
    <mergeCell ref="C11:D11"/>
    <mergeCell ref="AQ4:AR4"/>
    <mergeCell ref="AS4:AT4"/>
    <mergeCell ref="AU4:AV4"/>
    <mergeCell ref="AW4:AX4"/>
    <mergeCell ref="AE4:AF4"/>
    <mergeCell ref="AG4:AH4"/>
    <mergeCell ref="AI4:AJ4"/>
    <mergeCell ref="AK4:AL4"/>
    <mergeCell ref="AM4:AN4"/>
    <mergeCell ref="AO4:AP4"/>
    <mergeCell ref="S4:T4"/>
    <mergeCell ref="U4:V4"/>
    <mergeCell ref="W4:X4"/>
    <mergeCell ref="Y4:Z4"/>
    <mergeCell ref="AA4:AB4"/>
    <mergeCell ref="B2:AT2"/>
    <mergeCell ref="B4:B5"/>
    <mergeCell ref="D4:D5"/>
    <mergeCell ref="E4:F4"/>
    <mergeCell ref="G4:H4"/>
    <mergeCell ref="I4:J4"/>
    <mergeCell ref="K4:L4"/>
    <mergeCell ref="M4:N4"/>
    <mergeCell ref="O4:P4"/>
    <mergeCell ref="Q4:R4"/>
  </mergeCells>
  <printOptions horizontalCentered="1" verticalCentered="1"/>
  <pageMargins left="0" right="0" top="0" bottom="0" header="0" footer="0"/>
  <pageSetup paperSize="9" scale="40" orientation="portrait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FF"/>
    <pageSetUpPr fitToPage="1"/>
  </sheetPr>
  <dimension ref="D1:BJ59"/>
  <sheetViews>
    <sheetView topLeftCell="A22" zoomScale="115" zoomScaleNormal="115" workbookViewId="0">
      <pane xSplit="5" topLeftCell="AS1" activePane="topRight" state="frozen"/>
      <selection pane="topRight" activeCell="AI11" sqref="AI11"/>
    </sheetView>
  </sheetViews>
  <sheetFormatPr defaultColWidth="8.85546875" defaultRowHeight="15" x14ac:dyDescent="0.25"/>
  <cols>
    <col min="4" max="4" width="32" style="671" bestFit="1" customWidth="1"/>
    <col min="5" max="5" width="12.28515625" bestFit="1" customWidth="1"/>
    <col min="6" max="6" width="12.28515625" style="1726" hidden="1" customWidth="1"/>
    <col min="7" max="7" width="9.85546875" style="733" bestFit="1" customWidth="1"/>
    <col min="8" max="8" width="9.85546875" style="1726" hidden="1" customWidth="1"/>
    <col min="9" max="9" width="10.140625" style="733" bestFit="1" customWidth="1"/>
    <col min="10" max="10" width="10.140625" style="1726" hidden="1" customWidth="1"/>
    <col min="11" max="11" width="9.85546875" style="733" hidden="1" customWidth="1"/>
    <col min="12" max="12" width="9.85546875" style="1726" hidden="1" customWidth="1"/>
    <col min="13" max="13" width="9.85546875" bestFit="1" customWidth="1"/>
    <col min="14" max="14" width="9.85546875" style="1726" hidden="1" customWidth="1"/>
    <col min="15" max="15" width="11.28515625" bestFit="1" customWidth="1"/>
    <col min="16" max="16" width="11.28515625" style="1726" hidden="1" customWidth="1"/>
    <col min="17" max="17" width="9.85546875" bestFit="1" customWidth="1"/>
    <col min="18" max="18" width="9.85546875" style="1726" hidden="1" customWidth="1"/>
    <col min="19" max="19" width="11.28515625" hidden="1" customWidth="1"/>
    <col min="20" max="20" width="11.28515625" style="1726" hidden="1" customWidth="1"/>
    <col min="21" max="21" width="9.85546875" bestFit="1" customWidth="1"/>
    <col min="22" max="22" width="9.85546875" style="1726" hidden="1" customWidth="1"/>
    <col min="23" max="23" width="11.28515625" hidden="1" customWidth="1"/>
    <col min="24" max="24" width="11.28515625" style="1726" hidden="1" customWidth="1"/>
    <col min="25" max="25" width="9.85546875" customWidth="1"/>
    <col min="26" max="26" width="9.85546875" style="1726" hidden="1" customWidth="1"/>
    <col min="27" max="27" width="11.28515625" style="1224" customWidth="1"/>
    <col min="28" max="28" width="11.28515625" style="1726" hidden="1" customWidth="1"/>
    <col min="29" max="29" width="11.28515625" customWidth="1"/>
    <col min="30" max="30" width="8.85546875" hidden="1" customWidth="1"/>
    <col min="31" max="31" width="9.85546875" bestFit="1" customWidth="1"/>
    <col min="32" max="32" width="8.85546875" hidden="1" customWidth="1"/>
    <col min="33" max="33" width="11.28515625" hidden="1" customWidth="1"/>
    <col min="34" max="34" width="8.85546875" hidden="1" customWidth="1"/>
    <col min="35" max="35" width="9.85546875" bestFit="1" customWidth="1"/>
    <col min="36" max="36" width="8.85546875" hidden="1" customWidth="1"/>
    <col min="37" max="37" width="11.28515625" hidden="1" customWidth="1"/>
    <col min="38" max="38" width="8.85546875" hidden="1" customWidth="1"/>
    <col min="39" max="39" width="9.85546875" bestFit="1" customWidth="1"/>
    <col min="40" max="40" width="9.85546875" style="1726" hidden="1" customWidth="1"/>
    <col min="41" max="41" width="11.28515625" style="1726" bestFit="1" customWidth="1"/>
    <col min="42" max="42" width="8.85546875" hidden="1" customWidth="1"/>
    <col min="43" max="43" width="11.28515625" hidden="1" customWidth="1"/>
    <col min="44" max="44" width="8.85546875" hidden="1" customWidth="1"/>
    <col min="45" max="45" width="9.85546875" bestFit="1" customWidth="1"/>
    <col min="46" max="46" width="8.85546875" hidden="1" customWidth="1"/>
    <col min="47" max="47" width="11.28515625" hidden="1" customWidth="1"/>
    <col min="48" max="48" width="8.85546875" hidden="1" customWidth="1"/>
    <col min="49" max="49" width="9.85546875" bestFit="1" customWidth="1"/>
    <col min="50" max="50" width="8.85546875" hidden="1" customWidth="1"/>
    <col min="51" max="51" width="11.28515625" hidden="1" customWidth="1"/>
    <col min="52" max="52" width="0" hidden="1" customWidth="1"/>
    <col min="53" max="53" width="9.85546875" bestFit="1" customWidth="1"/>
    <col min="54" max="54" width="9.85546875" style="4240" hidden="1" customWidth="1"/>
    <col min="55" max="55" width="11.28515625" style="4240" bestFit="1" customWidth="1"/>
    <col min="56" max="56" width="9.85546875" style="4240" hidden="1" customWidth="1"/>
    <col min="57" max="57" width="11.28515625" style="4240" bestFit="1" customWidth="1"/>
    <col min="58" max="58" width="0" hidden="1" customWidth="1"/>
    <col min="59" max="59" width="11.28515625" bestFit="1" customWidth="1"/>
    <col min="61" max="61" width="16.28515625" customWidth="1"/>
    <col min="62" max="62" width="12.42578125" customWidth="1"/>
  </cols>
  <sheetData>
    <row r="1" spans="4:62" ht="34.5" thickBot="1" x14ac:dyDescent="0.55000000000000004">
      <c r="D1" s="5185" t="s">
        <v>1510</v>
      </c>
      <c r="E1" s="5185"/>
      <c r="F1" s="5185"/>
      <c r="G1" s="5185"/>
      <c r="H1" s="5185"/>
      <c r="I1" s="5185"/>
      <c r="J1" s="5185"/>
      <c r="K1" s="5185"/>
      <c r="L1" s="5185"/>
      <c r="M1" s="5185"/>
      <c r="N1" s="5185"/>
      <c r="O1" s="5185"/>
      <c r="P1" s="5185"/>
      <c r="Q1" s="5185"/>
      <c r="R1" s="5185"/>
      <c r="S1" s="5185"/>
      <c r="T1" s="5185"/>
      <c r="U1" s="5185"/>
      <c r="V1" s="5185"/>
      <c r="W1" s="5185"/>
      <c r="X1" s="5185"/>
      <c r="Y1" s="5185"/>
      <c r="Z1" s="5185"/>
      <c r="AA1" s="5185"/>
      <c r="AB1" s="5185"/>
      <c r="AC1" s="5185"/>
      <c r="AD1" s="5185"/>
      <c r="AE1" s="5185"/>
      <c r="AF1" s="5185"/>
      <c r="AG1" s="5185"/>
      <c r="AH1" s="5185"/>
      <c r="AI1" s="5185"/>
      <c r="AJ1" s="5185"/>
      <c r="AK1" s="5185"/>
      <c r="AL1" s="5185"/>
      <c r="AM1" s="5185"/>
      <c r="AN1" s="5185"/>
      <c r="AO1" s="5185"/>
      <c r="AP1" s="5185"/>
      <c r="AQ1" s="5185"/>
      <c r="AR1" s="5185"/>
      <c r="AS1" s="5185"/>
      <c r="AT1" s="5185"/>
      <c r="AU1" s="5185"/>
      <c r="AV1" s="5185"/>
      <c r="AW1" s="5185"/>
      <c r="AX1" s="5185"/>
      <c r="AY1" s="5185"/>
    </row>
    <row r="2" spans="4:62" ht="19.5" thickBot="1" x14ac:dyDescent="0.3">
      <c r="D2" s="1982" t="s">
        <v>197</v>
      </c>
      <c r="E2" s="2055" t="s">
        <v>198</v>
      </c>
      <c r="F2" s="3186"/>
      <c r="G2" s="3186" t="s">
        <v>1323</v>
      </c>
      <c r="H2" s="3147"/>
      <c r="I2" s="1983" t="s">
        <v>1384</v>
      </c>
      <c r="J2" s="3149"/>
      <c r="K2" s="1984" t="s">
        <v>15</v>
      </c>
      <c r="L2" s="3147"/>
      <c r="M2" s="1983" t="s">
        <v>1397</v>
      </c>
      <c r="N2" s="3150"/>
      <c r="O2" s="1985" t="s">
        <v>1018</v>
      </c>
      <c r="P2" s="3147"/>
      <c r="Q2" s="1983" t="s">
        <v>1424</v>
      </c>
      <c r="R2" s="3149"/>
      <c r="S2" s="3149" t="s">
        <v>18</v>
      </c>
      <c r="T2" s="3147"/>
      <c r="U2" s="1983" t="s">
        <v>1496</v>
      </c>
      <c r="V2" s="3149"/>
      <c r="W2" s="3149" t="s">
        <v>19</v>
      </c>
      <c r="X2" s="3147"/>
      <c r="Y2" s="1983" t="s">
        <v>1573</v>
      </c>
      <c r="Z2" s="3150"/>
      <c r="AA2" s="3150" t="s">
        <v>1104</v>
      </c>
      <c r="AB2" s="3151"/>
      <c r="AC2" s="1986" t="s">
        <v>784</v>
      </c>
      <c r="AD2" s="3147"/>
      <c r="AE2" s="3147" t="s">
        <v>1634</v>
      </c>
      <c r="AF2" s="3149"/>
      <c r="AG2" s="3149" t="s">
        <v>26</v>
      </c>
      <c r="AH2" s="3238"/>
      <c r="AI2" s="3238" t="s">
        <v>1671</v>
      </c>
      <c r="AJ2" s="3149"/>
      <c r="AK2" s="3149" t="s">
        <v>29</v>
      </c>
      <c r="AL2" s="3529"/>
      <c r="AM2" s="3529" t="s">
        <v>1696</v>
      </c>
      <c r="AN2" s="3150"/>
      <c r="AO2" s="3150" t="s">
        <v>1220</v>
      </c>
      <c r="AP2" s="3149"/>
      <c r="AQ2" s="3149" t="s">
        <v>30</v>
      </c>
      <c r="AR2" s="3883"/>
      <c r="AS2" s="3883" t="s">
        <v>1760</v>
      </c>
      <c r="AT2" s="3149"/>
      <c r="AU2" s="3149" t="s">
        <v>1761</v>
      </c>
      <c r="AV2" s="4006"/>
      <c r="AW2" s="4006" t="s">
        <v>1812</v>
      </c>
      <c r="AX2" s="3149"/>
      <c r="AY2" s="3149" t="s">
        <v>809</v>
      </c>
      <c r="AZ2" s="4250"/>
      <c r="BA2" s="4250" t="s">
        <v>1844</v>
      </c>
      <c r="BB2" s="3150"/>
      <c r="BC2" s="3150" t="s">
        <v>1313</v>
      </c>
      <c r="BD2" s="3151"/>
      <c r="BE2" s="3151" t="s">
        <v>817</v>
      </c>
      <c r="BF2" s="3149"/>
      <c r="BG2" s="3149" t="s">
        <v>1314</v>
      </c>
      <c r="BI2" t="s">
        <v>1920</v>
      </c>
    </row>
    <row r="3" spans="4:62" s="334" customFormat="1" ht="19.5" thickBot="1" x14ac:dyDescent="0.35">
      <c r="D3" s="2465"/>
      <c r="E3" s="2465"/>
      <c r="F3" s="2466"/>
      <c r="G3" s="2466"/>
      <c r="H3" s="2466"/>
      <c r="I3" s="2466"/>
      <c r="J3" s="2466"/>
      <c r="K3" s="2466"/>
      <c r="L3" s="2466"/>
      <c r="M3" s="2466"/>
      <c r="N3" s="2466"/>
      <c r="O3" s="2466"/>
      <c r="P3" s="2466"/>
      <c r="Q3" s="2466"/>
      <c r="R3" s="2466"/>
      <c r="S3" s="2466"/>
      <c r="T3" s="2466"/>
      <c r="U3" s="2466"/>
      <c r="V3" s="2466"/>
      <c r="W3" s="2466"/>
      <c r="X3" s="2466"/>
      <c r="Y3" s="2466"/>
      <c r="Z3" s="2466"/>
      <c r="AA3" s="2466"/>
      <c r="AB3" s="2466"/>
      <c r="AC3" s="2466"/>
      <c r="AD3" s="2466"/>
      <c r="AE3" s="2466"/>
      <c r="AF3" s="2466"/>
      <c r="AG3" s="2466"/>
      <c r="AH3" s="2466"/>
      <c r="AI3" s="2466"/>
      <c r="AJ3" s="2466"/>
      <c r="AK3" s="2466"/>
      <c r="AL3" s="2466"/>
      <c r="AM3" s="2466"/>
      <c r="AN3" s="2466"/>
      <c r="AO3" s="2466"/>
      <c r="AP3" s="2466"/>
      <c r="AQ3" s="2466"/>
      <c r="AR3" s="2466"/>
      <c r="AS3" s="2466"/>
      <c r="AT3" s="2466"/>
      <c r="AU3" s="2466"/>
      <c r="AV3" s="2466"/>
      <c r="AW3" s="2466"/>
      <c r="AX3" s="2466"/>
      <c r="AY3" s="2466"/>
      <c r="AZ3" s="2466"/>
      <c r="BA3" s="2466"/>
      <c r="BB3" s="2466"/>
      <c r="BC3" s="2466"/>
      <c r="BD3" s="2466"/>
      <c r="BE3" s="2466"/>
      <c r="BF3" s="2466"/>
      <c r="BG3" s="2466"/>
    </row>
    <row r="4" spans="4:62" ht="18" customHeight="1" x14ac:dyDescent="0.25">
      <c r="D4" s="2467" t="s">
        <v>954</v>
      </c>
      <c r="E4" s="2468" t="s">
        <v>53</v>
      </c>
      <c r="F4" s="1231"/>
      <c r="G4" s="1231">
        <v>197160</v>
      </c>
      <c r="H4" s="1231"/>
      <c r="I4" s="1231">
        <v>222553</v>
      </c>
      <c r="J4" s="1232"/>
      <c r="K4" s="1232">
        <f t="shared" ref="K4:K13" si="0">+G4+I4</f>
        <v>419713</v>
      </c>
      <c r="L4" s="1231"/>
      <c r="M4" s="1231">
        <v>299745</v>
      </c>
      <c r="N4" s="1233"/>
      <c r="O4" s="1233">
        <f t="shared" ref="O4:O13" si="1">+K4+M4</f>
        <v>719458</v>
      </c>
      <c r="P4" s="1231"/>
      <c r="Q4" s="1231">
        <v>302150</v>
      </c>
      <c r="R4" s="1232"/>
      <c r="S4" s="1232">
        <f t="shared" ref="S4:S13" si="2">+O4+Q4</f>
        <v>1021608</v>
      </c>
      <c r="T4" s="1231"/>
      <c r="U4" s="1231">
        <v>326240</v>
      </c>
      <c r="V4" s="1232"/>
      <c r="W4" s="1232">
        <f t="shared" ref="W4:W13" si="3">+S4+U4</f>
        <v>1347848</v>
      </c>
      <c r="X4" s="1231"/>
      <c r="Y4" s="1231">
        <v>295778</v>
      </c>
      <c r="Z4" s="1233"/>
      <c r="AA4" s="1233">
        <f t="shared" ref="AA4:AA13" si="4">+Q4+U4+Y4</f>
        <v>924168</v>
      </c>
      <c r="AB4" s="1317"/>
      <c r="AC4" s="1317">
        <f t="shared" ref="AC4:AC13" si="5">+W4+Y4</f>
        <v>1643626</v>
      </c>
      <c r="AD4" s="1231"/>
      <c r="AE4" s="1231">
        <v>301530</v>
      </c>
      <c r="AF4" s="1232"/>
      <c r="AG4" s="1232">
        <f t="shared" ref="AG4:AG13" si="6">+AC4+AE4</f>
        <v>1945156</v>
      </c>
      <c r="AH4" s="1231"/>
      <c r="AI4" s="1231">
        <v>276275.59999999998</v>
      </c>
      <c r="AJ4" s="1232"/>
      <c r="AK4" s="1232">
        <f>+AG4+AI4</f>
        <v>2221431.6</v>
      </c>
      <c r="AL4" s="1231"/>
      <c r="AM4" s="1231">
        <v>324942</v>
      </c>
      <c r="AN4" s="3675"/>
      <c r="AO4" s="621">
        <f>+AE4+AI4+AM4</f>
        <v>902747.6</v>
      </c>
      <c r="AP4" s="3677"/>
      <c r="AQ4" s="1232">
        <f>+AK4+AM4</f>
        <v>2546373.6</v>
      </c>
      <c r="AR4" s="1231"/>
      <c r="AS4" s="1231">
        <v>325049</v>
      </c>
      <c r="AT4" s="3677"/>
      <c r="AU4" s="1232">
        <f>+AQ4+AS4</f>
        <v>2871422.6</v>
      </c>
      <c r="AV4" s="1231"/>
      <c r="AW4" s="1231">
        <v>287307</v>
      </c>
      <c r="AX4" s="1232"/>
      <c r="AY4" s="1232">
        <f>+AU4+AW4</f>
        <v>3158729.6</v>
      </c>
      <c r="AZ4" s="1231"/>
      <c r="BA4" s="1231">
        <v>320588.40000000002</v>
      </c>
      <c r="BB4" s="3675"/>
      <c r="BC4" s="621">
        <f>+AS4+AW4+BA4</f>
        <v>932944.4</v>
      </c>
      <c r="BD4" s="1317"/>
      <c r="BE4" s="1317">
        <f>+BC4+AO4</f>
        <v>1835692</v>
      </c>
      <c r="BF4" s="3677"/>
      <c r="BG4" s="1232">
        <f>+AY4+BA4</f>
        <v>3479318</v>
      </c>
      <c r="BI4">
        <v>3482949</v>
      </c>
      <c r="BJ4" s="4090">
        <f>+BI4-BG4</f>
        <v>3631</v>
      </c>
    </row>
    <row r="5" spans="4:62" ht="18" customHeight="1" x14ac:dyDescent="0.25">
      <c r="D5" s="2469" t="s">
        <v>955</v>
      </c>
      <c r="E5" s="2058" t="s">
        <v>53</v>
      </c>
      <c r="F5" s="511"/>
      <c r="G5" s="511">
        <v>30487</v>
      </c>
      <c r="H5" s="511"/>
      <c r="I5" s="511">
        <v>33614</v>
      </c>
      <c r="J5" s="517"/>
      <c r="K5" s="517">
        <f t="shared" si="0"/>
        <v>64101</v>
      </c>
      <c r="L5" s="511"/>
      <c r="M5" s="511">
        <v>46110</v>
      </c>
      <c r="N5" s="611"/>
      <c r="O5" s="611">
        <f t="shared" si="1"/>
        <v>110211</v>
      </c>
      <c r="P5" s="511"/>
      <c r="Q5" s="511">
        <v>41800</v>
      </c>
      <c r="R5" s="517"/>
      <c r="S5" s="517">
        <f t="shared" si="2"/>
        <v>152011</v>
      </c>
      <c r="T5" s="511"/>
      <c r="U5" s="511">
        <v>47200</v>
      </c>
      <c r="V5" s="517"/>
      <c r="W5" s="517">
        <f t="shared" si="3"/>
        <v>199211</v>
      </c>
      <c r="X5" s="511"/>
      <c r="Y5" s="511">
        <v>42549</v>
      </c>
      <c r="Z5" s="611"/>
      <c r="AA5" s="611">
        <f t="shared" si="4"/>
        <v>131549</v>
      </c>
      <c r="AB5" s="1287"/>
      <c r="AC5" s="1287">
        <f t="shared" si="5"/>
        <v>241760</v>
      </c>
      <c r="AD5" s="511"/>
      <c r="AE5" s="511">
        <v>38034</v>
      </c>
      <c r="AF5" s="517"/>
      <c r="AG5" s="517">
        <f t="shared" si="6"/>
        <v>279794</v>
      </c>
      <c r="AH5" s="511"/>
      <c r="AI5" s="511">
        <v>36241.4</v>
      </c>
      <c r="AJ5" s="517"/>
      <c r="AK5" s="517">
        <f t="shared" ref="AK5:AK13" si="7">+AG5+AI5</f>
        <v>316035.40000000002</v>
      </c>
      <c r="AL5" s="511"/>
      <c r="AM5" s="511">
        <v>44921</v>
      </c>
      <c r="AN5" s="3676"/>
      <c r="AO5" s="621">
        <f t="shared" ref="AO5:AO13" si="8">+AE5+AI5+AM5</f>
        <v>119196.4</v>
      </c>
      <c r="AP5" s="1336"/>
      <c r="AQ5" s="517">
        <f t="shared" ref="AQ5:AQ13" si="9">+AK5+AM5</f>
        <v>360956.4</v>
      </c>
      <c r="AR5" s="511"/>
      <c r="AS5" s="511">
        <v>43575</v>
      </c>
      <c r="AT5" s="1336"/>
      <c r="AU5" s="517">
        <f t="shared" ref="AU5:AU12" si="10">+AQ5+AS5</f>
        <v>404531.4</v>
      </c>
      <c r="AV5" s="511"/>
      <c r="AW5" s="511">
        <v>42750</v>
      </c>
      <c r="AX5" s="517"/>
      <c r="AY5" s="517">
        <f t="shared" ref="AY5:AY13" si="11">+AU5+AW5</f>
        <v>447281.4</v>
      </c>
      <c r="AZ5" s="511"/>
      <c r="BA5" s="511">
        <v>44067.6</v>
      </c>
      <c r="BB5" s="3676"/>
      <c r="BC5" s="621">
        <f t="shared" ref="BC5:BC13" si="12">+AS5+AW5+BA5</f>
        <v>130392.6</v>
      </c>
      <c r="BD5" s="1287"/>
      <c r="BE5" s="1287">
        <f t="shared" ref="BE5:BE13" si="13">+BC5+AO5</f>
        <v>249589</v>
      </c>
      <c r="BF5" s="1336"/>
      <c r="BG5" s="517">
        <f t="shared" ref="BG5:BG13" si="14">+AY5+BA5</f>
        <v>491349</v>
      </c>
      <c r="BI5" s="4090">
        <v>494269</v>
      </c>
      <c r="BJ5" s="4090">
        <f t="shared" ref="BJ5:BJ14" si="15">+BI5-BG5</f>
        <v>2920</v>
      </c>
    </row>
    <row r="6" spans="4:62" ht="18" customHeight="1" x14ac:dyDescent="0.25">
      <c r="D6" s="2469" t="s">
        <v>956</v>
      </c>
      <c r="E6" s="2058" t="s">
        <v>53</v>
      </c>
      <c r="F6" s="511"/>
      <c r="G6" s="511">
        <v>11797</v>
      </c>
      <c r="H6" s="511"/>
      <c r="I6" s="511">
        <v>14127</v>
      </c>
      <c r="J6" s="517"/>
      <c r="K6" s="517">
        <f t="shared" si="0"/>
        <v>25924</v>
      </c>
      <c r="L6" s="511"/>
      <c r="M6" s="511">
        <v>19555</v>
      </c>
      <c r="N6" s="611"/>
      <c r="O6" s="611">
        <f t="shared" si="1"/>
        <v>45479</v>
      </c>
      <c r="P6" s="511"/>
      <c r="Q6" s="511">
        <v>21050</v>
      </c>
      <c r="R6" s="517"/>
      <c r="S6" s="517">
        <f t="shared" si="2"/>
        <v>66529</v>
      </c>
      <c r="T6" s="511"/>
      <c r="U6" s="511">
        <v>27250</v>
      </c>
      <c r="V6" s="517"/>
      <c r="W6" s="517">
        <f t="shared" si="3"/>
        <v>93779</v>
      </c>
      <c r="X6" s="511"/>
      <c r="Y6" s="511">
        <v>19940</v>
      </c>
      <c r="Z6" s="611"/>
      <c r="AA6" s="611">
        <f t="shared" si="4"/>
        <v>68240</v>
      </c>
      <c r="AB6" s="1287"/>
      <c r="AC6" s="1287">
        <f t="shared" si="5"/>
        <v>113719</v>
      </c>
      <c r="AD6" s="511"/>
      <c r="AE6" s="511">
        <v>18406</v>
      </c>
      <c r="AF6" s="517"/>
      <c r="AG6" s="517">
        <f t="shared" si="6"/>
        <v>132125</v>
      </c>
      <c r="AH6" s="511"/>
      <c r="AI6" s="511">
        <v>16524</v>
      </c>
      <c r="AJ6" s="517"/>
      <c r="AK6" s="517">
        <f t="shared" si="7"/>
        <v>148649</v>
      </c>
      <c r="AL6" s="511"/>
      <c r="AM6" s="511">
        <v>21938</v>
      </c>
      <c r="AN6" s="3676"/>
      <c r="AO6" s="621">
        <f t="shared" si="8"/>
        <v>56868</v>
      </c>
      <c r="AP6" s="1336"/>
      <c r="AQ6" s="517">
        <f t="shared" si="9"/>
        <v>170587</v>
      </c>
      <c r="AR6" s="511"/>
      <c r="AS6" s="511">
        <v>22872</v>
      </c>
      <c r="AT6" s="1336"/>
      <c r="AU6" s="517">
        <f t="shared" si="10"/>
        <v>193459</v>
      </c>
      <c r="AV6" s="511"/>
      <c r="AW6" s="511">
        <v>19000</v>
      </c>
      <c r="AX6" s="517"/>
      <c r="AY6" s="517">
        <f t="shared" si="11"/>
        <v>212459</v>
      </c>
      <c r="AZ6" s="511"/>
      <c r="BA6" s="511">
        <v>22142</v>
      </c>
      <c r="BB6" s="3676"/>
      <c r="BC6" s="621">
        <f t="shared" si="12"/>
        <v>64014</v>
      </c>
      <c r="BD6" s="1287"/>
      <c r="BE6" s="1287">
        <f t="shared" si="13"/>
        <v>120882</v>
      </c>
      <c r="BF6" s="1336"/>
      <c r="BG6" s="517">
        <f t="shared" si="14"/>
        <v>234601</v>
      </c>
      <c r="BI6">
        <v>237507</v>
      </c>
      <c r="BJ6" s="4090">
        <f t="shared" si="15"/>
        <v>2906</v>
      </c>
    </row>
    <row r="7" spans="4:62" ht="18" customHeight="1" x14ac:dyDescent="0.25">
      <c r="D7" s="2469" t="s">
        <v>28</v>
      </c>
      <c r="E7" s="2058" t="s">
        <v>53</v>
      </c>
      <c r="F7" s="511"/>
      <c r="G7" s="511">
        <v>12894</v>
      </c>
      <c r="H7" s="511"/>
      <c r="I7" s="511">
        <v>14305</v>
      </c>
      <c r="J7" s="517"/>
      <c r="K7" s="517">
        <f t="shared" si="0"/>
        <v>27199</v>
      </c>
      <c r="L7" s="511"/>
      <c r="M7" s="511">
        <v>21257</v>
      </c>
      <c r="N7" s="611"/>
      <c r="O7" s="611">
        <f t="shared" si="1"/>
        <v>48456</v>
      </c>
      <c r="P7" s="511"/>
      <c r="Q7" s="511">
        <v>19500</v>
      </c>
      <c r="R7" s="517"/>
      <c r="S7" s="517">
        <f t="shared" si="2"/>
        <v>67956</v>
      </c>
      <c r="T7" s="511"/>
      <c r="U7" s="511">
        <v>22500</v>
      </c>
      <c r="V7" s="517"/>
      <c r="W7" s="517">
        <f t="shared" si="3"/>
        <v>90456</v>
      </c>
      <c r="X7" s="511"/>
      <c r="Y7" s="511">
        <v>20165.251283978163</v>
      </c>
      <c r="Z7" s="611"/>
      <c r="AA7" s="611">
        <f t="shared" si="4"/>
        <v>62165.251283978163</v>
      </c>
      <c r="AB7" s="1287"/>
      <c r="AC7" s="1287">
        <f t="shared" si="5"/>
        <v>110621.25128397817</v>
      </c>
      <c r="AD7" s="511"/>
      <c r="AE7" s="511">
        <v>17297</v>
      </c>
      <c r="AF7" s="517"/>
      <c r="AG7" s="517">
        <f t="shared" si="6"/>
        <v>127918.25128397817</v>
      </c>
      <c r="AH7" s="511"/>
      <c r="AI7" s="511">
        <v>17557.695219200028</v>
      </c>
      <c r="AJ7" s="517"/>
      <c r="AK7" s="517">
        <f t="shared" si="7"/>
        <v>145475.94650317819</v>
      </c>
      <c r="AL7" s="511"/>
      <c r="AM7" s="511">
        <v>19937</v>
      </c>
      <c r="AN7" s="3676"/>
      <c r="AO7" s="621">
        <f t="shared" si="8"/>
        <v>54791.695219200032</v>
      </c>
      <c r="AP7" s="1336"/>
      <c r="AQ7" s="517">
        <f t="shared" si="9"/>
        <v>165412.94650317819</v>
      </c>
      <c r="AR7" s="511"/>
      <c r="AS7" s="511">
        <v>21616.613442921527</v>
      </c>
      <c r="AT7" s="1336"/>
      <c r="AU7" s="517">
        <f t="shared" si="10"/>
        <v>187029.5599460997</v>
      </c>
      <c r="AV7" s="511"/>
      <c r="AW7" s="511">
        <v>19953</v>
      </c>
      <c r="AX7" s="517"/>
      <c r="AY7" s="517">
        <f t="shared" si="11"/>
        <v>206982.5599460997</v>
      </c>
      <c r="AZ7" s="511"/>
      <c r="BA7" s="511">
        <v>22347.399451648147</v>
      </c>
      <c r="BB7" s="3676"/>
      <c r="BC7" s="621">
        <f t="shared" si="12"/>
        <v>63917.012894569678</v>
      </c>
      <c r="BD7" s="1287"/>
      <c r="BE7" s="1287">
        <f t="shared" si="13"/>
        <v>118708.70811376971</v>
      </c>
      <c r="BF7" s="1336"/>
      <c r="BG7" s="517">
        <f t="shared" si="14"/>
        <v>229329.95939774785</v>
      </c>
      <c r="BI7">
        <v>229330</v>
      </c>
      <c r="BJ7" s="4090">
        <f t="shared" si="15"/>
        <v>4.0602252149255946E-2</v>
      </c>
    </row>
    <row r="8" spans="4:62" ht="18" customHeight="1" x14ac:dyDescent="0.25">
      <c r="D8" s="2469" t="s">
        <v>957</v>
      </c>
      <c r="E8" s="2058" t="s">
        <v>53</v>
      </c>
      <c r="F8" s="511"/>
      <c r="G8" s="511">
        <v>2003</v>
      </c>
      <c r="H8" s="511"/>
      <c r="I8" s="511">
        <v>2851</v>
      </c>
      <c r="J8" s="517"/>
      <c r="K8" s="517">
        <f t="shared" si="0"/>
        <v>4854</v>
      </c>
      <c r="L8" s="511"/>
      <c r="M8" s="511">
        <v>1603</v>
      </c>
      <c r="N8" s="611"/>
      <c r="O8" s="611">
        <f t="shared" si="1"/>
        <v>6457</v>
      </c>
      <c r="P8" s="511"/>
      <c r="Q8" s="511">
        <v>2600</v>
      </c>
      <c r="R8" s="517"/>
      <c r="S8" s="517">
        <f t="shared" si="2"/>
        <v>9057</v>
      </c>
      <c r="T8" s="511"/>
      <c r="U8" s="511">
        <v>2300</v>
      </c>
      <c r="V8" s="517"/>
      <c r="W8" s="517">
        <f t="shared" si="3"/>
        <v>11357</v>
      </c>
      <c r="X8" s="511"/>
      <c r="Y8" s="511">
        <v>1867.0568546453728</v>
      </c>
      <c r="Z8" s="611"/>
      <c r="AA8" s="611">
        <f t="shared" si="4"/>
        <v>6767.0568546453724</v>
      </c>
      <c r="AB8" s="1287"/>
      <c r="AC8" s="1287">
        <f t="shared" si="5"/>
        <v>13224.056854645372</v>
      </c>
      <c r="AD8" s="511"/>
      <c r="AE8" s="511">
        <v>1059</v>
      </c>
      <c r="AF8" s="517"/>
      <c r="AG8" s="517">
        <f t="shared" si="6"/>
        <v>14283.056854645372</v>
      </c>
      <c r="AH8" s="511"/>
      <c r="AI8" s="511">
        <v>9192.6397780092684</v>
      </c>
      <c r="AJ8" s="517"/>
      <c r="AK8" s="517">
        <f t="shared" si="7"/>
        <v>23475.696632654639</v>
      </c>
      <c r="AL8" s="511"/>
      <c r="AM8" s="511">
        <v>3731</v>
      </c>
      <c r="AN8" s="3676"/>
      <c r="AO8" s="621">
        <f t="shared" si="8"/>
        <v>13982.639778009268</v>
      </c>
      <c r="AP8" s="1336"/>
      <c r="AQ8" s="517">
        <f t="shared" si="9"/>
        <v>27206.696632654639</v>
      </c>
      <c r="AR8" s="511"/>
      <c r="AS8" s="511">
        <v>2350.8539845250139</v>
      </c>
      <c r="AT8" s="1336"/>
      <c r="AU8" s="517">
        <f t="shared" si="10"/>
        <v>29557.550617179651</v>
      </c>
      <c r="AV8" s="511"/>
      <c r="AW8" s="511">
        <v>100</v>
      </c>
      <c r="AX8" s="517"/>
      <c r="AY8" s="517">
        <f t="shared" si="11"/>
        <v>29657.550617179651</v>
      </c>
      <c r="AZ8" s="511"/>
      <c r="BA8" s="2474">
        <v>0</v>
      </c>
      <c r="BB8" s="3676"/>
      <c r="BC8" s="621">
        <f t="shared" si="12"/>
        <v>2450.8539845250139</v>
      </c>
      <c r="BD8" s="1287"/>
      <c r="BE8" s="1287">
        <f t="shared" si="13"/>
        <v>16433.493762534283</v>
      </c>
      <c r="BF8" s="1336"/>
      <c r="BG8" s="517">
        <f t="shared" si="14"/>
        <v>29657.550617179651</v>
      </c>
      <c r="BI8">
        <v>29658</v>
      </c>
      <c r="BJ8" s="4090">
        <f t="shared" si="15"/>
        <v>0.44938282034854637</v>
      </c>
    </row>
    <row r="9" spans="4:62" ht="18" customHeight="1" x14ac:dyDescent="0.25">
      <c r="D9" s="2469" t="s">
        <v>44</v>
      </c>
      <c r="E9" s="2058" t="s">
        <v>53</v>
      </c>
      <c r="F9" s="511"/>
      <c r="G9" s="511">
        <v>1313</v>
      </c>
      <c r="H9" s="511"/>
      <c r="I9" s="511">
        <v>822</v>
      </c>
      <c r="J9" s="517"/>
      <c r="K9" s="517">
        <f t="shared" si="0"/>
        <v>2135</v>
      </c>
      <c r="L9" s="511"/>
      <c r="M9" s="511">
        <v>683</v>
      </c>
      <c r="N9" s="611"/>
      <c r="O9" s="611">
        <f t="shared" si="1"/>
        <v>2818</v>
      </c>
      <c r="P9" s="511"/>
      <c r="Q9" s="511">
        <v>1800</v>
      </c>
      <c r="R9" s="517"/>
      <c r="S9" s="517">
        <f t="shared" si="2"/>
        <v>4618</v>
      </c>
      <c r="T9" s="511"/>
      <c r="U9" s="511">
        <v>1610</v>
      </c>
      <c r="V9" s="517"/>
      <c r="W9" s="517">
        <f t="shared" si="3"/>
        <v>6228</v>
      </c>
      <c r="X9" s="511"/>
      <c r="Y9" s="511">
        <v>1515</v>
      </c>
      <c r="Z9" s="611"/>
      <c r="AA9" s="611">
        <f t="shared" si="4"/>
        <v>4925</v>
      </c>
      <c r="AB9" s="1287"/>
      <c r="AC9" s="1287">
        <f t="shared" si="5"/>
        <v>7743</v>
      </c>
      <c r="AD9" s="511"/>
      <c r="AE9" s="511">
        <v>1270</v>
      </c>
      <c r="AF9" s="517"/>
      <c r="AG9" s="517">
        <f t="shared" si="6"/>
        <v>9013</v>
      </c>
      <c r="AH9" s="511"/>
      <c r="AI9" s="511">
        <v>1803.2227522421649</v>
      </c>
      <c r="AJ9" s="517"/>
      <c r="AK9" s="517">
        <f t="shared" si="7"/>
        <v>10816.222752242165</v>
      </c>
      <c r="AL9" s="511"/>
      <c r="AM9" s="511">
        <v>1528</v>
      </c>
      <c r="AN9" s="3676"/>
      <c r="AO9" s="621">
        <f t="shared" si="8"/>
        <v>4601.2227522421654</v>
      </c>
      <c r="AP9" s="1336"/>
      <c r="AQ9" s="517">
        <f>+AK9+AM9</f>
        <v>12344.222752242165</v>
      </c>
      <c r="AR9" s="511"/>
      <c r="AS9" s="511">
        <v>2044.2208561087077</v>
      </c>
      <c r="AT9" s="1336"/>
      <c r="AU9" s="517">
        <f t="shared" si="10"/>
        <v>14388.443608350874</v>
      </c>
      <c r="AV9" s="511"/>
      <c r="AW9" s="511">
        <v>1850</v>
      </c>
      <c r="AX9" s="517"/>
      <c r="AY9" s="517">
        <f t="shared" si="11"/>
        <v>16238.443608350874</v>
      </c>
      <c r="AZ9" s="511"/>
      <c r="BA9" s="511">
        <v>1428.6008781875528</v>
      </c>
      <c r="BB9" s="3676"/>
      <c r="BC9" s="621">
        <f t="shared" si="12"/>
        <v>5322.8217342962607</v>
      </c>
      <c r="BD9" s="1287"/>
      <c r="BE9" s="1287">
        <f t="shared" si="13"/>
        <v>9924.044486538427</v>
      </c>
      <c r="BF9" s="1336"/>
      <c r="BG9" s="517">
        <f t="shared" si="14"/>
        <v>17667.044486538427</v>
      </c>
      <c r="BI9">
        <v>17667</v>
      </c>
      <c r="BJ9" s="4090">
        <f t="shared" si="15"/>
        <v>-4.4486538427008782E-2</v>
      </c>
    </row>
    <row r="10" spans="4:62" ht="18" customHeight="1" x14ac:dyDescent="0.25">
      <c r="D10" s="2469" t="s">
        <v>673</v>
      </c>
      <c r="E10" s="2058" t="s">
        <v>53</v>
      </c>
      <c r="F10" s="511"/>
      <c r="G10" s="511">
        <v>0</v>
      </c>
      <c r="H10" s="511"/>
      <c r="I10" s="511">
        <v>0</v>
      </c>
      <c r="J10" s="517"/>
      <c r="K10" s="517">
        <f t="shared" si="0"/>
        <v>0</v>
      </c>
      <c r="L10" s="511"/>
      <c r="M10" s="511">
        <v>0</v>
      </c>
      <c r="N10" s="611"/>
      <c r="O10" s="611">
        <f t="shared" si="1"/>
        <v>0</v>
      </c>
      <c r="P10" s="511"/>
      <c r="Q10" s="511">
        <v>0</v>
      </c>
      <c r="R10" s="517"/>
      <c r="S10" s="517">
        <f t="shared" si="2"/>
        <v>0</v>
      </c>
      <c r="T10" s="511"/>
      <c r="U10" s="511">
        <v>0</v>
      </c>
      <c r="V10" s="517"/>
      <c r="W10" s="517">
        <f t="shared" si="3"/>
        <v>0</v>
      </c>
      <c r="X10" s="511"/>
      <c r="Y10" s="511">
        <v>0</v>
      </c>
      <c r="Z10" s="611"/>
      <c r="AA10" s="611">
        <f t="shared" si="4"/>
        <v>0</v>
      </c>
      <c r="AB10" s="1287"/>
      <c r="AC10" s="1287">
        <f t="shared" si="5"/>
        <v>0</v>
      </c>
      <c r="AD10" s="511"/>
      <c r="AE10" s="511"/>
      <c r="AF10" s="517"/>
      <c r="AG10" s="517">
        <f t="shared" si="6"/>
        <v>0</v>
      </c>
      <c r="AH10" s="511"/>
      <c r="AI10" s="511">
        <v>0</v>
      </c>
      <c r="AJ10" s="517"/>
      <c r="AK10" s="517">
        <f t="shared" si="7"/>
        <v>0</v>
      </c>
      <c r="AL10" s="511"/>
      <c r="AM10" s="511">
        <v>0</v>
      </c>
      <c r="AN10" s="3676"/>
      <c r="AO10" s="621">
        <f t="shared" si="8"/>
        <v>0</v>
      </c>
      <c r="AP10" s="1336"/>
      <c r="AQ10" s="517">
        <f t="shared" si="9"/>
        <v>0</v>
      </c>
      <c r="AR10" s="511"/>
      <c r="AS10" s="511">
        <v>4599.496926244592</v>
      </c>
      <c r="AT10" s="1336"/>
      <c r="AU10" s="517">
        <f t="shared" si="10"/>
        <v>4599.496926244592</v>
      </c>
      <c r="AV10" s="511"/>
      <c r="AW10" s="511">
        <v>7400</v>
      </c>
      <c r="AX10" s="517"/>
      <c r="AY10" s="517">
        <f t="shared" si="11"/>
        <v>11999.496926244592</v>
      </c>
      <c r="AZ10" s="511"/>
      <c r="BA10" s="511">
        <v>6224.6181121029085</v>
      </c>
      <c r="BB10" s="3676"/>
      <c r="BC10" s="621">
        <f t="shared" si="12"/>
        <v>18224.1150383475</v>
      </c>
      <c r="BD10" s="1287"/>
      <c r="BE10" s="1287">
        <f t="shared" si="13"/>
        <v>18224.1150383475</v>
      </c>
      <c r="BF10" s="1336"/>
      <c r="BG10" s="517">
        <f t="shared" si="14"/>
        <v>18224.1150383475</v>
      </c>
      <c r="BI10">
        <v>18224</v>
      </c>
      <c r="BJ10" s="4090">
        <f t="shared" si="15"/>
        <v>-0.11503834749964881</v>
      </c>
    </row>
    <row r="11" spans="4:62" ht="18" customHeight="1" x14ac:dyDescent="0.25">
      <c r="D11" s="2469" t="s">
        <v>958</v>
      </c>
      <c r="E11" s="2058" t="s">
        <v>53</v>
      </c>
      <c r="F11" s="511"/>
      <c r="G11" s="511">
        <v>1712</v>
      </c>
      <c r="H11" s="511"/>
      <c r="I11" s="511">
        <v>4386</v>
      </c>
      <c r="J11" s="517"/>
      <c r="K11" s="517">
        <f t="shared" si="0"/>
        <v>6098</v>
      </c>
      <c r="L11" s="511"/>
      <c r="M11" s="511">
        <v>3991</v>
      </c>
      <c r="N11" s="611"/>
      <c r="O11" s="611">
        <f t="shared" si="1"/>
        <v>10089</v>
      </c>
      <c r="P11" s="511"/>
      <c r="Q11" s="511">
        <v>4500</v>
      </c>
      <c r="R11" s="517"/>
      <c r="S11" s="517">
        <f t="shared" si="2"/>
        <v>14589</v>
      </c>
      <c r="T11" s="511"/>
      <c r="U11" s="511">
        <v>4900</v>
      </c>
      <c r="V11" s="517"/>
      <c r="W11" s="517">
        <f t="shared" si="3"/>
        <v>19489</v>
      </c>
      <c r="X11" s="511"/>
      <c r="Y11" s="511">
        <v>4615.7794462066167</v>
      </c>
      <c r="Z11" s="611"/>
      <c r="AA11" s="611">
        <f t="shared" si="4"/>
        <v>14015.779446206616</v>
      </c>
      <c r="AB11" s="1287"/>
      <c r="AC11" s="1287">
        <f t="shared" si="5"/>
        <v>24104.779446206616</v>
      </c>
      <c r="AD11" s="511"/>
      <c r="AE11" s="511">
        <v>2858</v>
      </c>
      <c r="AF11" s="517"/>
      <c r="AG11" s="517">
        <f t="shared" si="6"/>
        <v>26962.779446206616</v>
      </c>
      <c r="AH11" s="511"/>
      <c r="AI11" s="511">
        <v>6980.3701803900649</v>
      </c>
      <c r="AJ11" s="517"/>
      <c r="AK11" s="517">
        <f t="shared" si="7"/>
        <v>33943.149626596678</v>
      </c>
      <c r="AL11" s="511"/>
      <c r="AM11" s="511">
        <v>4094</v>
      </c>
      <c r="AN11" s="3676"/>
      <c r="AO11" s="621">
        <f t="shared" si="8"/>
        <v>13932.370180390066</v>
      </c>
      <c r="AP11" s="1336"/>
      <c r="AQ11" s="517">
        <f t="shared" si="9"/>
        <v>38037.149626596678</v>
      </c>
      <c r="AR11" s="511"/>
      <c r="AS11" s="511">
        <v>4089</v>
      </c>
      <c r="AT11" s="1336"/>
      <c r="AU11" s="517">
        <f t="shared" si="10"/>
        <v>42126.149626596678</v>
      </c>
      <c r="AV11" s="511"/>
      <c r="AW11" s="511">
        <v>3200</v>
      </c>
      <c r="AX11" s="517"/>
      <c r="AY11" s="517">
        <f t="shared" si="11"/>
        <v>45326.149626596678</v>
      </c>
      <c r="AZ11" s="511"/>
      <c r="BA11" s="511">
        <v>3321.49704178606</v>
      </c>
      <c r="BB11" s="3676"/>
      <c r="BC11" s="621">
        <f t="shared" si="12"/>
        <v>10610.49704178606</v>
      </c>
      <c r="BD11" s="1287"/>
      <c r="BE11" s="1287">
        <f t="shared" si="13"/>
        <v>24542.867222176126</v>
      </c>
      <c r="BF11" s="1336"/>
      <c r="BG11" s="517">
        <f t="shared" si="14"/>
        <v>48647.646668382738</v>
      </c>
      <c r="BI11">
        <v>48647</v>
      </c>
      <c r="BJ11" s="4090">
        <f t="shared" si="15"/>
        <v>-0.64666838273842586</v>
      </c>
    </row>
    <row r="12" spans="4:62" s="733" customFormat="1" ht="18" customHeight="1" x14ac:dyDescent="0.25">
      <c r="D12" s="2470" t="s">
        <v>104</v>
      </c>
      <c r="E12" s="2058" t="s">
        <v>53</v>
      </c>
      <c r="F12" s="511"/>
      <c r="G12" s="511">
        <v>32261</v>
      </c>
      <c r="H12" s="511"/>
      <c r="I12" s="511">
        <v>37772</v>
      </c>
      <c r="J12" s="517"/>
      <c r="K12" s="517">
        <f t="shared" si="0"/>
        <v>70033</v>
      </c>
      <c r="L12" s="511"/>
      <c r="M12" s="511">
        <v>65672</v>
      </c>
      <c r="N12" s="611"/>
      <c r="O12" s="611">
        <f t="shared" si="1"/>
        <v>135705</v>
      </c>
      <c r="P12" s="511"/>
      <c r="Q12" s="511">
        <v>54800</v>
      </c>
      <c r="R12" s="517"/>
      <c r="S12" s="517">
        <f t="shared" si="2"/>
        <v>190505</v>
      </c>
      <c r="T12" s="511"/>
      <c r="U12" s="511">
        <v>67000</v>
      </c>
      <c r="V12" s="517"/>
      <c r="W12" s="517">
        <f t="shared" si="3"/>
        <v>257505</v>
      </c>
      <c r="X12" s="511"/>
      <c r="Y12" s="511">
        <v>63539.056525006446</v>
      </c>
      <c r="Z12" s="611"/>
      <c r="AA12" s="611">
        <f t="shared" si="4"/>
        <v>185339.05652500645</v>
      </c>
      <c r="AB12" s="1287"/>
      <c r="AC12" s="1287">
        <f t="shared" si="5"/>
        <v>321044.05652500642</v>
      </c>
      <c r="AD12" s="511"/>
      <c r="AE12" s="511">
        <v>57446</v>
      </c>
      <c r="AF12" s="517"/>
      <c r="AG12" s="517">
        <f t="shared" si="6"/>
        <v>378490.05652500642</v>
      </c>
      <c r="AH12" s="511"/>
      <c r="AI12" s="511">
        <v>55425.373016285492</v>
      </c>
      <c r="AJ12" s="517"/>
      <c r="AK12" s="517">
        <f t="shared" si="7"/>
        <v>433915.4295412919</v>
      </c>
      <c r="AL12" s="511"/>
      <c r="AM12" s="511">
        <v>59910</v>
      </c>
      <c r="AN12" s="3676"/>
      <c r="AO12" s="621">
        <f t="shared" si="8"/>
        <v>172781.37301628548</v>
      </c>
      <c r="AP12" s="1336"/>
      <c r="AQ12" s="517">
        <f t="shared" si="9"/>
        <v>493825.4295412919</v>
      </c>
      <c r="AR12" s="511"/>
      <c r="AS12" s="511">
        <v>59794</v>
      </c>
      <c r="AT12" s="1336"/>
      <c r="AU12" s="517">
        <f t="shared" si="10"/>
        <v>553619.4295412919</v>
      </c>
      <c r="AV12" s="511"/>
      <c r="AW12" s="511">
        <v>51032</v>
      </c>
      <c r="AX12" s="517"/>
      <c r="AY12" s="517">
        <f t="shared" si="11"/>
        <v>604651.4295412919</v>
      </c>
      <c r="AZ12" s="511"/>
      <c r="BA12" s="511">
        <v>74879.094601001867</v>
      </c>
      <c r="BB12" s="3676"/>
      <c r="BC12" s="621">
        <f t="shared" si="12"/>
        <v>185705.09460100188</v>
      </c>
      <c r="BD12" s="1287"/>
      <c r="BE12" s="1287">
        <f t="shared" si="13"/>
        <v>358486.46761728736</v>
      </c>
      <c r="BF12" s="1336"/>
      <c r="BG12" s="517">
        <f t="shared" si="14"/>
        <v>679530.52414229373</v>
      </c>
      <c r="BI12" s="4090">
        <v>679531</v>
      </c>
      <c r="BJ12" s="4090">
        <f t="shared" si="15"/>
        <v>0.47585770627483726</v>
      </c>
    </row>
    <row r="13" spans="4:62" ht="18.95" customHeight="1" thickBot="1" x14ac:dyDescent="0.3">
      <c r="D13" s="2470" t="s">
        <v>972</v>
      </c>
      <c r="E13" s="2058" t="s">
        <v>53</v>
      </c>
      <c r="F13" s="511"/>
      <c r="G13" s="511">
        <v>0</v>
      </c>
      <c r="H13" s="511"/>
      <c r="I13" s="511">
        <v>0</v>
      </c>
      <c r="J13" s="517"/>
      <c r="K13" s="517">
        <f t="shared" si="0"/>
        <v>0</v>
      </c>
      <c r="L13" s="511"/>
      <c r="M13" s="511">
        <v>0</v>
      </c>
      <c r="N13" s="611"/>
      <c r="O13" s="611">
        <f t="shared" si="1"/>
        <v>0</v>
      </c>
      <c r="P13" s="511"/>
      <c r="Q13" s="511">
        <v>0</v>
      </c>
      <c r="R13" s="517"/>
      <c r="S13" s="517">
        <f t="shared" si="2"/>
        <v>0</v>
      </c>
      <c r="T13" s="511"/>
      <c r="U13" s="511">
        <v>0</v>
      </c>
      <c r="V13" s="517"/>
      <c r="W13" s="517">
        <f t="shared" si="3"/>
        <v>0</v>
      </c>
      <c r="X13" s="511"/>
      <c r="Y13" s="511">
        <v>0</v>
      </c>
      <c r="Z13" s="611"/>
      <c r="AA13" s="611">
        <f t="shared" si="4"/>
        <v>0</v>
      </c>
      <c r="AB13" s="1287"/>
      <c r="AC13" s="1287">
        <f t="shared" si="5"/>
        <v>0</v>
      </c>
      <c r="AD13" s="511"/>
      <c r="AE13" s="511">
        <v>0</v>
      </c>
      <c r="AF13" s="517"/>
      <c r="AG13" s="517">
        <f t="shared" si="6"/>
        <v>0</v>
      </c>
      <c r="AH13" s="511"/>
      <c r="AI13" s="511">
        <v>0</v>
      </c>
      <c r="AJ13" s="517"/>
      <c r="AK13" s="517">
        <f t="shared" si="7"/>
        <v>0</v>
      </c>
      <c r="AL13" s="511"/>
      <c r="AM13" s="511">
        <v>0</v>
      </c>
      <c r="AN13" s="3676"/>
      <c r="AO13" s="621">
        <f t="shared" si="8"/>
        <v>0</v>
      </c>
      <c r="AP13" s="1336"/>
      <c r="AQ13" s="517">
        <f t="shared" si="9"/>
        <v>0</v>
      </c>
      <c r="AR13" s="511"/>
      <c r="AS13" s="511">
        <v>0</v>
      </c>
      <c r="AT13" s="1336"/>
      <c r="AU13" s="517">
        <f t="shared" ref="AU13" si="16">+AO13+AQ13</f>
        <v>0</v>
      </c>
      <c r="AV13" s="511"/>
      <c r="AW13" s="511">
        <v>0</v>
      </c>
      <c r="AX13" s="517"/>
      <c r="AY13" s="517">
        <f t="shared" si="11"/>
        <v>0</v>
      </c>
      <c r="AZ13" s="511"/>
      <c r="BA13" s="511">
        <v>0</v>
      </c>
      <c r="BB13" s="3676"/>
      <c r="BC13" s="621">
        <f t="shared" si="12"/>
        <v>0</v>
      </c>
      <c r="BD13" s="1287"/>
      <c r="BE13" s="1287">
        <f t="shared" si="13"/>
        <v>0</v>
      </c>
      <c r="BF13" s="1336"/>
      <c r="BG13" s="517">
        <f t="shared" si="14"/>
        <v>0</v>
      </c>
      <c r="BJ13" s="4090">
        <f t="shared" si="15"/>
        <v>0</v>
      </c>
    </row>
    <row r="14" spans="4:62" s="334" customFormat="1" ht="19.5" thickBot="1" x14ac:dyDescent="0.3">
      <c r="D14" s="2146" t="s">
        <v>959</v>
      </c>
      <c r="E14" s="2116" t="s">
        <v>53</v>
      </c>
      <c r="F14" s="2471"/>
      <c r="G14" s="2471">
        <f>SUM(G4:G13)</f>
        <v>289627</v>
      </c>
      <c r="H14" s="2471"/>
      <c r="I14" s="2471">
        <f t="shared" ref="I14:K14" si="17">SUM(I4:I13)</f>
        <v>330430</v>
      </c>
      <c r="J14" s="2471"/>
      <c r="K14" s="2471">
        <f t="shared" si="17"/>
        <v>620057</v>
      </c>
      <c r="L14" s="2471"/>
      <c r="M14" s="2471">
        <f t="shared" ref="M14:S14" si="18">SUM(M4:M13)</f>
        <v>458616</v>
      </c>
      <c r="N14" s="2471"/>
      <c r="O14" s="2471">
        <f t="shared" si="18"/>
        <v>1078673</v>
      </c>
      <c r="P14" s="2471"/>
      <c r="Q14" s="2471">
        <f>SUM(Q4:Q13)</f>
        <v>448200</v>
      </c>
      <c r="R14" s="2471"/>
      <c r="S14" s="2471">
        <f t="shared" si="18"/>
        <v>1526873</v>
      </c>
      <c r="T14" s="2471"/>
      <c r="U14" s="2471">
        <f>SUM(U4:U13)</f>
        <v>499000</v>
      </c>
      <c r="V14" s="2471"/>
      <c r="W14" s="2471">
        <f t="shared" ref="W14" si="19">SUM(W4:W13)</f>
        <v>2025873</v>
      </c>
      <c r="X14" s="2471"/>
      <c r="Y14" s="2471">
        <f>SUM(Y4:Y13)</f>
        <v>449969.1441098366</v>
      </c>
      <c r="Z14" s="2471"/>
      <c r="AA14" s="2471">
        <f t="shared" ref="AA14" si="20">SUM(AA4:AA13)</f>
        <v>1397169.1441098363</v>
      </c>
      <c r="AB14" s="2471"/>
      <c r="AC14" s="2471">
        <f t="shared" ref="AC14" si="21">SUM(AC4:AC13)</f>
        <v>2475842.1441098363</v>
      </c>
      <c r="AD14" s="2471"/>
      <c r="AE14" s="2471">
        <f>SUM(AE4:AE13)</f>
        <v>437900</v>
      </c>
      <c r="AF14" s="2471"/>
      <c r="AG14" s="2471">
        <f t="shared" ref="AG14" si="22">SUM(AG4:AG13)</f>
        <v>2913742.1441098363</v>
      </c>
      <c r="AH14" s="2471"/>
      <c r="AI14" s="2471">
        <f>SUM(AI4:AI13)</f>
        <v>420000.30094612704</v>
      </c>
      <c r="AJ14" s="2471"/>
      <c r="AK14" s="2471">
        <f t="shared" ref="AK14" si="23">SUM(AK4:AK13)</f>
        <v>3333742.4450559635</v>
      </c>
      <c r="AL14" s="2471"/>
      <c r="AM14" s="2471">
        <f>SUM(AM4:AM13)</f>
        <v>481001</v>
      </c>
      <c r="AN14" s="2471"/>
      <c r="AO14" s="3678">
        <f t="shared" ref="AO14" si="24">SUM(AO4:AO13)</f>
        <v>1338901.3009461272</v>
      </c>
      <c r="AP14" s="2471"/>
      <c r="AQ14" s="2471">
        <f t="shared" ref="AQ14" si="25">SUM(AQ4:AQ13)</f>
        <v>3814743.4450559635</v>
      </c>
      <c r="AR14" s="2471"/>
      <c r="AS14" s="2471">
        <f>SUM(AS4:AS13)</f>
        <v>485990.18520979985</v>
      </c>
      <c r="AT14" s="2471"/>
      <c r="AU14" s="2471">
        <f t="shared" ref="AU14" si="26">SUM(AU4:AU13)</f>
        <v>4300733.630265764</v>
      </c>
      <c r="AV14" s="2471"/>
      <c r="AW14" s="2471">
        <f>SUM(AW4:AW13)</f>
        <v>432592</v>
      </c>
      <c r="AX14" s="2471"/>
      <c r="AY14" s="2471">
        <f t="shared" ref="AY14" si="27">SUM(AY4:AY13)</f>
        <v>4733325.630265764</v>
      </c>
      <c r="AZ14" s="2471"/>
      <c r="BA14" s="2471">
        <f>SUM(BA4:BA13)</f>
        <v>494999.21008472651</v>
      </c>
      <c r="BB14" s="2471"/>
      <c r="BC14" s="3678">
        <f t="shared" ref="BC14" si="28">SUM(BC4:BC13)</f>
        <v>1413581.3952945261</v>
      </c>
      <c r="BD14" s="2471"/>
      <c r="BE14" s="2471">
        <f t="shared" ref="BE14" si="29">SUM(BE4:BE13)</f>
        <v>2752482.6962406528</v>
      </c>
      <c r="BF14" s="2471"/>
      <c r="BG14" s="2471">
        <f t="shared" ref="BG14" si="30">SUM(BG4:BG13)</f>
        <v>5228324.8403504901</v>
      </c>
      <c r="BI14" s="1486">
        <f>SUM(BI4:BI13)</f>
        <v>5237782</v>
      </c>
      <c r="BJ14" s="4090">
        <f t="shared" si="15"/>
        <v>9457.1596495099366</v>
      </c>
    </row>
    <row r="15" spans="4:62" s="334" customFormat="1" ht="15.75" thickBot="1" x14ac:dyDescent="0.3">
      <c r="D15" s="343"/>
      <c r="E15" s="343"/>
      <c r="F15" s="343"/>
      <c r="G15" s="343"/>
      <c r="H15" s="343"/>
      <c r="I15" s="343"/>
      <c r="J15" s="343"/>
      <c r="K15" s="343"/>
      <c r="L15" s="343"/>
      <c r="M15" s="343"/>
      <c r="N15" s="343"/>
      <c r="O15" s="343"/>
      <c r="P15" s="343"/>
      <c r="Q15" s="343"/>
      <c r="R15" s="343"/>
      <c r="S15" s="343"/>
      <c r="T15" s="343"/>
      <c r="U15" s="343"/>
      <c r="V15" s="343"/>
      <c r="W15" s="343"/>
      <c r="X15" s="343"/>
      <c r="Y15" s="343"/>
      <c r="Z15" s="343"/>
      <c r="AA15" s="343"/>
      <c r="AB15" s="343"/>
      <c r="AC15" s="343"/>
      <c r="AD15" s="343"/>
      <c r="AE15" s="343"/>
      <c r="AF15" s="343"/>
      <c r="AG15" s="343"/>
      <c r="AH15" s="343"/>
      <c r="AI15" s="343"/>
      <c r="AJ15" s="343"/>
      <c r="AK15" s="343"/>
      <c r="AL15" s="343"/>
      <c r="AM15" s="343"/>
      <c r="AN15" s="343"/>
      <c r="AO15" s="343"/>
      <c r="AP15" s="343"/>
      <c r="AQ15" s="343"/>
      <c r="AR15" s="343"/>
      <c r="AS15" s="343"/>
      <c r="AT15" s="343"/>
      <c r="AU15" s="343"/>
      <c r="AV15" s="343"/>
      <c r="AW15" s="343"/>
      <c r="AX15" s="343"/>
      <c r="AY15" s="343"/>
      <c r="AZ15" s="343"/>
      <c r="BA15" s="343"/>
      <c r="BB15" s="343"/>
      <c r="BC15" s="343"/>
      <c r="BD15" s="343"/>
      <c r="BE15" s="343"/>
      <c r="BF15" s="343"/>
      <c r="BG15" s="343"/>
    </row>
    <row r="16" spans="4:62" ht="18.75" x14ac:dyDescent="0.3">
      <c r="D16" s="2465" t="s">
        <v>960</v>
      </c>
      <c r="E16" s="2472"/>
      <c r="F16" s="2473"/>
      <c r="G16" s="2473"/>
      <c r="H16" s="2473"/>
      <c r="I16" s="354"/>
      <c r="J16" s="291"/>
      <c r="K16" s="291"/>
      <c r="L16" s="2473"/>
      <c r="M16" s="354"/>
      <c r="N16" s="402"/>
      <c r="O16" s="402"/>
      <c r="P16" s="2473"/>
      <c r="Q16" s="354"/>
      <c r="R16" s="291"/>
      <c r="S16" s="291"/>
      <c r="T16" s="2473"/>
      <c r="U16" s="354"/>
      <c r="V16" s="291"/>
      <c r="W16" s="291"/>
      <c r="X16" s="2473"/>
      <c r="Y16" s="354"/>
      <c r="Z16" s="402"/>
      <c r="AA16" s="402"/>
      <c r="AB16" s="1318"/>
      <c r="AC16" s="1318"/>
      <c r="AD16" s="2473"/>
      <c r="AE16" s="354"/>
      <c r="AF16" s="291"/>
      <c r="AG16" s="291"/>
      <c r="AH16" s="2473"/>
      <c r="AI16" s="354"/>
      <c r="AJ16" s="291"/>
      <c r="AK16" s="291"/>
      <c r="AL16" s="2473"/>
      <c r="AM16" s="354"/>
      <c r="AN16" s="402"/>
      <c r="AO16" s="402"/>
      <c r="AP16" s="291"/>
      <c r="AQ16" s="291"/>
      <c r="AR16" s="2473"/>
      <c r="AS16" s="354"/>
      <c r="AT16" s="291"/>
      <c r="AU16" s="291"/>
      <c r="AV16" s="2473"/>
      <c r="AW16" s="354"/>
      <c r="AX16" s="291"/>
      <c r="AY16" s="291"/>
      <c r="AZ16" s="2473"/>
      <c r="BA16" s="354"/>
      <c r="BB16" s="402"/>
      <c r="BC16" s="402"/>
      <c r="BD16" s="1318"/>
      <c r="BE16" s="1318">
        <f t="shared" ref="BE16:BE19" si="31">+BC16+AO16</f>
        <v>0</v>
      </c>
      <c r="BF16" s="291"/>
      <c r="BG16" s="291"/>
    </row>
    <row r="17" spans="4:59" ht="18" customHeight="1" x14ac:dyDescent="0.25">
      <c r="D17" s="2469" t="s">
        <v>962</v>
      </c>
      <c r="E17" s="2058" t="s">
        <v>53</v>
      </c>
      <c r="F17" s="2474"/>
      <c r="G17" s="2474">
        <v>3708</v>
      </c>
      <c r="H17" s="2474"/>
      <c r="I17" s="511">
        <v>6626</v>
      </c>
      <c r="J17" s="517"/>
      <c r="K17" s="517">
        <f>+G17+I17</f>
        <v>10334</v>
      </c>
      <c r="L17" s="2474"/>
      <c r="M17" s="511">
        <v>6469</v>
      </c>
      <c r="N17" s="611"/>
      <c r="O17" s="611">
        <f>+K17+M17</f>
        <v>16803</v>
      </c>
      <c r="P17" s="2474"/>
      <c r="Q17" s="511">
        <v>9393</v>
      </c>
      <c r="R17" s="517"/>
      <c r="S17" s="517">
        <f>+O17+Q17</f>
        <v>26196</v>
      </c>
      <c r="T17" s="2474"/>
      <c r="U17" s="511">
        <v>2802</v>
      </c>
      <c r="V17" s="517"/>
      <c r="W17" s="517">
        <f>+S17+U17</f>
        <v>28998</v>
      </c>
      <c r="X17" s="2474"/>
      <c r="Y17" s="511">
        <v>6149</v>
      </c>
      <c r="Z17" s="611"/>
      <c r="AA17" s="611">
        <f>+Q17+U17+Y17</f>
        <v>18344</v>
      </c>
      <c r="AB17" s="1287"/>
      <c r="AC17" s="1287">
        <f>+W17+Y17</f>
        <v>35147</v>
      </c>
      <c r="AD17" s="2474"/>
      <c r="AE17" s="511">
        <v>17472</v>
      </c>
      <c r="AF17" s="517"/>
      <c r="AG17" s="517">
        <f>+AC17+AE17</f>
        <v>52619</v>
      </c>
      <c r="AH17" s="2474"/>
      <c r="AI17" s="511">
        <v>12635</v>
      </c>
      <c r="AJ17" s="517"/>
      <c r="AK17" s="517">
        <f>+AG17+AI17</f>
        <v>65254</v>
      </c>
      <c r="AL17" s="2474"/>
      <c r="AM17" s="511">
        <v>17509</v>
      </c>
      <c r="AN17" s="611"/>
      <c r="AO17" s="621">
        <f t="shared" ref="AO17:AO19" si="32">+AE17+AI17+AM17</f>
        <v>47616</v>
      </c>
      <c r="AP17" s="517"/>
      <c r="AQ17" s="517">
        <f>+AK17+AM17</f>
        <v>82763</v>
      </c>
      <c r="AR17" s="2474"/>
      <c r="AS17" s="511">
        <v>7030</v>
      </c>
      <c r="AT17" s="517"/>
      <c r="AU17" s="517">
        <f t="shared" ref="AU17:AU19" si="33">+AQ17+AS17</f>
        <v>89793</v>
      </c>
      <c r="AV17" s="2474"/>
      <c r="AW17" s="511">
        <v>11814</v>
      </c>
      <c r="AX17" s="517"/>
      <c r="AY17" s="517">
        <f>+AU17+AW17</f>
        <v>101607</v>
      </c>
      <c r="AZ17" s="2474"/>
      <c r="BA17" s="511">
        <v>18963</v>
      </c>
      <c r="BB17" s="611"/>
      <c r="BC17" s="621">
        <f t="shared" ref="BC17:BC19" si="34">+AS17+AW17+BA17</f>
        <v>37807</v>
      </c>
      <c r="BD17" s="1287"/>
      <c r="BE17" s="1287">
        <f t="shared" si="31"/>
        <v>85423</v>
      </c>
      <c r="BF17" s="517"/>
      <c r="BG17" s="517">
        <f>+AY17+BA17</f>
        <v>120570</v>
      </c>
    </row>
    <row r="18" spans="4:59" s="1566" customFormat="1" ht="18" customHeight="1" x14ac:dyDescent="0.25">
      <c r="D18" s="2469" t="s">
        <v>961</v>
      </c>
      <c r="E18" s="2058" t="s">
        <v>53</v>
      </c>
      <c r="F18" s="2474"/>
      <c r="G18" s="2474">
        <v>5730</v>
      </c>
      <c r="H18" s="2474"/>
      <c r="I18" s="511">
        <v>2015</v>
      </c>
      <c r="J18" s="517"/>
      <c r="K18" s="517">
        <f>+G18+I18</f>
        <v>7745</v>
      </c>
      <c r="L18" s="2474"/>
      <c r="M18" s="511">
        <v>5949</v>
      </c>
      <c r="N18" s="611"/>
      <c r="O18" s="611">
        <f>+K18+M18</f>
        <v>13694</v>
      </c>
      <c r="P18" s="2474"/>
      <c r="Q18" s="511">
        <v>8363</v>
      </c>
      <c r="R18" s="517"/>
      <c r="S18" s="517">
        <f>+O18+Q18</f>
        <v>22057</v>
      </c>
      <c r="T18" s="2474"/>
      <c r="U18" s="511">
        <v>2585</v>
      </c>
      <c r="V18" s="517"/>
      <c r="W18" s="517">
        <f>+S18+U18</f>
        <v>24642</v>
      </c>
      <c r="X18" s="2474"/>
      <c r="Y18" s="511">
        <v>1595</v>
      </c>
      <c r="Z18" s="611"/>
      <c r="AA18" s="611">
        <f>+Q18+U18+Y18</f>
        <v>12543</v>
      </c>
      <c r="AB18" s="1287"/>
      <c r="AC18" s="1287">
        <f>+W18+Y18</f>
        <v>26237</v>
      </c>
      <c r="AD18" s="2474"/>
      <c r="AE18" s="511">
        <v>6211</v>
      </c>
      <c r="AF18" s="517"/>
      <c r="AG18" s="517">
        <f>+AC18+AE18</f>
        <v>32448</v>
      </c>
      <c r="AH18" s="2474"/>
      <c r="AI18" s="511">
        <v>5918</v>
      </c>
      <c r="AJ18" s="517"/>
      <c r="AK18" s="517">
        <f>+AG18+AI18</f>
        <v>38366</v>
      </c>
      <c r="AL18" s="2474"/>
      <c r="AM18" s="511">
        <v>1135</v>
      </c>
      <c r="AN18" s="611"/>
      <c r="AO18" s="621">
        <f t="shared" si="32"/>
        <v>13264</v>
      </c>
      <c r="AP18" s="517"/>
      <c r="AQ18" s="517">
        <f>+AK18+AM18</f>
        <v>39501</v>
      </c>
      <c r="AR18" s="2474"/>
      <c r="AS18" s="511">
        <v>1147</v>
      </c>
      <c r="AT18" s="517"/>
      <c r="AU18" s="517">
        <f t="shared" si="33"/>
        <v>40648</v>
      </c>
      <c r="AV18" s="2474"/>
      <c r="AW18" s="511">
        <v>471</v>
      </c>
      <c r="AX18" s="517"/>
      <c r="AY18" s="517">
        <f>+AU18+AW18</f>
        <v>41119</v>
      </c>
      <c r="AZ18" s="2474"/>
      <c r="BA18" s="511">
        <v>5124</v>
      </c>
      <c r="BB18" s="611"/>
      <c r="BC18" s="621">
        <f t="shared" si="34"/>
        <v>6742</v>
      </c>
      <c r="BD18" s="1287"/>
      <c r="BE18" s="1287">
        <f t="shared" si="31"/>
        <v>20006</v>
      </c>
      <c r="BF18" s="517"/>
      <c r="BG18" s="517">
        <f>+AY18+BA18</f>
        <v>46243</v>
      </c>
    </row>
    <row r="19" spans="4:59" ht="18.95" customHeight="1" thickBot="1" x14ac:dyDescent="0.3">
      <c r="D19" s="2475" t="s">
        <v>1400</v>
      </c>
      <c r="E19" s="2476" t="s">
        <v>53</v>
      </c>
      <c r="F19" s="2477"/>
      <c r="G19" s="2477">
        <v>2811</v>
      </c>
      <c r="H19" s="2477"/>
      <c r="I19" s="2477">
        <v>4089</v>
      </c>
      <c r="J19" s="600"/>
      <c r="K19" s="600">
        <f>+G19+I19</f>
        <v>6900</v>
      </c>
      <c r="L19" s="2477"/>
      <c r="M19" s="2477">
        <v>4619</v>
      </c>
      <c r="N19" s="627"/>
      <c r="O19" s="627">
        <f>+K19+M19</f>
        <v>11519</v>
      </c>
      <c r="P19" s="2477"/>
      <c r="Q19" s="2477">
        <v>5832</v>
      </c>
      <c r="R19" s="600"/>
      <c r="S19" s="600">
        <f>+O19+Q19</f>
        <v>17351</v>
      </c>
      <c r="T19" s="2477"/>
      <c r="U19" s="2477">
        <v>5469</v>
      </c>
      <c r="V19" s="600"/>
      <c r="W19" s="600">
        <f>+S19+U19</f>
        <v>22820</v>
      </c>
      <c r="X19" s="2477"/>
      <c r="Y19" s="2477">
        <v>5276</v>
      </c>
      <c r="Z19" s="627"/>
      <c r="AA19" s="627">
        <f>+Q19+U19+Y19</f>
        <v>16577</v>
      </c>
      <c r="AB19" s="1290"/>
      <c r="AC19" s="1290">
        <f>+W19+Y19</f>
        <v>28096</v>
      </c>
      <c r="AD19" s="2477"/>
      <c r="AE19" s="2477">
        <v>9256</v>
      </c>
      <c r="AF19" s="600"/>
      <c r="AG19" s="600">
        <f>+AC19+AE19</f>
        <v>37352</v>
      </c>
      <c r="AH19" s="2477"/>
      <c r="AI19" s="2477">
        <v>7278</v>
      </c>
      <c r="AJ19" s="600"/>
      <c r="AK19" s="600">
        <f>+AG19+AI19</f>
        <v>44630</v>
      </c>
      <c r="AL19" s="2477"/>
      <c r="AM19" s="2477">
        <v>7929</v>
      </c>
      <c r="AN19" s="627"/>
      <c r="AO19" s="621">
        <f t="shared" si="32"/>
        <v>24463</v>
      </c>
      <c r="AP19" s="600"/>
      <c r="AQ19" s="600">
        <f>+AK19+AM19</f>
        <v>52559</v>
      </c>
      <c r="AR19" s="2477"/>
      <c r="AS19" s="2477">
        <v>6398</v>
      </c>
      <c r="AT19" s="600"/>
      <c r="AU19" s="600">
        <f t="shared" si="33"/>
        <v>58957</v>
      </c>
      <c r="AV19" s="2477"/>
      <c r="AW19" s="2477">
        <v>5232</v>
      </c>
      <c r="AX19" s="600"/>
      <c r="AY19" s="600">
        <f>+AU19+AW19</f>
        <v>64189</v>
      </c>
      <c r="AZ19" s="2477"/>
      <c r="BA19" s="2477">
        <v>5174</v>
      </c>
      <c r="BB19" s="627"/>
      <c r="BC19" s="621">
        <f t="shared" si="34"/>
        <v>16804</v>
      </c>
      <c r="BD19" s="1290"/>
      <c r="BE19" s="1290">
        <f t="shared" si="31"/>
        <v>41267</v>
      </c>
      <c r="BF19" s="600"/>
      <c r="BG19" s="600">
        <f>+AY19+BA19</f>
        <v>69363</v>
      </c>
    </row>
    <row r="20" spans="4:59" s="334" customFormat="1" ht="15.75" thickBot="1" x14ac:dyDescent="0.3">
      <c r="D20" s="343"/>
      <c r="E20" s="343"/>
      <c r="F20" s="343"/>
      <c r="G20" s="343"/>
      <c r="H20" s="343"/>
      <c r="I20" s="343"/>
      <c r="J20" s="343"/>
      <c r="K20" s="343"/>
      <c r="L20" s="343"/>
      <c r="M20" s="343"/>
      <c r="N20" s="343"/>
      <c r="O20" s="343"/>
      <c r="P20" s="343"/>
      <c r="Q20" s="343"/>
      <c r="R20" s="343"/>
      <c r="S20" s="343"/>
      <c r="T20" s="343"/>
      <c r="U20" s="343"/>
      <c r="V20" s="343"/>
      <c r="W20" s="343"/>
      <c r="X20" s="343"/>
      <c r="Y20" s="343"/>
      <c r="Z20" s="343"/>
      <c r="AA20" s="343"/>
      <c r="AB20" s="343"/>
      <c r="AC20" s="343"/>
      <c r="AD20" s="343"/>
      <c r="AE20" s="343"/>
      <c r="AF20" s="343"/>
      <c r="AG20" s="343"/>
      <c r="AH20" s="343"/>
      <c r="AI20" s="343"/>
      <c r="AJ20" s="343"/>
      <c r="AK20" s="343"/>
      <c r="AL20" s="343"/>
      <c r="AM20" s="343"/>
      <c r="AN20" s="343"/>
      <c r="AO20" s="343"/>
      <c r="AP20" s="343"/>
      <c r="AQ20" s="343"/>
      <c r="AR20" s="343"/>
      <c r="AS20" s="343"/>
      <c r="AT20" s="343"/>
      <c r="AU20" s="343"/>
      <c r="AV20" s="343"/>
      <c r="AW20" s="343"/>
      <c r="AX20" s="343"/>
      <c r="AY20" s="343"/>
      <c r="AZ20" s="343"/>
      <c r="BA20" s="343"/>
      <c r="BB20" s="343"/>
      <c r="BC20" s="343"/>
      <c r="BD20" s="343"/>
      <c r="BE20" s="343"/>
      <c r="BF20" s="343"/>
      <c r="BG20" s="343"/>
    </row>
    <row r="21" spans="4:59" ht="18.75" x14ac:dyDescent="0.3">
      <c r="D21" s="2465" t="s">
        <v>963</v>
      </c>
      <c r="E21" s="2261"/>
      <c r="F21" s="2261"/>
      <c r="G21" s="2261"/>
      <c r="H21" s="2261"/>
      <c r="I21" s="222"/>
      <c r="J21" s="100"/>
      <c r="K21" s="100"/>
      <c r="L21" s="2261"/>
      <c r="M21" s="222"/>
      <c r="N21" s="168"/>
      <c r="O21" s="168"/>
      <c r="P21" s="2261"/>
      <c r="Q21" s="222"/>
      <c r="R21" s="100"/>
      <c r="S21" s="100"/>
      <c r="T21" s="2261"/>
      <c r="U21" s="222"/>
      <c r="V21" s="100"/>
      <c r="W21" s="100"/>
      <c r="X21" s="2261"/>
      <c r="Y21" s="222"/>
      <c r="Z21" s="168"/>
      <c r="AA21" s="168"/>
      <c r="AB21" s="1124"/>
      <c r="AC21" s="1124"/>
      <c r="AD21" s="2261"/>
      <c r="AE21" s="222"/>
      <c r="AF21" s="100"/>
      <c r="AG21" s="100"/>
      <c r="AH21" s="2261"/>
      <c r="AI21" s="222"/>
      <c r="AJ21" s="100"/>
      <c r="AK21" s="100"/>
      <c r="AL21" s="2261"/>
      <c r="AM21" s="222"/>
      <c r="AN21" s="168"/>
      <c r="AO21" s="168"/>
      <c r="AP21" s="100"/>
      <c r="AQ21" s="100"/>
      <c r="AR21" s="2261"/>
      <c r="AS21" s="222"/>
      <c r="AT21" s="100"/>
      <c r="AU21" s="100"/>
      <c r="AV21" s="2261"/>
      <c r="AW21" s="222"/>
      <c r="AX21" s="100"/>
      <c r="AY21" s="100"/>
      <c r="AZ21" s="2261"/>
      <c r="BA21" s="222"/>
      <c r="BB21" s="168"/>
      <c r="BC21" s="168"/>
      <c r="BD21" s="1124"/>
      <c r="BE21" s="1124">
        <f t="shared" ref="BE21:BE25" si="35">+BC21+AO21</f>
        <v>0</v>
      </c>
      <c r="BF21" s="100"/>
      <c r="BG21" s="100"/>
    </row>
    <row r="22" spans="4:59" ht="18" customHeight="1" x14ac:dyDescent="0.25">
      <c r="D22" s="2469" t="s">
        <v>1441</v>
      </c>
      <c r="E22" s="2058" t="s">
        <v>53</v>
      </c>
      <c r="F22" s="511"/>
      <c r="G22" s="511">
        <v>30549</v>
      </c>
      <c r="H22" s="511"/>
      <c r="I22" s="511">
        <v>37772</v>
      </c>
      <c r="J22" s="517"/>
      <c r="K22" s="517">
        <f>+G22+I22</f>
        <v>68321</v>
      </c>
      <c r="L22" s="511"/>
      <c r="M22" s="511">
        <v>65000</v>
      </c>
      <c r="N22" s="611"/>
      <c r="O22" s="611">
        <f>+K22+M22</f>
        <v>133321</v>
      </c>
      <c r="P22" s="511"/>
      <c r="Q22" s="511">
        <v>58345</v>
      </c>
      <c r="R22" s="517"/>
      <c r="S22" s="517">
        <f>+O22+Q22</f>
        <v>191666</v>
      </c>
      <c r="T22" s="511"/>
      <c r="U22" s="511">
        <v>70000</v>
      </c>
      <c r="V22" s="517"/>
      <c r="W22" s="517">
        <f>+S22+U22</f>
        <v>261666</v>
      </c>
      <c r="X22" s="511"/>
      <c r="Y22" s="511">
        <v>63963</v>
      </c>
      <c r="Z22" s="611"/>
      <c r="AA22" s="611">
        <f>+Q22+U22+Y22</f>
        <v>192308</v>
      </c>
      <c r="AB22" s="1287"/>
      <c r="AC22" s="1287">
        <f>+W22+Y22</f>
        <v>325629</v>
      </c>
      <c r="AD22" s="511"/>
      <c r="AE22" s="511">
        <v>60793</v>
      </c>
      <c r="AF22" s="517"/>
      <c r="AG22" s="517">
        <f>+AC22+AE22</f>
        <v>386422</v>
      </c>
      <c r="AH22" s="511"/>
      <c r="AI22" s="511">
        <v>55600</v>
      </c>
      <c r="AJ22" s="517"/>
      <c r="AK22" s="517">
        <f>+AG22+AI22</f>
        <v>442022</v>
      </c>
      <c r="AL22" s="511"/>
      <c r="AM22" s="511">
        <v>57822</v>
      </c>
      <c r="AN22" s="611"/>
      <c r="AO22" s="621">
        <f t="shared" ref="AO22:AO25" si="36">+AE22+AI22+AM22</f>
        <v>174215</v>
      </c>
      <c r="AP22" s="517"/>
      <c r="AQ22" s="517">
        <f>+AK22+AM22</f>
        <v>499844</v>
      </c>
      <c r="AR22" s="511"/>
      <c r="AS22" s="511">
        <v>59400</v>
      </c>
      <c r="AT22" s="517"/>
      <c r="AU22" s="517">
        <f t="shared" ref="AU22:AU25" si="37">+AQ22+AS22</f>
        <v>559244</v>
      </c>
      <c r="AV22" s="511"/>
      <c r="AW22" s="511">
        <v>53532</v>
      </c>
      <c r="AX22" s="517"/>
      <c r="AY22" s="517">
        <f>+AU22+AW22</f>
        <v>612776</v>
      </c>
      <c r="AZ22" s="511"/>
      <c r="BA22" s="511">
        <v>72866</v>
      </c>
      <c r="BB22" s="611"/>
      <c r="BC22" s="621">
        <f t="shared" ref="BC22:BC25" si="38">+AS22+AW22+BA22</f>
        <v>185798</v>
      </c>
      <c r="BD22" s="1287"/>
      <c r="BE22" s="1287">
        <f t="shared" si="35"/>
        <v>360013</v>
      </c>
      <c r="BF22" s="517"/>
      <c r="BG22" s="517">
        <f>+AY22+BA22</f>
        <v>685642</v>
      </c>
    </row>
    <row r="23" spans="4:59" ht="18" customHeight="1" x14ac:dyDescent="0.25">
      <c r="D23" s="2469" t="s">
        <v>1442</v>
      </c>
      <c r="E23" s="2058" t="s">
        <v>53</v>
      </c>
      <c r="F23" s="511"/>
      <c r="G23" s="511">
        <v>8290</v>
      </c>
      <c r="H23" s="511"/>
      <c r="I23" s="511">
        <v>12852</v>
      </c>
      <c r="J23" s="517"/>
      <c r="K23" s="517">
        <f>+G23+I23</f>
        <v>21142</v>
      </c>
      <c r="L23" s="511"/>
      <c r="M23" s="511">
        <v>14204</v>
      </c>
      <c r="N23" s="611"/>
      <c r="O23" s="611">
        <f>+K23+M23</f>
        <v>35346</v>
      </c>
      <c r="P23" s="511"/>
      <c r="Q23" s="511">
        <v>15752</v>
      </c>
      <c r="R23" s="517"/>
      <c r="S23" s="517">
        <f>+O23+Q23</f>
        <v>51098</v>
      </c>
      <c r="T23" s="511"/>
      <c r="U23" s="511">
        <v>13500</v>
      </c>
      <c r="V23" s="517"/>
      <c r="W23" s="517">
        <f>+S23+U23</f>
        <v>64598</v>
      </c>
      <c r="X23" s="511"/>
      <c r="Y23" s="511">
        <v>7585</v>
      </c>
      <c r="Z23" s="611"/>
      <c r="AA23" s="611">
        <f>+Q23+U23+Y23</f>
        <v>36837</v>
      </c>
      <c r="AB23" s="1287"/>
      <c r="AC23" s="1287">
        <f>+W23+Y23</f>
        <v>72183</v>
      </c>
      <c r="AD23" s="511"/>
      <c r="AE23" s="511">
        <v>11236</v>
      </c>
      <c r="AF23" s="517"/>
      <c r="AG23" s="517">
        <f>+AC23+AE23</f>
        <v>83419</v>
      </c>
      <c r="AH23" s="511"/>
      <c r="AI23" s="511">
        <v>12462</v>
      </c>
      <c r="AJ23" s="517"/>
      <c r="AK23" s="517">
        <f>+AG23+AI23</f>
        <v>95881</v>
      </c>
      <c r="AL23" s="511"/>
      <c r="AM23" s="511">
        <v>11647</v>
      </c>
      <c r="AN23" s="611"/>
      <c r="AO23" s="621">
        <f t="shared" si="36"/>
        <v>35345</v>
      </c>
      <c r="AP23" s="517"/>
      <c r="AQ23" s="517">
        <f>+AK23+AM23</f>
        <v>107528</v>
      </c>
      <c r="AR23" s="511"/>
      <c r="AS23" s="511">
        <v>10180</v>
      </c>
      <c r="AT23" s="517"/>
      <c r="AU23" s="517">
        <f t="shared" si="37"/>
        <v>117708</v>
      </c>
      <c r="AV23" s="511"/>
      <c r="AW23" s="511">
        <v>10500</v>
      </c>
      <c r="AX23" s="517"/>
      <c r="AY23" s="517">
        <f>+AU23+AW23</f>
        <v>128208</v>
      </c>
      <c r="AZ23" s="511"/>
      <c r="BA23" s="511">
        <v>12742</v>
      </c>
      <c r="BB23" s="611"/>
      <c r="BC23" s="621">
        <f t="shared" si="38"/>
        <v>33422</v>
      </c>
      <c r="BD23" s="1287"/>
      <c r="BE23" s="1287">
        <f t="shared" si="35"/>
        <v>68767</v>
      </c>
      <c r="BF23" s="517"/>
      <c r="BG23" s="517">
        <f>+AY23+BA23</f>
        <v>140950</v>
      </c>
    </row>
    <row r="24" spans="4:59" ht="18.95" customHeight="1" thickBot="1" x14ac:dyDescent="0.3">
      <c r="D24" s="2470" t="s">
        <v>1443</v>
      </c>
      <c r="E24" s="2063" t="s">
        <v>53</v>
      </c>
      <c r="F24" s="1591"/>
      <c r="G24" s="1591">
        <v>4274</v>
      </c>
      <c r="H24" s="1591"/>
      <c r="I24" s="1591">
        <v>7925</v>
      </c>
      <c r="J24" s="516"/>
      <c r="K24" s="516">
        <f>+G24+I24</f>
        <v>12199</v>
      </c>
      <c r="L24" s="1591"/>
      <c r="M24" s="1591">
        <v>9718</v>
      </c>
      <c r="N24" s="882"/>
      <c r="O24" s="882">
        <f>+K24+M24</f>
        <v>21917</v>
      </c>
      <c r="P24" s="1591"/>
      <c r="Q24" s="1591">
        <v>6408</v>
      </c>
      <c r="R24" s="516"/>
      <c r="S24" s="516">
        <f>+O24+Q24</f>
        <v>28325</v>
      </c>
      <c r="T24" s="1591"/>
      <c r="U24" s="1591">
        <v>9400</v>
      </c>
      <c r="V24" s="516"/>
      <c r="W24" s="516">
        <f>+S24+U24</f>
        <v>37725</v>
      </c>
      <c r="X24" s="1591"/>
      <c r="Y24" s="1591">
        <v>5302</v>
      </c>
      <c r="Z24" s="882"/>
      <c r="AA24" s="882">
        <f>+Q24+U24+Y24</f>
        <v>21110</v>
      </c>
      <c r="AB24" s="1288"/>
      <c r="AC24" s="1288">
        <f>+W24+Y24</f>
        <v>43027</v>
      </c>
      <c r="AD24" s="1591"/>
      <c r="AE24" s="1591">
        <v>6796</v>
      </c>
      <c r="AF24" s="516"/>
      <c r="AG24" s="516">
        <f>+AC24+AE24</f>
        <v>49823</v>
      </c>
      <c r="AH24" s="1591"/>
      <c r="AI24" s="1591">
        <v>5600</v>
      </c>
      <c r="AJ24" s="516"/>
      <c r="AK24" s="516">
        <f>+AG24+AI24</f>
        <v>55423</v>
      </c>
      <c r="AL24" s="1591"/>
      <c r="AM24" s="1591">
        <v>10985</v>
      </c>
      <c r="AN24" s="882"/>
      <c r="AO24" s="3527">
        <f t="shared" si="36"/>
        <v>23381</v>
      </c>
      <c r="AP24" s="516"/>
      <c r="AQ24" s="516">
        <f>+AK24+AM24</f>
        <v>66408</v>
      </c>
      <c r="AR24" s="1591"/>
      <c r="AS24" s="1591">
        <v>15500</v>
      </c>
      <c r="AT24" s="516"/>
      <c r="AU24" s="516">
        <f t="shared" si="37"/>
        <v>81908</v>
      </c>
      <c r="AV24" s="1591"/>
      <c r="AW24" s="1591">
        <v>10825</v>
      </c>
      <c r="AX24" s="516"/>
      <c r="AY24" s="516">
        <f>+AU24+AW24</f>
        <v>92733</v>
      </c>
      <c r="AZ24" s="1591"/>
      <c r="BA24" s="1591">
        <v>3001</v>
      </c>
      <c r="BB24" s="882"/>
      <c r="BC24" s="4248">
        <f t="shared" si="38"/>
        <v>29326</v>
      </c>
      <c r="BD24" s="1288"/>
      <c r="BE24" s="1288">
        <f t="shared" si="35"/>
        <v>52707</v>
      </c>
      <c r="BF24" s="516"/>
      <c r="BG24" s="516">
        <f>+AY24+BA24</f>
        <v>95734</v>
      </c>
    </row>
    <row r="25" spans="4:59" s="1481" customFormat="1" ht="18.95" customHeight="1" thickBot="1" x14ac:dyDescent="0.3">
      <c r="D25" s="3679" t="s">
        <v>1297</v>
      </c>
      <c r="E25" s="3680" t="s">
        <v>53</v>
      </c>
      <c r="F25" s="3681"/>
      <c r="G25" s="3681">
        <v>752</v>
      </c>
      <c r="H25" s="3681"/>
      <c r="I25" s="3681">
        <v>2667</v>
      </c>
      <c r="J25" s="3682"/>
      <c r="K25" s="3682">
        <f>+G25+I25</f>
        <v>3419</v>
      </c>
      <c r="L25" s="3681"/>
      <c r="M25" s="3681">
        <v>2978</v>
      </c>
      <c r="N25" s="3683"/>
      <c r="O25" s="3683">
        <f>+K25+M25</f>
        <v>6397</v>
      </c>
      <c r="P25" s="3681"/>
      <c r="Q25" s="3681">
        <v>2116</v>
      </c>
      <c r="R25" s="3682"/>
      <c r="S25" s="3682">
        <f>+O25+Q25</f>
        <v>8513</v>
      </c>
      <c r="T25" s="3681"/>
      <c r="U25" s="3681">
        <v>2333</v>
      </c>
      <c r="V25" s="3682"/>
      <c r="W25" s="3682">
        <f>+S25+U25</f>
        <v>10846</v>
      </c>
      <c r="X25" s="3681"/>
      <c r="Y25" s="3681">
        <v>3362</v>
      </c>
      <c r="Z25" s="3683"/>
      <c r="AA25" s="3683">
        <f>+Q25+U25+Y25</f>
        <v>7811</v>
      </c>
      <c r="AB25" s="3684"/>
      <c r="AC25" s="3684">
        <f>+W25+Y25</f>
        <v>14208</v>
      </c>
      <c r="AD25" s="3681"/>
      <c r="AE25" s="3681">
        <v>3512</v>
      </c>
      <c r="AF25" s="3682"/>
      <c r="AG25" s="3682">
        <f>+AC25+AE25</f>
        <v>17720</v>
      </c>
      <c r="AH25" s="3681"/>
      <c r="AI25" s="3681">
        <v>6020</v>
      </c>
      <c r="AJ25" s="3682"/>
      <c r="AK25" s="3682">
        <f>+AG25+AI25</f>
        <v>23740</v>
      </c>
      <c r="AL25" s="3681"/>
      <c r="AM25" s="3681">
        <v>5855</v>
      </c>
      <c r="AN25" s="3683"/>
      <c r="AO25" s="3685">
        <f t="shared" si="36"/>
        <v>15387</v>
      </c>
      <c r="AP25" s="3682"/>
      <c r="AQ25" s="3682">
        <f>+AK25+AM25</f>
        <v>29595</v>
      </c>
      <c r="AR25" s="3681"/>
      <c r="AS25" s="3681">
        <v>6455</v>
      </c>
      <c r="AT25" s="3682"/>
      <c r="AU25" s="3682">
        <f t="shared" si="37"/>
        <v>36050</v>
      </c>
      <c r="AV25" s="3681"/>
      <c r="AW25" s="3681">
        <v>8550</v>
      </c>
      <c r="AX25" s="3682"/>
      <c r="AY25" s="3682">
        <f>+AU25+AW25</f>
        <v>44600</v>
      </c>
      <c r="AZ25" s="3681"/>
      <c r="BA25" s="3681">
        <v>6947</v>
      </c>
      <c r="BB25" s="3683"/>
      <c r="BC25" s="3685">
        <f t="shared" si="38"/>
        <v>21952</v>
      </c>
      <c r="BD25" s="3684"/>
      <c r="BE25" s="3684">
        <f t="shared" si="35"/>
        <v>37339</v>
      </c>
      <c r="BF25" s="3682"/>
      <c r="BG25" s="3682">
        <f>+AY25+BA25</f>
        <v>51547</v>
      </c>
    </row>
    <row r="26" spans="4:59" s="334" customFormat="1" ht="15.75" thickBot="1" x14ac:dyDescent="0.3">
      <c r="D26" s="343"/>
      <c r="E26" s="343"/>
      <c r="F26" s="343"/>
      <c r="G26" s="343"/>
      <c r="H26" s="343"/>
      <c r="I26" s="343"/>
      <c r="J26" s="343"/>
      <c r="K26" s="343"/>
      <c r="L26" s="343"/>
      <c r="M26" s="343"/>
      <c r="N26" s="343"/>
      <c r="O26" s="343"/>
      <c r="P26" s="343"/>
      <c r="Q26" s="343"/>
      <c r="R26" s="343"/>
      <c r="S26" s="343"/>
      <c r="T26" s="343"/>
      <c r="U26" s="343"/>
      <c r="V26" s="343"/>
      <c r="W26" s="343"/>
      <c r="X26" s="343"/>
      <c r="Y26" s="343"/>
      <c r="Z26" s="343"/>
      <c r="AA26" s="343"/>
      <c r="AB26" s="343"/>
      <c r="AC26" s="343"/>
      <c r="AD26" s="343"/>
      <c r="AE26" s="343"/>
      <c r="AF26" s="343"/>
      <c r="AG26" s="343"/>
      <c r="AH26" s="343"/>
      <c r="AI26" s="343"/>
      <c r="AJ26" s="343"/>
      <c r="AK26" s="343"/>
      <c r="AL26" s="343"/>
      <c r="AM26" s="343"/>
      <c r="AN26" s="343"/>
      <c r="AO26" s="343"/>
      <c r="AP26" s="343"/>
      <c r="AQ26" s="343"/>
      <c r="AR26" s="343"/>
      <c r="AS26" s="343"/>
      <c r="AT26" s="343"/>
      <c r="AU26" s="343"/>
      <c r="AV26" s="343"/>
      <c r="AW26" s="343"/>
      <c r="AX26" s="343"/>
      <c r="AY26" s="343"/>
      <c r="AZ26" s="343"/>
      <c r="BA26" s="343"/>
      <c r="BB26" s="343"/>
      <c r="BC26" s="343"/>
      <c r="BD26" s="343"/>
      <c r="BE26" s="343"/>
      <c r="BF26" s="343"/>
      <c r="BG26" s="343"/>
    </row>
    <row r="27" spans="4:59" ht="18.75" x14ac:dyDescent="0.3">
      <c r="D27" s="2465" t="s">
        <v>964</v>
      </c>
      <c r="E27" s="2261"/>
      <c r="F27" s="2261"/>
      <c r="G27" s="2261"/>
      <c r="H27" s="2261"/>
      <c r="I27" s="222"/>
      <c r="J27" s="100"/>
      <c r="K27" s="100"/>
      <c r="L27" s="2261"/>
      <c r="M27" s="222"/>
      <c r="N27" s="168"/>
      <c r="O27" s="168"/>
      <c r="P27" s="2261"/>
      <c r="Q27" s="222"/>
      <c r="R27" s="100"/>
      <c r="S27" s="100"/>
      <c r="T27" s="2261"/>
      <c r="U27" s="222"/>
      <c r="V27" s="100"/>
      <c r="W27" s="100"/>
      <c r="X27" s="2261"/>
      <c r="Y27" s="222"/>
      <c r="Z27" s="168"/>
      <c r="AA27" s="168"/>
      <c r="AB27" s="1124"/>
      <c r="AC27" s="1124"/>
      <c r="AD27" s="2261"/>
      <c r="AE27" s="222"/>
      <c r="AF27" s="100"/>
      <c r="AG27" s="100"/>
      <c r="AH27" s="2261"/>
      <c r="AI27" s="222"/>
      <c r="AJ27" s="100"/>
      <c r="AK27" s="100"/>
      <c r="AL27" s="2261"/>
      <c r="AM27" s="222"/>
      <c r="AN27" s="168"/>
      <c r="AO27" s="168"/>
      <c r="AP27" s="100"/>
      <c r="AQ27" s="100"/>
      <c r="AR27" s="2261"/>
      <c r="AS27" s="222"/>
      <c r="AT27" s="100"/>
      <c r="AU27" s="100"/>
      <c r="AV27" s="2261"/>
      <c r="AW27" s="222"/>
      <c r="AX27" s="100"/>
      <c r="AY27" s="100"/>
      <c r="AZ27" s="2261"/>
      <c r="BA27" s="222"/>
      <c r="BB27" s="168"/>
      <c r="BC27" s="168"/>
      <c r="BD27" s="1124"/>
      <c r="BE27" s="1124">
        <f t="shared" ref="BE27:BE34" si="39">+BC27+AO27</f>
        <v>0</v>
      </c>
      <c r="BF27" s="100"/>
      <c r="BG27" s="100"/>
    </row>
    <row r="28" spans="4:59" ht="18" customHeight="1" x14ac:dyDescent="0.25">
      <c r="D28" s="2469" t="s">
        <v>965</v>
      </c>
      <c r="E28" s="2058" t="s">
        <v>53</v>
      </c>
      <c r="F28" s="511"/>
      <c r="G28" s="511">
        <v>46749</v>
      </c>
      <c r="H28" s="511"/>
      <c r="I28" s="511">
        <v>53719</v>
      </c>
      <c r="J28" s="517"/>
      <c r="K28" s="517">
        <f t="shared" ref="K28:K34" si="40">+G28+I28</f>
        <v>100468</v>
      </c>
      <c r="L28" s="511"/>
      <c r="M28" s="511">
        <v>90396</v>
      </c>
      <c r="N28" s="611"/>
      <c r="O28" s="611">
        <f t="shared" ref="O28:O34" si="41">+K28+M28</f>
        <v>190864</v>
      </c>
      <c r="P28" s="511"/>
      <c r="Q28" s="511">
        <v>103255</v>
      </c>
      <c r="R28" s="517"/>
      <c r="S28" s="517">
        <f t="shared" ref="S28:S34" si="42">+O28+Q28</f>
        <v>294119</v>
      </c>
      <c r="T28" s="511"/>
      <c r="U28" s="511">
        <v>91405</v>
      </c>
      <c r="V28" s="517"/>
      <c r="W28" s="517">
        <f t="shared" ref="W28:W34" si="43">+S28+U28</f>
        <v>385524</v>
      </c>
      <c r="X28" s="511"/>
      <c r="Y28" s="511">
        <v>101719</v>
      </c>
      <c r="Z28" s="611"/>
      <c r="AA28" s="611">
        <f t="shared" ref="AA28:AA34" si="44">+Q28+U28+Y28</f>
        <v>296379</v>
      </c>
      <c r="AB28" s="1287"/>
      <c r="AC28" s="1287">
        <f t="shared" ref="AC28:AC34" si="45">+W28+Y28</f>
        <v>487243</v>
      </c>
      <c r="AD28" s="511"/>
      <c r="AE28" s="511">
        <v>124794</v>
      </c>
      <c r="AF28" s="517"/>
      <c r="AG28" s="517">
        <f t="shared" ref="AG28:AG34" si="46">+AC28+AE28</f>
        <v>612037</v>
      </c>
      <c r="AH28" s="511"/>
      <c r="AI28" s="511">
        <v>112276</v>
      </c>
      <c r="AJ28" s="517"/>
      <c r="AK28" s="517">
        <f t="shared" ref="AK28:AK29" si="47">+AG28+AI28</f>
        <v>724313</v>
      </c>
      <c r="AL28" s="511"/>
      <c r="AM28" s="511">
        <v>115057</v>
      </c>
      <c r="AN28" s="611"/>
      <c r="AO28" s="621">
        <f t="shared" ref="AO28:AO34" si="48">+AE28+AI28+AM28</f>
        <v>352127</v>
      </c>
      <c r="AP28" s="517"/>
      <c r="AQ28" s="517">
        <f t="shared" ref="AQ28:AQ29" si="49">+AK28+AM28</f>
        <v>839370</v>
      </c>
      <c r="AR28" s="511"/>
      <c r="AS28" s="511">
        <v>113038</v>
      </c>
      <c r="AT28" s="517"/>
      <c r="AU28" s="517">
        <f t="shared" ref="AU28:AU34" si="50">+AQ28+AS28</f>
        <v>952408</v>
      </c>
      <c r="AV28" s="511"/>
      <c r="AW28" s="511">
        <v>93644</v>
      </c>
      <c r="AX28" s="517"/>
      <c r="AY28" s="517">
        <f t="shared" ref="AY28:AY29" si="51">+AU28+AW28</f>
        <v>1046052</v>
      </c>
      <c r="AZ28" s="511"/>
      <c r="BA28" s="511">
        <v>111339</v>
      </c>
      <c r="BB28" s="611"/>
      <c r="BC28" s="621">
        <f t="shared" ref="BC28:BC34" si="52">+AS28+AW28+BA28</f>
        <v>318021</v>
      </c>
      <c r="BD28" s="1287"/>
      <c r="BE28" s="1287">
        <f t="shared" si="39"/>
        <v>670148</v>
      </c>
      <c r="BF28" s="517"/>
      <c r="BG28" s="517">
        <f t="shared" ref="BG28:BG29" si="53">+AY28+BA28</f>
        <v>1157391</v>
      </c>
    </row>
    <row r="29" spans="4:59" ht="18" customHeight="1" x14ac:dyDescent="0.25">
      <c r="D29" s="2469" t="s">
        <v>966</v>
      </c>
      <c r="E29" s="2058" t="s">
        <v>53</v>
      </c>
      <c r="F29" s="511"/>
      <c r="G29" s="511">
        <v>3823</v>
      </c>
      <c r="H29" s="511"/>
      <c r="I29" s="511">
        <v>4590</v>
      </c>
      <c r="J29" s="517"/>
      <c r="K29" s="517">
        <f t="shared" si="40"/>
        <v>8413</v>
      </c>
      <c r="L29" s="511"/>
      <c r="M29" s="511">
        <v>2595</v>
      </c>
      <c r="N29" s="611"/>
      <c r="O29" s="611">
        <f t="shared" si="41"/>
        <v>11008</v>
      </c>
      <c r="P29" s="511"/>
      <c r="Q29" s="511">
        <v>1941</v>
      </c>
      <c r="R29" s="517"/>
      <c r="S29" s="517">
        <f t="shared" si="42"/>
        <v>12949</v>
      </c>
      <c r="T29" s="511"/>
      <c r="U29" s="511">
        <v>2810</v>
      </c>
      <c r="V29" s="517"/>
      <c r="W29" s="517">
        <f t="shared" si="43"/>
        <v>15759</v>
      </c>
      <c r="X29" s="511"/>
      <c r="Y29" s="511">
        <v>3397</v>
      </c>
      <c r="Z29" s="611"/>
      <c r="AA29" s="611">
        <f t="shared" si="44"/>
        <v>8148</v>
      </c>
      <c r="AB29" s="1287"/>
      <c r="AC29" s="1287">
        <f t="shared" si="45"/>
        <v>19156</v>
      </c>
      <c r="AD29" s="511"/>
      <c r="AE29" s="511">
        <v>216</v>
      </c>
      <c r="AF29" s="517"/>
      <c r="AG29" s="517">
        <f t="shared" si="46"/>
        <v>19372</v>
      </c>
      <c r="AH29" s="511"/>
      <c r="AI29" s="511">
        <v>1560</v>
      </c>
      <c r="AJ29" s="517"/>
      <c r="AK29" s="517">
        <f t="shared" si="47"/>
        <v>20932</v>
      </c>
      <c r="AL29" s="511"/>
      <c r="AM29" s="511">
        <v>919</v>
      </c>
      <c r="AN29" s="611"/>
      <c r="AO29" s="621">
        <f t="shared" si="48"/>
        <v>2695</v>
      </c>
      <c r="AP29" s="517"/>
      <c r="AQ29" s="517">
        <f t="shared" si="49"/>
        <v>21851</v>
      </c>
      <c r="AR29" s="511"/>
      <c r="AS29" s="511">
        <v>650</v>
      </c>
      <c r="AT29" s="517"/>
      <c r="AU29" s="517">
        <f t="shared" si="50"/>
        <v>22501</v>
      </c>
      <c r="AV29" s="511"/>
      <c r="AW29" s="511">
        <v>498</v>
      </c>
      <c r="AX29" s="517"/>
      <c r="AY29" s="517">
        <f t="shared" si="51"/>
        <v>22999</v>
      </c>
      <c r="AZ29" s="511"/>
      <c r="BA29" s="511">
        <v>690</v>
      </c>
      <c r="BB29" s="611"/>
      <c r="BC29" s="621">
        <f t="shared" si="52"/>
        <v>1838</v>
      </c>
      <c r="BD29" s="1287"/>
      <c r="BE29" s="1287">
        <f t="shared" si="39"/>
        <v>4533</v>
      </c>
      <c r="BF29" s="517"/>
      <c r="BG29" s="517">
        <f t="shared" si="53"/>
        <v>23689</v>
      </c>
    </row>
    <row r="30" spans="4:59" ht="18" customHeight="1" x14ac:dyDescent="0.25">
      <c r="D30" s="2469" t="s">
        <v>967</v>
      </c>
      <c r="E30" s="2058" t="s">
        <v>53</v>
      </c>
      <c r="F30" s="511"/>
      <c r="G30" s="511">
        <v>2145</v>
      </c>
      <c r="H30" s="511"/>
      <c r="I30" s="511">
        <v>318</v>
      </c>
      <c r="J30" s="517"/>
      <c r="K30" s="517">
        <f t="shared" si="40"/>
        <v>2463</v>
      </c>
      <c r="L30" s="511"/>
      <c r="M30" s="511">
        <v>105</v>
      </c>
      <c r="N30" s="611"/>
      <c r="O30" s="611">
        <f t="shared" si="41"/>
        <v>2568</v>
      </c>
      <c r="P30" s="511"/>
      <c r="Q30" s="511">
        <v>0</v>
      </c>
      <c r="R30" s="517"/>
      <c r="S30" s="517">
        <f t="shared" si="42"/>
        <v>2568</v>
      </c>
      <c r="T30" s="511"/>
      <c r="U30" s="511">
        <v>0</v>
      </c>
      <c r="V30" s="517"/>
      <c r="W30" s="517">
        <f t="shared" si="43"/>
        <v>2568</v>
      </c>
      <c r="X30" s="511"/>
      <c r="Y30" s="511">
        <v>0</v>
      </c>
      <c r="Z30" s="611"/>
      <c r="AA30" s="611">
        <f t="shared" si="44"/>
        <v>0</v>
      </c>
      <c r="AB30" s="1287"/>
      <c r="AC30" s="1287">
        <f t="shared" si="45"/>
        <v>2568</v>
      </c>
      <c r="AD30" s="511"/>
      <c r="AE30" s="511">
        <v>1630</v>
      </c>
      <c r="AF30" s="517"/>
      <c r="AG30" s="517">
        <f>+AC30+AE30</f>
        <v>4198</v>
      </c>
      <c r="AH30" s="511"/>
      <c r="AI30" s="511">
        <v>0</v>
      </c>
      <c r="AJ30" s="517"/>
      <c r="AK30" s="517">
        <f>+AG30+AI30</f>
        <v>4198</v>
      </c>
      <c r="AL30" s="511"/>
      <c r="AM30" s="511">
        <v>340</v>
      </c>
      <c r="AN30" s="611"/>
      <c r="AO30" s="621">
        <f t="shared" si="48"/>
        <v>1970</v>
      </c>
      <c r="AP30" s="517"/>
      <c r="AQ30" s="517">
        <f>+AK30+AM30</f>
        <v>4538</v>
      </c>
      <c r="AR30" s="511"/>
      <c r="AS30" s="511">
        <v>0</v>
      </c>
      <c r="AT30" s="517"/>
      <c r="AU30" s="517">
        <f t="shared" si="50"/>
        <v>4538</v>
      </c>
      <c r="AV30" s="511"/>
      <c r="AW30" s="511">
        <v>0</v>
      </c>
      <c r="AX30" s="517"/>
      <c r="AY30" s="517">
        <f>+AU30+AW30</f>
        <v>4538</v>
      </c>
      <c r="AZ30" s="511"/>
      <c r="BA30" s="511">
        <v>113</v>
      </c>
      <c r="BB30" s="611"/>
      <c r="BC30" s="621">
        <f t="shared" si="52"/>
        <v>113</v>
      </c>
      <c r="BD30" s="1287"/>
      <c r="BE30" s="1287">
        <f t="shared" si="39"/>
        <v>2083</v>
      </c>
      <c r="BF30" s="517"/>
      <c r="BG30" s="517">
        <f>+AY30+BA30</f>
        <v>4651</v>
      </c>
    </row>
    <row r="31" spans="4:59" ht="18" customHeight="1" x14ac:dyDescent="0.25">
      <c r="D31" s="2469" t="s">
        <v>968</v>
      </c>
      <c r="E31" s="2058" t="s">
        <v>53</v>
      </c>
      <c r="F31" s="511"/>
      <c r="G31" s="511">
        <v>23709</v>
      </c>
      <c r="H31" s="511"/>
      <c r="I31" s="511">
        <v>19550</v>
      </c>
      <c r="J31" s="517"/>
      <c r="K31" s="517">
        <f t="shared" si="40"/>
        <v>43259</v>
      </c>
      <c r="L31" s="511"/>
      <c r="M31" s="511">
        <v>46204</v>
      </c>
      <c r="N31" s="611"/>
      <c r="O31" s="611">
        <f t="shared" si="41"/>
        <v>89463</v>
      </c>
      <c r="P31" s="511"/>
      <c r="Q31" s="511">
        <v>41815</v>
      </c>
      <c r="R31" s="517"/>
      <c r="S31" s="517">
        <f t="shared" si="42"/>
        <v>131278</v>
      </c>
      <c r="T31" s="511"/>
      <c r="U31" s="511">
        <v>37515</v>
      </c>
      <c r="V31" s="517"/>
      <c r="W31" s="517">
        <f t="shared" si="43"/>
        <v>168793</v>
      </c>
      <c r="X31" s="511"/>
      <c r="Y31" s="511">
        <v>44400</v>
      </c>
      <c r="Z31" s="611"/>
      <c r="AA31" s="611">
        <f t="shared" si="44"/>
        <v>123730</v>
      </c>
      <c r="AB31" s="1287"/>
      <c r="AC31" s="1287">
        <f t="shared" si="45"/>
        <v>213193</v>
      </c>
      <c r="AD31" s="511"/>
      <c r="AE31" s="511">
        <v>49245</v>
      </c>
      <c r="AF31" s="517"/>
      <c r="AG31" s="517">
        <f t="shared" si="46"/>
        <v>262438</v>
      </c>
      <c r="AH31" s="511"/>
      <c r="AI31" s="511">
        <v>44835</v>
      </c>
      <c r="AJ31" s="517"/>
      <c r="AK31" s="517">
        <f t="shared" ref="AK31:AK34" si="54">+AG31+AI31</f>
        <v>307273</v>
      </c>
      <c r="AL31" s="511"/>
      <c r="AM31" s="511">
        <v>44085</v>
      </c>
      <c r="AN31" s="611"/>
      <c r="AO31" s="621">
        <f t="shared" si="48"/>
        <v>138165</v>
      </c>
      <c r="AP31" s="517"/>
      <c r="AQ31" s="517">
        <f t="shared" ref="AQ31:AQ34" si="55">+AK31+AM31</f>
        <v>351358</v>
      </c>
      <c r="AR31" s="511"/>
      <c r="AS31" s="511">
        <v>43455</v>
      </c>
      <c r="AT31" s="517"/>
      <c r="AU31" s="517">
        <f t="shared" si="50"/>
        <v>394813</v>
      </c>
      <c r="AV31" s="511"/>
      <c r="AW31" s="511">
        <v>37604</v>
      </c>
      <c r="AX31" s="517"/>
      <c r="AY31" s="517">
        <f t="shared" ref="AY31:AY34" si="56">+AU31+AW31</f>
        <v>432417</v>
      </c>
      <c r="AZ31" s="511"/>
      <c r="BA31" s="511">
        <v>59589</v>
      </c>
      <c r="BB31" s="611"/>
      <c r="BC31" s="621">
        <f t="shared" si="52"/>
        <v>140648</v>
      </c>
      <c r="BD31" s="1287"/>
      <c r="BE31" s="1287">
        <f t="shared" si="39"/>
        <v>278813</v>
      </c>
      <c r="BF31" s="517"/>
      <c r="BG31" s="517">
        <f t="shared" ref="BG31:BG34" si="57">+AY31+BA31</f>
        <v>492006</v>
      </c>
    </row>
    <row r="32" spans="4:59" ht="18" customHeight="1" x14ac:dyDescent="0.25">
      <c r="D32" s="2469" t="s">
        <v>969</v>
      </c>
      <c r="E32" s="2058" t="s">
        <v>53</v>
      </c>
      <c r="F32" s="511"/>
      <c r="G32" s="511">
        <v>5725</v>
      </c>
      <c r="H32" s="511"/>
      <c r="I32" s="511">
        <v>5080</v>
      </c>
      <c r="J32" s="517"/>
      <c r="K32" s="517">
        <f t="shared" si="40"/>
        <v>10805</v>
      </c>
      <c r="L32" s="511"/>
      <c r="M32" s="511">
        <v>14458</v>
      </c>
      <c r="N32" s="611"/>
      <c r="O32" s="611">
        <f t="shared" si="41"/>
        <v>25263</v>
      </c>
      <c r="P32" s="511"/>
      <c r="Q32" s="511">
        <v>13865</v>
      </c>
      <c r="R32" s="517"/>
      <c r="S32" s="517">
        <f t="shared" si="42"/>
        <v>39128</v>
      </c>
      <c r="T32" s="511"/>
      <c r="U32" s="511">
        <v>10100</v>
      </c>
      <c r="V32" s="517"/>
      <c r="W32" s="517">
        <f t="shared" si="43"/>
        <v>49228</v>
      </c>
      <c r="X32" s="511"/>
      <c r="Y32" s="511">
        <v>11965</v>
      </c>
      <c r="Z32" s="611"/>
      <c r="AA32" s="611">
        <f t="shared" si="44"/>
        <v>35930</v>
      </c>
      <c r="AB32" s="1287"/>
      <c r="AC32" s="1287">
        <f t="shared" si="45"/>
        <v>61193</v>
      </c>
      <c r="AD32" s="511"/>
      <c r="AE32" s="511">
        <v>14221</v>
      </c>
      <c r="AF32" s="517"/>
      <c r="AG32" s="517">
        <f t="shared" si="46"/>
        <v>75414</v>
      </c>
      <c r="AH32" s="511"/>
      <c r="AI32" s="511">
        <v>11700</v>
      </c>
      <c r="AJ32" s="517"/>
      <c r="AK32" s="517">
        <f t="shared" si="54"/>
        <v>87114</v>
      </c>
      <c r="AL32" s="511"/>
      <c r="AM32" s="511">
        <v>14315</v>
      </c>
      <c r="AN32" s="611"/>
      <c r="AO32" s="621">
        <f t="shared" si="48"/>
        <v>40236</v>
      </c>
      <c r="AP32" s="517"/>
      <c r="AQ32" s="517">
        <f t="shared" si="55"/>
        <v>101429</v>
      </c>
      <c r="AR32" s="511"/>
      <c r="AS32" s="511">
        <v>11653</v>
      </c>
      <c r="AT32" s="517"/>
      <c r="AU32" s="517">
        <f t="shared" si="50"/>
        <v>113082</v>
      </c>
      <c r="AV32" s="511"/>
      <c r="AW32" s="511">
        <v>10486</v>
      </c>
      <c r="AX32" s="517"/>
      <c r="AY32" s="517">
        <f t="shared" si="56"/>
        <v>123568</v>
      </c>
      <c r="AZ32" s="511"/>
      <c r="BA32" s="511">
        <v>20544</v>
      </c>
      <c r="BB32" s="611"/>
      <c r="BC32" s="621">
        <f t="shared" si="52"/>
        <v>42683</v>
      </c>
      <c r="BD32" s="1287"/>
      <c r="BE32" s="1287">
        <f t="shared" si="39"/>
        <v>82919</v>
      </c>
      <c r="BF32" s="517"/>
      <c r="BG32" s="517">
        <f t="shared" si="57"/>
        <v>144112</v>
      </c>
    </row>
    <row r="33" spans="4:59" ht="18.75" x14ac:dyDescent="0.25">
      <c r="D33" s="2469" t="s">
        <v>970</v>
      </c>
      <c r="E33" s="2058" t="s">
        <v>53</v>
      </c>
      <c r="F33" s="511"/>
      <c r="G33" s="511">
        <v>2895</v>
      </c>
      <c r="H33" s="511"/>
      <c r="I33" s="511">
        <v>1215</v>
      </c>
      <c r="J33" s="517"/>
      <c r="K33" s="517">
        <f t="shared" si="40"/>
        <v>4110</v>
      </c>
      <c r="L33" s="511"/>
      <c r="M33" s="511">
        <v>1757</v>
      </c>
      <c r="N33" s="611"/>
      <c r="O33" s="611">
        <f t="shared" si="41"/>
        <v>5867</v>
      </c>
      <c r="P33" s="511"/>
      <c r="Q33" s="511">
        <v>1132</v>
      </c>
      <c r="R33" s="517"/>
      <c r="S33" s="517">
        <f t="shared" si="42"/>
        <v>6999</v>
      </c>
      <c r="T33" s="511"/>
      <c r="U33" s="511">
        <v>1046</v>
      </c>
      <c r="V33" s="517"/>
      <c r="W33" s="517">
        <f t="shared" si="43"/>
        <v>8045</v>
      </c>
      <c r="X33" s="511"/>
      <c r="Y33" s="511">
        <v>1697</v>
      </c>
      <c r="Z33" s="611"/>
      <c r="AA33" s="611">
        <f t="shared" si="44"/>
        <v>3875</v>
      </c>
      <c r="AB33" s="1287"/>
      <c r="AC33" s="1287">
        <f t="shared" si="45"/>
        <v>9742</v>
      </c>
      <c r="AD33" s="511"/>
      <c r="AE33" s="511">
        <v>2735</v>
      </c>
      <c r="AF33" s="517"/>
      <c r="AG33" s="517">
        <f t="shared" si="46"/>
        <v>12477</v>
      </c>
      <c r="AH33" s="511"/>
      <c r="AI33" s="511">
        <v>1263</v>
      </c>
      <c r="AJ33" s="517"/>
      <c r="AK33" s="517">
        <f t="shared" si="54"/>
        <v>13740</v>
      </c>
      <c r="AL33" s="511"/>
      <c r="AM33" s="511">
        <v>1534</v>
      </c>
      <c r="AN33" s="611"/>
      <c r="AO33" s="621">
        <f t="shared" si="48"/>
        <v>5532</v>
      </c>
      <c r="AP33" s="517"/>
      <c r="AQ33" s="517">
        <f t="shared" si="55"/>
        <v>15274</v>
      </c>
      <c r="AR33" s="511"/>
      <c r="AS33" s="511">
        <v>3302</v>
      </c>
      <c r="AT33" s="517"/>
      <c r="AU33" s="517">
        <f t="shared" si="50"/>
        <v>18576</v>
      </c>
      <c r="AV33" s="511"/>
      <c r="AW33" s="511">
        <v>1400</v>
      </c>
      <c r="AX33" s="517"/>
      <c r="AY33" s="517">
        <f t="shared" si="56"/>
        <v>19976</v>
      </c>
      <c r="AZ33" s="511"/>
      <c r="BA33" s="511">
        <v>232</v>
      </c>
      <c r="BB33" s="611"/>
      <c r="BC33" s="621">
        <f t="shared" si="52"/>
        <v>4934</v>
      </c>
      <c r="BD33" s="1287"/>
      <c r="BE33" s="1287">
        <f t="shared" si="39"/>
        <v>10466</v>
      </c>
      <c r="BF33" s="517"/>
      <c r="BG33" s="517">
        <f t="shared" si="57"/>
        <v>20208</v>
      </c>
    </row>
    <row r="34" spans="4:59" ht="19.5" thickBot="1" x14ac:dyDescent="0.3">
      <c r="D34" s="852" t="s">
        <v>971</v>
      </c>
      <c r="E34" s="427" t="s">
        <v>53</v>
      </c>
      <c r="F34" s="616"/>
      <c r="G34" s="616">
        <v>0</v>
      </c>
      <c r="H34" s="616"/>
      <c r="I34" s="616">
        <v>0</v>
      </c>
      <c r="J34" s="600"/>
      <c r="K34" s="600">
        <f t="shared" si="40"/>
        <v>0</v>
      </c>
      <c r="L34" s="616"/>
      <c r="M34" s="616">
        <v>410</v>
      </c>
      <c r="N34" s="627"/>
      <c r="O34" s="627">
        <f t="shared" si="41"/>
        <v>410</v>
      </c>
      <c r="P34" s="616"/>
      <c r="Q34" s="616">
        <v>0</v>
      </c>
      <c r="R34" s="600"/>
      <c r="S34" s="600">
        <f t="shared" si="42"/>
        <v>410</v>
      </c>
      <c r="T34" s="616"/>
      <c r="U34" s="616">
        <v>1559</v>
      </c>
      <c r="V34" s="600"/>
      <c r="W34" s="600">
        <f t="shared" si="43"/>
        <v>1969</v>
      </c>
      <c r="X34" s="616"/>
      <c r="Y34" s="616">
        <v>0</v>
      </c>
      <c r="Z34" s="627"/>
      <c r="AA34" s="627">
        <f t="shared" si="44"/>
        <v>1559</v>
      </c>
      <c r="AB34" s="1290"/>
      <c r="AC34" s="1290">
        <f t="shared" si="45"/>
        <v>1969</v>
      </c>
      <c r="AD34" s="616"/>
      <c r="AE34" s="616">
        <v>52</v>
      </c>
      <c r="AF34" s="600"/>
      <c r="AG34" s="600">
        <f t="shared" si="46"/>
        <v>2021</v>
      </c>
      <c r="AH34" s="616"/>
      <c r="AI34" s="616">
        <v>110</v>
      </c>
      <c r="AJ34" s="600"/>
      <c r="AK34" s="600">
        <f t="shared" si="54"/>
        <v>2131</v>
      </c>
      <c r="AL34" s="616"/>
      <c r="AM34" s="616">
        <v>0</v>
      </c>
      <c r="AN34" s="627"/>
      <c r="AO34" s="621">
        <f t="shared" si="48"/>
        <v>162</v>
      </c>
      <c r="AP34" s="600"/>
      <c r="AQ34" s="600">
        <f t="shared" si="55"/>
        <v>2131</v>
      </c>
      <c r="AR34" s="616"/>
      <c r="AS34" s="616">
        <v>0</v>
      </c>
      <c r="AT34" s="600"/>
      <c r="AU34" s="600">
        <f t="shared" si="50"/>
        <v>2131</v>
      </c>
      <c r="AV34" s="616"/>
      <c r="AW34" s="616">
        <v>0</v>
      </c>
      <c r="AX34" s="600"/>
      <c r="AY34" s="600">
        <f t="shared" si="56"/>
        <v>2131</v>
      </c>
      <c r="AZ34" s="616"/>
      <c r="BA34" s="616">
        <v>0</v>
      </c>
      <c r="BB34" s="627"/>
      <c r="BC34" s="621">
        <f t="shared" si="52"/>
        <v>0</v>
      </c>
      <c r="BD34" s="1290"/>
      <c r="BE34" s="1290">
        <f t="shared" si="39"/>
        <v>162</v>
      </c>
      <c r="BF34" s="600"/>
      <c r="BG34" s="600">
        <f t="shared" si="57"/>
        <v>2131</v>
      </c>
    </row>
    <row r="35" spans="4:59" x14ac:dyDescent="0.25">
      <c r="AD35" s="1726"/>
      <c r="AH35" s="1726"/>
      <c r="AI35" s="1726"/>
      <c r="AJ35" s="1726"/>
      <c r="AR35" s="1726"/>
      <c r="AS35" s="1726"/>
      <c r="AV35" s="1726"/>
      <c r="AW35" s="1726"/>
      <c r="AX35" s="1726"/>
      <c r="AY35" s="1726"/>
      <c r="AZ35" s="4240"/>
      <c r="BA35" s="4240"/>
      <c r="BF35" s="4240"/>
      <c r="BG35" s="4240"/>
    </row>
    <row r="36" spans="4:59" x14ac:dyDescent="0.25">
      <c r="AD36" s="1726"/>
      <c r="AH36" s="1726"/>
      <c r="AI36" s="1726"/>
      <c r="AJ36" s="1726"/>
      <c r="AR36" s="1726"/>
      <c r="AS36" s="1726"/>
      <c r="AV36" s="1726"/>
      <c r="AW36" s="1726"/>
      <c r="AX36" s="1726"/>
      <c r="AY36" s="1726"/>
      <c r="AZ36" s="4240"/>
      <c r="BA36" s="4240"/>
      <c r="BF36" s="4240"/>
      <c r="BG36" s="4240"/>
    </row>
    <row r="37" spans="4:59" x14ac:dyDescent="0.25">
      <c r="AD37" s="1726"/>
      <c r="AH37" s="1726"/>
      <c r="AI37" s="1726"/>
      <c r="AJ37" s="1726"/>
      <c r="AR37" s="1726"/>
      <c r="AS37" s="1726"/>
      <c r="AV37" s="1726"/>
      <c r="AW37" s="1726"/>
      <c r="AX37" s="1726"/>
      <c r="AY37" s="1726"/>
      <c r="AZ37" s="4240"/>
      <c r="BA37" s="4240"/>
      <c r="BF37" s="4240"/>
      <c r="BG37" s="4240"/>
    </row>
    <row r="38" spans="4:59" x14ac:dyDescent="0.25">
      <c r="AD38" s="1726"/>
      <c r="AH38" s="1726"/>
      <c r="AI38" s="1726"/>
      <c r="AJ38" s="1726"/>
      <c r="AR38" s="1726"/>
      <c r="AS38" s="1726"/>
      <c r="AV38" s="1726"/>
      <c r="AW38" s="1726"/>
      <c r="AX38" s="1726"/>
      <c r="AY38" s="1726"/>
      <c r="AZ38" s="4240"/>
      <c r="BA38" s="4240"/>
      <c r="BF38" s="4240"/>
      <c r="BG38" s="4240"/>
    </row>
    <row r="39" spans="4:59" x14ac:dyDescent="0.25">
      <c r="AD39" s="1726"/>
      <c r="AH39" s="1726"/>
      <c r="AI39" s="1726"/>
      <c r="AJ39" s="1726"/>
      <c r="AR39" s="1726"/>
      <c r="AS39" s="1726"/>
      <c r="AV39" s="1726"/>
      <c r="AW39" s="1726"/>
      <c r="AX39" s="1726"/>
      <c r="AY39" s="1726"/>
      <c r="AZ39" s="4240"/>
      <c r="BA39" s="4240"/>
      <c r="BF39" s="4240"/>
      <c r="BG39" s="4240"/>
    </row>
    <row r="40" spans="4:59" x14ac:dyDescent="0.25">
      <c r="AD40" s="1726"/>
      <c r="AH40" s="1726"/>
      <c r="AI40" s="1726"/>
      <c r="AJ40" s="1726"/>
      <c r="AR40" s="1726"/>
      <c r="AS40" s="1726"/>
      <c r="AV40" s="1726"/>
      <c r="AW40" s="1726"/>
      <c r="AX40" s="1726"/>
      <c r="AY40" s="1726"/>
      <c r="AZ40" s="4240"/>
      <c r="BA40" s="4240"/>
      <c r="BF40" s="4240"/>
      <c r="BG40" s="4240"/>
    </row>
    <row r="41" spans="4:59" x14ac:dyDescent="0.25">
      <c r="AD41" s="1726"/>
      <c r="AH41" s="1726"/>
      <c r="AI41" s="1726"/>
      <c r="AJ41" s="1726"/>
      <c r="AR41" s="1726"/>
      <c r="AS41" s="1726"/>
      <c r="AV41" s="1726"/>
      <c r="AW41" s="1726"/>
      <c r="AX41" s="1726"/>
      <c r="AY41" s="1726"/>
    </row>
    <row r="42" spans="4:59" x14ac:dyDescent="0.25">
      <c r="AH42" s="1726"/>
      <c r="AI42" s="1726"/>
      <c r="AJ42" s="1726"/>
      <c r="AR42" s="1726"/>
      <c r="AS42" s="1726"/>
      <c r="AX42" s="1726"/>
      <c r="AY42" s="1726"/>
    </row>
    <row r="43" spans="4:59" x14ac:dyDescent="0.25">
      <c r="AH43" s="1726"/>
      <c r="AI43" s="1726"/>
      <c r="AJ43" s="1726"/>
      <c r="AR43" s="1726"/>
      <c r="AS43" s="1726"/>
      <c r="AX43" s="1726"/>
      <c r="AY43" s="1726"/>
    </row>
    <row r="44" spans="4:59" x14ac:dyDescent="0.25">
      <c r="AH44" s="1726"/>
      <c r="AI44" s="1726"/>
      <c r="AJ44" s="1726"/>
      <c r="AR44" s="1726"/>
      <c r="AS44" s="1726"/>
    </row>
    <row r="45" spans="4:59" x14ac:dyDescent="0.25">
      <c r="AH45" s="1726"/>
      <c r="AI45" s="1726"/>
      <c r="AJ45" s="1726"/>
      <c r="AR45" s="1726"/>
      <c r="AS45" s="1726"/>
    </row>
    <row r="46" spans="4:59" x14ac:dyDescent="0.25">
      <c r="AH46" s="1726"/>
      <c r="AI46" s="1726"/>
      <c r="AJ46" s="1726"/>
      <c r="AR46" s="1726"/>
      <c r="AS46" s="1726"/>
    </row>
    <row r="47" spans="4:59" ht="15.75" thickBot="1" x14ac:dyDescent="0.3">
      <c r="AR47" s="1726"/>
      <c r="AS47" s="1726"/>
    </row>
    <row r="48" spans="4:59" ht="19.5" thickBot="1" x14ac:dyDescent="0.3">
      <c r="J48" s="3149"/>
      <c r="AR48" s="1726"/>
      <c r="AS48" s="1726"/>
    </row>
    <row r="49" spans="10:10" ht="19.5" thickBot="1" x14ac:dyDescent="0.35">
      <c r="J49" s="2466"/>
    </row>
    <row r="50" spans="10:10" ht="18.75" x14ac:dyDescent="0.25">
      <c r="J50" s="1232"/>
    </row>
    <row r="51" spans="10:10" ht="18.75" x14ac:dyDescent="0.25">
      <c r="J51" s="517"/>
    </row>
    <row r="52" spans="10:10" ht="18.75" x14ac:dyDescent="0.25">
      <c r="J52" s="517"/>
    </row>
    <row r="53" spans="10:10" ht="18.75" x14ac:dyDescent="0.25">
      <c r="J53" s="517"/>
    </row>
    <row r="54" spans="10:10" ht="18.75" x14ac:dyDescent="0.25">
      <c r="J54" s="517"/>
    </row>
    <row r="55" spans="10:10" ht="18.75" x14ac:dyDescent="0.25">
      <c r="J55" s="517"/>
    </row>
    <row r="56" spans="10:10" ht="18.75" x14ac:dyDescent="0.25">
      <c r="J56" s="517"/>
    </row>
    <row r="57" spans="10:10" ht="18.75" x14ac:dyDescent="0.25">
      <c r="J57" s="517"/>
    </row>
    <row r="58" spans="10:10" ht="18.75" x14ac:dyDescent="0.25">
      <c r="J58" s="517"/>
    </row>
    <row r="59" spans="10:10" ht="18.75" x14ac:dyDescent="0.25">
      <c r="J59" s="517"/>
    </row>
  </sheetData>
  <mergeCells count="1">
    <mergeCell ref="D1:AY1"/>
  </mergeCells>
  <printOptions horizontalCentered="1" verticalCentered="1"/>
  <pageMargins left="0" right="0" top="0" bottom="0" header="0" footer="0"/>
  <pageSetup paperSize="9" scale="98"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  <pageSetUpPr fitToPage="1"/>
  </sheetPr>
  <dimension ref="B1:BH151"/>
  <sheetViews>
    <sheetView tabSelected="1" workbookViewId="0">
      <pane xSplit="4" topLeftCell="E1" activePane="topRight" state="frozen"/>
      <selection pane="topRight" activeCell="K15" sqref="K15"/>
    </sheetView>
  </sheetViews>
  <sheetFormatPr defaultColWidth="8.85546875" defaultRowHeight="15" x14ac:dyDescent="0.25"/>
  <cols>
    <col min="2" max="2" width="68" customWidth="1"/>
    <col min="3" max="3" width="12.7109375" bestFit="1" customWidth="1"/>
    <col min="4" max="4" width="13.7109375" style="1803" customWidth="1"/>
    <col min="5" max="5" width="12.85546875" style="189" customWidth="1"/>
    <col min="6" max="6" width="13.7109375" style="200" customWidth="1"/>
    <col min="7" max="7" width="13.7109375" style="189" customWidth="1"/>
    <col min="8" max="8" width="14" style="200" customWidth="1"/>
    <col min="9" max="9" width="13.42578125" style="189" hidden="1" customWidth="1"/>
    <col min="10" max="10" width="9.42578125" style="200" hidden="1" customWidth="1"/>
    <col min="11" max="11" width="13" style="189" customWidth="1"/>
    <col min="12" max="12" width="12.42578125" style="200" customWidth="1"/>
    <col min="13" max="13" width="12.7109375" style="189" customWidth="1"/>
    <col min="14" max="14" width="13.7109375" customWidth="1"/>
    <col min="15" max="15" width="10.140625" style="189" customWidth="1"/>
    <col min="16" max="16" width="10.140625" customWidth="1"/>
    <col min="17" max="17" width="13.42578125" style="189" hidden="1" customWidth="1"/>
    <col min="18" max="18" width="10.140625" hidden="1" customWidth="1"/>
    <col min="19" max="19" width="10.140625" style="189" customWidth="1"/>
    <col min="20" max="20" width="9.140625" customWidth="1"/>
    <col min="21" max="21" width="10.140625" style="189" hidden="1" customWidth="1"/>
    <col min="22" max="22" width="12.42578125" hidden="1" customWidth="1"/>
    <col min="23" max="23" width="10.140625" style="189" customWidth="1"/>
    <col min="24" max="24" width="9.140625" customWidth="1"/>
    <col min="25" max="25" width="10.140625" style="189" customWidth="1"/>
    <col min="26" max="26" width="10.140625" style="1191" customWidth="1"/>
    <col min="27" max="27" width="10.140625" style="189" customWidth="1"/>
    <col min="28" max="28" width="9.140625" customWidth="1"/>
    <col min="29" max="30" width="10.140625" customWidth="1"/>
    <col min="31" max="31" width="13.7109375" hidden="1" customWidth="1"/>
    <col min="32" max="32" width="10.140625" hidden="1" customWidth="1"/>
    <col min="33" max="33" width="10.140625" customWidth="1"/>
    <col min="34" max="34" width="8.85546875" customWidth="1"/>
    <col min="35" max="35" width="13.7109375" hidden="1" customWidth="1"/>
    <col min="36" max="36" width="10.140625" hidden="1" customWidth="1"/>
    <col min="37" max="40" width="10.140625" customWidth="1"/>
    <col min="41" max="42" width="10.140625" hidden="1" customWidth="1"/>
    <col min="43" max="44" width="10.140625" customWidth="1"/>
    <col min="45" max="46" width="10.140625" hidden="1" customWidth="1"/>
    <col min="47" max="47" width="8.85546875" customWidth="1"/>
    <col min="48" max="48" width="11.85546875" customWidth="1"/>
    <col min="49" max="49" width="11.42578125" hidden="1" customWidth="1"/>
    <col min="50" max="50" width="8.85546875" hidden="1" customWidth="1"/>
    <col min="51" max="51" width="12" customWidth="1"/>
    <col min="52" max="52" width="12.140625" customWidth="1"/>
    <col min="53" max="53" width="10.140625" style="189" customWidth="1"/>
    <col min="54" max="54" width="10.140625" style="1497" customWidth="1"/>
    <col min="55" max="55" width="10.140625" style="189" customWidth="1"/>
    <col min="56" max="56" width="10.140625" style="1497" customWidth="1"/>
    <col min="57" max="57" width="10.140625" style="189" customWidth="1"/>
    <col min="58" max="58" width="11.5703125" style="1497" customWidth="1"/>
  </cols>
  <sheetData>
    <row r="1" spans="2:58" s="334" customFormat="1" ht="22.5" x14ac:dyDescent="0.3">
      <c r="B1" s="4787" t="s">
        <v>118</v>
      </c>
      <c r="C1" s="4788"/>
      <c r="D1" s="4789">
        <f>+D61/24</f>
        <v>346.41666666666669</v>
      </c>
      <c r="E1" s="4789">
        <f>+E61/24</f>
        <v>26.958333333333332</v>
      </c>
      <c r="F1" s="4789">
        <f t="shared" ref="F1:R1" si="0">+F61/24</f>
        <v>21.779166666666669</v>
      </c>
      <c r="G1" s="4789">
        <f t="shared" si="0"/>
        <v>27.958333333333332</v>
      </c>
      <c r="H1" s="4789">
        <f t="shared" si="0"/>
        <v>22.054166666666664</v>
      </c>
      <c r="I1" s="4789">
        <f t="shared" si="0"/>
        <v>54.916666666666664</v>
      </c>
      <c r="J1" s="4789">
        <f t="shared" si="0"/>
        <v>43.833333333333336</v>
      </c>
      <c r="K1" s="4789">
        <f t="shared" si="0"/>
        <v>28.75</v>
      </c>
      <c r="L1" s="4789">
        <f t="shared" si="0"/>
        <v>28.279166666666669</v>
      </c>
      <c r="M1" s="4789">
        <f t="shared" si="0"/>
        <v>83.666666666666671</v>
      </c>
      <c r="N1" s="4789">
        <f t="shared" si="0"/>
        <v>72.112499999999997</v>
      </c>
      <c r="O1" s="4789">
        <f t="shared" si="0"/>
        <v>29.75</v>
      </c>
      <c r="P1" s="4789">
        <f t="shared" si="0"/>
        <v>28.650000000000002</v>
      </c>
      <c r="Q1" s="4789">
        <f t="shared" si="0"/>
        <v>113.41666666666667</v>
      </c>
      <c r="R1" s="4789">
        <f t="shared" si="0"/>
        <v>100.7625</v>
      </c>
      <c r="S1" s="4789">
        <f t="shared" ref="S1:V1" si="1">+S61/24</f>
        <v>29.75</v>
      </c>
      <c r="T1" s="4789">
        <f t="shared" si="1"/>
        <v>28.891666666666666</v>
      </c>
      <c r="U1" s="4789">
        <f t="shared" si="1"/>
        <v>143.16666666666666</v>
      </c>
      <c r="V1" s="4789">
        <f t="shared" si="1"/>
        <v>129.65416666666667</v>
      </c>
      <c r="W1" s="4789">
        <f t="shared" ref="W1:AJ1" si="2">+W61/24</f>
        <v>28.75</v>
      </c>
      <c r="X1" s="4789">
        <f t="shared" si="2"/>
        <v>27.467291666666668</v>
      </c>
      <c r="Y1" s="4789">
        <f>+O1+S1+W1</f>
        <v>88.25</v>
      </c>
      <c r="Z1" s="4789">
        <f>+P1+T1+X1</f>
        <v>85.008958333333339</v>
      </c>
      <c r="AA1" s="4789">
        <f t="shared" si="2"/>
        <v>171.91666666666666</v>
      </c>
      <c r="AB1" s="4789">
        <f t="shared" si="2"/>
        <v>157.12145833333335</v>
      </c>
      <c r="AC1" s="4789">
        <f t="shared" si="2"/>
        <v>29.75</v>
      </c>
      <c r="AD1" s="4789">
        <f t="shared" si="2"/>
        <v>29.534583333333334</v>
      </c>
      <c r="AE1" s="4789">
        <f t="shared" si="2"/>
        <v>201.66666666666666</v>
      </c>
      <c r="AF1" s="4789">
        <f t="shared" si="2"/>
        <v>186.65604166666671</v>
      </c>
      <c r="AG1" s="4790">
        <f t="shared" si="2"/>
        <v>28.75</v>
      </c>
      <c r="AH1" s="4790">
        <f t="shared" si="2"/>
        <v>28.141666666666666</v>
      </c>
      <c r="AI1" s="4789">
        <f t="shared" si="2"/>
        <v>230.41666666666666</v>
      </c>
      <c r="AJ1" s="4789">
        <f t="shared" si="2"/>
        <v>214.79770833333336</v>
      </c>
      <c r="AK1" s="4789">
        <f t="shared" ref="AK1:AL1" si="3">+AK61/24</f>
        <v>29.75</v>
      </c>
      <c r="AL1" s="4789">
        <f t="shared" si="3"/>
        <v>29.231666666666666</v>
      </c>
      <c r="AM1" s="4789">
        <f>+AC1+AG1+AK1</f>
        <v>88.25</v>
      </c>
      <c r="AN1" s="4789">
        <f>+AD1+AH1+AL1</f>
        <v>86.907916666666665</v>
      </c>
      <c r="AO1" s="4789">
        <f t="shared" ref="AO1:AV1" si="4">+AO61/24</f>
        <v>260.16666666666669</v>
      </c>
      <c r="AP1" s="4789">
        <f t="shared" si="4"/>
        <v>244.02937499999999</v>
      </c>
      <c r="AQ1" s="4789">
        <f t="shared" si="4"/>
        <v>29.75</v>
      </c>
      <c r="AR1" s="4789">
        <f t="shared" si="4"/>
        <v>30.026666666666667</v>
      </c>
      <c r="AS1" s="4789">
        <f t="shared" si="4"/>
        <v>289.91666666666669</v>
      </c>
      <c r="AT1" s="4789">
        <f t="shared" si="4"/>
        <v>274.05604166666666</v>
      </c>
      <c r="AU1" s="4791">
        <f t="shared" si="4"/>
        <v>26.75</v>
      </c>
      <c r="AV1" s="4791">
        <f t="shared" si="4"/>
        <v>27.137083333333333</v>
      </c>
      <c r="AW1" s="4791">
        <f t="shared" ref="AW1:AZ1" si="5">+AW61/24</f>
        <v>316.66666666666669</v>
      </c>
      <c r="AX1" s="4791">
        <f t="shared" si="5"/>
        <v>301.19312500000001</v>
      </c>
      <c r="AY1" s="4792">
        <f t="shared" si="5"/>
        <v>29.75</v>
      </c>
      <c r="AZ1" s="4792">
        <f t="shared" si="5"/>
        <v>30.015000000000001</v>
      </c>
      <c r="BA1" s="4789">
        <f>+AQ1+AU1+AY1</f>
        <v>86.25</v>
      </c>
      <c r="BB1" s="4789">
        <f>+AR1+AV1+AZ1</f>
        <v>87.178750000000008</v>
      </c>
      <c r="BC1" s="4789">
        <f>+BA1+AM1</f>
        <v>174.5</v>
      </c>
      <c r="BD1" s="4789">
        <f>+BB1+AN1</f>
        <v>174.08666666666667</v>
      </c>
      <c r="BE1" s="4791">
        <f t="shared" ref="BE1:BF1" si="6">+BE61/24</f>
        <v>346.41666666666669</v>
      </c>
      <c r="BF1" s="4791">
        <f t="shared" si="6"/>
        <v>331.208125</v>
      </c>
    </row>
    <row r="2" spans="2:58" x14ac:dyDescent="0.25">
      <c r="B2" s="5"/>
      <c r="C2" s="5"/>
      <c r="D2" s="69">
        <v>365</v>
      </c>
      <c r="E2" s="69">
        <v>30</v>
      </c>
      <c r="F2" s="69">
        <v>30</v>
      </c>
      <c r="G2" s="69">
        <v>31</v>
      </c>
      <c r="H2" s="69">
        <v>31</v>
      </c>
      <c r="I2" s="69">
        <f>+E2+G2</f>
        <v>61</v>
      </c>
      <c r="J2" s="69">
        <f>+F2+H2</f>
        <v>61</v>
      </c>
      <c r="K2" s="69">
        <v>30</v>
      </c>
      <c r="L2" s="69">
        <v>30</v>
      </c>
      <c r="M2" s="69">
        <f>+I2+K2</f>
        <v>91</v>
      </c>
      <c r="N2" s="69">
        <f>+J2+L2</f>
        <v>91</v>
      </c>
      <c r="O2" s="69">
        <v>31</v>
      </c>
      <c r="P2" s="69">
        <v>31</v>
      </c>
      <c r="Q2" s="69">
        <f>+M2+O2</f>
        <v>122</v>
      </c>
      <c r="R2" s="69">
        <f>+N2+P2</f>
        <v>122</v>
      </c>
      <c r="S2" s="69">
        <v>31</v>
      </c>
      <c r="T2" s="69">
        <v>31</v>
      </c>
      <c r="U2" s="69">
        <f>+Q2+S2</f>
        <v>153</v>
      </c>
      <c r="V2" s="69">
        <f>+R2+T2</f>
        <v>153</v>
      </c>
      <c r="W2" s="69">
        <v>30</v>
      </c>
      <c r="X2" s="69">
        <v>30</v>
      </c>
      <c r="Y2" s="69">
        <f>+O2+S2+W2</f>
        <v>92</v>
      </c>
      <c r="Z2" s="69">
        <f>+P2+T2+X2</f>
        <v>92</v>
      </c>
      <c r="AA2" s="69">
        <f>+U2+W2</f>
        <v>183</v>
      </c>
      <c r="AB2" s="69">
        <f>+V2+X2</f>
        <v>183</v>
      </c>
      <c r="AC2" s="69">
        <v>31</v>
      </c>
      <c r="AD2" s="69">
        <v>31</v>
      </c>
      <c r="AE2" s="69">
        <f>+AA2+AC2</f>
        <v>214</v>
      </c>
      <c r="AF2" s="69">
        <f>+AB2+AD2</f>
        <v>214</v>
      </c>
      <c r="AG2" s="69">
        <v>30</v>
      </c>
      <c r="AH2" s="69">
        <v>30</v>
      </c>
      <c r="AI2" s="69">
        <f>+AE2+AG2</f>
        <v>244</v>
      </c>
      <c r="AJ2" s="69">
        <f>+AF2+AH2</f>
        <v>244</v>
      </c>
      <c r="AK2" s="69">
        <v>31</v>
      </c>
      <c r="AL2" s="69">
        <v>31</v>
      </c>
      <c r="AM2" s="69">
        <f>+AC2+AG2+AK2</f>
        <v>92</v>
      </c>
      <c r="AN2" s="69">
        <f>+AD2+AH2+AL2</f>
        <v>92</v>
      </c>
      <c r="AO2" s="69">
        <f>+AI2+AK2</f>
        <v>275</v>
      </c>
      <c r="AP2" s="69">
        <f>+AJ2+AL2</f>
        <v>275</v>
      </c>
      <c r="AQ2" s="69">
        <v>31</v>
      </c>
      <c r="AR2" s="69">
        <v>31</v>
      </c>
      <c r="AS2" s="69">
        <f>+AO2+AQ2</f>
        <v>306</v>
      </c>
      <c r="AT2" s="69">
        <f>+AP2+AR2</f>
        <v>306</v>
      </c>
      <c r="AU2" s="1564">
        <v>28</v>
      </c>
      <c r="AV2" s="1564">
        <v>28</v>
      </c>
      <c r="AW2" s="1564">
        <f>+AS2+AU2</f>
        <v>334</v>
      </c>
      <c r="AX2" s="1564">
        <f>+AT2+AV2</f>
        <v>334</v>
      </c>
      <c r="AY2" s="1564">
        <v>31</v>
      </c>
      <c r="AZ2" s="1564">
        <v>31</v>
      </c>
      <c r="BA2" s="69">
        <f>+AQ2+AU2+AY2</f>
        <v>90</v>
      </c>
      <c r="BB2" s="69">
        <f>+AR2+AV2+AZ2</f>
        <v>90</v>
      </c>
      <c r="BC2" s="69">
        <f>+BA2+AM2</f>
        <v>182</v>
      </c>
      <c r="BD2" s="69">
        <f>+BB2+AN2</f>
        <v>182</v>
      </c>
      <c r="BE2" s="1564">
        <f>+AW2+AY2</f>
        <v>365</v>
      </c>
      <c r="BF2" s="1564">
        <f>+AX2+AZ2</f>
        <v>365</v>
      </c>
    </row>
    <row r="3" spans="2:58" x14ac:dyDescent="0.25">
      <c r="B3" s="5191" t="s">
        <v>197</v>
      </c>
      <c r="C3" s="5186" t="s">
        <v>198</v>
      </c>
      <c r="D3" s="5186" t="s">
        <v>1572</v>
      </c>
      <c r="E3" s="5186" t="s">
        <v>1323</v>
      </c>
      <c r="F3" s="5186"/>
      <c r="G3" s="5186" t="s">
        <v>1384</v>
      </c>
      <c r="H3" s="5186"/>
      <c r="I3" s="5188" t="s">
        <v>15</v>
      </c>
      <c r="J3" s="5188"/>
      <c r="K3" s="5186" t="s">
        <v>1397</v>
      </c>
      <c r="L3" s="5186"/>
      <c r="M3" s="5187" t="s">
        <v>741</v>
      </c>
      <c r="N3" s="5187"/>
      <c r="O3" s="5186" t="s">
        <v>1424</v>
      </c>
      <c r="P3" s="5186"/>
      <c r="Q3" s="5188" t="s">
        <v>18</v>
      </c>
      <c r="R3" s="5188"/>
      <c r="S3" s="5186" t="s">
        <v>1496</v>
      </c>
      <c r="T3" s="5186"/>
      <c r="U3" s="5188" t="s">
        <v>19</v>
      </c>
      <c r="V3" s="5188"/>
      <c r="W3" s="5186" t="s">
        <v>1573</v>
      </c>
      <c r="X3" s="5186"/>
      <c r="Y3" s="5187" t="s">
        <v>788</v>
      </c>
      <c r="Z3" s="5187"/>
      <c r="AA3" s="5189" t="s">
        <v>784</v>
      </c>
      <c r="AB3" s="5189"/>
      <c r="AC3" s="5186" t="s">
        <v>1634</v>
      </c>
      <c r="AD3" s="5186"/>
      <c r="AE3" s="5188" t="s">
        <v>26</v>
      </c>
      <c r="AF3" s="5188"/>
      <c r="AG3" s="5186" t="s">
        <v>1671</v>
      </c>
      <c r="AH3" s="5186"/>
      <c r="AI3" s="5188" t="s">
        <v>29</v>
      </c>
      <c r="AJ3" s="5188"/>
      <c r="AK3" s="5186" t="s">
        <v>1696</v>
      </c>
      <c r="AL3" s="5186"/>
      <c r="AM3" s="5187" t="s">
        <v>799</v>
      </c>
      <c r="AN3" s="5187"/>
      <c r="AO3" s="5188" t="s">
        <v>1221</v>
      </c>
      <c r="AP3" s="5188"/>
      <c r="AQ3" s="5186" t="s">
        <v>1760</v>
      </c>
      <c r="AR3" s="5186"/>
      <c r="AS3" s="5188" t="s">
        <v>31</v>
      </c>
      <c r="AT3" s="5188"/>
      <c r="AU3" s="5186" t="s">
        <v>1812</v>
      </c>
      <c r="AV3" s="5186"/>
      <c r="AW3" s="5188" t="s">
        <v>33</v>
      </c>
      <c r="AX3" s="5188"/>
      <c r="AY3" s="5186" t="s">
        <v>1844</v>
      </c>
      <c r="AZ3" s="5186"/>
      <c r="BA3" s="5187" t="s">
        <v>800</v>
      </c>
      <c r="BB3" s="5187"/>
      <c r="BC3" s="5189" t="s">
        <v>817</v>
      </c>
      <c r="BD3" s="5189"/>
      <c r="BE3" s="5188" t="s">
        <v>1314</v>
      </c>
      <c r="BF3" s="5188"/>
    </row>
    <row r="4" spans="2:58" x14ac:dyDescent="0.25">
      <c r="B4" s="5191"/>
      <c r="C4" s="5186"/>
      <c r="D4" s="5186"/>
      <c r="E4" s="4383" t="s">
        <v>199</v>
      </c>
      <c r="F4" s="4383" t="s">
        <v>200</v>
      </c>
      <c r="G4" s="4383" t="s">
        <v>199</v>
      </c>
      <c r="H4" s="4383" t="s">
        <v>200</v>
      </c>
      <c r="I4" s="447" t="s">
        <v>199</v>
      </c>
      <c r="J4" s="447" t="s">
        <v>200</v>
      </c>
      <c r="K4" s="4383" t="s">
        <v>199</v>
      </c>
      <c r="L4" s="4383" t="s">
        <v>200</v>
      </c>
      <c r="M4" s="448" t="s">
        <v>199</v>
      </c>
      <c r="N4" s="448" t="s">
        <v>200</v>
      </c>
      <c r="O4" s="4383" t="s">
        <v>199</v>
      </c>
      <c r="P4" s="4383" t="s">
        <v>200</v>
      </c>
      <c r="Q4" s="447" t="s">
        <v>199</v>
      </c>
      <c r="R4" s="447" t="s">
        <v>200</v>
      </c>
      <c r="S4" s="4383" t="s">
        <v>199</v>
      </c>
      <c r="T4" s="4383" t="s">
        <v>200</v>
      </c>
      <c r="U4" s="447" t="s">
        <v>199</v>
      </c>
      <c r="V4" s="447" t="s">
        <v>200</v>
      </c>
      <c r="W4" s="4383" t="s">
        <v>199</v>
      </c>
      <c r="X4" s="4383" t="s">
        <v>200</v>
      </c>
      <c r="Y4" s="448" t="s">
        <v>199</v>
      </c>
      <c r="Z4" s="448" t="s">
        <v>200</v>
      </c>
      <c r="AA4" s="4793" t="s">
        <v>199</v>
      </c>
      <c r="AB4" s="4793" t="s">
        <v>200</v>
      </c>
      <c r="AC4" s="4383" t="s">
        <v>199</v>
      </c>
      <c r="AD4" s="4383" t="s">
        <v>200</v>
      </c>
      <c r="AE4" s="447" t="s">
        <v>199</v>
      </c>
      <c r="AF4" s="447" t="s">
        <v>200</v>
      </c>
      <c r="AG4" s="4383" t="s">
        <v>199</v>
      </c>
      <c r="AH4" s="4383" t="s">
        <v>200</v>
      </c>
      <c r="AI4" s="447" t="s">
        <v>199</v>
      </c>
      <c r="AJ4" s="447" t="s">
        <v>200</v>
      </c>
      <c r="AK4" s="4383" t="s">
        <v>199</v>
      </c>
      <c r="AL4" s="4383" t="s">
        <v>200</v>
      </c>
      <c r="AM4" s="448" t="s">
        <v>199</v>
      </c>
      <c r="AN4" s="448" t="s">
        <v>200</v>
      </c>
      <c r="AO4" s="447" t="s">
        <v>199</v>
      </c>
      <c r="AP4" s="447" t="s">
        <v>200</v>
      </c>
      <c r="AQ4" s="4383" t="s">
        <v>199</v>
      </c>
      <c r="AR4" s="4383" t="s">
        <v>200</v>
      </c>
      <c r="AS4" s="447" t="s">
        <v>199</v>
      </c>
      <c r="AT4" s="447" t="s">
        <v>200</v>
      </c>
      <c r="AU4" s="4383" t="s">
        <v>199</v>
      </c>
      <c r="AV4" s="4383" t="s">
        <v>200</v>
      </c>
      <c r="AW4" s="447" t="s">
        <v>199</v>
      </c>
      <c r="AX4" s="447" t="s">
        <v>200</v>
      </c>
      <c r="AY4" s="4383" t="s">
        <v>199</v>
      </c>
      <c r="AZ4" s="4383" t="s">
        <v>200</v>
      </c>
      <c r="BA4" s="448" t="s">
        <v>199</v>
      </c>
      <c r="BB4" s="448" t="s">
        <v>200</v>
      </c>
      <c r="BC4" s="4793" t="s">
        <v>199</v>
      </c>
      <c r="BD4" s="4793" t="s">
        <v>200</v>
      </c>
      <c r="BE4" s="447" t="s">
        <v>199</v>
      </c>
      <c r="BF4" s="447" t="s">
        <v>200</v>
      </c>
    </row>
    <row r="5" spans="2:58" s="334" customFormat="1" ht="18.75" x14ac:dyDescent="0.25">
      <c r="B5" s="4794" t="s">
        <v>1291</v>
      </c>
      <c r="C5" s="4794"/>
      <c r="D5" s="4794"/>
      <c r="E5" s="4794"/>
      <c r="F5" s="4794"/>
      <c r="G5" s="4794"/>
      <c r="H5" s="4794"/>
      <c r="I5" s="4794"/>
      <c r="J5" s="4794"/>
      <c r="K5" s="4794"/>
      <c r="L5" s="4794"/>
      <c r="M5" s="4794"/>
      <c r="N5" s="4794"/>
      <c r="O5" s="4794"/>
      <c r="P5" s="4794"/>
      <c r="Q5" s="4794"/>
      <c r="R5" s="4794"/>
      <c r="S5" s="4794"/>
      <c r="T5" s="4794"/>
      <c r="U5" s="4794"/>
      <c r="V5" s="4794"/>
      <c r="W5" s="4794"/>
      <c r="X5" s="4794"/>
      <c r="Y5" s="4794"/>
      <c r="Z5" s="4794"/>
      <c r="AA5" s="4794"/>
      <c r="AB5" s="4794"/>
      <c r="AC5" s="4794"/>
      <c r="AD5" s="4794"/>
      <c r="AE5" s="4794"/>
      <c r="AF5" s="4794"/>
      <c r="AG5" s="4794"/>
      <c r="AH5" s="4794"/>
      <c r="AI5" s="4794"/>
      <c r="AJ5" s="4794"/>
      <c r="AK5" s="4794"/>
      <c r="AL5" s="4794"/>
      <c r="AM5" s="4794"/>
      <c r="AN5" s="4794"/>
      <c r="AO5" s="4794"/>
      <c r="AP5" s="4794"/>
      <c r="AQ5" s="4794"/>
      <c r="AR5" s="4794"/>
      <c r="AS5" s="4794"/>
      <c r="AT5" s="4794"/>
      <c r="AU5" s="4794"/>
      <c r="AV5" s="4794"/>
      <c r="AW5" s="4794"/>
      <c r="AX5" s="4794"/>
      <c r="AY5" s="4794"/>
      <c r="AZ5" s="4794"/>
      <c r="BA5" s="4794"/>
      <c r="BB5" s="4794"/>
      <c r="BC5" s="4794"/>
      <c r="BD5" s="4794"/>
      <c r="BE5" s="4794"/>
      <c r="BF5" s="4794"/>
    </row>
    <row r="6" spans="2:58" x14ac:dyDescent="0.25">
      <c r="B6" s="4795" t="s">
        <v>40</v>
      </c>
      <c r="C6" s="147" t="s">
        <v>53</v>
      </c>
      <c r="D6" s="4796">
        <v>3598177.6131399013</v>
      </c>
      <c r="E6" s="4796">
        <v>210352</v>
      </c>
      <c r="F6" s="4796">
        <v>230145.823007</v>
      </c>
      <c r="G6" s="4796">
        <v>214831.37</v>
      </c>
      <c r="H6" s="4796">
        <v>202950.716575</v>
      </c>
      <c r="I6" s="4797">
        <f>+E6+G6</f>
        <v>425183.37</v>
      </c>
      <c r="J6" s="4797">
        <f>+F6+H6</f>
        <v>433096.539582</v>
      </c>
      <c r="K6" s="4796">
        <v>312334</v>
      </c>
      <c r="L6" s="4796">
        <v>309965.12438499997</v>
      </c>
      <c r="M6" s="4799">
        <f>+I6+K6</f>
        <v>737517.37</v>
      </c>
      <c r="N6" s="4799">
        <f>+J6+L6</f>
        <v>743061.66396699997</v>
      </c>
      <c r="O6" s="4796">
        <v>322921.75036753045</v>
      </c>
      <c r="P6" s="336">
        <v>315536.41800499998</v>
      </c>
      <c r="Q6" s="4797">
        <f>+M6+O6</f>
        <v>1060439.1203675305</v>
      </c>
      <c r="R6" s="4797">
        <f>+N6+P6</f>
        <v>1058598.081972</v>
      </c>
      <c r="S6" s="4796">
        <v>322921.75036753045</v>
      </c>
      <c r="T6" s="336">
        <v>305454.78541100002</v>
      </c>
      <c r="U6" s="4797">
        <f>+Q6+S6</f>
        <v>1383360.8707350609</v>
      </c>
      <c r="V6" s="4797">
        <f>+R6+T6</f>
        <v>1364052.867383</v>
      </c>
      <c r="W6" s="4796">
        <v>314079.03552552185</v>
      </c>
      <c r="X6" s="336">
        <v>285158.74693099997</v>
      </c>
      <c r="Y6" s="4799">
        <f>+O6+S6+W6</f>
        <v>959922.53626058274</v>
      </c>
      <c r="Z6" s="4799">
        <f>+P6+T6+X6</f>
        <v>906149.95034700003</v>
      </c>
      <c r="AA6" s="4636">
        <f>+U6+W6</f>
        <v>1697439.9062605826</v>
      </c>
      <c r="AB6" s="4636">
        <f>+V6+X6</f>
        <v>1649211.6143139999</v>
      </c>
      <c r="AC6" s="4796">
        <v>324725.78249248874</v>
      </c>
      <c r="AD6" s="336">
        <v>306520.84137899999</v>
      </c>
      <c r="AE6" s="4797">
        <f>+AA6+AC6</f>
        <v>2022165.6887530712</v>
      </c>
      <c r="AF6" s="4797">
        <f>+AB6+AD6</f>
        <v>1955732.455693</v>
      </c>
      <c r="AG6" s="4796">
        <v>314079.03552552185</v>
      </c>
      <c r="AH6" s="336">
        <v>290816.69736500003</v>
      </c>
      <c r="AI6" s="4797">
        <f>+AE6+AG6</f>
        <v>2336244.724278593</v>
      </c>
      <c r="AJ6" s="4797">
        <f>+AF6+AH6</f>
        <v>2246549.1530579999</v>
      </c>
      <c r="AK6" s="4796">
        <v>324725.78249248874</v>
      </c>
      <c r="AL6" s="336">
        <v>318365.48483700003</v>
      </c>
      <c r="AM6" s="4799">
        <f>+AC6+AG6+AK6</f>
        <v>963530.60051049932</v>
      </c>
      <c r="AN6" s="4799">
        <f>+AD6+AH6+AL6</f>
        <v>915703.02358100004</v>
      </c>
      <c r="AO6" s="4797">
        <f>+AI6+AK6</f>
        <v>2660970.5067710816</v>
      </c>
      <c r="AP6" s="4797">
        <f>+AJ6+AL6</f>
        <v>2564914.6378950002</v>
      </c>
      <c r="AQ6" s="4796">
        <v>324725.78249248874</v>
      </c>
      <c r="AR6" s="336">
        <v>317917.050025</v>
      </c>
      <c r="AS6" s="4797">
        <f>+AO6+AQ6</f>
        <v>2985696.2892635702</v>
      </c>
      <c r="AT6" s="4797">
        <f>+AP6+AR6</f>
        <v>2882831.6879200004</v>
      </c>
      <c r="AU6" s="4796">
        <v>287755.24282060162</v>
      </c>
      <c r="AV6" s="336">
        <v>286982.22949300002</v>
      </c>
      <c r="AW6" s="4797">
        <f>+AS6+AU6</f>
        <v>3273451.5320841717</v>
      </c>
      <c r="AX6" s="4797">
        <f>+AT6+AV6</f>
        <v>3169813.9174130005</v>
      </c>
      <c r="AY6" s="4796">
        <v>324725.78249248874</v>
      </c>
      <c r="AZ6" s="336">
        <v>314170.65681700001</v>
      </c>
      <c r="BA6" s="4799">
        <f>+AQ6+AU6+AY6</f>
        <v>937206.80780557904</v>
      </c>
      <c r="BB6" s="4799">
        <f>+AR6+AV6+AZ6</f>
        <v>919069.93633500009</v>
      </c>
      <c r="BC6" s="4636">
        <f t="shared" ref="BC6:BC15" si="7">+BA6+AM6</f>
        <v>1900737.4083160784</v>
      </c>
      <c r="BD6" s="4636">
        <f>+BB6+AN6</f>
        <v>1834772.9599160003</v>
      </c>
      <c r="BE6" s="4797">
        <f>+AW6+AY6</f>
        <v>3598177.3145766603</v>
      </c>
      <c r="BF6" s="4797">
        <f>+AX6+AZ6</f>
        <v>3483984.5742300004</v>
      </c>
    </row>
    <row r="7" spans="2:58" x14ac:dyDescent="0.25">
      <c r="B7" s="4795" t="s">
        <v>41</v>
      </c>
      <c r="C7" s="147" t="s">
        <v>53</v>
      </c>
      <c r="D7" s="4796">
        <v>167357.09828557688</v>
      </c>
      <c r="E7" s="4796">
        <v>9784</v>
      </c>
      <c r="F7" s="4796">
        <v>13770.695243</v>
      </c>
      <c r="G7" s="4796">
        <v>9992.16</v>
      </c>
      <c r="H7" s="4796">
        <v>12882.705572000001</v>
      </c>
      <c r="I7" s="4797">
        <f t="shared" ref="I7:I15" si="8">+E7+G7</f>
        <v>19776.16</v>
      </c>
      <c r="J7" s="4797">
        <f t="shared" ref="J7:J15" si="9">+F7+H7</f>
        <v>26653.400815000001</v>
      </c>
      <c r="K7" s="4796">
        <v>14527</v>
      </c>
      <c r="L7" s="4796">
        <v>20221.748511000002</v>
      </c>
      <c r="M7" s="4799">
        <f t="shared" ref="M7:M15" si="10">+I7+K7</f>
        <v>34303.160000000003</v>
      </c>
      <c r="N7" s="4799">
        <f t="shared" ref="N7:N15" si="11">+J7+L7</f>
        <v>46875.149325999999</v>
      </c>
      <c r="O7" s="4796">
        <v>15019.616296164208</v>
      </c>
      <c r="P7" s="336">
        <v>21982.596720000001</v>
      </c>
      <c r="Q7" s="4797">
        <f t="shared" ref="Q7:Q15" si="12">+M7+O7</f>
        <v>49322.776296164215</v>
      </c>
      <c r="R7" s="4797">
        <f t="shared" ref="R7:R15" si="13">+N7+P7</f>
        <v>68857.746046</v>
      </c>
      <c r="S7" s="4796">
        <v>15019.616296164208</v>
      </c>
      <c r="T7" s="336">
        <v>25513.863727</v>
      </c>
      <c r="U7" s="4797">
        <f t="shared" ref="U7:U15" si="14">+Q7+S7</f>
        <v>64342.392592328426</v>
      </c>
      <c r="V7" s="4797">
        <f t="shared" ref="V7:V15" si="15">+R7+T7</f>
        <v>94371.609773000004</v>
      </c>
      <c r="W7" s="4796">
        <v>14608.327233745204</v>
      </c>
      <c r="X7" s="336">
        <v>19224.098526000002</v>
      </c>
      <c r="Y7" s="4799">
        <f t="shared" ref="Y7:Y15" si="16">+O7+S7+W7</f>
        <v>44647.559826073615</v>
      </c>
      <c r="Z7" s="4799">
        <f t="shared" ref="Z7:Z15" si="17">+P7+T7+X7</f>
        <v>66720.558973000007</v>
      </c>
      <c r="AA7" s="4636">
        <f t="shared" ref="AA7:AA15" si="18">+U7+W7</f>
        <v>78950.719826073633</v>
      </c>
      <c r="AB7" s="4636">
        <f t="shared" ref="AB7:AB15" si="19">+V7+X7</f>
        <v>113595.70829900001</v>
      </c>
      <c r="AC7" s="4796">
        <v>15103.5247670925</v>
      </c>
      <c r="AD7" s="336">
        <v>18710.651033999999</v>
      </c>
      <c r="AE7" s="4797">
        <f t="shared" ref="AE7:AE15" si="20">+AA7+AC7</f>
        <v>94054.244593166135</v>
      </c>
      <c r="AF7" s="4797">
        <f t="shared" ref="AF7:AF15" si="21">+AB7+AD7</f>
        <v>132306.359333</v>
      </c>
      <c r="AG7" s="4796">
        <v>14608.327233745204</v>
      </c>
      <c r="AH7" s="336">
        <v>17393.700736999999</v>
      </c>
      <c r="AI7" s="4797">
        <f t="shared" ref="AI7:AI15" si="22">+AE7+AG7</f>
        <v>108662.57182691134</v>
      </c>
      <c r="AJ7" s="4797">
        <f t="shared" ref="AJ7:AJ15" si="23">+AF7+AH7</f>
        <v>149700.06007000001</v>
      </c>
      <c r="AK7" s="4796">
        <v>15103.5247670925</v>
      </c>
      <c r="AL7" s="336">
        <v>21493.995870999999</v>
      </c>
      <c r="AM7" s="4799">
        <f t="shared" ref="AM7:AM15" si="24">+AC7+AG7+AK7</f>
        <v>44815.376767930204</v>
      </c>
      <c r="AN7" s="4799">
        <f t="shared" ref="AN7:AN15" si="25">+AD7+AH7+AL7</f>
        <v>57598.347642000001</v>
      </c>
      <c r="AO7" s="4797">
        <f t="shared" ref="AO7:AO15" si="26">+AI7+AK7</f>
        <v>123766.09659400384</v>
      </c>
      <c r="AP7" s="4797">
        <f t="shared" ref="AP7:AP15" si="27">+AJ7+AL7</f>
        <v>171194.055941</v>
      </c>
      <c r="AQ7" s="4796">
        <v>15103.5247670925</v>
      </c>
      <c r="AR7" s="336">
        <v>22370.161939000001</v>
      </c>
      <c r="AS7" s="4797">
        <f t="shared" ref="AS7:AS9" si="28">+AO7+AQ7</f>
        <v>138869.62136109633</v>
      </c>
      <c r="AT7" s="4797">
        <f t="shared" ref="AT7:AT15" si="29">+AP7+AR7</f>
        <v>193564.21788000001</v>
      </c>
      <c r="AU7" s="4796">
        <v>13383.964782353565</v>
      </c>
      <c r="AV7" s="336">
        <v>18978.522487999999</v>
      </c>
      <c r="AW7" s="4797">
        <f t="shared" ref="AW7:AW9" si="30">+AS7+AU7</f>
        <v>152253.58614344991</v>
      </c>
      <c r="AX7" s="4797">
        <f t="shared" ref="AX7:AX15" si="31">+AT7+AV7</f>
        <v>212542.740368</v>
      </c>
      <c r="AY7" s="4796">
        <v>15103.5247670925</v>
      </c>
      <c r="AZ7" s="336">
        <v>21698.747313</v>
      </c>
      <c r="BA7" s="4799">
        <f t="shared" ref="BA7:BA9" si="32">+AQ7+AU7+AY7</f>
        <v>43591.014316538567</v>
      </c>
      <c r="BB7" s="4799">
        <f t="shared" ref="BB7:BB9" si="33">+AR7+AV7+AZ7</f>
        <v>63047.43174</v>
      </c>
      <c r="BC7" s="4636">
        <f t="shared" si="7"/>
        <v>88406.391084468778</v>
      </c>
      <c r="BD7" s="4636">
        <f t="shared" ref="BD7:BD15" si="34">+BB7+AN7</f>
        <v>120645.77938200001</v>
      </c>
      <c r="BE7" s="4797">
        <f t="shared" ref="BE7:BE15" si="35">+AW7+AY7</f>
        <v>167357.1109105424</v>
      </c>
      <c r="BF7" s="4797">
        <f t="shared" ref="BF7:BF15" si="36">+AX7+AZ7</f>
        <v>234241.487681</v>
      </c>
    </row>
    <row r="8" spans="2:58" x14ac:dyDescent="0.25">
      <c r="B8" s="4795" t="s">
        <v>42</v>
      </c>
      <c r="C8" s="147" t="s">
        <v>53</v>
      </c>
      <c r="D8" s="4796">
        <v>422576.67317108164</v>
      </c>
      <c r="E8" s="4796">
        <v>24704</v>
      </c>
      <c r="F8" s="4796">
        <v>35587.622773000003</v>
      </c>
      <c r="G8" s="4796">
        <v>25230.2</v>
      </c>
      <c r="H8" s="4796">
        <v>30653.306794</v>
      </c>
      <c r="I8" s="4797">
        <f t="shared" si="8"/>
        <v>49934.2</v>
      </c>
      <c r="J8" s="4797">
        <f t="shared" si="9"/>
        <v>66240.929566999999</v>
      </c>
      <c r="K8" s="4796">
        <v>36681</v>
      </c>
      <c r="L8" s="4796">
        <v>47682.169461999998</v>
      </c>
      <c r="M8" s="4799">
        <f t="shared" si="10"/>
        <v>86615.2</v>
      </c>
      <c r="N8" s="4799">
        <f t="shared" si="11"/>
        <v>113923.099029</v>
      </c>
      <c r="O8" s="4796">
        <v>37924.531147814625</v>
      </c>
      <c r="P8" s="336">
        <v>43651.902276000001</v>
      </c>
      <c r="Q8" s="4797">
        <f t="shared" si="12"/>
        <v>124539.73114781463</v>
      </c>
      <c r="R8" s="4797">
        <f t="shared" si="13"/>
        <v>157575.00130500001</v>
      </c>
      <c r="S8" s="4796">
        <v>37924.531147814625</v>
      </c>
      <c r="T8" s="336">
        <v>44192.820842000001</v>
      </c>
      <c r="U8" s="4797">
        <f t="shared" si="14"/>
        <v>162464.26229562925</v>
      </c>
      <c r="V8" s="4797">
        <f t="shared" si="15"/>
        <v>201767.822147</v>
      </c>
      <c r="W8" s="4796">
        <v>36886.026265206645</v>
      </c>
      <c r="X8" s="336">
        <v>41021.372527</v>
      </c>
      <c r="Y8" s="4799">
        <f t="shared" si="16"/>
        <v>112735.08856083589</v>
      </c>
      <c r="Z8" s="4799">
        <f t="shared" si="17"/>
        <v>128866.09564499999</v>
      </c>
      <c r="AA8" s="4636">
        <f t="shared" si="18"/>
        <v>199350.28856083588</v>
      </c>
      <c r="AB8" s="4636">
        <f t="shared" si="19"/>
        <v>242789.194674</v>
      </c>
      <c r="AC8" s="4796">
        <v>38136.400036908562</v>
      </c>
      <c r="AD8" s="336">
        <v>38663.528275999997</v>
      </c>
      <c r="AE8" s="4797">
        <f t="shared" si="20"/>
        <v>237486.68859774445</v>
      </c>
      <c r="AF8" s="4797">
        <f t="shared" si="21"/>
        <v>281452.72294999997</v>
      </c>
      <c r="AG8" s="4796">
        <v>36886.026265206645</v>
      </c>
      <c r="AH8" s="336">
        <v>38148.878352</v>
      </c>
      <c r="AI8" s="4797">
        <f t="shared" si="22"/>
        <v>274372.71486295108</v>
      </c>
      <c r="AJ8" s="4797">
        <f t="shared" si="23"/>
        <v>319601.601302</v>
      </c>
      <c r="AK8" s="4796">
        <v>38136.400036908562</v>
      </c>
      <c r="AL8" s="336">
        <v>44011.841941999999</v>
      </c>
      <c r="AM8" s="4799">
        <f t="shared" si="24"/>
        <v>113158.82633902377</v>
      </c>
      <c r="AN8" s="4799">
        <f t="shared" si="25"/>
        <v>120824.24857</v>
      </c>
      <c r="AO8" s="4797">
        <f>+AI8+AK8</f>
        <v>312509.11489985965</v>
      </c>
      <c r="AP8" s="4797">
        <f t="shared" si="27"/>
        <v>363613.44324399997</v>
      </c>
      <c r="AQ8" s="4796">
        <v>38136.400036908562</v>
      </c>
      <c r="AR8" s="336">
        <v>42618.914239999998</v>
      </c>
      <c r="AS8" s="4797">
        <f t="shared" si="28"/>
        <v>350645.51493676822</v>
      </c>
      <c r="AT8" s="4797">
        <f t="shared" si="29"/>
        <v>406232.35748399998</v>
      </c>
      <c r="AU8" s="4796">
        <v>33794.511075442751</v>
      </c>
      <c r="AV8" s="336">
        <v>42701.675597000001</v>
      </c>
      <c r="AW8" s="4797">
        <f t="shared" si="30"/>
        <v>384440.02601221099</v>
      </c>
      <c r="AX8" s="4797">
        <f t="shared" si="31"/>
        <v>448934.03308099997</v>
      </c>
      <c r="AY8" s="4796">
        <v>38136.400036908562</v>
      </c>
      <c r="AZ8" s="336">
        <v>43185.426659999997</v>
      </c>
      <c r="BA8" s="4799">
        <f t="shared" si="32"/>
        <v>110067.31114925988</v>
      </c>
      <c r="BB8" s="4799">
        <f t="shared" si="33"/>
        <v>128506.016497</v>
      </c>
      <c r="BC8" s="4636">
        <f t="shared" si="7"/>
        <v>223226.13748828365</v>
      </c>
      <c r="BD8" s="4636">
        <f t="shared" si="34"/>
        <v>249330.265067</v>
      </c>
      <c r="BE8" s="4797">
        <f t="shared" si="35"/>
        <v>422576.42604911956</v>
      </c>
      <c r="BF8" s="4797">
        <f t="shared" si="36"/>
        <v>492119.45974099997</v>
      </c>
    </row>
    <row r="9" spans="2:58" x14ac:dyDescent="0.25">
      <c r="B9" s="4795" t="s">
        <v>43</v>
      </c>
      <c r="C9" s="147" t="s">
        <v>53</v>
      </c>
      <c r="D9" s="4796">
        <v>167357.09828557688</v>
      </c>
      <c r="E9" s="4796">
        <v>9784</v>
      </c>
      <c r="F9" s="4796">
        <v>15051.228655999999</v>
      </c>
      <c r="G9" s="4796">
        <v>9992.1567245108054</v>
      </c>
      <c r="H9" s="4796">
        <v>13045.027479</v>
      </c>
      <c r="I9" s="4797">
        <f t="shared" si="8"/>
        <v>19776.156724510805</v>
      </c>
      <c r="J9" s="4797">
        <f t="shared" si="9"/>
        <v>28096.256135</v>
      </c>
      <c r="K9" s="4796">
        <v>14527</v>
      </c>
      <c r="L9" s="4796">
        <v>21981.780009999999</v>
      </c>
      <c r="M9" s="4799">
        <f t="shared" si="10"/>
        <v>34303.156724510802</v>
      </c>
      <c r="N9" s="4799">
        <f t="shared" si="11"/>
        <v>50078.036144999998</v>
      </c>
      <c r="O9" s="4796">
        <v>15019.616296164208</v>
      </c>
      <c r="P9" s="336">
        <v>20363.925703000001</v>
      </c>
      <c r="Q9" s="4797">
        <f t="shared" si="12"/>
        <v>49322.773020675013</v>
      </c>
      <c r="R9" s="4797">
        <f t="shared" si="13"/>
        <v>70441.961848000006</v>
      </c>
      <c r="S9" s="4796">
        <v>15019.616296164208</v>
      </c>
      <c r="T9" s="336">
        <v>21066.492986000001</v>
      </c>
      <c r="U9" s="4797">
        <f t="shared" si="14"/>
        <v>64342.389316839224</v>
      </c>
      <c r="V9" s="4797">
        <f t="shared" si="15"/>
        <v>91508.454834000004</v>
      </c>
      <c r="W9" s="4796">
        <v>14608.327233745204</v>
      </c>
      <c r="X9" s="336">
        <v>19441.262662000001</v>
      </c>
      <c r="Y9" s="4799">
        <f t="shared" si="16"/>
        <v>44647.559826073615</v>
      </c>
      <c r="Z9" s="4799">
        <f t="shared" si="17"/>
        <v>60871.681350999999</v>
      </c>
      <c r="AA9" s="4636">
        <f t="shared" si="18"/>
        <v>78950.716550584431</v>
      </c>
      <c r="AB9" s="4636">
        <f t="shared" si="19"/>
        <v>110949.717496</v>
      </c>
      <c r="AC9" s="4796">
        <v>15103.5247670925</v>
      </c>
      <c r="AD9" s="336">
        <v>17583.295171999998</v>
      </c>
      <c r="AE9" s="4797">
        <f t="shared" si="20"/>
        <v>94054.241317676933</v>
      </c>
      <c r="AF9" s="4797">
        <f t="shared" si="21"/>
        <v>128533.012668</v>
      </c>
      <c r="AG9" s="4796">
        <v>14608.327233745204</v>
      </c>
      <c r="AH9" s="336">
        <v>18481.802001</v>
      </c>
      <c r="AI9" s="4797">
        <f t="shared" si="22"/>
        <v>108662.56855142214</v>
      </c>
      <c r="AJ9" s="4797">
        <f t="shared" si="23"/>
        <v>147014.81466899998</v>
      </c>
      <c r="AK9" s="4796">
        <v>15103.5247670925</v>
      </c>
      <c r="AL9" s="336">
        <v>19533.494196</v>
      </c>
      <c r="AM9" s="4799">
        <f t="shared" si="24"/>
        <v>44815.376767930204</v>
      </c>
      <c r="AN9" s="4799">
        <f t="shared" si="25"/>
        <v>55598.591369000002</v>
      </c>
      <c r="AO9" s="4797">
        <f t="shared" si="26"/>
        <v>123766.09331851464</v>
      </c>
      <c r="AP9" s="4797">
        <f t="shared" si="27"/>
        <v>166548.30886499997</v>
      </c>
      <c r="AQ9" s="4796">
        <v>15103.5247670925</v>
      </c>
      <c r="AR9" s="336">
        <v>21142.320011</v>
      </c>
      <c r="AS9" s="4797">
        <f t="shared" si="28"/>
        <v>138869.61808560713</v>
      </c>
      <c r="AT9" s="4797">
        <f t="shared" si="29"/>
        <v>187690.62887599997</v>
      </c>
      <c r="AU9" s="4796">
        <v>13383.964782353565</v>
      </c>
      <c r="AV9" s="336">
        <v>19930.445221000002</v>
      </c>
      <c r="AW9" s="4797">
        <f t="shared" si="30"/>
        <v>152253.58286796071</v>
      </c>
      <c r="AX9" s="4797">
        <f t="shared" si="31"/>
        <v>207621.07409699998</v>
      </c>
      <c r="AY9" s="4796">
        <v>15103.5247670925</v>
      </c>
      <c r="AZ9" s="336">
        <v>21900.034948</v>
      </c>
      <c r="BA9" s="4799">
        <f t="shared" si="32"/>
        <v>43591.014316538567</v>
      </c>
      <c r="BB9" s="4799">
        <f t="shared" si="33"/>
        <v>62972.800180000006</v>
      </c>
      <c r="BC9" s="4636">
        <f t="shared" si="7"/>
        <v>88406.391084468778</v>
      </c>
      <c r="BD9" s="4636">
        <f t="shared" si="34"/>
        <v>118571.39154900001</v>
      </c>
      <c r="BE9" s="4797">
        <f t="shared" si="35"/>
        <v>167357.10763505319</v>
      </c>
      <c r="BF9" s="4797">
        <f t="shared" si="36"/>
        <v>229521.10904499999</v>
      </c>
    </row>
    <row r="10" spans="2:58" ht="15" hidden="1" customHeight="1" x14ac:dyDescent="0.25">
      <c r="B10" s="4795" t="s">
        <v>693</v>
      </c>
      <c r="C10" s="147" t="s">
        <v>53</v>
      </c>
      <c r="D10" s="4796">
        <v>0</v>
      </c>
      <c r="E10" s="4796">
        <v>0</v>
      </c>
      <c r="F10" s="4796"/>
      <c r="G10" s="4796">
        <v>0</v>
      </c>
      <c r="H10" s="4796"/>
      <c r="I10" s="4797">
        <f t="shared" si="8"/>
        <v>0</v>
      </c>
      <c r="J10" s="4797">
        <f t="shared" si="9"/>
        <v>0</v>
      </c>
      <c r="K10" s="4796">
        <v>0</v>
      </c>
      <c r="L10" s="4796"/>
      <c r="M10" s="4799">
        <f t="shared" si="10"/>
        <v>0</v>
      </c>
      <c r="N10" s="4799">
        <f t="shared" si="11"/>
        <v>0</v>
      </c>
      <c r="O10" s="4796">
        <v>0</v>
      </c>
      <c r="P10" s="336"/>
      <c r="Q10" s="4797">
        <f t="shared" si="12"/>
        <v>0</v>
      </c>
      <c r="R10" s="4797">
        <f t="shared" si="13"/>
        <v>0</v>
      </c>
      <c r="S10" s="4796">
        <v>0</v>
      </c>
      <c r="T10" s="336"/>
      <c r="U10" s="4797">
        <f t="shared" si="14"/>
        <v>0</v>
      </c>
      <c r="V10" s="4797">
        <f t="shared" si="15"/>
        <v>0</v>
      </c>
      <c r="W10" s="4796">
        <v>0</v>
      </c>
      <c r="X10" s="336"/>
      <c r="Y10" s="4799">
        <f t="shared" si="16"/>
        <v>0</v>
      </c>
      <c r="Z10" s="4799">
        <f t="shared" si="17"/>
        <v>0</v>
      </c>
      <c r="AA10" s="4636">
        <f t="shared" si="18"/>
        <v>0</v>
      </c>
      <c r="AB10" s="4636">
        <f t="shared" si="19"/>
        <v>0</v>
      </c>
      <c r="AC10" s="4796">
        <v>0</v>
      </c>
      <c r="AD10" s="336"/>
      <c r="AE10" s="4797">
        <f t="shared" si="20"/>
        <v>0</v>
      </c>
      <c r="AF10" s="4797">
        <f t="shared" si="21"/>
        <v>0</v>
      </c>
      <c r="AG10" s="4796">
        <v>0</v>
      </c>
      <c r="AH10" s="336"/>
      <c r="AI10" s="4797">
        <f>+AE10+AG10</f>
        <v>0</v>
      </c>
      <c r="AJ10" s="4797">
        <f t="shared" si="23"/>
        <v>0</v>
      </c>
      <c r="AK10" s="4796">
        <v>0</v>
      </c>
      <c r="AL10" s="336"/>
      <c r="AM10" s="4799">
        <f>+AC10+AG10+AK10</f>
        <v>0</v>
      </c>
      <c r="AN10" s="4799">
        <f>+AD10+AH10+AL10</f>
        <v>0</v>
      </c>
      <c r="AO10" s="4797">
        <f>+AI10+AK10</f>
        <v>0</v>
      </c>
      <c r="AP10" s="4797">
        <f t="shared" si="27"/>
        <v>0</v>
      </c>
      <c r="AQ10" s="4796"/>
      <c r="AR10" s="336"/>
      <c r="AS10" s="4797">
        <f>+AO10+AQ10</f>
        <v>0</v>
      </c>
      <c r="AT10" s="4797">
        <f t="shared" si="29"/>
        <v>0</v>
      </c>
      <c r="AU10" s="4796"/>
      <c r="AV10" s="336"/>
      <c r="AW10" s="4797">
        <f>+AS10+AU10</f>
        <v>0</v>
      </c>
      <c r="AX10" s="4797">
        <f t="shared" si="31"/>
        <v>0</v>
      </c>
      <c r="AY10" s="4796"/>
      <c r="AZ10" s="336"/>
      <c r="BA10" s="4799">
        <f>+AQ10+AU10+AY10</f>
        <v>0</v>
      </c>
      <c r="BB10" s="4799">
        <f>+AR10+AV10+AZ10</f>
        <v>0</v>
      </c>
      <c r="BC10" s="4636">
        <f t="shared" si="7"/>
        <v>0</v>
      </c>
      <c r="BD10" s="4636">
        <f t="shared" si="34"/>
        <v>0</v>
      </c>
      <c r="BE10" s="4797">
        <f t="shared" si="35"/>
        <v>0</v>
      </c>
      <c r="BF10" s="4797">
        <f t="shared" si="36"/>
        <v>0</v>
      </c>
    </row>
    <row r="11" spans="2:58" x14ac:dyDescent="0.25">
      <c r="B11" s="4795" t="s">
        <v>615</v>
      </c>
      <c r="C11" s="147" t="s">
        <v>53</v>
      </c>
      <c r="D11" s="4796">
        <v>20919.63728569711</v>
      </c>
      <c r="E11" s="4796">
        <v>1223</v>
      </c>
      <c r="F11" s="4796">
        <v>1998.4258930000001</v>
      </c>
      <c r="G11" s="4796">
        <v>1249.0195900000001</v>
      </c>
      <c r="H11" s="4796">
        <v>3999.6847619999999</v>
      </c>
      <c r="I11" s="4797">
        <f t="shared" si="8"/>
        <v>2472.0195899999999</v>
      </c>
      <c r="J11" s="4797">
        <f t="shared" si="9"/>
        <v>5998.1106550000004</v>
      </c>
      <c r="K11" s="4796">
        <v>1816</v>
      </c>
      <c r="L11" s="4796">
        <v>4127.0773870000003</v>
      </c>
      <c r="M11" s="4799">
        <f t="shared" si="10"/>
        <v>4288.0195899999999</v>
      </c>
      <c r="N11" s="4799">
        <f t="shared" si="11"/>
        <v>10125.188042000002</v>
      </c>
      <c r="O11" s="4796">
        <v>1877.4520370205259</v>
      </c>
      <c r="P11" s="336">
        <v>4699.3674700000001</v>
      </c>
      <c r="Q11" s="4797">
        <f t="shared" si="12"/>
        <v>6165.4716270205263</v>
      </c>
      <c r="R11" s="4797">
        <f t="shared" si="13"/>
        <v>14824.555512000003</v>
      </c>
      <c r="S11" s="4796">
        <v>1877.4520370205259</v>
      </c>
      <c r="T11" s="336">
        <v>4587.8140279999998</v>
      </c>
      <c r="U11" s="4797">
        <f t="shared" si="14"/>
        <v>8042.9236640410527</v>
      </c>
      <c r="V11" s="4797">
        <f t="shared" si="15"/>
        <v>19412.369540000003</v>
      </c>
      <c r="W11" s="4796">
        <v>1826.0409042181504</v>
      </c>
      <c r="X11" s="336">
        <v>4450.0601230000002</v>
      </c>
      <c r="Y11" s="4799">
        <f t="shared" si="16"/>
        <v>5580.9449782592019</v>
      </c>
      <c r="Z11" s="4799">
        <f t="shared" si="17"/>
        <v>13737.241621000001</v>
      </c>
      <c r="AA11" s="4636">
        <f t="shared" si="18"/>
        <v>9868.9645682592036</v>
      </c>
      <c r="AB11" s="4636">
        <f t="shared" si="19"/>
        <v>23862.429663000003</v>
      </c>
      <c r="AC11" s="4796">
        <v>1887.9405958865625</v>
      </c>
      <c r="AD11" s="336">
        <v>2905.3048279999998</v>
      </c>
      <c r="AE11" s="4797">
        <f t="shared" si="20"/>
        <v>11756.905164145766</v>
      </c>
      <c r="AF11" s="4797">
        <f t="shared" si="21"/>
        <v>26767.734491000003</v>
      </c>
      <c r="AG11" s="4796">
        <v>1826.0409042181504</v>
      </c>
      <c r="AH11" s="336">
        <v>7347.7650659999999</v>
      </c>
      <c r="AI11" s="4797">
        <f t="shared" si="22"/>
        <v>13582.946068363917</v>
      </c>
      <c r="AJ11" s="4797">
        <f t="shared" si="23"/>
        <v>34115.499557000003</v>
      </c>
      <c r="AK11" s="4796">
        <v>1887.9405958865625</v>
      </c>
      <c r="AL11" s="336">
        <v>4011.141357</v>
      </c>
      <c r="AM11" s="4799">
        <f t="shared" si="24"/>
        <v>5601.9220959912755</v>
      </c>
      <c r="AN11" s="4799">
        <f t="shared" si="25"/>
        <v>14264.211251000001</v>
      </c>
      <c r="AO11" s="4797">
        <f t="shared" si="26"/>
        <v>15470.88666425048</v>
      </c>
      <c r="AP11" s="4797">
        <f t="shared" si="27"/>
        <v>38126.640914000003</v>
      </c>
      <c r="AQ11" s="4796">
        <v>1887.9405958865625</v>
      </c>
      <c r="AR11" s="336">
        <v>3999.2826239999999</v>
      </c>
      <c r="AS11" s="4797">
        <f t="shared" ref="AS11:AS15" si="37">+AO11+AQ11</f>
        <v>17358.827260137041</v>
      </c>
      <c r="AT11" s="4797">
        <f t="shared" si="29"/>
        <v>42125.923538000003</v>
      </c>
      <c r="AU11" s="4796">
        <v>1672.9955977941956</v>
      </c>
      <c r="AV11" s="336">
        <v>3196.3827350000001</v>
      </c>
      <c r="AW11" s="4797">
        <f t="shared" ref="AW11:AW15" si="38">+AS11+AU11</f>
        <v>19031.822857931238</v>
      </c>
      <c r="AX11" s="4797">
        <f t="shared" si="31"/>
        <v>45322.306273000002</v>
      </c>
      <c r="AY11" s="4796">
        <v>1887.9405958865625</v>
      </c>
      <c r="AZ11" s="336">
        <v>3255.0051939999998</v>
      </c>
      <c r="BA11" s="4799">
        <f t="shared" ref="BA11:BA15" si="39">+AQ11+AU11+AY11</f>
        <v>5448.8767895673209</v>
      </c>
      <c r="BB11" s="4799">
        <f t="shared" ref="BB11:BB15" si="40">+AR11+AV11+AZ11</f>
        <v>10450.670553</v>
      </c>
      <c r="BC11" s="4636">
        <f t="shared" si="7"/>
        <v>11050.798885558597</v>
      </c>
      <c r="BD11" s="4636">
        <f t="shared" si="34"/>
        <v>24714.881804000001</v>
      </c>
      <c r="BE11" s="4797">
        <f t="shared" si="35"/>
        <v>20919.763453817799</v>
      </c>
      <c r="BF11" s="4797">
        <f t="shared" si="36"/>
        <v>48577.311467</v>
      </c>
    </row>
    <row r="12" spans="2:58" x14ac:dyDescent="0.25">
      <c r="B12" s="4795" t="s">
        <v>44</v>
      </c>
      <c r="C12" s="147" t="s">
        <v>53</v>
      </c>
      <c r="D12" s="4796">
        <v>20919.63728569711</v>
      </c>
      <c r="E12" s="4796">
        <v>1223</v>
      </c>
      <c r="F12" s="4796">
        <v>1532.6712600000001</v>
      </c>
      <c r="G12" s="4796">
        <v>1249.0195900000001</v>
      </c>
      <c r="H12" s="4796">
        <v>749.59892300000001</v>
      </c>
      <c r="I12" s="4797">
        <f t="shared" si="8"/>
        <v>2472.0195899999999</v>
      </c>
      <c r="J12" s="4797">
        <f t="shared" si="9"/>
        <v>2282.2701830000001</v>
      </c>
      <c r="K12" s="4796">
        <v>1816</v>
      </c>
      <c r="L12" s="4796">
        <v>706.28761099999997</v>
      </c>
      <c r="M12" s="4799">
        <f t="shared" si="10"/>
        <v>4288.0195899999999</v>
      </c>
      <c r="N12" s="4799">
        <f t="shared" si="11"/>
        <v>2988.5577940000003</v>
      </c>
      <c r="O12" s="4796">
        <v>1877.4520370205259</v>
      </c>
      <c r="P12" s="336">
        <v>1879.7469880000001</v>
      </c>
      <c r="Q12" s="4797">
        <f t="shared" si="12"/>
        <v>6165.4716270205263</v>
      </c>
      <c r="R12" s="4797">
        <f t="shared" si="13"/>
        <v>4868.3047820000002</v>
      </c>
      <c r="S12" s="4796">
        <v>1877.4520370205259</v>
      </c>
      <c r="T12" s="336">
        <v>1507.4246089999999</v>
      </c>
      <c r="U12" s="4797">
        <f t="shared" si="14"/>
        <v>8042.9236640410527</v>
      </c>
      <c r="V12" s="4797">
        <f t="shared" si="15"/>
        <v>6375.7293909999999</v>
      </c>
      <c r="W12" s="4796">
        <v>1826.0409042181504</v>
      </c>
      <c r="X12" s="336">
        <v>1460.607285</v>
      </c>
      <c r="Y12" s="4799">
        <f t="shared" si="16"/>
        <v>5580.9449782592019</v>
      </c>
      <c r="Z12" s="4799">
        <f t="shared" si="17"/>
        <v>4847.7788820000005</v>
      </c>
      <c r="AA12" s="4636">
        <f t="shared" si="18"/>
        <v>9868.9645682592036</v>
      </c>
      <c r="AB12" s="4636">
        <f t="shared" si="19"/>
        <v>7836.3366759999999</v>
      </c>
      <c r="AC12" s="4796">
        <v>1887.9405958865625</v>
      </c>
      <c r="AD12" s="336">
        <v>1291.0206900000001</v>
      </c>
      <c r="AE12" s="4797">
        <f t="shared" si="20"/>
        <v>11756.905164145766</v>
      </c>
      <c r="AF12" s="4797">
        <f t="shared" si="21"/>
        <v>9127.3573660000002</v>
      </c>
      <c r="AG12" s="4796">
        <v>1826.0409042181504</v>
      </c>
      <c r="AH12" s="336">
        <v>1898.131016</v>
      </c>
      <c r="AI12" s="4797">
        <f t="shared" si="22"/>
        <v>13582.946068363917</v>
      </c>
      <c r="AJ12" s="4797">
        <f t="shared" si="23"/>
        <v>11025.488382</v>
      </c>
      <c r="AK12" s="4796">
        <v>1887.9405958865625</v>
      </c>
      <c r="AL12" s="336">
        <v>1497.074742</v>
      </c>
      <c r="AM12" s="4799">
        <f t="shared" si="24"/>
        <v>5601.9220959912755</v>
      </c>
      <c r="AN12" s="4799">
        <f t="shared" si="25"/>
        <v>4686.2264480000003</v>
      </c>
      <c r="AO12" s="4797">
        <f t="shared" si="26"/>
        <v>15470.88666425048</v>
      </c>
      <c r="AP12" s="4797">
        <f t="shared" si="27"/>
        <v>12522.563124</v>
      </c>
      <c r="AQ12" s="4796">
        <v>1887.9405958865625</v>
      </c>
      <c r="AR12" s="336">
        <v>1999.368293</v>
      </c>
      <c r="AS12" s="4797">
        <f t="shared" si="37"/>
        <v>17358.827260137041</v>
      </c>
      <c r="AT12" s="4797">
        <f t="shared" si="29"/>
        <v>14521.931417</v>
      </c>
      <c r="AU12" s="4796">
        <v>1672.9955977941956</v>
      </c>
      <c r="AV12" s="336">
        <v>1847.9087689999999</v>
      </c>
      <c r="AW12" s="4797">
        <f t="shared" si="38"/>
        <v>19031.822857931238</v>
      </c>
      <c r="AX12" s="4797">
        <f>+AT12+AV12</f>
        <v>16369.840185999999</v>
      </c>
      <c r="AY12" s="4796">
        <v>1887.9405958865625</v>
      </c>
      <c r="AZ12" s="336">
        <v>1400.002234</v>
      </c>
      <c r="BA12" s="4799">
        <f t="shared" si="39"/>
        <v>5448.8767895673209</v>
      </c>
      <c r="BB12" s="4799">
        <f>+AR12+AV12+AZ12</f>
        <v>5247.2792960000006</v>
      </c>
      <c r="BC12" s="4636">
        <f t="shared" si="7"/>
        <v>11050.798885558597</v>
      </c>
      <c r="BD12" s="4636">
        <f t="shared" si="34"/>
        <v>9933.5057440000019</v>
      </c>
      <c r="BE12" s="4797">
        <f t="shared" si="35"/>
        <v>20919.763453817799</v>
      </c>
      <c r="BF12" s="4797">
        <f t="shared" si="36"/>
        <v>17769.842420000001</v>
      </c>
    </row>
    <row r="13" spans="2:58" x14ac:dyDescent="0.25">
      <c r="B13" s="4795" t="s">
        <v>45</v>
      </c>
      <c r="C13" s="147" t="s">
        <v>53</v>
      </c>
      <c r="D13" s="4796">
        <v>125517.82371418267</v>
      </c>
      <c r="E13" s="4796">
        <v>7338</v>
      </c>
      <c r="F13" s="4796">
        <v>2338.1116019999999</v>
      </c>
      <c r="G13" s="4796">
        <v>7494.1175400000002</v>
      </c>
      <c r="H13" s="4796">
        <v>2599.8862880000001</v>
      </c>
      <c r="I13" s="4797">
        <f t="shared" si="8"/>
        <v>14832.117539999999</v>
      </c>
      <c r="J13" s="4797">
        <f t="shared" si="9"/>
        <v>4937.9978900000006</v>
      </c>
      <c r="K13" s="4796">
        <v>10895</v>
      </c>
      <c r="L13" s="4796">
        <v>1657.6559890000001</v>
      </c>
      <c r="M13" s="4799">
        <f t="shared" si="10"/>
        <v>25727.117539999999</v>
      </c>
      <c r="N13" s="4799">
        <f t="shared" si="11"/>
        <v>6595.6538790000004</v>
      </c>
      <c r="O13" s="4796">
        <v>11264.712222123155</v>
      </c>
      <c r="P13" s="336">
        <v>2715.190094</v>
      </c>
      <c r="Q13" s="4797">
        <f t="shared" si="12"/>
        <v>36991.829762123154</v>
      </c>
      <c r="R13" s="4797">
        <f t="shared" si="13"/>
        <v>9310.8439730000009</v>
      </c>
      <c r="S13" s="4796">
        <v>11264.712222123155</v>
      </c>
      <c r="T13" s="336">
        <v>2153.4637269999998</v>
      </c>
      <c r="U13" s="4797">
        <f t="shared" si="14"/>
        <v>48256.541984246309</v>
      </c>
      <c r="V13" s="4797">
        <f t="shared" si="15"/>
        <v>11464.307700000001</v>
      </c>
      <c r="W13" s="4796">
        <v>10956.245425308904</v>
      </c>
      <c r="X13" s="336">
        <v>1800.0243190000001</v>
      </c>
      <c r="Y13" s="4799">
        <f t="shared" si="16"/>
        <v>33485.669869555211</v>
      </c>
      <c r="Z13" s="4799">
        <f t="shared" si="17"/>
        <v>6668.67814</v>
      </c>
      <c r="AA13" s="4636">
        <f t="shared" si="18"/>
        <v>59212.787409555211</v>
      </c>
      <c r="AB13" s="4636">
        <f t="shared" si="19"/>
        <v>13264.332019000001</v>
      </c>
      <c r="AC13" s="4796">
        <v>11327.643575319375</v>
      </c>
      <c r="AD13" s="336">
        <v>1076.528276</v>
      </c>
      <c r="AE13" s="4797">
        <f t="shared" si="20"/>
        <v>70540.430984874591</v>
      </c>
      <c r="AF13" s="4797">
        <f t="shared" si="21"/>
        <v>14340.860295000002</v>
      </c>
      <c r="AG13" s="4796">
        <v>10956.245425308904</v>
      </c>
      <c r="AH13" s="336">
        <v>9676.4721179999997</v>
      </c>
      <c r="AI13" s="4797">
        <f t="shared" si="22"/>
        <v>81496.6764101835</v>
      </c>
      <c r="AJ13" s="4797">
        <f t="shared" si="23"/>
        <v>24017.332413000004</v>
      </c>
      <c r="AK13" s="4796">
        <v>11327.643575319375</v>
      </c>
      <c r="AL13" s="336">
        <v>3655.4881300000002</v>
      </c>
      <c r="AM13" s="4799">
        <f t="shared" si="24"/>
        <v>33611.532575947655</v>
      </c>
      <c r="AN13" s="4799">
        <f t="shared" si="25"/>
        <v>14408.488523999999</v>
      </c>
      <c r="AO13" s="4797">
        <f t="shared" si="26"/>
        <v>92824.31998550288</v>
      </c>
      <c r="AP13" s="4797">
        <f t="shared" si="27"/>
        <v>27672.820543000005</v>
      </c>
      <c r="AQ13" s="4796">
        <v>11327.643575319375</v>
      </c>
      <c r="AR13" s="336">
        <v>2299.273537</v>
      </c>
      <c r="AS13" s="4797">
        <f t="shared" si="37"/>
        <v>104151.96356082226</v>
      </c>
      <c r="AT13" s="4797">
        <f t="shared" si="29"/>
        <v>29972.094080000006</v>
      </c>
      <c r="AU13" s="4796">
        <v>10037.973586765174</v>
      </c>
      <c r="AV13" s="336">
        <v>99.886960000000002</v>
      </c>
      <c r="AW13" s="4797">
        <f t="shared" si="38"/>
        <v>114189.93714758744</v>
      </c>
      <c r="AX13" s="4797">
        <f t="shared" si="31"/>
        <v>30071.981040000006</v>
      </c>
      <c r="AY13" s="4796">
        <v>11327.643575319375</v>
      </c>
      <c r="AZ13" s="336">
        <v>0</v>
      </c>
      <c r="BA13" s="4799">
        <f t="shared" si="39"/>
        <v>32693.260737403922</v>
      </c>
      <c r="BB13" s="4799">
        <f t="shared" si="40"/>
        <v>2399.1604969999999</v>
      </c>
      <c r="BC13" s="4636">
        <f t="shared" si="7"/>
        <v>66304.793313351576</v>
      </c>
      <c r="BD13" s="4636">
        <f t="shared" si="34"/>
        <v>16807.649020999997</v>
      </c>
      <c r="BE13" s="4797">
        <f t="shared" si="35"/>
        <v>125517.58072290682</v>
      </c>
      <c r="BF13" s="4797">
        <f t="shared" si="36"/>
        <v>30071.981040000006</v>
      </c>
    </row>
    <row r="14" spans="2:58" ht="15" customHeight="1" x14ac:dyDescent="0.25">
      <c r="B14" s="4795" t="s">
        <v>673</v>
      </c>
      <c r="C14" s="147" t="s">
        <v>53</v>
      </c>
      <c r="D14" s="4796">
        <v>0</v>
      </c>
      <c r="E14" s="4796">
        <v>0</v>
      </c>
      <c r="F14" s="4796">
        <v>0</v>
      </c>
      <c r="G14" s="4796">
        <v>0</v>
      </c>
      <c r="H14" s="4796">
        <v>0</v>
      </c>
      <c r="I14" s="4797">
        <f t="shared" si="8"/>
        <v>0</v>
      </c>
      <c r="J14" s="4797">
        <f t="shared" si="9"/>
        <v>0</v>
      </c>
      <c r="K14" s="4796">
        <v>0</v>
      </c>
      <c r="L14" s="4796">
        <v>0</v>
      </c>
      <c r="M14" s="4799">
        <f t="shared" si="10"/>
        <v>0</v>
      </c>
      <c r="N14" s="4799">
        <f t="shared" si="11"/>
        <v>0</v>
      </c>
      <c r="O14" s="4796">
        <v>0</v>
      </c>
      <c r="P14" s="336">
        <v>0</v>
      </c>
      <c r="Q14" s="4797">
        <f t="shared" si="12"/>
        <v>0</v>
      </c>
      <c r="R14" s="4797">
        <f t="shared" si="13"/>
        <v>0</v>
      </c>
      <c r="S14" s="4796">
        <v>0</v>
      </c>
      <c r="T14" s="336">
        <v>0</v>
      </c>
      <c r="U14" s="4797">
        <f t="shared" si="14"/>
        <v>0</v>
      </c>
      <c r="V14" s="4797">
        <f t="shared" si="15"/>
        <v>0</v>
      </c>
      <c r="W14" s="4796">
        <v>0</v>
      </c>
      <c r="X14" s="336">
        <v>0</v>
      </c>
      <c r="Y14" s="4799">
        <f t="shared" si="16"/>
        <v>0</v>
      </c>
      <c r="Z14" s="4799">
        <f t="shared" si="17"/>
        <v>0</v>
      </c>
      <c r="AA14" s="4636">
        <f t="shared" si="18"/>
        <v>0</v>
      </c>
      <c r="AB14" s="4636">
        <f t="shared" si="19"/>
        <v>0</v>
      </c>
      <c r="AC14" s="4796">
        <v>0</v>
      </c>
      <c r="AD14" s="336">
        <v>0</v>
      </c>
      <c r="AE14" s="4797">
        <f t="shared" si="20"/>
        <v>0</v>
      </c>
      <c r="AF14" s="4797">
        <f t="shared" si="21"/>
        <v>0</v>
      </c>
      <c r="AG14" s="4796">
        <v>0</v>
      </c>
      <c r="AH14" s="336">
        <v>0</v>
      </c>
      <c r="AI14" s="4797">
        <f t="shared" si="22"/>
        <v>0</v>
      </c>
      <c r="AJ14" s="4797">
        <f t="shared" si="23"/>
        <v>0</v>
      </c>
      <c r="AK14" s="4796">
        <v>0</v>
      </c>
      <c r="AL14" s="336">
        <v>0</v>
      </c>
      <c r="AM14" s="4799">
        <f t="shared" si="24"/>
        <v>0</v>
      </c>
      <c r="AN14" s="4799">
        <f t="shared" si="25"/>
        <v>0</v>
      </c>
      <c r="AO14" s="4797">
        <f t="shared" si="26"/>
        <v>0</v>
      </c>
      <c r="AP14" s="4797">
        <f t="shared" si="27"/>
        <v>0</v>
      </c>
      <c r="AQ14" s="4796"/>
      <c r="AR14" s="336">
        <v>4498.5786589999998</v>
      </c>
      <c r="AS14" s="4797">
        <f t="shared" si="37"/>
        <v>0</v>
      </c>
      <c r="AT14" s="4797">
        <f t="shared" si="29"/>
        <v>4498.5786589999998</v>
      </c>
      <c r="AU14" s="4796">
        <v>0</v>
      </c>
      <c r="AV14" s="336">
        <v>7391.6350739999998</v>
      </c>
      <c r="AW14" s="4797">
        <f t="shared" si="38"/>
        <v>0</v>
      </c>
      <c r="AX14" s="4797">
        <f t="shared" si="31"/>
        <v>11890.213733000001</v>
      </c>
      <c r="AY14" s="4796">
        <v>0</v>
      </c>
      <c r="AZ14" s="336">
        <v>6100.0097340000002</v>
      </c>
      <c r="BA14" s="4799">
        <f t="shared" si="39"/>
        <v>0</v>
      </c>
      <c r="BB14" s="4799">
        <f t="shared" si="40"/>
        <v>17990.223467</v>
      </c>
      <c r="BC14" s="4636">
        <f t="shared" si="7"/>
        <v>0</v>
      </c>
      <c r="BD14" s="4636">
        <f t="shared" si="34"/>
        <v>17990.223467</v>
      </c>
      <c r="BE14" s="4797">
        <f t="shared" si="35"/>
        <v>0</v>
      </c>
      <c r="BF14" s="4797">
        <f t="shared" si="36"/>
        <v>17990.223467</v>
      </c>
    </row>
    <row r="15" spans="2:58" ht="15.95" customHeight="1" x14ac:dyDescent="0.25">
      <c r="B15" s="4795" t="s">
        <v>104</v>
      </c>
      <c r="C15" s="147" t="s">
        <v>53</v>
      </c>
      <c r="D15" s="4796">
        <v>627589.1185709131</v>
      </c>
      <c r="E15" s="4796">
        <v>36689</v>
      </c>
      <c r="F15" s="4796">
        <v>37658.421565999997</v>
      </c>
      <c r="G15" s="4796">
        <v>37470.587720000003</v>
      </c>
      <c r="H15" s="4796">
        <v>34445.073606999998</v>
      </c>
      <c r="I15" s="4797">
        <f t="shared" si="8"/>
        <v>74159.58772000001</v>
      </c>
      <c r="J15" s="4797">
        <f t="shared" si="9"/>
        <v>72103.495173000003</v>
      </c>
      <c r="K15" s="4796">
        <v>54477</v>
      </c>
      <c r="L15" s="4796">
        <v>67911.156644999995</v>
      </c>
      <c r="M15" s="4799">
        <f t="shared" si="10"/>
        <v>128636.58772000001</v>
      </c>
      <c r="N15" s="4799">
        <f t="shared" si="11"/>
        <v>140014.65181800001</v>
      </c>
      <c r="O15" s="4796">
        <v>56323.561110615774</v>
      </c>
      <c r="P15" s="336">
        <v>57227.852744000003</v>
      </c>
      <c r="Q15" s="4797">
        <f t="shared" si="12"/>
        <v>184960.1488306158</v>
      </c>
      <c r="R15" s="4797">
        <f t="shared" si="13"/>
        <v>197242.50456200002</v>
      </c>
      <c r="S15" s="4796">
        <v>56323.561110615774</v>
      </c>
      <c r="T15" s="336">
        <v>62731.334669000003</v>
      </c>
      <c r="U15" s="4797">
        <f t="shared" si="14"/>
        <v>241283.70994123159</v>
      </c>
      <c r="V15" s="4797">
        <f t="shared" si="15"/>
        <v>259973.83923100002</v>
      </c>
      <c r="W15" s="4796">
        <v>54781.227126544516</v>
      </c>
      <c r="X15" s="336">
        <v>61257.827626999999</v>
      </c>
      <c r="Y15" s="4799">
        <f t="shared" si="16"/>
        <v>167428.34934777606</v>
      </c>
      <c r="Z15" s="4799">
        <f t="shared" si="17"/>
        <v>181217.01504</v>
      </c>
      <c r="AA15" s="4636">
        <f t="shared" si="18"/>
        <v>296064.9370677761</v>
      </c>
      <c r="AB15" s="4636">
        <f t="shared" si="19"/>
        <v>321231.66685800004</v>
      </c>
      <c r="AC15" s="4796">
        <v>56638.217876596871</v>
      </c>
      <c r="AD15" s="336">
        <v>58396.830345000002</v>
      </c>
      <c r="AE15" s="4797">
        <f t="shared" si="20"/>
        <v>352703.15494437295</v>
      </c>
      <c r="AF15" s="4797">
        <f t="shared" si="21"/>
        <v>379628.49720300006</v>
      </c>
      <c r="AG15" s="4796">
        <v>54781.227126544516</v>
      </c>
      <c r="AH15" s="336">
        <v>58342.553345</v>
      </c>
      <c r="AI15" s="4797">
        <f t="shared" si="22"/>
        <v>407484.38207091746</v>
      </c>
      <c r="AJ15" s="4797">
        <f t="shared" si="23"/>
        <v>437971.05054800009</v>
      </c>
      <c r="AK15" s="4796">
        <v>56638.217876596871</v>
      </c>
      <c r="AL15" s="336">
        <v>58697.478924000003</v>
      </c>
      <c r="AM15" s="4799">
        <f t="shared" si="24"/>
        <v>168057.66287973826</v>
      </c>
      <c r="AN15" s="4799">
        <f t="shared" si="25"/>
        <v>175436.86261400001</v>
      </c>
      <c r="AO15" s="4797">
        <f t="shared" si="26"/>
        <v>464122.59994751436</v>
      </c>
      <c r="AP15" s="4797">
        <f t="shared" si="27"/>
        <v>496668.52947200008</v>
      </c>
      <c r="AQ15" s="4796">
        <v>56638.217876596871</v>
      </c>
      <c r="AR15" s="336">
        <v>58482.050672999998</v>
      </c>
      <c r="AS15" s="4797">
        <f t="shared" si="37"/>
        <v>520760.8178241112</v>
      </c>
      <c r="AT15" s="4797">
        <f t="shared" si="29"/>
        <v>555150.58014500013</v>
      </c>
      <c r="AU15" s="4796">
        <v>50189.867933825866</v>
      </c>
      <c r="AV15" s="336">
        <v>50974.313663000001</v>
      </c>
      <c r="AW15" s="4797">
        <f t="shared" si="38"/>
        <v>570950.68575793703</v>
      </c>
      <c r="AX15" s="4797">
        <f t="shared" si="31"/>
        <v>606124.89380800014</v>
      </c>
      <c r="AY15" s="4796">
        <v>56638.217876596871</v>
      </c>
      <c r="AZ15" s="336">
        <v>73380.117098999996</v>
      </c>
      <c r="BA15" s="4799">
        <f t="shared" si="39"/>
        <v>163466.30368701962</v>
      </c>
      <c r="BB15" s="4799">
        <f t="shared" si="40"/>
        <v>182836.48143499999</v>
      </c>
      <c r="BC15" s="4636">
        <f t="shared" si="7"/>
        <v>331523.96656675788</v>
      </c>
      <c r="BD15" s="4636">
        <f t="shared" si="34"/>
        <v>358273.34404900001</v>
      </c>
      <c r="BE15" s="4797">
        <f t="shared" si="35"/>
        <v>627588.90363453387</v>
      </c>
      <c r="BF15" s="4797">
        <f t="shared" si="36"/>
        <v>679505.01090700016</v>
      </c>
    </row>
    <row r="16" spans="2:58" ht="15.75" x14ac:dyDescent="0.25">
      <c r="B16" s="4801" t="s">
        <v>23</v>
      </c>
      <c r="C16" s="4802" t="s">
        <v>53</v>
      </c>
      <c r="D16" s="4803">
        <f>SUM(D6:D15)</f>
        <v>5150414.6997386273</v>
      </c>
      <c r="E16" s="4803">
        <f t="shared" ref="E16:AB16" si="41">SUM(E6:E15)</f>
        <v>301097</v>
      </c>
      <c r="F16" s="4802">
        <f t="shared" si="41"/>
        <v>338082.99999999994</v>
      </c>
      <c r="G16" s="4803">
        <f t="shared" si="41"/>
        <v>307508.63116451085</v>
      </c>
      <c r="H16" s="4804">
        <f t="shared" si="41"/>
        <v>301326</v>
      </c>
      <c r="I16" s="4805">
        <f t="shared" si="41"/>
        <v>608605.63116451073</v>
      </c>
      <c r="J16" s="4806">
        <f t="shared" si="41"/>
        <v>639409</v>
      </c>
      <c r="K16" s="4803">
        <f t="shared" si="41"/>
        <v>447073</v>
      </c>
      <c r="L16" s="4802">
        <f t="shared" si="41"/>
        <v>474253</v>
      </c>
      <c r="M16" s="4807">
        <f t="shared" si="41"/>
        <v>1055678.631164511</v>
      </c>
      <c r="N16" s="4807">
        <f t="shared" si="41"/>
        <v>1113662</v>
      </c>
      <c r="O16" s="4803">
        <f t="shared" si="41"/>
        <v>462228.69151445356</v>
      </c>
      <c r="P16" s="4802">
        <f t="shared" si="41"/>
        <v>468057</v>
      </c>
      <c r="Q16" s="4805">
        <f t="shared" si="41"/>
        <v>1517907.3226789641</v>
      </c>
      <c r="R16" s="4806">
        <f t="shared" si="41"/>
        <v>1581719</v>
      </c>
      <c r="S16" s="4803">
        <f t="shared" si="41"/>
        <v>462228.69151445356</v>
      </c>
      <c r="T16" s="4802">
        <f t="shared" si="41"/>
        <v>467207.99999900005</v>
      </c>
      <c r="U16" s="4805">
        <f t="shared" si="41"/>
        <v>1980136.0141934177</v>
      </c>
      <c r="V16" s="4806">
        <f t="shared" si="41"/>
        <v>2048926.999999</v>
      </c>
      <c r="W16" s="4803">
        <f t="shared" ref="W16:X16" si="42">SUM(W6:W15)</f>
        <v>449571.27061850857</v>
      </c>
      <c r="X16" s="4802">
        <f t="shared" si="42"/>
        <v>433814</v>
      </c>
      <c r="Y16" s="4807">
        <f t="shared" si="41"/>
        <v>1374028.6536474156</v>
      </c>
      <c r="Z16" s="4807">
        <f t="shared" si="41"/>
        <v>1369078.9999989998</v>
      </c>
      <c r="AA16" s="4808">
        <f t="shared" si="41"/>
        <v>2429707.2848119261</v>
      </c>
      <c r="AB16" s="4809">
        <f t="shared" si="41"/>
        <v>2482740.9999990002</v>
      </c>
      <c r="AC16" s="4803">
        <f t="shared" ref="AC16:AF16" si="43">SUM(AC6:AC15)</f>
        <v>464810.97470727167</v>
      </c>
      <c r="AD16" s="4802">
        <f t="shared" si="43"/>
        <v>445148</v>
      </c>
      <c r="AE16" s="4805">
        <f t="shared" si="43"/>
        <v>2894518.259519198</v>
      </c>
      <c r="AF16" s="4806">
        <f t="shared" si="43"/>
        <v>2927888.9999989998</v>
      </c>
      <c r="AG16" s="4803">
        <f t="shared" ref="AG16:AJ16" si="44">SUM(AG6:AG15)</f>
        <v>449571.27061850857</v>
      </c>
      <c r="AH16" s="4802">
        <f t="shared" si="44"/>
        <v>442106</v>
      </c>
      <c r="AI16" s="4805">
        <f t="shared" si="44"/>
        <v>3344089.5301377061</v>
      </c>
      <c r="AJ16" s="4806">
        <f t="shared" si="44"/>
        <v>3369994.9999990007</v>
      </c>
      <c r="AK16" s="4803">
        <f t="shared" ref="AK16:AL16" si="45">SUM(AK6:AK15)</f>
        <v>464810.97470727167</v>
      </c>
      <c r="AL16" s="4802">
        <f t="shared" si="45"/>
        <v>471265.99999899999</v>
      </c>
      <c r="AM16" s="4807">
        <f t="shared" ref="AM16:BF16" si="46">SUM(AM6:AM15)</f>
        <v>1379193.2200330517</v>
      </c>
      <c r="AN16" s="4807">
        <f t="shared" si="46"/>
        <v>1358519.9999989998</v>
      </c>
      <c r="AO16" s="4805">
        <f t="shared" si="46"/>
        <v>3808900.504844978</v>
      </c>
      <c r="AP16" s="4806">
        <f t="shared" si="46"/>
        <v>3841260.9999980005</v>
      </c>
      <c r="AQ16" s="4803">
        <f t="shared" si="46"/>
        <v>464810.97470727167</v>
      </c>
      <c r="AR16" s="4802">
        <f t="shared" si="46"/>
        <v>475327.00000099995</v>
      </c>
      <c r="AS16" s="4805">
        <f t="shared" si="46"/>
        <v>4273711.4795522494</v>
      </c>
      <c r="AT16" s="4806">
        <f t="shared" si="46"/>
        <v>4316587.9999990007</v>
      </c>
      <c r="AU16" s="4803">
        <f t="shared" ref="AU16:AX16" si="47">SUM(AU6:AU15)</f>
        <v>411891.51617693092</v>
      </c>
      <c r="AV16" s="4802">
        <f t="shared" si="47"/>
        <v>432102.99999999994</v>
      </c>
      <c r="AW16" s="4805">
        <f t="shared" si="47"/>
        <v>4685602.995729181</v>
      </c>
      <c r="AX16" s="4806">
        <f t="shared" si="47"/>
        <v>4748690.9999989998</v>
      </c>
      <c r="AY16" s="4803">
        <f t="shared" ref="AY16:AZ16" si="48">SUM(AY6:AY15)</f>
        <v>464810.97470727167</v>
      </c>
      <c r="AZ16" s="4802">
        <f t="shared" si="48"/>
        <v>485089.99999900011</v>
      </c>
      <c r="BA16" s="4807">
        <f t="shared" ref="BA16:BB16" si="49">SUM(BA6:BA15)</f>
        <v>1341513.4655914744</v>
      </c>
      <c r="BB16" s="4807">
        <f t="shared" si="49"/>
        <v>1392520.0000000002</v>
      </c>
      <c r="BC16" s="4808">
        <f t="shared" si="46"/>
        <v>2720706.6856245263</v>
      </c>
      <c r="BD16" s="4809">
        <f t="shared" si="46"/>
        <v>2751039.9999990007</v>
      </c>
      <c r="BE16" s="4805">
        <f t="shared" si="46"/>
        <v>5150413.970436452</v>
      </c>
      <c r="BF16" s="4806">
        <f t="shared" si="46"/>
        <v>5233780.9999979995</v>
      </c>
    </row>
    <row r="17" spans="2:58" s="334" customFormat="1" ht="18.75" x14ac:dyDescent="0.25">
      <c r="B17" s="4794" t="s">
        <v>1292</v>
      </c>
      <c r="C17" s="4794"/>
      <c r="D17" s="4794"/>
      <c r="E17" s="4794"/>
      <c r="F17" s="4794"/>
      <c r="G17" s="4794"/>
      <c r="H17" s="4794"/>
      <c r="I17" s="4794"/>
      <c r="J17" s="4794"/>
      <c r="K17" s="4794"/>
      <c r="L17" s="4794"/>
      <c r="M17" s="4794"/>
      <c r="N17" s="4794"/>
      <c r="O17" s="4794"/>
      <c r="P17" s="4794"/>
      <c r="Q17" s="4794"/>
      <c r="R17" s="4794"/>
      <c r="S17" s="4794"/>
      <c r="T17" s="4794"/>
      <c r="U17" s="4794"/>
      <c r="V17" s="4794"/>
      <c r="W17" s="4794"/>
      <c r="X17" s="4794"/>
      <c r="Y17" s="4794"/>
      <c r="Z17" s="4794"/>
      <c r="AA17" s="4794"/>
      <c r="AB17" s="4794"/>
      <c r="AC17" s="4794"/>
      <c r="AD17" s="4794"/>
      <c r="AE17" s="4794"/>
      <c r="AF17" s="4794"/>
      <c r="AG17" s="4794"/>
      <c r="AH17" s="4794"/>
      <c r="AI17" s="4794"/>
      <c r="AJ17" s="4794"/>
      <c r="AK17" s="4794"/>
      <c r="AL17" s="4794"/>
      <c r="AM17" s="4794"/>
      <c r="AN17" s="4794"/>
      <c r="AO17" s="4794"/>
      <c r="AP17" s="4794"/>
      <c r="AQ17" s="4794"/>
      <c r="AR17" s="4794"/>
      <c r="AS17" s="4794"/>
      <c r="AT17" s="4794"/>
      <c r="AU17" s="4794"/>
      <c r="AV17" s="4794"/>
      <c r="AW17" s="4794"/>
      <c r="AX17" s="4794"/>
      <c r="AY17" s="4794"/>
      <c r="AZ17" s="4794"/>
      <c r="BA17" s="4794"/>
      <c r="BB17" s="4794"/>
      <c r="BC17" s="4794"/>
      <c r="BD17" s="4794"/>
      <c r="BE17" s="4794"/>
      <c r="BF17" s="4794"/>
    </row>
    <row r="18" spans="2:58" x14ac:dyDescent="0.25">
      <c r="B18" s="4795" t="s">
        <v>40</v>
      </c>
      <c r="C18" s="147" t="s">
        <v>248</v>
      </c>
      <c r="D18" s="4796">
        <v>859.99771051039261</v>
      </c>
      <c r="E18" s="4796">
        <f t="shared" ref="E18:AB18" si="50">+E6/E$54*1000</f>
        <v>859.99771051039261</v>
      </c>
      <c r="F18" s="4796">
        <f t="shared" si="50"/>
        <v>841.52073585312701</v>
      </c>
      <c r="G18" s="4796">
        <f t="shared" si="50"/>
        <v>860.0000020816326</v>
      </c>
      <c r="H18" s="4796">
        <f t="shared" si="50"/>
        <v>833.69229109499008</v>
      </c>
      <c r="I18" s="4797">
        <f t="shared" si="50"/>
        <v>859.99886836550809</v>
      </c>
      <c r="J18" s="4797">
        <f t="shared" si="50"/>
        <v>837.83407151147946</v>
      </c>
      <c r="K18" s="4796">
        <f t="shared" si="50"/>
        <v>859.99958148813289</v>
      </c>
      <c r="L18" s="4796">
        <f t="shared" si="50"/>
        <v>824.3051771790698</v>
      </c>
      <c r="M18" s="4799">
        <f t="shared" si="50"/>
        <v>859.99917036834142</v>
      </c>
      <c r="N18" s="4799">
        <f t="shared" si="50"/>
        <v>832.13692944221214</v>
      </c>
      <c r="O18" s="4796">
        <f t="shared" si="50"/>
        <v>860</v>
      </c>
      <c r="P18" s="4796">
        <f t="shared" si="50"/>
        <v>839.49178165888907</v>
      </c>
      <c r="Q18" s="4797">
        <f t="shared" si="50"/>
        <v>859.9994230051243</v>
      </c>
      <c r="R18" s="4797">
        <f t="shared" si="50"/>
        <v>834.31567388648671</v>
      </c>
      <c r="S18" s="4796">
        <f t="shared" si="50"/>
        <v>860</v>
      </c>
      <c r="T18" s="4796">
        <f t="shared" si="50"/>
        <v>820.72450852954387</v>
      </c>
      <c r="U18" s="4797">
        <f t="shared" si="50"/>
        <v>859.99955769456312</v>
      </c>
      <c r="V18" s="4797">
        <f t="shared" si="50"/>
        <v>831.23321061316915</v>
      </c>
      <c r="W18" s="4796">
        <f t="shared" ref="W18:X18" si="51">+W6/W$54*1000</f>
        <v>859.99999999999989</v>
      </c>
      <c r="X18" s="4796">
        <f t="shared" si="51"/>
        <v>816.01459117821275</v>
      </c>
      <c r="Y18" s="4799">
        <f t="shared" si="50"/>
        <v>860</v>
      </c>
      <c r="Z18" s="4799">
        <f t="shared" si="50"/>
        <v>825.65216670220207</v>
      </c>
      <c r="AA18" s="4636">
        <f t="shared" si="50"/>
        <v>859.99963953475446</v>
      </c>
      <c r="AB18" s="4636">
        <f t="shared" si="50"/>
        <v>828.56135908527301</v>
      </c>
      <c r="AC18" s="4796">
        <f t="shared" ref="AC18:AF18" si="52">+AC6/AC$54*1000</f>
        <v>860</v>
      </c>
      <c r="AD18" s="4796">
        <f t="shared" si="52"/>
        <v>822.19050288082394</v>
      </c>
      <c r="AE18" s="4797">
        <f t="shared" si="52"/>
        <v>859.99969741938685</v>
      </c>
      <c r="AF18" s="4797">
        <f t="shared" si="52"/>
        <v>827.55634190919159</v>
      </c>
      <c r="AG18" s="4796">
        <f t="shared" ref="AG18:AJ18" si="53">+AG6/AG$54*1000</f>
        <v>859.99999999999989</v>
      </c>
      <c r="AH18" s="4796">
        <f t="shared" si="53"/>
        <v>806.89398988665846</v>
      </c>
      <c r="AI18" s="4797">
        <f t="shared" si="53"/>
        <v>859.99973809757319</v>
      </c>
      <c r="AJ18" s="4797">
        <f t="shared" si="53"/>
        <v>824.82216248769578</v>
      </c>
      <c r="AK18" s="4796">
        <f t="shared" ref="AK18:AL18" si="54">+AK6/AK$54*1000</f>
        <v>860</v>
      </c>
      <c r="AL18" s="4796">
        <f t="shared" si="54"/>
        <v>814.71530453285709</v>
      </c>
      <c r="AM18" s="4799">
        <f t="shared" ref="AM18:BF18" si="55">+AM6/AM$54*1000</f>
        <v>860</v>
      </c>
      <c r="AN18" s="4799">
        <f t="shared" si="55"/>
        <v>814.68675418285147</v>
      </c>
      <c r="AO18" s="4797">
        <f t="shared" si="55"/>
        <v>859.99977005826099</v>
      </c>
      <c r="AP18" s="4797">
        <f t="shared" si="55"/>
        <v>823.55405677125248</v>
      </c>
      <c r="AQ18" s="4796">
        <f t="shared" si="55"/>
        <v>860</v>
      </c>
      <c r="AR18" s="4796">
        <f t="shared" si="55"/>
        <v>804.77790694289399</v>
      </c>
      <c r="AS18" s="4797">
        <f t="shared" si="55"/>
        <v>859.99979506683064</v>
      </c>
      <c r="AT18" s="4797">
        <f t="shared" si="55"/>
        <v>821.44056202010393</v>
      </c>
      <c r="AU18" s="4796">
        <f t="shared" ref="AU18:AX18" si="56">+AU6/AU$54*1000</f>
        <v>859.99999999999989</v>
      </c>
      <c r="AV18" s="4796">
        <f t="shared" si="56"/>
        <v>794.91177731397363</v>
      </c>
      <c r="AW18" s="4797">
        <f t="shared" si="56"/>
        <v>859.99981308163251</v>
      </c>
      <c r="AX18" s="4797">
        <f t="shared" si="56"/>
        <v>818.96607276850307</v>
      </c>
      <c r="AY18" s="4796">
        <f t="shared" ref="AY18:AZ18" si="57">+AY6/AY$54*1000</f>
        <v>860</v>
      </c>
      <c r="AZ18" s="4796">
        <f t="shared" si="57"/>
        <v>771.30406461932023</v>
      </c>
      <c r="BA18" s="4799">
        <f t="shared" ref="BA18:BB18" si="58">+BA6/BA$54*1000</f>
        <v>860</v>
      </c>
      <c r="BB18" s="4799">
        <f t="shared" si="58"/>
        <v>789.99637809925366</v>
      </c>
      <c r="BC18" s="4636">
        <f t="shared" si="55"/>
        <v>859.99999999999989</v>
      </c>
      <c r="BD18" s="4636">
        <f t="shared" si="55"/>
        <v>802.12896940821804</v>
      </c>
      <c r="BE18" s="4797">
        <f t="shared" si="55"/>
        <v>859.99982995050686</v>
      </c>
      <c r="BF18" s="4797">
        <f t="shared" si="55"/>
        <v>814.42781966608788</v>
      </c>
    </row>
    <row r="19" spans="2:58" x14ac:dyDescent="0.25">
      <c r="B19" s="4795" t="s">
        <v>41</v>
      </c>
      <c r="C19" s="147" t="s">
        <v>248</v>
      </c>
      <c r="D19" s="4796">
        <v>40.000654139887814</v>
      </c>
      <c r="E19" s="4796">
        <f t="shared" ref="E19:AB19" si="59">+E7/E$54*1000</f>
        <v>40.000654139887814</v>
      </c>
      <c r="F19" s="4796">
        <f t="shared" si="59"/>
        <v>50.352100432194462</v>
      </c>
      <c r="G19" s="4796">
        <f t="shared" si="59"/>
        <v>40.000013130298463</v>
      </c>
      <c r="H19" s="4796">
        <f t="shared" si="59"/>
        <v>52.920297622373027</v>
      </c>
      <c r="I19" s="4797">
        <f t="shared" si="59"/>
        <v>40.000330258954449</v>
      </c>
      <c r="J19" s="4797">
        <f t="shared" si="59"/>
        <v>51.561546407208802</v>
      </c>
      <c r="K19" s="4796">
        <f t="shared" si="59"/>
        <v>39.999532296445807</v>
      </c>
      <c r="L19" s="4796">
        <f t="shared" si="59"/>
        <v>53.776669302080677</v>
      </c>
      <c r="M19" s="4799">
        <f t="shared" si="59"/>
        <v>39.999992326977299</v>
      </c>
      <c r="N19" s="4799">
        <f t="shared" si="59"/>
        <v>52.49435507012663</v>
      </c>
      <c r="O19" s="4796">
        <f t="shared" si="59"/>
        <v>40</v>
      </c>
      <c r="P19" s="4796">
        <f t="shared" si="59"/>
        <v>58.485196107123286</v>
      </c>
      <c r="Q19" s="4797">
        <f t="shared" si="59"/>
        <v>39.999994663541678</v>
      </c>
      <c r="R19" s="4797">
        <f t="shared" si="59"/>
        <v>54.269035409222099</v>
      </c>
      <c r="S19" s="4796">
        <f t="shared" si="59"/>
        <v>40</v>
      </c>
      <c r="T19" s="4796">
        <f t="shared" si="59"/>
        <v>68.553037202728802</v>
      </c>
      <c r="U19" s="4797">
        <f t="shared" si="59"/>
        <v>39.999995909245243</v>
      </c>
      <c r="V19" s="4797">
        <f t="shared" si="59"/>
        <v>57.508633322140966</v>
      </c>
      <c r="W19" s="4796">
        <f t="shared" ref="W19:X19" si="60">+W7/W$54*1000</f>
        <v>40</v>
      </c>
      <c r="X19" s="4796">
        <f t="shared" si="60"/>
        <v>55.011971641393842</v>
      </c>
      <c r="Y19" s="4799">
        <f t="shared" si="59"/>
        <v>39.999999999999993</v>
      </c>
      <c r="Z19" s="4799">
        <f t="shared" si="59"/>
        <v>60.793441591586671</v>
      </c>
      <c r="AA19" s="4636">
        <f t="shared" si="59"/>
        <v>39.999996666161458</v>
      </c>
      <c r="AB19" s="4636">
        <f t="shared" si="59"/>
        <v>57.070307798932099</v>
      </c>
      <c r="AC19" s="4796">
        <f t="shared" ref="AC19:AF19" si="61">+AC7/AC$54*1000</f>
        <v>40</v>
      </c>
      <c r="AD19" s="4796">
        <f t="shared" si="61"/>
        <v>50.18816832702985</v>
      </c>
      <c r="AE19" s="4797">
        <f t="shared" si="61"/>
        <v>39.999997201519633</v>
      </c>
      <c r="AF19" s="4797">
        <f t="shared" si="61"/>
        <v>55.984634514920479</v>
      </c>
      <c r="AG19" s="4796">
        <f t="shared" ref="AG19:AJ19" si="62">+AG7/AG$54*1000</f>
        <v>40</v>
      </c>
      <c r="AH19" s="4796">
        <f t="shared" si="62"/>
        <v>48.260202092032792</v>
      </c>
      <c r="AI19" s="4797">
        <f t="shared" si="62"/>
        <v>39.999997577740388</v>
      </c>
      <c r="AJ19" s="4797">
        <f t="shared" si="62"/>
        <v>54.96248639981907</v>
      </c>
      <c r="AK19" s="4796">
        <f t="shared" ref="AK19:AL19" si="63">+AK7/AK$54*1000</f>
        <v>40</v>
      </c>
      <c r="AL19" s="4796">
        <f t="shared" si="63"/>
        <v>55.004352625208242</v>
      </c>
      <c r="AM19" s="4799">
        <f t="shared" ref="AM19:BF19" si="64">+AM7/AM$54*1000</f>
        <v>40</v>
      </c>
      <c r="AN19" s="4799">
        <f t="shared" si="64"/>
        <v>51.244355078407892</v>
      </c>
      <c r="AO19" s="4797">
        <f t="shared" si="64"/>
        <v>39.999997873335531</v>
      </c>
      <c r="AP19" s="4797">
        <f t="shared" si="64"/>
        <v>54.967739347864757</v>
      </c>
      <c r="AQ19" s="4796">
        <f t="shared" si="64"/>
        <v>40</v>
      </c>
      <c r="AR19" s="4796">
        <f t="shared" si="64"/>
        <v>56.628016968030849</v>
      </c>
      <c r="AS19" s="4797">
        <f t="shared" si="64"/>
        <v>39.999998104632539</v>
      </c>
      <c r="AT19" s="4797">
        <f t="shared" si="64"/>
        <v>55.154624735324269</v>
      </c>
      <c r="AU19" s="4796">
        <f t="shared" ref="AU19:AX19" si="65">+AU7/AU$54*1000</f>
        <v>40</v>
      </c>
      <c r="AV19" s="4796">
        <f t="shared" si="65"/>
        <v>52.568589589611769</v>
      </c>
      <c r="AW19" s="4797">
        <f t="shared" si="65"/>
        <v>39.99999827124622</v>
      </c>
      <c r="AX19" s="4797">
        <f t="shared" si="65"/>
        <v>54.913410663770925</v>
      </c>
      <c r="AY19" s="4796">
        <f t="shared" ref="AY19:AZ19" si="66">+AY7/AY$54*1000</f>
        <v>40</v>
      </c>
      <c r="AZ19" s="4796">
        <f t="shared" si="66"/>
        <v>53.271467708752738</v>
      </c>
      <c r="BA19" s="4799">
        <f t="shared" ref="BA19:BB19" si="67">+BA7/BA$54*1000</f>
        <v>40</v>
      </c>
      <c r="BB19" s="4799">
        <f t="shared" si="67"/>
        <v>54.19309320646218</v>
      </c>
      <c r="BC19" s="4636">
        <f t="shared" si="64"/>
        <v>40</v>
      </c>
      <c r="BD19" s="4636">
        <f t="shared" si="64"/>
        <v>52.744114281892074</v>
      </c>
      <c r="BE19" s="4797">
        <f t="shared" si="64"/>
        <v>39.999998427261545</v>
      </c>
      <c r="BF19" s="4797">
        <f t="shared" si="64"/>
        <v>54.757069103711672</v>
      </c>
    </row>
    <row r="20" spans="2:58" x14ac:dyDescent="0.25">
      <c r="B20" s="4795" t="s">
        <v>42</v>
      </c>
      <c r="C20" s="147" t="s">
        <v>248</v>
      </c>
      <c r="D20" s="4796">
        <v>100.99919867863743</v>
      </c>
      <c r="E20" s="4796">
        <f t="shared" ref="E20:AB20" si="68">+E8/E$54*1000</f>
        <v>100.99919867863743</v>
      </c>
      <c r="F20" s="4796">
        <f t="shared" si="68"/>
        <v>130.1249882005792</v>
      </c>
      <c r="G20" s="4796">
        <f t="shared" si="68"/>
        <v>101.00001714144452</v>
      </c>
      <c r="H20" s="4796">
        <f t="shared" si="68"/>
        <v>125.91936605103601</v>
      </c>
      <c r="I20" s="4797">
        <f t="shared" si="68"/>
        <v>100.99961222080945</v>
      </c>
      <c r="J20" s="4797">
        <f t="shared" si="68"/>
        <v>128.144426583018</v>
      </c>
      <c r="K20" s="4796">
        <f t="shared" si="68"/>
        <v>100.99971392344798</v>
      </c>
      <c r="L20" s="4796">
        <f t="shared" si="68"/>
        <v>126.80348869777039</v>
      </c>
      <c r="M20" s="4799">
        <f t="shared" si="68"/>
        <v>100.9996552912211</v>
      </c>
      <c r="N20" s="4799">
        <f t="shared" si="68"/>
        <v>127.57974528308227</v>
      </c>
      <c r="O20" s="4796">
        <f t="shared" si="68"/>
        <v>101</v>
      </c>
      <c r="P20" s="4796">
        <f t="shared" si="68"/>
        <v>116.13687398168497</v>
      </c>
      <c r="Q20" s="4797">
        <f t="shared" si="68"/>
        <v>100.99976026083742</v>
      </c>
      <c r="R20" s="4797">
        <f t="shared" si="68"/>
        <v>124.18999773411875</v>
      </c>
      <c r="S20" s="4796">
        <f t="shared" si="68"/>
        <v>101</v>
      </c>
      <c r="T20" s="4796">
        <f t="shared" si="68"/>
        <v>118.74140756145597</v>
      </c>
      <c r="U20" s="4797">
        <f t="shared" si="68"/>
        <v>100.99981622378377</v>
      </c>
      <c r="V20" s="4797">
        <f t="shared" si="68"/>
        <v>122.95426270643675</v>
      </c>
      <c r="W20" s="4796">
        <f t="shared" ref="W20:X20" si="69">+W8/W$54*1000</f>
        <v>101</v>
      </c>
      <c r="X20" s="4796">
        <f t="shared" si="69"/>
        <v>117.3873812129242</v>
      </c>
      <c r="Y20" s="4799">
        <f t="shared" si="68"/>
        <v>101</v>
      </c>
      <c r="Z20" s="4799">
        <f t="shared" si="68"/>
        <v>117.41828275000546</v>
      </c>
      <c r="AA20" s="4636">
        <f t="shared" si="68"/>
        <v>100.99985022807006</v>
      </c>
      <c r="AB20" s="4636">
        <f t="shared" si="68"/>
        <v>121.97691512982981</v>
      </c>
      <c r="AC20" s="4796">
        <f t="shared" ref="AC20:AF20" si="70">+AC8/AC$54*1000</f>
        <v>101</v>
      </c>
      <c r="AD20" s="4796">
        <f t="shared" si="70"/>
        <v>103.70839912019527</v>
      </c>
      <c r="AE20" s="4797">
        <f t="shared" si="70"/>
        <v>100.99987427891334</v>
      </c>
      <c r="AF20" s="4797">
        <f t="shared" si="70"/>
        <v>119.09501483542661</v>
      </c>
      <c r="AG20" s="4796">
        <f t="shared" ref="AG20:AJ20" si="71">+AG8/AG$54*1000</f>
        <v>101</v>
      </c>
      <c r="AH20" s="4796">
        <f t="shared" si="71"/>
        <v>105.84708836202711</v>
      </c>
      <c r="AI20" s="4797">
        <f t="shared" si="71"/>
        <v>100.99989118054404</v>
      </c>
      <c r="AJ20" s="4797">
        <f t="shared" si="71"/>
        <v>117.34196136399433</v>
      </c>
      <c r="AK20" s="4796">
        <f t="shared" ref="AK20:AL20" si="72">+AK8/AK$54*1000</f>
        <v>101</v>
      </c>
      <c r="AL20" s="4796">
        <f t="shared" si="72"/>
        <v>112.62879589220231</v>
      </c>
      <c r="AM20" s="4799">
        <f t="shared" ref="AM20:BF20" si="73">+AM8/AM$54*1000</f>
        <v>101</v>
      </c>
      <c r="AN20" s="4799">
        <f t="shared" si="73"/>
        <v>107.4954568885599</v>
      </c>
      <c r="AO20" s="4797">
        <f t="shared" si="73"/>
        <v>100.99990446008754</v>
      </c>
      <c r="AP20" s="4797">
        <f t="shared" si="73"/>
        <v>116.7506013088684</v>
      </c>
      <c r="AQ20" s="4796">
        <f t="shared" si="73"/>
        <v>101</v>
      </c>
      <c r="AR20" s="4796">
        <f t="shared" si="73"/>
        <v>107.88587965177945</v>
      </c>
      <c r="AS20" s="4797">
        <f t="shared" si="73"/>
        <v>100.99991485105249</v>
      </c>
      <c r="AT20" s="4797">
        <f t="shared" si="73"/>
        <v>115.75276400655024</v>
      </c>
      <c r="AU20" s="4796">
        <f t="shared" ref="AU20:AX20" si="74">+AU8/AU$54*1000</f>
        <v>100.99999999999999</v>
      </c>
      <c r="AV20" s="4796">
        <f t="shared" si="74"/>
        <v>118.27932657385659</v>
      </c>
      <c r="AW20" s="4797">
        <f t="shared" si="74"/>
        <v>100.99992233613376</v>
      </c>
      <c r="AX20" s="4797">
        <f t="shared" si="74"/>
        <v>115.98843073555996</v>
      </c>
      <c r="AY20" s="4796">
        <f t="shared" ref="AY20:AZ20" si="75">+AY8/AY$54*1000</f>
        <v>101</v>
      </c>
      <c r="AZ20" s="4796">
        <f t="shared" si="75"/>
        <v>106.02229836690202</v>
      </c>
      <c r="BA20" s="4799">
        <f t="shared" ref="BA20:BB20" si="76">+BA8/BA$54*1000</f>
        <v>101</v>
      </c>
      <c r="BB20" s="4799">
        <f t="shared" si="76"/>
        <v>110.45871873627389</v>
      </c>
      <c r="BC20" s="4636">
        <f t="shared" si="73"/>
        <v>100.99999999999999</v>
      </c>
      <c r="BD20" s="4636">
        <f t="shared" si="73"/>
        <v>109.00260300850887</v>
      </c>
      <c r="BE20" s="4797">
        <f t="shared" si="73"/>
        <v>100.9999293450865</v>
      </c>
      <c r="BF20" s="4797">
        <f t="shared" si="73"/>
        <v>115.03948139629638</v>
      </c>
    </row>
    <row r="21" spans="2:58" x14ac:dyDescent="0.25">
      <c r="B21" s="4795" t="s">
        <v>43</v>
      </c>
      <c r="C21" s="147" t="s">
        <v>248</v>
      </c>
      <c r="D21" s="4796">
        <v>40.000654139887814</v>
      </c>
      <c r="E21" s="4796">
        <f t="shared" ref="E21:AB21" si="77">+E9/E$54*1000</f>
        <v>40.000654139887814</v>
      </c>
      <c r="F21" s="4796">
        <f t="shared" si="77"/>
        <v>55.034329316094301</v>
      </c>
      <c r="G21" s="4796">
        <f t="shared" si="77"/>
        <v>40.000000018057385</v>
      </c>
      <c r="H21" s="4796">
        <f t="shared" si="77"/>
        <v>53.587092619826159</v>
      </c>
      <c r="I21" s="4797">
        <f t="shared" si="77"/>
        <v>40.000323633772943</v>
      </c>
      <c r="J21" s="4797">
        <f t="shared" si="77"/>
        <v>54.352779393102274</v>
      </c>
      <c r="K21" s="4796">
        <f t="shared" si="77"/>
        <v>39.999532296445807</v>
      </c>
      <c r="L21" s="4796">
        <f t="shared" si="77"/>
        <v>58.457205796315208</v>
      </c>
      <c r="M21" s="4799">
        <f t="shared" si="77"/>
        <v>39.999988507517429</v>
      </c>
      <c r="N21" s="4799">
        <f t="shared" si="77"/>
        <v>56.081191172913329</v>
      </c>
      <c r="O21" s="4796">
        <f t="shared" si="77"/>
        <v>40</v>
      </c>
      <c r="P21" s="4796">
        <f t="shared" si="77"/>
        <v>54.178685230906765</v>
      </c>
      <c r="Q21" s="4797">
        <f t="shared" si="77"/>
        <v>39.999992007171528</v>
      </c>
      <c r="R21" s="4797">
        <f t="shared" si="77"/>
        <v>55.517607550940959</v>
      </c>
      <c r="S21" s="4796">
        <f t="shared" si="77"/>
        <v>40</v>
      </c>
      <c r="T21" s="4796">
        <f t="shared" si="77"/>
        <v>56.603425214346942</v>
      </c>
      <c r="U21" s="4797">
        <f t="shared" si="77"/>
        <v>39.999993872958605</v>
      </c>
      <c r="V21" s="4797">
        <f t="shared" si="77"/>
        <v>55.76386995604507</v>
      </c>
      <c r="W21" s="4796">
        <f t="shared" ref="W21:X21" si="78">+W9/W$54*1000</f>
        <v>40</v>
      </c>
      <c r="X21" s="4796">
        <f t="shared" si="78"/>
        <v>55.633411823621493</v>
      </c>
      <c r="Y21" s="4799">
        <f t="shared" si="77"/>
        <v>39.999999999999993</v>
      </c>
      <c r="Z21" s="4799">
        <f t="shared" si="77"/>
        <v>55.464148708514657</v>
      </c>
      <c r="AA21" s="4636">
        <f t="shared" si="77"/>
        <v>39.999995006650842</v>
      </c>
      <c r="AB21" s="4636">
        <f t="shared" si="77"/>
        <v>55.740966120258115</v>
      </c>
      <c r="AC21" s="4796">
        <f t="shared" ref="AC21:AF21" si="79">+AC9/AC$54*1000</f>
        <v>40</v>
      </c>
      <c r="AD21" s="4796">
        <f t="shared" si="79"/>
        <v>47.164226206378579</v>
      </c>
      <c r="AE21" s="4797">
        <f t="shared" si="79"/>
        <v>39.999995808498419</v>
      </c>
      <c r="AF21" s="4797">
        <f t="shared" si="79"/>
        <v>54.387965730418372</v>
      </c>
      <c r="AG21" s="4796">
        <f t="shared" ref="AG21:AJ21" si="80">+AG9/AG$54*1000</f>
        <v>40</v>
      </c>
      <c r="AH21" s="4796">
        <f t="shared" si="80"/>
        <v>51.279225340232784</v>
      </c>
      <c r="AI21" s="4797">
        <f t="shared" si="80"/>
        <v>39.999996371993483</v>
      </c>
      <c r="AJ21" s="4797">
        <f t="shared" si="80"/>
        <v>53.976596589463433</v>
      </c>
      <c r="AK21" s="4796">
        <f t="shared" ref="AK21:AL21" si="81">+AK9/AK$54*1000</f>
        <v>40</v>
      </c>
      <c r="AL21" s="4796">
        <f t="shared" si="81"/>
        <v>49.987317816919969</v>
      </c>
      <c r="AM21" s="4799">
        <f t="shared" ref="AM21:BF21" si="82">+AM9/AM$54*1000</f>
        <v>40</v>
      </c>
      <c r="AN21" s="4799">
        <f t="shared" si="82"/>
        <v>49.465202989517735</v>
      </c>
      <c r="AO21" s="4797">
        <f t="shared" si="82"/>
        <v>39.9999968147293</v>
      </c>
      <c r="AP21" s="4797">
        <f t="shared" si="82"/>
        <v>53.476062473069042</v>
      </c>
      <c r="AQ21" s="4796">
        <f t="shared" si="82"/>
        <v>40</v>
      </c>
      <c r="AR21" s="4796">
        <f t="shared" si="82"/>
        <v>53.519847535800444</v>
      </c>
      <c r="AS21" s="4797">
        <f t="shared" si="82"/>
        <v>39.999997161160806</v>
      </c>
      <c r="AT21" s="4797">
        <f t="shared" si="82"/>
        <v>53.480991039420893</v>
      </c>
      <c r="AU21" s="4796">
        <f t="shared" ref="AU21:AX21" si="83">+AU9/AU$54*1000</f>
        <v>40</v>
      </c>
      <c r="AV21" s="4796">
        <f t="shared" si="83"/>
        <v>55.205319372119313</v>
      </c>
      <c r="AW21" s="4797">
        <f t="shared" si="83"/>
        <v>39.999997410711075</v>
      </c>
      <c r="AX21" s="4797">
        <f t="shared" si="83"/>
        <v>53.641828860405106</v>
      </c>
      <c r="AY21" s="4796">
        <f t="shared" ref="AY21:AZ21" si="84">+AY9/AY$54*1000</f>
        <v>40</v>
      </c>
      <c r="AZ21" s="4796">
        <f t="shared" si="84"/>
        <v>53.765638528542389</v>
      </c>
      <c r="BA21" s="4799">
        <f t="shared" ref="BA21:BB21" si="85">+BA9/BA$54*1000</f>
        <v>40</v>
      </c>
      <c r="BB21" s="4799">
        <f t="shared" si="85"/>
        <v>54.128942852108295</v>
      </c>
      <c r="BC21" s="4636">
        <f t="shared" si="82"/>
        <v>40</v>
      </c>
      <c r="BD21" s="4636">
        <f t="shared" si="82"/>
        <v>51.837230100040266</v>
      </c>
      <c r="BE21" s="4797">
        <f t="shared" si="82"/>
        <v>39.999997644387349</v>
      </c>
      <c r="BF21" s="4797">
        <f t="shared" si="82"/>
        <v>53.653617696678531</v>
      </c>
    </row>
    <row r="22" spans="2:58" ht="15" hidden="1" customHeight="1" x14ac:dyDescent="0.25">
      <c r="B22" s="4795" t="s">
        <v>691</v>
      </c>
      <c r="C22" s="147" t="s">
        <v>248</v>
      </c>
      <c r="D22" s="4796">
        <v>0</v>
      </c>
      <c r="E22" s="4796">
        <f>+E10/E$54*1000</f>
        <v>0</v>
      </c>
      <c r="F22" s="4796">
        <f t="shared" ref="F22:BF22" si="86">+F10/F$54*1000</f>
        <v>0</v>
      </c>
      <c r="G22" s="4796">
        <f t="shared" si="86"/>
        <v>0</v>
      </c>
      <c r="H22" s="4796">
        <f t="shared" si="86"/>
        <v>0</v>
      </c>
      <c r="I22" s="4797">
        <f t="shared" si="86"/>
        <v>0</v>
      </c>
      <c r="J22" s="4797">
        <f t="shared" si="86"/>
        <v>0</v>
      </c>
      <c r="K22" s="4796">
        <f t="shared" si="86"/>
        <v>0</v>
      </c>
      <c r="L22" s="4796">
        <f t="shared" si="86"/>
        <v>0</v>
      </c>
      <c r="M22" s="4799">
        <f t="shared" si="86"/>
        <v>0</v>
      </c>
      <c r="N22" s="4799">
        <f t="shared" si="86"/>
        <v>0</v>
      </c>
      <c r="O22" s="4796">
        <f t="shared" si="86"/>
        <v>0</v>
      </c>
      <c r="P22" s="4796">
        <f t="shared" si="86"/>
        <v>0</v>
      </c>
      <c r="Q22" s="4797">
        <f t="shared" si="86"/>
        <v>0</v>
      </c>
      <c r="R22" s="4797">
        <f t="shared" si="86"/>
        <v>0</v>
      </c>
      <c r="S22" s="4796">
        <f t="shared" si="86"/>
        <v>0</v>
      </c>
      <c r="T22" s="4796">
        <f t="shared" si="86"/>
        <v>0</v>
      </c>
      <c r="U22" s="4797">
        <f t="shared" si="86"/>
        <v>0</v>
      </c>
      <c r="V22" s="4797">
        <f t="shared" si="86"/>
        <v>0</v>
      </c>
      <c r="W22" s="4796">
        <f t="shared" si="86"/>
        <v>0</v>
      </c>
      <c r="X22" s="4796">
        <f t="shared" si="86"/>
        <v>0</v>
      </c>
      <c r="Y22" s="4799">
        <f t="shared" si="86"/>
        <v>0</v>
      </c>
      <c r="Z22" s="4799">
        <f t="shared" si="86"/>
        <v>0</v>
      </c>
      <c r="AA22" s="4636">
        <f t="shared" si="86"/>
        <v>0</v>
      </c>
      <c r="AB22" s="4636">
        <f t="shared" si="86"/>
        <v>0</v>
      </c>
      <c r="AC22" s="4796">
        <f t="shared" ref="AC22:AF22" si="87">+AC10/AC$54*1000</f>
        <v>0</v>
      </c>
      <c r="AD22" s="4796">
        <f t="shared" si="87"/>
        <v>0</v>
      </c>
      <c r="AE22" s="4797">
        <f t="shared" si="87"/>
        <v>0</v>
      </c>
      <c r="AF22" s="4797">
        <f t="shared" si="87"/>
        <v>0</v>
      </c>
      <c r="AG22" s="4796">
        <f t="shared" ref="AG22:AJ22" si="88">+AG10/AG$54*1000</f>
        <v>0</v>
      </c>
      <c r="AH22" s="4796">
        <f t="shared" si="88"/>
        <v>0</v>
      </c>
      <c r="AI22" s="4797">
        <f t="shared" si="88"/>
        <v>0</v>
      </c>
      <c r="AJ22" s="4797">
        <f t="shared" si="88"/>
        <v>0</v>
      </c>
      <c r="AK22" s="4796">
        <f t="shared" ref="AK22:AL22" si="89">+AK10/AK$54*1000</f>
        <v>0</v>
      </c>
      <c r="AL22" s="4796">
        <f t="shared" si="89"/>
        <v>0</v>
      </c>
      <c r="AM22" s="4799">
        <f t="shared" si="86"/>
        <v>0</v>
      </c>
      <c r="AN22" s="4799">
        <f t="shared" si="86"/>
        <v>0</v>
      </c>
      <c r="AO22" s="4797">
        <f t="shared" si="86"/>
        <v>0</v>
      </c>
      <c r="AP22" s="4797">
        <f t="shared" si="86"/>
        <v>0</v>
      </c>
      <c r="AQ22" s="4796">
        <f t="shared" si="86"/>
        <v>0</v>
      </c>
      <c r="AR22" s="4796">
        <f t="shared" si="86"/>
        <v>0</v>
      </c>
      <c r="AS22" s="4797">
        <f t="shared" si="86"/>
        <v>0</v>
      </c>
      <c r="AT22" s="4797">
        <f t="shared" si="86"/>
        <v>0</v>
      </c>
      <c r="AU22" s="4796">
        <f t="shared" ref="AU22:AX22" si="90">+AU10/AU$54*1000</f>
        <v>0</v>
      </c>
      <c r="AV22" s="4796">
        <f t="shared" si="90"/>
        <v>0</v>
      </c>
      <c r="AW22" s="4797">
        <f t="shared" si="90"/>
        <v>0</v>
      </c>
      <c r="AX22" s="4797">
        <f t="shared" si="90"/>
        <v>0</v>
      </c>
      <c r="AY22" s="4796">
        <f t="shared" ref="AY22:AZ22" si="91">+AY10/AY$54*1000</f>
        <v>0</v>
      </c>
      <c r="AZ22" s="4796">
        <f t="shared" si="91"/>
        <v>0</v>
      </c>
      <c r="BA22" s="4799">
        <f t="shared" ref="BA22:BB22" si="92">+BA10/BA$54*1000</f>
        <v>0</v>
      </c>
      <c r="BB22" s="4799">
        <f t="shared" si="92"/>
        <v>0</v>
      </c>
      <c r="BC22" s="4636">
        <f t="shared" si="86"/>
        <v>0</v>
      </c>
      <c r="BD22" s="4636">
        <f t="shared" si="86"/>
        <v>0</v>
      </c>
      <c r="BE22" s="4797">
        <f t="shared" si="86"/>
        <v>0</v>
      </c>
      <c r="BF22" s="4797">
        <f t="shared" si="86"/>
        <v>0</v>
      </c>
    </row>
    <row r="23" spans="2:58" x14ac:dyDescent="0.25">
      <c r="B23" s="4795" t="s">
        <v>615</v>
      </c>
      <c r="C23" s="147" t="s">
        <v>248</v>
      </c>
      <c r="D23" s="4796">
        <v>5.0000817674859768</v>
      </c>
      <c r="E23" s="4796">
        <f t="shared" ref="E23:G27" si="93">+E11/E$54*1000</f>
        <v>5.0000817674859768</v>
      </c>
      <c r="F23" s="4796">
        <f t="shared" si="93"/>
        <v>7.3071794484584336</v>
      </c>
      <c r="G23" s="4796">
        <f t="shared" si="93"/>
        <v>5</v>
      </c>
      <c r="H23" s="4796">
        <f t="shared" ref="H23:H27" si="94">+H11/$H$54*1000</f>
        <v>16.43012850194712</v>
      </c>
      <c r="I23" s="4797">
        <f t="shared" ref="I23:N27" si="95">+I11/I$54*1000</f>
        <v>5.0000404530811426</v>
      </c>
      <c r="J23" s="4797">
        <f t="shared" si="95"/>
        <v>11.603467153778894</v>
      </c>
      <c r="K23" s="4796">
        <f t="shared" si="95"/>
        <v>5.0002857197181525</v>
      </c>
      <c r="L23" s="4796">
        <f t="shared" si="95"/>
        <v>10.975335575163816</v>
      </c>
      <c r="M23" s="4799">
        <f t="shared" si="95"/>
        <v>5.0001443219204385</v>
      </c>
      <c r="N23" s="4799">
        <f t="shared" si="95"/>
        <v>11.338955157924916</v>
      </c>
      <c r="O23" s="4796">
        <f t="shared" ref="O23:Q23" si="96">+O11/O$54*1000</f>
        <v>5</v>
      </c>
      <c r="P23" s="4796">
        <f t="shared" si="96"/>
        <v>12.502773515029293</v>
      </c>
      <c r="Q23" s="4797">
        <f t="shared" si="96"/>
        <v>5.0001003734702172</v>
      </c>
      <c r="R23" s="4797">
        <f t="shared" ref="R23:U23" si="97">+R11/R$54*1000</f>
        <v>11.683715692193234</v>
      </c>
      <c r="S23" s="4796">
        <f t="shared" si="97"/>
        <v>5</v>
      </c>
      <c r="T23" s="4796">
        <f t="shared" si="97"/>
        <v>12.326968157623925</v>
      </c>
      <c r="U23" s="4797">
        <f t="shared" si="97"/>
        <v>5.0000769430257774</v>
      </c>
      <c r="V23" s="4797">
        <f t="shared" ref="V23:X23" si="98">+V11/V$54*1000</f>
        <v>11.829604734676867</v>
      </c>
      <c r="W23" s="4796">
        <f t="shared" si="98"/>
        <v>5</v>
      </c>
      <c r="X23" s="4796">
        <f t="shared" si="98"/>
        <v>12.734359478957114</v>
      </c>
      <c r="Y23" s="4799">
        <f t="shared" ref="Y23:AA23" si="99">+Y11/Y$54*1000</f>
        <v>4.9999999999999991</v>
      </c>
      <c r="Z23" s="4799">
        <f t="shared" si="99"/>
        <v>12.516894477064154</v>
      </c>
      <c r="AA23" s="4636">
        <f t="shared" si="99"/>
        <v>5.0000627061852807</v>
      </c>
      <c r="AB23" s="4636">
        <f t="shared" ref="AB23:AO23" si="100">+AB11/AB$54*1000</f>
        <v>11.988447680727797</v>
      </c>
      <c r="AC23" s="4796">
        <f t="shared" si="100"/>
        <v>5</v>
      </c>
      <c r="AD23" s="4796">
        <f t="shared" si="100"/>
        <v>7.7929906064751471</v>
      </c>
      <c r="AE23" s="4797">
        <f t="shared" si="100"/>
        <v>5.0000526366306293</v>
      </c>
      <c r="AF23" s="4797">
        <f t="shared" si="100"/>
        <v>11.326604706122302</v>
      </c>
      <c r="AG23" s="4796">
        <f t="shared" ref="AG23:AJ23" si="101">+AG11/AG$54*1000</f>
        <v>5</v>
      </c>
      <c r="AH23" s="4796">
        <f t="shared" si="101"/>
        <v>20.386956885812189</v>
      </c>
      <c r="AI23" s="4797">
        <f t="shared" si="101"/>
        <v>5.000045560292703</v>
      </c>
      <c r="AJ23" s="4797">
        <f t="shared" si="101"/>
        <v>12.525530581269367</v>
      </c>
      <c r="AK23" s="4796">
        <f t="shared" ref="AK23:AL23" si="102">+AK11/AK$54*1000</f>
        <v>5</v>
      </c>
      <c r="AL23" s="4796">
        <f t="shared" si="102"/>
        <v>10.264737880947568</v>
      </c>
      <c r="AM23" s="4799">
        <f t="shared" si="100"/>
        <v>5</v>
      </c>
      <c r="AN23" s="4799">
        <f t="shared" si="100"/>
        <v>12.690647148472324</v>
      </c>
      <c r="AO23" s="4797">
        <f t="shared" si="100"/>
        <v>5.0000400004423771</v>
      </c>
      <c r="AP23" s="4797">
        <f t="shared" ref="AP23:AS23" si="103">+AP11/AP$54*1000</f>
        <v>12.24186931287298</v>
      </c>
      <c r="AQ23" s="4796">
        <f t="shared" si="103"/>
        <v>5</v>
      </c>
      <c r="AR23" s="4796">
        <f t="shared" si="103"/>
        <v>10.123817829722279</v>
      </c>
      <c r="AS23" s="4797">
        <f t="shared" si="103"/>
        <v>5.0000356499758194</v>
      </c>
      <c r="AT23" s="4797">
        <f>+AT11/AT$54*1000</f>
        <v>12.00345564802565</v>
      </c>
      <c r="AU23" s="4796">
        <f t="shared" ref="AU23:AW23" si="104">+AU11/AU$54*1000</f>
        <v>5</v>
      </c>
      <c r="AV23" s="4796">
        <f t="shared" si="104"/>
        <v>8.8536571945355433</v>
      </c>
      <c r="AW23" s="4797">
        <f t="shared" si="104"/>
        <v>5.0000325161383037</v>
      </c>
      <c r="AX23" s="4797">
        <f>+AX11/AX$54*1000</f>
        <v>11.709656195687026</v>
      </c>
      <c r="AY23" s="4796">
        <f t="shared" ref="AY23:AZ23" si="105">+AY11/AY$54*1000</f>
        <v>5</v>
      </c>
      <c r="AZ23" s="4796">
        <f t="shared" si="105"/>
        <v>7.9911942188528045</v>
      </c>
      <c r="BA23" s="4799">
        <f t="shared" ref="BA23:BB23" si="106">+BA11/BA$54*1000</f>
        <v>5</v>
      </c>
      <c r="BB23" s="4799">
        <f t="shared" si="106"/>
        <v>8.9829854717054118</v>
      </c>
      <c r="BC23" s="4636">
        <f t="shared" ref="BC23:BD23" si="107">+BC11/BC$54*1000</f>
        <v>5</v>
      </c>
      <c r="BD23" s="4636">
        <f t="shared" si="107"/>
        <v>10.804891451744552</v>
      </c>
      <c r="BE23" s="4797">
        <f t="shared" ref="BE23:BF23" si="108">+BE11/BE$54*1000</f>
        <v>5.0000295816452409</v>
      </c>
      <c r="BF23" s="4797">
        <f t="shared" si="108"/>
        <v>11.355593866845137</v>
      </c>
    </row>
    <row r="24" spans="2:58" x14ac:dyDescent="0.25">
      <c r="B24" s="4795" t="s">
        <v>44</v>
      </c>
      <c r="C24" s="147" t="s">
        <v>248</v>
      </c>
      <c r="D24" s="4796">
        <v>5.0000817674859768</v>
      </c>
      <c r="E24" s="4796">
        <f t="shared" si="93"/>
        <v>5.0000817674859768</v>
      </c>
      <c r="F24" s="4796">
        <f t="shared" si="93"/>
        <v>5.6041627420581532</v>
      </c>
      <c r="G24" s="4796">
        <f t="shared" si="93"/>
        <v>5</v>
      </c>
      <c r="H24" s="4796">
        <f t="shared" si="94"/>
        <v>3.0792443311589084</v>
      </c>
      <c r="I24" s="4797">
        <f t="shared" si="95"/>
        <v>5.0000404530811426</v>
      </c>
      <c r="J24" s="4797">
        <f t="shared" si="95"/>
        <v>4.4150981246759677</v>
      </c>
      <c r="K24" s="4796">
        <f t="shared" si="95"/>
        <v>5.0002857197181525</v>
      </c>
      <c r="L24" s="4796">
        <f t="shared" si="95"/>
        <v>1.8782646450302101</v>
      </c>
      <c r="M24" s="4799">
        <f t="shared" si="95"/>
        <v>5.0001443219204385</v>
      </c>
      <c r="N24" s="4799">
        <f t="shared" si="95"/>
        <v>3.3468141700150964</v>
      </c>
      <c r="O24" s="4796">
        <f t="shared" ref="O24:Q24" si="109">+O12/O$54*1000</f>
        <v>5</v>
      </c>
      <c r="P24" s="4796">
        <f t="shared" si="109"/>
        <v>5.0011094060117172</v>
      </c>
      <c r="Q24" s="4797">
        <f t="shared" si="109"/>
        <v>5.0001003734702172</v>
      </c>
      <c r="R24" s="4797">
        <f t="shared" ref="R24:U24" si="110">+R12/R$54*1000</f>
        <v>3.8368697752718663</v>
      </c>
      <c r="S24" s="4796">
        <f t="shared" si="110"/>
        <v>5</v>
      </c>
      <c r="T24" s="4796">
        <f t="shared" si="110"/>
        <v>4.0502895369676253</v>
      </c>
      <c r="U24" s="4797">
        <f t="shared" si="110"/>
        <v>5.0000769430257774</v>
      </c>
      <c r="V24" s="4797">
        <f t="shared" ref="V24:X24" si="111">+V12/V$54*1000</f>
        <v>3.8852731726222864</v>
      </c>
      <c r="W24" s="4796">
        <f t="shared" si="111"/>
        <v>5</v>
      </c>
      <c r="X24" s="4796">
        <f t="shared" si="111"/>
        <v>4.1796959390819373</v>
      </c>
      <c r="Y24" s="4799">
        <f t="shared" ref="Y24:AA24" si="112">+Y12/Y$54*1000</f>
        <v>4.9999999999999991</v>
      </c>
      <c r="Z24" s="4799">
        <f t="shared" si="112"/>
        <v>4.4171266975004926</v>
      </c>
      <c r="AA24" s="4636">
        <f t="shared" si="112"/>
        <v>5.0000627061852807</v>
      </c>
      <c r="AB24" s="4636">
        <f t="shared" ref="AB24:AO24" si="113">+AB12/AB$54*1000</f>
        <v>3.9369634012776995</v>
      </c>
      <c r="AC24" s="4796">
        <f t="shared" si="113"/>
        <v>5</v>
      </c>
      <c r="AD24" s="4796">
        <f t="shared" si="113"/>
        <v>3.4629454413776455</v>
      </c>
      <c r="AE24" s="4797">
        <f t="shared" si="113"/>
        <v>5.0000526366306293</v>
      </c>
      <c r="AF24" s="4797">
        <f t="shared" si="113"/>
        <v>3.8621859810719252</v>
      </c>
      <c r="AG24" s="4796">
        <f t="shared" ref="AG24:AJ24" si="114">+AG12/AG$54*1000</f>
        <v>5</v>
      </c>
      <c r="AH24" s="4796">
        <f t="shared" si="114"/>
        <v>5.266515034057961</v>
      </c>
      <c r="AI24" s="4797">
        <f t="shared" si="114"/>
        <v>5.000045560292703</v>
      </c>
      <c r="AJ24" s="4797">
        <f t="shared" si="114"/>
        <v>4.0480161127769554</v>
      </c>
      <c r="AK24" s="4796">
        <f t="shared" ref="AK24:AL24" si="115">+AK12/AK$54*1000</f>
        <v>5</v>
      </c>
      <c r="AL24" s="4796">
        <f t="shared" si="115"/>
        <v>3.831099043168726</v>
      </c>
      <c r="AM24" s="4799">
        <f t="shared" si="113"/>
        <v>5</v>
      </c>
      <c r="AN24" s="4799">
        <f t="shared" si="113"/>
        <v>4.1692628679512529</v>
      </c>
      <c r="AO24" s="4797">
        <f t="shared" si="113"/>
        <v>5.0000400004423771</v>
      </c>
      <c r="AP24" s="4797">
        <f t="shared" ref="AP24:AT24" si="116">+AP12/AP$54*1000</f>
        <v>4.0207995656370352</v>
      </c>
      <c r="AQ24" s="4796">
        <f t="shared" si="116"/>
        <v>5</v>
      </c>
      <c r="AR24" s="4796">
        <f t="shared" si="116"/>
        <v>5.061217792257434</v>
      </c>
      <c r="AS24" s="4797">
        <f t="shared" si="116"/>
        <v>5.0000356499758194</v>
      </c>
      <c r="AT24" s="4797">
        <f t="shared" si="116"/>
        <v>4.1379118853118824</v>
      </c>
      <c r="AU24" s="4796">
        <f t="shared" ref="AU24:AX24" si="117">+AU12/AU$54*1000</f>
        <v>5</v>
      </c>
      <c r="AV24" s="4796">
        <f t="shared" si="117"/>
        <v>5.1185205664997335</v>
      </c>
      <c r="AW24" s="4797">
        <f t="shared" si="117"/>
        <v>5.0000325161383037</v>
      </c>
      <c r="AX24" s="4797">
        <f t="shared" si="117"/>
        <v>4.2293787831930025</v>
      </c>
      <c r="AY24" s="4796">
        <f t="shared" ref="AY24:AZ24" si="118">+AY12/AY$54*1000</f>
        <v>5</v>
      </c>
      <c r="AZ24" s="4796">
        <f t="shared" si="118"/>
        <v>3.4370727823550786</v>
      </c>
      <c r="BA24" s="4799">
        <f t="shared" ref="BA24:BB24" si="119">+BA12/BA$54*1000</f>
        <v>5</v>
      </c>
      <c r="BB24" s="4799">
        <f t="shared" si="119"/>
        <v>4.5103549521439597</v>
      </c>
      <c r="BC24" s="4636">
        <f t="shared" ref="BC24:BD24" si="120">+BC12/BC$54*1000</f>
        <v>5</v>
      </c>
      <c r="BD24" s="4636">
        <f t="shared" si="120"/>
        <v>4.3427458868862585</v>
      </c>
      <c r="BE24" s="4797">
        <f t="shared" ref="BE24:BF24" si="121">+BE12/BE$54*1000</f>
        <v>5.0000295816452409</v>
      </c>
      <c r="BF24" s="4797">
        <f t="shared" si="121"/>
        <v>4.1539374556872399</v>
      </c>
    </row>
    <row r="25" spans="2:58" x14ac:dyDescent="0.25">
      <c r="B25" s="4795" t="s">
        <v>45</v>
      </c>
      <c r="C25" s="147" t="s">
        <v>248</v>
      </c>
      <c r="D25" s="4796">
        <v>30.000490604915861</v>
      </c>
      <c r="E25" s="4796">
        <f t="shared" si="93"/>
        <v>30.000490604915861</v>
      </c>
      <c r="F25" s="4796">
        <f t="shared" si="93"/>
        <v>8.5492292239513255</v>
      </c>
      <c r="G25" s="4796">
        <f t="shared" si="93"/>
        <v>30</v>
      </c>
      <c r="H25" s="4796">
        <f t="shared" si="94"/>
        <v>10.67995813273304</v>
      </c>
      <c r="I25" s="4797">
        <f t="shared" si="95"/>
        <v>30.000242718486856</v>
      </c>
      <c r="J25" s="4797">
        <f t="shared" si="95"/>
        <v>9.5526574312664927</v>
      </c>
      <c r="K25" s="4796">
        <f t="shared" si="95"/>
        <v>29.998960857009507</v>
      </c>
      <c r="L25" s="4796">
        <f t="shared" si="95"/>
        <v>4.4082843720747178</v>
      </c>
      <c r="M25" s="4799">
        <f t="shared" si="95"/>
        <v>29.999699858416626</v>
      </c>
      <c r="N25" s="4799">
        <f t="shared" si="95"/>
        <v>7.3863145317350467</v>
      </c>
      <c r="O25" s="4796">
        <f t="shared" ref="O25:Q25" si="122">+O13/O$54*1000</f>
        <v>30</v>
      </c>
      <c r="P25" s="4796">
        <f t="shared" si="122"/>
        <v>7.2238246981637078</v>
      </c>
      <c r="Q25" s="4797">
        <f t="shared" si="122"/>
        <v>29.999791256572898</v>
      </c>
      <c r="R25" s="4797">
        <f t="shared" ref="R25:U25" si="123">+R13/R$54*1000</f>
        <v>7.3381798022102398</v>
      </c>
      <c r="S25" s="4796">
        <f t="shared" si="123"/>
        <v>30</v>
      </c>
      <c r="T25" s="4796">
        <f t="shared" si="123"/>
        <v>5.7861279095699087</v>
      </c>
      <c r="U25" s="4797">
        <f t="shared" si="123"/>
        <v>29.999839984102795</v>
      </c>
      <c r="V25" s="4797">
        <f t="shared" ref="V25:X25" si="124">+V13/V$54*1000</f>
        <v>6.9861759208872165</v>
      </c>
      <c r="W25" s="4796">
        <f t="shared" si="124"/>
        <v>30.000000000000004</v>
      </c>
      <c r="X25" s="4796">
        <f t="shared" si="124"/>
        <v>5.1509768667031048</v>
      </c>
      <c r="Y25" s="4799">
        <f t="shared" ref="Y25:AA25" si="125">+Y13/Y$54*1000</f>
        <v>30</v>
      </c>
      <c r="Z25" s="4799">
        <f t="shared" si="125"/>
        <v>6.0762664647524911</v>
      </c>
      <c r="AA25" s="4636">
        <f t="shared" si="125"/>
        <v>29.999869591994898</v>
      </c>
      <c r="AB25" s="4636">
        <f t="shared" ref="AB25:AO25" si="126">+AB13/AB$54*1000</f>
        <v>6.6639798493005618</v>
      </c>
      <c r="AC25" s="4796">
        <f t="shared" si="126"/>
        <v>30.000000000000004</v>
      </c>
      <c r="AD25" s="4796">
        <f t="shared" si="126"/>
        <v>2.8876056865427429</v>
      </c>
      <c r="AE25" s="4797">
        <f t="shared" si="126"/>
        <v>29.999890533318769</v>
      </c>
      <c r="AF25" s="4797">
        <f t="shared" si="126"/>
        <v>6.0682481650362936</v>
      </c>
      <c r="AG25" s="4796">
        <f t="shared" ref="AG25:AJ25" si="127">+AG13/AG$54*1000</f>
        <v>30.000000000000004</v>
      </c>
      <c r="AH25" s="4796">
        <f t="shared" si="127"/>
        <v>26.848139278331924</v>
      </c>
      <c r="AI25" s="4797">
        <f t="shared" si="127"/>
        <v>29.999905249747592</v>
      </c>
      <c r="AJ25" s="4797">
        <f t="shared" si="127"/>
        <v>8.8179811383655267</v>
      </c>
      <c r="AK25" s="4796">
        <f t="shared" ref="AK25:AL25" si="128">+AK13/AK$54*1000</f>
        <v>30.000000000000004</v>
      </c>
      <c r="AL25" s="4796">
        <f t="shared" si="128"/>
        <v>9.3546011326384644</v>
      </c>
      <c r="AM25" s="4799">
        <f t="shared" si="126"/>
        <v>30.000000000000004</v>
      </c>
      <c r="AN25" s="4799">
        <f t="shared" si="126"/>
        <v>12.819008396841975</v>
      </c>
      <c r="AO25" s="4797">
        <f t="shared" si="126"/>
        <v>29.999916812386697</v>
      </c>
      <c r="AP25" s="4797">
        <f t="shared" ref="AP25:AT25" si="129">+AP13/AP$54*1000</f>
        <v>8.8853107560702629</v>
      </c>
      <c r="AQ25" s="4796">
        <f t="shared" si="129"/>
        <v>30.000000000000004</v>
      </c>
      <c r="AR25" s="4796">
        <f t="shared" si="129"/>
        <v>5.8204004612226194</v>
      </c>
      <c r="AS25" s="4797">
        <f t="shared" si="129"/>
        <v>29.999925859909883</v>
      </c>
      <c r="AT25" s="4797">
        <f t="shared" si="129"/>
        <v>8.540316075045812</v>
      </c>
      <c r="AU25" s="4796">
        <f t="shared" ref="AU25:AX25" si="130">+AU13/AU$54*1000</f>
        <v>30.000000000000004</v>
      </c>
      <c r="AV25" s="4796">
        <f t="shared" si="130"/>
        <v>0.27667678603084561</v>
      </c>
      <c r="AW25" s="4797">
        <f t="shared" si="130"/>
        <v>29.99993237724939</v>
      </c>
      <c r="AX25" s="4797">
        <f t="shared" si="130"/>
        <v>7.7695198691024219</v>
      </c>
      <c r="AY25" s="4796">
        <f t="shared" ref="AY25:AZ25" si="131">+AY13/AY$54*1000</f>
        <v>30.000000000000004</v>
      </c>
      <c r="AZ25" s="4796">
        <f t="shared" si="131"/>
        <v>0</v>
      </c>
      <c r="BA25" s="4799">
        <f t="shared" ref="BA25:BB25" si="132">+BA13/BA$54*1000</f>
        <v>30</v>
      </c>
      <c r="BB25" s="4799">
        <f t="shared" si="132"/>
        <v>2.0622240247209649</v>
      </c>
      <c r="BC25" s="4636">
        <f t="shared" ref="BC25:BD25" si="133">+BC13/BC$54*1000</f>
        <v>30</v>
      </c>
      <c r="BD25" s="4636">
        <f t="shared" si="133"/>
        <v>7.3479948102172825</v>
      </c>
      <c r="BE25" s="4797">
        <f t="shared" ref="BE25:BF25" si="134">+BE13/BE$54*1000</f>
        <v>29.999938480018752</v>
      </c>
      <c r="BF25" s="4797">
        <f t="shared" si="134"/>
        <v>7.0297262888599406</v>
      </c>
    </row>
    <row r="26" spans="2:58" ht="15" customHeight="1" x14ac:dyDescent="0.25">
      <c r="B26" s="4795" t="s">
        <v>673</v>
      </c>
      <c r="C26" s="147" t="s">
        <v>248</v>
      </c>
      <c r="D26" s="4796">
        <v>0</v>
      </c>
      <c r="E26" s="4796">
        <f>+E14/E$54*1000</f>
        <v>0</v>
      </c>
      <c r="F26" s="4796">
        <f t="shared" si="93"/>
        <v>0</v>
      </c>
      <c r="G26" s="4796">
        <f t="shared" si="93"/>
        <v>0</v>
      </c>
      <c r="H26" s="4810">
        <f t="shared" si="94"/>
        <v>0</v>
      </c>
      <c r="I26" s="4797">
        <f t="shared" si="95"/>
        <v>0</v>
      </c>
      <c r="J26" s="4811">
        <f t="shared" si="95"/>
        <v>0</v>
      </c>
      <c r="K26" s="4796">
        <f t="shared" si="95"/>
        <v>0</v>
      </c>
      <c r="L26" s="4812">
        <f t="shared" si="95"/>
        <v>0</v>
      </c>
      <c r="M26" s="4799">
        <f t="shared" si="95"/>
        <v>0</v>
      </c>
      <c r="N26" s="4813">
        <f t="shared" si="95"/>
        <v>0</v>
      </c>
      <c r="O26" s="4796">
        <f t="shared" ref="O26:Q26" si="135">+O14/O$54*1000</f>
        <v>0</v>
      </c>
      <c r="P26" s="4796">
        <f t="shared" si="135"/>
        <v>0</v>
      </c>
      <c r="Q26" s="4797">
        <f t="shared" si="135"/>
        <v>0</v>
      </c>
      <c r="R26" s="4797">
        <f t="shared" ref="R26:U26" si="136">+R14/R$54*1000</f>
        <v>0</v>
      </c>
      <c r="S26" s="4796">
        <f t="shared" si="136"/>
        <v>0</v>
      </c>
      <c r="T26" s="4796">
        <f t="shared" si="136"/>
        <v>0</v>
      </c>
      <c r="U26" s="4797">
        <f t="shared" si="136"/>
        <v>0</v>
      </c>
      <c r="V26" s="4797">
        <f t="shared" ref="V26:X26" si="137">+V14/V$54*1000</f>
        <v>0</v>
      </c>
      <c r="W26" s="4796">
        <f t="shared" si="137"/>
        <v>0</v>
      </c>
      <c r="X26" s="4796">
        <f t="shared" si="137"/>
        <v>0</v>
      </c>
      <c r="Y26" s="4799">
        <f t="shared" ref="Y26:AA26" si="138">+Y14/Y$54*1000</f>
        <v>0</v>
      </c>
      <c r="Z26" s="4813">
        <f t="shared" si="138"/>
        <v>0</v>
      </c>
      <c r="AA26" s="4636">
        <f t="shared" si="138"/>
        <v>0</v>
      </c>
      <c r="AB26" s="4636">
        <f t="shared" ref="AB26:AO26" si="139">+AB14/AB$54*1000</f>
        <v>0</v>
      </c>
      <c r="AC26" s="4796">
        <f t="shared" si="139"/>
        <v>0</v>
      </c>
      <c r="AD26" s="4796">
        <f t="shared" si="139"/>
        <v>0</v>
      </c>
      <c r="AE26" s="4797">
        <f t="shared" si="139"/>
        <v>0</v>
      </c>
      <c r="AF26" s="4797">
        <f t="shared" si="139"/>
        <v>0</v>
      </c>
      <c r="AG26" s="4796">
        <f t="shared" ref="AG26:AJ26" si="140">+AG14/AG$54*1000</f>
        <v>0</v>
      </c>
      <c r="AH26" s="4796">
        <f t="shared" si="140"/>
        <v>0</v>
      </c>
      <c r="AI26" s="4797">
        <f t="shared" si="140"/>
        <v>0</v>
      </c>
      <c r="AJ26" s="4797">
        <f t="shared" si="140"/>
        <v>0</v>
      </c>
      <c r="AK26" s="4796">
        <f t="shared" ref="AK26:AL26" si="141">+AK14/AK$54*1000</f>
        <v>0</v>
      </c>
      <c r="AL26" s="4796">
        <f t="shared" si="141"/>
        <v>0</v>
      </c>
      <c r="AM26" s="4799">
        <f t="shared" si="139"/>
        <v>0</v>
      </c>
      <c r="AN26" s="4813">
        <f t="shared" si="139"/>
        <v>0</v>
      </c>
      <c r="AO26" s="4797">
        <f t="shared" si="139"/>
        <v>0</v>
      </c>
      <c r="AP26" s="4811">
        <f t="shared" ref="AP26:AT26" si="142">+AP14/AP$54*1000</f>
        <v>0</v>
      </c>
      <c r="AQ26" s="4796">
        <f t="shared" si="142"/>
        <v>0</v>
      </c>
      <c r="AR26" s="4796">
        <f t="shared" si="142"/>
        <v>11.387740031946375</v>
      </c>
      <c r="AS26" s="4797">
        <f t="shared" si="142"/>
        <v>0</v>
      </c>
      <c r="AT26" s="4797">
        <f t="shared" si="142"/>
        <v>1.2818351475131808</v>
      </c>
      <c r="AU26" s="4796">
        <f t="shared" ref="AU26:AX26" si="143">+AU14/AU$54*1000</f>
        <v>0</v>
      </c>
      <c r="AV26" s="4796">
        <f t="shared" si="143"/>
        <v>20.474082260459138</v>
      </c>
      <c r="AW26" s="4797">
        <f t="shared" si="143"/>
        <v>0</v>
      </c>
      <c r="AX26" s="4797">
        <f t="shared" si="143"/>
        <v>3.0720041929907378</v>
      </c>
      <c r="AY26" s="4796">
        <f t="shared" ref="AY26:AZ26" si="144">+AY14/AY$54*1000</f>
        <v>0</v>
      </c>
      <c r="AZ26" s="4796">
        <f t="shared" si="144"/>
        <v>14.975817123469279</v>
      </c>
      <c r="BA26" s="4799">
        <f t="shared" ref="BA26:BB26" si="145">+BA14/BA$54*1000</f>
        <v>0</v>
      </c>
      <c r="BB26" s="4813">
        <f t="shared" si="145"/>
        <v>15.463688690330372</v>
      </c>
      <c r="BC26" s="4636">
        <f t="shared" ref="BC26:BD26" si="146">+BC14/BC$54*1000</f>
        <v>0</v>
      </c>
      <c r="BD26" s="4636">
        <f t="shared" si="146"/>
        <v>7.8649945929380305</v>
      </c>
      <c r="BE26" s="4797">
        <f t="shared" ref="BE26:BF26" si="147">+BE14/BE$54*1000</f>
        <v>0</v>
      </c>
      <c r="BF26" s="4797">
        <f t="shared" si="147"/>
        <v>4.2054544620860428</v>
      </c>
    </row>
    <row r="27" spans="2:58" x14ac:dyDescent="0.25">
      <c r="B27" s="4795" t="s">
        <v>104</v>
      </c>
      <c r="C27" s="147" t="s">
        <v>248</v>
      </c>
      <c r="D27" s="4796">
        <v>149.99836465028045</v>
      </c>
      <c r="E27" s="4796">
        <f t="shared" si="93"/>
        <v>149.99836465028045</v>
      </c>
      <c r="F27" s="4796">
        <f t="shared" si="93"/>
        <v>137.69679681009768</v>
      </c>
      <c r="G27" s="4796">
        <f t="shared" si="93"/>
        <v>150.00000008006282</v>
      </c>
      <c r="H27" s="4796">
        <f t="shared" si="94"/>
        <v>141.49539758704546</v>
      </c>
      <c r="I27" s="4797">
        <f t="shared" si="95"/>
        <v>149.99919097883026</v>
      </c>
      <c r="J27" s="4797">
        <f t="shared" si="95"/>
        <v>139.48567908048378</v>
      </c>
      <c r="K27" s="4796">
        <f t="shared" si="95"/>
        <v>150.00031120764635</v>
      </c>
      <c r="L27" s="4796">
        <f t="shared" si="95"/>
        <v>180.59940814877456</v>
      </c>
      <c r="M27" s="4799">
        <f t="shared" si="95"/>
        <v>149.99966538851061</v>
      </c>
      <c r="N27" s="4799">
        <f t="shared" si="95"/>
        <v>156.79904924542757</v>
      </c>
      <c r="O27" s="4796">
        <f t="shared" ref="O27:Q27" si="148">+O15/O$54*1000</f>
        <v>150</v>
      </c>
      <c r="P27" s="4796">
        <f t="shared" si="148"/>
        <v>152.25599746718245</v>
      </c>
      <c r="Q27" s="4797">
        <f t="shared" si="148"/>
        <v>149.9997672833326</v>
      </c>
      <c r="R27" s="4797">
        <f t="shared" ref="R27:U27" si="149">+R15/R$54*1000</f>
        <v>155.45325078064536</v>
      </c>
      <c r="S27" s="4796">
        <f t="shared" si="149"/>
        <v>150</v>
      </c>
      <c r="T27" s="4796">
        <f t="shared" si="149"/>
        <v>168.55242174825418</v>
      </c>
      <c r="U27" s="4797">
        <f t="shared" si="149"/>
        <v>149.99982160699935</v>
      </c>
      <c r="V27" s="4797">
        <f t="shared" ref="V27:X27" si="150">+V15/V$54*1000</f>
        <v>158.42413019812932</v>
      </c>
      <c r="W27" s="4796">
        <f t="shared" si="150"/>
        <v>150</v>
      </c>
      <c r="X27" s="4796">
        <f t="shared" si="150"/>
        <v>175.29632776653798</v>
      </c>
      <c r="Y27" s="4799">
        <f t="shared" ref="Y27:AA27" si="151">+Y15/Y$54*1000</f>
        <v>150</v>
      </c>
      <c r="Z27" s="4799">
        <f t="shared" si="151"/>
        <v>165.11861094710139</v>
      </c>
      <c r="AA27" s="4636">
        <f t="shared" si="151"/>
        <v>149.99985461522419</v>
      </c>
      <c r="AB27" s="4636">
        <f t="shared" ref="AB27:AO27" si="152">+AB15/AB$54*1000</f>
        <v>161.38629158502692</v>
      </c>
      <c r="AC27" s="4796">
        <f t="shared" si="152"/>
        <v>150</v>
      </c>
      <c r="AD27" s="4796">
        <f t="shared" si="152"/>
        <v>156.63965651404203</v>
      </c>
      <c r="AE27" s="4797">
        <f t="shared" si="152"/>
        <v>149.99987796156458</v>
      </c>
      <c r="AF27" s="4797">
        <f t="shared" si="152"/>
        <v>160.63749901745979</v>
      </c>
      <c r="AG27" s="4796">
        <f t="shared" ref="AG27:AJ27" si="153">+AG15/AG$54*1000</f>
        <v>150</v>
      </c>
      <c r="AH27" s="4796">
        <f t="shared" si="153"/>
        <v>161.87604107764662</v>
      </c>
      <c r="AI27" s="4797">
        <f t="shared" si="153"/>
        <v>149.99989436810881</v>
      </c>
      <c r="AJ27" s="4797">
        <f t="shared" si="153"/>
        <v>160.80139111502578</v>
      </c>
      <c r="AK27" s="4796">
        <f t="shared" ref="AK27:AL27" si="154">+AK15/AK$54*1000</f>
        <v>150</v>
      </c>
      <c r="AL27" s="4796">
        <f t="shared" si="154"/>
        <v>150.21017256742476</v>
      </c>
      <c r="AM27" s="4799">
        <f t="shared" si="152"/>
        <v>150</v>
      </c>
      <c r="AN27" s="4799">
        <f t="shared" si="152"/>
        <v>156.08345116966819</v>
      </c>
      <c r="AO27" s="4797">
        <f t="shared" si="152"/>
        <v>149.99990725866482</v>
      </c>
      <c r="AP27" s="4797">
        <f t="shared" ref="AP27:AT27" si="155">+AP15/AP$54*1000</f>
        <v>159.47251275893052</v>
      </c>
      <c r="AQ27" s="4796">
        <f t="shared" si="155"/>
        <v>150</v>
      </c>
      <c r="AR27" s="4796">
        <f t="shared" si="155"/>
        <v>148.04195726729395</v>
      </c>
      <c r="AS27" s="4797">
        <f t="shared" si="155"/>
        <v>149.99991734525523</v>
      </c>
      <c r="AT27" s="4797">
        <f t="shared" si="155"/>
        <v>158.18585818623433</v>
      </c>
      <c r="AU27" s="4796">
        <f t="shared" ref="AU27:AX27" si="156">+AU15/AU$54*1000</f>
        <v>150</v>
      </c>
      <c r="AV27" s="4796">
        <f t="shared" si="156"/>
        <v>141.19369810040331</v>
      </c>
      <c r="AW27" s="4797">
        <f t="shared" si="156"/>
        <v>149.99992461108175</v>
      </c>
      <c r="AX27" s="4797">
        <f t="shared" si="156"/>
        <v>156.60090365629105</v>
      </c>
      <c r="AY27" s="4796">
        <f t="shared" ref="AY27:AZ27" si="157">+AY15/AY$54*1000</f>
        <v>150</v>
      </c>
      <c r="AZ27" s="4796">
        <f t="shared" si="157"/>
        <v>180.15171484862171</v>
      </c>
      <c r="BA27" s="4799">
        <f t="shared" ref="BA27:BB27" si="158">+BA15/BA$54*1000</f>
        <v>150.00000000000003</v>
      </c>
      <c r="BB27" s="4799">
        <f t="shared" si="158"/>
        <v>157.1590500436227</v>
      </c>
      <c r="BC27" s="4636">
        <f t="shared" ref="BC27:BD27" si="159">+BC15/BC$54*1000</f>
        <v>150</v>
      </c>
      <c r="BD27" s="4636">
        <f t="shared" si="159"/>
        <v>156.63051206162163</v>
      </c>
      <c r="BE27" s="4797">
        <f t="shared" ref="BE27:BF27" si="160">+BE15/BE$54*1000</f>
        <v>149.9999314147266</v>
      </c>
      <c r="BF27" s="4797">
        <f t="shared" si="160"/>
        <v>158.84335096617895</v>
      </c>
    </row>
    <row r="28" spans="2:58" ht="15.75" x14ac:dyDescent="0.25">
      <c r="B28" s="4801" t="s">
        <v>23</v>
      </c>
      <c r="C28" s="4802" t="s">
        <v>248</v>
      </c>
      <c r="D28" s="4803">
        <f>SUM(D18:D27)</f>
        <v>1230.9972362589738</v>
      </c>
      <c r="E28" s="4803">
        <f t="shared" ref="E28:J28" si="161">SUM(E18:E27)</f>
        <v>1230.9972362589738</v>
      </c>
      <c r="F28" s="4803">
        <f t="shared" si="161"/>
        <v>1236.1895220265606</v>
      </c>
      <c r="G28" s="4803">
        <f t="shared" si="161"/>
        <v>1231.0000324514958</v>
      </c>
      <c r="H28" s="4803">
        <f t="shared" si="161"/>
        <v>1237.8037759411097</v>
      </c>
      <c r="I28" s="4805">
        <f t="shared" si="161"/>
        <v>1230.998649082524</v>
      </c>
      <c r="J28" s="4805">
        <f t="shared" si="161"/>
        <v>1236.9497256850136</v>
      </c>
      <c r="K28" s="4803">
        <f t="shared" ref="K28:N28" si="162">SUM(K18:K27)</f>
        <v>1230.9982035085648</v>
      </c>
      <c r="L28" s="4803">
        <f t="shared" si="162"/>
        <v>1261.2038337162792</v>
      </c>
      <c r="M28" s="4807">
        <f t="shared" si="162"/>
        <v>1230.9984603848256</v>
      </c>
      <c r="N28" s="4807">
        <f t="shared" si="162"/>
        <v>1247.1633540734367</v>
      </c>
      <c r="O28" s="4803">
        <f t="shared" ref="O28:R28" si="163">SUM(O18:O27)</f>
        <v>1231</v>
      </c>
      <c r="P28" s="4803">
        <f t="shared" si="163"/>
        <v>1245.2762420649913</v>
      </c>
      <c r="Q28" s="4805">
        <f t="shared" si="163"/>
        <v>1230.9989292235207</v>
      </c>
      <c r="R28" s="4805">
        <f t="shared" si="163"/>
        <v>1246.6043306310894</v>
      </c>
      <c r="S28" s="4803">
        <f t="shared" ref="S28:V28" si="164">SUM(S18:S27)</f>
        <v>1231</v>
      </c>
      <c r="T28" s="4803">
        <f t="shared" si="164"/>
        <v>1255.3381858604912</v>
      </c>
      <c r="U28" s="4805">
        <f t="shared" si="164"/>
        <v>1230.9991791777045</v>
      </c>
      <c r="V28" s="4805">
        <f t="shared" si="164"/>
        <v>1248.5851606241076</v>
      </c>
      <c r="W28" s="4803">
        <f t="shared" ref="W28:X28" si="165">SUM(W18:W27)</f>
        <v>1231</v>
      </c>
      <c r="X28" s="4803">
        <f t="shared" si="165"/>
        <v>1241.4087159074325</v>
      </c>
      <c r="Y28" s="4807">
        <f t="shared" ref="Y28:AF28" si="166">SUM(Y18:Y27)</f>
        <v>1231</v>
      </c>
      <c r="Z28" s="4807">
        <f t="shared" si="166"/>
        <v>1247.4569383387272</v>
      </c>
      <c r="AA28" s="4808">
        <f t="shared" si="166"/>
        <v>1230.9993310552263</v>
      </c>
      <c r="AB28" s="4808">
        <f t="shared" si="166"/>
        <v>1247.3252306506261</v>
      </c>
      <c r="AC28" s="4803">
        <f t="shared" si="166"/>
        <v>1231</v>
      </c>
      <c r="AD28" s="4803">
        <f t="shared" si="166"/>
        <v>1194.0344947828648</v>
      </c>
      <c r="AE28" s="4805">
        <f t="shared" si="166"/>
        <v>1230.9994384764632</v>
      </c>
      <c r="AF28" s="4805">
        <f t="shared" si="166"/>
        <v>1238.9184948596471</v>
      </c>
      <c r="AG28" s="4803">
        <f t="shared" ref="AG28:AJ28" si="167">SUM(AG18:AG27)</f>
        <v>1231</v>
      </c>
      <c r="AH28" s="4803">
        <f t="shared" si="167"/>
        <v>1226.6581579567996</v>
      </c>
      <c r="AI28" s="4805">
        <f t="shared" si="167"/>
        <v>1230.9995139662929</v>
      </c>
      <c r="AJ28" s="4805">
        <f t="shared" si="167"/>
        <v>1237.2961257884101</v>
      </c>
      <c r="AK28" s="4803">
        <f t="shared" ref="AK28:AL28" si="168">SUM(AK18:AK27)</f>
        <v>1231</v>
      </c>
      <c r="AL28" s="4803">
        <f t="shared" si="168"/>
        <v>1205.9963814913672</v>
      </c>
      <c r="AM28" s="4807">
        <f t="shared" ref="AM28:AT28" si="169">SUM(AM18:AM27)</f>
        <v>1231</v>
      </c>
      <c r="AN28" s="4807">
        <f t="shared" si="169"/>
        <v>1208.6541387222708</v>
      </c>
      <c r="AO28" s="4805">
        <f t="shared" si="169"/>
        <v>1230.9995732783498</v>
      </c>
      <c r="AP28" s="4805">
        <f t="shared" si="169"/>
        <v>1233.3689522945656</v>
      </c>
      <c r="AQ28" s="4803">
        <f t="shared" si="169"/>
        <v>1231</v>
      </c>
      <c r="AR28" s="4803">
        <f t="shared" si="169"/>
        <v>1203.2467844809473</v>
      </c>
      <c r="AS28" s="4805">
        <f t="shared" si="169"/>
        <v>1230.9996196887932</v>
      </c>
      <c r="AT28" s="4805">
        <f t="shared" si="169"/>
        <v>1229.9783187435305</v>
      </c>
      <c r="AU28" s="4803">
        <f t="shared" ref="AU28:AX28" si="170">SUM(AU18:AU27)</f>
        <v>1231</v>
      </c>
      <c r="AV28" s="4803">
        <f t="shared" si="170"/>
        <v>1196.8816477574896</v>
      </c>
      <c r="AW28" s="4805">
        <f t="shared" si="170"/>
        <v>1230.9996531203315</v>
      </c>
      <c r="AX28" s="4805">
        <f t="shared" si="170"/>
        <v>1226.8912057255034</v>
      </c>
      <c r="AY28" s="4803">
        <f t="shared" ref="AY28:AZ28" si="171">SUM(AY18:AY27)</f>
        <v>1231</v>
      </c>
      <c r="AZ28" s="4803">
        <f t="shared" si="171"/>
        <v>1190.9192681968163</v>
      </c>
      <c r="BA28" s="4807">
        <f t="shared" ref="BA28:BB28" si="172">SUM(BA18:BA27)</f>
        <v>1231</v>
      </c>
      <c r="BB28" s="4807">
        <f t="shared" si="172"/>
        <v>1196.9554360766215</v>
      </c>
      <c r="BC28" s="4808">
        <f t="shared" ref="BC28:BD28" si="173">SUM(BC18:BC27)</f>
        <v>1231</v>
      </c>
      <c r="BD28" s="4808">
        <f t="shared" si="173"/>
        <v>1202.704055602067</v>
      </c>
      <c r="BE28" s="4805">
        <f t="shared" ref="BE28:BF28" si="174">SUM(BE18:BE27)</f>
        <v>1230.9996844252782</v>
      </c>
      <c r="BF28" s="4805">
        <f t="shared" si="174"/>
        <v>1223.4660509024316</v>
      </c>
    </row>
    <row r="29" spans="2:58" s="334" customFormat="1" ht="18.75" x14ac:dyDescent="0.25">
      <c r="B29" s="4794" t="s">
        <v>1293</v>
      </c>
      <c r="C29" s="4794"/>
      <c r="D29" s="4794"/>
      <c r="E29" s="4794"/>
      <c r="F29" s="4794"/>
      <c r="G29" s="4794"/>
      <c r="H29" s="4794"/>
      <c r="I29" s="4794"/>
      <c r="J29" s="4794"/>
      <c r="K29" s="4794"/>
      <c r="L29" s="4794"/>
      <c r="M29" s="4794"/>
      <c r="N29" s="4794"/>
      <c r="O29" s="4794"/>
      <c r="P29" s="4794"/>
      <c r="Q29" s="4794"/>
      <c r="R29" s="4794"/>
      <c r="S29" s="4794"/>
      <c r="T29" s="4794"/>
      <c r="U29" s="4794"/>
      <c r="V29" s="4794"/>
      <c r="W29" s="4794"/>
      <c r="X29" s="4794"/>
      <c r="Y29" s="4794"/>
      <c r="Z29" s="4794"/>
      <c r="AA29" s="4794"/>
      <c r="AB29" s="4794"/>
      <c r="AC29" s="4794"/>
      <c r="AD29" s="4794"/>
      <c r="AE29" s="4794"/>
      <c r="AF29" s="4794"/>
      <c r="AG29" s="4794"/>
      <c r="AH29" s="4794"/>
      <c r="AI29" s="4794"/>
      <c r="AJ29" s="4794"/>
      <c r="AK29" s="4794"/>
      <c r="AL29" s="4794"/>
      <c r="AM29" s="4794"/>
      <c r="AN29" s="4794"/>
      <c r="AO29" s="4794"/>
      <c r="AP29" s="4794"/>
      <c r="AQ29" s="4794"/>
      <c r="AR29" s="4794"/>
      <c r="AS29" s="4794"/>
      <c r="AT29" s="4794"/>
      <c r="AU29" s="4794"/>
      <c r="AV29" s="4794"/>
      <c r="AW29" s="4794"/>
      <c r="AX29" s="4794"/>
      <c r="AY29" s="4794"/>
      <c r="AZ29" s="4794"/>
      <c r="BA29" s="4794"/>
      <c r="BB29" s="4794"/>
      <c r="BC29" s="4794"/>
      <c r="BD29" s="4794"/>
      <c r="BE29" s="4794"/>
      <c r="BF29" s="4794"/>
    </row>
    <row r="30" spans="2:58" x14ac:dyDescent="0.25">
      <c r="B30" s="4795" t="s">
        <v>46</v>
      </c>
      <c r="C30" s="147" t="s">
        <v>53</v>
      </c>
      <c r="D30" s="4796">
        <v>5150414.6997386273</v>
      </c>
      <c r="E30" s="4796">
        <f t="shared" ref="E30:E38" si="175">+E41*E$54/1000</f>
        <v>301096.99999999994</v>
      </c>
      <c r="F30" s="336">
        <f>+F16</f>
        <v>338082.99999999994</v>
      </c>
      <c r="G30" s="4796">
        <f t="shared" ref="G30:G38" si="176">+G41*G$54/1000</f>
        <v>307508.63116451079</v>
      </c>
      <c r="H30" s="336">
        <f>+H16</f>
        <v>301326</v>
      </c>
      <c r="I30" s="4797">
        <f>+E30+G30</f>
        <v>608605.63116451073</v>
      </c>
      <c r="J30" s="4798">
        <f>+F30+H30</f>
        <v>639409</v>
      </c>
      <c r="K30" s="4796">
        <f t="shared" ref="K30:K38" si="177">+K41*K$54/1000</f>
        <v>447073.65244840586</v>
      </c>
      <c r="L30" s="336">
        <f>+L16</f>
        <v>474253</v>
      </c>
      <c r="M30" s="4799">
        <f>+I30+K30</f>
        <v>1055679.2836129167</v>
      </c>
      <c r="N30" s="4800">
        <f>+J30+L30</f>
        <v>1113662</v>
      </c>
      <c r="O30" s="4796">
        <v>462228.69151445344</v>
      </c>
      <c r="P30" s="336">
        <f>+P16</f>
        <v>468057</v>
      </c>
      <c r="Q30" s="4797">
        <f>+M30+O30</f>
        <v>1517907.9751273701</v>
      </c>
      <c r="R30" s="4798">
        <f>+N30+P30</f>
        <v>1581719</v>
      </c>
      <c r="S30" s="4796">
        <f>+S16</f>
        <v>462228.69151445356</v>
      </c>
      <c r="T30" s="336">
        <f>+T16</f>
        <v>467207.99999900005</v>
      </c>
      <c r="U30" s="4797">
        <f>+Q30+S30</f>
        <v>1980136.6666418237</v>
      </c>
      <c r="V30" s="4798">
        <f>+R30+T30</f>
        <v>2048926.999999</v>
      </c>
      <c r="W30" s="4796">
        <f>+W16</f>
        <v>449571.27061850857</v>
      </c>
      <c r="X30" s="336">
        <f>+X16</f>
        <v>433814</v>
      </c>
      <c r="Y30" s="4799">
        <f t="shared" ref="Y30:Y38" si="178">+O30+S30+W30</f>
        <v>1374028.6536474156</v>
      </c>
      <c r="Z30" s="4800">
        <f t="shared" ref="Z30:Z38" si="179">+P30+T30+X30</f>
        <v>1369078.999999</v>
      </c>
      <c r="AA30" s="4636">
        <f>+U30+W30</f>
        <v>2429707.9372603325</v>
      </c>
      <c r="AB30" s="4814">
        <f>+V30+X30</f>
        <v>2482740.9999989998</v>
      </c>
      <c r="AC30" s="4796">
        <f>+AC16</f>
        <v>464810.97470727167</v>
      </c>
      <c r="AD30" s="336">
        <f>+AD16</f>
        <v>445148</v>
      </c>
      <c r="AE30" s="4797">
        <f>+AA30+AC30</f>
        <v>2894518.9119676044</v>
      </c>
      <c r="AF30" s="4798">
        <f>+AB30+AD30</f>
        <v>2927888.9999989998</v>
      </c>
      <c r="AG30" s="4796">
        <f>+AG16</f>
        <v>449571.27061850857</v>
      </c>
      <c r="AH30" s="336">
        <f>+AH16</f>
        <v>442106</v>
      </c>
      <c r="AI30" s="4797">
        <f>+AE30+AG30</f>
        <v>3344090.182586113</v>
      </c>
      <c r="AJ30" s="4798">
        <f>+AF30+AH30</f>
        <v>3369994.9999989998</v>
      </c>
      <c r="AK30" s="4796">
        <f>+AK16</f>
        <v>464810.97470727167</v>
      </c>
      <c r="AL30" s="336">
        <f>+AL16</f>
        <v>471265.99999899999</v>
      </c>
      <c r="AM30" s="4799">
        <f t="shared" ref="AM30:AM38" si="180">+AC30+AG30+AK30</f>
        <v>1379193.2200330519</v>
      </c>
      <c r="AN30" s="4800">
        <f t="shared" ref="AN30:AN38" si="181">+AD30+AH30+AL30</f>
        <v>1358519.999999</v>
      </c>
      <c r="AO30" s="4797">
        <f>+AI30+AK30</f>
        <v>3808901.1572933849</v>
      </c>
      <c r="AP30" s="4798">
        <f>+AJ30+AL30</f>
        <v>3841260.9999979995</v>
      </c>
      <c r="AQ30" s="4796">
        <f>+AQ16</f>
        <v>464810.97470727167</v>
      </c>
      <c r="AR30" s="336">
        <f>+AR16</f>
        <v>475327.00000099995</v>
      </c>
      <c r="AS30" s="4797">
        <f>+AO30+AQ30</f>
        <v>4273712.1320006568</v>
      </c>
      <c r="AT30" s="4798">
        <f>+AP30+AR30</f>
        <v>4316587.9999989998</v>
      </c>
      <c r="AU30" s="4796">
        <f>+AU16</f>
        <v>411891.51617693092</v>
      </c>
      <c r="AV30" s="336">
        <f>+AV16</f>
        <v>432102.99999999994</v>
      </c>
      <c r="AW30" s="4797">
        <f>+AS30+AU30</f>
        <v>4685603.6481775874</v>
      </c>
      <c r="AX30" s="4798">
        <f>+AT30+AV30</f>
        <v>4748690.9999989998</v>
      </c>
      <c r="AY30" s="4796">
        <f>+AY16</f>
        <v>464810.97470727167</v>
      </c>
      <c r="AZ30" s="336">
        <f>+AZ16</f>
        <v>485089.99999900011</v>
      </c>
      <c r="BA30" s="4799">
        <f t="shared" ref="BA30:BA38" si="182">+AQ30+AU30+AY30</f>
        <v>1341513.4655914742</v>
      </c>
      <c r="BB30" s="4800">
        <f t="shared" ref="BB30:BB38" si="183">+AR30+AV30+AZ30</f>
        <v>1392520</v>
      </c>
      <c r="BC30" s="4636">
        <f t="shared" ref="BC30" si="184">+BC41*BC$54/1000</f>
        <v>2720706.6856245263</v>
      </c>
      <c r="BD30" s="4814">
        <f t="shared" ref="BD30:BD38" si="185">+BB30+AN30</f>
        <v>2751039.9999989998</v>
      </c>
      <c r="BE30" s="4797">
        <f>+AW30+AY30</f>
        <v>5150414.6228848593</v>
      </c>
      <c r="BF30" s="4798">
        <f>+AX30+AZ30</f>
        <v>5233780.9999979995</v>
      </c>
    </row>
    <row r="31" spans="2:58" x14ac:dyDescent="0.25">
      <c r="B31" s="4795" t="s">
        <v>73</v>
      </c>
      <c r="C31" s="147" t="s">
        <v>53</v>
      </c>
      <c r="D31" s="4796">
        <v>83678.549142788441</v>
      </c>
      <c r="E31" s="4796">
        <f t="shared" si="175"/>
        <v>4891.92</v>
      </c>
      <c r="F31" s="147">
        <v>3708</v>
      </c>
      <c r="G31" s="4796">
        <f t="shared" si="176"/>
        <v>4996.0783600000004</v>
      </c>
      <c r="H31" s="336">
        <v>6626</v>
      </c>
      <c r="I31" s="4797">
        <f t="shared" ref="I31:I38" si="186">+E31+G31</f>
        <v>9887.9983600000014</v>
      </c>
      <c r="J31" s="4798">
        <f t="shared" ref="J31:J38" si="187">+F31+H31</f>
        <v>10334</v>
      </c>
      <c r="K31" s="4796">
        <f t="shared" si="177"/>
        <v>7263.5849301121989</v>
      </c>
      <c r="L31" s="4796">
        <v>6469</v>
      </c>
      <c r="M31" s="4799">
        <f t="shared" ref="M31:M38" si="188">+I31+K31</f>
        <v>17151.583290112201</v>
      </c>
      <c r="N31" s="4800">
        <f t="shared" ref="N31:N38" si="189">+J31+L31</f>
        <v>16803</v>
      </c>
      <c r="O31" s="4796">
        <v>7509.8081480821038</v>
      </c>
      <c r="P31" s="336">
        <v>9393</v>
      </c>
      <c r="Q31" s="4797">
        <f t="shared" ref="Q31:Q38" si="190">+M31+O31</f>
        <v>24661.391438194303</v>
      </c>
      <c r="R31" s="4798">
        <f t="shared" ref="R31:R38" si="191">+N31+P31</f>
        <v>26196</v>
      </c>
      <c r="S31" s="4796">
        <v>7509.8081480821038</v>
      </c>
      <c r="T31" s="336">
        <v>2802</v>
      </c>
      <c r="U31" s="4797">
        <f t="shared" ref="U31:U38" si="192">+Q31+S31</f>
        <v>32171.199586276409</v>
      </c>
      <c r="V31" s="4798">
        <f t="shared" ref="V31:V38" si="193">+R31+T31</f>
        <v>28998</v>
      </c>
      <c r="W31" s="4796">
        <v>7304.1636168726018</v>
      </c>
      <c r="X31" s="336">
        <v>6149</v>
      </c>
      <c r="Y31" s="4799">
        <f t="shared" si="178"/>
        <v>22323.779913036808</v>
      </c>
      <c r="Z31" s="4800">
        <f t="shared" si="179"/>
        <v>18344</v>
      </c>
      <c r="AA31" s="4636">
        <f t="shared" ref="AA31:AA38" si="194">+U31+W31</f>
        <v>39475.363203149012</v>
      </c>
      <c r="AB31" s="4814">
        <f t="shared" ref="AB31:AB38" si="195">+V31+X31</f>
        <v>35147</v>
      </c>
      <c r="AC31" s="4796">
        <v>7551.76238354625</v>
      </c>
      <c r="AD31" s="336">
        <v>17472</v>
      </c>
      <c r="AE31" s="4797">
        <f t="shared" ref="AE31:AE38" si="196">+AA31+AC31</f>
        <v>47027.125586695263</v>
      </c>
      <c r="AF31" s="4798">
        <f t="shared" ref="AF31:AF38" si="197">+AB31+AD31</f>
        <v>52619</v>
      </c>
      <c r="AG31" s="4796">
        <v>7304.1636168726018</v>
      </c>
      <c r="AH31" s="336">
        <v>12635</v>
      </c>
      <c r="AI31" s="4797">
        <f t="shared" ref="AI31:AI38" si="198">+AE31+AG31</f>
        <v>54331.289203567867</v>
      </c>
      <c r="AJ31" s="4798">
        <f t="shared" ref="AJ31:AJ38" si="199">+AF31+AH31</f>
        <v>65254</v>
      </c>
      <c r="AK31" s="4796">
        <v>7551.76238354625</v>
      </c>
      <c r="AL31" s="336">
        <v>17509</v>
      </c>
      <c r="AM31" s="4799">
        <f t="shared" si="180"/>
        <v>22407.688383965102</v>
      </c>
      <c r="AN31" s="4800">
        <f t="shared" si="181"/>
        <v>47616</v>
      </c>
      <c r="AO31" s="4797">
        <f t="shared" ref="AO31:AO38" si="200">+AI31+AK31</f>
        <v>61883.051587114118</v>
      </c>
      <c r="AP31" s="4798">
        <f t="shared" ref="AP31:AP38" si="201">+AJ31+AL31</f>
        <v>82763</v>
      </c>
      <c r="AQ31" s="4796">
        <v>7551.76238354625</v>
      </c>
      <c r="AR31" s="336">
        <v>7030</v>
      </c>
      <c r="AS31" s="4797">
        <f t="shared" ref="AS31:AS38" si="202">+AO31+AQ31</f>
        <v>69434.813970660369</v>
      </c>
      <c r="AT31" s="4798">
        <f t="shared" ref="AT31:AT38" si="203">+AP31+AR31</f>
        <v>89793</v>
      </c>
      <c r="AU31" s="4796">
        <v>6691.9823911767826</v>
      </c>
      <c r="AV31" s="336">
        <v>11814</v>
      </c>
      <c r="AW31" s="4797">
        <f t="shared" ref="AW31:AW38" si="204">+AS31+AU31</f>
        <v>76126.796361837158</v>
      </c>
      <c r="AX31" s="4798">
        <f t="shared" ref="AX31:AX38" si="205">+AT31+AV31</f>
        <v>101607</v>
      </c>
      <c r="AY31" s="4796">
        <v>7551.76238354625</v>
      </c>
      <c r="AZ31" s="336">
        <v>18963</v>
      </c>
      <c r="BA31" s="4799">
        <f t="shared" si="182"/>
        <v>21795.507158269284</v>
      </c>
      <c r="BB31" s="4800">
        <f t="shared" si="183"/>
        <v>37807</v>
      </c>
      <c r="BC31" s="4636">
        <f t="shared" ref="BC31:BC38" si="206">+BA31+AM31</f>
        <v>44203.195542234389</v>
      </c>
      <c r="BD31" s="4814">
        <f t="shared" si="185"/>
        <v>85423</v>
      </c>
      <c r="BE31" s="4797">
        <f t="shared" ref="BE31:BE38" si="207">+AW31+AY31</f>
        <v>83678.558745383401</v>
      </c>
      <c r="BF31" s="4798">
        <f t="shared" ref="BF31:BF38" si="208">+AX31+AZ31</f>
        <v>120570</v>
      </c>
    </row>
    <row r="32" spans="2:58" x14ac:dyDescent="0.25">
      <c r="B32" s="4795" t="s">
        <v>823</v>
      </c>
      <c r="C32" s="147" t="s">
        <v>53</v>
      </c>
      <c r="D32" s="4796">
        <v>14675.731185448909</v>
      </c>
      <c r="E32" s="4796">
        <f t="shared" si="175"/>
        <v>1222.98</v>
      </c>
      <c r="F32" s="147">
        <v>5730</v>
      </c>
      <c r="G32" s="4796">
        <f t="shared" si="176"/>
        <v>1249.0195900000001</v>
      </c>
      <c r="H32" s="336">
        <v>2015</v>
      </c>
      <c r="I32" s="4797">
        <f t="shared" si="186"/>
        <v>2471.9995900000004</v>
      </c>
      <c r="J32" s="4798">
        <f t="shared" si="187"/>
        <v>7745</v>
      </c>
      <c r="K32" s="4796">
        <f t="shared" si="177"/>
        <v>1815.8962325280497</v>
      </c>
      <c r="L32" s="4796">
        <v>5949</v>
      </c>
      <c r="M32" s="4799">
        <f t="shared" si="188"/>
        <v>4287.8958225280503</v>
      </c>
      <c r="N32" s="4800">
        <f t="shared" si="189"/>
        <v>13694</v>
      </c>
      <c r="O32" s="4796">
        <v>1222.9775987874091</v>
      </c>
      <c r="P32" s="336">
        <v>8363</v>
      </c>
      <c r="Q32" s="4797">
        <f t="shared" si="190"/>
        <v>5510.8734213154594</v>
      </c>
      <c r="R32" s="4798">
        <f t="shared" si="191"/>
        <v>22057</v>
      </c>
      <c r="S32" s="4796">
        <v>1222.9775987874091</v>
      </c>
      <c r="T32" s="336">
        <v>2585</v>
      </c>
      <c r="U32" s="4797">
        <f t="shared" si="192"/>
        <v>6733.8510201028685</v>
      </c>
      <c r="V32" s="4798">
        <f t="shared" si="193"/>
        <v>24642</v>
      </c>
      <c r="W32" s="4796">
        <v>1222.9775987874091</v>
      </c>
      <c r="X32" s="336">
        <v>1595</v>
      </c>
      <c r="Y32" s="4799">
        <f t="shared" si="178"/>
        <v>3668.9327963622272</v>
      </c>
      <c r="Z32" s="4800">
        <f t="shared" si="179"/>
        <v>12543</v>
      </c>
      <c r="AA32" s="4636">
        <f t="shared" si="194"/>
        <v>7956.8286188902775</v>
      </c>
      <c r="AB32" s="4636">
        <f t="shared" si="195"/>
        <v>26237</v>
      </c>
      <c r="AC32" s="4796">
        <v>1222.9775987874091</v>
      </c>
      <c r="AD32" s="336">
        <v>6211</v>
      </c>
      <c r="AE32" s="4797">
        <f t="shared" si="196"/>
        <v>9179.8062176776875</v>
      </c>
      <c r="AF32" s="4798">
        <f t="shared" si="197"/>
        <v>32448</v>
      </c>
      <c r="AG32" s="4796">
        <v>1222.9775987874091</v>
      </c>
      <c r="AH32" s="336">
        <v>5918</v>
      </c>
      <c r="AI32" s="4797">
        <f t="shared" si="198"/>
        <v>10402.783816465097</v>
      </c>
      <c r="AJ32" s="4798">
        <f t="shared" si="199"/>
        <v>38366</v>
      </c>
      <c r="AK32" s="4796">
        <v>1222.9775987874091</v>
      </c>
      <c r="AL32" s="336">
        <v>1135</v>
      </c>
      <c r="AM32" s="4799">
        <f t="shared" si="180"/>
        <v>3668.9327963622272</v>
      </c>
      <c r="AN32" s="4800">
        <f t="shared" si="181"/>
        <v>13264</v>
      </c>
      <c r="AO32" s="4797">
        <f t="shared" si="200"/>
        <v>11625.761415252506</v>
      </c>
      <c r="AP32" s="4798">
        <f t="shared" si="201"/>
        <v>39501</v>
      </c>
      <c r="AQ32" s="4796">
        <v>1222.9775987874091</v>
      </c>
      <c r="AR32" s="336">
        <v>1147</v>
      </c>
      <c r="AS32" s="4797">
        <f t="shared" si="202"/>
        <v>12848.739014039915</v>
      </c>
      <c r="AT32" s="4798">
        <f t="shared" si="203"/>
        <v>40648</v>
      </c>
      <c r="AU32" s="4796">
        <v>1222.9775987874091</v>
      </c>
      <c r="AV32" s="336">
        <v>471</v>
      </c>
      <c r="AW32" s="4797">
        <f t="shared" si="204"/>
        <v>14071.716612827324</v>
      </c>
      <c r="AX32" s="4798">
        <f t="shared" si="205"/>
        <v>41119</v>
      </c>
      <c r="AY32" s="4796">
        <v>1222.9775987874091</v>
      </c>
      <c r="AZ32" s="336">
        <v>5124</v>
      </c>
      <c r="BA32" s="4799">
        <f t="shared" si="182"/>
        <v>3668.9327963622272</v>
      </c>
      <c r="BB32" s="4800">
        <f t="shared" si="183"/>
        <v>6742</v>
      </c>
      <c r="BC32" s="4636">
        <f t="shared" si="206"/>
        <v>7337.8655927244545</v>
      </c>
      <c r="BD32" s="4636">
        <f t="shared" si="185"/>
        <v>20006</v>
      </c>
      <c r="BE32" s="4797">
        <f t="shared" si="207"/>
        <v>15294.694211614733</v>
      </c>
      <c r="BF32" s="4798">
        <f t="shared" si="208"/>
        <v>46243</v>
      </c>
    </row>
    <row r="33" spans="2:58" x14ac:dyDescent="0.25">
      <c r="B33" s="4795" t="s">
        <v>47</v>
      </c>
      <c r="C33" s="147" t="s">
        <v>53</v>
      </c>
      <c r="D33" s="4796">
        <v>75310.694228509601</v>
      </c>
      <c r="E33" s="4796">
        <f t="shared" si="175"/>
        <v>4402.7280000000001</v>
      </c>
      <c r="F33" s="147">
        <v>2769</v>
      </c>
      <c r="G33" s="4796">
        <f t="shared" si="176"/>
        <v>4496.4705240000003</v>
      </c>
      <c r="H33" s="336">
        <v>1759</v>
      </c>
      <c r="I33" s="4797">
        <f t="shared" si="186"/>
        <v>8899.1985239999995</v>
      </c>
      <c r="J33" s="4798">
        <f t="shared" si="187"/>
        <v>4528</v>
      </c>
      <c r="K33" s="4796">
        <f t="shared" si="177"/>
        <v>6537.2264371009787</v>
      </c>
      <c r="L33" s="4796">
        <v>6196</v>
      </c>
      <c r="M33" s="4799">
        <f t="shared" si="188"/>
        <v>15436.424961100978</v>
      </c>
      <c r="N33" s="4800">
        <f t="shared" si="189"/>
        <v>10724</v>
      </c>
      <c r="O33" s="4796">
        <v>6758.8273332738936</v>
      </c>
      <c r="P33" s="336">
        <v>6330</v>
      </c>
      <c r="Q33" s="4797">
        <f t="shared" si="190"/>
        <v>22195.25229437487</v>
      </c>
      <c r="R33" s="4798">
        <f t="shared" si="191"/>
        <v>17054</v>
      </c>
      <c r="S33" s="4796">
        <v>6758.8273332738936</v>
      </c>
      <c r="T33" s="336">
        <v>6815</v>
      </c>
      <c r="U33" s="4797">
        <f t="shared" si="192"/>
        <v>28954.079627648764</v>
      </c>
      <c r="V33" s="4798">
        <f t="shared" si="193"/>
        <v>23869</v>
      </c>
      <c r="W33" s="4796">
        <v>6573.7472551853416</v>
      </c>
      <c r="X33" s="336">
        <v>6815</v>
      </c>
      <c r="Y33" s="4799">
        <f t="shared" si="178"/>
        <v>20091.40192173313</v>
      </c>
      <c r="Z33" s="4800">
        <f t="shared" si="179"/>
        <v>19960</v>
      </c>
      <c r="AA33" s="4636">
        <f t="shared" si="194"/>
        <v>35527.826882834102</v>
      </c>
      <c r="AB33" s="4636">
        <f t="shared" si="195"/>
        <v>30684</v>
      </c>
      <c r="AC33" s="4796">
        <v>6796.5861451916244</v>
      </c>
      <c r="AD33" s="336">
        <v>7614</v>
      </c>
      <c r="AE33" s="4797">
        <f t="shared" si="196"/>
        <v>42324.413028025723</v>
      </c>
      <c r="AF33" s="4798">
        <f t="shared" si="197"/>
        <v>38298</v>
      </c>
      <c r="AG33" s="4796">
        <v>6573.7472551853416</v>
      </c>
      <c r="AH33" s="336">
        <v>6995</v>
      </c>
      <c r="AI33" s="4797">
        <f t="shared" si="198"/>
        <v>48898.160283211066</v>
      </c>
      <c r="AJ33" s="4798">
        <f t="shared" si="199"/>
        <v>45293</v>
      </c>
      <c r="AK33" s="4796">
        <v>6796.5861451916244</v>
      </c>
      <c r="AL33" s="336">
        <v>6365</v>
      </c>
      <c r="AM33" s="4799">
        <f t="shared" si="180"/>
        <v>20166.919545568591</v>
      </c>
      <c r="AN33" s="4800">
        <f t="shared" si="181"/>
        <v>20974</v>
      </c>
      <c r="AO33" s="4797">
        <f t="shared" si="200"/>
        <v>55694.746428402694</v>
      </c>
      <c r="AP33" s="4798">
        <f t="shared" si="201"/>
        <v>51658</v>
      </c>
      <c r="AQ33" s="4796">
        <v>6796.5861451916244</v>
      </c>
      <c r="AR33" s="336">
        <v>8251</v>
      </c>
      <c r="AS33" s="4797">
        <f t="shared" si="202"/>
        <v>62491.332573594322</v>
      </c>
      <c r="AT33" s="4798">
        <f t="shared" si="203"/>
        <v>59909</v>
      </c>
      <c r="AU33" s="4796">
        <v>6022.7841520591046</v>
      </c>
      <c r="AV33" s="336">
        <v>7739</v>
      </c>
      <c r="AW33" s="4797">
        <f t="shared" si="204"/>
        <v>68514.116725653425</v>
      </c>
      <c r="AX33" s="4798">
        <f t="shared" si="205"/>
        <v>67648</v>
      </c>
      <c r="AY33" s="4796">
        <v>6796.5861451916244</v>
      </c>
      <c r="AZ33" s="336">
        <v>8777</v>
      </c>
      <c r="BA33" s="4799">
        <f t="shared" si="182"/>
        <v>19615.956442442352</v>
      </c>
      <c r="BB33" s="4800">
        <f t="shared" si="183"/>
        <v>24767</v>
      </c>
      <c r="BC33" s="4636">
        <f t="shared" si="206"/>
        <v>39782.875988010943</v>
      </c>
      <c r="BD33" s="4636">
        <f t="shared" si="185"/>
        <v>45741</v>
      </c>
      <c r="BE33" s="4797">
        <f t="shared" si="207"/>
        <v>75310.702870845053</v>
      </c>
      <c r="BF33" s="4798">
        <f t="shared" si="208"/>
        <v>76425</v>
      </c>
    </row>
    <row r="34" spans="2:58" x14ac:dyDescent="0.25">
      <c r="B34" s="4795" t="s">
        <v>74</v>
      </c>
      <c r="C34" s="147" t="s">
        <v>53</v>
      </c>
      <c r="D34" s="4796">
        <v>104598.18642848554</v>
      </c>
      <c r="E34" s="4796">
        <f t="shared" si="175"/>
        <v>6114.9</v>
      </c>
      <c r="F34" s="147">
        <v>2811</v>
      </c>
      <c r="G34" s="4796">
        <f t="shared" si="176"/>
        <v>6245.0979500000003</v>
      </c>
      <c r="H34" s="336">
        <v>4089</v>
      </c>
      <c r="I34" s="4797">
        <f t="shared" si="186"/>
        <v>12359.997950000001</v>
      </c>
      <c r="J34" s="4798">
        <f t="shared" si="187"/>
        <v>6900</v>
      </c>
      <c r="K34" s="4796">
        <f t="shared" si="177"/>
        <v>9079.4811626402497</v>
      </c>
      <c r="L34" s="4796">
        <v>4619</v>
      </c>
      <c r="M34" s="4799">
        <f t="shared" si="188"/>
        <v>21439.479112640249</v>
      </c>
      <c r="N34" s="4800">
        <f t="shared" si="189"/>
        <v>11519</v>
      </c>
      <c r="O34" s="4796">
        <v>9387.2601851026302</v>
      </c>
      <c r="P34" s="336">
        <v>5832</v>
      </c>
      <c r="Q34" s="4797">
        <f t="shared" si="190"/>
        <v>30826.739297742879</v>
      </c>
      <c r="R34" s="4798">
        <f t="shared" si="191"/>
        <v>17351</v>
      </c>
      <c r="S34" s="4796">
        <v>9387.2601851026302</v>
      </c>
      <c r="T34" s="336">
        <v>5469</v>
      </c>
      <c r="U34" s="4797">
        <f t="shared" si="192"/>
        <v>40213.999482845509</v>
      </c>
      <c r="V34" s="4798">
        <f t="shared" si="193"/>
        <v>22820</v>
      </c>
      <c r="W34" s="4796">
        <v>9130.2045210907527</v>
      </c>
      <c r="X34" s="336">
        <v>5276</v>
      </c>
      <c r="Y34" s="4799">
        <f t="shared" si="178"/>
        <v>27904.724891296013</v>
      </c>
      <c r="Z34" s="4800">
        <f t="shared" si="179"/>
        <v>16577</v>
      </c>
      <c r="AA34" s="4636">
        <f t="shared" si="194"/>
        <v>49344.204003936262</v>
      </c>
      <c r="AB34" s="4636">
        <f t="shared" si="195"/>
        <v>28096</v>
      </c>
      <c r="AC34" s="4796">
        <v>9439.7029794328118</v>
      </c>
      <c r="AD34" s="336">
        <v>9256</v>
      </c>
      <c r="AE34" s="4797">
        <f t="shared" si="196"/>
        <v>58783.906983369074</v>
      </c>
      <c r="AF34" s="4798">
        <f t="shared" si="197"/>
        <v>37352</v>
      </c>
      <c r="AG34" s="4796">
        <v>9130.2045210907527</v>
      </c>
      <c r="AH34" s="336">
        <v>7278</v>
      </c>
      <c r="AI34" s="4797">
        <f t="shared" si="198"/>
        <v>67914.111504459826</v>
      </c>
      <c r="AJ34" s="4798">
        <f t="shared" si="199"/>
        <v>44630</v>
      </c>
      <c r="AK34" s="4796">
        <v>9439.7029794328118</v>
      </c>
      <c r="AL34" s="336">
        <v>7929</v>
      </c>
      <c r="AM34" s="4799">
        <f t="shared" si="180"/>
        <v>28009.610479956376</v>
      </c>
      <c r="AN34" s="4800">
        <f t="shared" si="181"/>
        <v>24463</v>
      </c>
      <c r="AO34" s="4797">
        <f t="shared" si="200"/>
        <v>77353.814483892638</v>
      </c>
      <c r="AP34" s="4798">
        <f t="shared" si="201"/>
        <v>52559</v>
      </c>
      <c r="AQ34" s="4796">
        <v>9439.7029794328118</v>
      </c>
      <c r="AR34" s="336">
        <v>6398</v>
      </c>
      <c r="AS34" s="4797">
        <f t="shared" si="202"/>
        <v>86793.51746332545</v>
      </c>
      <c r="AT34" s="4798">
        <f t="shared" si="203"/>
        <v>58957</v>
      </c>
      <c r="AU34" s="4796">
        <v>8364.9779889709789</v>
      </c>
      <c r="AV34" s="336">
        <v>5232</v>
      </c>
      <c r="AW34" s="4797">
        <f t="shared" si="204"/>
        <v>95158.495452296425</v>
      </c>
      <c r="AX34" s="4798">
        <f t="shared" si="205"/>
        <v>64189</v>
      </c>
      <c r="AY34" s="4796">
        <v>9439.7029794328118</v>
      </c>
      <c r="AZ34" s="336">
        <v>5174</v>
      </c>
      <c r="BA34" s="4799">
        <f t="shared" si="182"/>
        <v>27244.383947836603</v>
      </c>
      <c r="BB34" s="4800">
        <f t="shared" si="183"/>
        <v>16804</v>
      </c>
      <c r="BC34" s="4636">
        <f t="shared" si="206"/>
        <v>55253.994427792975</v>
      </c>
      <c r="BD34" s="4636">
        <f t="shared" si="185"/>
        <v>41267</v>
      </c>
      <c r="BE34" s="4797">
        <f t="shared" si="207"/>
        <v>104598.19843172924</v>
      </c>
      <c r="BF34" s="4798">
        <f t="shared" si="208"/>
        <v>69363</v>
      </c>
    </row>
    <row r="35" spans="2:58" x14ac:dyDescent="0.25">
      <c r="B35" s="4795" t="s">
        <v>70</v>
      </c>
      <c r="C35" s="147" t="s">
        <v>53</v>
      </c>
      <c r="D35" s="4796">
        <v>334714.19657115376</v>
      </c>
      <c r="E35" s="4796">
        <f t="shared" si="175"/>
        <v>19567.68</v>
      </c>
      <c r="F35" s="4796">
        <v>21879</v>
      </c>
      <c r="G35" s="4796">
        <f t="shared" si="176"/>
        <v>19984.313440000002</v>
      </c>
      <c r="H35" s="336">
        <v>19475</v>
      </c>
      <c r="I35" s="4797">
        <f t="shared" si="186"/>
        <v>39551.993440000006</v>
      </c>
      <c r="J35" s="4797">
        <f t="shared" si="187"/>
        <v>41354</v>
      </c>
      <c r="K35" s="4796">
        <f t="shared" si="177"/>
        <v>29054.339720448796</v>
      </c>
      <c r="L35" s="4796">
        <v>30082.560000000001</v>
      </c>
      <c r="M35" s="4799">
        <f t="shared" si="188"/>
        <v>68606.333160448805</v>
      </c>
      <c r="N35" s="4799">
        <f t="shared" si="189"/>
        <v>71436.56</v>
      </c>
      <c r="O35" s="4796">
        <v>30039.232592328415</v>
      </c>
      <c r="P35" s="336">
        <v>30069.279999999999</v>
      </c>
      <c r="Q35" s="4797">
        <f t="shared" si="190"/>
        <v>98645.565752777213</v>
      </c>
      <c r="R35" s="4797">
        <f t="shared" si="191"/>
        <v>101505.84</v>
      </c>
      <c r="S35" s="4796">
        <v>30039.232592328415</v>
      </c>
      <c r="T35" s="336">
        <v>29774.16</v>
      </c>
      <c r="U35" s="4797">
        <f t="shared" si="192"/>
        <v>128684.79834510564</v>
      </c>
      <c r="V35" s="4797">
        <f t="shared" si="193"/>
        <v>131280</v>
      </c>
      <c r="W35" s="4796">
        <v>29216.654467490407</v>
      </c>
      <c r="X35" s="336">
        <v>27956.240000000002</v>
      </c>
      <c r="Y35" s="4799">
        <f t="shared" si="178"/>
        <v>89295.11965214723</v>
      </c>
      <c r="Z35" s="4799">
        <f t="shared" si="179"/>
        <v>87799.680000000008</v>
      </c>
      <c r="AA35" s="4636">
        <f t="shared" si="194"/>
        <v>157901.45281259605</v>
      </c>
      <c r="AB35" s="4636">
        <f t="shared" si="195"/>
        <v>159236.24</v>
      </c>
      <c r="AC35" s="4796">
        <v>30207.049534185</v>
      </c>
      <c r="AD35" s="336">
        <v>29824.799999999999</v>
      </c>
      <c r="AE35" s="4797">
        <f t="shared" si="196"/>
        <v>188108.50234678105</v>
      </c>
      <c r="AF35" s="4797">
        <f t="shared" si="197"/>
        <v>189061.03999999998</v>
      </c>
      <c r="AG35" s="4796">
        <v>29216.654467490407</v>
      </c>
      <c r="AH35" s="336">
        <v>28833.200000000001</v>
      </c>
      <c r="AI35" s="4797">
        <f t="shared" si="198"/>
        <v>217325.15681427147</v>
      </c>
      <c r="AJ35" s="4797">
        <f t="shared" si="199"/>
        <v>217894.24</v>
      </c>
      <c r="AK35" s="4796">
        <v>30207.049534185</v>
      </c>
      <c r="AL35" s="336">
        <v>31261.52</v>
      </c>
      <c r="AM35" s="4799">
        <f t="shared" si="180"/>
        <v>89630.753535860407</v>
      </c>
      <c r="AN35" s="4799">
        <f t="shared" si="181"/>
        <v>89919.52</v>
      </c>
      <c r="AO35" s="4797">
        <f t="shared" si="200"/>
        <v>247532.20634845647</v>
      </c>
      <c r="AP35" s="4797">
        <f t="shared" si="201"/>
        <v>249155.75999999998</v>
      </c>
      <c r="AQ35" s="4796">
        <v>30207.049534185</v>
      </c>
      <c r="AR35" s="336">
        <v>31602.959999999999</v>
      </c>
      <c r="AS35" s="4797">
        <f t="shared" si="202"/>
        <v>277739.25588264148</v>
      </c>
      <c r="AT35" s="4797">
        <f t="shared" si="203"/>
        <v>280758.71999999997</v>
      </c>
      <c r="AU35" s="4796">
        <v>26767.92956470713</v>
      </c>
      <c r="AV35" s="336">
        <v>28881.920000000002</v>
      </c>
      <c r="AW35" s="4797">
        <f t="shared" si="204"/>
        <v>304507.18544734863</v>
      </c>
      <c r="AX35" s="4797">
        <f t="shared" si="205"/>
        <v>309640.63999999996</v>
      </c>
      <c r="AY35" s="4796">
        <v>30207.049534185</v>
      </c>
      <c r="AZ35" s="336">
        <v>32585.920000000002</v>
      </c>
      <c r="BA35" s="4799">
        <f t="shared" si="182"/>
        <v>87182.028633077134</v>
      </c>
      <c r="BB35" s="4799">
        <f t="shared" si="183"/>
        <v>93070.8</v>
      </c>
      <c r="BC35" s="4636">
        <f t="shared" si="206"/>
        <v>176812.78216893756</v>
      </c>
      <c r="BD35" s="4636">
        <f t="shared" si="185"/>
        <v>182990.32</v>
      </c>
      <c r="BE35" s="4797">
        <f t="shared" si="207"/>
        <v>334714.23498153361</v>
      </c>
      <c r="BF35" s="4797">
        <f t="shared" si="208"/>
        <v>342226.55999999994</v>
      </c>
    </row>
    <row r="36" spans="2:58" x14ac:dyDescent="0.25">
      <c r="B36" s="4795" t="s">
        <v>103</v>
      </c>
      <c r="C36" s="147" t="s">
        <v>53</v>
      </c>
      <c r="D36" s="4796">
        <v>711267.66771370184</v>
      </c>
      <c r="E36" s="4796">
        <f t="shared" si="175"/>
        <v>41581.32</v>
      </c>
      <c r="F36" s="4796">
        <v>45739</v>
      </c>
      <c r="G36" s="4796">
        <f t="shared" si="176"/>
        <v>42466.666060000003</v>
      </c>
      <c r="H36" s="4796">
        <v>35277</v>
      </c>
      <c r="I36" s="4797">
        <f t="shared" si="186"/>
        <v>84047.986059999996</v>
      </c>
      <c r="J36" s="4797">
        <f t="shared" si="187"/>
        <v>81016</v>
      </c>
      <c r="K36" s="4796">
        <f t="shared" si="177"/>
        <v>61740.471905953687</v>
      </c>
      <c r="L36" s="4796">
        <v>55761</v>
      </c>
      <c r="M36" s="4799">
        <f t="shared" si="188"/>
        <v>145788.45796595368</v>
      </c>
      <c r="N36" s="4799">
        <f t="shared" si="189"/>
        <v>136777</v>
      </c>
      <c r="O36" s="4796">
        <v>63833.36925869788</v>
      </c>
      <c r="P36" s="336">
        <v>52986</v>
      </c>
      <c r="Q36" s="4797">
        <f t="shared" si="190"/>
        <v>209621.82722465156</v>
      </c>
      <c r="R36" s="4797">
        <f t="shared" si="191"/>
        <v>189763</v>
      </c>
      <c r="S36" s="4796">
        <v>63833.36925869788</v>
      </c>
      <c r="T36" s="336">
        <v>58469</v>
      </c>
      <c r="U36" s="4797">
        <f t="shared" si="192"/>
        <v>273455.19648334943</v>
      </c>
      <c r="V36" s="4797">
        <f t="shared" si="193"/>
        <v>248232</v>
      </c>
      <c r="W36" s="4796">
        <v>62085.39074341712</v>
      </c>
      <c r="X36" s="336">
        <v>55778</v>
      </c>
      <c r="Y36" s="4799">
        <f t="shared" si="178"/>
        <v>189752.12926081289</v>
      </c>
      <c r="Z36" s="4799">
        <f t="shared" si="179"/>
        <v>167233</v>
      </c>
      <c r="AA36" s="4636">
        <f t="shared" si="194"/>
        <v>335540.58722676657</v>
      </c>
      <c r="AB36" s="4636">
        <f t="shared" si="195"/>
        <v>304010</v>
      </c>
      <c r="AC36" s="4796">
        <v>64189.980260143122</v>
      </c>
      <c r="AD36" s="336">
        <v>54740</v>
      </c>
      <c r="AE36" s="4797">
        <f t="shared" si="196"/>
        <v>399730.56748690968</v>
      </c>
      <c r="AF36" s="4797">
        <f t="shared" si="197"/>
        <v>358750</v>
      </c>
      <c r="AG36" s="4796">
        <v>62085.39074341712</v>
      </c>
      <c r="AH36" s="336">
        <v>59693</v>
      </c>
      <c r="AI36" s="4797">
        <f t="shared" si="198"/>
        <v>461815.95823032683</v>
      </c>
      <c r="AJ36" s="4797">
        <f t="shared" si="199"/>
        <v>418443</v>
      </c>
      <c r="AK36" s="4796">
        <v>64189.980260143122</v>
      </c>
      <c r="AL36" s="336">
        <v>59116</v>
      </c>
      <c r="AM36" s="4799">
        <f t="shared" si="180"/>
        <v>190465.35126370337</v>
      </c>
      <c r="AN36" s="4799">
        <f t="shared" si="181"/>
        <v>173549</v>
      </c>
      <c r="AO36" s="4797">
        <f t="shared" si="200"/>
        <v>526005.93849046994</v>
      </c>
      <c r="AP36" s="4797">
        <f t="shared" si="201"/>
        <v>477559</v>
      </c>
      <c r="AQ36" s="4796">
        <v>64189.980260143122</v>
      </c>
      <c r="AR36" s="336">
        <v>58847</v>
      </c>
      <c r="AS36" s="4797">
        <f t="shared" si="202"/>
        <v>590195.91875061311</v>
      </c>
      <c r="AT36" s="4797">
        <f t="shared" si="203"/>
        <v>536406</v>
      </c>
      <c r="AU36" s="4796">
        <v>56881.850325002655</v>
      </c>
      <c r="AV36" s="336">
        <v>51869</v>
      </c>
      <c r="AW36" s="4797">
        <f t="shared" si="204"/>
        <v>647077.7690756158</v>
      </c>
      <c r="AX36" s="4797">
        <f t="shared" si="205"/>
        <v>588275</v>
      </c>
      <c r="AY36" s="4796">
        <v>64189.980260143122</v>
      </c>
      <c r="AZ36" s="336">
        <v>47966</v>
      </c>
      <c r="BA36" s="4799">
        <f t="shared" si="182"/>
        <v>185261.81084528888</v>
      </c>
      <c r="BB36" s="4799">
        <f t="shared" si="183"/>
        <v>158682</v>
      </c>
      <c r="BC36" s="4636">
        <f t="shared" si="206"/>
        <v>375727.16210899223</v>
      </c>
      <c r="BD36" s="4636">
        <f t="shared" si="185"/>
        <v>332231</v>
      </c>
      <c r="BE36" s="4797">
        <f t="shared" si="207"/>
        <v>711267.74933575897</v>
      </c>
      <c r="BF36" s="4797">
        <f t="shared" si="208"/>
        <v>636241</v>
      </c>
    </row>
    <row r="37" spans="2:58" s="666" customFormat="1" x14ac:dyDescent="0.25">
      <c r="B37" s="4795" t="s">
        <v>838</v>
      </c>
      <c r="C37" s="147" t="s">
        <v>53</v>
      </c>
      <c r="D37" s="4796">
        <v>20919.63728569711</v>
      </c>
      <c r="E37" s="4796">
        <f t="shared" si="175"/>
        <v>1222.98</v>
      </c>
      <c r="F37" s="4796">
        <v>2000</v>
      </c>
      <c r="G37" s="4796">
        <f t="shared" si="176"/>
        <v>1249.0195900000001</v>
      </c>
      <c r="H37" s="4796">
        <v>2027</v>
      </c>
      <c r="I37" s="4797">
        <f t="shared" ref="I37" si="209">+E37+G37</f>
        <v>2471.9995900000004</v>
      </c>
      <c r="J37" s="4797">
        <f t="shared" ref="J37" si="210">+F37+H37</f>
        <v>4027</v>
      </c>
      <c r="K37" s="4796">
        <f t="shared" si="177"/>
        <v>1815.8962325280497</v>
      </c>
      <c r="L37" s="4796">
        <v>2000</v>
      </c>
      <c r="M37" s="4799">
        <f t="shared" ref="M37" si="211">+I37+K37</f>
        <v>4287.8958225280503</v>
      </c>
      <c r="N37" s="4799">
        <f t="shared" ref="N37" si="212">+J37+L37</f>
        <v>6027</v>
      </c>
      <c r="O37" s="4796">
        <v>1877.4520370205259</v>
      </c>
      <c r="P37" s="336">
        <v>1000</v>
      </c>
      <c r="Q37" s="4797">
        <f t="shared" ref="Q37" si="213">+M37+O37</f>
        <v>6165.3478595485758</v>
      </c>
      <c r="R37" s="4797">
        <f t="shared" ref="R37" si="214">+N37+P37</f>
        <v>7027</v>
      </c>
      <c r="S37" s="4796">
        <v>1877.4520370205259</v>
      </c>
      <c r="T37" s="336">
        <v>2000</v>
      </c>
      <c r="U37" s="4797">
        <f t="shared" si="192"/>
        <v>8042.7998965691022</v>
      </c>
      <c r="V37" s="4797">
        <f t="shared" si="193"/>
        <v>9027</v>
      </c>
      <c r="W37" s="4796">
        <v>1826.0409042181504</v>
      </c>
      <c r="X37" s="336">
        <v>2000</v>
      </c>
      <c r="Y37" s="4799">
        <f t="shared" si="178"/>
        <v>5580.9449782592019</v>
      </c>
      <c r="Z37" s="4799">
        <f t="shared" si="179"/>
        <v>5000</v>
      </c>
      <c r="AA37" s="4636">
        <f t="shared" si="194"/>
        <v>9868.8408007872531</v>
      </c>
      <c r="AB37" s="4636">
        <f t="shared" si="195"/>
        <v>11027</v>
      </c>
      <c r="AC37" s="4796">
        <v>1887.9405958865625</v>
      </c>
      <c r="AD37" s="336">
        <v>3500</v>
      </c>
      <c r="AE37" s="4797">
        <f t="shared" si="196"/>
        <v>11756.781396673816</v>
      </c>
      <c r="AF37" s="4797">
        <f t="shared" si="197"/>
        <v>14527</v>
      </c>
      <c r="AG37" s="4796">
        <v>1826.0409042181504</v>
      </c>
      <c r="AH37" s="336">
        <v>2000</v>
      </c>
      <c r="AI37" s="4797">
        <f t="shared" si="198"/>
        <v>13582.822300891967</v>
      </c>
      <c r="AJ37" s="4797">
        <f t="shared" si="199"/>
        <v>16527</v>
      </c>
      <c r="AK37" s="4796">
        <v>1887.9405958865625</v>
      </c>
      <c r="AL37" s="336">
        <v>2000</v>
      </c>
      <c r="AM37" s="4799">
        <f t="shared" si="180"/>
        <v>5601.9220959912755</v>
      </c>
      <c r="AN37" s="4799">
        <f t="shared" si="181"/>
        <v>7500</v>
      </c>
      <c r="AO37" s="4797">
        <f t="shared" si="200"/>
        <v>15470.762896778529</v>
      </c>
      <c r="AP37" s="4797">
        <f t="shared" si="201"/>
        <v>18527</v>
      </c>
      <c r="AQ37" s="4796">
        <v>1887.9405958865625</v>
      </c>
      <c r="AR37" s="336">
        <v>3500</v>
      </c>
      <c r="AS37" s="4797">
        <f t="shared" si="202"/>
        <v>17358.703492665092</v>
      </c>
      <c r="AT37" s="4797">
        <f t="shared" si="203"/>
        <v>22027</v>
      </c>
      <c r="AU37" s="4796">
        <v>1672.9955977941956</v>
      </c>
      <c r="AV37" s="336">
        <v>2000</v>
      </c>
      <c r="AW37" s="4797">
        <f t="shared" si="204"/>
        <v>19031.699090459289</v>
      </c>
      <c r="AX37" s="4797">
        <f t="shared" si="205"/>
        <v>24027</v>
      </c>
      <c r="AY37" s="4796">
        <v>1887.9405958865625</v>
      </c>
      <c r="AZ37" s="336">
        <v>2000</v>
      </c>
      <c r="BA37" s="4799">
        <f t="shared" si="182"/>
        <v>5448.8767895673209</v>
      </c>
      <c r="BB37" s="4799">
        <f>+AR37+AV37+AZ37</f>
        <v>7500</v>
      </c>
      <c r="BC37" s="4636">
        <f t="shared" si="206"/>
        <v>11050.798885558597</v>
      </c>
      <c r="BD37" s="4636">
        <f t="shared" si="185"/>
        <v>15000</v>
      </c>
      <c r="BE37" s="4797">
        <f t="shared" si="207"/>
        <v>20919.63968634585</v>
      </c>
      <c r="BF37" s="4797">
        <f t="shared" si="208"/>
        <v>26027</v>
      </c>
    </row>
    <row r="38" spans="2:58" x14ac:dyDescent="0.25">
      <c r="B38" s="4795" t="s">
        <v>71</v>
      </c>
      <c r="C38" s="147" t="s">
        <v>53</v>
      </c>
      <c r="D38" s="4796">
        <v>167357.09828557688</v>
      </c>
      <c r="E38" s="4796">
        <f t="shared" si="175"/>
        <v>9783.84</v>
      </c>
      <c r="F38" s="4796">
        <v>10940</v>
      </c>
      <c r="G38" s="4796">
        <f t="shared" si="176"/>
        <v>9992.1567200000009</v>
      </c>
      <c r="H38" s="4796">
        <v>9737</v>
      </c>
      <c r="I38" s="4797">
        <f t="shared" si="186"/>
        <v>19775.996720000003</v>
      </c>
      <c r="J38" s="4797">
        <f t="shared" si="187"/>
        <v>20677</v>
      </c>
      <c r="K38" s="4796">
        <f t="shared" si="177"/>
        <v>14527.169860224398</v>
      </c>
      <c r="L38" s="4796">
        <v>15041.28</v>
      </c>
      <c r="M38" s="4799">
        <f t="shared" si="188"/>
        <v>34303.166580224402</v>
      </c>
      <c r="N38" s="4799">
        <f t="shared" si="189"/>
        <v>35718.28</v>
      </c>
      <c r="O38" s="4796">
        <v>15019.616296164208</v>
      </c>
      <c r="P38" s="336">
        <v>15034.64</v>
      </c>
      <c r="Q38" s="4797">
        <f t="shared" si="190"/>
        <v>49322.782876388606</v>
      </c>
      <c r="R38" s="4797">
        <f t="shared" si="191"/>
        <v>50752.92</v>
      </c>
      <c r="S38" s="4796">
        <v>15019.616296164208</v>
      </c>
      <c r="T38" s="336">
        <v>14887.08</v>
      </c>
      <c r="U38" s="4797">
        <f t="shared" si="192"/>
        <v>64342.399172552818</v>
      </c>
      <c r="V38" s="4797">
        <f t="shared" si="193"/>
        <v>65640</v>
      </c>
      <c r="W38" s="4796">
        <v>14608.327233745204</v>
      </c>
      <c r="X38" s="336">
        <v>13978.12</v>
      </c>
      <c r="Y38" s="4799">
        <f t="shared" si="178"/>
        <v>44647.559826073615</v>
      </c>
      <c r="Z38" s="4799">
        <f t="shared" si="179"/>
        <v>43899.840000000004</v>
      </c>
      <c r="AA38" s="4636">
        <f t="shared" si="194"/>
        <v>78950.726406298025</v>
      </c>
      <c r="AB38" s="4636">
        <f t="shared" si="195"/>
        <v>79618.12</v>
      </c>
      <c r="AC38" s="4796">
        <v>15103.5247670925</v>
      </c>
      <c r="AD38" s="336">
        <v>14912.4</v>
      </c>
      <c r="AE38" s="4797">
        <f t="shared" si="196"/>
        <v>94054.251173390527</v>
      </c>
      <c r="AF38" s="4797">
        <f t="shared" si="197"/>
        <v>94530.51999999999</v>
      </c>
      <c r="AG38" s="4796">
        <v>14608.327233745204</v>
      </c>
      <c r="AH38" s="336">
        <v>14416.6</v>
      </c>
      <c r="AI38" s="4797">
        <f t="shared" si="198"/>
        <v>108662.57840713573</v>
      </c>
      <c r="AJ38" s="4797">
        <f t="shared" si="199"/>
        <v>108947.12</v>
      </c>
      <c r="AK38" s="4796">
        <v>15103.5247670925</v>
      </c>
      <c r="AL38" s="336">
        <v>15630.76</v>
      </c>
      <c r="AM38" s="4799">
        <f t="shared" si="180"/>
        <v>44815.376767930204</v>
      </c>
      <c r="AN38" s="4799">
        <f t="shared" si="181"/>
        <v>44959.76</v>
      </c>
      <c r="AO38" s="4797">
        <f t="shared" si="200"/>
        <v>123766.10317422824</v>
      </c>
      <c r="AP38" s="4797">
        <f t="shared" si="201"/>
        <v>124577.87999999999</v>
      </c>
      <c r="AQ38" s="4796">
        <v>15103.5247670925</v>
      </c>
      <c r="AR38" s="336">
        <v>15801.48</v>
      </c>
      <c r="AS38" s="4797">
        <f t="shared" si="202"/>
        <v>138869.62794132074</v>
      </c>
      <c r="AT38" s="4797">
        <f t="shared" si="203"/>
        <v>140379.35999999999</v>
      </c>
      <c r="AU38" s="4796">
        <v>13383.964782353565</v>
      </c>
      <c r="AV38" s="336">
        <v>14440.960000000001</v>
      </c>
      <c r="AW38" s="4797">
        <f t="shared" si="204"/>
        <v>152253.59272367432</v>
      </c>
      <c r="AX38" s="4797">
        <f t="shared" si="205"/>
        <v>154820.31999999998</v>
      </c>
      <c r="AY38" s="4796">
        <v>15103.5247670925</v>
      </c>
      <c r="AZ38" s="336">
        <v>16292.960000000001</v>
      </c>
      <c r="BA38" s="4799">
        <f t="shared" si="182"/>
        <v>43591.014316538567</v>
      </c>
      <c r="BB38" s="4799">
        <f t="shared" si="183"/>
        <v>46535.4</v>
      </c>
      <c r="BC38" s="4636">
        <f t="shared" si="206"/>
        <v>88406.391084468778</v>
      </c>
      <c r="BD38" s="4636">
        <f t="shared" si="185"/>
        <v>91495.16</v>
      </c>
      <c r="BE38" s="4797">
        <f t="shared" si="207"/>
        <v>167357.1174907668</v>
      </c>
      <c r="BF38" s="4797">
        <f t="shared" si="208"/>
        <v>171113.27999999997</v>
      </c>
    </row>
    <row r="39" spans="2:58" ht="15.75" x14ac:dyDescent="0.25">
      <c r="B39" s="4801" t="s">
        <v>23</v>
      </c>
      <c r="C39" s="4802" t="s">
        <v>53</v>
      </c>
      <c r="D39" s="4803">
        <f>SUM(D30:D38)</f>
        <v>6662936.4605799895</v>
      </c>
      <c r="E39" s="4803">
        <f t="shared" ref="E39:J39" si="215">SUM(E30:E38)</f>
        <v>389885.34799999994</v>
      </c>
      <c r="F39" s="4803">
        <f t="shared" si="215"/>
        <v>433658.99999999994</v>
      </c>
      <c r="G39" s="4803">
        <f t="shared" si="215"/>
        <v>398187.45339851081</v>
      </c>
      <c r="H39" s="4803">
        <f t="shared" si="215"/>
        <v>382331</v>
      </c>
      <c r="I39" s="4805">
        <f t="shared" si="215"/>
        <v>788072.80139851081</v>
      </c>
      <c r="J39" s="4805">
        <f t="shared" si="215"/>
        <v>815990</v>
      </c>
      <c r="K39" s="4803">
        <f t="shared" ref="K39:N39" si="216">SUM(K30:K38)</f>
        <v>578907.71892994212</v>
      </c>
      <c r="L39" s="4803">
        <f t="shared" si="216"/>
        <v>600370.84000000008</v>
      </c>
      <c r="M39" s="4807">
        <f t="shared" si="216"/>
        <v>1366980.5203284533</v>
      </c>
      <c r="N39" s="4807">
        <f t="shared" si="216"/>
        <v>1416360.84</v>
      </c>
      <c r="O39" s="4803">
        <f t="shared" ref="O39:R39" si="217">SUM(O30:O38)</f>
        <v>597877.23496391042</v>
      </c>
      <c r="P39" s="4803">
        <f t="shared" si="217"/>
        <v>597064.92000000004</v>
      </c>
      <c r="Q39" s="4805">
        <f t="shared" si="217"/>
        <v>1964857.7552923639</v>
      </c>
      <c r="R39" s="4805">
        <f t="shared" si="217"/>
        <v>2013425.76</v>
      </c>
      <c r="S39" s="4803">
        <f t="shared" ref="S39:V39" si="218">SUM(S30:S38)</f>
        <v>597877.23496391054</v>
      </c>
      <c r="T39" s="4803">
        <f t="shared" si="218"/>
        <v>590009.23999899998</v>
      </c>
      <c r="U39" s="4805">
        <f t="shared" si="218"/>
        <v>2562734.9902562741</v>
      </c>
      <c r="V39" s="4805">
        <f t="shared" si="218"/>
        <v>2603434.9999989998</v>
      </c>
      <c r="W39" s="4803">
        <f t="shared" ref="W39:X39" si="219">SUM(W30:W38)</f>
        <v>581538.77695931552</v>
      </c>
      <c r="X39" s="4803">
        <f t="shared" si="219"/>
        <v>553361.36</v>
      </c>
      <c r="Y39" s="4807">
        <f t="shared" ref="Y39:AF39" si="220">SUM(Y30:Y38)</f>
        <v>1777293.2468871369</v>
      </c>
      <c r="Z39" s="4807">
        <f t="shared" si="220"/>
        <v>1740435.519999</v>
      </c>
      <c r="AA39" s="4808">
        <f t="shared" si="220"/>
        <v>3144273.76721559</v>
      </c>
      <c r="AB39" s="4809">
        <f t="shared" si="220"/>
        <v>3156796.3599990001</v>
      </c>
      <c r="AC39" s="4803">
        <f t="shared" si="220"/>
        <v>601210.49897153699</v>
      </c>
      <c r="AD39" s="4803">
        <f t="shared" si="220"/>
        <v>588678.20000000007</v>
      </c>
      <c r="AE39" s="4805">
        <f t="shared" si="220"/>
        <v>3745484.2661871272</v>
      </c>
      <c r="AF39" s="4805">
        <f t="shared" si="220"/>
        <v>3745474.5599989998</v>
      </c>
      <c r="AG39" s="4803">
        <f t="shared" ref="AG39:AJ39" si="221">SUM(AG30:AG38)</f>
        <v>581538.77695931552</v>
      </c>
      <c r="AH39" s="4803">
        <f t="shared" si="221"/>
        <v>579874.79999999993</v>
      </c>
      <c r="AI39" s="4805">
        <f t="shared" si="221"/>
        <v>4327023.0431464436</v>
      </c>
      <c r="AJ39" s="4805">
        <f t="shared" si="221"/>
        <v>4325349.3599990001</v>
      </c>
      <c r="AK39" s="4803">
        <f t="shared" ref="AK39:AL39" si="222">SUM(AK30:AK38)</f>
        <v>601210.49897153699</v>
      </c>
      <c r="AL39" s="4803">
        <f t="shared" si="222"/>
        <v>612212.27999900002</v>
      </c>
      <c r="AM39" s="4807">
        <f t="shared" ref="AM39:AT39" si="223">SUM(AM30:AM38)</f>
        <v>1783959.7749023892</v>
      </c>
      <c r="AN39" s="4807">
        <f t="shared" si="223"/>
        <v>1780765.279999</v>
      </c>
      <c r="AO39" s="4805">
        <f t="shared" si="223"/>
        <v>4928233.5421179803</v>
      </c>
      <c r="AP39" s="4805">
        <f t="shared" si="223"/>
        <v>4937561.6399979992</v>
      </c>
      <c r="AQ39" s="4803">
        <f t="shared" si="223"/>
        <v>601210.49897153699</v>
      </c>
      <c r="AR39" s="4803">
        <f t="shared" si="223"/>
        <v>607904.44000099995</v>
      </c>
      <c r="AS39" s="4805">
        <f t="shared" si="223"/>
        <v>5529444.0410895171</v>
      </c>
      <c r="AT39" s="4805">
        <f t="shared" si="223"/>
        <v>5545466.0799989998</v>
      </c>
      <c r="AU39" s="4803">
        <f t="shared" ref="AU39:AX39" si="224">SUM(AU30:AU38)</f>
        <v>532900.97857778287</v>
      </c>
      <c r="AV39" s="4803">
        <f t="shared" si="224"/>
        <v>554550.87999999989</v>
      </c>
      <c r="AW39" s="4805">
        <f t="shared" si="224"/>
        <v>6062345.0196672995</v>
      </c>
      <c r="AX39" s="4805">
        <f t="shared" si="224"/>
        <v>6100016.9599989997</v>
      </c>
      <c r="AY39" s="4803">
        <f t="shared" ref="AY39:AZ39" si="225">SUM(AY30:AY38)</f>
        <v>601210.49897153699</v>
      </c>
      <c r="AZ39" s="4803">
        <f t="shared" si="225"/>
        <v>621972.87999900011</v>
      </c>
      <c r="BA39" s="4807">
        <f t="shared" ref="BA39:BB39" si="226">SUM(BA30:BA38)</f>
        <v>1735321.9765208566</v>
      </c>
      <c r="BB39" s="4807">
        <f t="shared" si="226"/>
        <v>1784428.2</v>
      </c>
      <c r="BC39" s="4808">
        <f t="shared" ref="BC39:BD39" si="227">SUM(BC30:BC38)</f>
        <v>3519281.7514232467</v>
      </c>
      <c r="BD39" s="4809">
        <f t="shared" si="227"/>
        <v>3565193.4799989997</v>
      </c>
      <c r="BE39" s="4805">
        <f t="shared" ref="BE39:BF39" si="228">SUM(BE30:BE38)</f>
        <v>6663555.5186388372</v>
      </c>
      <c r="BF39" s="4805">
        <f t="shared" si="228"/>
        <v>6721989.8399979994</v>
      </c>
    </row>
    <row r="40" spans="2:58" s="334" customFormat="1" ht="18.75" x14ac:dyDescent="0.25">
      <c r="B40" s="4794" t="s">
        <v>1294</v>
      </c>
      <c r="C40" s="4794"/>
      <c r="D40" s="4794"/>
      <c r="E40" s="4794"/>
      <c r="F40" s="4794"/>
      <c r="G40" s="4794"/>
      <c r="H40" s="4794"/>
      <c r="I40" s="4794"/>
      <c r="J40" s="4794"/>
      <c r="K40" s="4794"/>
      <c r="L40" s="4794"/>
      <c r="M40" s="4794"/>
      <c r="N40" s="4794"/>
      <c r="O40" s="4794"/>
      <c r="P40" s="4794"/>
      <c r="Q40" s="4794"/>
      <c r="R40" s="4794"/>
      <c r="S40" s="4794"/>
      <c r="T40" s="4794"/>
      <c r="U40" s="4794"/>
      <c r="V40" s="4794"/>
      <c r="W40" s="4794"/>
      <c r="X40" s="4794"/>
      <c r="Y40" s="4794"/>
      <c r="Z40" s="4794"/>
      <c r="AA40" s="4794"/>
      <c r="AB40" s="4794"/>
      <c r="AC40" s="4794"/>
      <c r="AD40" s="4794"/>
      <c r="AE40" s="4794"/>
      <c r="AF40" s="4794"/>
      <c r="AG40" s="4794"/>
      <c r="AH40" s="4794"/>
      <c r="AI40" s="4794"/>
      <c r="AJ40" s="4794"/>
      <c r="AK40" s="4794"/>
      <c r="AL40" s="4794"/>
      <c r="AM40" s="4794"/>
      <c r="AN40" s="4794"/>
      <c r="AO40" s="4794"/>
      <c r="AP40" s="4794"/>
      <c r="AQ40" s="4794"/>
      <c r="AR40" s="4794"/>
      <c r="AS40" s="4794"/>
      <c r="AT40" s="4794"/>
      <c r="AU40" s="4794"/>
      <c r="AV40" s="4794"/>
      <c r="AW40" s="4794"/>
      <c r="AX40" s="4794"/>
      <c r="AY40" s="4794"/>
      <c r="AZ40" s="4794"/>
      <c r="BA40" s="4794"/>
      <c r="BB40" s="4794"/>
      <c r="BC40" s="4794"/>
      <c r="BD40" s="4794"/>
      <c r="BE40" s="4794"/>
      <c r="BF40" s="4794"/>
    </row>
    <row r="41" spans="2:58" x14ac:dyDescent="0.25">
      <c r="B41" s="4795" t="s">
        <v>46</v>
      </c>
      <c r="C41" s="147" t="s">
        <v>248</v>
      </c>
      <c r="D41" s="336">
        <f>+D28</f>
        <v>1230.9972362589738</v>
      </c>
      <c r="E41" s="336">
        <f>+E28</f>
        <v>1230.9972362589738</v>
      </c>
      <c r="F41" s="4796">
        <f t="shared" ref="F41:F49" si="229">+F30/F$54*1000</f>
        <v>1236.1895220265603</v>
      </c>
      <c r="G41" s="4796">
        <f>+G28</f>
        <v>1231.0000324514958</v>
      </c>
      <c r="H41" s="4796">
        <f t="shared" ref="H41:H49" si="230">+H30/H$54*1000</f>
        <v>1237.8037759411097</v>
      </c>
      <c r="I41" s="4797">
        <f>+I28</f>
        <v>1230.998649082524</v>
      </c>
      <c r="J41" s="4797">
        <f t="shared" ref="I41:J49" si="231">+J30/J$54*1000</f>
        <v>1236.9497256850136</v>
      </c>
      <c r="K41" s="4796">
        <v>1231</v>
      </c>
      <c r="L41" s="4796">
        <f t="shared" ref="L41:N49" si="232">+L30/L$54*1000</f>
        <v>1261.2038337162794</v>
      </c>
      <c r="M41" s="4799">
        <f>+M28</f>
        <v>1230.9984603848256</v>
      </c>
      <c r="N41" s="4799">
        <f t="shared" ref="N41" si="233">+N30/N$54*1000</f>
        <v>1247.1633540734369</v>
      </c>
      <c r="O41" s="336">
        <f>+O28</f>
        <v>1231</v>
      </c>
      <c r="P41" s="4796">
        <f t="shared" ref="P41:R49" si="234">+P30/P$54*1000</f>
        <v>1245.2762420649913</v>
      </c>
      <c r="Q41" s="4797">
        <f>+Q28</f>
        <v>1230.9989292235207</v>
      </c>
      <c r="R41" s="4797">
        <f t="shared" ref="R41" si="235">+R30/R$54*1000</f>
        <v>1246.6043306310892</v>
      </c>
      <c r="S41" s="336">
        <f>+S28</f>
        <v>1231</v>
      </c>
      <c r="T41" s="4796">
        <f t="shared" ref="T41" si="236">+T30/T$54*1000</f>
        <v>1255.3381858604912</v>
      </c>
      <c r="U41" s="4797">
        <f>+U28</f>
        <v>1230.9991791777045</v>
      </c>
      <c r="V41" s="4797">
        <f t="shared" ref="V41" si="237">+V30/V$54*1000</f>
        <v>1248.5851606241076</v>
      </c>
      <c r="W41" s="336">
        <f>+W28</f>
        <v>1231</v>
      </c>
      <c r="X41" s="4796">
        <f t="shared" ref="X41" si="238">+X30/X$54*1000</f>
        <v>1241.4087159074325</v>
      </c>
      <c r="Y41" s="4799">
        <f>+Y28</f>
        <v>1231</v>
      </c>
      <c r="Z41" s="4799">
        <f t="shared" ref="Z41" si="239">+Z30/Z$54*1000</f>
        <v>1247.4569383387275</v>
      </c>
      <c r="AA41" s="4636">
        <f>+AA28</f>
        <v>1230.9993310552263</v>
      </c>
      <c r="AB41" s="4636">
        <f t="shared" ref="AB41" si="240">+AB30/AB$54*1000</f>
        <v>1247.3252306506261</v>
      </c>
      <c r="AC41" s="336">
        <f>+AC28</f>
        <v>1231</v>
      </c>
      <c r="AD41" s="4796">
        <f t="shared" ref="AD41" si="241">+AD30/AD$54*1000</f>
        <v>1194.0344947828651</v>
      </c>
      <c r="AE41" s="4797">
        <f>+AE28</f>
        <v>1230.9994384764632</v>
      </c>
      <c r="AF41" s="4797">
        <f t="shared" ref="AF41" si="242">+AF30/AF$54*1000</f>
        <v>1238.9184948596471</v>
      </c>
      <c r="AG41" s="336">
        <f>+AG28</f>
        <v>1231</v>
      </c>
      <c r="AH41" s="4796">
        <f t="shared" ref="AH41" si="243">+AH30/AH$54*1000</f>
        <v>1226.6581579567999</v>
      </c>
      <c r="AI41" s="4797">
        <f>+AI28</f>
        <v>1230.9995139662929</v>
      </c>
      <c r="AJ41" s="4797">
        <f t="shared" ref="AJ41" si="244">+AJ30/AJ$54*1000</f>
        <v>1237.2961257884103</v>
      </c>
      <c r="AK41" s="336">
        <f>+AK28</f>
        <v>1231</v>
      </c>
      <c r="AL41" s="4796">
        <f t="shared" ref="AL41" si="245">+AL30/AL$54*1000</f>
        <v>1205.9963814913669</v>
      </c>
      <c r="AM41" s="4799">
        <f>+AM28</f>
        <v>1231</v>
      </c>
      <c r="AN41" s="4799">
        <f t="shared" ref="AN41" si="246">+AN30/AN$54*1000</f>
        <v>1208.6541387222708</v>
      </c>
      <c r="AO41" s="4797">
        <f>+AO28</f>
        <v>1230.9995732783498</v>
      </c>
      <c r="AP41" s="4797">
        <f t="shared" ref="AP41" si="247">+AP30/AP$54*1000</f>
        <v>1233.3689522945651</v>
      </c>
      <c r="AQ41" s="336">
        <f>+AQ28</f>
        <v>1231</v>
      </c>
      <c r="AR41" s="4796">
        <f t="shared" ref="AR41:AT49" si="248">+AR30/AR$54*1000</f>
        <v>1203.2467844809471</v>
      </c>
      <c r="AS41" s="4797">
        <f>+AS28</f>
        <v>1230.9996196887932</v>
      </c>
      <c r="AT41" s="4797">
        <f t="shared" ref="AT41" si="249">+AT30/AT$54*1000</f>
        <v>1229.9783187435301</v>
      </c>
      <c r="AU41" s="336">
        <f>+AU28</f>
        <v>1231</v>
      </c>
      <c r="AV41" s="4796">
        <f t="shared" ref="AV41" si="250">+AV30/AV$54*1000</f>
        <v>1196.8816477574896</v>
      </c>
      <c r="AW41" s="4797">
        <f>+AW28</f>
        <v>1230.9996531203315</v>
      </c>
      <c r="AX41" s="4797">
        <f t="shared" ref="AX41" si="251">+AX30/AX$54*1000</f>
        <v>1226.8912057255031</v>
      </c>
      <c r="AY41" s="336">
        <f>+AY28</f>
        <v>1231</v>
      </c>
      <c r="AZ41" s="4796">
        <f t="shared" ref="AZ41" si="252">+AZ30/AZ$54*1000</f>
        <v>1190.9192681968166</v>
      </c>
      <c r="BA41" s="4799">
        <f>+BA28</f>
        <v>1231</v>
      </c>
      <c r="BB41" s="4799">
        <f t="shared" ref="BB41" si="253">+BB30/BB$54*1000</f>
        <v>1196.9554360766213</v>
      </c>
      <c r="BC41" s="4636">
        <f>+BC28</f>
        <v>1231</v>
      </c>
      <c r="BD41" s="4636">
        <f t="shared" ref="BD41" si="254">+BD30/BD$54*1000</f>
        <v>1202.7040556020668</v>
      </c>
      <c r="BE41" s="4797">
        <f>+BE28</f>
        <v>1230.9996844252782</v>
      </c>
      <c r="BF41" s="4797">
        <f t="shared" ref="BF41" si="255">+BF30/BF$54*1000</f>
        <v>1223.4660509024316</v>
      </c>
    </row>
    <row r="42" spans="2:58" x14ac:dyDescent="0.25">
      <c r="B42" s="4795" t="s">
        <v>73</v>
      </c>
      <c r="C42" s="147" t="s">
        <v>248</v>
      </c>
      <c r="D42" s="336">
        <v>20</v>
      </c>
      <c r="E42" s="336">
        <v>20</v>
      </c>
      <c r="F42" s="4812">
        <f t="shared" si="229"/>
        <v>13.558181711811853</v>
      </c>
      <c r="G42" s="4796">
        <f>+E42</f>
        <v>20</v>
      </c>
      <c r="H42" s="4812">
        <f t="shared" si="230"/>
        <v>27.218652951905224</v>
      </c>
      <c r="I42" s="4815">
        <f t="shared" si="231"/>
        <v>20.000000000000004</v>
      </c>
      <c r="J42" s="4815">
        <f t="shared" si="231"/>
        <v>19.991333348809494</v>
      </c>
      <c r="K42" s="147">
        <v>20</v>
      </c>
      <c r="L42" s="4812">
        <f t="shared" si="232"/>
        <v>17.203323121436476</v>
      </c>
      <c r="M42" s="4813">
        <f t="shared" si="232"/>
        <v>20</v>
      </c>
      <c r="N42" s="4813">
        <f t="shared" si="232"/>
        <v>18.81727655114026</v>
      </c>
      <c r="O42" s="336">
        <v>20</v>
      </c>
      <c r="P42" s="4796">
        <f t="shared" si="234"/>
        <v>24.990289092389311</v>
      </c>
      <c r="Q42" s="4815">
        <f t="shared" si="234"/>
        <v>20.000000000000004</v>
      </c>
      <c r="R42" s="4815">
        <f t="shared" si="234"/>
        <v>20.645921965413589</v>
      </c>
      <c r="S42" s="336">
        <v>20</v>
      </c>
      <c r="T42" s="4796">
        <f t="shared" ref="T42:V42" si="256">+T31/T$54*1000</f>
        <v>7.528675871964146</v>
      </c>
      <c r="U42" s="4815">
        <f t="shared" si="256"/>
        <v>20.000000000000004</v>
      </c>
      <c r="V42" s="4815">
        <f t="shared" si="256"/>
        <v>17.670943126717322</v>
      </c>
      <c r="W42" s="336">
        <v>20</v>
      </c>
      <c r="X42" s="4796">
        <f t="shared" ref="X42" si="257">+X31/X$54*1000</f>
        <v>17.596071574718202</v>
      </c>
      <c r="Y42" s="4813">
        <f t="shared" ref="Y42:AB42" si="258">+Y31/Y$54*1000</f>
        <v>19.999999999999996</v>
      </c>
      <c r="Z42" s="4813">
        <f t="shared" si="258"/>
        <v>16.714411715395773</v>
      </c>
      <c r="AA42" s="4816">
        <f t="shared" si="258"/>
        <v>20.000000000000004</v>
      </c>
      <c r="AB42" s="4816">
        <f t="shared" si="258"/>
        <v>17.657798329223713</v>
      </c>
      <c r="AC42" s="336">
        <v>20</v>
      </c>
      <c r="AD42" s="4796">
        <f t="shared" ref="AD42:AF42" si="259">+AD31/AD$54*1000</f>
        <v>46.865695662669992</v>
      </c>
      <c r="AE42" s="4815">
        <f t="shared" si="259"/>
        <v>20.000000000000004</v>
      </c>
      <c r="AF42" s="4815">
        <f t="shared" si="259"/>
        <v>22.26541111396028</v>
      </c>
      <c r="AG42" s="336">
        <v>20</v>
      </c>
      <c r="AH42" s="4796">
        <f t="shared" ref="AH42:AJ42" si="260">+AH31/AH$54*1000</f>
        <v>35.056809511257853</v>
      </c>
      <c r="AI42" s="4815">
        <f t="shared" si="260"/>
        <v>20.000000000000004</v>
      </c>
      <c r="AJ42" s="4815">
        <f t="shared" si="260"/>
        <v>23.958053763350062</v>
      </c>
      <c r="AK42" s="336">
        <v>20</v>
      </c>
      <c r="AL42" s="4796">
        <f t="shared" ref="AL42" si="261">+AL31/AL$54*1000</f>
        <v>44.806522523536927</v>
      </c>
      <c r="AM42" s="4813">
        <f t="shared" ref="AM42:AP42" si="262">+AM31/AM$54*1000</f>
        <v>20</v>
      </c>
      <c r="AN42" s="4813">
        <f t="shared" si="262"/>
        <v>42.363215462004241</v>
      </c>
      <c r="AO42" s="4815">
        <f t="shared" si="262"/>
        <v>20.000000000000004</v>
      </c>
      <c r="AP42" s="4815">
        <f t="shared" si="262"/>
        <v>26.573907526410796</v>
      </c>
      <c r="AQ42" s="336">
        <v>20</v>
      </c>
      <c r="AR42" s="4796">
        <f t="shared" si="248"/>
        <v>17.795801405944253</v>
      </c>
      <c r="AS42" s="4815">
        <f t="shared" si="248"/>
        <v>20.000000000000007</v>
      </c>
      <c r="AT42" s="4815">
        <f t="shared" si="248"/>
        <v>25.585819905667016</v>
      </c>
      <c r="AU42" s="336">
        <v>20</v>
      </c>
      <c r="AV42" s="4796">
        <f t="shared" ref="AV42:AX42" si="263">+AV31/AV$54*1000</f>
        <v>32.723586243573834</v>
      </c>
      <c r="AW42" s="4815">
        <f t="shared" si="263"/>
        <v>20.000000000000007</v>
      </c>
      <c r="AX42" s="4815">
        <f t="shared" si="263"/>
        <v>26.251599596641991</v>
      </c>
      <c r="AY42" s="336">
        <v>20</v>
      </c>
      <c r="AZ42" s="4796">
        <f t="shared" ref="AZ42" si="264">+AZ31/AZ$54*1000</f>
        <v>46.555076548398823</v>
      </c>
      <c r="BA42" s="4813">
        <f t="shared" ref="BA42:BB42" si="265">+BA31/BA$54*1000</f>
        <v>20</v>
      </c>
      <c r="BB42" s="4813">
        <f t="shared" si="265"/>
        <v>32.497410573455902</v>
      </c>
      <c r="BC42" s="4816">
        <f t="shared" ref="BC42:BD42" si="266">+BC31/BC$54*1000</f>
        <v>20</v>
      </c>
      <c r="BD42" s="4816">
        <f t="shared" si="266"/>
        <v>37.345363405015085</v>
      </c>
      <c r="BE42" s="4815">
        <f t="shared" ref="BE42:BF42" si="267">+BE31/BE$54*1000</f>
        <v>20.000000000000004</v>
      </c>
      <c r="BF42" s="4815">
        <f t="shared" si="267"/>
        <v>28.184844141809251</v>
      </c>
    </row>
    <row r="43" spans="2:58" x14ac:dyDescent="0.25">
      <c r="B43" s="4795" t="s">
        <v>823</v>
      </c>
      <c r="C43" s="147" t="s">
        <v>248</v>
      </c>
      <c r="D43" s="336">
        <v>5</v>
      </c>
      <c r="E43" s="336">
        <v>5</v>
      </c>
      <c r="F43" s="4812">
        <f t="shared" si="229"/>
        <v>20.951559117767506</v>
      </c>
      <c r="G43" s="4796">
        <f t="shared" ref="G43:G49" si="268">+E43</f>
        <v>5</v>
      </c>
      <c r="H43" s="4812">
        <f t="shared" si="230"/>
        <v>8.2773295650602208</v>
      </c>
      <c r="I43" s="4815">
        <f t="shared" si="231"/>
        <v>5.0000000000000009</v>
      </c>
      <c r="J43" s="4815">
        <f t="shared" si="231"/>
        <v>14.982860149654494</v>
      </c>
      <c r="K43" s="147">
        <v>5</v>
      </c>
      <c r="L43" s="4812">
        <f t="shared" si="232"/>
        <v>15.820462088332908</v>
      </c>
      <c r="M43" s="4813">
        <f t="shared" si="232"/>
        <v>5</v>
      </c>
      <c r="N43" s="4813">
        <f t="shared" si="232"/>
        <v>15.335582044356048</v>
      </c>
      <c r="O43" s="336">
        <v>5</v>
      </c>
      <c r="P43" s="4796">
        <f t="shared" si="234"/>
        <v>22.249950780331286</v>
      </c>
      <c r="Q43" s="4815">
        <f t="shared" si="234"/>
        <v>4.4692315396125624</v>
      </c>
      <c r="R43" s="4815">
        <f t="shared" si="234"/>
        <v>17.383841074634585</v>
      </c>
      <c r="S43" s="336">
        <v>5</v>
      </c>
      <c r="T43" s="4796">
        <f t="shared" ref="T43:V43" si="269">+T32/T$54*1000</f>
        <v>6.945619960395188</v>
      </c>
      <c r="U43" s="4815">
        <f t="shared" si="269"/>
        <v>4.1862604482895298</v>
      </c>
      <c r="V43" s="4815">
        <f t="shared" si="269"/>
        <v>15.016462532883933</v>
      </c>
      <c r="W43" s="336">
        <v>5</v>
      </c>
      <c r="X43" s="4796">
        <f t="shared" ref="X43" si="270">+X32/X$54*1000</f>
        <v>4.5642761687551685</v>
      </c>
      <c r="Y43" s="4813">
        <f t="shared" ref="Y43:AB43" si="271">+Y32/Y$54*1000</f>
        <v>3.2870175307718528</v>
      </c>
      <c r="Z43" s="4813">
        <f t="shared" si="271"/>
        <v>11.428743248266963</v>
      </c>
      <c r="AA43" s="4816">
        <f t="shared" si="271"/>
        <v>4.0312883648176543</v>
      </c>
      <c r="AB43" s="4816">
        <f t="shared" si="271"/>
        <v>13.18142813793048</v>
      </c>
      <c r="AC43" s="336">
        <v>5</v>
      </c>
      <c r="AD43" s="4796">
        <f t="shared" ref="AD43:AF43" si="272">+AD32/AD$54*1000</f>
        <v>16.659960837960355</v>
      </c>
      <c r="AE43" s="4815">
        <f t="shared" si="272"/>
        <v>3.9040473357252377</v>
      </c>
      <c r="AF43" s="4815">
        <f t="shared" si="272"/>
        <v>13.730174648430856</v>
      </c>
      <c r="AG43" s="336">
        <v>5</v>
      </c>
      <c r="AH43" s="4796">
        <f t="shared" ref="AH43:AJ43" si="273">+AH32/AH$54*1000</f>
        <v>16.419960323515948</v>
      </c>
      <c r="AI43" s="4815">
        <f t="shared" si="273"/>
        <v>3.8293896459876238</v>
      </c>
      <c r="AJ43" s="4815">
        <f t="shared" si="273"/>
        <v>14.086104923601441</v>
      </c>
      <c r="AK43" s="336">
        <v>5</v>
      </c>
      <c r="AL43" s="4796">
        <f t="shared" ref="AL43" si="274">+AL32/AL$54*1000</f>
        <v>2.9045292743283118</v>
      </c>
      <c r="AM43" s="4813">
        <f t="shared" ref="AM43:AP43" si="275">+AM32/AM$54*1000</f>
        <v>3.2747088708960344</v>
      </c>
      <c r="AN43" s="4813">
        <f t="shared" si="275"/>
        <v>11.800774737231695</v>
      </c>
      <c r="AO43" s="4815">
        <f t="shared" si="275"/>
        <v>3.7573329424088504</v>
      </c>
      <c r="AP43" s="4815">
        <f t="shared" si="275"/>
        <v>12.68315456424674</v>
      </c>
      <c r="AQ43" s="336">
        <v>5</v>
      </c>
      <c r="AR43" s="4796">
        <f t="shared" si="248"/>
        <v>2.9035254925487992</v>
      </c>
      <c r="AS43" s="4815">
        <f t="shared" si="248"/>
        <v>3.7009500794426105</v>
      </c>
      <c r="AT43" s="4815">
        <f t="shared" si="248"/>
        <v>11.582332782349992</v>
      </c>
      <c r="AU43" s="336">
        <v>5</v>
      </c>
      <c r="AV43" s="4796">
        <f t="shared" ref="AV43:AX43" si="276">+AV32/AV$54*1000</f>
        <v>1.3046224073745791</v>
      </c>
      <c r="AW43" s="4815">
        <f t="shared" si="276"/>
        <v>3.6969154845143515</v>
      </c>
      <c r="AX43" s="4815">
        <f t="shared" si="276"/>
        <v>10.623672815990258</v>
      </c>
      <c r="AY43" s="336">
        <v>5</v>
      </c>
      <c r="AZ43" s="4796">
        <f t="shared" ref="AZ43" si="277">+AZ32/AZ$54*1000</f>
        <v>12.579666309866347</v>
      </c>
      <c r="BA43" s="4813">
        <f t="shared" ref="BA43:BB43" si="278">+BA32/BA$54*1000</f>
        <v>3.366687244045361</v>
      </c>
      <c r="BB43" s="4813">
        <f t="shared" si="278"/>
        <v>5.7951580946977996</v>
      </c>
      <c r="BC43" s="4816">
        <f t="shared" ref="BC43:BD43" si="279">+BC32/BC$54*1000</f>
        <v>3.3200611416038539</v>
      </c>
      <c r="BD43" s="4816">
        <f t="shared" si="279"/>
        <v>8.746254993160294</v>
      </c>
      <c r="BE43" s="4815">
        <f t="shared" ref="BE43:BF43" si="280">+BE32/BE$54*1000</f>
        <v>3.6555826106310789</v>
      </c>
      <c r="BF43" s="4815">
        <f t="shared" si="280"/>
        <v>10.809917455832172</v>
      </c>
    </row>
    <row r="44" spans="2:58" x14ac:dyDescent="0.25">
      <c r="B44" s="4795" t="s">
        <v>47</v>
      </c>
      <c r="C44" s="147" t="s">
        <v>248</v>
      </c>
      <c r="D44" s="4796">
        <v>18</v>
      </c>
      <c r="E44" s="4796">
        <v>18</v>
      </c>
      <c r="F44" s="4812">
        <f t="shared" si="229"/>
        <v>10.124758673141052</v>
      </c>
      <c r="G44" s="4796">
        <f t="shared" si="268"/>
        <v>18</v>
      </c>
      <c r="H44" s="4812">
        <f t="shared" si="230"/>
        <v>7.2257184639905354</v>
      </c>
      <c r="I44" s="4815">
        <f t="shared" si="231"/>
        <v>18</v>
      </c>
      <c r="J44" s="4815">
        <f t="shared" si="231"/>
        <v>8.7595081675449382</v>
      </c>
      <c r="K44" s="147">
        <v>18</v>
      </c>
      <c r="L44" s="4812">
        <f t="shared" si="232"/>
        <v>16.477321079057102</v>
      </c>
      <c r="M44" s="4813">
        <f t="shared" si="232"/>
        <v>18</v>
      </c>
      <c r="N44" s="4813">
        <f t="shared" si="232"/>
        <v>12.009550302590497</v>
      </c>
      <c r="O44" s="336">
        <v>18</v>
      </c>
      <c r="P44" s="4796">
        <f t="shared" si="234"/>
        <v>16.84110826730803</v>
      </c>
      <c r="Q44" s="4815">
        <f t="shared" si="234"/>
        <v>18.000000000000004</v>
      </c>
      <c r="R44" s="4815">
        <f t="shared" si="234"/>
        <v>13.440813605060441</v>
      </c>
      <c r="S44" s="336">
        <v>18</v>
      </c>
      <c r="T44" s="4796">
        <f t="shared" ref="T44:V44" si="281">+T33/T$54*1000</f>
        <v>18.311179895587312</v>
      </c>
      <c r="U44" s="4815">
        <f t="shared" si="281"/>
        <v>18.000000000000004</v>
      </c>
      <c r="V44" s="4815">
        <f t="shared" si="281"/>
        <v>14.545408010608172</v>
      </c>
      <c r="W44" s="336">
        <v>18</v>
      </c>
      <c r="X44" s="4796">
        <f t="shared" ref="X44" si="282">+X33/X$54*1000</f>
        <v>19.501907266499355</v>
      </c>
      <c r="Y44" s="4813">
        <f t="shared" ref="Y44:AB44" si="283">+Y33/Y$54*1000</f>
        <v>18.000000000000004</v>
      </c>
      <c r="Z44" s="4813">
        <f t="shared" si="283"/>
        <v>18.186854439560598</v>
      </c>
      <c r="AA44" s="4816">
        <f t="shared" si="283"/>
        <v>18</v>
      </c>
      <c r="AB44" s="4816">
        <f t="shared" si="283"/>
        <v>15.415594045975487</v>
      </c>
      <c r="AC44" s="336">
        <v>18</v>
      </c>
      <c r="AD44" s="4796">
        <f t="shared" ref="AD44:AF44" si="284">+AD33/AD$54*1000</f>
        <v>20.423271907942386</v>
      </c>
      <c r="AE44" s="4815">
        <f t="shared" si="284"/>
        <v>18</v>
      </c>
      <c r="AF44" s="4815">
        <f t="shared" si="284"/>
        <v>16.205566712450842</v>
      </c>
      <c r="AG44" s="336">
        <v>18</v>
      </c>
      <c r="AH44" s="4796">
        <f t="shared" ref="AH44:AJ44" si="285">+AH33/AH$54*1000</f>
        <v>19.408182234368716</v>
      </c>
      <c r="AI44" s="4815">
        <f t="shared" si="285"/>
        <v>18</v>
      </c>
      <c r="AJ44" s="4815">
        <f t="shared" si="285"/>
        <v>16.62935803327634</v>
      </c>
      <c r="AK44" s="336">
        <v>18</v>
      </c>
      <c r="AL44" s="4796">
        <f t="shared" ref="AL44" si="286">+AL33/AL$54*1000</f>
        <v>16.288395445902822</v>
      </c>
      <c r="AM44" s="4813">
        <f t="shared" ref="AM44:AP44" si="287">+AM33/AM$54*1000</f>
        <v>18</v>
      </c>
      <c r="AN44" s="4813">
        <f t="shared" si="287"/>
        <v>18.660241958586969</v>
      </c>
      <c r="AO44" s="4815">
        <f t="shared" si="287"/>
        <v>18.000000000000004</v>
      </c>
      <c r="AP44" s="4815">
        <f t="shared" si="287"/>
        <v>16.586577516514975</v>
      </c>
      <c r="AQ44" s="336">
        <v>18</v>
      </c>
      <c r="AR44" s="4796">
        <f t="shared" si="248"/>
        <v>20.88665112381878</v>
      </c>
      <c r="AS44" s="4815">
        <f t="shared" si="248"/>
        <v>18.000000000000004</v>
      </c>
      <c r="AT44" s="4815">
        <f t="shared" si="248"/>
        <v>17.070605556430962</v>
      </c>
      <c r="AU44" s="336">
        <v>18</v>
      </c>
      <c r="AV44" s="4796">
        <f t="shared" ref="AV44:AX44" si="288">+AV33/AV$54*1000</f>
        <v>21.436248005672752</v>
      </c>
      <c r="AW44" s="4815">
        <f t="shared" si="288"/>
        <v>18.000000000000004</v>
      </c>
      <c r="AX44" s="4815">
        <f t="shared" si="288"/>
        <v>17.477813630100659</v>
      </c>
      <c r="AY44" s="336">
        <v>18</v>
      </c>
      <c r="AZ44" s="4796">
        <f t="shared" ref="AZ44" si="289">+AZ33/AZ$54*1000</f>
        <v>21.547956908996277</v>
      </c>
      <c r="BA44" s="4813">
        <f t="shared" ref="BA44:BB44" si="290">+BA33/BA$54*1000</f>
        <v>18</v>
      </c>
      <c r="BB44" s="4813">
        <f t="shared" si="290"/>
        <v>21.288739325330823</v>
      </c>
      <c r="BC44" s="4816">
        <f t="shared" ref="BC44:BD44" si="291">+BC33/BC$54*1000</f>
        <v>18</v>
      </c>
      <c r="BD44" s="4816">
        <f t="shared" si="291"/>
        <v>19.99712334510372</v>
      </c>
      <c r="BE44" s="4815">
        <f t="shared" ref="BE44:BF44" si="292">+BE33/BE$54*1000</f>
        <v>18.000000000000004</v>
      </c>
      <c r="BF44" s="4815">
        <f t="shared" si="292"/>
        <v>17.865362142637238</v>
      </c>
    </row>
    <row r="45" spans="2:58" x14ac:dyDescent="0.25">
      <c r="B45" s="4795" t="s">
        <v>74</v>
      </c>
      <c r="C45" s="147" t="s">
        <v>248</v>
      </c>
      <c r="D45" s="4796">
        <v>25</v>
      </c>
      <c r="E45" s="4796">
        <v>25</v>
      </c>
      <c r="F45" s="4812">
        <f t="shared" si="229"/>
        <v>10.278330310653484</v>
      </c>
      <c r="G45" s="4796">
        <f t="shared" si="268"/>
        <v>25</v>
      </c>
      <c r="H45" s="4812">
        <f t="shared" si="230"/>
        <v>16.797022626070095</v>
      </c>
      <c r="I45" s="4815">
        <f t="shared" si="231"/>
        <v>25</v>
      </c>
      <c r="J45" s="4815">
        <f t="shared" si="231"/>
        <v>13.348190449659912</v>
      </c>
      <c r="K45" s="147">
        <v>25</v>
      </c>
      <c r="L45" s="4812">
        <f t="shared" si="232"/>
        <v>12.28352906135648</v>
      </c>
      <c r="M45" s="4813">
        <f t="shared" si="232"/>
        <v>24.999999999999996</v>
      </c>
      <c r="N45" s="4813">
        <f t="shared" si="232"/>
        <v>12.89985172841663</v>
      </c>
      <c r="O45" s="336">
        <v>25</v>
      </c>
      <c r="P45" s="4796">
        <f t="shared" si="234"/>
        <v>15.516167996041142</v>
      </c>
      <c r="Q45" s="4815">
        <f t="shared" si="234"/>
        <v>25.000000000000004</v>
      </c>
      <c r="R45" s="4815">
        <f t="shared" si="234"/>
        <v>13.67488899152127</v>
      </c>
      <c r="S45" s="336">
        <v>25</v>
      </c>
      <c r="T45" s="4796">
        <f t="shared" ref="T45:V45" si="293">+T34/T$54*1000</f>
        <v>14.694621107698756</v>
      </c>
      <c r="U45" s="4815">
        <f t="shared" si="293"/>
        <v>25.000000000000004</v>
      </c>
      <c r="V45" s="4815">
        <f t="shared" si="293"/>
        <v>13.906163257869141</v>
      </c>
      <c r="W45" s="336">
        <v>25</v>
      </c>
      <c r="X45" s="4796">
        <f t="shared" ref="X45" si="294">+X34/X$54*1000</f>
        <v>15.097881546302363</v>
      </c>
      <c r="Y45" s="4813">
        <f t="shared" ref="Y45:AB45" si="295">+Y34/Y$54*1000</f>
        <v>25</v>
      </c>
      <c r="Z45" s="4813">
        <f t="shared" si="295"/>
        <v>15.104383068366536</v>
      </c>
      <c r="AA45" s="4816">
        <f t="shared" si="295"/>
        <v>25</v>
      </c>
      <c r="AB45" s="4816">
        <f t="shared" si="295"/>
        <v>14.115386856854624</v>
      </c>
      <c r="AC45" s="336">
        <v>25</v>
      </c>
      <c r="AD45" s="4796">
        <f t="shared" ref="AD45:AF45" si="296">+AD34/AD$54*1000</f>
        <v>24.827660202247792</v>
      </c>
      <c r="AE45" s="4815">
        <f t="shared" si="296"/>
        <v>25.000000000000004</v>
      </c>
      <c r="AF45" s="4815">
        <f t="shared" si="296"/>
        <v>15.805272542781967</v>
      </c>
      <c r="AG45" s="336">
        <v>25</v>
      </c>
      <c r="AH45" s="4796">
        <f t="shared" ref="AH45:AJ45" si="297">+AH34/AH$54*1000</f>
        <v>20.193388177517583</v>
      </c>
      <c r="AI45" s="4815">
        <f t="shared" si="297"/>
        <v>25</v>
      </c>
      <c r="AJ45" s="4815">
        <f t="shared" si="297"/>
        <v>16.385937099002565</v>
      </c>
      <c r="AK45" s="336">
        <v>25</v>
      </c>
      <c r="AL45" s="4796">
        <f t="shared" ref="AL45" si="298">+AL34/AL$54*1000</f>
        <v>20.290760014228358</v>
      </c>
      <c r="AM45" s="4813">
        <f t="shared" ref="AM45:AP45" si="299">+AM34/AM$54*1000</f>
        <v>25</v>
      </c>
      <c r="AN45" s="4813">
        <f t="shared" si="299"/>
        <v>21.764351055254743</v>
      </c>
      <c r="AO45" s="4815">
        <f t="shared" si="299"/>
        <v>25.000000000000004</v>
      </c>
      <c r="AP45" s="4815">
        <f t="shared" si="299"/>
        <v>16.875874553612427</v>
      </c>
      <c r="AQ45" s="336">
        <v>25</v>
      </c>
      <c r="AR45" s="4796">
        <f t="shared" si="248"/>
        <v>16.195951265324513</v>
      </c>
      <c r="AS45" s="4815">
        <f t="shared" si="248"/>
        <v>25.000000000000004</v>
      </c>
      <c r="AT45" s="4815">
        <f t="shared" si="248"/>
        <v>16.799340529644965</v>
      </c>
      <c r="AU45" s="336">
        <v>25</v>
      </c>
      <c r="AV45" s="4796">
        <f t="shared" ref="AV45:AX45" si="300">+AV34/AV$54*1000</f>
        <v>14.492111327778762</v>
      </c>
      <c r="AW45" s="4815">
        <f t="shared" si="300"/>
        <v>25.000000000000004</v>
      </c>
      <c r="AX45" s="4815">
        <f t="shared" si="300"/>
        <v>16.584132259675542</v>
      </c>
      <c r="AY45" s="336">
        <v>25</v>
      </c>
      <c r="AZ45" s="4796">
        <f t="shared" ref="AZ45" si="301">+AZ34/AZ$54*1000</f>
        <v>12.702418713358407</v>
      </c>
      <c r="BA45" s="4813">
        <f t="shared" ref="BA45:BB45" si="302">+BA34/BA$54*1000</f>
        <v>25</v>
      </c>
      <c r="BB45" s="4813">
        <f t="shared" si="302"/>
        <v>14.444057642139102</v>
      </c>
      <c r="BC45" s="4816">
        <f t="shared" ref="BC45:BD45" si="303">+BC34/BC$54*1000</f>
        <v>24.999999999999993</v>
      </c>
      <c r="BD45" s="4816">
        <f t="shared" si="303"/>
        <v>18.041172888270811</v>
      </c>
      <c r="BE45" s="4815">
        <f t="shared" ref="BE45:BF45" si="304">+BE34/BE$54*1000</f>
        <v>25.000000000000004</v>
      </c>
      <c r="BF45" s="4815">
        <f t="shared" si="304"/>
        <v>16.214525538760178</v>
      </c>
    </row>
    <row r="46" spans="2:58" x14ac:dyDescent="0.25">
      <c r="B46" s="4795" t="s">
        <v>70</v>
      </c>
      <c r="C46" s="147" t="s">
        <v>248</v>
      </c>
      <c r="D46" s="4796">
        <v>80</v>
      </c>
      <c r="E46" s="4796">
        <v>80</v>
      </c>
      <c r="F46" s="4812">
        <f t="shared" si="229"/>
        <v>79.999853741297599</v>
      </c>
      <c r="G46" s="4796">
        <f t="shared" si="268"/>
        <v>80</v>
      </c>
      <c r="H46" s="4812">
        <f t="shared" si="230"/>
        <v>80.00049294270363</v>
      </c>
      <c r="I46" s="4815">
        <f t="shared" si="231"/>
        <v>80.000000000000014</v>
      </c>
      <c r="J46" s="4815">
        <f t="shared" si="231"/>
        <v>80.000154761628409</v>
      </c>
      <c r="K46" s="147">
        <v>80</v>
      </c>
      <c r="L46" s="4812">
        <f t="shared" si="232"/>
        <v>80</v>
      </c>
      <c r="M46" s="4813">
        <f t="shared" si="232"/>
        <v>80</v>
      </c>
      <c r="N46" s="4813">
        <f t="shared" si="232"/>
        <v>80.000089590080577</v>
      </c>
      <c r="O46" s="336">
        <v>80</v>
      </c>
      <c r="P46" s="4796">
        <f t="shared" si="234"/>
        <v>80</v>
      </c>
      <c r="Q46" s="4815">
        <f t="shared" si="234"/>
        <v>80.000000000000014</v>
      </c>
      <c r="R46" s="4815">
        <f t="shared" si="234"/>
        <v>80.000063050609143</v>
      </c>
      <c r="S46" s="336">
        <v>80</v>
      </c>
      <c r="T46" s="4796">
        <f t="shared" ref="T46:V46" si="305">+T35/T$54*1000</f>
        <v>80</v>
      </c>
      <c r="U46" s="4815">
        <f t="shared" si="305"/>
        <v>80.000000000000014</v>
      </c>
      <c r="V46" s="4815">
        <f t="shared" si="305"/>
        <v>80.000048750791436</v>
      </c>
      <c r="W46" s="336">
        <v>80</v>
      </c>
      <c r="X46" s="4796">
        <f t="shared" ref="X46" si="306">+X35/X$54*1000</f>
        <v>80</v>
      </c>
      <c r="Y46" s="4813">
        <f t="shared" ref="Y46:AB46" si="307">+Y35/Y$54*1000</f>
        <v>79.999999999999986</v>
      </c>
      <c r="Z46" s="4813">
        <f t="shared" si="307"/>
        <v>80</v>
      </c>
      <c r="AA46" s="4816">
        <f t="shared" si="307"/>
        <v>80.000000000000014</v>
      </c>
      <c r="AB46" s="4816">
        <f t="shared" si="307"/>
        <v>80.00004019187601</v>
      </c>
      <c r="AC46" s="336">
        <v>80</v>
      </c>
      <c r="AD46" s="4796">
        <f t="shared" ref="AD46:AF46" si="308">+AD35/AD$54*1000</f>
        <v>80</v>
      </c>
      <c r="AE46" s="4815">
        <f t="shared" si="308"/>
        <v>80.000000000000014</v>
      </c>
      <c r="AF46" s="4815">
        <f t="shared" si="308"/>
        <v>80.000033851515397</v>
      </c>
      <c r="AG46" s="336">
        <v>80</v>
      </c>
      <c r="AH46" s="4796">
        <f t="shared" ref="AH46:AJ46" si="309">+AH35/AH$54*1000</f>
        <v>80</v>
      </c>
      <c r="AI46" s="4815">
        <f t="shared" si="309"/>
        <v>80.000000000000014</v>
      </c>
      <c r="AJ46" s="4815">
        <f t="shared" si="309"/>
        <v>80.000029372058421</v>
      </c>
      <c r="AK46" s="336">
        <v>80</v>
      </c>
      <c r="AL46" s="4796">
        <f t="shared" ref="AL46" si="310">+AL35/AL$54*1000</f>
        <v>80</v>
      </c>
      <c r="AM46" s="4813">
        <f t="shared" ref="AM46:AP46" si="311">+AM35/AM$54*1000</f>
        <v>80</v>
      </c>
      <c r="AN46" s="4813">
        <f t="shared" si="311"/>
        <v>80</v>
      </c>
      <c r="AO46" s="4815">
        <f t="shared" si="311"/>
        <v>80.000000000000014</v>
      </c>
      <c r="AP46" s="4815">
        <f t="shared" si="311"/>
        <v>80.000025686751343</v>
      </c>
      <c r="AQ46" s="336">
        <v>80</v>
      </c>
      <c r="AR46" s="4796">
        <f t="shared" si="248"/>
        <v>80</v>
      </c>
      <c r="AS46" s="4815">
        <f t="shared" si="248"/>
        <v>80.000000000000028</v>
      </c>
      <c r="AT46" s="4815">
        <f t="shared" si="248"/>
        <v>80.000022795380389</v>
      </c>
      <c r="AU46" s="336">
        <v>80</v>
      </c>
      <c r="AV46" s="4796">
        <f t="shared" ref="AV46:AX46" si="312">+AV35/AV$54*1000</f>
        <v>80</v>
      </c>
      <c r="AW46" s="4815">
        <f t="shared" si="312"/>
        <v>80.000000000000028</v>
      </c>
      <c r="AX46" s="4815">
        <f t="shared" si="312"/>
        <v>80.000020669126798</v>
      </c>
      <c r="AY46" s="336">
        <v>80</v>
      </c>
      <c r="AZ46" s="4796">
        <f t="shared" ref="AZ46" si="313">+AZ35/AZ$54*1000</f>
        <v>80</v>
      </c>
      <c r="BA46" s="4813">
        <f t="shared" ref="BA46:BB46" si="314">+BA35/BA$54*1000</f>
        <v>80</v>
      </c>
      <c r="BB46" s="4813">
        <f t="shared" si="314"/>
        <v>80</v>
      </c>
      <c r="BC46" s="4816">
        <f t="shared" ref="BC46:BD46" si="315">+BC35/BC$54*1000</f>
        <v>80</v>
      </c>
      <c r="BD46" s="4816">
        <f t="shared" si="315"/>
        <v>80</v>
      </c>
      <c r="BE46" s="4815">
        <f t="shared" ref="BE46:BF46" si="316">+BE35/BE$54*1000</f>
        <v>80.000000000000014</v>
      </c>
      <c r="BF46" s="4815">
        <f t="shared" si="316"/>
        <v>80.000018701066011</v>
      </c>
    </row>
    <row r="47" spans="2:58" x14ac:dyDescent="0.25">
      <c r="B47" s="4795" t="s">
        <v>103</v>
      </c>
      <c r="C47" s="147" t="s">
        <v>248</v>
      </c>
      <c r="D47" s="4796">
        <v>170</v>
      </c>
      <c r="E47" s="4796">
        <v>170</v>
      </c>
      <c r="F47" s="4812">
        <f t="shared" si="229"/>
        <v>167.24316971859827</v>
      </c>
      <c r="G47" s="4796">
        <f t="shared" si="268"/>
        <v>170</v>
      </c>
      <c r="H47" s="4812">
        <f t="shared" si="230"/>
        <v>144.91283129857541</v>
      </c>
      <c r="I47" s="4815">
        <f t="shared" si="231"/>
        <v>169.99999999999997</v>
      </c>
      <c r="J47" s="4815">
        <f t="shared" si="231"/>
        <v>156.72710108255757</v>
      </c>
      <c r="K47" s="147">
        <v>170</v>
      </c>
      <c r="L47" s="4812">
        <f t="shared" si="232"/>
        <v>148.28791166709215</v>
      </c>
      <c r="M47" s="4813">
        <f t="shared" si="232"/>
        <v>169.99999999999997</v>
      </c>
      <c r="N47" s="4813">
        <f t="shared" si="232"/>
        <v>153.17328065436595</v>
      </c>
      <c r="O47" s="336">
        <v>170</v>
      </c>
      <c r="P47" s="4796">
        <f t="shared" si="234"/>
        <v>140.97045223563717</v>
      </c>
      <c r="Q47" s="4815">
        <f t="shared" si="234"/>
        <v>170</v>
      </c>
      <c r="R47" s="4815">
        <f t="shared" si="234"/>
        <v>149.55840929618179</v>
      </c>
      <c r="S47" s="336">
        <v>170</v>
      </c>
      <c r="T47" s="4796">
        <f t="shared" ref="T47:V47" si="317">+T36/T$54*1000</f>
        <v>157.09998199781285</v>
      </c>
      <c r="U47" s="4815">
        <f t="shared" si="317"/>
        <v>170</v>
      </c>
      <c r="V47" s="4815">
        <f t="shared" si="317"/>
        <v>151.26883075492429</v>
      </c>
      <c r="W47" s="336">
        <v>170</v>
      </c>
      <c r="X47" s="4796">
        <f t="shared" ref="X47" si="318">+X36/X$54*1000</f>
        <v>159.61516999424816</v>
      </c>
      <c r="Y47" s="4813">
        <f t="shared" ref="Y47:AB47" si="319">+Y36/Y$54*1000</f>
        <v>170</v>
      </c>
      <c r="Z47" s="4813">
        <f t="shared" si="319"/>
        <v>152.37686515486163</v>
      </c>
      <c r="AA47" s="4816">
        <f t="shared" si="319"/>
        <v>170</v>
      </c>
      <c r="AB47" s="4816">
        <f t="shared" si="319"/>
        <v>152.73415284568532</v>
      </c>
      <c r="AC47" s="336">
        <v>170</v>
      </c>
      <c r="AD47" s="4796">
        <f t="shared" ref="AD47:AF47" si="320">+AD36/AD$54*1000</f>
        <v>146.83082535339716</v>
      </c>
      <c r="AE47" s="4815">
        <f t="shared" si="320"/>
        <v>170</v>
      </c>
      <c r="AF47" s="4815">
        <f t="shared" si="320"/>
        <v>151.80288939609744</v>
      </c>
      <c r="AG47" s="336">
        <v>170</v>
      </c>
      <c r="AH47" s="4796">
        <f t="shared" ref="AH47:AJ47" si="321">+AH36/AH$54*1000</f>
        <v>165.62296241832334</v>
      </c>
      <c r="AI47" s="4815">
        <f t="shared" si="321"/>
        <v>170</v>
      </c>
      <c r="AJ47" s="4815">
        <f t="shared" si="321"/>
        <v>153.63165309249223</v>
      </c>
      <c r="AK47" s="336">
        <v>170</v>
      </c>
      <c r="AL47" s="4796">
        <f t="shared" ref="AL47" si="322">+AL36/AL$54*1000</f>
        <v>151.28119170149114</v>
      </c>
      <c r="AM47" s="4813">
        <f t="shared" ref="AM47:AP47" si="323">+AM36/AM$54*1000</f>
        <v>170</v>
      </c>
      <c r="AN47" s="4813">
        <f t="shared" si="323"/>
        <v>154.40384913086723</v>
      </c>
      <c r="AO47" s="4815">
        <f t="shared" si="323"/>
        <v>170</v>
      </c>
      <c r="AP47" s="4815">
        <f t="shared" si="323"/>
        <v>153.33674110901265</v>
      </c>
      <c r="AQ47" s="336">
        <v>170</v>
      </c>
      <c r="AR47" s="4796">
        <f t="shared" si="248"/>
        <v>148.96579307761047</v>
      </c>
      <c r="AS47" s="4815">
        <f t="shared" si="248"/>
        <v>170.00000000000006</v>
      </c>
      <c r="AT47" s="4815">
        <f t="shared" si="248"/>
        <v>152.84473525017788</v>
      </c>
      <c r="AU47" s="336">
        <v>170</v>
      </c>
      <c r="AV47" s="4796">
        <f t="shared" ref="AV47:AX47" si="324">+AV36/AV$54*1000</f>
        <v>143.67188884949479</v>
      </c>
      <c r="AW47" s="4815">
        <f t="shared" si="324"/>
        <v>170.00000000000006</v>
      </c>
      <c r="AX47" s="4815">
        <f t="shared" si="324"/>
        <v>151.98913217312358</v>
      </c>
      <c r="AY47" s="336">
        <v>170</v>
      </c>
      <c r="AZ47" s="4796">
        <f t="shared" ref="AZ47" si="325">+AZ36/AZ$54*1000</f>
        <v>117.75883571800335</v>
      </c>
      <c r="BA47" s="4813">
        <f t="shared" ref="BA47:BB47" si="326">+BA36/BA$54*1000</f>
        <v>169.99999999999997</v>
      </c>
      <c r="BB47" s="4813">
        <f t="shared" si="326"/>
        <v>136.39680759163991</v>
      </c>
      <c r="BC47" s="4816">
        <f t="shared" ref="BC47:BD47" si="327">+BC36/BC$54*1000</f>
        <v>169.99999999999994</v>
      </c>
      <c r="BD47" s="4816">
        <f t="shared" si="327"/>
        <v>145.24527854806746</v>
      </c>
      <c r="BE47" s="4815">
        <f t="shared" ref="BE47:BF47" si="328">+BE36/BE$54*1000</f>
        <v>170.00000000000006</v>
      </c>
      <c r="BF47" s="4815">
        <f t="shared" si="328"/>
        <v>148.72981190701552</v>
      </c>
    </row>
    <row r="48" spans="2:58" s="666" customFormat="1" x14ac:dyDescent="0.25">
      <c r="B48" s="4795" t="s">
        <v>838</v>
      </c>
      <c r="C48" s="147" t="s">
        <v>248</v>
      </c>
      <c r="D48" s="4796">
        <v>5</v>
      </c>
      <c r="E48" s="4796">
        <v>5</v>
      </c>
      <c r="F48" s="4812">
        <f t="shared" si="229"/>
        <v>7.3129351196396186</v>
      </c>
      <c r="G48" s="4796">
        <f t="shared" si="268"/>
        <v>5</v>
      </c>
      <c r="H48" s="4812">
        <f t="shared" si="230"/>
        <v>8.326623835422863</v>
      </c>
      <c r="I48" s="4815">
        <f t="shared" si="231"/>
        <v>5.0000000000000009</v>
      </c>
      <c r="J48" s="4815">
        <f t="shared" si="231"/>
        <v>7.7903134696783276</v>
      </c>
      <c r="K48" s="147">
        <v>5</v>
      </c>
      <c r="L48" s="4812">
        <f t="shared" si="232"/>
        <v>5.3186962811675604</v>
      </c>
      <c r="M48" s="4813">
        <f t="shared" si="232"/>
        <v>5</v>
      </c>
      <c r="N48" s="4813">
        <f t="shared" si="232"/>
        <v>6.7494926961686801</v>
      </c>
      <c r="O48" s="336">
        <v>5</v>
      </c>
      <c r="P48" s="4796">
        <f t="shared" si="234"/>
        <v>2.6605226330660394</v>
      </c>
      <c r="Q48" s="4815">
        <f t="shared" si="234"/>
        <v>5.0000000000000009</v>
      </c>
      <c r="R48" s="4815">
        <f t="shared" si="234"/>
        <v>5.5382078810108908</v>
      </c>
      <c r="S48" s="336">
        <v>5</v>
      </c>
      <c r="T48" s="4796">
        <f t="shared" ref="T48:V48" si="329">+T37/T$54*1000</f>
        <v>5.3737872034005321</v>
      </c>
      <c r="U48" s="4815">
        <f t="shared" si="329"/>
        <v>5.0000000000000009</v>
      </c>
      <c r="V48" s="4815">
        <f t="shared" si="329"/>
        <v>5.5009174289563854</v>
      </c>
      <c r="W48" s="336">
        <v>5</v>
      </c>
      <c r="X48" s="4796">
        <f t="shared" ref="X48" si="330">+X37/X$54*1000</f>
        <v>5.7232303056491149</v>
      </c>
      <c r="Y48" s="4813">
        <f t="shared" ref="Y48:AB48" si="331">+Y37/Y$54*1000</f>
        <v>4.9999999999999991</v>
      </c>
      <c r="Z48" s="4813">
        <f t="shared" si="331"/>
        <v>4.5558252604109715</v>
      </c>
      <c r="AA48" s="4816">
        <f t="shared" si="331"/>
        <v>5.0000000000000009</v>
      </c>
      <c r="AB48" s="4816">
        <f t="shared" si="331"/>
        <v>5.5399477103693036</v>
      </c>
      <c r="AC48" s="336">
        <v>5</v>
      </c>
      <c r="AD48" s="4796">
        <f t="shared" ref="AD48:AF48" si="332">+AD37/AD$54*1000</f>
        <v>9.3881601888361352</v>
      </c>
      <c r="AE48" s="4815">
        <f t="shared" si="332"/>
        <v>5.0000000000000009</v>
      </c>
      <c r="AF48" s="4815">
        <f t="shared" si="332"/>
        <v>6.1470120536783472</v>
      </c>
      <c r="AG48" s="336">
        <v>5</v>
      </c>
      <c r="AH48" s="4796">
        <f t="shared" ref="AH48:AJ48" si="333">+AH37/AH$54*1000</f>
        <v>5.5491586088259366</v>
      </c>
      <c r="AI48" s="4815">
        <f t="shared" si="333"/>
        <v>5.0000000000000009</v>
      </c>
      <c r="AJ48" s="4815">
        <f t="shared" si="333"/>
        <v>6.0679001217838975</v>
      </c>
      <c r="AK48" s="336">
        <v>5</v>
      </c>
      <c r="AL48" s="4796">
        <f t="shared" ref="AL48" si="334">+AL37/AL$54*1000</f>
        <v>5.118113258728302</v>
      </c>
      <c r="AM48" s="4813">
        <f t="shared" ref="AM48:AP48" si="335">+AM37/AM$54*1000</f>
        <v>5</v>
      </c>
      <c r="AN48" s="4813">
        <f t="shared" si="335"/>
        <v>6.6726334838086325</v>
      </c>
      <c r="AO48" s="4815">
        <f t="shared" si="335"/>
        <v>5.0000000000000009</v>
      </c>
      <c r="AP48" s="4815">
        <f t="shared" si="335"/>
        <v>5.9487305286397643</v>
      </c>
      <c r="AQ48" s="336">
        <v>5</v>
      </c>
      <c r="AR48" s="4796">
        <f t="shared" si="248"/>
        <v>8.8599295762169117</v>
      </c>
      <c r="AS48" s="4815">
        <f t="shared" si="248"/>
        <v>5.0000000000000018</v>
      </c>
      <c r="AT48" s="4815">
        <f t="shared" si="248"/>
        <v>6.2764230514865016</v>
      </c>
      <c r="AU48" s="336">
        <v>5</v>
      </c>
      <c r="AV48" s="4796">
        <f t="shared" ref="AV48:AX48" si="336">+AV37/AV$54*1000</f>
        <v>5.5397979081723099</v>
      </c>
      <c r="AW48" s="4815">
        <f t="shared" si="336"/>
        <v>5.0000000000000018</v>
      </c>
      <c r="AX48" s="4815">
        <f t="shared" si="336"/>
        <v>6.2077138731437511</v>
      </c>
      <c r="AY48" s="336">
        <v>5</v>
      </c>
      <c r="AZ48" s="4796">
        <f t="shared" ref="AZ48" si="337">+AZ37/AZ$54*1000</f>
        <v>4.9100961396824152</v>
      </c>
      <c r="BA48" s="4813">
        <f t="shared" ref="BA48:BB48" si="338">+BA37/BA$54*1000</f>
        <v>5</v>
      </c>
      <c r="BB48" s="4813">
        <f t="shared" si="338"/>
        <v>6.4467050890289972</v>
      </c>
      <c r="BC48" s="4816">
        <f t="shared" ref="BC48:BD48" si="339">+BC37/BC$54*1000</f>
        <v>5</v>
      </c>
      <c r="BD48" s="4816">
        <f t="shared" si="339"/>
        <v>6.5577239276919128</v>
      </c>
      <c r="BE48" s="4815">
        <f t="shared" ref="BE48:BF48" si="340">+BE37/BE$54*1000</f>
        <v>5.0000000000000009</v>
      </c>
      <c r="BF48" s="4815">
        <f t="shared" si="340"/>
        <v>6.0841580698255724</v>
      </c>
    </row>
    <row r="49" spans="2:58" x14ac:dyDescent="0.25">
      <c r="B49" s="4795" t="s">
        <v>71</v>
      </c>
      <c r="C49" s="147" t="s">
        <v>248</v>
      </c>
      <c r="D49" s="4796">
        <v>40</v>
      </c>
      <c r="E49" s="4796">
        <v>40</v>
      </c>
      <c r="F49" s="4796">
        <f t="shared" si="229"/>
        <v>40.001755104428717</v>
      </c>
      <c r="G49" s="4796">
        <f t="shared" si="268"/>
        <v>40</v>
      </c>
      <c r="H49" s="4796">
        <f t="shared" si="230"/>
        <v>39.998192543420032</v>
      </c>
      <c r="I49" s="4797">
        <f t="shared" si="231"/>
        <v>40.000000000000007</v>
      </c>
      <c r="J49" s="4797">
        <f t="shared" si="231"/>
        <v>40.000077380814204</v>
      </c>
      <c r="K49" s="147">
        <v>40</v>
      </c>
      <c r="L49" s="4796">
        <f t="shared" si="232"/>
        <v>40</v>
      </c>
      <c r="M49" s="4799">
        <f t="shared" si="232"/>
        <v>40</v>
      </c>
      <c r="N49" s="4799">
        <f t="shared" si="232"/>
        <v>40.000044795040289</v>
      </c>
      <c r="O49" s="336">
        <v>40</v>
      </c>
      <c r="P49" s="4796">
        <f t="shared" si="234"/>
        <v>40</v>
      </c>
      <c r="Q49" s="4797">
        <f t="shared" si="234"/>
        <v>40.000000000000007</v>
      </c>
      <c r="R49" s="4797">
        <f t="shared" si="234"/>
        <v>40.000031525304571</v>
      </c>
      <c r="S49" s="336">
        <v>40</v>
      </c>
      <c r="T49" s="4796">
        <f t="shared" ref="T49:V49" si="341">+T38/T$54*1000</f>
        <v>40</v>
      </c>
      <c r="U49" s="4797">
        <f t="shared" si="341"/>
        <v>40.000000000000007</v>
      </c>
      <c r="V49" s="4797">
        <f t="shared" si="341"/>
        <v>40.000024375395718</v>
      </c>
      <c r="W49" s="336">
        <v>40</v>
      </c>
      <c r="X49" s="4796">
        <f t="shared" ref="X49" si="342">+X38/X$54*1000</f>
        <v>40</v>
      </c>
      <c r="Y49" s="4799">
        <f t="shared" ref="Y49:AB49" si="343">+Y38/Y$54*1000</f>
        <v>39.999999999999993</v>
      </c>
      <c r="Z49" s="4799">
        <f t="shared" si="343"/>
        <v>40</v>
      </c>
      <c r="AA49" s="4636">
        <f t="shared" si="343"/>
        <v>40.000000000000007</v>
      </c>
      <c r="AB49" s="4636">
        <f t="shared" si="343"/>
        <v>40.000020095938005</v>
      </c>
      <c r="AC49" s="336">
        <v>40</v>
      </c>
      <c r="AD49" s="4796">
        <f t="shared" ref="AD49:AF49" si="344">+AD38/AD$54*1000</f>
        <v>40</v>
      </c>
      <c r="AE49" s="4797">
        <f t="shared" si="344"/>
        <v>40.000000000000007</v>
      </c>
      <c r="AF49" s="4797">
        <f t="shared" si="344"/>
        <v>40.000016925757699</v>
      </c>
      <c r="AG49" s="336">
        <v>40</v>
      </c>
      <c r="AH49" s="4796">
        <f t="shared" ref="AH49:AJ49" si="345">+AH38/AH$54*1000</f>
        <v>40</v>
      </c>
      <c r="AI49" s="4797">
        <f t="shared" si="345"/>
        <v>40.000000000000007</v>
      </c>
      <c r="AJ49" s="4797">
        <f t="shared" si="345"/>
        <v>40.000014686029211</v>
      </c>
      <c r="AK49" s="336">
        <v>40</v>
      </c>
      <c r="AL49" s="4796">
        <f t="shared" ref="AL49" si="346">+AL38/AL$54*1000</f>
        <v>40</v>
      </c>
      <c r="AM49" s="4799">
        <f t="shared" ref="AM49:AP49" si="347">+AM38/AM$54*1000</f>
        <v>40</v>
      </c>
      <c r="AN49" s="4799">
        <f t="shared" si="347"/>
        <v>40</v>
      </c>
      <c r="AO49" s="4797">
        <f t="shared" si="347"/>
        <v>40.000000000000007</v>
      </c>
      <c r="AP49" s="4797">
        <f t="shared" si="347"/>
        <v>40.000012843375671</v>
      </c>
      <c r="AQ49" s="336">
        <v>40</v>
      </c>
      <c r="AR49" s="4796">
        <f t="shared" si="248"/>
        <v>40</v>
      </c>
      <c r="AS49" s="4797">
        <f t="shared" si="248"/>
        <v>40.000000000000014</v>
      </c>
      <c r="AT49" s="4797">
        <f t="shared" si="248"/>
        <v>40.000011397690194</v>
      </c>
      <c r="AU49" s="336">
        <v>40</v>
      </c>
      <c r="AV49" s="4796">
        <f t="shared" ref="AV49:AX49" si="348">+AV38/AV$54*1000</f>
        <v>40</v>
      </c>
      <c r="AW49" s="4797">
        <f t="shared" si="348"/>
        <v>40.000000000000014</v>
      </c>
      <c r="AX49" s="4797">
        <f t="shared" si="348"/>
        <v>40.000010334563399</v>
      </c>
      <c r="AY49" s="336">
        <v>40</v>
      </c>
      <c r="AZ49" s="4796">
        <f t="shared" ref="AZ49" si="349">+AZ38/AZ$54*1000</f>
        <v>40</v>
      </c>
      <c r="BA49" s="4799">
        <f t="shared" ref="BA49:BB49" si="350">+BA38/BA$54*1000</f>
        <v>40</v>
      </c>
      <c r="BB49" s="4799">
        <f t="shared" si="350"/>
        <v>40</v>
      </c>
      <c r="BC49" s="4636">
        <f t="shared" ref="BC49:BD49" si="351">+BC38/BC$54*1000</f>
        <v>40</v>
      </c>
      <c r="BD49" s="4636">
        <f t="shared" si="351"/>
        <v>40</v>
      </c>
      <c r="BE49" s="4797">
        <f t="shared" ref="BE49:BF49" si="352">+BE38/BE$54*1000</f>
        <v>40.000000000000007</v>
      </c>
      <c r="BF49" s="4797">
        <f t="shared" si="352"/>
        <v>40.000009350533006</v>
      </c>
    </row>
    <row r="50" spans="2:58" ht="15.75" x14ac:dyDescent="0.25">
      <c r="B50" s="4801" t="s">
        <v>23</v>
      </c>
      <c r="C50" s="4802" t="s">
        <v>248</v>
      </c>
      <c r="D50" s="4803">
        <f t="shared" ref="D50" si="353">SUM(D41:D49)</f>
        <v>1593.9972362589738</v>
      </c>
      <c r="E50" s="4803">
        <f t="shared" ref="E50:J50" si="354">SUM(E41:E49)</f>
        <v>1593.9972362589738</v>
      </c>
      <c r="F50" s="4803">
        <f t="shared" si="354"/>
        <v>1585.6600655238983</v>
      </c>
      <c r="G50" s="4803">
        <f>SUM(G41:G49)</f>
        <v>1594.0000324514958</v>
      </c>
      <c r="H50" s="4803">
        <f t="shared" si="354"/>
        <v>1570.5606401682576</v>
      </c>
      <c r="I50" s="4805">
        <f>SUM(I41:I49)</f>
        <v>1593.998649082524</v>
      </c>
      <c r="J50" s="4805">
        <f t="shared" si="354"/>
        <v>1578.5492644953611</v>
      </c>
      <c r="K50" s="4803">
        <f t="shared" ref="K50:N50" si="355">SUM(K41:K49)</f>
        <v>1594</v>
      </c>
      <c r="L50" s="4803">
        <f t="shared" si="355"/>
        <v>1596.5950770147219</v>
      </c>
      <c r="M50" s="4807">
        <f t="shared" si="355"/>
        <v>1593.9984603848256</v>
      </c>
      <c r="N50" s="4807">
        <f t="shared" si="355"/>
        <v>1586.1485224355961</v>
      </c>
      <c r="O50" s="4803">
        <f t="shared" ref="O50" si="356">SUM(O41:O49)</f>
        <v>1594</v>
      </c>
      <c r="P50" s="4803">
        <f t="shared" ref="P50:S50" si="357">SUM(P41:P49)</f>
        <v>1588.5047330697641</v>
      </c>
      <c r="Q50" s="4805">
        <f t="shared" si="357"/>
        <v>1593.4681607631333</v>
      </c>
      <c r="R50" s="4805">
        <f t="shared" si="357"/>
        <v>1586.8465080208257</v>
      </c>
      <c r="S50" s="4803">
        <f t="shared" si="357"/>
        <v>1594</v>
      </c>
      <c r="T50" s="4803">
        <f t="shared" ref="T50:W50" si="358">SUM(T41:T49)</f>
        <v>1585.2920518973499</v>
      </c>
      <c r="U50" s="4805">
        <f t="shared" si="358"/>
        <v>1593.1854396259939</v>
      </c>
      <c r="V50" s="4805">
        <f t="shared" si="358"/>
        <v>1586.4939588622537</v>
      </c>
      <c r="W50" s="4803">
        <f t="shared" si="358"/>
        <v>1594</v>
      </c>
      <c r="X50" s="4803">
        <f t="shared" ref="X50" si="359">SUM(X41:X49)</f>
        <v>1583.507252763605</v>
      </c>
      <c r="Y50" s="4807">
        <f t="shared" ref="Y50:AF50" si="360">SUM(Y41:Y49)</f>
        <v>1592.2870175307719</v>
      </c>
      <c r="Z50" s="4807">
        <f t="shared" si="360"/>
        <v>1585.8240212255901</v>
      </c>
      <c r="AA50" s="4808">
        <f t="shared" si="360"/>
        <v>1593.0306194200439</v>
      </c>
      <c r="AB50" s="4808">
        <f t="shared" si="360"/>
        <v>1585.9695988644787</v>
      </c>
      <c r="AC50" s="4803">
        <f t="shared" si="360"/>
        <v>1594</v>
      </c>
      <c r="AD50" s="4803">
        <f t="shared" si="360"/>
        <v>1579.030068935919</v>
      </c>
      <c r="AE50" s="4805">
        <f t="shared" si="360"/>
        <v>1592.9034858121884</v>
      </c>
      <c r="AF50" s="4805">
        <f t="shared" si="360"/>
        <v>1584.87487210432</v>
      </c>
      <c r="AG50" s="4803">
        <f t="shared" ref="AG50:AJ50" si="361">SUM(AG41:AG49)</f>
        <v>1594</v>
      </c>
      <c r="AH50" s="4803">
        <f t="shared" si="361"/>
        <v>1608.9086192306092</v>
      </c>
      <c r="AI50" s="4805">
        <f t="shared" si="361"/>
        <v>1592.8289036122806</v>
      </c>
      <c r="AJ50" s="4805">
        <f t="shared" si="361"/>
        <v>1588.0551768800044</v>
      </c>
      <c r="AK50" s="4803">
        <f t="shared" ref="AK50:AL50" si="362">SUM(AK41:AK49)</f>
        <v>1594</v>
      </c>
      <c r="AL50" s="4803">
        <f t="shared" si="362"/>
        <v>1566.6858937095828</v>
      </c>
      <c r="AM50" s="4807">
        <f t="shared" ref="AM50:AT50" si="363">SUM(AM41:AM49)</f>
        <v>1592.2747088708961</v>
      </c>
      <c r="AN50" s="4807">
        <f t="shared" si="363"/>
        <v>1584.3192045500243</v>
      </c>
      <c r="AO50" s="4805">
        <f t="shared" si="363"/>
        <v>1592.7569062207585</v>
      </c>
      <c r="AP50" s="4805">
        <f t="shared" si="363"/>
        <v>1585.3739766231295</v>
      </c>
      <c r="AQ50" s="4803">
        <f t="shared" si="363"/>
        <v>1594</v>
      </c>
      <c r="AR50" s="4803">
        <f t="shared" si="363"/>
        <v>1538.854436422411</v>
      </c>
      <c r="AS50" s="4805">
        <f t="shared" si="363"/>
        <v>1592.7005697682359</v>
      </c>
      <c r="AT50" s="4805">
        <f t="shared" si="363"/>
        <v>1580.137610012358</v>
      </c>
      <c r="AU50" s="4803">
        <f t="shared" ref="AU50:AX50" si="364">SUM(AU41:AU49)</f>
        <v>1594</v>
      </c>
      <c r="AV50" s="4803">
        <f t="shared" si="364"/>
        <v>1536.0499024995565</v>
      </c>
      <c r="AW50" s="4805">
        <f t="shared" si="364"/>
        <v>1592.6965686048459</v>
      </c>
      <c r="AX50" s="4805">
        <f t="shared" si="364"/>
        <v>1576.0253010778688</v>
      </c>
      <c r="AY50" s="4803">
        <f t="shared" ref="AY50:AZ50" si="365">SUM(AY41:AY49)</f>
        <v>1594</v>
      </c>
      <c r="AZ50" s="4803">
        <f t="shared" si="365"/>
        <v>1526.973318535122</v>
      </c>
      <c r="BA50" s="4807">
        <f t="shared" ref="BA50:BB50" si="366">SUM(BA41:BA49)</f>
        <v>1592.3666872440454</v>
      </c>
      <c r="BB50" s="4807">
        <f t="shared" si="366"/>
        <v>1533.8243143929139</v>
      </c>
      <c r="BC50" s="4808">
        <f t="shared" ref="BC50:BD50" si="367">SUM(BC41:BC49)</f>
        <v>1592.3200611416039</v>
      </c>
      <c r="BD50" s="4808">
        <f t="shared" si="367"/>
        <v>1558.6369727093766</v>
      </c>
      <c r="BE50" s="4805">
        <f t="shared" ref="BE50:BF50" si="368">SUM(BE41:BE49)</f>
        <v>1592.6552670359092</v>
      </c>
      <c r="BF50" s="4805">
        <f t="shared" si="368"/>
        <v>1571.3546982099106</v>
      </c>
    </row>
    <row r="51" spans="2:58" s="334" customFormat="1" ht="18.75" x14ac:dyDescent="0.25">
      <c r="B51" s="4794" t="s">
        <v>249</v>
      </c>
      <c r="C51" s="4794"/>
      <c r="D51" s="4794"/>
      <c r="E51" s="4794"/>
      <c r="F51" s="4794"/>
      <c r="G51" s="4794"/>
      <c r="H51" s="4794"/>
      <c r="I51" s="4794"/>
      <c r="J51" s="4794"/>
      <c r="K51" s="4794"/>
      <c r="L51" s="4794"/>
      <c r="M51" s="4794"/>
      <c r="N51" s="4794"/>
      <c r="O51" s="4794"/>
      <c r="P51" s="4794"/>
      <c r="Q51" s="4794"/>
      <c r="R51" s="4794"/>
      <c r="S51" s="4794"/>
      <c r="T51" s="4794"/>
      <c r="U51" s="4794"/>
      <c r="V51" s="4794"/>
      <c r="W51" s="4794"/>
      <c r="X51" s="4794"/>
      <c r="Y51" s="4794"/>
      <c r="Z51" s="4794"/>
      <c r="AA51" s="4794"/>
      <c r="AB51" s="4794"/>
      <c r="AC51" s="4794"/>
      <c r="AD51" s="4794"/>
      <c r="AE51" s="4794"/>
      <c r="AF51" s="4794"/>
      <c r="AG51" s="4794"/>
      <c r="AH51" s="4794"/>
      <c r="AI51" s="4794"/>
      <c r="AJ51" s="4794"/>
      <c r="AK51" s="4794"/>
      <c r="AL51" s="4794"/>
      <c r="AM51" s="4794"/>
      <c r="AN51" s="4794"/>
      <c r="AO51" s="4794"/>
      <c r="AP51" s="4794"/>
      <c r="AQ51" s="4794"/>
      <c r="AR51" s="4794"/>
      <c r="AS51" s="4794"/>
      <c r="AT51" s="4794"/>
      <c r="AU51" s="4794"/>
      <c r="AV51" s="4794"/>
      <c r="AW51" s="4794"/>
      <c r="AX51" s="4794"/>
      <c r="AY51" s="4794"/>
      <c r="AZ51" s="4794"/>
      <c r="BA51" s="4794"/>
      <c r="BB51" s="4794"/>
      <c r="BC51" s="4794"/>
      <c r="BD51" s="4794"/>
      <c r="BE51" s="4794"/>
      <c r="BF51" s="4794"/>
    </row>
    <row r="52" spans="2:58" x14ac:dyDescent="0.25">
      <c r="B52" s="4795" t="s">
        <v>48</v>
      </c>
      <c r="C52" s="147" t="s">
        <v>53</v>
      </c>
      <c r="D52" s="4796">
        <v>2091890.3116520601</v>
      </c>
      <c r="E52" s="4796">
        <v>115304</v>
      </c>
      <c r="F52" s="4796">
        <v>104329</v>
      </c>
      <c r="G52" s="4796">
        <v>131789.25</v>
      </c>
      <c r="H52" s="4796">
        <v>136444</v>
      </c>
      <c r="I52" s="4797">
        <f>+E52+G52</f>
        <v>247093.25</v>
      </c>
      <c r="J52" s="4797">
        <f>+F52+H52</f>
        <v>240773</v>
      </c>
      <c r="K52" s="4796">
        <v>180010.58305060666</v>
      </c>
      <c r="L52" s="4796">
        <v>195226</v>
      </c>
      <c r="M52" s="4799">
        <f>+I52+K52</f>
        <v>427103.83305060666</v>
      </c>
      <c r="N52" s="4799">
        <f>+J52+L52</f>
        <v>435999</v>
      </c>
      <c r="O52" s="4796">
        <v>189322.89448946482</v>
      </c>
      <c r="P52" s="336">
        <v>193743</v>
      </c>
      <c r="Q52" s="4797">
        <f>+M52+O52</f>
        <v>616426.72754007147</v>
      </c>
      <c r="R52" s="4797">
        <f>+N52+P52</f>
        <v>629742</v>
      </c>
      <c r="S52" s="4796">
        <v>186167.51291464036</v>
      </c>
      <c r="T52" s="336">
        <v>193739</v>
      </c>
      <c r="U52" s="4797">
        <f>+Q52+S52</f>
        <v>802594.24045471183</v>
      </c>
      <c r="V52" s="4797">
        <f>+R52+T52</f>
        <v>823481</v>
      </c>
      <c r="W52" s="4796">
        <v>184191.95207765693</v>
      </c>
      <c r="X52" s="336">
        <v>179692</v>
      </c>
      <c r="Y52" s="4799">
        <f t="shared" ref="Y52:Y53" si="369">+O52+S52+W52</f>
        <v>559682.35948176216</v>
      </c>
      <c r="Z52" s="4799">
        <f t="shared" ref="Z52:Z53" si="370">+P52+T52+X52</f>
        <v>567174</v>
      </c>
      <c r="AA52" s="4636">
        <f>+U52+W52</f>
        <v>986786.1925323687</v>
      </c>
      <c r="AB52" s="4636">
        <f>+V52+X52</f>
        <v>1003173</v>
      </c>
      <c r="AC52" s="4796">
        <v>187207.55488623056</v>
      </c>
      <c r="AD52" s="336">
        <v>196095</v>
      </c>
      <c r="AE52" s="4797">
        <f>+AA52+AC52</f>
        <v>1173993.7474185992</v>
      </c>
      <c r="AF52" s="4797">
        <f>+AB52+AD52</f>
        <v>1199268</v>
      </c>
      <c r="AG52" s="4796">
        <v>184191.95207765693</v>
      </c>
      <c r="AH52" s="336">
        <v>180749</v>
      </c>
      <c r="AI52" s="4797">
        <f>+AE52+AG52</f>
        <v>1358185.6994962562</v>
      </c>
      <c r="AJ52" s="4797">
        <f>+AF52+AH52</f>
        <v>1380017</v>
      </c>
      <c r="AK52" s="4796">
        <v>187207.55488623056</v>
      </c>
      <c r="AL52" s="336">
        <v>203063</v>
      </c>
      <c r="AM52" s="4799">
        <f t="shared" ref="AM52:AM53" si="371">+AC52+AG52+AK52</f>
        <v>558607.06185011799</v>
      </c>
      <c r="AN52" s="4799">
        <f t="shared" ref="AN52:AN53" si="372">+AD52+AH52+AL52</f>
        <v>579907</v>
      </c>
      <c r="AO52" s="4797">
        <f>+AI52+AK52</f>
        <v>1545393.2543824867</v>
      </c>
      <c r="AP52" s="4797">
        <f>+AJ52+AL52</f>
        <v>1583080</v>
      </c>
      <c r="AQ52" s="4796">
        <v>190380.56429108192</v>
      </c>
      <c r="AR52" s="336">
        <v>207610</v>
      </c>
      <c r="AS52" s="4797">
        <f>+AO52+AQ52</f>
        <v>1735773.8186735685</v>
      </c>
      <c r="AT52" s="4797">
        <f>+AP52+AR52</f>
        <v>1790690</v>
      </c>
      <c r="AU52" s="4796">
        <v>165736.01249176144</v>
      </c>
      <c r="AV52" s="336">
        <v>183442</v>
      </c>
      <c r="AW52" s="4797">
        <f>+AS52+AU52</f>
        <v>1901509.83116533</v>
      </c>
      <c r="AX52" s="4797">
        <f>+AT52+AV52</f>
        <v>1974132</v>
      </c>
      <c r="AY52" s="4796">
        <v>190380.56429108192</v>
      </c>
      <c r="AZ52" s="336">
        <v>205678</v>
      </c>
      <c r="BA52" s="4799">
        <f t="shared" ref="BA52:BA53" si="373">+AQ52+AU52+AY52</f>
        <v>546497.14107392519</v>
      </c>
      <c r="BB52" s="4799">
        <f t="shared" ref="BB52:BB53" si="374">+AR52+AV52+AZ52</f>
        <v>596730</v>
      </c>
      <c r="BC52" s="4636">
        <f t="shared" ref="BC52:BD55" si="375">+BA52+AM52</f>
        <v>1105104.2029240432</v>
      </c>
      <c r="BD52" s="4636">
        <f t="shared" si="375"/>
        <v>1176637</v>
      </c>
      <c r="BE52" s="4797">
        <f>+AW52+AY52</f>
        <v>2091890.3954564119</v>
      </c>
      <c r="BF52" s="4797">
        <f>+AX52+AZ52</f>
        <v>2179810</v>
      </c>
    </row>
    <row r="53" spans="2:58" x14ac:dyDescent="0.25">
      <c r="B53" s="4795" t="s">
        <v>99</v>
      </c>
      <c r="C53" s="147" t="s">
        <v>53</v>
      </c>
      <c r="D53" s="4796">
        <v>2092037.1454873609</v>
      </c>
      <c r="E53" s="4796">
        <v>129292</v>
      </c>
      <c r="F53" s="4796">
        <v>169159</v>
      </c>
      <c r="G53" s="4796">
        <v>118014.66800000001</v>
      </c>
      <c r="H53" s="4796">
        <v>106992</v>
      </c>
      <c r="I53" s="4797">
        <f>+E53+G53</f>
        <v>247306.66800000001</v>
      </c>
      <c r="J53" s="4797">
        <f>+F53+H53</f>
        <v>276151</v>
      </c>
      <c r="K53" s="4796">
        <v>183168.66345500329</v>
      </c>
      <c r="L53" s="4796">
        <v>180806</v>
      </c>
      <c r="M53" s="4799">
        <f>+I53+K53</f>
        <v>430475.3314550033</v>
      </c>
      <c r="N53" s="4799">
        <f>+J53+L53</f>
        <v>456957</v>
      </c>
      <c r="O53" s="4796">
        <v>186167.51291464036</v>
      </c>
      <c r="P53" s="336">
        <v>182123</v>
      </c>
      <c r="Q53" s="4797">
        <f>+M53+O53</f>
        <v>616642.8443696436</v>
      </c>
      <c r="R53" s="4797">
        <f>+N53+P53</f>
        <v>639080</v>
      </c>
      <c r="S53" s="4796">
        <v>189322.89448946482</v>
      </c>
      <c r="T53" s="336">
        <v>178438</v>
      </c>
      <c r="U53" s="4797">
        <f>+Q53+S53</f>
        <v>805965.73885910842</v>
      </c>
      <c r="V53" s="4797">
        <f>+R53+T53</f>
        <v>817518</v>
      </c>
      <c r="W53" s="4796">
        <v>181016.22876597318</v>
      </c>
      <c r="X53" s="336">
        <v>169761</v>
      </c>
      <c r="Y53" s="4799">
        <f t="shared" si="369"/>
        <v>556506.6361700783</v>
      </c>
      <c r="Z53" s="4799">
        <f t="shared" si="370"/>
        <v>530322</v>
      </c>
      <c r="AA53" s="4636">
        <f>+U53+W53</f>
        <v>986981.96762508154</v>
      </c>
      <c r="AB53" s="4636">
        <f>+V53+X53</f>
        <v>987279</v>
      </c>
      <c r="AC53" s="4796">
        <v>190380.56429108192</v>
      </c>
      <c r="AD53" s="336">
        <v>176715</v>
      </c>
      <c r="AE53" s="4797">
        <f>+AA53+AC53</f>
        <v>1177362.5319161634</v>
      </c>
      <c r="AF53" s="4797">
        <f>+AB53+AD53</f>
        <v>1163994</v>
      </c>
      <c r="AG53" s="4796">
        <v>181016.22876597318</v>
      </c>
      <c r="AH53" s="336">
        <v>179666</v>
      </c>
      <c r="AI53" s="4797">
        <f>+AE53+AG53</f>
        <v>1358378.7606821365</v>
      </c>
      <c r="AJ53" s="4797">
        <f>+AF53+AH53</f>
        <v>1343660</v>
      </c>
      <c r="AK53" s="4796">
        <v>190380.56429108192</v>
      </c>
      <c r="AL53" s="336">
        <v>187706</v>
      </c>
      <c r="AM53" s="4799">
        <f t="shared" si="371"/>
        <v>561777.35734813707</v>
      </c>
      <c r="AN53" s="4799">
        <f t="shared" si="372"/>
        <v>544087</v>
      </c>
      <c r="AO53" s="4797">
        <f>+AI53+AK53</f>
        <v>1548759.3249732184</v>
      </c>
      <c r="AP53" s="4797">
        <f>+AJ53+AL53</f>
        <v>1531366</v>
      </c>
      <c r="AQ53" s="4796">
        <v>187207.55488623056</v>
      </c>
      <c r="AR53" s="336">
        <v>187427</v>
      </c>
      <c r="AS53" s="4797">
        <f>+AO53+AQ53</f>
        <v>1735966.8798594489</v>
      </c>
      <c r="AT53" s="4797">
        <f>+AP53+AR53</f>
        <v>1718793</v>
      </c>
      <c r="AU53" s="4796">
        <v>168863.10706707771</v>
      </c>
      <c r="AV53" s="336">
        <v>177582</v>
      </c>
      <c r="AW53" s="4797">
        <f>+AS53+AU53</f>
        <v>1904829.9869265265</v>
      </c>
      <c r="AX53" s="4797">
        <f>+AT53+AV53</f>
        <v>1896375</v>
      </c>
      <c r="AY53" s="4796">
        <v>187207.55488623056</v>
      </c>
      <c r="AZ53" s="336">
        <v>201646</v>
      </c>
      <c r="BA53" s="4799">
        <f t="shared" si="373"/>
        <v>543278.21683953889</v>
      </c>
      <c r="BB53" s="4799">
        <f t="shared" si="374"/>
        <v>566655</v>
      </c>
      <c r="BC53" s="4636">
        <f t="shared" si="375"/>
        <v>1105055.574187676</v>
      </c>
      <c r="BD53" s="4636">
        <f t="shared" si="375"/>
        <v>1110742</v>
      </c>
      <c r="BE53" s="4797">
        <f>+AW53+AY53</f>
        <v>2092037.541812757</v>
      </c>
      <c r="BF53" s="4797">
        <f>+AX53+AZ53</f>
        <v>2098021</v>
      </c>
    </row>
    <row r="54" spans="2:58" ht="15.75" x14ac:dyDescent="0.25">
      <c r="B54" s="4801" t="s">
        <v>23</v>
      </c>
      <c r="C54" s="4802" t="s">
        <v>53</v>
      </c>
      <c r="D54" s="4803">
        <f>SUM(D52:D53)</f>
        <v>4183927.4571394213</v>
      </c>
      <c r="E54" s="4803">
        <f t="shared" ref="E54:J54" si="376">SUM(E52:E53)</f>
        <v>244596</v>
      </c>
      <c r="F54" s="4803">
        <v>273488</v>
      </c>
      <c r="G54" s="4803">
        <f t="shared" si="376"/>
        <v>249803.91800000001</v>
      </c>
      <c r="H54" s="4803">
        <f t="shared" si="376"/>
        <v>243436</v>
      </c>
      <c r="I54" s="4805">
        <f t="shared" si="376"/>
        <v>494399.91800000001</v>
      </c>
      <c r="J54" s="4805">
        <f t="shared" si="376"/>
        <v>516924</v>
      </c>
      <c r="K54" s="4803">
        <v>363179.24650560995</v>
      </c>
      <c r="L54" s="4803">
        <f t="shared" ref="L54:N54" si="377">SUM(L52:L53)</f>
        <v>376032</v>
      </c>
      <c r="M54" s="4807">
        <f t="shared" si="377"/>
        <v>857579.16450561001</v>
      </c>
      <c r="N54" s="4807">
        <f t="shared" si="377"/>
        <v>892956</v>
      </c>
      <c r="O54" s="4803">
        <f t="shared" ref="O54:R54" si="378">SUM(O52:O53)</f>
        <v>375490.40740410518</v>
      </c>
      <c r="P54" s="4803">
        <f t="shared" si="378"/>
        <v>375866</v>
      </c>
      <c r="Q54" s="4805">
        <f t="shared" si="378"/>
        <v>1233069.571909715</v>
      </c>
      <c r="R54" s="4805">
        <f t="shared" si="378"/>
        <v>1268822</v>
      </c>
      <c r="S54" s="4803">
        <f t="shared" ref="S54:V54" si="379">SUM(S52:S53)</f>
        <v>375490.40740410518</v>
      </c>
      <c r="T54" s="4803">
        <f t="shared" si="379"/>
        <v>372177</v>
      </c>
      <c r="U54" s="4805">
        <f t="shared" si="379"/>
        <v>1608559.9793138201</v>
      </c>
      <c r="V54" s="4805">
        <f t="shared" si="379"/>
        <v>1640999</v>
      </c>
      <c r="W54" s="4803">
        <f t="shared" ref="W54:X54" si="380">SUM(W52:W53)</f>
        <v>365208.18084363011</v>
      </c>
      <c r="X54" s="4803">
        <f t="shared" si="380"/>
        <v>349453</v>
      </c>
      <c r="Y54" s="4807">
        <f t="shared" ref="Y54:AF54" si="381">SUM(Y52:Y53)</f>
        <v>1116188.9956518405</v>
      </c>
      <c r="Z54" s="4807">
        <f t="shared" si="381"/>
        <v>1097496</v>
      </c>
      <c r="AA54" s="4808">
        <f t="shared" si="381"/>
        <v>1973768.1601574502</v>
      </c>
      <c r="AB54" s="4808">
        <f t="shared" si="381"/>
        <v>1990452</v>
      </c>
      <c r="AC54" s="4803">
        <f t="shared" si="381"/>
        <v>377588.11917731247</v>
      </c>
      <c r="AD54" s="4803">
        <f t="shared" si="381"/>
        <v>372810</v>
      </c>
      <c r="AE54" s="4805">
        <f t="shared" si="381"/>
        <v>2351356.2793347626</v>
      </c>
      <c r="AF54" s="4805">
        <f t="shared" si="381"/>
        <v>2363262</v>
      </c>
      <c r="AG54" s="4803">
        <f t="shared" ref="AG54:AJ54" si="382">SUM(AG52:AG53)</f>
        <v>365208.18084363011</v>
      </c>
      <c r="AH54" s="4803">
        <f t="shared" si="382"/>
        <v>360415</v>
      </c>
      <c r="AI54" s="4805">
        <f t="shared" si="382"/>
        <v>2716564.4601783929</v>
      </c>
      <c r="AJ54" s="4805">
        <f t="shared" si="382"/>
        <v>2723677</v>
      </c>
      <c r="AK54" s="4803">
        <f t="shared" ref="AK54:AL54" si="383">SUM(AK52:AK53)</f>
        <v>377588.11917731247</v>
      </c>
      <c r="AL54" s="4803">
        <f t="shared" si="383"/>
        <v>390769</v>
      </c>
      <c r="AM54" s="4807">
        <f t="shared" ref="AM54:AT54" si="384">SUM(AM52:AM53)</f>
        <v>1120384.4191982551</v>
      </c>
      <c r="AN54" s="4807">
        <f t="shared" si="384"/>
        <v>1123994</v>
      </c>
      <c r="AO54" s="4805">
        <f t="shared" si="384"/>
        <v>3094152.5793557051</v>
      </c>
      <c r="AP54" s="4805">
        <f t="shared" si="384"/>
        <v>3114446</v>
      </c>
      <c r="AQ54" s="4803">
        <f t="shared" si="384"/>
        <v>377588.11917731247</v>
      </c>
      <c r="AR54" s="4803">
        <f t="shared" si="384"/>
        <v>395037</v>
      </c>
      <c r="AS54" s="4805">
        <f t="shared" si="384"/>
        <v>3471740.6985330172</v>
      </c>
      <c r="AT54" s="4805">
        <f t="shared" si="384"/>
        <v>3509483</v>
      </c>
      <c r="AU54" s="4803">
        <f t="shared" ref="AU54:AX54" si="385">SUM(AU52:AU53)</f>
        <v>334599.11955883913</v>
      </c>
      <c r="AV54" s="4803">
        <f t="shared" si="385"/>
        <v>361024</v>
      </c>
      <c r="AW54" s="4805">
        <f t="shared" si="385"/>
        <v>3806339.8180918563</v>
      </c>
      <c r="AX54" s="4805">
        <f t="shared" si="385"/>
        <v>3870507</v>
      </c>
      <c r="AY54" s="4803">
        <f t="shared" ref="AY54:AZ54" si="386">SUM(AY52:AY53)</f>
        <v>377588.11917731247</v>
      </c>
      <c r="AZ54" s="4803">
        <f t="shared" si="386"/>
        <v>407324</v>
      </c>
      <c r="BA54" s="4807">
        <f t="shared" ref="BA54:BB54" si="387">SUM(BA52:BA53)</f>
        <v>1089775.3579134641</v>
      </c>
      <c r="BB54" s="4807">
        <f t="shared" si="387"/>
        <v>1163385</v>
      </c>
      <c r="BC54" s="4808">
        <f t="shared" ref="BC54:BD54" si="388">SUM(BC52:BC53)</f>
        <v>2210159.7771117194</v>
      </c>
      <c r="BD54" s="4808">
        <f t="shared" si="388"/>
        <v>2287379</v>
      </c>
      <c r="BE54" s="4805">
        <f t="shared" ref="BE54:BF54" si="389">SUM(BE52:BE53)</f>
        <v>4183927.9372691689</v>
      </c>
      <c r="BF54" s="4805">
        <f t="shared" si="389"/>
        <v>4277831</v>
      </c>
    </row>
    <row r="55" spans="2:58" ht="15.75" x14ac:dyDescent="0.25">
      <c r="B55" s="5190" t="s">
        <v>93</v>
      </c>
      <c r="C55" s="4802" t="s">
        <v>53</v>
      </c>
      <c r="D55" s="4803">
        <v>627589.1185709131</v>
      </c>
      <c r="E55" s="4803">
        <f>+E56*E54/1000</f>
        <v>36689.4</v>
      </c>
      <c r="F55" s="4803">
        <v>41023</v>
      </c>
      <c r="G55" s="4803">
        <f>+G56*G54/1000</f>
        <v>37470.587700000004</v>
      </c>
      <c r="H55" s="4803">
        <v>35853</v>
      </c>
      <c r="I55" s="4805">
        <f>+E55+G55</f>
        <v>74159.987699999998</v>
      </c>
      <c r="J55" s="4805">
        <f>+F55+H55</f>
        <v>76876</v>
      </c>
      <c r="K55" s="4803">
        <f>+K56*K54/1000</f>
        <v>54476.886975841495</v>
      </c>
      <c r="L55" s="4803">
        <v>56404.799999999996</v>
      </c>
      <c r="M55" s="4807">
        <f>+I55+K55</f>
        <v>128636.87467584149</v>
      </c>
      <c r="N55" s="4807">
        <f>+J55+L55</f>
        <v>133280.79999999999</v>
      </c>
      <c r="O55" s="4803">
        <f>+O56*O54/1000</f>
        <v>56323.561110615774</v>
      </c>
      <c r="P55" s="4803">
        <v>56379.9</v>
      </c>
      <c r="Q55" s="4805">
        <f>+M55+O55</f>
        <v>184960.43578645727</v>
      </c>
      <c r="R55" s="4805">
        <f>+N55+P55</f>
        <v>189660.69999999998</v>
      </c>
      <c r="S55" s="4803">
        <f>+S56*S54/1000</f>
        <v>56323.561110615774</v>
      </c>
      <c r="T55" s="4803">
        <v>55826.549999999996</v>
      </c>
      <c r="U55" s="4805">
        <f>+Q55+S55</f>
        <v>241283.99689707306</v>
      </c>
      <c r="V55" s="4805">
        <f>+R55+T55</f>
        <v>245487.24999999997</v>
      </c>
      <c r="W55" s="4803">
        <f>+W56*W54/1000</f>
        <v>54781.227126544516</v>
      </c>
      <c r="X55" s="4803">
        <v>52417.95</v>
      </c>
      <c r="Y55" s="4807">
        <f t="shared" ref="Y55" si="390">+O55+S55+W55</f>
        <v>167428.34934777606</v>
      </c>
      <c r="Z55" s="4807">
        <f t="shared" ref="Z55" si="391">+P55+T55+X55</f>
        <v>164624.4</v>
      </c>
      <c r="AA55" s="4808">
        <f>+U55+W55</f>
        <v>296065.22402361757</v>
      </c>
      <c r="AB55" s="4808">
        <f>+V55+X55</f>
        <v>297905.19999999995</v>
      </c>
      <c r="AC55" s="4803">
        <f>+AC56*AC54/1000</f>
        <v>56638.217876596871</v>
      </c>
      <c r="AD55" s="4803">
        <v>55921.5</v>
      </c>
      <c r="AE55" s="4805">
        <f>+AA55+AC55</f>
        <v>352703.44190021441</v>
      </c>
      <c r="AF55" s="4805">
        <f>+AB55+AD55</f>
        <v>353826.69999999995</v>
      </c>
      <c r="AG55" s="4803">
        <f>+AG56*AG54/1000</f>
        <v>54781.227126544516</v>
      </c>
      <c r="AH55" s="4803">
        <v>54062.25</v>
      </c>
      <c r="AI55" s="4805">
        <f>+AE55+AG55</f>
        <v>407484.66902675893</v>
      </c>
      <c r="AJ55" s="4805">
        <f>+AF55+AH55</f>
        <v>407888.94999999995</v>
      </c>
      <c r="AK55" s="4803">
        <f>+AK56*AK54/1000</f>
        <v>56638.217876596871</v>
      </c>
      <c r="AL55" s="4803">
        <v>58615.35</v>
      </c>
      <c r="AM55" s="4807">
        <f t="shared" ref="AM55" si="392">+AC55+AG55+AK55</f>
        <v>168057.66287973826</v>
      </c>
      <c r="AN55" s="4807">
        <f t="shared" ref="AN55" si="393">+AD55+AH55+AL55</f>
        <v>168599.1</v>
      </c>
      <c r="AO55" s="4805">
        <f>+AI55+AK55</f>
        <v>464122.88690335583</v>
      </c>
      <c r="AP55" s="4805">
        <f>+AJ55+AL55</f>
        <v>466504.29999999993</v>
      </c>
      <c r="AQ55" s="4803">
        <f>+AQ56*AQ54/1000</f>
        <v>56638.217876596871</v>
      </c>
      <c r="AR55" s="4803">
        <v>59255.549999999996</v>
      </c>
      <c r="AS55" s="4805">
        <f>+AO55+AQ55</f>
        <v>520761.10477995267</v>
      </c>
      <c r="AT55" s="4805">
        <f>+AP55+AR55</f>
        <v>525759.85</v>
      </c>
      <c r="AU55" s="4803">
        <f>+AU56*AU54/1000</f>
        <v>50189.867933825866</v>
      </c>
      <c r="AV55" s="4803">
        <v>54153.599999999999</v>
      </c>
      <c r="AW55" s="4805">
        <f>+AS55+AU55</f>
        <v>570950.97271377849</v>
      </c>
      <c r="AX55" s="4805">
        <f>+AT55+AV55</f>
        <v>579913.44999999995</v>
      </c>
      <c r="AY55" s="4803">
        <f>+AY56*AY54/1000</f>
        <v>56638.217876596871</v>
      </c>
      <c r="AZ55" s="4803">
        <v>61098.6</v>
      </c>
      <c r="BA55" s="4807">
        <f t="shared" ref="BA55" si="394">+AQ55+AU55+AY55</f>
        <v>163466.30368701962</v>
      </c>
      <c r="BB55" s="4807">
        <f t="shared" ref="BB55" si="395">+AR55+AV55+AZ55</f>
        <v>174507.75</v>
      </c>
      <c r="BC55" s="4808">
        <f t="shared" si="375"/>
        <v>331523.96656675788</v>
      </c>
      <c r="BD55" s="4808">
        <f t="shared" si="375"/>
        <v>343106.85</v>
      </c>
      <c r="BE55" s="4805">
        <f>+AW55+AY55</f>
        <v>627589.19059037534</v>
      </c>
      <c r="BF55" s="4805">
        <f>+AX55+AZ55</f>
        <v>641012.04999999993</v>
      </c>
    </row>
    <row r="56" spans="2:58" ht="15.75" x14ac:dyDescent="0.25">
      <c r="B56" s="5190"/>
      <c r="C56" s="4802" t="s">
        <v>248</v>
      </c>
      <c r="D56" s="4803">
        <f>+D55/D54*1000</f>
        <v>149.99999999999997</v>
      </c>
      <c r="E56" s="4802">
        <v>150</v>
      </c>
      <c r="F56" s="4803">
        <f>+F55/F54*1000</f>
        <v>149.99926870648804</v>
      </c>
      <c r="G56" s="4802">
        <v>150</v>
      </c>
      <c r="H56" s="4803">
        <f>+H55/H54*1000</f>
        <v>147.27895627598221</v>
      </c>
      <c r="I56" s="4806">
        <f>+I55/I54*1000</f>
        <v>150</v>
      </c>
      <c r="J56" s="4806">
        <f>+J55/J54*1000</f>
        <v>148.71818681276164</v>
      </c>
      <c r="K56" s="4802">
        <v>150</v>
      </c>
      <c r="L56" s="4802">
        <f>+L55/L54*1000</f>
        <v>150</v>
      </c>
      <c r="M56" s="4807">
        <f>+M55/M54*1000</f>
        <v>150</v>
      </c>
      <c r="N56" s="4807">
        <f>+N55/N54*1000</f>
        <v>149.25797015754412</v>
      </c>
      <c r="O56" s="4802">
        <v>150</v>
      </c>
      <c r="P56" s="4802">
        <f>+P55/P54*1000</f>
        <v>150</v>
      </c>
      <c r="Q56" s="4806">
        <f>+Q55/Q54*1000</f>
        <v>150.00000000000003</v>
      </c>
      <c r="R56" s="4805">
        <f>+R55/R54*1000</f>
        <v>149.47778332973419</v>
      </c>
      <c r="S56" s="4802">
        <v>150</v>
      </c>
      <c r="T56" s="4802">
        <f>+T55/T54*1000</f>
        <v>150</v>
      </c>
      <c r="U56" s="4806">
        <f>+U55/U54*1000</f>
        <v>150.00000000000003</v>
      </c>
      <c r="V56" s="4805">
        <f>+V55/V54*1000</f>
        <v>149.59622156990955</v>
      </c>
      <c r="W56" s="4802">
        <v>150</v>
      </c>
      <c r="X56" s="4802">
        <f>+X55/X54*1000</f>
        <v>150</v>
      </c>
      <c r="Y56" s="4807">
        <f>+Y55/Y54*1000</f>
        <v>150</v>
      </c>
      <c r="Z56" s="4807">
        <f>+Z55/Z54*1000</f>
        <v>150</v>
      </c>
      <c r="AA56" s="4808">
        <f>+AA55/AA54*1000</f>
        <v>150.00000000000003</v>
      </c>
      <c r="AB56" s="4808">
        <f>+AB55/AB54*1000</f>
        <v>149.66711078689661</v>
      </c>
      <c r="AC56" s="4802">
        <v>150</v>
      </c>
      <c r="AD56" s="4802">
        <f>+AD55/AD54*1000</f>
        <v>150</v>
      </c>
      <c r="AE56" s="4806">
        <f>+AE55/AE54*1000</f>
        <v>150.00000000000003</v>
      </c>
      <c r="AF56" s="4805">
        <f>+AF55/AF54*1000</f>
        <v>149.71962482365475</v>
      </c>
      <c r="AG56" s="4802">
        <v>150</v>
      </c>
      <c r="AH56" s="4802">
        <f>+AH55/AH54*1000</f>
        <v>150</v>
      </c>
      <c r="AI56" s="4806">
        <f>+AI55/AI54*1000</f>
        <v>150</v>
      </c>
      <c r="AJ56" s="4805">
        <f>+AJ55/AJ54*1000</f>
        <v>149.75672592601839</v>
      </c>
      <c r="AK56" s="4802">
        <v>150</v>
      </c>
      <c r="AL56" s="4802">
        <f>+AL55/AL54*1000</f>
        <v>150</v>
      </c>
      <c r="AM56" s="4807">
        <f>+AM55/AM54*1000</f>
        <v>150</v>
      </c>
      <c r="AN56" s="4807">
        <f>+AN55/AN54*1000</f>
        <v>150</v>
      </c>
      <c r="AO56" s="4805">
        <f>+AO55/AO54*1000</f>
        <v>150.00000000000003</v>
      </c>
      <c r="AP56" s="4806">
        <f>+AP55/AP54*1000</f>
        <v>149.7872494819303</v>
      </c>
      <c r="AQ56" s="4802">
        <v>150</v>
      </c>
      <c r="AR56" s="4802">
        <f>+AR55/AR54*1000</f>
        <v>150</v>
      </c>
      <c r="AS56" s="4806">
        <f>+AS55/AS54*1000</f>
        <v>150.00000000000003</v>
      </c>
      <c r="AT56" s="4805">
        <f>+AT55/AT54*1000</f>
        <v>149.8111972618189</v>
      </c>
      <c r="AU56" s="4802">
        <v>150</v>
      </c>
      <c r="AV56" s="4802">
        <f>+AV55/AV54*1000</f>
        <v>150</v>
      </c>
      <c r="AW56" s="4806">
        <f>+AW55/AW54*1000</f>
        <v>150.00000000000003</v>
      </c>
      <c r="AX56" s="4805">
        <f>+AX55/AX54*1000</f>
        <v>149.82880795720044</v>
      </c>
      <c r="AY56" s="4802">
        <v>150</v>
      </c>
      <c r="AZ56" s="4802">
        <f>+AZ55/AZ54*1000</f>
        <v>150</v>
      </c>
      <c r="BA56" s="4807">
        <f>+BA55/BA54*1000</f>
        <v>150.00000000000003</v>
      </c>
      <c r="BB56" s="4807">
        <f>+BB55/BB54*1000</f>
        <v>150</v>
      </c>
      <c r="BC56" s="4808">
        <f t="shared" ref="BC56:BF56" si="396">+BC55/BC54*1000</f>
        <v>150</v>
      </c>
      <c r="BD56" s="4808">
        <f t="shared" si="396"/>
        <v>150</v>
      </c>
      <c r="BE56" s="4806">
        <f t="shared" si="396"/>
        <v>150</v>
      </c>
      <c r="BF56" s="4805">
        <f t="shared" si="396"/>
        <v>149.8451084205991</v>
      </c>
    </row>
    <row r="57" spans="2:58" s="334" customFormat="1" ht="18.75" x14ac:dyDescent="0.25">
      <c r="B57" s="4794" t="s">
        <v>49</v>
      </c>
      <c r="C57" s="4794"/>
      <c r="D57" s="4794"/>
      <c r="E57" s="4817"/>
      <c r="F57" s="4817"/>
      <c r="G57" s="4817"/>
      <c r="H57" s="4817"/>
      <c r="I57" s="4794"/>
      <c r="J57" s="4794"/>
      <c r="K57" s="4794"/>
      <c r="L57" s="4794"/>
      <c r="M57" s="4794"/>
      <c r="N57" s="4794"/>
      <c r="O57" s="4794"/>
      <c r="P57" s="4817"/>
      <c r="Q57" s="4794"/>
      <c r="R57" s="4794"/>
      <c r="S57" s="4794"/>
      <c r="T57" s="4817"/>
      <c r="U57" s="4794"/>
      <c r="V57" s="4794"/>
      <c r="W57" s="4794"/>
      <c r="X57" s="4817"/>
      <c r="Y57" s="4794"/>
      <c r="Z57" s="4794"/>
      <c r="AA57" s="4794"/>
      <c r="AB57" s="4794"/>
      <c r="AC57" s="4794"/>
      <c r="AD57" s="4817"/>
      <c r="AE57" s="4794"/>
      <c r="AF57" s="4794"/>
      <c r="AG57" s="4794"/>
      <c r="AH57" s="4817"/>
      <c r="AI57" s="4794"/>
      <c r="AJ57" s="4794"/>
      <c r="AK57" s="4794"/>
      <c r="AL57" s="4817"/>
      <c r="AM57" s="4794"/>
      <c r="AN57" s="4794"/>
      <c r="AO57" s="4794"/>
      <c r="AP57" s="4794"/>
      <c r="AQ57" s="4794"/>
      <c r="AR57" s="4817"/>
      <c r="AS57" s="4794"/>
      <c r="AT57" s="4794"/>
      <c r="AU57" s="4794"/>
      <c r="AV57" s="4817"/>
      <c r="AW57" s="4794"/>
      <c r="AX57" s="4794"/>
      <c r="AY57" s="4794"/>
      <c r="AZ57" s="4817"/>
      <c r="BA57" s="4794"/>
      <c r="BB57" s="4794"/>
      <c r="BC57" s="4794"/>
      <c r="BD57" s="4794"/>
      <c r="BE57" s="4794"/>
      <c r="BF57" s="4794"/>
    </row>
    <row r="58" spans="2:58" x14ac:dyDescent="0.25">
      <c r="B58" s="4795" t="s">
        <v>92</v>
      </c>
      <c r="C58" s="147" t="s">
        <v>250</v>
      </c>
      <c r="D58" s="147">
        <v>8760</v>
      </c>
      <c r="E58" s="147">
        <f>+E2*24</f>
        <v>720</v>
      </c>
      <c r="F58" s="147">
        <f>+F2*24</f>
        <v>720</v>
      </c>
      <c r="G58" s="147">
        <f>+G2*24</f>
        <v>744</v>
      </c>
      <c r="H58" s="147">
        <f>+H2*24</f>
        <v>744</v>
      </c>
      <c r="I58" s="4798">
        <f>+E58+G58</f>
        <v>1464</v>
      </c>
      <c r="J58" s="4798">
        <f>+F58+H58</f>
        <v>1464</v>
      </c>
      <c r="K58" s="147">
        <f>+K2*24</f>
        <v>720</v>
      </c>
      <c r="L58" s="147">
        <f>+L2*24</f>
        <v>720</v>
      </c>
      <c r="M58" s="4800">
        <f>+I58+K58</f>
        <v>2184</v>
      </c>
      <c r="N58" s="4800">
        <f>+J58+L58</f>
        <v>2184</v>
      </c>
      <c r="O58" s="147">
        <f>+O2*24</f>
        <v>744</v>
      </c>
      <c r="P58" s="4818">
        <f>+P2*24</f>
        <v>744</v>
      </c>
      <c r="Q58" s="4798">
        <f>+M58+O58</f>
        <v>2928</v>
      </c>
      <c r="R58" s="4798">
        <f>+N58+P58</f>
        <v>2928</v>
      </c>
      <c r="S58" s="147">
        <f>+S2*24</f>
        <v>744</v>
      </c>
      <c r="T58" s="4818">
        <f>+T2*24</f>
        <v>744</v>
      </c>
      <c r="U58" s="4798">
        <f>+Q58+S58</f>
        <v>3672</v>
      </c>
      <c r="V58" s="4798">
        <f>+R58+T58</f>
        <v>3672</v>
      </c>
      <c r="W58" s="147">
        <f>+W2*24</f>
        <v>720</v>
      </c>
      <c r="X58" s="4818">
        <f>+X2*24</f>
        <v>720</v>
      </c>
      <c r="Y58" s="4800">
        <f t="shared" ref="Y58:Y59" si="397">+O58+S58+W58</f>
        <v>2208</v>
      </c>
      <c r="Z58" s="4800">
        <f t="shared" ref="Z58:Z59" si="398">+P58+T58+X58</f>
        <v>2208</v>
      </c>
      <c r="AA58" s="4814">
        <f>+U58+W58</f>
        <v>4392</v>
      </c>
      <c r="AB58" s="4814">
        <f>+V58+X58</f>
        <v>4392</v>
      </c>
      <c r="AC58" s="147">
        <f>+AC2*24</f>
        <v>744</v>
      </c>
      <c r="AD58" s="4818">
        <f>+AD2*24</f>
        <v>744</v>
      </c>
      <c r="AE58" s="4798">
        <f>+AA58+AC58</f>
        <v>5136</v>
      </c>
      <c r="AF58" s="4798">
        <f>+AB58+AD58</f>
        <v>5136</v>
      </c>
      <c r="AG58" s="147">
        <f>+AG2*24</f>
        <v>720</v>
      </c>
      <c r="AH58" s="4818">
        <f>+AH2*24</f>
        <v>720</v>
      </c>
      <c r="AI58" s="4798">
        <f>+AE58+AG58</f>
        <v>5856</v>
      </c>
      <c r="AJ58" s="4798">
        <f>+AF58+AH58</f>
        <v>5856</v>
      </c>
      <c r="AK58" s="147">
        <f>+AK2*24</f>
        <v>744</v>
      </c>
      <c r="AL58" s="4818">
        <f>+AL2*24</f>
        <v>744</v>
      </c>
      <c r="AM58" s="4800">
        <f t="shared" ref="AM58:AM59" si="399">+AC58+AG58+AK58</f>
        <v>2208</v>
      </c>
      <c r="AN58" s="4800">
        <f t="shared" ref="AN58:AN59" si="400">+AD58+AH58+AL58</f>
        <v>2208</v>
      </c>
      <c r="AO58" s="4798">
        <f>+AI58+AK58</f>
        <v>6600</v>
      </c>
      <c r="AP58" s="4798">
        <f>+AJ58+AL58</f>
        <v>6600</v>
      </c>
      <c r="AQ58" s="147">
        <f>+AQ2*24</f>
        <v>744</v>
      </c>
      <c r="AR58" s="4818">
        <f>+AR2*24</f>
        <v>744</v>
      </c>
      <c r="AS58" s="4798">
        <f>+AO58+AQ58</f>
        <v>7344</v>
      </c>
      <c r="AT58" s="4798">
        <f>+AP58+AR58</f>
        <v>7344</v>
      </c>
      <c r="AU58" s="147">
        <f>+AU2*24</f>
        <v>672</v>
      </c>
      <c r="AV58" s="4818">
        <f>+AV2*24</f>
        <v>672</v>
      </c>
      <c r="AW58" s="4798">
        <f>+AS58+AU58</f>
        <v>8016</v>
      </c>
      <c r="AX58" s="4798">
        <f>+AT58+AV58</f>
        <v>8016</v>
      </c>
      <c r="AY58" s="147">
        <f>+AY2*24</f>
        <v>744</v>
      </c>
      <c r="AZ58" s="4818">
        <f>+AZ2*24</f>
        <v>744</v>
      </c>
      <c r="BA58" s="4800">
        <f t="shared" ref="BA58:BA59" si="401">+AQ58+AU58+AY58</f>
        <v>2160</v>
      </c>
      <c r="BB58" s="4800">
        <f t="shared" ref="BB58:BB59" si="402">+AR58+AV58+AZ58</f>
        <v>2160</v>
      </c>
      <c r="BC58" s="4814">
        <f t="shared" ref="BC58:BD59" si="403">+BA58+AM58</f>
        <v>4368</v>
      </c>
      <c r="BD58" s="4814">
        <f t="shared" si="403"/>
        <v>4368</v>
      </c>
      <c r="BE58" s="4798">
        <f>+AW58+AY58</f>
        <v>8760</v>
      </c>
      <c r="BF58" s="4798">
        <f>+AX58+AZ58</f>
        <v>8760</v>
      </c>
    </row>
    <row r="59" spans="2:58" x14ac:dyDescent="0.25">
      <c r="B59" s="4795" t="s">
        <v>251</v>
      </c>
      <c r="C59" s="147" t="s">
        <v>250</v>
      </c>
      <c r="D59" s="147">
        <v>8314</v>
      </c>
      <c r="E59" s="4796">
        <v>647</v>
      </c>
      <c r="F59" s="4796">
        <v>543.9</v>
      </c>
      <c r="G59" s="4796">
        <v>671</v>
      </c>
      <c r="H59" s="4796">
        <v>557.12</v>
      </c>
      <c r="I59" s="4797">
        <f>+E59+G59</f>
        <v>1318</v>
      </c>
      <c r="J59" s="4797">
        <f>+F59+H59</f>
        <v>1101.02</v>
      </c>
      <c r="K59" s="4796">
        <v>690</v>
      </c>
      <c r="L59" s="4796">
        <v>699.91</v>
      </c>
      <c r="M59" s="4799">
        <f>+I59+K59</f>
        <v>2008</v>
      </c>
      <c r="N59" s="4799">
        <f>+J59+L59</f>
        <v>1800.9299999999998</v>
      </c>
      <c r="O59" s="336">
        <v>714</v>
      </c>
      <c r="P59" s="336">
        <v>729.12</v>
      </c>
      <c r="Q59" s="4797">
        <f>+M59+O59</f>
        <v>2722</v>
      </c>
      <c r="R59" s="4797">
        <f>+N59+P59</f>
        <v>2530.0499999999997</v>
      </c>
      <c r="S59" s="336">
        <v>714</v>
      </c>
      <c r="T59" s="336">
        <v>723.37</v>
      </c>
      <c r="U59" s="4797">
        <f>+Q59+S59</f>
        <v>3436</v>
      </c>
      <c r="V59" s="4797">
        <f>+R59+T59</f>
        <v>3253.4199999999996</v>
      </c>
      <c r="W59" s="336">
        <v>690</v>
      </c>
      <c r="X59" s="336">
        <v>703.58</v>
      </c>
      <c r="Y59" s="4799">
        <f t="shared" si="397"/>
        <v>2118</v>
      </c>
      <c r="Z59" s="4799">
        <f t="shared" si="398"/>
        <v>2156.0700000000002</v>
      </c>
      <c r="AA59" s="4636">
        <f>+U59+W59</f>
        <v>4126</v>
      </c>
      <c r="AB59" s="4636">
        <f>+V59+X59</f>
        <v>3956.9999999999995</v>
      </c>
      <c r="AC59" s="336">
        <v>714</v>
      </c>
      <c r="AD59" s="336">
        <v>735.45</v>
      </c>
      <c r="AE59" s="4797">
        <f>+AA59+AC59</f>
        <v>4840</v>
      </c>
      <c r="AF59" s="4797">
        <f>+AB59+AD59</f>
        <v>4692.45</v>
      </c>
      <c r="AG59" s="336">
        <v>690</v>
      </c>
      <c r="AH59" s="336">
        <v>706.9</v>
      </c>
      <c r="AI59" s="4797">
        <f>+AE59+AG59</f>
        <v>5530</v>
      </c>
      <c r="AJ59" s="4797">
        <f>+AF59+AH59</f>
        <v>5399.3499999999995</v>
      </c>
      <c r="AK59" s="336">
        <v>714</v>
      </c>
      <c r="AL59" s="336">
        <v>717.12</v>
      </c>
      <c r="AM59" s="4799">
        <f t="shared" si="399"/>
        <v>2118</v>
      </c>
      <c r="AN59" s="4799">
        <f t="shared" si="400"/>
        <v>2159.4699999999998</v>
      </c>
      <c r="AO59" s="4797">
        <f>+AI59+AK59</f>
        <v>6244</v>
      </c>
      <c r="AP59" s="4797">
        <f>+AJ59+AL59</f>
        <v>6116.4699999999993</v>
      </c>
      <c r="AQ59" s="336">
        <v>714</v>
      </c>
      <c r="AR59" s="336">
        <v>727.41</v>
      </c>
      <c r="AS59" s="4797">
        <f>+AO59+AQ59</f>
        <v>6958</v>
      </c>
      <c r="AT59" s="4797">
        <f>+AP59+AR59</f>
        <v>6843.8799999999992</v>
      </c>
      <c r="AU59" s="336">
        <v>642</v>
      </c>
      <c r="AV59" s="336">
        <v>658.83</v>
      </c>
      <c r="AW59" s="4797">
        <f>+AS59+AU59</f>
        <v>7600</v>
      </c>
      <c r="AX59" s="4797">
        <f>+AT59+AV59</f>
        <v>7502.7099999999991</v>
      </c>
      <c r="AY59" s="336">
        <v>714</v>
      </c>
      <c r="AZ59" s="336">
        <v>732.21</v>
      </c>
      <c r="BA59" s="4799">
        <f t="shared" si="401"/>
        <v>2070</v>
      </c>
      <c r="BB59" s="4799">
        <f t="shared" si="402"/>
        <v>2118.4499999999998</v>
      </c>
      <c r="BC59" s="4636">
        <f t="shared" si="403"/>
        <v>4188</v>
      </c>
      <c r="BD59" s="4636">
        <f t="shared" si="403"/>
        <v>4277.92</v>
      </c>
      <c r="BE59" s="4797">
        <f>+AW59+AY59</f>
        <v>8314</v>
      </c>
      <c r="BF59" s="4797">
        <f>+AX59+AZ59</f>
        <v>8234.9199999999983</v>
      </c>
    </row>
    <row r="60" spans="2:58" x14ac:dyDescent="0.25">
      <c r="B60" s="4795" t="s">
        <v>252</v>
      </c>
      <c r="C60" s="147" t="s">
        <v>52</v>
      </c>
      <c r="D60" s="4812">
        <f t="shared" ref="D60" si="404">+D59/D58*100</f>
        <v>94.908675799086765</v>
      </c>
      <c r="E60" s="4812">
        <f>+E59/E58*100</f>
        <v>89.861111111111114</v>
      </c>
      <c r="F60" s="4796">
        <f>+F59/F58*100</f>
        <v>75.541666666666657</v>
      </c>
      <c r="G60" s="4812">
        <f t="shared" ref="G60:K60" si="405">+G59/G58*100</f>
        <v>90.188172043010752</v>
      </c>
      <c r="H60" s="4796">
        <f t="shared" si="405"/>
        <v>74.881720430107521</v>
      </c>
      <c r="I60" s="4815">
        <f t="shared" si="405"/>
        <v>90.027322404371574</v>
      </c>
      <c r="J60" s="4815">
        <f t="shared" si="405"/>
        <v>75.20628415300547</v>
      </c>
      <c r="K60" s="4812">
        <f t="shared" si="405"/>
        <v>95.833333333333343</v>
      </c>
      <c r="L60" s="4796">
        <f t="shared" ref="L60" si="406">+L59/L58*100</f>
        <v>97.209722222222211</v>
      </c>
      <c r="M60" s="4813">
        <f t="shared" ref="M60:O60" si="407">+M59/M58*100</f>
        <v>91.941391941391942</v>
      </c>
      <c r="N60" s="4813">
        <f t="shared" si="407"/>
        <v>82.460164835164832</v>
      </c>
      <c r="O60" s="4796">
        <f t="shared" si="407"/>
        <v>95.967741935483872</v>
      </c>
      <c r="P60" s="336">
        <f t="shared" ref="P60:S60" si="408">+P59/P58*100</f>
        <v>98</v>
      </c>
      <c r="Q60" s="4815">
        <f t="shared" si="408"/>
        <v>92.964480874316934</v>
      </c>
      <c r="R60" s="4815">
        <f t="shared" si="408"/>
        <v>86.408811475409834</v>
      </c>
      <c r="S60" s="4796">
        <f t="shared" si="408"/>
        <v>95.967741935483872</v>
      </c>
      <c r="T60" s="336">
        <f t="shared" ref="T60:W60" si="409">+T59/T58*100</f>
        <v>97.227150537634415</v>
      </c>
      <c r="U60" s="4815">
        <f t="shared" si="409"/>
        <v>93.57298474945533</v>
      </c>
      <c r="V60" s="4815">
        <f t="shared" si="409"/>
        <v>88.600762527233101</v>
      </c>
      <c r="W60" s="4796">
        <f t="shared" si="409"/>
        <v>95.833333333333343</v>
      </c>
      <c r="X60" s="336">
        <f t="shared" ref="X60" si="410">+X59/X58*100</f>
        <v>97.719444444444449</v>
      </c>
      <c r="Y60" s="4813">
        <f t="shared" ref="Y60:AF60" si="411">+Y59/Y58*100</f>
        <v>95.923913043478265</v>
      </c>
      <c r="Z60" s="4813">
        <f t="shared" si="411"/>
        <v>97.648097826086968</v>
      </c>
      <c r="AA60" s="4636">
        <f t="shared" si="411"/>
        <v>93.943533697632049</v>
      </c>
      <c r="AB60" s="4636">
        <f t="shared" si="411"/>
        <v>90.095628415300538</v>
      </c>
      <c r="AC60" s="4796">
        <f t="shared" si="411"/>
        <v>95.967741935483872</v>
      </c>
      <c r="AD60" s="336">
        <f t="shared" si="411"/>
        <v>98.850806451612911</v>
      </c>
      <c r="AE60" s="4815">
        <f t="shared" si="411"/>
        <v>94.236760124610598</v>
      </c>
      <c r="AF60" s="4815">
        <f t="shared" si="411"/>
        <v>91.363901869158866</v>
      </c>
      <c r="AG60" s="4796">
        <f t="shared" ref="AG60:AJ60" si="412">+AG59/AG58*100</f>
        <v>95.833333333333343</v>
      </c>
      <c r="AH60" s="336">
        <f t="shared" si="412"/>
        <v>98.180555555555543</v>
      </c>
      <c r="AI60" s="4815">
        <f t="shared" si="412"/>
        <v>94.433060109289613</v>
      </c>
      <c r="AJ60" s="4815">
        <f t="shared" si="412"/>
        <v>92.202015027322389</v>
      </c>
      <c r="AK60" s="4796">
        <f t="shared" ref="AK60:AL60" si="413">+AK59/AK58*100</f>
        <v>95.967741935483872</v>
      </c>
      <c r="AL60" s="336">
        <f t="shared" si="413"/>
        <v>96.387096774193552</v>
      </c>
      <c r="AM60" s="4813">
        <f t="shared" ref="AM60:AT60" si="414">+AM59/AM58*100</f>
        <v>95.923913043478265</v>
      </c>
      <c r="AN60" s="4813">
        <f t="shared" si="414"/>
        <v>97.802083333333329</v>
      </c>
      <c r="AO60" s="4815">
        <f t="shared" si="414"/>
        <v>94.606060606060609</v>
      </c>
      <c r="AP60" s="4815">
        <f t="shared" si="414"/>
        <v>92.673787878787877</v>
      </c>
      <c r="AQ60" s="4796">
        <f t="shared" si="414"/>
        <v>95.967741935483872</v>
      </c>
      <c r="AR60" s="336">
        <f t="shared" si="414"/>
        <v>97.770161290322577</v>
      </c>
      <c r="AS60" s="4815">
        <f t="shared" si="414"/>
        <v>94.744008714596944</v>
      </c>
      <c r="AT60" s="4815">
        <f t="shared" si="414"/>
        <v>93.190087145969486</v>
      </c>
      <c r="AU60" s="4796">
        <f t="shared" ref="AU60:AX60" si="415">+AU59/AU58*100</f>
        <v>95.535714285714292</v>
      </c>
      <c r="AV60" s="336">
        <f t="shared" si="415"/>
        <v>98.040178571428584</v>
      </c>
      <c r="AW60" s="4815">
        <f t="shared" si="415"/>
        <v>94.810379241516955</v>
      </c>
      <c r="AX60" s="4815">
        <f t="shared" si="415"/>
        <v>93.59668163672653</v>
      </c>
      <c r="AY60" s="4796">
        <f t="shared" ref="AY60:AZ60" si="416">+AY59/AY58*100</f>
        <v>95.967741935483872</v>
      </c>
      <c r="AZ60" s="336">
        <f t="shared" si="416"/>
        <v>98.415322580645167</v>
      </c>
      <c r="BA60" s="4813">
        <f t="shared" ref="BA60:BB60" si="417">+BA59/BA58*100</f>
        <v>95.833333333333343</v>
      </c>
      <c r="BB60" s="4813">
        <f t="shared" si="417"/>
        <v>98.076388888888872</v>
      </c>
      <c r="BC60" s="4636">
        <f t="shared" ref="BC60:BD60" si="418">+BC59/BC58*100</f>
        <v>95.879120879120876</v>
      </c>
      <c r="BD60" s="4636">
        <f t="shared" si="418"/>
        <v>97.937728937728934</v>
      </c>
      <c r="BE60" s="4815">
        <f t="shared" ref="BE60:BF60" si="419">+BE59/BE58*100</f>
        <v>94.908675799086765</v>
      </c>
      <c r="BF60" s="4815">
        <f t="shared" si="419"/>
        <v>94.005936073059331</v>
      </c>
    </row>
    <row r="61" spans="2:58" x14ac:dyDescent="0.25">
      <c r="B61" s="4795" t="s">
        <v>253</v>
      </c>
      <c r="C61" s="147" t="s">
        <v>250</v>
      </c>
      <c r="D61" s="147">
        <v>8314</v>
      </c>
      <c r="E61" s="4796">
        <v>647</v>
      </c>
      <c r="F61" s="4796">
        <v>522.70000000000005</v>
      </c>
      <c r="G61" s="336">
        <v>671</v>
      </c>
      <c r="H61" s="4796">
        <v>529.29999999999995</v>
      </c>
      <c r="I61" s="4797">
        <f>+E61+G61</f>
        <v>1318</v>
      </c>
      <c r="J61" s="4797">
        <f>+F61+H61</f>
        <v>1052</v>
      </c>
      <c r="K61" s="336">
        <v>690</v>
      </c>
      <c r="L61" s="4796">
        <v>678.7</v>
      </c>
      <c r="M61" s="4799">
        <f>+I61+K61</f>
        <v>2008</v>
      </c>
      <c r="N61" s="4799">
        <f>+J61+L61</f>
        <v>1730.7</v>
      </c>
      <c r="O61" s="336">
        <v>714</v>
      </c>
      <c r="P61" s="336">
        <v>687.6</v>
      </c>
      <c r="Q61" s="4797">
        <f>+M61+O61</f>
        <v>2722</v>
      </c>
      <c r="R61" s="4797">
        <f>+N61+P61</f>
        <v>2418.3000000000002</v>
      </c>
      <c r="S61" s="336">
        <v>714</v>
      </c>
      <c r="T61" s="336">
        <v>693.4</v>
      </c>
      <c r="U61" s="4797">
        <f>+Q61+S61</f>
        <v>3436</v>
      </c>
      <c r="V61" s="4797">
        <f>+R61+T61</f>
        <v>3111.7000000000003</v>
      </c>
      <c r="W61" s="336">
        <v>690</v>
      </c>
      <c r="X61" s="336">
        <v>659.21500000000003</v>
      </c>
      <c r="Y61" s="4799">
        <f t="shared" ref="Y61" si="420">+O61+S61+W61</f>
        <v>2118</v>
      </c>
      <c r="Z61" s="4799">
        <f t="shared" ref="Z61" si="421">+P61+T61+X61</f>
        <v>2040.2150000000001</v>
      </c>
      <c r="AA61" s="4636">
        <f>+U61+W61</f>
        <v>4126</v>
      </c>
      <c r="AB61" s="4636">
        <f>+V61+X61</f>
        <v>3770.9150000000004</v>
      </c>
      <c r="AC61" s="336">
        <v>714</v>
      </c>
      <c r="AD61" s="336">
        <v>708.83</v>
      </c>
      <c r="AE61" s="4797">
        <f>+AA61+AC61</f>
        <v>4840</v>
      </c>
      <c r="AF61" s="4797">
        <f>+AB61+AD61</f>
        <v>4479.7450000000008</v>
      </c>
      <c r="AG61" s="336">
        <v>690</v>
      </c>
      <c r="AH61" s="336">
        <v>675.4</v>
      </c>
      <c r="AI61" s="4797">
        <f>+AE61+AG61</f>
        <v>5530</v>
      </c>
      <c r="AJ61" s="4797">
        <f>+AF61+AH61</f>
        <v>5155.1450000000004</v>
      </c>
      <c r="AK61" s="336">
        <v>714</v>
      </c>
      <c r="AL61" s="336">
        <v>701.56</v>
      </c>
      <c r="AM61" s="4799">
        <f t="shared" ref="AM61" si="422">+AC61+AG61+AK61</f>
        <v>2118</v>
      </c>
      <c r="AN61" s="4799">
        <f t="shared" ref="AN61" si="423">+AD61+AH61+AL61</f>
        <v>2085.79</v>
      </c>
      <c r="AO61" s="4797">
        <f>+AI61+AK61</f>
        <v>6244</v>
      </c>
      <c r="AP61" s="4797">
        <f>+AJ61+AL61</f>
        <v>5856.7049999999999</v>
      </c>
      <c r="AQ61" s="336">
        <v>714</v>
      </c>
      <c r="AR61" s="336">
        <v>720.64</v>
      </c>
      <c r="AS61" s="4797">
        <f>+AO61+AQ61</f>
        <v>6958</v>
      </c>
      <c r="AT61" s="4797">
        <f>+AP61+AR61</f>
        <v>6577.3450000000003</v>
      </c>
      <c r="AU61" s="336">
        <v>642</v>
      </c>
      <c r="AV61" s="336">
        <v>651.29</v>
      </c>
      <c r="AW61" s="4797">
        <f>+AS61+AU61</f>
        <v>7600</v>
      </c>
      <c r="AX61" s="4797">
        <f>+AT61+AV61</f>
        <v>7228.6350000000002</v>
      </c>
      <c r="AY61" s="336">
        <v>714</v>
      </c>
      <c r="AZ61" s="336">
        <v>720.36</v>
      </c>
      <c r="BA61" s="4799">
        <f t="shared" ref="BA61" si="424">+AQ61+AU61+AY61</f>
        <v>2070</v>
      </c>
      <c r="BB61" s="4799">
        <f t="shared" ref="BB61" si="425">+AR61+AV61+AZ61</f>
        <v>2092.29</v>
      </c>
      <c r="BC61" s="4636">
        <f t="shared" ref="BC61:BD61" si="426">+BA61+AM61</f>
        <v>4188</v>
      </c>
      <c r="BD61" s="4636">
        <f t="shared" si="426"/>
        <v>4178.08</v>
      </c>
      <c r="BE61" s="4797">
        <f>+AW61+AY61</f>
        <v>8314</v>
      </c>
      <c r="BF61" s="4797">
        <f>+AX61+AZ61</f>
        <v>7948.9949999999999</v>
      </c>
    </row>
    <row r="62" spans="2:58" x14ac:dyDescent="0.25">
      <c r="B62" s="4795" t="s">
        <v>254</v>
      </c>
      <c r="C62" s="147" t="s">
        <v>52</v>
      </c>
      <c r="D62" s="4796">
        <f>+D61/D59*100</f>
        <v>100</v>
      </c>
      <c r="E62" s="4812">
        <f>+E61/E59*100</f>
        <v>100</v>
      </c>
      <c r="F62" s="4812">
        <f>+F61/F59*100</f>
        <v>96.102224673653254</v>
      </c>
      <c r="G62" s="4812">
        <f t="shared" ref="G62:K62" si="427">+G61/G59*100</f>
        <v>100</v>
      </c>
      <c r="H62" s="4812">
        <f t="shared" si="427"/>
        <v>95.006461803561166</v>
      </c>
      <c r="I62" s="4815">
        <f t="shared" si="427"/>
        <v>100</v>
      </c>
      <c r="J62" s="4815">
        <f t="shared" si="427"/>
        <v>95.547764799912798</v>
      </c>
      <c r="K62" s="4812">
        <f t="shared" si="427"/>
        <v>100</v>
      </c>
      <c r="L62" s="4812">
        <f t="shared" ref="L62" si="428">+L61/L59*100</f>
        <v>96.969610378477242</v>
      </c>
      <c r="M62" s="4813">
        <f t="shared" ref="M62:O62" si="429">+M61/M59*100</f>
        <v>100</v>
      </c>
      <c r="N62" s="4813">
        <f t="shared" si="429"/>
        <v>96.100348153454064</v>
      </c>
      <c r="O62" s="4796">
        <f t="shared" si="429"/>
        <v>100</v>
      </c>
      <c r="P62" s="336">
        <f t="shared" ref="P62:S62" si="430">+P61/P59*100</f>
        <v>94.305464121132331</v>
      </c>
      <c r="Q62" s="4797">
        <f t="shared" si="430"/>
        <v>100</v>
      </c>
      <c r="R62" s="4815">
        <f t="shared" si="430"/>
        <v>95.583091243256078</v>
      </c>
      <c r="S62" s="4796">
        <f t="shared" si="430"/>
        <v>100</v>
      </c>
      <c r="T62" s="336">
        <f t="shared" ref="T62:W62" si="431">+T61/T59*100</f>
        <v>95.856892046946925</v>
      </c>
      <c r="U62" s="4797">
        <f t="shared" si="431"/>
        <v>100</v>
      </c>
      <c r="V62" s="4815">
        <f t="shared" si="431"/>
        <v>95.643968500839136</v>
      </c>
      <c r="W62" s="4796">
        <f t="shared" si="431"/>
        <v>100</v>
      </c>
      <c r="X62" s="336">
        <f t="shared" ref="X62" si="432">+X61/X59*100</f>
        <v>93.694391540407622</v>
      </c>
      <c r="Y62" s="4813">
        <f t="shared" ref="Y62:AF62" si="433">+Y61/Y59*100</f>
        <v>100</v>
      </c>
      <c r="Z62" s="4813">
        <f t="shared" si="433"/>
        <v>94.626565927822384</v>
      </c>
      <c r="AA62" s="4816">
        <f t="shared" si="433"/>
        <v>100</v>
      </c>
      <c r="AB62" s="4816">
        <f t="shared" si="433"/>
        <v>95.297321202931542</v>
      </c>
      <c r="AC62" s="4796">
        <f t="shared" si="433"/>
        <v>100</v>
      </c>
      <c r="AD62" s="336">
        <f t="shared" si="433"/>
        <v>96.380447345162821</v>
      </c>
      <c r="AE62" s="4797">
        <f t="shared" si="433"/>
        <v>100</v>
      </c>
      <c r="AF62" s="4815">
        <f t="shared" si="433"/>
        <v>95.467080096751189</v>
      </c>
      <c r="AG62" s="4796">
        <f t="shared" ref="AG62:AJ62" si="434">+AG61/AG59*100</f>
        <v>100</v>
      </c>
      <c r="AH62" s="336">
        <f t="shared" si="434"/>
        <v>95.54392417597964</v>
      </c>
      <c r="AI62" s="4797">
        <f t="shared" si="434"/>
        <v>100</v>
      </c>
      <c r="AJ62" s="4815">
        <f t="shared" si="434"/>
        <v>95.477140766944188</v>
      </c>
      <c r="AK62" s="4796">
        <f t="shared" ref="AK62:AL62" si="435">+AK61/AK59*100</f>
        <v>100</v>
      </c>
      <c r="AL62" s="336">
        <f t="shared" si="435"/>
        <v>97.830209727800082</v>
      </c>
      <c r="AM62" s="4813">
        <f t="shared" ref="AM62:AT62" si="436">+AM61/AM59*100</f>
        <v>100</v>
      </c>
      <c r="AN62" s="4813">
        <f t="shared" si="436"/>
        <v>96.588051697870313</v>
      </c>
      <c r="AO62" s="4815">
        <f t="shared" si="436"/>
        <v>100</v>
      </c>
      <c r="AP62" s="4815">
        <f t="shared" si="436"/>
        <v>95.753024211677655</v>
      </c>
      <c r="AQ62" s="4796">
        <f t="shared" si="436"/>
        <v>100</v>
      </c>
      <c r="AR62" s="336">
        <f t="shared" si="436"/>
        <v>99.069300669498645</v>
      </c>
      <c r="AS62" s="4797">
        <f t="shared" si="436"/>
        <v>100</v>
      </c>
      <c r="AT62" s="4815">
        <f t="shared" si="436"/>
        <v>96.105498635277073</v>
      </c>
      <c r="AU62" s="4796">
        <f t="shared" ref="AU62:AX62" si="437">+AU61/AU59*100</f>
        <v>100</v>
      </c>
      <c r="AV62" s="336">
        <f t="shared" si="437"/>
        <v>98.855546954449551</v>
      </c>
      <c r="AW62" s="4797">
        <f t="shared" si="437"/>
        <v>100</v>
      </c>
      <c r="AX62" s="4815">
        <f t="shared" si="437"/>
        <v>96.346986622167208</v>
      </c>
      <c r="AY62" s="4796">
        <f t="shared" ref="AY62:AZ62" si="438">+AY61/AY59*100</f>
        <v>100</v>
      </c>
      <c r="AZ62" s="336">
        <f t="shared" si="438"/>
        <v>98.381611832670956</v>
      </c>
      <c r="BA62" s="4813">
        <f t="shared" ref="BA62:BB62" si="439">+BA61/BA59*100</f>
        <v>100</v>
      </c>
      <c r="BB62" s="4813">
        <f t="shared" si="439"/>
        <v>98.765134886355597</v>
      </c>
      <c r="BC62" s="4816">
        <f t="shared" ref="BC62:BD62" si="440">+BC61/BC59*100</f>
        <v>100</v>
      </c>
      <c r="BD62" s="4816">
        <f t="shared" si="440"/>
        <v>97.66615551482964</v>
      </c>
      <c r="BE62" s="4797">
        <f t="shared" ref="BE62:BF62" si="441">+BE61/BE59*100</f>
        <v>100</v>
      </c>
      <c r="BF62" s="4815">
        <f t="shared" si="441"/>
        <v>96.527895838696693</v>
      </c>
    </row>
    <row r="63" spans="2:58" x14ac:dyDescent="0.25">
      <c r="B63" s="4795" t="s">
        <v>255</v>
      </c>
      <c r="C63" s="147" t="s">
        <v>250</v>
      </c>
      <c r="D63" s="4796">
        <f t="shared" ref="D63:K63" si="442">+D54/D61</f>
        <v>503.23880889336317</v>
      </c>
      <c r="E63" s="4796">
        <f t="shared" si="442"/>
        <v>378.04636785162285</v>
      </c>
      <c r="F63" s="4796">
        <f t="shared" si="442"/>
        <v>523.22173330782471</v>
      </c>
      <c r="G63" s="4796">
        <f t="shared" si="442"/>
        <v>372.28601788375562</v>
      </c>
      <c r="H63" s="4796">
        <f t="shared" si="442"/>
        <v>459.92064991498211</v>
      </c>
      <c r="I63" s="4797">
        <f t="shared" si="442"/>
        <v>375.11374658573595</v>
      </c>
      <c r="J63" s="4797">
        <f t="shared" si="442"/>
        <v>491.37262357414448</v>
      </c>
      <c r="K63" s="336">
        <f t="shared" si="442"/>
        <v>526.34673406610136</v>
      </c>
      <c r="L63" s="4796">
        <f t="shared" ref="L63" si="443">+L54/L61</f>
        <v>554.04744364225724</v>
      </c>
      <c r="M63" s="4799">
        <f t="shared" ref="M63:O63" si="444">+M54/M61</f>
        <v>427.08125722390935</v>
      </c>
      <c r="N63" s="4799">
        <f t="shared" si="444"/>
        <v>515.95077136418786</v>
      </c>
      <c r="O63" s="4796">
        <f t="shared" si="444"/>
        <v>525.89692913740225</v>
      </c>
      <c r="P63" s="336">
        <f t="shared" ref="P63:S63" si="445">+P54/P61</f>
        <v>546.63467132053518</v>
      </c>
      <c r="Q63" s="4797">
        <f t="shared" si="445"/>
        <v>453.00131223722076</v>
      </c>
      <c r="R63" s="4797">
        <f t="shared" si="445"/>
        <v>524.67518504734733</v>
      </c>
      <c r="S63" s="4796">
        <f t="shared" si="445"/>
        <v>525.89692913740225</v>
      </c>
      <c r="T63" s="336">
        <f t="shared" ref="T63:W63" si="446">+T54/T61</f>
        <v>536.742140178829</v>
      </c>
      <c r="U63" s="4797">
        <f t="shared" si="446"/>
        <v>468.14900445687431</v>
      </c>
      <c r="V63" s="4797">
        <f t="shared" si="446"/>
        <v>527.36414178744735</v>
      </c>
      <c r="W63" s="4796">
        <f t="shared" si="446"/>
        <v>529.28721861395672</v>
      </c>
      <c r="X63" s="336">
        <f t="shared" ref="X63" si="447">+X54/X61</f>
        <v>530.10474579613629</v>
      </c>
      <c r="Y63" s="4799">
        <f t="shared" ref="Y63:AF63" si="448">+Y54/Y61</f>
        <v>527.00141437763955</v>
      </c>
      <c r="Z63" s="4799">
        <f t="shared" si="448"/>
        <v>537.93154152871136</v>
      </c>
      <c r="AA63" s="4636">
        <f t="shared" si="448"/>
        <v>478.3732816668566</v>
      </c>
      <c r="AB63" s="4636">
        <f t="shared" si="448"/>
        <v>527.84324229000117</v>
      </c>
      <c r="AC63" s="4796">
        <f t="shared" si="448"/>
        <v>528.83490080856086</v>
      </c>
      <c r="AD63" s="336">
        <f t="shared" si="448"/>
        <v>525.95121538309604</v>
      </c>
      <c r="AE63" s="4797">
        <f t="shared" si="448"/>
        <v>485.81741308569474</v>
      </c>
      <c r="AF63" s="4797">
        <f t="shared" si="448"/>
        <v>527.54386689420926</v>
      </c>
      <c r="AG63" s="4796">
        <f t="shared" ref="AG63:AJ63" si="449">+AG54/AG61</f>
        <v>529.28721861395672</v>
      </c>
      <c r="AH63" s="336">
        <f t="shared" si="449"/>
        <v>533.63192182410421</v>
      </c>
      <c r="AI63" s="4797">
        <f t="shared" si="449"/>
        <v>491.24131287131877</v>
      </c>
      <c r="AJ63" s="4797">
        <f t="shared" si="449"/>
        <v>528.34149184940475</v>
      </c>
      <c r="AK63" s="4796">
        <f t="shared" ref="AK63:AL63" si="450">+AK54/AK61</f>
        <v>528.83490080856086</v>
      </c>
      <c r="AL63" s="336">
        <f t="shared" si="450"/>
        <v>557.0001140315868</v>
      </c>
      <c r="AM63" s="4799">
        <f t="shared" ref="AM63:AT63" si="451">+AM54/AM61</f>
        <v>528.98225646754247</v>
      </c>
      <c r="AN63" s="4799">
        <f t="shared" si="451"/>
        <v>538.88167073387058</v>
      </c>
      <c r="AO63" s="4797">
        <f t="shared" si="451"/>
        <v>495.54013122288677</v>
      </c>
      <c r="AP63" s="4797">
        <f t="shared" si="451"/>
        <v>531.7744363084704</v>
      </c>
      <c r="AQ63" s="4796">
        <f t="shared" si="451"/>
        <v>528.83490080856086</v>
      </c>
      <c r="AR63" s="336">
        <f t="shared" si="451"/>
        <v>548.17523312611013</v>
      </c>
      <c r="AS63" s="4797">
        <f t="shared" si="451"/>
        <v>498.95669711598407</v>
      </c>
      <c r="AT63" s="4797">
        <f t="shared" si="451"/>
        <v>533.57137264352104</v>
      </c>
      <c r="AU63" s="4796">
        <f t="shared" ref="AU63:AX63" si="452">+AU54/AU61</f>
        <v>521.18242921937554</v>
      </c>
      <c r="AV63" s="336">
        <f t="shared" si="452"/>
        <v>554.32142363616822</v>
      </c>
      <c r="AW63" s="4797">
        <f t="shared" si="452"/>
        <v>500.8341865910337</v>
      </c>
      <c r="AX63" s="4797">
        <f t="shared" si="452"/>
        <v>535.4409234938546</v>
      </c>
      <c r="AY63" s="4796">
        <f t="shared" ref="AY63:AZ63" si="453">+AY54/AY61</f>
        <v>528.83490080856086</v>
      </c>
      <c r="AZ63" s="336">
        <f t="shared" si="453"/>
        <v>565.44505525015268</v>
      </c>
      <c r="BA63" s="4799">
        <f t="shared" ref="BA63:BB63" si="454">+BA54/BA61</f>
        <v>526.46152556205993</v>
      </c>
      <c r="BB63" s="4799">
        <f t="shared" si="454"/>
        <v>556.03429734883787</v>
      </c>
      <c r="BC63" s="4636">
        <f t="shared" ref="BC63:BD63" si="455">+BC54/BC61</f>
        <v>527.73633646411633</v>
      </c>
      <c r="BD63" s="4636">
        <f t="shared" si="455"/>
        <v>547.47132654233519</v>
      </c>
      <c r="BE63" s="4797">
        <f t="shared" ref="BE63:BF63" si="456">+BE54/BE61</f>
        <v>503.23886664291183</v>
      </c>
      <c r="BF63" s="4797">
        <f t="shared" si="456"/>
        <v>538.1599812303316</v>
      </c>
    </row>
    <row r="64" spans="2:58" x14ac:dyDescent="0.25">
      <c r="B64" s="4795" t="s">
        <v>256</v>
      </c>
      <c r="C64" s="147" t="s">
        <v>52</v>
      </c>
      <c r="D64" s="4796">
        <f>+(1000/(D41+D42+D43+D44+D45))*100</f>
        <v>76.982457859566651</v>
      </c>
      <c r="E64" s="4796">
        <f>+(1000/(E41+E42+E43+E44+E45))*100</f>
        <v>76.982457859566651</v>
      </c>
      <c r="F64" s="4796">
        <f t="shared" ref="F64:AF64" si="457">+(1000/(F41+F42+F43+F44+F45))*100</f>
        <v>77.453193278976855</v>
      </c>
      <c r="G64" s="4796">
        <f t="shared" si="457"/>
        <v>76.982292149198969</v>
      </c>
      <c r="H64" s="4796">
        <f t="shared" si="457"/>
        <v>77.08183588493263</v>
      </c>
      <c r="I64" s="4797">
        <f t="shared" si="457"/>
        <v>76.982374131512358</v>
      </c>
      <c r="J64" s="4797">
        <f t="shared" si="457"/>
        <v>77.277864485226829</v>
      </c>
      <c r="K64" s="4796">
        <f t="shared" si="457"/>
        <v>76.982294072363359</v>
      </c>
      <c r="L64" s="4796">
        <f t="shared" si="457"/>
        <v>75.58644866388201</v>
      </c>
      <c r="M64" s="4799">
        <f t="shared" si="457"/>
        <v>76.982385314279128</v>
      </c>
      <c r="N64" s="4799">
        <f t="shared" si="457"/>
        <v>76.556453092501556</v>
      </c>
      <c r="O64" s="4796">
        <f t="shared" si="457"/>
        <v>76.982294072363359</v>
      </c>
      <c r="P64" s="4796">
        <f t="shared" si="457"/>
        <v>75.47888950248506</v>
      </c>
      <c r="Q64" s="4797">
        <f t="shared" si="457"/>
        <v>77.013825230206791</v>
      </c>
      <c r="R64" s="4797">
        <f t="shared" si="457"/>
        <v>76.234050338354834</v>
      </c>
      <c r="S64" s="4796">
        <f t="shared" ref="S64:V64" si="458">+(1000/(S41+S42+S43+S44+S45))*100</f>
        <v>76.982294072363359</v>
      </c>
      <c r="T64" s="4796">
        <f t="shared" si="458"/>
        <v>76.756675376901768</v>
      </c>
      <c r="U64" s="4797">
        <f t="shared" si="458"/>
        <v>77.030597438228781</v>
      </c>
      <c r="V64" s="4797">
        <f t="shared" si="458"/>
        <v>76.351956211859545</v>
      </c>
      <c r="W64" s="4796">
        <f t="shared" ref="W64:X64" si="459">+(1000/(W41+W42+W43+W44+W45))*100</f>
        <v>76.982294072363359</v>
      </c>
      <c r="X64" s="4796">
        <f t="shared" si="459"/>
        <v>77.031581685399942</v>
      </c>
      <c r="Y64" s="4799">
        <f t="shared" si="457"/>
        <v>77.083944145481269</v>
      </c>
      <c r="Z64" s="4799">
        <f t="shared" si="457"/>
        <v>76.400536580902639</v>
      </c>
      <c r="AA64" s="4636">
        <f t="shared" si="457"/>
        <v>77.039785120538752</v>
      </c>
      <c r="AB64" s="4636">
        <f t="shared" si="457"/>
        <v>76.470405181931909</v>
      </c>
      <c r="AC64" s="4796">
        <f t="shared" si="457"/>
        <v>76.982294072363359</v>
      </c>
      <c r="AD64" s="4812">
        <f>+(1000/(AD41+AD42+AD43+AD44+AD45))*100</f>
        <v>76.757099532428384</v>
      </c>
      <c r="AE64" s="4797">
        <f t="shared" si="457"/>
        <v>77.047331402629723</v>
      </c>
      <c r="AF64" s="4797">
        <f t="shared" si="457"/>
        <v>76.515489512121832</v>
      </c>
      <c r="AG64" s="4796">
        <f t="shared" ref="AG64" si="460">+(1000/(AG41+AG42+AG43+AG44+AG45))*100</f>
        <v>76.982294072363359</v>
      </c>
      <c r="AH64" s="4812">
        <f>+(1000/(AH41+AH42+AH43+AH44+AH45))*100</f>
        <v>75.887706029494751</v>
      </c>
      <c r="AI64" s="4797">
        <f t="shared" ref="AI64:AK64" si="461">+(1000/(AI41+AI42+AI43+AI44+AI45))*100</f>
        <v>77.051759073686384</v>
      </c>
      <c r="AJ64" s="4797">
        <f t="shared" si="461"/>
        <v>76.431821408969526</v>
      </c>
      <c r="AK64" s="4796">
        <f t="shared" si="461"/>
        <v>76.982294072363359</v>
      </c>
      <c r="AL64" s="4812">
        <f>+(1000/(AL41+AL42+AL43+AL44+AL45))*100</f>
        <v>77.502161823542664</v>
      </c>
      <c r="AM64" s="4799">
        <f t="shared" ref="AM64:AQ64" si="462">+(1000/(AM41+AM42+AM43+AM44+AM45))*100</f>
        <v>77.084675524921479</v>
      </c>
      <c r="AN64" s="4799">
        <f t="shared" si="462"/>
        <v>76.731677312954773</v>
      </c>
      <c r="AO64" s="4797">
        <f t="shared" si="462"/>
        <v>77.056033776936971</v>
      </c>
      <c r="AP64" s="4797">
        <f t="shared" si="462"/>
        <v>76.564492045010041</v>
      </c>
      <c r="AQ64" s="4796">
        <f t="shared" si="462"/>
        <v>76.982294072363359</v>
      </c>
      <c r="AR64" s="4812">
        <f>+(1000/(AR41+AR42+AR43+AR44+AR45))*100</f>
        <v>79.300335438952899</v>
      </c>
      <c r="AS64" s="4797">
        <f t="shared" ref="AS64:AU64" si="463">+(1000/(AS41+AS42+AS43+AS44+AS45))*100</f>
        <v>77.059378973579086</v>
      </c>
      <c r="AT64" s="4797">
        <f t="shared" si="463"/>
        <v>76.862980861381359</v>
      </c>
      <c r="AU64" s="4796">
        <f t="shared" si="463"/>
        <v>76.982294072363359</v>
      </c>
      <c r="AV64" s="4812">
        <f>+(1000/(AV41+AV42+AV43+AV44+AV45))*100</f>
        <v>78.936677752050372</v>
      </c>
      <c r="AW64" s="4797">
        <f t="shared" ref="AW64:AY64" si="464">+(1000/(AW41+AW42+AW43+AW44+AW45))*100</f>
        <v>77.05961656931099</v>
      </c>
      <c r="AX64" s="4797">
        <f t="shared" si="464"/>
        <v>77.051787546494182</v>
      </c>
      <c r="AY64" s="4796">
        <f t="shared" si="464"/>
        <v>76.982294072363359</v>
      </c>
      <c r="AZ64" s="4812">
        <f>+(1000/(AZ41+AZ42+AZ43+AZ44+AZ45))*100</f>
        <v>77.863161597310523</v>
      </c>
      <c r="BA64" s="4799">
        <f t="shared" ref="BA64:BB64" si="465">+(1000/(BA41+BA42+BA43+BA44+BA45))*100</f>
        <v>77.07921051405043</v>
      </c>
      <c r="BB64" s="4799">
        <f t="shared" si="465"/>
        <v>78.679394578802132</v>
      </c>
      <c r="BC64" s="4636">
        <f t="shared" ref="BC64:BD64" si="466">+(1000/(BC41+BC42+BC43+BC44+BC45))*100</f>
        <v>77.081980765797226</v>
      </c>
      <c r="BD64" s="4636">
        <f t="shared" si="466"/>
        <v>77.710102711887217</v>
      </c>
      <c r="BE64" s="4797">
        <f t="shared" ref="BE64:BF64" si="467">+(1000/(BE41+BE42+BE43+BE44+BE45))*100</f>
        <v>77.062069210738045</v>
      </c>
      <c r="BF64" s="4797">
        <f t="shared" si="467"/>
        <v>77.128315359481974</v>
      </c>
    </row>
    <row r="65" spans="2:58" x14ac:dyDescent="0.25">
      <c r="B65" s="4795" t="s">
        <v>481</v>
      </c>
      <c r="C65" s="147" t="s">
        <v>52</v>
      </c>
      <c r="D65" s="4812">
        <f t="shared" ref="D65:E65" si="468">+D36/D54*100</f>
        <v>17.000000000000007</v>
      </c>
      <c r="E65" s="4812">
        <f t="shared" si="468"/>
        <v>17</v>
      </c>
      <c r="F65" s="4812">
        <f t="shared" ref="F65:R65" si="469">+F36/F54*100</f>
        <v>16.724316971859825</v>
      </c>
      <c r="G65" s="4812">
        <f t="shared" si="469"/>
        <v>17</v>
      </c>
      <c r="H65" s="4812">
        <f t="shared" si="469"/>
        <v>14.491283129857541</v>
      </c>
      <c r="I65" s="4815">
        <f t="shared" si="469"/>
        <v>17</v>
      </c>
      <c r="J65" s="4815">
        <f t="shared" si="469"/>
        <v>15.672710108255758</v>
      </c>
      <c r="K65" s="4812">
        <f t="shared" ref="K65:L65" si="470">+K36/K54*100</f>
        <v>17</v>
      </c>
      <c r="L65" s="4812">
        <f t="shared" si="470"/>
        <v>14.828791166709216</v>
      </c>
      <c r="M65" s="4813">
        <f t="shared" si="469"/>
        <v>17</v>
      </c>
      <c r="N65" s="4813">
        <f t="shared" si="469"/>
        <v>15.317328065436595</v>
      </c>
      <c r="O65" s="4796">
        <f>+O36/O54*100</f>
        <v>17</v>
      </c>
      <c r="P65" s="4819">
        <f>+P36/P54*100</f>
        <v>14.097045223563716</v>
      </c>
      <c r="Q65" s="4797">
        <f t="shared" si="469"/>
        <v>17</v>
      </c>
      <c r="R65" s="4815">
        <f t="shared" si="469"/>
        <v>14.95584092961818</v>
      </c>
      <c r="S65" s="4796">
        <f>+S36/S54*100</f>
        <v>17</v>
      </c>
      <c r="T65" s="4819">
        <f>+T36/T54*100</f>
        <v>15.709998199781285</v>
      </c>
      <c r="U65" s="4797">
        <f t="shared" ref="U65:V65" si="471">+U36/U54*100</f>
        <v>17</v>
      </c>
      <c r="V65" s="4815">
        <f t="shared" si="471"/>
        <v>15.126883075492428</v>
      </c>
      <c r="W65" s="4796">
        <f>+W36/W54*100</f>
        <v>17</v>
      </c>
      <c r="X65" s="4819">
        <f>+X36/X54*100</f>
        <v>15.961516999424816</v>
      </c>
      <c r="Y65" s="4813">
        <f t="shared" ref="Y65:Z65" si="472">+Y36/Y54*100</f>
        <v>17</v>
      </c>
      <c r="Z65" s="4813">
        <f t="shared" si="472"/>
        <v>15.237686515486162</v>
      </c>
      <c r="AA65" s="4816">
        <f t="shared" ref="AA65:AB65" si="473">+AA36/AA54*100</f>
        <v>17</v>
      </c>
      <c r="AB65" s="4816">
        <f t="shared" si="473"/>
        <v>15.27341528456853</v>
      </c>
      <c r="AC65" s="4796">
        <f>+AC36/AC54*100</f>
        <v>17</v>
      </c>
      <c r="AD65" s="4819">
        <f>+AD36/AD54*100</f>
        <v>14.683082535339716</v>
      </c>
      <c r="AE65" s="4797">
        <f t="shared" ref="AE65:AF65" si="474">+AE36/AE54*100</f>
        <v>17</v>
      </c>
      <c r="AF65" s="4815">
        <f t="shared" si="474"/>
        <v>15.180288939609742</v>
      </c>
      <c r="AG65" s="4796">
        <f>+AG36/AG54*100</f>
        <v>17</v>
      </c>
      <c r="AH65" s="4819">
        <f>+AH36/AH54*100</f>
        <v>16.562296241832332</v>
      </c>
      <c r="AI65" s="4797">
        <f t="shared" ref="AI65:AJ65" si="475">+AI36/AI54*100</f>
        <v>17</v>
      </c>
      <c r="AJ65" s="4815">
        <f t="shared" si="475"/>
        <v>15.363165309249224</v>
      </c>
      <c r="AK65" s="4796">
        <f>+AK36/AK54*100</f>
        <v>17</v>
      </c>
      <c r="AL65" s="4819">
        <f>+AL36/AL54*100</f>
        <v>15.128119170149116</v>
      </c>
      <c r="AM65" s="4813">
        <f t="shared" ref="AM65:AP65" si="476">+AM36/AM54*100</f>
        <v>17</v>
      </c>
      <c r="AN65" s="4813">
        <f t="shared" si="476"/>
        <v>15.440384913086724</v>
      </c>
      <c r="AO65" s="4815">
        <f t="shared" si="476"/>
        <v>17</v>
      </c>
      <c r="AP65" s="4815">
        <f t="shared" si="476"/>
        <v>15.333674110901265</v>
      </c>
      <c r="AQ65" s="4796">
        <f>+AQ36/AQ54*100</f>
        <v>17</v>
      </c>
      <c r="AR65" s="4819">
        <f>+AR36/AR54*100</f>
        <v>14.896579307761046</v>
      </c>
      <c r="AS65" s="4797">
        <f t="shared" ref="AS65:AT65" si="477">+AS36/AS54*100</f>
        <v>17.000000000000007</v>
      </c>
      <c r="AT65" s="4815">
        <f t="shared" si="477"/>
        <v>15.284473525017789</v>
      </c>
      <c r="AU65" s="4796">
        <f>+AU36/AU54*100</f>
        <v>17</v>
      </c>
      <c r="AV65" s="4819">
        <f>+AV36/AV54*100</f>
        <v>14.367188884949478</v>
      </c>
      <c r="AW65" s="4797">
        <f t="shared" ref="AW65:AX65" si="478">+AW36/AW54*100</f>
        <v>17.000000000000007</v>
      </c>
      <c r="AX65" s="4815">
        <f t="shared" si="478"/>
        <v>15.198913217312358</v>
      </c>
      <c r="AY65" s="4796">
        <f>+AY36/AY54*100</f>
        <v>17</v>
      </c>
      <c r="AZ65" s="4819">
        <f>+AZ36/AZ54*100</f>
        <v>11.775883571800335</v>
      </c>
      <c r="BA65" s="4813">
        <f t="shared" ref="BA65:BB65" si="479">+BA36/BA54*100</f>
        <v>17</v>
      </c>
      <c r="BB65" s="4813">
        <f t="shared" si="479"/>
        <v>13.639680759163991</v>
      </c>
      <c r="BC65" s="4816">
        <f t="shared" ref="BC65:BD65" si="480">+BC36/BC54*100</f>
        <v>16.999999999999996</v>
      </c>
      <c r="BD65" s="4816">
        <f t="shared" si="480"/>
        <v>14.524527854806745</v>
      </c>
      <c r="BE65" s="4797">
        <f t="shared" ref="BE65:BF65" si="481">+BE36/BE54*100</f>
        <v>17.000000000000007</v>
      </c>
      <c r="BF65" s="4815">
        <f t="shared" si="481"/>
        <v>14.872981190701552</v>
      </c>
    </row>
    <row r="66" spans="2:58" s="334" customFormat="1" ht="18.75" x14ac:dyDescent="0.25">
      <c r="B66" s="4794" t="s">
        <v>50</v>
      </c>
      <c r="C66" s="4794"/>
      <c r="D66" s="4794"/>
      <c r="E66" s="4817"/>
      <c r="F66" s="4817"/>
      <c r="G66" s="4817"/>
      <c r="H66" s="4817"/>
      <c r="I66" s="4794"/>
      <c r="J66" s="4794"/>
      <c r="K66" s="4794"/>
      <c r="L66" s="4794"/>
      <c r="M66" s="4794"/>
      <c r="N66" s="4794"/>
      <c r="O66" s="4794"/>
      <c r="P66" s="4817"/>
      <c r="Q66" s="4794"/>
      <c r="R66" s="4794"/>
      <c r="S66" s="4794"/>
      <c r="T66" s="4817"/>
      <c r="U66" s="4794"/>
      <c r="V66" s="4794"/>
      <c r="W66" s="4794"/>
      <c r="X66" s="4817"/>
      <c r="Y66" s="4794"/>
      <c r="Z66" s="4794"/>
      <c r="AA66" s="4794"/>
      <c r="AB66" s="4794"/>
      <c r="AC66" s="4794"/>
      <c r="AD66" s="4817"/>
      <c r="AE66" s="4794"/>
      <c r="AF66" s="4794"/>
      <c r="AG66" s="4794"/>
      <c r="AH66" s="4817"/>
      <c r="AI66" s="4794"/>
      <c r="AJ66" s="4794"/>
      <c r="AK66" s="4794"/>
      <c r="AL66" s="4817"/>
      <c r="AM66" s="4794"/>
      <c r="AN66" s="4794"/>
      <c r="AO66" s="4794"/>
      <c r="AP66" s="4794"/>
      <c r="AQ66" s="4794"/>
      <c r="AR66" s="4817"/>
      <c r="AS66" s="4794"/>
      <c r="AT66" s="4794"/>
      <c r="AU66" s="4794"/>
      <c r="AV66" s="4817"/>
      <c r="AW66" s="4794"/>
      <c r="AX66" s="4794"/>
      <c r="AY66" s="4794"/>
      <c r="AZ66" s="4817"/>
      <c r="BA66" s="4794"/>
      <c r="BB66" s="4794"/>
      <c r="BC66" s="4794"/>
      <c r="BD66" s="4794"/>
      <c r="BE66" s="4794"/>
      <c r="BF66" s="4794"/>
    </row>
    <row r="67" spans="2:58" x14ac:dyDescent="0.25">
      <c r="B67" s="4795" t="s">
        <v>482</v>
      </c>
      <c r="C67" s="147" t="s">
        <v>52</v>
      </c>
      <c r="D67" s="4812">
        <f t="shared" ref="D67:AB67" si="482">+(D54/(3880000/330*D1))*100</f>
        <v>102.72297336173804</v>
      </c>
      <c r="E67" s="4812">
        <f t="shared" si="482"/>
        <v>77.168227664558074</v>
      </c>
      <c r="F67" s="4812">
        <f t="shared" si="482"/>
        <v>106.80196205664873</v>
      </c>
      <c r="G67" s="4812">
        <f t="shared" si="482"/>
        <v>75.992403650498559</v>
      </c>
      <c r="H67" s="4812">
        <f t="shared" si="482"/>
        <v>93.88070998264584</v>
      </c>
      <c r="I67" s="4815">
        <f t="shared" si="482"/>
        <v>76.569610127810023</v>
      </c>
      <c r="J67" s="4815">
        <f t="shared" si="482"/>
        <v>100.30080357492845</v>
      </c>
      <c r="K67" s="4812">
        <f t="shared" si="482"/>
        <v>107.43984880936914</v>
      </c>
      <c r="L67" s="4796">
        <f t="shared" si="482"/>
        <v>113.09422045481125</v>
      </c>
      <c r="M67" s="4813">
        <f t="shared" si="482"/>
        <v>87.177411268385612</v>
      </c>
      <c r="N67" s="4813">
        <f t="shared" si="482"/>
        <v>105.31778631970022</v>
      </c>
      <c r="O67" s="4812">
        <f t="shared" si="482"/>
        <v>107.34803295794396</v>
      </c>
      <c r="P67" s="4812">
        <f t="shared" si="482"/>
        <v>111.5810978571814</v>
      </c>
      <c r="Q67" s="4815">
        <f t="shared" si="482"/>
        <v>92.468309095845058</v>
      </c>
      <c r="R67" s="4815">
        <f t="shared" si="482"/>
        <v>107.09864601997398</v>
      </c>
      <c r="S67" s="4812">
        <f t="shared" si="482"/>
        <v>107.34803295794396</v>
      </c>
      <c r="T67" s="4812">
        <f t="shared" si="482"/>
        <v>109.56179768598777</v>
      </c>
      <c r="U67" s="4815">
        <f t="shared" si="482"/>
        <v>95.560312249959921</v>
      </c>
      <c r="V67" s="4815">
        <f t="shared" si="482"/>
        <v>107.64752584939647</v>
      </c>
      <c r="W67" s="4812">
        <f t="shared" ref="W67:X67" si="483">+(W54/(3880000/330*W1))*100</f>
        <v>108.0400714284159</v>
      </c>
      <c r="X67" s="4812">
        <f t="shared" si="483"/>
        <v>108.20694811096389</v>
      </c>
      <c r="Y67" s="4813">
        <f t="shared" si="482"/>
        <v>107.57348458430167</v>
      </c>
      <c r="Z67" s="4813">
        <f t="shared" si="482"/>
        <v>109.80458270379883</v>
      </c>
      <c r="AA67" s="4816">
        <f t="shared" si="482"/>
        <v>97.647329659832579</v>
      </c>
      <c r="AB67" s="4816">
        <f t="shared" si="482"/>
        <v>107.7453216220827</v>
      </c>
      <c r="AC67" s="4812">
        <f t="shared" ref="AC67:AF67" si="484">+(AC54/(3880000/330*AC1))*100</f>
        <v>107.94774263927324</v>
      </c>
      <c r="AD67" s="4812">
        <f t="shared" si="484"/>
        <v>107.35911406788972</v>
      </c>
      <c r="AE67" s="4815">
        <f t="shared" si="484"/>
        <v>99.16685339275007</v>
      </c>
      <c r="AF67" s="4815">
        <f t="shared" si="484"/>
        <v>107.68421200520973</v>
      </c>
      <c r="AG67" s="4812">
        <f t="shared" ref="AG67:AJ67" si="485">+(AG54/(3880000/330*AG1))*100</f>
        <v>108.0400714284159</v>
      </c>
      <c r="AH67" s="4812">
        <f t="shared" si="485"/>
        <v>108.92692837234293</v>
      </c>
      <c r="AI67" s="4815">
        <f t="shared" si="485"/>
        <v>100.27399994692898</v>
      </c>
      <c r="AJ67" s="4815">
        <f t="shared" si="485"/>
        <v>107.84702617132179</v>
      </c>
      <c r="AK67" s="4812">
        <f t="shared" ref="AK67:AL67" si="486">+(AK54/(3880000/330*AK1))*100</f>
        <v>107.94774263927324</v>
      </c>
      <c r="AL67" s="4812">
        <f t="shared" si="486"/>
        <v>113.69693049304554</v>
      </c>
      <c r="AM67" s="4813">
        <f t="shared" ref="AM67:BF67" si="487">+(AM54/(3880000/330*AM1))*100</f>
        <v>107.97782142327156</v>
      </c>
      <c r="AN67" s="4813">
        <f t="shared" si="487"/>
        <v>109.99852660340865</v>
      </c>
      <c r="AO67" s="4815">
        <f t="shared" si="487"/>
        <v>101.15149070322842</v>
      </c>
      <c r="AP67" s="4815">
        <f t="shared" si="487"/>
        <v>108.54777153513106</v>
      </c>
      <c r="AQ67" s="4812">
        <f t="shared" si="487"/>
        <v>107.94774263927324</v>
      </c>
      <c r="AR67" s="4812">
        <f t="shared" si="487"/>
        <v>111.89556305048434</v>
      </c>
      <c r="AS67" s="4815">
        <f t="shared" si="487"/>
        <v>101.84889281336582</v>
      </c>
      <c r="AT67" s="4815">
        <f t="shared" si="487"/>
        <v>108.91456884888369</v>
      </c>
      <c r="AU67" s="4812">
        <f t="shared" ref="AU67:AX67" si="488">+(AU54/(3880000/330*AU1))*100</f>
        <v>106.38569173756325</v>
      </c>
      <c r="AV67" s="4812">
        <f t="shared" si="488"/>
        <v>113.15014626800135</v>
      </c>
      <c r="AW67" s="4815">
        <f t="shared" si="488"/>
        <v>102.23213293301512</v>
      </c>
      <c r="AX67" s="4815">
        <f t="shared" si="488"/>
        <v>109.296188506993</v>
      </c>
      <c r="AY67" s="4812">
        <f t="shared" ref="AY67:AZ67" si="489">+(AY54/(3880000/330*AY1))*100</f>
        <v>107.94774263927324</v>
      </c>
      <c r="AZ67" s="4812">
        <f t="shared" si="489"/>
        <v>115.42074323662912</v>
      </c>
      <c r="BA67" s="4813">
        <f t="shared" ref="BA67:BB67" si="490">+(BA54/(3880000/330*BA1))*100</f>
        <v>107.46328047555448</v>
      </c>
      <c r="BB67" s="4813">
        <f t="shared" si="490"/>
        <v>113.49978440728854</v>
      </c>
      <c r="BC67" s="4816">
        <f t="shared" si="487"/>
        <v>107.72349960813921</v>
      </c>
      <c r="BD67" s="4816">
        <f t="shared" si="487"/>
        <v>111.75187902616739</v>
      </c>
      <c r="BE67" s="4815">
        <f t="shared" si="487"/>
        <v>102.72298514979023</v>
      </c>
      <c r="BF67" s="4815">
        <f t="shared" si="487"/>
        <v>109.85121266351099</v>
      </c>
    </row>
    <row r="68" spans="2:58" x14ac:dyDescent="0.25">
      <c r="B68" s="4795" t="s">
        <v>259</v>
      </c>
      <c r="C68" s="147" t="s">
        <v>257</v>
      </c>
      <c r="D68" s="4812">
        <f>+(D54/408)/D61</f>
        <v>1.2334284531700077</v>
      </c>
      <c r="E68" s="4812">
        <f>+(E54/408)/E61</f>
        <v>0.92658423493044817</v>
      </c>
      <c r="F68" s="4810">
        <f t="shared" ref="F68:J68" si="491">+(F54/408)/F61</f>
        <v>1.2824062090878057</v>
      </c>
      <c r="G68" s="4810">
        <f>+(G54/408)/G61</f>
        <v>0.91246573010724408</v>
      </c>
      <c r="H68" s="4810">
        <f t="shared" si="491"/>
        <v>1.127256494889662</v>
      </c>
      <c r="I68" s="4815">
        <f t="shared" si="491"/>
        <v>0.91939643771013724</v>
      </c>
      <c r="J68" s="4811">
        <f t="shared" si="491"/>
        <v>1.2043446656229031</v>
      </c>
      <c r="K68" s="4820">
        <f>+(K54/408)/K61</f>
        <v>1.2900655246718171</v>
      </c>
      <c r="L68" s="4820">
        <f t="shared" ref="L68" si="492">+(L54/408)/L61</f>
        <v>1.3579594206918069</v>
      </c>
      <c r="M68" s="4813">
        <f t="shared" ref="M68:N68" si="493">+(M54/408)/M61</f>
        <v>1.0467677873135033</v>
      </c>
      <c r="N68" s="4821">
        <f t="shared" si="493"/>
        <v>1.2645852239318329</v>
      </c>
      <c r="O68" s="4812">
        <f>+(O54/408)/O61</f>
        <v>1.2889630616112799</v>
      </c>
      <c r="P68" s="4810">
        <f t="shared" ref="P68:R68" si="494">+(P54/408)/P61</f>
        <v>1.3397908610797431</v>
      </c>
      <c r="Q68" s="4815">
        <f t="shared" si="494"/>
        <v>1.1102973339147568</v>
      </c>
      <c r="R68" s="4811">
        <f t="shared" si="494"/>
        <v>1.2859685908023217</v>
      </c>
      <c r="S68" s="4812">
        <f>+(S54/408)/S61</f>
        <v>1.2889630616112799</v>
      </c>
      <c r="T68" s="4810">
        <f t="shared" ref="T68:V68" si="495">+(T54/408)/T61</f>
        <v>1.3155444612226201</v>
      </c>
      <c r="U68" s="4815">
        <f t="shared" si="495"/>
        <v>1.1474240305315546</v>
      </c>
      <c r="V68" s="4811">
        <f t="shared" si="495"/>
        <v>1.2925591710476649</v>
      </c>
      <c r="W68" s="4812">
        <f>+(W54/408)/W61</f>
        <v>1.2972725946420507</v>
      </c>
      <c r="X68" s="4810">
        <f t="shared" ref="X68" si="496">+(X54/408)/X61</f>
        <v>1.2992763377356282</v>
      </c>
      <c r="Y68" s="4813">
        <f t="shared" ref="Y68:AB68" si="497">+(Y54/408)/Y61</f>
        <v>1.2916701332785283</v>
      </c>
      <c r="Z68" s="4821">
        <f t="shared" si="497"/>
        <v>1.3184596606095869</v>
      </c>
      <c r="AA68" s="4816">
        <f t="shared" si="497"/>
        <v>1.1724835334971975</v>
      </c>
      <c r="AB68" s="4822">
        <f t="shared" si="497"/>
        <v>1.2937334369852971</v>
      </c>
      <c r="AC68" s="4812">
        <f>+(AC54/408)/AC61</f>
        <v>1.2961639725700023</v>
      </c>
      <c r="AD68" s="4810">
        <f t="shared" ref="AD68:AF68" si="498">+(AD54/408)/AD61</f>
        <v>1.2890961161350394</v>
      </c>
      <c r="AE68" s="4815">
        <f t="shared" si="498"/>
        <v>1.1907289536414087</v>
      </c>
      <c r="AF68" s="4811">
        <f t="shared" si="498"/>
        <v>1.2929996737603169</v>
      </c>
      <c r="AG68" s="4812">
        <f>+(AG54/408)/AG61</f>
        <v>1.2972725946420507</v>
      </c>
      <c r="AH68" s="4810">
        <f t="shared" ref="AH68:AJ68" si="499">+(AH54/408)/AH61</f>
        <v>1.3079213770198634</v>
      </c>
      <c r="AI68" s="4815">
        <f t="shared" si="499"/>
        <v>1.204022825664997</v>
      </c>
      <c r="AJ68" s="4811">
        <f t="shared" si="499"/>
        <v>1.294954636885796</v>
      </c>
      <c r="AK68" s="4812">
        <f>+(AK54/408)/AK61</f>
        <v>1.2961639725700023</v>
      </c>
      <c r="AL68" s="4810">
        <f t="shared" ref="AL68" si="500">+(AL54/408)/AL61</f>
        <v>1.3651963579205559</v>
      </c>
      <c r="AM68" s="4813">
        <f t="shared" ref="AM68:AP68" si="501">+(AM54/408)/AM61</f>
        <v>1.2965251384008394</v>
      </c>
      <c r="AN68" s="4821">
        <f t="shared" si="501"/>
        <v>1.3207884086614476</v>
      </c>
      <c r="AO68" s="4815">
        <f t="shared" si="501"/>
        <v>1.2145591451541342</v>
      </c>
      <c r="AP68" s="4811">
        <f t="shared" si="501"/>
        <v>1.3033687164423293</v>
      </c>
      <c r="AQ68" s="4812">
        <f>+(AQ54/408)/AQ61</f>
        <v>1.2961639725700023</v>
      </c>
      <c r="AR68" s="4810">
        <f t="shared" ref="AR68:AT68" si="502">+(AR54/408)/AR61</f>
        <v>1.343566747858113</v>
      </c>
      <c r="AS68" s="4815">
        <f t="shared" si="502"/>
        <v>1.2229330811666277</v>
      </c>
      <c r="AT68" s="4811">
        <f t="shared" si="502"/>
        <v>1.3077729721654927</v>
      </c>
      <c r="AU68" s="4812">
        <f>+(AU54/408)/AU61</f>
        <v>1.2774079147533717</v>
      </c>
      <c r="AV68" s="4810">
        <f t="shared" ref="AV68:AX68" si="503">+(AV54/408)/AV61</f>
        <v>1.3586309402847261</v>
      </c>
      <c r="AW68" s="4815">
        <f t="shared" si="503"/>
        <v>1.2275347710564553</v>
      </c>
      <c r="AX68" s="4811">
        <f t="shared" si="503"/>
        <v>1.3123552046418006</v>
      </c>
      <c r="AY68" s="4812">
        <f>+(AY54/408)/AY61</f>
        <v>1.2961639725700023</v>
      </c>
      <c r="AZ68" s="4810">
        <f t="shared" ref="AZ68" si="504">+(AZ54/408)/AZ61</f>
        <v>1.3858947432601783</v>
      </c>
      <c r="BA68" s="4813">
        <f t="shared" ref="BA68:BB68" si="505">+(BA54/408)/BA61</f>
        <v>1.2903468763775978</v>
      </c>
      <c r="BB68" s="4821">
        <f t="shared" si="505"/>
        <v>1.3628291601687204</v>
      </c>
      <c r="BC68" s="4816">
        <f t="shared" ref="BC68:BD68" si="506">+(BC54/408)/BC61</f>
        <v>1.293471412902246</v>
      </c>
      <c r="BD68" s="4822">
        <f t="shared" si="506"/>
        <v>1.3418414866233705</v>
      </c>
      <c r="BE68" s="4815">
        <f t="shared" ref="BE68:BF68" si="507">+(BE54/408)/BE61</f>
        <v>1.2334285947130192</v>
      </c>
      <c r="BF68" s="4811">
        <f t="shared" si="507"/>
        <v>1.3190195618390481</v>
      </c>
    </row>
    <row r="69" spans="2:58" x14ac:dyDescent="0.25">
      <c r="B69" s="4795" t="s">
        <v>260</v>
      </c>
      <c r="C69" s="147" t="s">
        <v>242</v>
      </c>
      <c r="D69" s="147">
        <f>14.8204644971503*D2*24*1000</f>
        <v>129827268.99503663</v>
      </c>
      <c r="E69" s="336">
        <f>+'POWER DISTRIBUTION'!I21</f>
        <v>7589798.9780746317</v>
      </c>
      <c r="F69" s="336">
        <f>+'POWER DISTRIBUTION'!J21</f>
        <v>8770860.0000000093</v>
      </c>
      <c r="G69" s="336">
        <f>+'POWER DISTRIBUTION'!K21</f>
        <v>7751415.5790392812</v>
      </c>
      <c r="H69" s="336">
        <f>+'POWER DISTRIBUTION'!L21</f>
        <v>8940170</v>
      </c>
      <c r="I69" s="4797">
        <f>+E69+G69</f>
        <v>15341214.557113912</v>
      </c>
      <c r="J69" s="4798">
        <f>+F69+H69</f>
        <v>17711030.000000007</v>
      </c>
      <c r="K69" s="336">
        <f>+'POWER DISTRIBUTION'!O21</f>
        <v>11269452.019069076</v>
      </c>
      <c r="L69" s="336">
        <f>+'POWER DISTRIBUTION'!P21</f>
        <v>11523339.999999998</v>
      </c>
      <c r="M69" s="4799">
        <f>+I69+K69</f>
        <v>26610666.576182988</v>
      </c>
      <c r="N69" s="4799">
        <f>+J69+L69</f>
        <v>29234370.000000007</v>
      </c>
      <c r="O69" s="336">
        <f>+'POWER DISTRIBUTION'!S21</f>
        <v>11651467.341749385</v>
      </c>
      <c r="P69" s="336">
        <f>+'POWER DISTRIBUTION'!T21</f>
        <v>11147449.999999996</v>
      </c>
      <c r="Q69" s="4797">
        <f>+M69+O69</f>
        <v>38262133.917932376</v>
      </c>
      <c r="R69" s="4798">
        <f>+N69+P69</f>
        <v>40381820</v>
      </c>
      <c r="S69" s="336">
        <f>+'POWER DISTRIBUTION'!W21</f>
        <v>11651467.341749385</v>
      </c>
      <c r="T69" s="336">
        <f>+'POWER DISTRIBUTION'!X21</f>
        <v>11562760.000000006</v>
      </c>
      <c r="U69" s="4797">
        <f>+Q69+S69</f>
        <v>49913601.259681761</v>
      </c>
      <c r="V69" s="4798">
        <f>+R69+T69</f>
        <v>51944580.000000007</v>
      </c>
      <c r="W69" s="336">
        <f>+'POWER DISTRIBUTION'!AA21</f>
        <v>11332409.851577843</v>
      </c>
      <c r="X69" s="336">
        <f>+'POWER DISTRIBUTION'!AB21</f>
        <v>11222100.000000013</v>
      </c>
      <c r="Y69" s="4799">
        <f t="shared" ref="Y69" si="508">+O69+S69+W69</f>
        <v>34635344.535076611</v>
      </c>
      <c r="Z69" s="4799">
        <f t="shared" ref="Z69" si="509">+P69+T69+X69</f>
        <v>33932310.000000015</v>
      </c>
      <c r="AA69" s="4636">
        <f>+U69+W69</f>
        <v>61246011.111259602</v>
      </c>
      <c r="AB69" s="4814">
        <f>+V69+X69</f>
        <v>63166680.000000022</v>
      </c>
      <c r="AC69" s="336">
        <f>+'POWER DISTRIBUTION'!AG21</f>
        <v>11716559.338072006</v>
      </c>
      <c r="AD69" s="336">
        <f>+'POWER DISTRIBUTION'!AH21</f>
        <v>11873739.999999993</v>
      </c>
      <c r="AE69" s="4797">
        <f>+AA69+AC69</f>
        <v>72962570.449331611</v>
      </c>
      <c r="AF69" s="4798">
        <f>+AB69+AD69</f>
        <v>75040420.000000015</v>
      </c>
      <c r="AG69" s="336">
        <f>+'POWER DISTRIBUTION'!AK21</f>
        <v>11332409.851577843</v>
      </c>
      <c r="AH69" s="336">
        <f>+'POWER DISTRIBUTION'!AL21</f>
        <v>11028739.999999981</v>
      </c>
      <c r="AI69" s="4797">
        <f>+AE69+AG69</f>
        <v>84294980.30090946</v>
      </c>
      <c r="AJ69" s="4798">
        <f>+AF69+AH69</f>
        <v>86069160</v>
      </c>
      <c r="AK69" s="336">
        <f>+'POWER DISTRIBUTION'!AO21</f>
        <v>11716559.338072006</v>
      </c>
      <c r="AL69" s="336">
        <f>+'POWER DISTRIBUTION'!AP21</f>
        <v>11785290.000000009</v>
      </c>
      <c r="AM69" s="4799">
        <f t="shared" ref="AM69" si="510">+AC69+AG69+AK69</f>
        <v>34765528.527721852</v>
      </c>
      <c r="AN69" s="4799">
        <f t="shared" ref="AN69" si="511">+AD69+AH69+AL69</f>
        <v>34687769.999999985</v>
      </c>
      <c r="AO69" s="4797">
        <f>+AI69+AK69</f>
        <v>96011539.638981462</v>
      </c>
      <c r="AP69" s="4798">
        <f>+AJ69+AL69</f>
        <v>97854450.000000015</v>
      </c>
      <c r="AQ69" s="336">
        <f>+'POWER DISTRIBUTION'!AU21</f>
        <v>11716559.338072006</v>
      </c>
      <c r="AR69" s="336">
        <f>+'POWER DISTRIBUTION'!AV21</f>
        <v>13146990.000000015</v>
      </c>
      <c r="AS69" s="4797">
        <f>+AO69+AQ69</f>
        <v>107728098.97705346</v>
      </c>
      <c r="AT69" s="4798">
        <f>+AP69+AR69</f>
        <v>111001440.00000003</v>
      </c>
      <c r="AU69" s="336">
        <f>+'POWER DISTRIBUTION'!AY21</f>
        <v>10382610.679910779</v>
      </c>
      <c r="AV69" s="336">
        <f>+'POWER DISTRIBUTION'!AZ21</f>
        <v>10943609.999999972</v>
      </c>
      <c r="AW69" s="4797">
        <f>+AS69+AU69</f>
        <v>118110709.65696424</v>
      </c>
      <c r="AX69" s="4798">
        <f>+AT69+AV69</f>
        <v>121945050</v>
      </c>
      <c r="AY69" s="336">
        <f>+'POWER DISTRIBUTION'!BC21</f>
        <v>11716559.338072006</v>
      </c>
      <c r="AZ69" s="336">
        <f>+'POWER DISTRIBUTION'!BD21</f>
        <v>12086910.000000013</v>
      </c>
      <c r="BA69" s="4799">
        <f t="shared" ref="BA69" si="512">+AQ69+AU69+AY69</f>
        <v>33815729.35605479</v>
      </c>
      <c r="BB69" s="4799">
        <f t="shared" ref="BB69" si="513">+AR69+AV69+AZ69</f>
        <v>36177510</v>
      </c>
      <c r="BC69" s="4636">
        <f t="shared" ref="BC69:BD69" si="514">+BA69+AM69</f>
        <v>68581257.883776635</v>
      </c>
      <c r="BD69" s="4814">
        <f t="shared" si="514"/>
        <v>70865279.999999985</v>
      </c>
      <c r="BE69" s="4797">
        <f>+AW69+AY69</f>
        <v>129827268.99503624</v>
      </c>
      <c r="BF69" s="4798">
        <f>+AX69+AZ69</f>
        <v>134031960.00000001</v>
      </c>
    </row>
    <row r="70" spans="2:58" x14ac:dyDescent="0.25">
      <c r="B70" s="4795" t="s">
        <v>261</v>
      </c>
      <c r="C70" s="147" t="s">
        <v>258</v>
      </c>
      <c r="D70" s="4819">
        <f>+D69/D54</f>
        <v>31.030000000000094</v>
      </c>
      <c r="E70" s="4819">
        <f>+E69/E54</f>
        <v>31.029939075351322</v>
      </c>
      <c r="F70" s="4819">
        <f t="shared" ref="F70:J70" si="515">+F69/F54</f>
        <v>32.070365061721205</v>
      </c>
      <c r="G70" s="4819">
        <f>+G69/G54</f>
        <v>31.03000001400811</v>
      </c>
      <c r="H70" s="4819">
        <f t="shared" si="515"/>
        <v>36.724929755664732</v>
      </c>
      <c r="I70" s="4815">
        <f t="shared" si="515"/>
        <v>31.029969865638027</v>
      </c>
      <c r="J70" s="4815">
        <f t="shared" si="515"/>
        <v>34.26234804342613</v>
      </c>
      <c r="K70" s="4819">
        <f>+K69/K54</f>
        <v>31.029999999999998</v>
      </c>
      <c r="L70" s="4819">
        <f t="shared" ref="L70" si="516">+L69/L54</f>
        <v>30.644572802314691</v>
      </c>
      <c r="M70" s="4813">
        <f t="shared" ref="M70:N70" si="517">+M69/M54</f>
        <v>31.029982627346012</v>
      </c>
      <c r="N70" s="4813">
        <f t="shared" si="517"/>
        <v>32.73886955236317</v>
      </c>
      <c r="O70" s="4819">
        <f>+O69/O54</f>
        <v>31.030000000000005</v>
      </c>
      <c r="P70" s="4812">
        <f>+P69/P54</f>
        <v>29.658043025972013</v>
      </c>
      <c r="Q70" s="4815">
        <f t="shared" ref="Q70:R70" si="518">+Q69/Q54</f>
        <v>31.029987917611123</v>
      </c>
      <c r="R70" s="4815">
        <f t="shared" si="518"/>
        <v>31.826229368658488</v>
      </c>
      <c r="S70" s="4819">
        <f>+S69/S54</f>
        <v>31.030000000000005</v>
      </c>
      <c r="T70" s="4812">
        <f>+T69/T54</f>
        <v>31.067905861995786</v>
      </c>
      <c r="U70" s="4815">
        <f t="shared" ref="U70:V70" si="519">+U69/U54</f>
        <v>31.029990738035092</v>
      </c>
      <c r="V70" s="4815">
        <f t="shared" si="519"/>
        <v>31.654242324340238</v>
      </c>
      <c r="W70" s="4819">
        <f>+W69/W54</f>
        <v>31.03</v>
      </c>
      <c r="X70" s="4812">
        <f>+X69/X54</f>
        <v>32.113331406512501</v>
      </c>
      <c r="Y70" s="4813">
        <f t="shared" ref="Y70:Z70" si="520">+Y69/Y54</f>
        <v>31.03</v>
      </c>
      <c r="Z70" s="4813">
        <f t="shared" si="520"/>
        <v>30.917935008419178</v>
      </c>
      <c r="AA70" s="4816">
        <f t="shared" ref="AA70:AB70" si="521">+AA69/AA54</f>
        <v>31.02999245178518</v>
      </c>
      <c r="AB70" s="4816">
        <f t="shared" si="521"/>
        <v>31.734842136358989</v>
      </c>
      <c r="AC70" s="4819">
        <f>+AC69/AC54</f>
        <v>31.029999999999998</v>
      </c>
      <c r="AD70" s="4812">
        <f>+AD69/AD54</f>
        <v>31.849306617311747</v>
      </c>
      <c r="AE70" s="4815">
        <f t="shared" ref="AE70:AF70" si="522">+AE69/AE54</f>
        <v>31.029993663901042</v>
      </c>
      <c r="AF70" s="4815">
        <f t="shared" si="522"/>
        <v>31.752899170722507</v>
      </c>
      <c r="AG70" s="4819">
        <f>+AG69/AG54</f>
        <v>31.03</v>
      </c>
      <c r="AH70" s="4812">
        <f>+AH69/AH54</f>
        <v>30.60011375775143</v>
      </c>
      <c r="AI70" s="4815">
        <f t="shared" ref="AI70:AJ70" si="523">+AI69/AI54</f>
        <v>31.029994515710452</v>
      </c>
      <c r="AJ70" s="4815">
        <f t="shared" si="523"/>
        <v>31.600354961326179</v>
      </c>
      <c r="AK70" s="4819">
        <f>+AK69/AK54</f>
        <v>31.029999999999998</v>
      </c>
      <c r="AL70" s="4812">
        <f>+AL69/AL54</f>
        <v>30.159224503479063</v>
      </c>
      <c r="AM70" s="4813">
        <f t="shared" ref="AM70:AP70" si="524">+AM69/AM54</f>
        <v>31.029999999999998</v>
      </c>
      <c r="AN70" s="4813">
        <f t="shared" si="524"/>
        <v>30.861170077420329</v>
      </c>
      <c r="AO70" s="4815">
        <f t="shared" si="524"/>
        <v>31.029995184973693</v>
      </c>
      <c r="AP70" s="4815">
        <f t="shared" si="524"/>
        <v>31.419536572475494</v>
      </c>
      <c r="AQ70" s="4819">
        <f>+AQ69/AQ54</f>
        <v>31.029999999999998</v>
      </c>
      <c r="AR70" s="4812">
        <f>+AR69/AR54</f>
        <v>33.2804015826366</v>
      </c>
      <c r="AS70" s="4815">
        <f t="shared" ref="AS70:AT70" si="525">+AS69/AS54</f>
        <v>31.029995708658177</v>
      </c>
      <c r="AT70" s="4815">
        <f t="shared" si="525"/>
        <v>31.629000624878373</v>
      </c>
      <c r="AU70" s="4819">
        <f>+AU69/AU54</f>
        <v>31.03</v>
      </c>
      <c r="AV70" s="4812">
        <f>+AV69/AV54</f>
        <v>30.31269389292671</v>
      </c>
      <c r="AW70" s="4815">
        <f t="shared" ref="AW70:AX70" si="526">+AW69/AW54</f>
        <v>31.029996085891757</v>
      </c>
      <c r="AX70" s="4815">
        <f t="shared" si="526"/>
        <v>31.506221277987613</v>
      </c>
      <c r="AY70" s="4819">
        <f>+AY69/AY54</f>
        <v>31.029999999999998</v>
      </c>
      <c r="AZ70" s="4812">
        <f>+AZ69/AZ54</f>
        <v>29.673945065844421</v>
      </c>
      <c r="BA70" s="4813">
        <f t="shared" ref="BA70:BB70" si="527">+BA69/BA54</f>
        <v>31.03</v>
      </c>
      <c r="BB70" s="4813">
        <f t="shared" si="527"/>
        <v>31.096765043386327</v>
      </c>
      <c r="BC70" s="4816">
        <f t="shared" ref="BC70:BD70" si="528">+BC69/BC54</f>
        <v>31.029999999999994</v>
      </c>
      <c r="BD70" s="4816">
        <f t="shared" si="528"/>
        <v>30.980996153239136</v>
      </c>
      <c r="BE70" s="4815">
        <f t="shared" ref="BE70:BF70" si="529">+BE69/BE54</f>
        <v>31.029996439129381</v>
      </c>
      <c r="BF70" s="4815">
        <f t="shared" si="529"/>
        <v>31.331756677624714</v>
      </c>
    </row>
    <row r="71" spans="2:58" x14ac:dyDescent="0.25">
      <c r="B71" s="4795" t="s">
        <v>262</v>
      </c>
      <c r="C71" s="147" t="s">
        <v>713</v>
      </c>
      <c r="D71" s="4796">
        <f>1.7486003*1000</f>
        <v>1748.6003000000001</v>
      </c>
      <c r="E71" s="336">
        <f>+(EMD!D31*1000/E2)/24</f>
        <v>1201.9660000000001</v>
      </c>
      <c r="F71" s="336">
        <f>+(EMD!E31*1000/F2)/24</f>
        <v>1181</v>
      </c>
      <c r="G71" s="336">
        <f>+(EMD!F31*1000/G2)/24</f>
        <v>1231.7746999999999</v>
      </c>
      <c r="H71" s="336">
        <f>+(EMD!G31*1000/H2)/24</f>
        <v>1271.6397849462367</v>
      </c>
      <c r="I71" s="4815">
        <f>+(EMD!H31*1000/I2)/24</f>
        <v>1217.1146836065575</v>
      </c>
      <c r="J71" s="4815">
        <f>+(EMD!I31*1000/J2)/24</f>
        <v>1227.0628415300546</v>
      </c>
      <c r="K71" s="336">
        <f>+(EMD!J31*1000/K2)/24</f>
        <v>1850.5188000000001</v>
      </c>
      <c r="L71" s="336">
        <f>+(EMD!K31*1000/L2)/24</f>
        <v>1521.3333333333333</v>
      </c>
      <c r="M71" s="4813">
        <f>+(EMD!L31*1000/M2)/24</f>
        <v>1425.9292274725274</v>
      </c>
      <c r="N71" s="4813">
        <f>+(EMD!M31*1000/N2)/24</f>
        <v>1324.0750915750914</v>
      </c>
      <c r="O71" s="336">
        <f>+(EMD!N31*1000/O2)/24</f>
        <v>1851.5306</v>
      </c>
      <c r="P71" s="336">
        <f>+(EMD!O31*1000/P2)/24</f>
        <v>1491.4650537634409</v>
      </c>
      <c r="Q71" s="4815">
        <f>+((M71*M2*24)+(O71*O2*24))/(Q2*24)</f>
        <v>1534.0738385245904</v>
      </c>
      <c r="R71" s="4815">
        <f>+((N71*N2*24)+(P71*P2*24))/(R2*24)</f>
        <v>1366.6086065573768</v>
      </c>
      <c r="S71" s="336">
        <f>+(EMD!R31*1000/S2)/24</f>
        <v>1851.5306</v>
      </c>
      <c r="T71" s="336">
        <f>+(EMD!S31*1000/T2)/24</f>
        <v>1488.8440860215053</v>
      </c>
      <c r="U71" s="4815">
        <f>+((Q71*Q2*24)+(S71*S2*24))/(U2*24)</f>
        <v>1598.395143137255</v>
      </c>
      <c r="V71" s="4815">
        <f>+((R71*R2*24)+(T71*T2*24))/(V2*24)</f>
        <v>1391.3752723311545</v>
      </c>
      <c r="W71" s="336">
        <f>+(EMD!V31*1000/W2)/24</f>
        <v>1860.8568999999998</v>
      </c>
      <c r="X71" s="336">
        <f>+(EMD!W31*1000/X2)/24</f>
        <v>1460.75</v>
      </c>
      <c r="Y71" s="4813">
        <f>+((O71*O2*24)+(S71*S2*24)+(W71*W2*24))/(Y2*24)</f>
        <v>1854.5717847826088</v>
      </c>
      <c r="Z71" s="4813">
        <f>+((P71*P2*24)+(T71*T2*24)+(X71*X2*24))/(Z2*24)</f>
        <v>1480.5661231884058</v>
      </c>
      <c r="AA71" s="4816">
        <f>+((U71*U2*24)+(W71*W2*24))/(AA2*24)</f>
        <v>1641.4216606557379</v>
      </c>
      <c r="AB71" s="4816">
        <f>+((V71*V2*24)+(X71*X2*24))/(AB2*24)</f>
        <v>1402.7481785063751</v>
      </c>
      <c r="AC71" s="336">
        <f>+(EMD!AB31*1000/AC2)/24</f>
        <v>1861.8743999999999</v>
      </c>
      <c r="AD71" s="336">
        <f>+(EMD!AC31*1000/AD2)/24</f>
        <v>1541.4650537634409</v>
      </c>
      <c r="AE71" s="4815">
        <f>+((AA71*AA2*24)+(AC71*AC2*24))/(AE2*24)</f>
        <v>1673.3564032710283</v>
      </c>
      <c r="AF71" s="4815">
        <f>+((AB71*AB2*24)+(AD71*AD2*24))/(AF2*24)</f>
        <v>1422.8426791277259</v>
      </c>
      <c r="AG71" s="336">
        <f>+(EMD!AF31*1000/AG2)/24</f>
        <v>1860.8568999999998</v>
      </c>
      <c r="AH71" s="336">
        <f>+(EMD!AG31*1000/AH2)/24</f>
        <v>1503.9305555555557</v>
      </c>
      <c r="AI71" s="4815">
        <f>+((AE71*AE2*24)+(AG71*AG2*24))/(AI2*24)</f>
        <v>1696.4097430327872</v>
      </c>
      <c r="AJ71" s="4815">
        <f>+((AF71*AF2*24)+(AH71*AH2*24))/(AJ2*24)</f>
        <v>1432.8125</v>
      </c>
      <c r="AK71" s="336">
        <f>+(EMD!AJ31*1000/AK2)/24</f>
        <v>1861.8743999999999</v>
      </c>
      <c r="AL71" s="336">
        <f>+(EMD!AK31*1000/AL2)/24</f>
        <v>1500.4838709677417</v>
      </c>
      <c r="AM71" s="4813">
        <f>+((AC71*AC2*24)+(AG71*AG2*24)+(AK71*AK2*24))/(AM2*24)</f>
        <v>1861.5426065217391</v>
      </c>
      <c r="AN71" s="4813">
        <f>+((AD71*AD2*24)+(AH71*AH2*24)+(AL71*AL2*24))/(AN2*24)</f>
        <v>1515.4166666666667</v>
      </c>
      <c r="AO71" s="4815">
        <f>+((AI71*AI2*24)+(AK71*AK2*24))/(AO2*24)</f>
        <v>1715.0621225454547</v>
      </c>
      <c r="AP71" s="4815">
        <f>+((AJ71*AJ2*24)+(AL71*AL2*24))/(AP2*24)</f>
        <v>1440.4409090909091</v>
      </c>
      <c r="AQ71" s="336">
        <f>+(EMD!AP31*1000/AQ2)/24</f>
        <v>1861.8743999999999</v>
      </c>
      <c r="AR71" s="336">
        <f>+(EMD!AQ31*1000/AR2)/24</f>
        <v>1530.8198924731184</v>
      </c>
      <c r="AS71" s="4815">
        <f>+((AO71*AO2*24)+(AQ71*AQ2*24))/(AS2*24)</f>
        <v>1729.935261764706</v>
      </c>
      <c r="AT71" s="4815">
        <f>+((AP71*AP2*24)+(AR71*AR2*24))/(AT2*24)</f>
        <v>1449.5969498910674</v>
      </c>
      <c r="AU71" s="336">
        <f>+(EMD!AT31*1000/AU2)/24</f>
        <v>1826.6716999999999</v>
      </c>
      <c r="AV71" s="336">
        <f>+(EMD!AU31*1000/AV2)/24</f>
        <v>1551.8005952380954</v>
      </c>
      <c r="AW71" s="4815">
        <f>+((AS71*AS2*24)+(AU71*AU2*24))/(AW2*24)</f>
        <v>1738.0449032934132</v>
      </c>
      <c r="AX71" s="4815">
        <f>+((AT71*AT2*24)+(AV71*AV2*24))/(AX2*24)</f>
        <v>1458.1649201596806</v>
      </c>
      <c r="AY71" s="336">
        <f>+(EMD!AX31*1000/AY2)/24</f>
        <v>1861.8743999999999</v>
      </c>
      <c r="AZ71" s="336">
        <f>+(EMD!AY31*1000/AZ2)/24</f>
        <v>1584.6774193548388</v>
      </c>
      <c r="BA71" s="4813">
        <f>+((AQ71*AQ2*24)+(AU71*AU2*24)+(AY71*AY2*24))/(BA2*24)</f>
        <v>1850.9224488888888</v>
      </c>
      <c r="BB71" s="4813">
        <f>+((AR71*AR2*24)+(AV71*AV2*24)+(AZ71*AZ2*24))/(BB2*24)</f>
        <v>1555.898148148148</v>
      </c>
      <c r="BC71" s="4816">
        <f>+((BA71*BA2*24)+(AM71*AM2*24))/(BC2*24)</f>
        <v>1856.2908802197801</v>
      </c>
      <c r="BD71" s="4816">
        <f>+((BB71*BB2*24)+(AN71*AN2*24))/(BD2*24)</f>
        <v>1535.4349816849817</v>
      </c>
      <c r="BE71" s="4815">
        <f>+((AW71*AW2*24)+(AY71*AY2*24))/(BE2*24)</f>
        <v>1748.5619290410959</v>
      </c>
      <c r="BF71" s="4815">
        <f>+((AX71*AX2*24)+(AZ71*AZ2*24))/(BF2*24)</f>
        <v>1468.9098173515981</v>
      </c>
    </row>
    <row r="72" spans="2:58" x14ac:dyDescent="0.25">
      <c r="B72" s="4795" t="s">
        <v>247</v>
      </c>
      <c r="C72" s="147" t="s">
        <v>1921</v>
      </c>
      <c r="D72" s="147">
        <v>1.55E-2</v>
      </c>
      <c r="E72" s="4823">
        <v>1.6E-2</v>
      </c>
      <c r="F72" s="4823">
        <v>1.2999999999999999E-2</v>
      </c>
      <c r="G72" s="4823">
        <v>1.55E-2</v>
      </c>
      <c r="H72" s="4823">
        <v>1.7000000000000001E-2</v>
      </c>
      <c r="I72" s="4824">
        <f>+((E72*E54)+(G72*G54))/I54</f>
        <v>1.5747366545881991E-2</v>
      </c>
      <c r="J72" s="4824">
        <f>+((F72*F54)+(H72*H54))/J54</f>
        <v>1.4883727588581688E-2</v>
      </c>
      <c r="K72" s="4823">
        <v>1.55E-2</v>
      </c>
      <c r="L72" s="4823">
        <v>1.2E-2</v>
      </c>
      <c r="M72" s="4825">
        <f>+((I72*I54)+(K72*K54))/M54</f>
        <v>1.5642608408718166E-2</v>
      </c>
      <c r="N72" s="4825">
        <f>+((J72*J54)+(L72*L54))/N54</f>
        <v>1.3669363328092312E-2</v>
      </c>
      <c r="O72" s="4823">
        <v>1.55E-2</v>
      </c>
      <c r="P72" s="4826">
        <v>1.2999999999999999E-2</v>
      </c>
      <c r="Q72" s="4824">
        <f>+((M72*M54)+(O72*O54))/Q54</f>
        <v>1.5599181751610815E-2</v>
      </c>
      <c r="R72" s="4824">
        <f>+((N72*N54)+(P72*P54))/R54</f>
        <v>1.3471076321186109E-2</v>
      </c>
      <c r="S72" s="4823">
        <v>1.55E-2</v>
      </c>
      <c r="T72" s="4826">
        <v>1.2999999999999999E-2</v>
      </c>
      <c r="U72" s="4824">
        <f>+((Q72*Q54)+(S72*S54))/U54</f>
        <v>1.5576029493194388E-2</v>
      </c>
      <c r="V72" s="4824">
        <f>+((R72*R54)+(T72*T54))/V54</f>
        <v>1.3364236663154578E-2</v>
      </c>
      <c r="W72" s="4823">
        <v>1.55E-2</v>
      </c>
      <c r="X72" s="4826">
        <v>1.2999999999999999E-2</v>
      </c>
      <c r="Y72" s="4825">
        <f>+((O72*O54)+(S72*S54)+(W72*W54))/Y54</f>
        <v>1.55E-2</v>
      </c>
      <c r="Z72" s="4825">
        <f>+((P72*P54)+(T72*T54)+(X72*X54))/Z54</f>
        <v>1.3000000000000001E-2</v>
      </c>
      <c r="AA72" s="4827">
        <f>+((U72*U54)+(W72*W54))/AA54</f>
        <v>1.5561961684491987E-2</v>
      </c>
      <c r="AB72" s="4828">
        <f>+((V72*V54)+(X72*X54))/AB54</f>
        <v>1.3300289582466696E-2</v>
      </c>
      <c r="AC72" s="4823">
        <v>1.55E-2</v>
      </c>
      <c r="AD72" s="4826">
        <v>1.2999999999999999E-2</v>
      </c>
      <c r="AE72" s="4824">
        <f>+((AA72*AA54)+(AC72*AC54))/AE54</f>
        <v>1.5552011684096893E-2</v>
      </c>
      <c r="AF72" s="4824">
        <f>+((AB72*AB54)+(AD72*AD54))/AF54</f>
        <v>1.3252918212199916E-2</v>
      </c>
      <c r="AG72" s="4823">
        <v>1.55E-2</v>
      </c>
      <c r="AH72" s="4826">
        <v>1.2999999999999999E-2</v>
      </c>
      <c r="AI72" s="4824">
        <f>+((AE72*AE54)+(AG72*AG54))/AI54</f>
        <v>1.5545019362431019E-2</v>
      </c>
      <c r="AJ72" s="4824">
        <f>+((AF72*AF54)+(AH72*AH54))/AJ54</f>
        <v>1.3219450397385592E-2</v>
      </c>
      <c r="AK72" s="4823">
        <v>1.55E-2</v>
      </c>
      <c r="AL72" s="4826">
        <v>1.2E-2</v>
      </c>
      <c r="AM72" s="4825">
        <f>+((AC72*AC54)+(AG72*AG54)+(AK72*AK54))/AM54</f>
        <v>1.5499999999999998E-2</v>
      </c>
      <c r="AN72" s="4825">
        <f>+((AD72*AD54)+(AH72*AH54)+(AL72*AL54))/AN54</f>
        <v>1.2652338891488743E-2</v>
      </c>
      <c r="AO72" s="4824">
        <f>+((AI72*AI54)+(AK72*AK54))/AO54</f>
        <v>1.5539525523342314E-2</v>
      </c>
      <c r="AP72" s="4824">
        <f>+((AJ72*AJ54)+(AL72*AL54))/AP54</f>
        <v>1.3066446167311939E-2</v>
      </c>
      <c r="AQ72" s="4823">
        <v>1.55E-2</v>
      </c>
      <c r="AR72" s="4826">
        <v>1.2E-2</v>
      </c>
      <c r="AS72" s="4824">
        <f>+((AO72*AO54)+(AQ72*AQ54))/AS54</f>
        <v>1.5535226709198555E-2</v>
      </c>
      <c r="AT72" s="4824">
        <f>+((AP72*AP54)+(AR72*AR54))/AT54</f>
        <v>1.2946404071482896E-2</v>
      </c>
      <c r="AU72" s="4823">
        <v>1.55E-2</v>
      </c>
      <c r="AV72" s="4826">
        <v>1.2E-2</v>
      </c>
      <c r="AW72" s="4824">
        <f>+((AS72*AS54)+(AU72*AU54))/AW54</f>
        <v>1.5532130079247974E-2</v>
      </c>
      <c r="AX72" s="4824">
        <f>+((AT72*AT54)+(AV72*AV54))/AX54</f>
        <v>1.2858127630307865E-2</v>
      </c>
      <c r="AY72" s="4823">
        <v>1.55E-2</v>
      </c>
      <c r="AZ72" s="4826">
        <v>1.2E-2</v>
      </c>
      <c r="BA72" s="4825">
        <f>+((AQ72*AQ54)+(AU72*AU54)+(AY72*AY54))/BA54</f>
        <v>1.55E-2</v>
      </c>
      <c r="BB72" s="4825">
        <f>+((AR72*AR54)+(AV72*AV54)+(AZ72*AZ54))/BB54</f>
        <v>1.1999999999999999E-2</v>
      </c>
      <c r="BC72" s="4827">
        <f>+((AS72*AS54)+(AW72*AW54)+(BA72*BA54))/BC54</f>
        <v>5.8795008126136812E-2</v>
      </c>
      <c r="BD72" s="4828">
        <f>+((BB72*BB54)+(AN72*AN54))/BD54</f>
        <v>1.2320552475125458E-2</v>
      </c>
      <c r="BE72" s="4824">
        <f>+((AW72*AW54)+(AY72*AY54))/BE54</f>
        <v>1.552923042696568E-2</v>
      </c>
      <c r="BF72" s="4824">
        <f>+((AX72*AX54)+(AZ72*AZ54))/BF54</f>
        <v>1.2776418937541011E-2</v>
      </c>
    </row>
    <row r="73" spans="2:58" s="334" customFormat="1" ht="18.75" x14ac:dyDescent="0.25">
      <c r="B73" s="4794" t="s">
        <v>480</v>
      </c>
      <c r="C73" s="4794"/>
      <c r="D73" s="4794"/>
      <c r="E73" s="4817"/>
      <c r="F73" s="4817"/>
      <c r="G73" s="4817"/>
      <c r="H73" s="4817"/>
      <c r="I73" s="4794"/>
      <c r="J73" s="4794"/>
      <c r="K73" s="4794"/>
      <c r="L73" s="4794"/>
      <c r="M73" s="4794"/>
      <c r="N73" s="4794"/>
      <c r="O73" s="4794"/>
      <c r="P73" s="4794"/>
      <c r="Q73" s="4794"/>
      <c r="R73" s="4794"/>
      <c r="S73" s="4794"/>
      <c r="T73" s="4794"/>
      <c r="U73" s="4794"/>
      <c r="V73" s="4794"/>
      <c r="W73" s="4794"/>
      <c r="X73" s="4794"/>
      <c r="Y73" s="4794"/>
      <c r="Z73" s="4794"/>
      <c r="AA73" s="4794"/>
      <c r="AB73" s="4794"/>
      <c r="AC73" s="4794"/>
      <c r="AD73" s="4794"/>
      <c r="AE73" s="4794"/>
      <c r="AF73" s="4794"/>
      <c r="AG73" s="4794"/>
      <c r="AH73" s="4794"/>
      <c r="AI73" s="4794"/>
      <c r="AJ73" s="4794"/>
      <c r="AK73" s="4794"/>
      <c r="AL73" s="4794"/>
      <c r="AM73" s="4794"/>
      <c r="AN73" s="4794"/>
      <c r="AO73" s="4794"/>
      <c r="AP73" s="4794"/>
      <c r="AQ73" s="4794"/>
      <c r="AR73" s="4794"/>
      <c r="AS73" s="4794"/>
      <c r="AT73" s="4794"/>
      <c r="AU73" s="4794"/>
      <c r="AV73" s="4794"/>
      <c r="AW73" s="4794"/>
      <c r="AX73" s="4794"/>
      <c r="AY73" s="4794"/>
      <c r="AZ73" s="4794"/>
      <c r="BA73" s="4794"/>
      <c r="BB73" s="4794"/>
      <c r="BC73" s="4794"/>
      <c r="BD73" s="4794"/>
      <c r="BE73" s="4794"/>
      <c r="BF73" s="4794"/>
    </row>
    <row r="74" spans="2:58" x14ac:dyDescent="0.25">
      <c r="B74" s="4795" t="s">
        <v>51</v>
      </c>
      <c r="C74" s="147" t="s">
        <v>248</v>
      </c>
      <c r="D74" s="4796">
        <f>+D18</f>
        <v>859.99771051039261</v>
      </c>
      <c r="E74" s="4796">
        <f>+E18</f>
        <v>859.99771051039261</v>
      </c>
      <c r="F74" s="336">
        <f t="shared" ref="F74" si="530">+F18</f>
        <v>841.52073585312701</v>
      </c>
      <c r="G74" s="4796">
        <f>+G18</f>
        <v>860.0000020816326</v>
      </c>
      <c r="H74" s="336">
        <f t="shared" ref="H74:J74" si="531">+H18</f>
        <v>833.69229109499008</v>
      </c>
      <c r="I74" s="4797">
        <f t="shared" si="531"/>
        <v>859.99886836550809</v>
      </c>
      <c r="J74" s="4797">
        <f t="shared" si="531"/>
        <v>837.83407151147946</v>
      </c>
      <c r="K74" s="4796">
        <f>+K18</f>
        <v>859.99958148813289</v>
      </c>
      <c r="L74" s="336">
        <f t="shared" ref="L74" si="532">+L18</f>
        <v>824.3051771790698</v>
      </c>
      <c r="M74" s="4799">
        <f t="shared" ref="M74:N74" si="533">+M18</f>
        <v>859.99917036834142</v>
      </c>
      <c r="N74" s="4813">
        <f t="shared" si="533"/>
        <v>832.13692944221214</v>
      </c>
      <c r="O74" s="4796">
        <f>+O18</f>
        <v>860</v>
      </c>
      <c r="P74" s="336">
        <f t="shared" ref="P74" si="534">+P18</f>
        <v>839.49178165888907</v>
      </c>
      <c r="Q74" s="4797">
        <f t="shared" ref="Q74:R74" si="535">+Q18</f>
        <v>859.9994230051243</v>
      </c>
      <c r="R74" s="4797">
        <f t="shared" si="535"/>
        <v>834.31567388648671</v>
      </c>
      <c r="S74" s="4796">
        <f>+S18</f>
        <v>860</v>
      </c>
      <c r="T74" s="336">
        <f t="shared" ref="T74:V74" si="536">+T18</f>
        <v>820.72450852954387</v>
      </c>
      <c r="U74" s="4797">
        <f t="shared" si="536"/>
        <v>859.99955769456312</v>
      </c>
      <c r="V74" s="4797">
        <f t="shared" si="536"/>
        <v>831.23321061316915</v>
      </c>
      <c r="W74" s="4796">
        <f>+W18</f>
        <v>859.99999999999989</v>
      </c>
      <c r="X74" s="336">
        <f t="shared" ref="X74" si="537">+X18</f>
        <v>816.01459117821275</v>
      </c>
      <c r="Y74" s="4799">
        <f t="shared" ref="Y74:AB74" si="538">+Y18</f>
        <v>860</v>
      </c>
      <c r="Z74" s="4813">
        <f t="shared" si="538"/>
        <v>825.65216670220207</v>
      </c>
      <c r="AA74" s="4636">
        <f t="shared" si="538"/>
        <v>859.99963953475446</v>
      </c>
      <c r="AB74" s="4816">
        <f t="shared" si="538"/>
        <v>828.56135908527301</v>
      </c>
      <c r="AC74" s="4796">
        <f>+AC18</f>
        <v>860</v>
      </c>
      <c r="AD74" s="336">
        <f t="shared" ref="AD74:AF74" si="539">+AD18</f>
        <v>822.19050288082394</v>
      </c>
      <c r="AE74" s="4797">
        <f t="shared" si="539"/>
        <v>859.99969741938685</v>
      </c>
      <c r="AF74" s="4797">
        <f t="shared" si="539"/>
        <v>827.55634190919159</v>
      </c>
      <c r="AG74" s="4796">
        <f>+AG18</f>
        <v>859.99999999999989</v>
      </c>
      <c r="AH74" s="336">
        <f t="shared" ref="AH74:AJ74" si="540">+AH18</f>
        <v>806.89398988665846</v>
      </c>
      <c r="AI74" s="4797">
        <f t="shared" si="540"/>
        <v>859.99973809757319</v>
      </c>
      <c r="AJ74" s="4797">
        <f t="shared" si="540"/>
        <v>824.82216248769578</v>
      </c>
      <c r="AK74" s="4796">
        <f>+AK18</f>
        <v>860</v>
      </c>
      <c r="AL74" s="336">
        <f t="shared" ref="AL74" si="541">+AL18</f>
        <v>814.71530453285709</v>
      </c>
      <c r="AM74" s="4799">
        <f t="shared" ref="AM74:AP74" si="542">+AM18</f>
        <v>860</v>
      </c>
      <c r="AN74" s="4813">
        <f t="shared" si="542"/>
        <v>814.68675418285147</v>
      </c>
      <c r="AO74" s="4797">
        <f t="shared" si="542"/>
        <v>859.99977005826099</v>
      </c>
      <c r="AP74" s="4797">
        <f t="shared" si="542"/>
        <v>823.55405677125248</v>
      </c>
      <c r="AQ74" s="4796">
        <f>+AQ18</f>
        <v>860</v>
      </c>
      <c r="AR74" s="336">
        <f t="shared" ref="AR74:AT74" si="543">+AR18</f>
        <v>804.77790694289399</v>
      </c>
      <c r="AS74" s="4797">
        <f t="shared" si="543"/>
        <v>859.99979506683064</v>
      </c>
      <c r="AT74" s="4797">
        <f t="shared" si="543"/>
        <v>821.44056202010393</v>
      </c>
      <c r="AU74" s="4796">
        <f>+AU18</f>
        <v>859.99999999999989</v>
      </c>
      <c r="AV74" s="336">
        <f t="shared" ref="AV74:AX74" si="544">+AV18</f>
        <v>794.91177731397363</v>
      </c>
      <c r="AW74" s="4797">
        <f t="shared" si="544"/>
        <v>859.99981308163251</v>
      </c>
      <c r="AX74" s="4797">
        <f t="shared" si="544"/>
        <v>818.96607276850307</v>
      </c>
      <c r="AY74" s="4796">
        <f>+AY18</f>
        <v>860</v>
      </c>
      <c r="AZ74" s="336">
        <f t="shared" ref="AZ74" si="545">+AZ18</f>
        <v>771.30406461932023</v>
      </c>
      <c r="BA74" s="4799">
        <f t="shared" ref="BA74:BB74" si="546">+BA18</f>
        <v>860</v>
      </c>
      <c r="BB74" s="4813">
        <f t="shared" si="546"/>
        <v>789.99637809925366</v>
      </c>
      <c r="BC74" s="4636">
        <f t="shared" ref="BC74:BD74" si="547">+BC18</f>
        <v>859.99999999999989</v>
      </c>
      <c r="BD74" s="4816">
        <f t="shared" si="547"/>
        <v>802.12896940821804</v>
      </c>
      <c r="BE74" s="4797">
        <f t="shared" ref="BE74:BF74" si="548">+BE18</f>
        <v>859.99982995050686</v>
      </c>
      <c r="BF74" s="4797">
        <f t="shared" si="548"/>
        <v>814.42781966608788</v>
      </c>
    </row>
    <row r="75" spans="2:58" x14ac:dyDescent="0.25">
      <c r="B75" s="4795" t="s">
        <v>974</v>
      </c>
      <c r="C75" s="147" t="s">
        <v>248</v>
      </c>
      <c r="D75" s="4796">
        <f>+D19+D42</f>
        <v>60.000654139887814</v>
      </c>
      <c r="E75" s="4796">
        <f>+E19+E42</f>
        <v>60.000654139887814</v>
      </c>
      <c r="F75" s="4819">
        <f t="shared" ref="F75:O76" si="549">+F19+F42</f>
        <v>63.910282144006317</v>
      </c>
      <c r="G75" s="4796">
        <f>+G19+G42</f>
        <v>60.000013130298463</v>
      </c>
      <c r="H75" s="4819">
        <f t="shared" ref="H75:J75" si="550">+H19+H42</f>
        <v>80.138950574278255</v>
      </c>
      <c r="I75" s="4797">
        <f t="shared" si="550"/>
        <v>60.000330258954449</v>
      </c>
      <c r="J75" s="4797">
        <f t="shared" si="550"/>
        <v>71.552879756018299</v>
      </c>
      <c r="K75" s="4796">
        <f>+K19+K42</f>
        <v>59.999532296445807</v>
      </c>
      <c r="L75" s="4819">
        <f>+L19+L42</f>
        <v>70.97999242351716</v>
      </c>
      <c r="M75" s="4799">
        <f t="shared" ref="M75:N75" si="551">+M19+M42</f>
        <v>59.999992326977299</v>
      </c>
      <c r="N75" s="4813">
        <f t="shared" si="551"/>
        <v>71.311631621266883</v>
      </c>
      <c r="O75" s="4796">
        <f>+O19+O42</f>
        <v>60</v>
      </c>
      <c r="P75" s="4819">
        <f t="shared" ref="P75:AB76" si="552">+P19+P42</f>
        <v>83.475485199512605</v>
      </c>
      <c r="Q75" s="4797">
        <f t="shared" ref="Q75:R75" si="553">+Q19+Q42</f>
        <v>59.999994663541685</v>
      </c>
      <c r="R75" s="4797">
        <f t="shared" si="553"/>
        <v>74.914957374635691</v>
      </c>
      <c r="S75" s="4796">
        <f>+S19+S42</f>
        <v>60</v>
      </c>
      <c r="T75" s="4819">
        <f t="shared" ref="T75:V75" si="554">+T19+T42</f>
        <v>76.081713074692942</v>
      </c>
      <c r="U75" s="4797">
        <f t="shared" si="554"/>
        <v>59.999995909245243</v>
      </c>
      <c r="V75" s="4797">
        <f t="shared" si="554"/>
        <v>75.179576448858285</v>
      </c>
      <c r="W75" s="4796">
        <f>+W19+W42</f>
        <v>60</v>
      </c>
      <c r="X75" s="4819">
        <f t="shared" ref="X75" si="555">+X19+X42</f>
        <v>72.608043216112037</v>
      </c>
      <c r="Y75" s="4799">
        <f t="shared" ref="Y75:AB75" si="556">+Y19+Y42</f>
        <v>59.999999999999986</v>
      </c>
      <c r="Z75" s="4813">
        <f t="shared" si="556"/>
        <v>77.50785330698244</v>
      </c>
      <c r="AA75" s="4636">
        <f t="shared" si="556"/>
        <v>59.999996666161465</v>
      </c>
      <c r="AB75" s="4816">
        <f t="shared" si="556"/>
        <v>74.728106128155815</v>
      </c>
      <c r="AC75" s="4796">
        <f>+AC19+AC42</f>
        <v>60</v>
      </c>
      <c r="AD75" s="4819">
        <f t="shared" ref="AD75:AF75" si="557">+AD19+AD42</f>
        <v>97.053863989699835</v>
      </c>
      <c r="AE75" s="4797">
        <f t="shared" si="557"/>
        <v>59.999997201519633</v>
      </c>
      <c r="AF75" s="4797">
        <f t="shared" si="557"/>
        <v>78.250045628880756</v>
      </c>
      <c r="AG75" s="4796">
        <f>+AG19+AG42</f>
        <v>60</v>
      </c>
      <c r="AH75" s="4819">
        <f t="shared" ref="AH75:AJ75" si="558">+AH19+AH42</f>
        <v>83.317011603290638</v>
      </c>
      <c r="AI75" s="4797">
        <f t="shared" si="558"/>
        <v>59.999997577740388</v>
      </c>
      <c r="AJ75" s="4797">
        <f t="shared" si="558"/>
        <v>78.920540163169136</v>
      </c>
      <c r="AK75" s="4796">
        <f>+AK19+AK42</f>
        <v>60</v>
      </c>
      <c r="AL75" s="4819">
        <f t="shared" ref="AL75" si="559">+AL19+AL42</f>
        <v>99.810875148745168</v>
      </c>
      <c r="AM75" s="4799">
        <f t="shared" ref="AM75:AP75" si="560">+AM19+AM42</f>
        <v>60</v>
      </c>
      <c r="AN75" s="4813">
        <f t="shared" si="560"/>
        <v>93.607570540412127</v>
      </c>
      <c r="AO75" s="4797">
        <f t="shared" si="560"/>
        <v>59.999997873335531</v>
      </c>
      <c r="AP75" s="4797">
        <f t="shared" si="560"/>
        <v>81.541646874275557</v>
      </c>
      <c r="AQ75" s="4796">
        <f>+AQ19+AQ42</f>
        <v>60</v>
      </c>
      <c r="AR75" s="4819">
        <f t="shared" ref="AR75:AT75" si="561">+AR19+AR42</f>
        <v>74.423818373975109</v>
      </c>
      <c r="AS75" s="4797">
        <f t="shared" si="561"/>
        <v>59.999998104632546</v>
      </c>
      <c r="AT75" s="4797">
        <f t="shared" si="561"/>
        <v>80.740444640991285</v>
      </c>
      <c r="AU75" s="4796">
        <f>+AU19+AU42</f>
        <v>60</v>
      </c>
      <c r="AV75" s="4819">
        <f t="shared" ref="AV75:AX75" si="562">+AV19+AV42</f>
        <v>85.29217583318561</v>
      </c>
      <c r="AW75" s="4797">
        <f t="shared" si="562"/>
        <v>59.999998271246227</v>
      </c>
      <c r="AX75" s="4797">
        <f t="shared" si="562"/>
        <v>81.165010260412913</v>
      </c>
      <c r="AY75" s="4796">
        <f>+AY19+AY42</f>
        <v>60</v>
      </c>
      <c r="AZ75" s="4819">
        <f t="shared" ref="AZ75" si="563">+AZ19+AZ42</f>
        <v>99.826544257151568</v>
      </c>
      <c r="BA75" s="4799">
        <f t="shared" ref="BA75:BB75" si="564">+BA19+BA42</f>
        <v>60</v>
      </c>
      <c r="BB75" s="4813">
        <f t="shared" si="564"/>
        <v>86.690503779918089</v>
      </c>
      <c r="BC75" s="4636">
        <f t="shared" ref="BC75:BD75" si="565">+BC19+BC42</f>
        <v>60</v>
      </c>
      <c r="BD75" s="4816">
        <f t="shared" si="565"/>
        <v>90.089477686907159</v>
      </c>
      <c r="BE75" s="4797">
        <f t="shared" ref="BE75:BF75" si="566">+BE19+BE42</f>
        <v>59.999998427261545</v>
      </c>
      <c r="BF75" s="4797">
        <f t="shared" si="566"/>
        <v>82.941913245520922</v>
      </c>
    </row>
    <row r="76" spans="2:58" x14ac:dyDescent="0.25">
      <c r="B76" s="4795" t="s">
        <v>975</v>
      </c>
      <c r="C76" s="147" t="s">
        <v>248</v>
      </c>
      <c r="D76" s="4796">
        <f>+D20+D43</f>
        <v>105.99919867863743</v>
      </c>
      <c r="E76" s="4796">
        <f t="shared" ref="E76" si="567">+E20+E43</f>
        <v>105.99919867863743</v>
      </c>
      <c r="F76" s="4819">
        <f t="shared" si="549"/>
        <v>151.07654731834671</v>
      </c>
      <c r="G76" s="4796">
        <f t="shared" si="549"/>
        <v>106.00001714144452</v>
      </c>
      <c r="H76" s="4819">
        <f t="shared" si="549"/>
        <v>134.19669561609624</v>
      </c>
      <c r="I76" s="4797">
        <f t="shared" si="549"/>
        <v>105.99961222080945</v>
      </c>
      <c r="J76" s="4797">
        <f t="shared" si="549"/>
        <v>143.1272867326725</v>
      </c>
      <c r="K76" s="4796">
        <f t="shared" si="549"/>
        <v>105.99971392344798</v>
      </c>
      <c r="L76" s="4819">
        <f t="shared" si="549"/>
        <v>142.62395078610331</v>
      </c>
      <c r="M76" s="4799">
        <f t="shared" si="549"/>
        <v>105.9996552912211</v>
      </c>
      <c r="N76" s="4813">
        <f t="shared" si="549"/>
        <v>142.91532732743832</v>
      </c>
      <c r="O76" s="4796">
        <f t="shared" si="549"/>
        <v>106</v>
      </c>
      <c r="P76" s="4819">
        <f t="shared" si="552"/>
        <v>138.38682476201626</v>
      </c>
      <c r="Q76" s="4797">
        <f t="shared" si="552"/>
        <v>105.46899180044998</v>
      </c>
      <c r="R76" s="4797">
        <f t="shared" si="552"/>
        <v>141.57383880875332</v>
      </c>
      <c r="S76" s="4796">
        <f t="shared" si="552"/>
        <v>106</v>
      </c>
      <c r="T76" s="4819">
        <f t="shared" si="552"/>
        <v>125.68702752185116</v>
      </c>
      <c r="U76" s="4797">
        <f t="shared" si="552"/>
        <v>105.1860766720733</v>
      </c>
      <c r="V76" s="4797">
        <f t="shared" si="552"/>
        <v>137.97072523932067</v>
      </c>
      <c r="W76" s="4796">
        <f t="shared" ref="W76:X76" si="568">+W20+W43</f>
        <v>106</v>
      </c>
      <c r="X76" s="4819">
        <f t="shared" si="568"/>
        <v>121.95165738167937</v>
      </c>
      <c r="Y76" s="4799">
        <f t="shared" si="552"/>
        <v>104.28701753077185</v>
      </c>
      <c r="Z76" s="4813">
        <f t="shared" si="552"/>
        <v>128.84702599827241</v>
      </c>
      <c r="AA76" s="4636">
        <f t="shared" si="552"/>
        <v>105.03113859288771</v>
      </c>
      <c r="AB76" s="4816">
        <f t="shared" si="552"/>
        <v>135.15834326776027</v>
      </c>
      <c r="AC76" s="4796">
        <f t="shared" ref="AC76:AF76" si="569">+AC20+AC43</f>
        <v>106</v>
      </c>
      <c r="AD76" s="4819">
        <f t="shared" si="569"/>
        <v>120.36835995815562</v>
      </c>
      <c r="AE76" s="4797">
        <f t="shared" si="569"/>
        <v>104.90392161463858</v>
      </c>
      <c r="AF76" s="4797">
        <f t="shared" si="569"/>
        <v>132.82518948385746</v>
      </c>
      <c r="AG76" s="4796">
        <f t="shared" ref="AG76:AJ76" si="570">+AG20+AG43</f>
        <v>106</v>
      </c>
      <c r="AH76" s="4819">
        <f t="shared" si="570"/>
        <v>122.26704868554306</v>
      </c>
      <c r="AI76" s="4797">
        <f t="shared" si="570"/>
        <v>104.82928082653166</v>
      </c>
      <c r="AJ76" s="4797">
        <f t="shared" si="570"/>
        <v>131.42806628759578</v>
      </c>
      <c r="AK76" s="4796">
        <f t="shared" ref="AK76:AL76" si="571">+AK20+AK43</f>
        <v>106</v>
      </c>
      <c r="AL76" s="4819">
        <f t="shared" si="571"/>
        <v>115.53332516653062</v>
      </c>
      <c r="AM76" s="4799">
        <f t="shared" ref="AM76" si="572">+AM20</f>
        <v>101</v>
      </c>
      <c r="AN76" s="4813">
        <f>+AN20+AN43</f>
        <v>119.29623162579159</v>
      </c>
      <c r="AO76" s="4797">
        <f t="shared" ref="AO76" si="573">+AO20</f>
        <v>100.99990446008754</v>
      </c>
      <c r="AP76" s="4797">
        <f>+AP20+AP43</f>
        <v>129.43375587311513</v>
      </c>
      <c r="AQ76" s="4796">
        <f t="shared" ref="AQ76:AT76" si="574">+AQ20+AQ43</f>
        <v>106</v>
      </c>
      <c r="AR76" s="4819">
        <f t="shared" si="574"/>
        <v>110.78940514432824</v>
      </c>
      <c r="AS76" s="4797">
        <f t="shared" si="574"/>
        <v>104.7008649304951</v>
      </c>
      <c r="AT76" s="4797">
        <f t="shared" si="574"/>
        <v>127.33509678890023</v>
      </c>
      <c r="AU76" s="4796">
        <f t="shared" ref="AU76:AX76" si="575">+AU20+AU43</f>
        <v>105.99999999999999</v>
      </c>
      <c r="AV76" s="4819">
        <f t="shared" si="575"/>
        <v>119.58394898123117</v>
      </c>
      <c r="AW76" s="4797">
        <f t="shared" si="575"/>
        <v>104.69683782064811</v>
      </c>
      <c r="AX76" s="4797">
        <f t="shared" si="575"/>
        <v>126.61210355155022</v>
      </c>
      <c r="AY76" s="4796">
        <f t="shared" ref="AY76:AZ76" si="576">+AY20+AY43</f>
        <v>106</v>
      </c>
      <c r="AZ76" s="4819">
        <f t="shared" si="576"/>
        <v>118.60196467676838</v>
      </c>
      <c r="BA76" s="4799">
        <f t="shared" ref="BA76" si="577">+BA20</f>
        <v>101</v>
      </c>
      <c r="BB76" s="4813">
        <f>+BB20+BB43</f>
        <v>116.25387683097169</v>
      </c>
      <c r="BC76" s="4636">
        <f t="shared" ref="BC76" si="578">+BC20</f>
        <v>100.99999999999999</v>
      </c>
      <c r="BD76" s="4816">
        <f>+BD20+BD43</f>
        <v>117.74885800166916</v>
      </c>
      <c r="BE76" s="4797">
        <f t="shared" ref="BE76" si="579">+BE20</f>
        <v>100.9999293450865</v>
      </c>
      <c r="BF76" s="4797">
        <f>+BF20+BF43</f>
        <v>125.84939885212856</v>
      </c>
    </row>
    <row r="77" spans="2:58" x14ac:dyDescent="0.25">
      <c r="B77" s="4795" t="s">
        <v>104</v>
      </c>
      <c r="C77" s="147" t="s">
        <v>248</v>
      </c>
      <c r="D77" s="4796">
        <f>+D27</f>
        <v>149.99836465028045</v>
      </c>
      <c r="E77" s="4796">
        <f>+E27</f>
        <v>149.99836465028045</v>
      </c>
      <c r="F77" s="4819">
        <f t="shared" ref="F77" si="580">+F27</f>
        <v>137.69679681009768</v>
      </c>
      <c r="G77" s="4796">
        <f>+G27</f>
        <v>150.00000008006282</v>
      </c>
      <c r="H77" s="4819">
        <f t="shared" ref="H77:J77" si="581">+H27</f>
        <v>141.49539758704546</v>
      </c>
      <c r="I77" s="4797">
        <f t="shared" si="581"/>
        <v>149.99919097883026</v>
      </c>
      <c r="J77" s="4797">
        <f t="shared" si="581"/>
        <v>139.48567908048378</v>
      </c>
      <c r="K77" s="4796">
        <f>+K27</f>
        <v>150.00031120764635</v>
      </c>
      <c r="L77" s="4819">
        <f t="shared" ref="L77" si="582">+L27</f>
        <v>180.59940814877456</v>
      </c>
      <c r="M77" s="4799">
        <f t="shared" ref="M77:N77" si="583">+M27</f>
        <v>149.99966538851061</v>
      </c>
      <c r="N77" s="4813">
        <f t="shared" si="583"/>
        <v>156.79904924542757</v>
      </c>
      <c r="O77" s="4796">
        <f>+O27</f>
        <v>150</v>
      </c>
      <c r="P77" s="4819">
        <f t="shared" ref="P77" si="584">+P27</f>
        <v>152.25599746718245</v>
      </c>
      <c r="Q77" s="4797">
        <f t="shared" ref="Q77:R77" si="585">+Q27</f>
        <v>149.9997672833326</v>
      </c>
      <c r="R77" s="4797">
        <f t="shared" si="585"/>
        <v>155.45325078064536</v>
      </c>
      <c r="S77" s="4796">
        <f>+S27</f>
        <v>150</v>
      </c>
      <c r="T77" s="4819">
        <f t="shared" ref="T77:V77" si="586">+T27</f>
        <v>168.55242174825418</v>
      </c>
      <c r="U77" s="4797">
        <f t="shared" si="586"/>
        <v>149.99982160699935</v>
      </c>
      <c r="V77" s="4797">
        <f t="shared" si="586"/>
        <v>158.42413019812932</v>
      </c>
      <c r="W77" s="4796">
        <f>+W27</f>
        <v>150</v>
      </c>
      <c r="X77" s="4819">
        <f t="shared" ref="X77" si="587">+X27</f>
        <v>175.29632776653798</v>
      </c>
      <c r="Y77" s="4799">
        <f t="shared" ref="Y77:AB77" si="588">+Y27</f>
        <v>150</v>
      </c>
      <c r="Z77" s="4813">
        <f t="shared" si="588"/>
        <v>165.11861094710139</v>
      </c>
      <c r="AA77" s="4636">
        <f t="shared" si="588"/>
        <v>149.99985461522419</v>
      </c>
      <c r="AB77" s="4816">
        <f t="shared" si="588"/>
        <v>161.38629158502692</v>
      </c>
      <c r="AC77" s="4796">
        <f>+AC27</f>
        <v>150</v>
      </c>
      <c r="AD77" s="4819">
        <f t="shared" ref="AD77:AF77" si="589">+AD27</f>
        <v>156.63965651404203</v>
      </c>
      <c r="AE77" s="4797">
        <f t="shared" si="589"/>
        <v>149.99987796156458</v>
      </c>
      <c r="AF77" s="4797">
        <f t="shared" si="589"/>
        <v>160.63749901745979</v>
      </c>
      <c r="AG77" s="4796">
        <f>+AG27</f>
        <v>150</v>
      </c>
      <c r="AH77" s="4819">
        <f t="shared" ref="AH77:AJ77" si="590">+AH27</f>
        <v>161.87604107764662</v>
      </c>
      <c r="AI77" s="4797">
        <f t="shared" si="590"/>
        <v>149.99989436810881</v>
      </c>
      <c r="AJ77" s="4797">
        <f t="shared" si="590"/>
        <v>160.80139111502578</v>
      </c>
      <c r="AK77" s="4796">
        <f>+AK27</f>
        <v>150</v>
      </c>
      <c r="AL77" s="4819">
        <f t="shared" ref="AL77" si="591">+AL27</f>
        <v>150.21017256742476</v>
      </c>
      <c r="AM77" s="4799">
        <f t="shared" ref="AM77:AP77" si="592">+AM27</f>
        <v>150</v>
      </c>
      <c r="AN77" s="4813">
        <f t="shared" si="592"/>
        <v>156.08345116966819</v>
      </c>
      <c r="AO77" s="4797">
        <f t="shared" si="592"/>
        <v>149.99990725866482</v>
      </c>
      <c r="AP77" s="4797">
        <f t="shared" si="592"/>
        <v>159.47251275893052</v>
      </c>
      <c r="AQ77" s="4796">
        <f>+AQ27</f>
        <v>150</v>
      </c>
      <c r="AR77" s="4819">
        <f t="shared" ref="AR77:AT77" si="593">+AR27</f>
        <v>148.04195726729395</v>
      </c>
      <c r="AS77" s="4797">
        <f t="shared" si="593"/>
        <v>149.99991734525523</v>
      </c>
      <c r="AT77" s="4797">
        <f t="shared" si="593"/>
        <v>158.18585818623433</v>
      </c>
      <c r="AU77" s="4796">
        <f>+AU27</f>
        <v>150</v>
      </c>
      <c r="AV77" s="4819">
        <f t="shared" ref="AV77:AX77" si="594">+AV27</f>
        <v>141.19369810040331</v>
      </c>
      <c r="AW77" s="4797">
        <f t="shared" si="594"/>
        <v>149.99992461108175</v>
      </c>
      <c r="AX77" s="4797">
        <f t="shared" si="594"/>
        <v>156.60090365629105</v>
      </c>
      <c r="AY77" s="4796">
        <f>+AY27</f>
        <v>150</v>
      </c>
      <c r="AZ77" s="4819">
        <f t="shared" ref="AZ77" si="595">+AZ27</f>
        <v>180.15171484862171</v>
      </c>
      <c r="BA77" s="4799">
        <f t="shared" ref="BA77:BB77" si="596">+BA27</f>
        <v>150.00000000000003</v>
      </c>
      <c r="BB77" s="4813">
        <f t="shared" si="596"/>
        <v>157.1590500436227</v>
      </c>
      <c r="BC77" s="4636">
        <f t="shared" ref="BC77:BD77" si="597">+BC27</f>
        <v>150</v>
      </c>
      <c r="BD77" s="4816">
        <f t="shared" si="597"/>
        <v>156.63051206162163</v>
      </c>
      <c r="BE77" s="4797">
        <f t="shared" ref="BE77:BF77" si="598">+BE27</f>
        <v>149.9999314147266</v>
      </c>
      <c r="BF77" s="4797">
        <f t="shared" si="598"/>
        <v>158.84335096617895</v>
      </c>
    </row>
    <row r="78" spans="2:58" x14ac:dyDescent="0.25">
      <c r="B78" s="4795" t="s">
        <v>615</v>
      </c>
      <c r="C78" s="147" t="s">
        <v>248</v>
      </c>
      <c r="D78" s="4796">
        <f t="shared" ref="D78" si="599">+D23</f>
        <v>5.0000817674859768</v>
      </c>
      <c r="E78" s="4796">
        <f t="shared" ref="E78" si="600">+E23</f>
        <v>5.0000817674859768</v>
      </c>
      <c r="F78" s="4819">
        <f t="shared" ref="F78:G80" si="601">+F23</f>
        <v>7.3071794484584336</v>
      </c>
      <c r="G78" s="4796">
        <f t="shared" si="601"/>
        <v>5</v>
      </c>
      <c r="H78" s="4819">
        <f t="shared" ref="H78:K78" si="602">+H23</f>
        <v>16.43012850194712</v>
      </c>
      <c r="I78" s="4797">
        <f t="shared" si="602"/>
        <v>5.0000404530811426</v>
      </c>
      <c r="J78" s="4797">
        <f t="shared" si="602"/>
        <v>11.603467153778894</v>
      </c>
      <c r="K78" s="4796">
        <f t="shared" si="602"/>
        <v>5.0002857197181525</v>
      </c>
      <c r="L78" s="4819">
        <f t="shared" ref="L78" si="603">+L23</f>
        <v>10.975335575163816</v>
      </c>
      <c r="M78" s="4799">
        <f t="shared" ref="M78:P80" si="604">+M23</f>
        <v>5.0001443219204385</v>
      </c>
      <c r="N78" s="4813">
        <f t="shared" si="604"/>
        <v>11.338955157924916</v>
      </c>
      <c r="O78" s="4796">
        <f t="shared" si="604"/>
        <v>5</v>
      </c>
      <c r="P78" s="4819">
        <f t="shared" si="604"/>
        <v>12.502773515029293</v>
      </c>
      <c r="Q78" s="4797">
        <f t="shared" ref="Q78:T78" si="605">+Q23</f>
        <v>5.0001003734702172</v>
      </c>
      <c r="R78" s="4797">
        <f t="shared" si="605"/>
        <v>11.683715692193234</v>
      </c>
      <c r="S78" s="4796">
        <f t="shared" si="605"/>
        <v>5</v>
      </c>
      <c r="T78" s="4819">
        <f t="shared" si="605"/>
        <v>12.326968157623925</v>
      </c>
      <c r="U78" s="4797">
        <f t="shared" ref="U78:X78" si="606">+U23</f>
        <v>5.0000769430257774</v>
      </c>
      <c r="V78" s="4797">
        <f t="shared" si="606"/>
        <v>11.829604734676867</v>
      </c>
      <c r="W78" s="4796">
        <f t="shared" si="606"/>
        <v>5</v>
      </c>
      <c r="X78" s="4819">
        <f t="shared" si="606"/>
        <v>12.734359478957114</v>
      </c>
      <c r="Y78" s="4799">
        <f t="shared" ref="Y78:AF78" si="607">+Y23</f>
        <v>4.9999999999999991</v>
      </c>
      <c r="Z78" s="4813">
        <f t="shared" si="607"/>
        <v>12.516894477064154</v>
      </c>
      <c r="AA78" s="4636">
        <f t="shared" si="607"/>
        <v>5.0000627061852807</v>
      </c>
      <c r="AB78" s="4816">
        <f t="shared" si="607"/>
        <v>11.988447680727797</v>
      </c>
      <c r="AC78" s="4796">
        <f t="shared" si="607"/>
        <v>5</v>
      </c>
      <c r="AD78" s="4819">
        <f t="shared" si="607"/>
        <v>7.7929906064751471</v>
      </c>
      <c r="AE78" s="4797">
        <f t="shared" si="607"/>
        <v>5.0000526366306293</v>
      </c>
      <c r="AF78" s="4797">
        <f t="shared" si="607"/>
        <v>11.326604706122302</v>
      </c>
      <c r="AG78" s="4796">
        <f t="shared" ref="AG78:AJ78" si="608">+AG23</f>
        <v>5</v>
      </c>
      <c r="AH78" s="4819">
        <f t="shared" si="608"/>
        <v>20.386956885812189</v>
      </c>
      <c r="AI78" s="4797">
        <f t="shared" si="608"/>
        <v>5.000045560292703</v>
      </c>
      <c r="AJ78" s="4797">
        <f t="shared" si="608"/>
        <v>12.525530581269367</v>
      </c>
      <c r="AK78" s="4796">
        <f t="shared" ref="AK78:AL78" si="609">+AK23</f>
        <v>5</v>
      </c>
      <c r="AL78" s="4819">
        <f t="shared" si="609"/>
        <v>10.264737880947568</v>
      </c>
      <c r="AM78" s="4799">
        <f t="shared" ref="AM78:AT78" si="610">+AM23</f>
        <v>5</v>
      </c>
      <c r="AN78" s="4813">
        <f t="shared" si="610"/>
        <v>12.690647148472324</v>
      </c>
      <c r="AO78" s="4797">
        <f t="shared" si="610"/>
        <v>5.0000400004423771</v>
      </c>
      <c r="AP78" s="4797">
        <f t="shared" si="610"/>
        <v>12.24186931287298</v>
      </c>
      <c r="AQ78" s="4796">
        <f t="shared" si="610"/>
        <v>5</v>
      </c>
      <c r="AR78" s="4819">
        <f t="shared" si="610"/>
        <v>10.123817829722279</v>
      </c>
      <c r="AS78" s="4797">
        <f t="shared" si="610"/>
        <v>5.0000356499758194</v>
      </c>
      <c r="AT78" s="4797">
        <f t="shared" si="610"/>
        <v>12.00345564802565</v>
      </c>
      <c r="AU78" s="4796">
        <f t="shared" ref="AU78:AX78" si="611">+AU23</f>
        <v>5</v>
      </c>
      <c r="AV78" s="4819">
        <f t="shared" si="611"/>
        <v>8.8536571945355433</v>
      </c>
      <c r="AW78" s="4797">
        <f t="shared" si="611"/>
        <v>5.0000325161383037</v>
      </c>
      <c r="AX78" s="4797">
        <f t="shared" si="611"/>
        <v>11.709656195687026</v>
      </c>
      <c r="AY78" s="4796">
        <f t="shared" ref="AY78:AZ78" si="612">+AY23</f>
        <v>5</v>
      </c>
      <c r="AZ78" s="4819">
        <f t="shared" si="612"/>
        <v>7.9911942188528045</v>
      </c>
      <c r="BA78" s="4799">
        <f t="shared" ref="BA78:BB78" si="613">+BA23</f>
        <v>5</v>
      </c>
      <c r="BB78" s="4813">
        <f t="shared" si="613"/>
        <v>8.9829854717054118</v>
      </c>
      <c r="BC78" s="4636">
        <f t="shared" ref="BC78:BD78" si="614">+BC23</f>
        <v>5</v>
      </c>
      <c r="BD78" s="4816">
        <f t="shared" si="614"/>
        <v>10.804891451744552</v>
      </c>
      <c r="BE78" s="4797">
        <f t="shared" ref="BE78:BF78" si="615">+BE23</f>
        <v>5.0000295816452409</v>
      </c>
      <c r="BF78" s="4797">
        <f t="shared" si="615"/>
        <v>11.355593866845137</v>
      </c>
    </row>
    <row r="79" spans="2:58" x14ac:dyDescent="0.25">
      <c r="B79" s="4795" t="s">
        <v>44</v>
      </c>
      <c r="C79" s="147" t="s">
        <v>248</v>
      </c>
      <c r="D79" s="4796">
        <f t="shared" ref="D79" si="616">+D24</f>
        <v>5.0000817674859768</v>
      </c>
      <c r="E79" s="4796">
        <f t="shared" ref="E79" si="617">+E24</f>
        <v>5.0000817674859768</v>
      </c>
      <c r="F79" s="4819">
        <f t="shared" si="601"/>
        <v>5.6041627420581532</v>
      </c>
      <c r="G79" s="4796">
        <f t="shared" si="601"/>
        <v>5</v>
      </c>
      <c r="H79" s="4819">
        <f t="shared" ref="H79:K79" si="618">+H24</f>
        <v>3.0792443311589084</v>
      </c>
      <c r="I79" s="4797">
        <f t="shared" si="618"/>
        <v>5.0000404530811426</v>
      </c>
      <c r="J79" s="4797">
        <f t="shared" si="618"/>
        <v>4.4150981246759677</v>
      </c>
      <c r="K79" s="4796">
        <f t="shared" si="618"/>
        <v>5.0002857197181525</v>
      </c>
      <c r="L79" s="4819">
        <f t="shared" ref="L79" si="619">+L24</f>
        <v>1.8782646450302101</v>
      </c>
      <c r="M79" s="4799">
        <f t="shared" ref="M79:O79" si="620">+M24</f>
        <v>5.0001443219204385</v>
      </c>
      <c r="N79" s="4813">
        <f t="shared" si="620"/>
        <v>3.3468141700150964</v>
      </c>
      <c r="O79" s="4796">
        <f t="shared" si="620"/>
        <v>5</v>
      </c>
      <c r="P79" s="4819">
        <f t="shared" si="604"/>
        <v>5.0011094060117172</v>
      </c>
      <c r="Q79" s="4797">
        <f t="shared" ref="Q79:T79" si="621">+Q24</f>
        <v>5.0001003734702172</v>
      </c>
      <c r="R79" s="4797">
        <f t="shared" si="621"/>
        <v>3.8368697752718663</v>
      </c>
      <c r="S79" s="4796">
        <f t="shared" si="621"/>
        <v>5</v>
      </c>
      <c r="T79" s="4819">
        <f t="shared" si="621"/>
        <v>4.0502895369676253</v>
      </c>
      <c r="U79" s="4797">
        <f t="shared" ref="U79:X79" si="622">+U24</f>
        <v>5.0000769430257774</v>
      </c>
      <c r="V79" s="4797">
        <f t="shared" si="622"/>
        <v>3.8852731726222864</v>
      </c>
      <c r="W79" s="4796">
        <f t="shared" si="622"/>
        <v>5</v>
      </c>
      <c r="X79" s="4819">
        <f t="shared" si="622"/>
        <v>4.1796959390819373</v>
      </c>
      <c r="Y79" s="4799">
        <f t="shared" ref="Y79:AF79" si="623">+Y24</f>
        <v>4.9999999999999991</v>
      </c>
      <c r="Z79" s="4813">
        <f t="shared" si="623"/>
        <v>4.4171266975004926</v>
      </c>
      <c r="AA79" s="4636">
        <f t="shared" si="623"/>
        <v>5.0000627061852807</v>
      </c>
      <c r="AB79" s="4816">
        <f t="shared" si="623"/>
        <v>3.9369634012776995</v>
      </c>
      <c r="AC79" s="4796">
        <f t="shared" si="623"/>
        <v>5</v>
      </c>
      <c r="AD79" s="4819">
        <f t="shared" si="623"/>
        <v>3.4629454413776455</v>
      </c>
      <c r="AE79" s="4797">
        <f t="shared" si="623"/>
        <v>5.0000526366306293</v>
      </c>
      <c r="AF79" s="4797">
        <f t="shared" si="623"/>
        <v>3.8621859810719252</v>
      </c>
      <c r="AG79" s="4796">
        <f t="shared" ref="AG79:AJ79" si="624">+AG24</f>
        <v>5</v>
      </c>
      <c r="AH79" s="4819">
        <f t="shared" si="624"/>
        <v>5.266515034057961</v>
      </c>
      <c r="AI79" s="4797">
        <f t="shared" si="624"/>
        <v>5.000045560292703</v>
      </c>
      <c r="AJ79" s="4797">
        <f t="shared" si="624"/>
        <v>4.0480161127769554</v>
      </c>
      <c r="AK79" s="4796">
        <f t="shared" ref="AK79:AL79" si="625">+AK24</f>
        <v>5</v>
      </c>
      <c r="AL79" s="4819">
        <f t="shared" si="625"/>
        <v>3.831099043168726</v>
      </c>
      <c r="AM79" s="4799">
        <f t="shared" ref="AM79:AT79" si="626">+AM24</f>
        <v>5</v>
      </c>
      <c r="AN79" s="4813">
        <f t="shared" si="626"/>
        <v>4.1692628679512529</v>
      </c>
      <c r="AO79" s="4797">
        <f t="shared" si="626"/>
        <v>5.0000400004423771</v>
      </c>
      <c r="AP79" s="4797">
        <f t="shared" si="626"/>
        <v>4.0207995656370352</v>
      </c>
      <c r="AQ79" s="4796">
        <f t="shared" si="626"/>
        <v>5</v>
      </c>
      <c r="AR79" s="4819">
        <f t="shared" si="626"/>
        <v>5.061217792257434</v>
      </c>
      <c r="AS79" s="4797">
        <f t="shared" si="626"/>
        <v>5.0000356499758194</v>
      </c>
      <c r="AT79" s="4797">
        <f t="shared" si="626"/>
        <v>4.1379118853118824</v>
      </c>
      <c r="AU79" s="4796">
        <f t="shared" ref="AU79:AX79" si="627">+AU24</f>
        <v>5</v>
      </c>
      <c r="AV79" s="4819">
        <f t="shared" si="627"/>
        <v>5.1185205664997335</v>
      </c>
      <c r="AW79" s="4797">
        <f t="shared" si="627"/>
        <v>5.0000325161383037</v>
      </c>
      <c r="AX79" s="4797">
        <f t="shared" si="627"/>
        <v>4.2293787831930025</v>
      </c>
      <c r="AY79" s="4796">
        <f t="shared" ref="AY79:AZ79" si="628">+AY24</f>
        <v>5</v>
      </c>
      <c r="AZ79" s="4819">
        <f t="shared" si="628"/>
        <v>3.4370727823550786</v>
      </c>
      <c r="BA79" s="4799">
        <f t="shared" ref="BA79:BB79" si="629">+BA24</f>
        <v>5</v>
      </c>
      <c r="BB79" s="4813">
        <f t="shared" si="629"/>
        <v>4.5103549521439597</v>
      </c>
      <c r="BC79" s="4636">
        <f t="shared" ref="BC79:BD79" si="630">+BC24</f>
        <v>5</v>
      </c>
      <c r="BD79" s="4816">
        <f t="shared" si="630"/>
        <v>4.3427458868862585</v>
      </c>
      <c r="BE79" s="4797">
        <f t="shared" ref="BE79:BF79" si="631">+BE24</f>
        <v>5.0000295816452409</v>
      </c>
      <c r="BF79" s="4797">
        <f t="shared" si="631"/>
        <v>4.1539374556872399</v>
      </c>
    </row>
    <row r="80" spans="2:58" x14ac:dyDescent="0.25">
      <c r="B80" s="4795" t="s">
        <v>45</v>
      </c>
      <c r="C80" s="147" t="s">
        <v>248</v>
      </c>
      <c r="D80" s="4796">
        <f t="shared" ref="D80" si="632">+D25</f>
        <v>30.000490604915861</v>
      </c>
      <c r="E80" s="4796">
        <f t="shared" ref="E80" si="633">+E25</f>
        <v>30.000490604915861</v>
      </c>
      <c r="F80" s="4819">
        <f t="shared" si="601"/>
        <v>8.5492292239513255</v>
      </c>
      <c r="G80" s="4796">
        <f t="shared" si="601"/>
        <v>30</v>
      </c>
      <c r="H80" s="4819">
        <f t="shared" ref="H80:K80" si="634">+H25</f>
        <v>10.67995813273304</v>
      </c>
      <c r="I80" s="4797">
        <f t="shared" si="634"/>
        <v>30.000242718486856</v>
      </c>
      <c r="J80" s="4797">
        <f t="shared" si="634"/>
        <v>9.5526574312664927</v>
      </c>
      <c r="K80" s="4796">
        <f t="shared" si="634"/>
        <v>29.998960857009507</v>
      </c>
      <c r="L80" s="4819">
        <f t="shared" ref="L80" si="635">+L25</f>
        <v>4.4082843720747178</v>
      </c>
      <c r="M80" s="4799">
        <f t="shared" ref="M80:O80" si="636">+M25</f>
        <v>29.999699858416626</v>
      </c>
      <c r="N80" s="4813">
        <f t="shared" si="636"/>
        <v>7.3863145317350467</v>
      </c>
      <c r="O80" s="4796">
        <f t="shared" si="636"/>
        <v>30</v>
      </c>
      <c r="P80" s="4819">
        <f t="shared" si="604"/>
        <v>7.2238246981637078</v>
      </c>
      <c r="Q80" s="4797">
        <f t="shared" ref="Q80:T80" si="637">+Q25</f>
        <v>29.999791256572898</v>
      </c>
      <c r="R80" s="4797">
        <f t="shared" si="637"/>
        <v>7.3381798022102398</v>
      </c>
      <c r="S80" s="4796">
        <f t="shared" si="637"/>
        <v>30</v>
      </c>
      <c r="T80" s="4819">
        <f t="shared" si="637"/>
        <v>5.7861279095699087</v>
      </c>
      <c r="U80" s="4797">
        <f t="shared" ref="U80:X80" si="638">+U25</f>
        <v>29.999839984102795</v>
      </c>
      <c r="V80" s="4797">
        <f t="shared" si="638"/>
        <v>6.9861759208872165</v>
      </c>
      <c r="W80" s="4796">
        <f t="shared" si="638"/>
        <v>30.000000000000004</v>
      </c>
      <c r="X80" s="4819">
        <f t="shared" si="638"/>
        <v>5.1509768667031048</v>
      </c>
      <c r="Y80" s="4799">
        <f t="shared" ref="Y80:AF80" si="639">+Y25</f>
        <v>30</v>
      </c>
      <c r="Z80" s="4813">
        <f t="shared" si="639"/>
        <v>6.0762664647524911</v>
      </c>
      <c r="AA80" s="4636">
        <f t="shared" si="639"/>
        <v>29.999869591994898</v>
      </c>
      <c r="AB80" s="4816">
        <f t="shared" si="639"/>
        <v>6.6639798493005618</v>
      </c>
      <c r="AC80" s="4796">
        <f t="shared" si="639"/>
        <v>30.000000000000004</v>
      </c>
      <c r="AD80" s="4819">
        <f t="shared" si="639"/>
        <v>2.8876056865427429</v>
      </c>
      <c r="AE80" s="4797">
        <f t="shared" si="639"/>
        <v>29.999890533318769</v>
      </c>
      <c r="AF80" s="4797">
        <f t="shared" si="639"/>
        <v>6.0682481650362936</v>
      </c>
      <c r="AG80" s="4796">
        <f t="shared" ref="AG80:AJ80" si="640">+AG25</f>
        <v>30.000000000000004</v>
      </c>
      <c r="AH80" s="4819">
        <f t="shared" si="640"/>
        <v>26.848139278331924</v>
      </c>
      <c r="AI80" s="4797">
        <f t="shared" si="640"/>
        <v>29.999905249747592</v>
      </c>
      <c r="AJ80" s="4797">
        <f t="shared" si="640"/>
        <v>8.8179811383655267</v>
      </c>
      <c r="AK80" s="4796">
        <f t="shared" ref="AK80:AL80" si="641">+AK25</f>
        <v>30.000000000000004</v>
      </c>
      <c r="AL80" s="4819">
        <f t="shared" si="641"/>
        <v>9.3546011326384644</v>
      </c>
      <c r="AM80" s="4799">
        <f t="shared" ref="AM80:AT80" si="642">+AM25</f>
        <v>30.000000000000004</v>
      </c>
      <c r="AN80" s="4813">
        <f t="shared" si="642"/>
        <v>12.819008396841975</v>
      </c>
      <c r="AO80" s="4797">
        <f t="shared" si="642"/>
        <v>29.999916812386697</v>
      </c>
      <c r="AP80" s="4797">
        <f t="shared" si="642"/>
        <v>8.8853107560702629</v>
      </c>
      <c r="AQ80" s="4796">
        <f t="shared" si="642"/>
        <v>30.000000000000004</v>
      </c>
      <c r="AR80" s="4819">
        <f t="shared" si="642"/>
        <v>5.8204004612226194</v>
      </c>
      <c r="AS80" s="4797">
        <f t="shared" si="642"/>
        <v>29.999925859909883</v>
      </c>
      <c r="AT80" s="4797">
        <f t="shared" si="642"/>
        <v>8.540316075045812</v>
      </c>
      <c r="AU80" s="4796">
        <f t="shared" ref="AU80:AX80" si="643">+AU25</f>
        <v>30.000000000000004</v>
      </c>
      <c r="AV80" s="4819">
        <f t="shared" si="643"/>
        <v>0.27667678603084561</v>
      </c>
      <c r="AW80" s="4797">
        <f t="shared" si="643"/>
        <v>29.99993237724939</v>
      </c>
      <c r="AX80" s="4797">
        <f t="shared" si="643"/>
        <v>7.7695198691024219</v>
      </c>
      <c r="AY80" s="4796">
        <f t="shared" ref="AY80:AZ80" si="644">+AY25</f>
        <v>30.000000000000004</v>
      </c>
      <c r="AZ80" s="4819">
        <f t="shared" si="644"/>
        <v>0</v>
      </c>
      <c r="BA80" s="4799">
        <f t="shared" ref="BA80:BB80" si="645">+BA25</f>
        <v>30</v>
      </c>
      <c r="BB80" s="4813">
        <f t="shared" si="645"/>
        <v>2.0622240247209649</v>
      </c>
      <c r="BC80" s="4636">
        <f t="shared" ref="BC80:BD80" si="646">+BC25</f>
        <v>30</v>
      </c>
      <c r="BD80" s="4816">
        <f t="shared" si="646"/>
        <v>7.3479948102172825</v>
      </c>
      <c r="BE80" s="4797">
        <f t="shared" ref="BE80:BF80" si="647">+BE25</f>
        <v>29.999938480018752</v>
      </c>
      <c r="BF80" s="4797">
        <f t="shared" si="647"/>
        <v>7.0297262888599406</v>
      </c>
    </row>
    <row r="81" spans="2:60" ht="15" customHeight="1" x14ac:dyDescent="0.25">
      <c r="B81" s="4795" t="s">
        <v>673</v>
      </c>
      <c r="C81" s="147" t="s">
        <v>248</v>
      </c>
      <c r="D81" s="4796">
        <f t="shared" ref="D81" si="648">+D22</f>
        <v>0</v>
      </c>
      <c r="E81" s="4796">
        <f t="shared" ref="E81" si="649">+E22</f>
        <v>0</v>
      </c>
      <c r="F81" s="4819">
        <f t="shared" ref="F81:G81" si="650">+F22</f>
        <v>0</v>
      </c>
      <c r="G81" s="4796">
        <f t="shared" si="650"/>
        <v>0</v>
      </c>
      <c r="H81" s="4819">
        <f t="shared" ref="H81:K81" si="651">+H22</f>
        <v>0</v>
      </c>
      <c r="I81" s="4797">
        <f t="shared" si="651"/>
        <v>0</v>
      </c>
      <c r="J81" s="4797">
        <f t="shared" si="651"/>
        <v>0</v>
      </c>
      <c r="K81" s="4796">
        <f t="shared" si="651"/>
        <v>0</v>
      </c>
      <c r="L81" s="4819">
        <f t="shared" ref="L81" si="652">+L22</f>
        <v>0</v>
      </c>
      <c r="M81" s="4799">
        <f t="shared" ref="M81:P81" si="653">+M22</f>
        <v>0</v>
      </c>
      <c r="N81" s="4813">
        <f t="shared" si="653"/>
        <v>0</v>
      </c>
      <c r="O81" s="4796">
        <f t="shared" si="653"/>
        <v>0</v>
      </c>
      <c r="P81" s="4819">
        <f t="shared" si="653"/>
        <v>0</v>
      </c>
      <c r="Q81" s="4797">
        <f t="shared" ref="Q81:T81" si="654">+Q22</f>
        <v>0</v>
      </c>
      <c r="R81" s="4797">
        <f t="shared" si="654"/>
        <v>0</v>
      </c>
      <c r="S81" s="4796">
        <f t="shared" si="654"/>
        <v>0</v>
      </c>
      <c r="T81" s="4819">
        <f t="shared" si="654"/>
        <v>0</v>
      </c>
      <c r="U81" s="4797">
        <f t="shared" ref="U81:X81" si="655">+U22</f>
        <v>0</v>
      </c>
      <c r="V81" s="4797">
        <f t="shared" si="655"/>
        <v>0</v>
      </c>
      <c r="W81" s="4796">
        <f t="shared" si="655"/>
        <v>0</v>
      </c>
      <c r="X81" s="4819">
        <f t="shared" si="655"/>
        <v>0</v>
      </c>
      <c r="Y81" s="4799">
        <f t="shared" ref="Y81:AF81" si="656">+Y22</f>
        <v>0</v>
      </c>
      <c r="Z81" s="4813">
        <f t="shared" si="656"/>
        <v>0</v>
      </c>
      <c r="AA81" s="4636">
        <f t="shared" si="656"/>
        <v>0</v>
      </c>
      <c r="AB81" s="4816">
        <f t="shared" si="656"/>
        <v>0</v>
      </c>
      <c r="AC81" s="4796">
        <f t="shared" si="656"/>
        <v>0</v>
      </c>
      <c r="AD81" s="4819">
        <f t="shared" si="656"/>
        <v>0</v>
      </c>
      <c r="AE81" s="4797">
        <f t="shared" si="656"/>
        <v>0</v>
      </c>
      <c r="AF81" s="4797">
        <f t="shared" si="656"/>
        <v>0</v>
      </c>
      <c r="AG81" s="4796">
        <f t="shared" ref="AG81:AJ81" si="657">+AG22</f>
        <v>0</v>
      </c>
      <c r="AH81" s="4819">
        <f t="shared" si="657"/>
        <v>0</v>
      </c>
      <c r="AI81" s="4797">
        <f t="shared" si="657"/>
        <v>0</v>
      </c>
      <c r="AJ81" s="4797">
        <f t="shared" si="657"/>
        <v>0</v>
      </c>
      <c r="AK81" s="4796">
        <f t="shared" ref="AK81:AL81" si="658">+AK22</f>
        <v>0</v>
      </c>
      <c r="AL81" s="4819">
        <f t="shared" si="658"/>
        <v>0</v>
      </c>
      <c r="AM81" s="4799">
        <f t="shared" ref="AM81:AT81" si="659">+AM22</f>
        <v>0</v>
      </c>
      <c r="AN81" s="4813">
        <f t="shared" si="659"/>
        <v>0</v>
      </c>
      <c r="AO81" s="4797">
        <f t="shared" si="659"/>
        <v>0</v>
      </c>
      <c r="AP81" s="4797">
        <f t="shared" si="659"/>
        <v>0</v>
      </c>
      <c r="AQ81" s="4796">
        <f t="shared" si="659"/>
        <v>0</v>
      </c>
      <c r="AR81" s="4819">
        <f t="shared" si="659"/>
        <v>0</v>
      </c>
      <c r="AS81" s="4797">
        <f t="shared" si="659"/>
        <v>0</v>
      </c>
      <c r="AT81" s="4797">
        <f t="shared" si="659"/>
        <v>0</v>
      </c>
      <c r="AU81" s="4796">
        <f t="shared" ref="AU81:AX81" si="660">+AU22</f>
        <v>0</v>
      </c>
      <c r="AV81" s="4819">
        <f t="shared" si="660"/>
        <v>0</v>
      </c>
      <c r="AW81" s="4797">
        <f t="shared" si="660"/>
        <v>0</v>
      </c>
      <c r="AX81" s="4797">
        <f t="shared" si="660"/>
        <v>0</v>
      </c>
      <c r="AY81" s="4796">
        <f t="shared" ref="AY81:AZ81" si="661">+AY22</f>
        <v>0</v>
      </c>
      <c r="AZ81" s="4819">
        <f t="shared" si="661"/>
        <v>0</v>
      </c>
      <c r="BA81" s="4799">
        <f t="shared" ref="BA81:BB81" si="662">+BA22</f>
        <v>0</v>
      </c>
      <c r="BB81" s="4813">
        <f t="shared" si="662"/>
        <v>0</v>
      </c>
      <c r="BC81" s="4636">
        <f t="shared" ref="BC81:BD81" si="663">+BC22</f>
        <v>0</v>
      </c>
      <c r="BD81" s="4816">
        <f t="shared" si="663"/>
        <v>0</v>
      </c>
      <c r="BE81" s="4797">
        <f t="shared" ref="BE81:BF81" si="664">+BE22</f>
        <v>0</v>
      </c>
      <c r="BF81" s="4797">
        <f t="shared" si="664"/>
        <v>0</v>
      </c>
    </row>
    <row r="82" spans="2:60" x14ac:dyDescent="0.25">
      <c r="B82" s="4795" t="s">
        <v>128</v>
      </c>
      <c r="C82" s="147" t="s">
        <v>248</v>
      </c>
      <c r="D82" s="4796">
        <f>+D44</f>
        <v>18</v>
      </c>
      <c r="E82" s="4796">
        <f>+E44</f>
        <v>18</v>
      </c>
      <c r="F82" s="4819">
        <f t="shared" ref="F82:BF82" si="665">+F44</f>
        <v>10.124758673141052</v>
      </c>
      <c r="G82" s="4796">
        <f t="shared" si="665"/>
        <v>18</v>
      </c>
      <c r="H82" s="4819">
        <f t="shared" si="665"/>
        <v>7.2257184639905354</v>
      </c>
      <c r="I82" s="4797">
        <f t="shared" si="665"/>
        <v>18</v>
      </c>
      <c r="J82" s="4797">
        <f t="shared" si="665"/>
        <v>8.7595081675449382</v>
      </c>
      <c r="K82" s="4796">
        <f t="shared" si="665"/>
        <v>18</v>
      </c>
      <c r="L82" s="4819">
        <f t="shared" si="665"/>
        <v>16.477321079057102</v>
      </c>
      <c r="M82" s="4799">
        <f t="shared" si="665"/>
        <v>18</v>
      </c>
      <c r="N82" s="4813">
        <f t="shared" si="665"/>
        <v>12.009550302590497</v>
      </c>
      <c r="O82" s="4796">
        <f t="shared" si="665"/>
        <v>18</v>
      </c>
      <c r="P82" s="4819">
        <f t="shared" si="665"/>
        <v>16.84110826730803</v>
      </c>
      <c r="Q82" s="4797">
        <f t="shared" si="665"/>
        <v>18.000000000000004</v>
      </c>
      <c r="R82" s="4797">
        <f t="shared" si="665"/>
        <v>13.440813605060441</v>
      </c>
      <c r="S82" s="4796">
        <f t="shared" si="665"/>
        <v>18</v>
      </c>
      <c r="T82" s="4819">
        <f t="shared" si="665"/>
        <v>18.311179895587312</v>
      </c>
      <c r="U82" s="4797">
        <f t="shared" si="665"/>
        <v>18.000000000000004</v>
      </c>
      <c r="V82" s="4797">
        <f t="shared" si="665"/>
        <v>14.545408010608172</v>
      </c>
      <c r="W82" s="4796">
        <f t="shared" si="665"/>
        <v>18</v>
      </c>
      <c r="X82" s="4819">
        <f t="shared" si="665"/>
        <v>19.501907266499355</v>
      </c>
      <c r="Y82" s="4799">
        <f t="shared" si="665"/>
        <v>18.000000000000004</v>
      </c>
      <c r="Z82" s="4813">
        <f t="shared" si="665"/>
        <v>18.186854439560598</v>
      </c>
      <c r="AA82" s="4636">
        <f t="shared" si="665"/>
        <v>18</v>
      </c>
      <c r="AB82" s="4816">
        <f t="shared" si="665"/>
        <v>15.415594045975487</v>
      </c>
      <c r="AC82" s="4796">
        <f t="shared" si="665"/>
        <v>18</v>
      </c>
      <c r="AD82" s="4819">
        <f t="shared" si="665"/>
        <v>20.423271907942386</v>
      </c>
      <c r="AE82" s="4797">
        <f t="shared" si="665"/>
        <v>18</v>
      </c>
      <c r="AF82" s="4797">
        <f t="shared" si="665"/>
        <v>16.205566712450842</v>
      </c>
      <c r="AG82" s="4796">
        <f t="shared" si="665"/>
        <v>18</v>
      </c>
      <c r="AH82" s="4819">
        <f t="shared" si="665"/>
        <v>19.408182234368716</v>
      </c>
      <c r="AI82" s="4797">
        <f t="shared" si="665"/>
        <v>18</v>
      </c>
      <c r="AJ82" s="4797">
        <f t="shared" si="665"/>
        <v>16.62935803327634</v>
      </c>
      <c r="AK82" s="4796">
        <f t="shared" si="665"/>
        <v>18</v>
      </c>
      <c r="AL82" s="4819">
        <f t="shared" si="665"/>
        <v>16.288395445902822</v>
      </c>
      <c r="AM82" s="4799">
        <f t="shared" si="665"/>
        <v>18</v>
      </c>
      <c r="AN82" s="4813">
        <f t="shared" si="665"/>
        <v>18.660241958586969</v>
      </c>
      <c r="AO82" s="4797">
        <f t="shared" si="665"/>
        <v>18.000000000000004</v>
      </c>
      <c r="AP82" s="4797">
        <f t="shared" si="665"/>
        <v>16.586577516514975</v>
      </c>
      <c r="AQ82" s="4796">
        <f t="shared" si="665"/>
        <v>18</v>
      </c>
      <c r="AR82" s="4819">
        <f t="shared" si="665"/>
        <v>20.88665112381878</v>
      </c>
      <c r="AS82" s="4797">
        <f t="shared" si="665"/>
        <v>18.000000000000004</v>
      </c>
      <c r="AT82" s="4797">
        <f t="shared" si="665"/>
        <v>17.070605556430962</v>
      </c>
      <c r="AU82" s="4796">
        <f t="shared" ref="AU82:AX82" si="666">+AU44</f>
        <v>18</v>
      </c>
      <c r="AV82" s="4819">
        <f t="shared" si="666"/>
        <v>21.436248005672752</v>
      </c>
      <c r="AW82" s="4797">
        <f t="shared" si="666"/>
        <v>18.000000000000004</v>
      </c>
      <c r="AX82" s="4797">
        <f t="shared" si="666"/>
        <v>17.477813630100659</v>
      </c>
      <c r="AY82" s="4796">
        <f t="shared" ref="AY82:AZ82" si="667">+AY44</f>
        <v>18</v>
      </c>
      <c r="AZ82" s="4819">
        <f t="shared" si="667"/>
        <v>21.547956908996277</v>
      </c>
      <c r="BA82" s="4799">
        <f t="shared" ref="BA82:BB82" si="668">+BA44</f>
        <v>18</v>
      </c>
      <c r="BB82" s="4813">
        <f t="shared" si="668"/>
        <v>21.288739325330823</v>
      </c>
      <c r="BC82" s="4636">
        <f t="shared" si="665"/>
        <v>18</v>
      </c>
      <c r="BD82" s="4816">
        <f t="shared" si="665"/>
        <v>19.99712334510372</v>
      </c>
      <c r="BE82" s="4797">
        <f t="shared" si="665"/>
        <v>18.000000000000004</v>
      </c>
      <c r="BF82" s="4797">
        <f t="shared" si="665"/>
        <v>17.865362142637238</v>
      </c>
      <c r="BG82" s="1726"/>
      <c r="BH82" s="1726"/>
    </row>
    <row r="83" spans="2:60" ht="15" customHeight="1" x14ac:dyDescent="0.25">
      <c r="B83" s="4795" t="s">
        <v>673</v>
      </c>
      <c r="C83" s="147" t="s">
        <v>248</v>
      </c>
      <c r="D83" s="4796">
        <f>+D26</f>
        <v>0</v>
      </c>
      <c r="E83" s="4796">
        <f t="shared" ref="E83" si="669">+E26</f>
        <v>0</v>
      </c>
      <c r="F83" s="336">
        <f t="shared" ref="F83:T83" si="670">+F26</f>
        <v>0</v>
      </c>
      <c r="G83" s="4796">
        <f t="shared" si="670"/>
        <v>0</v>
      </c>
      <c r="H83" s="336">
        <f t="shared" si="670"/>
        <v>0</v>
      </c>
      <c r="I83" s="4797">
        <f t="shared" si="670"/>
        <v>0</v>
      </c>
      <c r="J83" s="4797">
        <f t="shared" si="670"/>
        <v>0</v>
      </c>
      <c r="K83" s="4796">
        <f t="shared" si="670"/>
        <v>0</v>
      </c>
      <c r="L83" s="336">
        <f t="shared" ref="L83" si="671">+L26</f>
        <v>0</v>
      </c>
      <c r="M83" s="4799">
        <f t="shared" si="670"/>
        <v>0</v>
      </c>
      <c r="N83" s="4813">
        <f t="shared" si="670"/>
        <v>0</v>
      </c>
      <c r="O83" s="4796">
        <f t="shared" ref="O83:P83" si="672">+O26</f>
        <v>0</v>
      </c>
      <c r="P83" s="336">
        <f t="shared" si="672"/>
        <v>0</v>
      </c>
      <c r="Q83" s="4797">
        <f t="shared" si="670"/>
        <v>0</v>
      </c>
      <c r="R83" s="4797">
        <f t="shared" si="670"/>
        <v>0</v>
      </c>
      <c r="S83" s="4796">
        <f t="shared" si="670"/>
        <v>0</v>
      </c>
      <c r="T83" s="336">
        <f t="shared" si="670"/>
        <v>0</v>
      </c>
      <c r="U83" s="4797">
        <f t="shared" ref="U83:X83" si="673">+U26</f>
        <v>0</v>
      </c>
      <c r="V83" s="4797">
        <f t="shared" si="673"/>
        <v>0</v>
      </c>
      <c r="W83" s="4796">
        <f t="shared" si="673"/>
        <v>0</v>
      </c>
      <c r="X83" s="336">
        <f t="shared" si="673"/>
        <v>0</v>
      </c>
      <c r="Y83" s="4799">
        <f t="shared" ref="Y83:AF83" si="674">+Y26</f>
        <v>0</v>
      </c>
      <c r="Z83" s="4813">
        <f t="shared" si="674"/>
        <v>0</v>
      </c>
      <c r="AA83" s="4636">
        <f t="shared" si="674"/>
        <v>0</v>
      </c>
      <c r="AB83" s="4816">
        <f t="shared" si="674"/>
        <v>0</v>
      </c>
      <c r="AC83" s="4796">
        <f t="shared" si="674"/>
        <v>0</v>
      </c>
      <c r="AD83" s="336">
        <f t="shared" si="674"/>
        <v>0</v>
      </c>
      <c r="AE83" s="4797">
        <f t="shared" si="674"/>
        <v>0</v>
      </c>
      <c r="AF83" s="4797">
        <f t="shared" si="674"/>
        <v>0</v>
      </c>
      <c r="AG83" s="4796">
        <f t="shared" ref="AG83:AJ83" si="675">+AG26</f>
        <v>0</v>
      </c>
      <c r="AH83" s="336">
        <f t="shared" si="675"/>
        <v>0</v>
      </c>
      <c r="AI83" s="4797">
        <f t="shared" si="675"/>
        <v>0</v>
      </c>
      <c r="AJ83" s="4797">
        <f t="shared" si="675"/>
        <v>0</v>
      </c>
      <c r="AK83" s="4796">
        <f t="shared" ref="AK83:AL83" si="676">+AK26</f>
        <v>0</v>
      </c>
      <c r="AL83" s="336">
        <f t="shared" si="676"/>
        <v>0</v>
      </c>
      <c r="AM83" s="4799">
        <f t="shared" ref="AM83:AT83" si="677">+AM26</f>
        <v>0</v>
      </c>
      <c r="AN83" s="4813">
        <f t="shared" si="677"/>
        <v>0</v>
      </c>
      <c r="AO83" s="4797">
        <f t="shared" si="677"/>
        <v>0</v>
      </c>
      <c r="AP83" s="4797">
        <f t="shared" si="677"/>
        <v>0</v>
      </c>
      <c r="AQ83" s="4796">
        <f t="shared" si="677"/>
        <v>0</v>
      </c>
      <c r="AR83" s="336">
        <f t="shared" si="677"/>
        <v>11.387740031946375</v>
      </c>
      <c r="AS83" s="4797">
        <f t="shared" si="677"/>
        <v>0</v>
      </c>
      <c r="AT83" s="4797">
        <f t="shared" si="677"/>
        <v>1.2818351475131808</v>
      </c>
      <c r="AU83" s="4796">
        <f t="shared" ref="AU83:AX83" si="678">+AU26</f>
        <v>0</v>
      </c>
      <c r="AV83" s="336">
        <f t="shared" si="678"/>
        <v>20.474082260459138</v>
      </c>
      <c r="AW83" s="4797">
        <f t="shared" si="678"/>
        <v>0</v>
      </c>
      <c r="AX83" s="4797">
        <f t="shared" si="678"/>
        <v>3.0720041929907378</v>
      </c>
      <c r="AY83" s="4796">
        <f t="shared" ref="AY83:AZ83" si="679">+AY26</f>
        <v>0</v>
      </c>
      <c r="AZ83" s="336">
        <f t="shared" si="679"/>
        <v>14.975817123469279</v>
      </c>
      <c r="BA83" s="4799">
        <f t="shared" ref="BA83:BB83" si="680">+BA26</f>
        <v>0</v>
      </c>
      <c r="BB83" s="4813">
        <f t="shared" si="680"/>
        <v>15.463688690330372</v>
      </c>
      <c r="BC83" s="4636">
        <f t="shared" ref="BC83:BD83" si="681">+BC26</f>
        <v>0</v>
      </c>
      <c r="BD83" s="4816">
        <f t="shared" si="681"/>
        <v>7.8649945929380305</v>
      </c>
      <c r="BE83" s="4797">
        <f t="shared" ref="BE83:BF83" si="682">+BE26</f>
        <v>0</v>
      </c>
      <c r="BF83" s="4797">
        <f t="shared" si="682"/>
        <v>4.2054544620860428</v>
      </c>
    </row>
    <row r="84" spans="2:60" x14ac:dyDescent="0.25">
      <c r="B84" s="4795" t="s">
        <v>976</v>
      </c>
      <c r="C84" s="147" t="s">
        <v>248</v>
      </c>
      <c r="D84" s="4796">
        <f t="shared" ref="D84" si="683">+D21+D45</f>
        <v>65.000654139887814</v>
      </c>
      <c r="E84" s="4796">
        <f t="shared" ref="E84" si="684">+E21+E45</f>
        <v>65.000654139887814</v>
      </c>
      <c r="F84" s="4819">
        <f>+F21+F45</f>
        <v>65.312659626747788</v>
      </c>
      <c r="G84" s="4796">
        <f t="shared" ref="G84" si="685">+G21+G45</f>
        <v>65.000000018057392</v>
      </c>
      <c r="H84" s="4819">
        <f t="shared" ref="H84:T84" si="686">+H21+H45</f>
        <v>70.384115245896254</v>
      </c>
      <c r="I84" s="4797">
        <f t="shared" si="686"/>
        <v>65.00032363377295</v>
      </c>
      <c r="J84" s="4797">
        <f t="shared" si="686"/>
        <v>67.700969842762191</v>
      </c>
      <c r="K84" s="4796">
        <f t="shared" si="686"/>
        <v>64.999532296445807</v>
      </c>
      <c r="L84" s="4819">
        <f t="shared" ref="L84" si="687">+L21+L45</f>
        <v>70.740734857671683</v>
      </c>
      <c r="M84" s="4799">
        <f t="shared" si="686"/>
        <v>64.999988507517429</v>
      </c>
      <c r="N84" s="4813">
        <f t="shared" si="686"/>
        <v>68.981042901329957</v>
      </c>
      <c r="O84" s="4796">
        <f t="shared" ref="O84:P84" si="688">+O21+O45</f>
        <v>65</v>
      </c>
      <c r="P84" s="4819">
        <f t="shared" si="688"/>
        <v>69.694853226947913</v>
      </c>
      <c r="Q84" s="4797">
        <f t="shared" si="686"/>
        <v>64.999992007171528</v>
      </c>
      <c r="R84" s="4797">
        <f t="shared" si="686"/>
        <v>69.192496542462223</v>
      </c>
      <c r="S84" s="4796">
        <f t="shared" si="686"/>
        <v>65</v>
      </c>
      <c r="T84" s="4819">
        <f t="shared" si="686"/>
        <v>71.298046322045693</v>
      </c>
      <c r="U84" s="4797">
        <f t="shared" ref="U84:X84" si="689">+U21+U45</f>
        <v>64.999993872958612</v>
      </c>
      <c r="V84" s="4797">
        <f t="shared" si="689"/>
        <v>69.670033213914209</v>
      </c>
      <c r="W84" s="4796">
        <f t="shared" si="689"/>
        <v>65</v>
      </c>
      <c r="X84" s="4819">
        <f t="shared" si="689"/>
        <v>70.731293369923861</v>
      </c>
      <c r="Y84" s="4799">
        <f t="shared" ref="Y84:AF84" si="690">+Y21+Y45</f>
        <v>65</v>
      </c>
      <c r="Z84" s="4813">
        <f t="shared" si="690"/>
        <v>70.568531776881187</v>
      </c>
      <c r="AA84" s="4636">
        <f t="shared" si="690"/>
        <v>64.999995006650835</v>
      </c>
      <c r="AB84" s="4816">
        <f t="shared" si="690"/>
        <v>69.856352977112735</v>
      </c>
      <c r="AC84" s="4796">
        <f t="shared" si="690"/>
        <v>65</v>
      </c>
      <c r="AD84" s="4819">
        <f t="shared" si="690"/>
        <v>71.991886408626371</v>
      </c>
      <c r="AE84" s="4797">
        <f t="shared" si="690"/>
        <v>64.999995808498426</v>
      </c>
      <c r="AF84" s="4797">
        <f t="shared" si="690"/>
        <v>70.193238273200336</v>
      </c>
      <c r="AG84" s="4796">
        <f t="shared" ref="AG84:AJ84" si="691">+AG21+AG45</f>
        <v>65</v>
      </c>
      <c r="AH84" s="4819">
        <f t="shared" si="691"/>
        <v>71.472613517750375</v>
      </c>
      <c r="AI84" s="4797">
        <f t="shared" si="691"/>
        <v>64.99999637199349</v>
      </c>
      <c r="AJ84" s="4797">
        <f t="shared" si="691"/>
        <v>70.362533688466002</v>
      </c>
      <c r="AK84" s="4796">
        <f t="shared" ref="AK84:AL84" si="692">+AK21+AK45</f>
        <v>65</v>
      </c>
      <c r="AL84" s="4819">
        <f t="shared" si="692"/>
        <v>70.278077831148323</v>
      </c>
      <c r="AM84" s="4799">
        <f t="shared" ref="AM84:AT84" si="693">+AM21+AM45</f>
        <v>65</v>
      </c>
      <c r="AN84" s="4813">
        <f t="shared" si="693"/>
        <v>71.22955404477247</v>
      </c>
      <c r="AO84" s="4797">
        <f t="shared" si="693"/>
        <v>64.9999968147293</v>
      </c>
      <c r="AP84" s="4797">
        <f t="shared" si="693"/>
        <v>70.351937026681469</v>
      </c>
      <c r="AQ84" s="4796">
        <f t="shared" si="693"/>
        <v>65</v>
      </c>
      <c r="AR84" s="4819">
        <f t="shared" si="693"/>
        <v>69.715798801124961</v>
      </c>
      <c r="AS84" s="4797">
        <f t="shared" si="693"/>
        <v>64.999997161160806</v>
      </c>
      <c r="AT84" s="4797">
        <f t="shared" si="693"/>
        <v>70.280331569065851</v>
      </c>
      <c r="AU84" s="4796">
        <f t="shared" ref="AU84:AX84" si="694">+AU21+AU45</f>
        <v>65</v>
      </c>
      <c r="AV84" s="4819">
        <f t="shared" si="694"/>
        <v>69.697430699898078</v>
      </c>
      <c r="AW84" s="4797">
        <f t="shared" si="694"/>
        <v>64.999997410711075</v>
      </c>
      <c r="AX84" s="4797">
        <f t="shared" si="694"/>
        <v>70.225961120080655</v>
      </c>
      <c r="AY84" s="4796">
        <f t="shared" ref="AY84:AZ84" si="695">+AY21+AY45</f>
        <v>65</v>
      </c>
      <c r="AZ84" s="4819">
        <f t="shared" si="695"/>
        <v>66.468057241900794</v>
      </c>
      <c r="BA84" s="4799">
        <f t="shared" ref="BA84:BB84" si="696">+BA21+BA45</f>
        <v>65</v>
      </c>
      <c r="BB84" s="4813">
        <f t="shared" si="696"/>
        <v>68.573000494247395</v>
      </c>
      <c r="BC84" s="4636">
        <f t="shared" ref="BC84:BD84" si="697">+BC21+BC45</f>
        <v>65</v>
      </c>
      <c r="BD84" s="4816">
        <f t="shared" si="697"/>
        <v>69.87840298831108</v>
      </c>
      <c r="BE84" s="4797">
        <f t="shared" ref="BE84:BF84" si="698">+BE21+BE45</f>
        <v>64.999997644387349</v>
      </c>
      <c r="BF84" s="4797">
        <f t="shared" si="698"/>
        <v>69.868143235438708</v>
      </c>
    </row>
    <row r="85" spans="2:60" ht="15.75" x14ac:dyDescent="0.25">
      <c r="B85" s="4801" t="s">
        <v>23</v>
      </c>
      <c r="C85" s="4802" t="s">
        <v>248</v>
      </c>
      <c r="D85" s="4803">
        <f>SUM(D74:D84)</f>
        <v>1298.9972362589738</v>
      </c>
      <c r="E85" s="4803">
        <f t="shared" ref="E85:R85" si="699">SUM(E74:E84)</f>
        <v>1298.9972362589738</v>
      </c>
      <c r="F85" s="4803">
        <f t="shared" si="699"/>
        <v>1291.102351839934</v>
      </c>
      <c r="G85" s="4803">
        <f t="shared" si="699"/>
        <v>1299.0000324514958</v>
      </c>
      <c r="H85" s="4803">
        <f t="shared" si="699"/>
        <v>1297.322499548136</v>
      </c>
      <c r="I85" s="4805">
        <f t="shared" si="699"/>
        <v>1298.998649082524</v>
      </c>
      <c r="J85" s="4805">
        <f t="shared" si="699"/>
        <v>1294.0316178006824</v>
      </c>
      <c r="K85" s="4829">
        <f t="shared" si="699"/>
        <v>1298.9982035085645</v>
      </c>
      <c r="L85" s="4829">
        <f t="shared" si="699"/>
        <v>1322.9884690664624</v>
      </c>
      <c r="M85" s="4807">
        <f t="shared" si="699"/>
        <v>1298.9984603848254</v>
      </c>
      <c r="N85" s="4807">
        <f t="shared" si="699"/>
        <v>1306.2256146999403</v>
      </c>
      <c r="O85" s="4803">
        <f t="shared" si="699"/>
        <v>1299</v>
      </c>
      <c r="P85" s="4803">
        <f t="shared" si="699"/>
        <v>1324.873758201061</v>
      </c>
      <c r="Q85" s="4805">
        <f t="shared" si="699"/>
        <v>1298.4681607631333</v>
      </c>
      <c r="R85" s="4805">
        <f t="shared" si="699"/>
        <v>1311.7497962677196</v>
      </c>
      <c r="S85" s="4803">
        <f t="shared" ref="S85:V85" si="700">SUM(S74:S84)</f>
        <v>1299</v>
      </c>
      <c r="T85" s="4803">
        <f t="shared" si="700"/>
        <v>1302.8182826961365</v>
      </c>
      <c r="U85" s="4805">
        <f t="shared" si="700"/>
        <v>1298.1854396259941</v>
      </c>
      <c r="V85" s="4805">
        <f t="shared" si="700"/>
        <v>1309.724137552186</v>
      </c>
      <c r="W85" s="4803">
        <f t="shared" ref="W85:X85" si="701">SUM(W74:W84)</f>
        <v>1299</v>
      </c>
      <c r="X85" s="4803">
        <f t="shared" si="701"/>
        <v>1298.1688524637075</v>
      </c>
      <c r="Y85" s="4807">
        <f t="shared" ref="Y85:Z85" si="702">SUM(Y74:Y84)</f>
        <v>1297.2870175307719</v>
      </c>
      <c r="Z85" s="4807">
        <f t="shared" si="702"/>
        <v>1308.8913308103172</v>
      </c>
      <c r="AA85" s="4808">
        <f t="shared" ref="AA85:AF85" si="703">SUM(AA74:AA84)</f>
        <v>1298.0306194200439</v>
      </c>
      <c r="AB85" s="4808">
        <f t="shared" si="703"/>
        <v>1307.6954380206103</v>
      </c>
      <c r="AC85" s="4803">
        <f t="shared" si="703"/>
        <v>1299</v>
      </c>
      <c r="AD85" s="4803">
        <f t="shared" si="703"/>
        <v>1302.8110833936853</v>
      </c>
      <c r="AE85" s="4805">
        <f t="shared" si="703"/>
        <v>1297.9034858121884</v>
      </c>
      <c r="AF85" s="4805">
        <f t="shared" si="703"/>
        <v>1306.9249198772713</v>
      </c>
      <c r="AG85" s="4803">
        <f t="shared" ref="AG85:AJ85" si="704">SUM(AG74:AG84)</f>
        <v>1299</v>
      </c>
      <c r="AH85" s="4803">
        <f t="shared" si="704"/>
        <v>1317.7364982034601</v>
      </c>
      <c r="AI85" s="4805">
        <f t="shared" si="704"/>
        <v>1297.8289036122806</v>
      </c>
      <c r="AJ85" s="4805">
        <f t="shared" si="704"/>
        <v>1308.3555796076405</v>
      </c>
      <c r="AK85" s="4803">
        <f t="shared" ref="AK85:AL85" si="705">SUM(AK74:AK84)</f>
        <v>1299</v>
      </c>
      <c r="AL85" s="4803">
        <f t="shared" si="705"/>
        <v>1290.2865887493633</v>
      </c>
      <c r="AM85" s="4807">
        <f t="shared" ref="AM85:AT85" si="706">SUM(AM74:AM84)</f>
        <v>1294</v>
      </c>
      <c r="AN85" s="4807">
        <f t="shared" si="706"/>
        <v>1303.2427219353483</v>
      </c>
      <c r="AO85" s="4805">
        <f t="shared" si="706"/>
        <v>1293.9995732783498</v>
      </c>
      <c r="AP85" s="4805">
        <f t="shared" si="706"/>
        <v>1306.0884664553505</v>
      </c>
      <c r="AQ85" s="4803">
        <f t="shared" si="706"/>
        <v>1299</v>
      </c>
      <c r="AR85" s="4803">
        <f t="shared" si="706"/>
        <v>1261.0287137685839</v>
      </c>
      <c r="AS85" s="4805">
        <f t="shared" si="706"/>
        <v>1297.7005697682359</v>
      </c>
      <c r="AT85" s="4805">
        <f t="shared" si="706"/>
        <v>1301.0164175176233</v>
      </c>
      <c r="AU85" s="4803">
        <f t="shared" ref="AU85:AX85" si="707">SUM(AU74:AU84)</f>
        <v>1298.9999999999998</v>
      </c>
      <c r="AV85" s="4803">
        <f t="shared" si="707"/>
        <v>1266.8382157418898</v>
      </c>
      <c r="AW85" s="4805">
        <f t="shared" si="707"/>
        <v>1297.6965686048459</v>
      </c>
      <c r="AX85" s="4805">
        <f t="shared" si="707"/>
        <v>1297.828424027912</v>
      </c>
      <c r="AY85" s="4803">
        <f t="shared" ref="AY85:AZ85" si="708">SUM(AY74:AY84)</f>
        <v>1299</v>
      </c>
      <c r="AZ85" s="4803">
        <f t="shared" si="708"/>
        <v>1284.304386677436</v>
      </c>
      <c r="BA85" s="4807">
        <f t="shared" ref="BA85:BB85" si="709">SUM(BA74:BA84)</f>
        <v>1294</v>
      </c>
      <c r="BB85" s="4807">
        <f t="shared" si="709"/>
        <v>1270.9808017122452</v>
      </c>
      <c r="BC85" s="4808">
        <f t="shared" ref="BC85:BD85" si="710">SUM(BC74:BC84)</f>
        <v>1294</v>
      </c>
      <c r="BD85" s="4808">
        <f t="shared" si="710"/>
        <v>1286.833970233617</v>
      </c>
      <c r="BE85" s="4805">
        <f t="shared" ref="BE85:BF85" si="711">SUM(BE74:BE84)</f>
        <v>1293.9996844252782</v>
      </c>
      <c r="BF85" s="4805">
        <f t="shared" si="711"/>
        <v>1296.5407001814704</v>
      </c>
    </row>
    <row r="86" spans="2:60" s="334" customFormat="1" ht="18.75" x14ac:dyDescent="0.25">
      <c r="B86" s="4794" t="s">
        <v>479</v>
      </c>
      <c r="C86" s="4794"/>
      <c r="D86" s="4794"/>
      <c r="E86" s="4817"/>
      <c r="F86" s="4817"/>
      <c r="G86" s="4817"/>
      <c r="H86" s="4817"/>
      <c r="I86" s="4817"/>
      <c r="J86" s="4794"/>
      <c r="K86" s="4794"/>
      <c r="L86" s="4794"/>
      <c r="M86" s="4794"/>
      <c r="N86" s="4794"/>
      <c r="O86" s="4794"/>
      <c r="P86" s="4794"/>
      <c r="Q86" s="4817"/>
      <c r="R86" s="4794"/>
      <c r="S86" s="4794"/>
      <c r="T86" s="4794"/>
      <c r="U86" s="4817"/>
      <c r="V86" s="4794"/>
      <c r="W86" s="4794"/>
      <c r="X86" s="4794"/>
      <c r="Y86" s="4794"/>
      <c r="Z86" s="4794"/>
      <c r="AA86" s="4794"/>
      <c r="AB86" s="4794"/>
      <c r="AC86" s="4794"/>
      <c r="AD86" s="4794"/>
      <c r="AE86" s="4817"/>
      <c r="AF86" s="4794"/>
      <c r="AG86" s="4794"/>
      <c r="AH86" s="4794"/>
      <c r="AI86" s="4817"/>
      <c r="AJ86" s="4794"/>
      <c r="AK86" s="4794"/>
      <c r="AL86" s="4794"/>
      <c r="AM86" s="4794"/>
      <c r="AN86" s="4794"/>
      <c r="AO86" s="4817"/>
      <c r="AP86" s="4794"/>
      <c r="AQ86" s="4794"/>
      <c r="AR86" s="4794"/>
      <c r="AS86" s="4817"/>
      <c r="AT86" s="4794"/>
      <c r="AU86" s="4794"/>
      <c r="AV86" s="4794"/>
      <c r="AW86" s="4817"/>
      <c r="AX86" s="4794"/>
      <c r="AY86" s="4794"/>
      <c r="AZ86" s="4794"/>
      <c r="BA86" s="4794"/>
      <c r="BB86" s="4794"/>
      <c r="BC86" s="4794"/>
      <c r="BD86" s="4794"/>
      <c r="BE86" s="4817"/>
      <c r="BF86" s="4794"/>
    </row>
    <row r="87" spans="2:60" x14ac:dyDescent="0.25">
      <c r="B87" s="1438" t="s">
        <v>472</v>
      </c>
      <c r="C87" s="147" t="s">
        <v>52</v>
      </c>
      <c r="D87" s="147">
        <v>55</v>
      </c>
      <c r="E87" s="4819">
        <v>55</v>
      </c>
      <c r="F87" s="4818">
        <v>55.37</v>
      </c>
      <c r="G87" s="4819">
        <v>55</v>
      </c>
      <c r="H87" s="4820">
        <v>54.67</v>
      </c>
      <c r="I87" s="4811">
        <v>55</v>
      </c>
      <c r="J87" s="4811">
        <f>+((F87*F$54)+(H87*H$54))/J$54</f>
        <v>55.040347671998205</v>
      </c>
      <c r="K87" s="4819">
        <v>55</v>
      </c>
      <c r="L87" s="4820">
        <v>54.34</v>
      </c>
      <c r="M87" s="4813">
        <v>55</v>
      </c>
      <c r="N87" s="4821">
        <f>+((J87*J$54)+(L87*L$54))/N$54</f>
        <v>54.745424813764622</v>
      </c>
      <c r="O87" s="4812">
        <v>55</v>
      </c>
      <c r="P87" s="4819">
        <v>53.89</v>
      </c>
      <c r="Q87" s="4811">
        <v>55</v>
      </c>
      <c r="R87" s="4811">
        <f>+((N87*N$54)+(P87*P$54))/R$54</f>
        <v>54.492020393719528</v>
      </c>
      <c r="S87" s="4812">
        <v>55</v>
      </c>
      <c r="T87" s="4819">
        <v>55.58</v>
      </c>
      <c r="U87" s="4811">
        <v>55</v>
      </c>
      <c r="V87" s="4811">
        <f>+((R87*R$54)+(T87*T$54))/V$54</f>
        <v>54.738773125394957</v>
      </c>
      <c r="W87" s="4812">
        <v>55</v>
      </c>
      <c r="X87" s="4819">
        <v>54.58</v>
      </c>
      <c r="Y87" s="4813">
        <v>55</v>
      </c>
      <c r="Z87" s="4813">
        <f t="shared" ref="Z87:Z94" si="712">+((P87*P$54)+(T87*T$54)+(X87*X$54))/Z$54</f>
        <v>54.682806260797307</v>
      </c>
      <c r="AA87" s="4822">
        <v>55</v>
      </c>
      <c r="AB87" s="4816">
        <f>+((V87*V$54)+(X87*X$54))/AB$54</f>
        <v>54.710898177901292</v>
      </c>
      <c r="AC87" s="4812">
        <v>55</v>
      </c>
      <c r="AD87" s="4819">
        <v>53.31</v>
      </c>
      <c r="AE87" s="4811">
        <v>55</v>
      </c>
      <c r="AF87" s="4811">
        <f>+((AB87*AB$54)+(AD87*AD$54))/AF$54</f>
        <v>54.489903277757598</v>
      </c>
      <c r="AG87" s="4812">
        <v>55</v>
      </c>
      <c r="AH87" s="4819">
        <v>54.5</v>
      </c>
      <c r="AI87" s="4811">
        <v>55</v>
      </c>
      <c r="AJ87" s="4811">
        <f>+((AF87*AF$54)+(AH87*AH$54))/AJ$54</f>
        <v>54.491239342991108</v>
      </c>
      <c r="AK87" s="4812">
        <v>55</v>
      </c>
      <c r="AL87" s="4819">
        <v>54.1</v>
      </c>
      <c r="AM87" s="4813">
        <v>55</v>
      </c>
      <c r="AN87" s="4813">
        <f t="shared" ref="AN87:AN94" si="713">+((AD87*AD$54)+(AH87*AH$54)+(AL87*AL$54))/AN$54</f>
        <v>53.966232470991841</v>
      </c>
      <c r="AO87" s="4811">
        <v>55</v>
      </c>
      <c r="AP87" s="4815">
        <f>+((AJ87*AJ$54)+(AL87*AL$54))/AP$54</f>
        <v>54.442150610413535</v>
      </c>
      <c r="AQ87" s="4812">
        <v>55</v>
      </c>
      <c r="AR87" s="4819">
        <v>56.06</v>
      </c>
      <c r="AS87" s="4811">
        <v>55</v>
      </c>
      <c r="AT87" s="4811">
        <f>+((AP87*AP$54)+(AR87*AR$54))/AT$54</f>
        <v>54.624260160257222</v>
      </c>
      <c r="AU87" s="4812">
        <v>55</v>
      </c>
      <c r="AV87" s="4819">
        <v>55.05</v>
      </c>
      <c r="AW87" s="4811">
        <v>55</v>
      </c>
      <c r="AX87" s="4815">
        <f>+((AT87*AT$54)+(AV87*AV$54))/AX$54</f>
        <v>54.663971314352352</v>
      </c>
      <c r="AY87" s="4812">
        <v>55</v>
      </c>
      <c r="AZ87" s="4819">
        <v>53.55</v>
      </c>
      <c r="BA87" s="4813">
        <v>55</v>
      </c>
      <c r="BB87" s="4813">
        <f t="shared" ref="BB87:BB94" si="714">+((AR87*AR$54)+(AV87*AV$54)+(AZ87*AZ$54))/BB$54</f>
        <v>54.867774313748249</v>
      </c>
      <c r="BC87" s="4822">
        <v>57.2</v>
      </c>
      <c r="BD87" s="4816">
        <f>+((AN87*AN$54)+(BB87*BB$54))/BD$54</f>
        <v>54.424766127519753</v>
      </c>
      <c r="BE87" s="4811">
        <v>57.2</v>
      </c>
      <c r="BF87" s="4815">
        <f>+((AX87*AX$54)+(AZ87*AZ$54))/BF$54</f>
        <v>54.557901847922452</v>
      </c>
    </row>
    <row r="88" spans="2:60" x14ac:dyDescent="0.25">
      <c r="B88" s="1438" t="s">
        <v>473</v>
      </c>
      <c r="C88" s="147" t="s">
        <v>52</v>
      </c>
      <c r="D88" s="147" t="s">
        <v>1324</v>
      </c>
      <c r="E88" s="4818" t="s">
        <v>1324</v>
      </c>
      <c r="F88" s="4818">
        <v>10.46</v>
      </c>
      <c r="G88" s="4818" t="s">
        <v>1324</v>
      </c>
      <c r="H88" s="4818">
        <v>10.4</v>
      </c>
      <c r="I88" s="4811" t="s">
        <v>1324</v>
      </c>
      <c r="J88" s="4811">
        <f t="shared" ref="J88:J94" si="715">+((F88*F$54)+(H88*H$54))/J$54</f>
        <v>10.431744086171276</v>
      </c>
      <c r="K88" s="4818" t="s">
        <v>1324</v>
      </c>
      <c r="L88" s="4820">
        <v>10.38</v>
      </c>
      <c r="M88" s="4813" t="s">
        <v>1324</v>
      </c>
      <c r="N88" s="4821">
        <f t="shared" ref="N88:N94" si="716">+((J88*J$54)+(L88*L$54))/N$54</f>
        <v>10.409954174673782</v>
      </c>
      <c r="O88" s="147" t="s">
        <v>1324</v>
      </c>
      <c r="P88" s="4819">
        <v>10.37</v>
      </c>
      <c r="Q88" s="4811" t="s">
        <v>1324</v>
      </c>
      <c r="R88" s="4811">
        <f t="shared" ref="R88:R94" si="717">+((N88*N$54)+(P88*P$54))/R$54</f>
        <v>10.398118459484467</v>
      </c>
      <c r="S88" s="147" t="s">
        <v>1324</v>
      </c>
      <c r="T88" s="4819">
        <v>10.46</v>
      </c>
      <c r="U88" s="4811" t="s">
        <v>1324</v>
      </c>
      <c r="V88" s="4811">
        <f>+((R88*R$54)+(T88*T$54))/V$54</f>
        <v>10.412153133548529</v>
      </c>
      <c r="W88" s="147" t="s">
        <v>1324</v>
      </c>
      <c r="X88" s="4819">
        <v>10.41</v>
      </c>
      <c r="Y88" s="4813" t="s">
        <v>1324</v>
      </c>
      <c r="Z88" s="4813">
        <f t="shared" si="712"/>
        <v>10.413256695240802</v>
      </c>
      <c r="AA88" s="4822" t="s">
        <v>1324</v>
      </c>
      <c r="AB88" s="4816">
        <f t="shared" ref="AB88:AB94" si="718">+((V88*V$54)+(X88*X$54))/AB$54</f>
        <v>10.411775119420113</v>
      </c>
      <c r="AC88" s="147" t="s">
        <v>1324</v>
      </c>
      <c r="AD88" s="4819">
        <v>10.32</v>
      </c>
      <c r="AE88" s="4811" t="s">
        <v>1324</v>
      </c>
      <c r="AF88" s="4811">
        <f>+((AB88*AB$54)+(AD88*AD$54))/AF$54</f>
        <v>10.397297383870262</v>
      </c>
      <c r="AG88" s="147" t="s">
        <v>1324</v>
      </c>
      <c r="AH88" s="4819">
        <v>10.35</v>
      </c>
      <c r="AI88" s="4811" t="s">
        <v>1324</v>
      </c>
      <c r="AJ88" s="4811">
        <f>+((AF88*AF$54)+(AH88*AH$54))/AJ$54</f>
        <v>10.391038680430905</v>
      </c>
      <c r="AK88" s="147" t="s">
        <v>1324</v>
      </c>
      <c r="AL88" s="4819">
        <v>10.31</v>
      </c>
      <c r="AM88" s="4813" t="s">
        <v>1324</v>
      </c>
      <c r="AN88" s="4813">
        <f t="shared" si="713"/>
        <v>10.326143057703154</v>
      </c>
      <c r="AO88" s="4811" t="s">
        <v>1324</v>
      </c>
      <c r="AP88" s="4815">
        <f t="shared" ref="AP88:AP94" si="719">+((AJ88*AJ$54)+(AL88*AL$54))/AP$54</f>
        <v>10.380870771238289</v>
      </c>
      <c r="AQ88" s="147" t="s">
        <v>1324</v>
      </c>
      <c r="AR88" s="4819">
        <v>10.4</v>
      </c>
      <c r="AS88" s="4811" t="s">
        <v>1324</v>
      </c>
      <c r="AT88" s="4811">
        <f>+((AP88*AP$54)+(AR88*AR$54))/AT$54</f>
        <v>10.383024009519351</v>
      </c>
      <c r="AU88" s="147" t="s">
        <v>1324</v>
      </c>
      <c r="AV88" s="4819">
        <v>10.43</v>
      </c>
      <c r="AW88" s="4811" t="s">
        <v>1324</v>
      </c>
      <c r="AX88" s="4815">
        <f>+((AT88*AT$54)+(AV88*AV$54))/AX$54</f>
        <v>10.38740572488307</v>
      </c>
      <c r="AY88" s="147" t="s">
        <v>1324</v>
      </c>
      <c r="AZ88" s="4819">
        <v>10.36</v>
      </c>
      <c r="BA88" s="4813" t="s">
        <v>1324</v>
      </c>
      <c r="BB88" s="4813">
        <f t="shared" si="714"/>
        <v>10.395304873279267</v>
      </c>
      <c r="BC88" s="4822" t="s">
        <v>867</v>
      </c>
      <c r="BD88" s="4816">
        <f t="shared" ref="BD88:BD94" si="720">+((AN88*AN$54)+(BB88*BB$54))/BD$54</f>
        <v>10.361319484003307</v>
      </c>
      <c r="BE88" s="4811" t="s">
        <v>867</v>
      </c>
      <c r="BF88" s="4815">
        <f t="shared" ref="BF88:BF94" si="721">+((AX88*AX$54)+(AZ88*AZ$54))/BF$54</f>
        <v>10.384796222665178</v>
      </c>
    </row>
    <row r="89" spans="2:60" x14ac:dyDescent="0.25">
      <c r="B89" s="1438" t="s">
        <v>474</v>
      </c>
      <c r="C89" s="147" t="s">
        <v>52</v>
      </c>
      <c r="D89" s="147" t="s">
        <v>1576</v>
      </c>
      <c r="E89" s="4818" t="s">
        <v>1576</v>
      </c>
      <c r="F89" s="4818">
        <v>5.35</v>
      </c>
      <c r="G89" s="4818" t="s">
        <v>1576</v>
      </c>
      <c r="H89" s="4818">
        <v>5.76</v>
      </c>
      <c r="I89" s="4811"/>
      <c r="J89" s="4811">
        <f t="shared" si="715"/>
        <v>5.5430820778296219</v>
      </c>
      <c r="K89" s="4818" t="s">
        <v>1576</v>
      </c>
      <c r="L89" s="4820">
        <v>6.14</v>
      </c>
      <c r="M89" s="4800" t="s">
        <v>1576</v>
      </c>
      <c r="N89" s="4821">
        <f t="shared" si="716"/>
        <v>5.7944497153275183</v>
      </c>
      <c r="O89" s="147" t="s">
        <v>1576</v>
      </c>
      <c r="P89" s="4819">
        <v>6.38</v>
      </c>
      <c r="Q89" s="4811"/>
      <c r="R89" s="4811">
        <f t="shared" si="717"/>
        <v>5.9679085955319184</v>
      </c>
      <c r="S89" s="147" t="s">
        <v>1576</v>
      </c>
      <c r="T89" s="4819">
        <v>5.76</v>
      </c>
      <c r="U89" s="4811"/>
      <c r="V89" s="4811">
        <f t="shared" ref="V89:V94" si="722">+((R89*R$54)+(T89*T$54))/V$54</f>
        <v>5.9207551253839892</v>
      </c>
      <c r="W89" s="147" t="s">
        <v>1576</v>
      </c>
      <c r="X89" s="4819">
        <v>6.07</v>
      </c>
      <c r="Y89" s="4800" t="s">
        <v>1576</v>
      </c>
      <c r="Z89" s="4813">
        <f t="shared" si="712"/>
        <v>6.0710419992419107</v>
      </c>
      <c r="AA89" s="4822" t="s">
        <v>1576</v>
      </c>
      <c r="AB89" s="4816">
        <f t="shared" si="718"/>
        <v>5.9469572489062781</v>
      </c>
      <c r="AC89" s="147" t="s">
        <v>1576</v>
      </c>
      <c r="AD89" s="4819">
        <v>6.81</v>
      </c>
      <c r="AE89" s="4811" t="s">
        <v>1576</v>
      </c>
      <c r="AF89" s="4811">
        <f t="shared" ref="AF89:AF94" si="723">+((AB89*AB$54)+(AD89*AD$54))/AF$54</f>
        <v>6.0831042220456295</v>
      </c>
      <c r="AG89" s="147" t="s">
        <v>1576</v>
      </c>
      <c r="AH89" s="4819">
        <v>6.2</v>
      </c>
      <c r="AI89" s="4811" t="s">
        <v>1576</v>
      </c>
      <c r="AJ89" s="4811">
        <f t="shared" ref="AJ89" si="724">+((AF89*AF$54)+(AH89*AH$54))/AJ$54</f>
        <v>6.0985726464628511</v>
      </c>
      <c r="AK89" s="147" t="s">
        <v>1576</v>
      </c>
      <c r="AL89" s="4819">
        <v>6.35</v>
      </c>
      <c r="AM89" s="4800" t="s">
        <v>1576</v>
      </c>
      <c r="AN89" s="4813">
        <f t="shared" si="713"/>
        <v>6.4544759580567153</v>
      </c>
      <c r="AO89" s="4811" t="s">
        <v>1576</v>
      </c>
      <c r="AP89" s="4815">
        <f t="shared" si="719"/>
        <v>6.1301191929479595</v>
      </c>
      <c r="AQ89" s="147" t="s">
        <v>1576</v>
      </c>
      <c r="AR89" s="4819">
        <v>5.33</v>
      </c>
      <c r="AS89" s="4811" t="s">
        <v>1576</v>
      </c>
      <c r="AT89" s="4811">
        <f t="shared" ref="AT89" si="725">+((AP89*AP$54)+(AR89*AR$54))/AT$54</f>
        <v>6.0400555893845329</v>
      </c>
      <c r="AU89" s="147" t="s">
        <v>1576</v>
      </c>
      <c r="AV89" s="4819">
        <v>5.49</v>
      </c>
      <c r="AW89" s="4811" t="s">
        <v>1576</v>
      </c>
      <c r="AX89" s="4815">
        <f t="shared" ref="AX89" si="726">+((AT89*AT$54)+(AV89*AV$54))/AX$54</f>
        <v>5.9887488047431514</v>
      </c>
      <c r="AY89" s="147" t="s">
        <v>1576</v>
      </c>
      <c r="AZ89" s="4819">
        <v>6.02</v>
      </c>
      <c r="BA89" s="4800" t="s">
        <v>1576</v>
      </c>
      <c r="BB89" s="4813">
        <f t="shared" si="714"/>
        <v>5.621234114244209</v>
      </c>
      <c r="BC89" s="4822" t="s">
        <v>868</v>
      </c>
      <c r="BD89" s="4816">
        <f t="shared" si="720"/>
        <v>6.0306803988320254</v>
      </c>
      <c r="BE89" s="4811" t="s">
        <v>868</v>
      </c>
      <c r="BF89" s="4815">
        <f t="shared" si="721"/>
        <v>5.9917244627008408</v>
      </c>
    </row>
    <row r="90" spans="2:60" x14ac:dyDescent="0.25">
      <c r="B90" s="1438" t="s">
        <v>475</v>
      </c>
      <c r="C90" s="147" t="s">
        <v>52</v>
      </c>
      <c r="D90" s="147" t="s">
        <v>1577</v>
      </c>
      <c r="E90" s="4818" t="s">
        <v>1577</v>
      </c>
      <c r="F90" s="4818">
        <v>3.22</v>
      </c>
      <c r="G90" s="4818" t="s">
        <v>1577</v>
      </c>
      <c r="H90" s="4818">
        <v>2.98</v>
      </c>
      <c r="I90" s="4811"/>
      <c r="J90" s="4811">
        <f t="shared" si="715"/>
        <v>3.1069763446850991</v>
      </c>
      <c r="K90" s="4818" t="s">
        <v>1577</v>
      </c>
      <c r="L90" s="4820">
        <v>2.4300000000000002</v>
      </c>
      <c r="M90" s="4800" t="s">
        <v>1577</v>
      </c>
      <c r="N90" s="4821">
        <f t="shared" si="716"/>
        <v>2.8218953677448839</v>
      </c>
      <c r="O90" s="147" t="s">
        <v>1577</v>
      </c>
      <c r="P90" s="4819">
        <v>2.5499999999999998</v>
      </c>
      <c r="Q90" s="4811"/>
      <c r="R90" s="4811">
        <f t="shared" si="717"/>
        <v>2.7413511903166876</v>
      </c>
      <c r="S90" s="147" t="s">
        <v>1577</v>
      </c>
      <c r="T90" s="4819">
        <v>2.09</v>
      </c>
      <c r="U90" s="4811"/>
      <c r="V90" s="4811">
        <f>+((R90*R$54)+(T90*T$54))/V$54</f>
        <v>2.5936253647930316</v>
      </c>
      <c r="W90" s="147" t="s">
        <v>1577</v>
      </c>
      <c r="X90" s="4819">
        <v>2.19</v>
      </c>
      <c r="Y90" s="4800" t="s">
        <v>1577</v>
      </c>
      <c r="Z90" s="4813">
        <f t="shared" si="712"/>
        <v>2.2793798792888538</v>
      </c>
      <c r="AA90" s="4822" t="s">
        <v>1577</v>
      </c>
      <c r="AB90" s="4816">
        <f t="shared" si="718"/>
        <v>2.522763020660634</v>
      </c>
      <c r="AC90" s="147" t="s">
        <v>1577</v>
      </c>
      <c r="AD90" s="4819">
        <v>2.16</v>
      </c>
      <c r="AE90" s="4811" t="s">
        <v>1577</v>
      </c>
      <c r="AF90" s="4811">
        <f>+((AB90*AB$54)+(AD90*AD$54))/AF$54</f>
        <v>2.4655363222528863</v>
      </c>
      <c r="AG90" s="147" t="s">
        <v>1577</v>
      </c>
      <c r="AH90" s="4819">
        <v>2.0499999999999998</v>
      </c>
      <c r="AI90" s="4811" t="s">
        <v>1577</v>
      </c>
      <c r="AJ90" s="4811">
        <f>+((AF90*AF$54)+(AH90*AH$54))/AJ$54</f>
        <v>2.4105498008758017</v>
      </c>
      <c r="AK90" s="147" t="s">
        <v>1577</v>
      </c>
      <c r="AL90" s="4819">
        <v>2.04</v>
      </c>
      <c r="AM90" s="4800" t="s">
        <v>1577</v>
      </c>
      <c r="AN90" s="4813">
        <f t="shared" si="713"/>
        <v>2.0830085480883351</v>
      </c>
      <c r="AO90" s="4811" t="s">
        <v>1577</v>
      </c>
      <c r="AP90" s="4815">
        <f t="shared" si="719"/>
        <v>2.3640569815626922</v>
      </c>
      <c r="AQ90" s="147" t="s">
        <v>1577</v>
      </c>
      <c r="AR90" s="4819">
        <v>1.86</v>
      </c>
      <c r="AS90" s="4811" t="s">
        <v>1577</v>
      </c>
      <c r="AT90" s="4811">
        <f>+((AP90*AP$54)+(AR90*AR$54))/AT$54</f>
        <v>2.3073189498282227</v>
      </c>
      <c r="AU90" s="147" t="s">
        <v>1577</v>
      </c>
      <c r="AV90" s="4819">
        <v>2.21</v>
      </c>
      <c r="AW90" s="4811" t="s">
        <v>1577</v>
      </c>
      <c r="AX90" s="4815">
        <f>+((AT90*AT$54)+(AV90*AV$54))/AX$54</f>
        <v>2.2982414629401271</v>
      </c>
      <c r="AY90" s="147" t="s">
        <v>1577</v>
      </c>
      <c r="AZ90" s="4819">
        <v>2.3199999999999998</v>
      </c>
      <c r="BA90" s="4800" t="s">
        <v>1577</v>
      </c>
      <c r="BB90" s="4813">
        <f t="shared" si="714"/>
        <v>2.1296677712021386</v>
      </c>
      <c r="BC90" s="4822" t="s">
        <v>869</v>
      </c>
      <c r="BD90" s="4816">
        <f t="shared" si="720"/>
        <v>2.1067399193574832</v>
      </c>
      <c r="BE90" s="4811" t="s">
        <v>869</v>
      </c>
      <c r="BF90" s="4815">
        <f t="shared" si="721"/>
        <v>2.300313254544184</v>
      </c>
    </row>
    <row r="91" spans="2:60" x14ac:dyDescent="0.25">
      <c r="B91" s="1438" t="s">
        <v>476</v>
      </c>
      <c r="C91" s="147" t="s">
        <v>52</v>
      </c>
      <c r="D91" s="147" t="s">
        <v>1578</v>
      </c>
      <c r="E91" s="4818" t="s">
        <v>1578</v>
      </c>
      <c r="F91" s="4818">
        <v>9.83</v>
      </c>
      <c r="G91" s="4818" t="s">
        <v>1578</v>
      </c>
      <c r="H91" s="4818">
        <v>10.5</v>
      </c>
      <c r="I91" s="4811">
        <v>8.5</v>
      </c>
      <c r="J91" s="4811">
        <f t="shared" si="715"/>
        <v>10.145524371087433</v>
      </c>
      <c r="K91" s="4818" t="s">
        <v>1578</v>
      </c>
      <c r="L91" s="4820">
        <v>11.19</v>
      </c>
      <c r="M91" s="4800" t="s">
        <v>1578</v>
      </c>
      <c r="N91" s="4821">
        <f t="shared" si="716"/>
        <v>10.585362683043735</v>
      </c>
      <c r="O91" s="147" t="s">
        <v>1578</v>
      </c>
      <c r="P91" s="4819">
        <v>11.57</v>
      </c>
      <c r="Q91" s="4811">
        <v>8.5</v>
      </c>
      <c r="R91" s="4811">
        <f t="shared" si="717"/>
        <v>10.877044014053983</v>
      </c>
      <c r="S91" s="147" t="s">
        <v>1578</v>
      </c>
      <c r="T91" s="4819">
        <v>10.43</v>
      </c>
      <c r="U91" s="4811">
        <v>8.5</v>
      </c>
      <c r="V91" s="4811">
        <f t="shared" si="722"/>
        <v>10.775654860240623</v>
      </c>
      <c r="W91" s="147" t="s">
        <v>1578</v>
      </c>
      <c r="X91" s="4819">
        <v>11.29</v>
      </c>
      <c r="Y91" s="4800" t="s">
        <v>1578</v>
      </c>
      <c r="Z91" s="4813">
        <f t="shared" si="712"/>
        <v>11.094254648764096</v>
      </c>
      <c r="AA91" s="4822" t="s">
        <v>1578</v>
      </c>
      <c r="AB91" s="4816">
        <f t="shared" si="718"/>
        <v>10.865955682427913</v>
      </c>
      <c r="AC91" s="147" t="s">
        <v>1578</v>
      </c>
      <c r="AD91" s="4819">
        <v>12.47</v>
      </c>
      <c r="AE91" s="4811" t="s">
        <v>1578</v>
      </c>
      <c r="AF91" s="4811">
        <f t="shared" si="723"/>
        <v>11.118997351965207</v>
      </c>
      <c r="AG91" s="147" t="s">
        <v>1578</v>
      </c>
      <c r="AH91" s="4819">
        <v>11.66</v>
      </c>
      <c r="AI91" s="4811" t="s">
        <v>1578</v>
      </c>
      <c r="AJ91" s="4811">
        <f t="shared" ref="AJ91:AJ94" si="727">+((AF91*AF$54)+(AH91*AH$54))/AJ$54</f>
        <v>11.190586409475133</v>
      </c>
      <c r="AK91" s="147" t="s">
        <v>1578</v>
      </c>
      <c r="AL91" s="4819">
        <v>11.92</v>
      </c>
      <c r="AM91" s="4800" t="s">
        <v>1578</v>
      </c>
      <c r="AN91" s="4813">
        <f t="shared" si="713"/>
        <v>12.019055333035586</v>
      </c>
      <c r="AO91" s="4811" t="s">
        <v>1578</v>
      </c>
      <c r="AP91" s="4815">
        <f t="shared" si="719"/>
        <v>11.282105806297491</v>
      </c>
      <c r="AQ91" s="147" t="s">
        <v>1578</v>
      </c>
      <c r="AR91" s="4819">
        <v>10.01</v>
      </c>
      <c r="AS91" s="4811" t="s">
        <v>1578</v>
      </c>
      <c r="AT91" s="4811">
        <f t="shared" ref="AT91:AT94" si="728">+((AP91*AP$54)+(AR91*AR$54))/AT$54</f>
        <v>11.138914099313203</v>
      </c>
      <c r="AU91" s="147" t="s">
        <v>1578</v>
      </c>
      <c r="AV91" s="4819">
        <v>10.23</v>
      </c>
      <c r="AW91" s="4811" t="s">
        <v>1578</v>
      </c>
      <c r="AX91" s="4815">
        <f t="shared" ref="AX91:AX94" si="729">+((AT91*AT$54)+(AV91*AV$54))/AX$54</f>
        <v>11.054134559115898</v>
      </c>
      <c r="AY91" s="147" t="s">
        <v>1578</v>
      </c>
      <c r="AZ91" s="4819">
        <v>11.25</v>
      </c>
      <c r="BA91" s="4800" t="s">
        <v>1578</v>
      </c>
      <c r="BB91" s="4813">
        <f t="shared" si="714"/>
        <v>10.51241926791217</v>
      </c>
      <c r="BC91" s="4822">
        <v>8.5</v>
      </c>
      <c r="BD91" s="4816">
        <f t="shared" si="720"/>
        <v>11.25276439540627</v>
      </c>
      <c r="BE91" s="4811">
        <v>8.5</v>
      </c>
      <c r="BF91" s="4815">
        <f t="shared" si="721"/>
        <v>11.07278435964394</v>
      </c>
    </row>
    <row r="92" spans="2:60" x14ac:dyDescent="0.25">
      <c r="B92" s="1438" t="s">
        <v>477</v>
      </c>
      <c r="C92" s="147" t="s">
        <v>52</v>
      </c>
      <c r="D92" s="147">
        <v>2.4</v>
      </c>
      <c r="E92" s="4818">
        <v>2.4</v>
      </c>
      <c r="F92" s="4818">
        <v>2.52</v>
      </c>
      <c r="G92" s="4818">
        <v>2.4</v>
      </c>
      <c r="H92" s="4820">
        <v>2.61</v>
      </c>
      <c r="I92" s="4811">
        <v>2.4</v>
      </c>
      <c r="J92" s="4811">
        <f t="shared" si="715"/>
        <v>2.5623838707430879</v>
      </c>
      <c r="K92" s="4818">
        <v>2.4</v>
      </c>
      <c r="L92" s="4820">
        <v>2.6</v>
      </c>
      <c r="M92" s="4800">
        <v>2.4</v>
      </c>
      <c r="N92" s="4821">
        <f t="shared" si="716"/>
        <v>2.5782243693978204</v>
      </c>
      <c r="O92" s="147">
        <v>2.4</v>
      </c>
      <c r="P92" s="4819">
        <v>2.5</v>
      </c>
      <c r="Q92" s="4811">
        <v>2.4</v>
      </c>
      <c r="R92" s="4811">
        <f t="shared" si="717"/>
        <v>2.5550517881940888</v>
      </c>
      <c r="S92" s="147">
        <v>2.4</v>
      </c>
      <c r="T92" s="4819">
        <v>2.2999999999999998</v>
      </c>
      <c r="U92" s="4811">
        <v>2.4</v>
      </c>
      <c r="V92" s="4811">
        <f t="shared" si="722"/>
        <v>2.497206287145818</v>
      </c>
      <c r="W92" s="147">
        <v>2.4</v>
      </c>
      <c r="X92" s="4819">
        <v>2.44</v>
      </c>
      <c r="Y92" s="4800">
        <v>2.4</v>
      </c>
      <c r="Z92" s="4813">
        <f t="shared" si="712"/>
        <v>2.413072503225524</v>
      </c>
      <c r="AA92" s="4822">
        <v>2.4</v>
      </c>
      <c r="AB92" s="4816">
        <f t="shared" si="718"/>
        <v>2.4871628856159309</v>
      </c>
      <c r="AC92" s="147">
        <v>2.4</v>
      </c>
      <c r="AD92" s="4819">
        <v>2.4</v>
      </c>
      <c r="AE92" s="4811">
        <v>2.4</v>
      </c>
      <c r="AF92" s="4811">
        <f t="shared" si="723"/>
        <v>2.4734127405255957</v>
      </c>
      <c r="AG92" s="147">
        <v>2.4</v>
      </c>
      <c r="AH92" s="4819">
        <v>2.23</v>
      </c>
      <c r="AI92" s="4811">
        <v>2.4</v>
      </c>
      <c r="AJ92" s="4811">
        <f t="shared" si="727"/>
        <v>2.4412027527493163</v>
      </c>
      <c r="AK92" s="147">
        <v>2.4</v>
      </c>
      <c r="AL92" s="4819">
        <v>2.25</v>
      </c>
      <c r="AM92" s="4800">
        <v>2.4</v>
      </c>
      <c r="AN92" s="4813">
        <f t="shared" si="713"/>
        <v>2.2933393772564625</v>
      </c>
      <c r="AO92" s="4811">
        <v>2.4</v>
      </c>
      <c r="AP92" s="4815">
        <f t="shared" si="719"/>
        <v>2.4172125764903294</v>
      </c>
      <c r="AQ92" s="147">
        <v>2.4</v>
      </c>
      <c r="AR92" s="4819">
        <v>2.19</v>
      </c>
      <c r="AS92" s="4811">
        <v>2.4</v>
      </c>
      <c r="AT92" s="4811">
        <f t="shared" si="728"/>
        <v>2.3916369077724555</v>
      </c>
      <c r="AU92" s="147">
        <v>2.4</v>
      </c>
      <c r="AV92" s="4819">
        <v>2.3199999999999998</v>
      </c>
      <c r="AW92" s="4811">
        <v>2.4</v>
      </c>
      <c r="AX92" s="4815">
        <f t="shared" si="729"/>
        <v>2.3849549296771717</v>
      </c>
      <c r="AY92" s="147">
        <v>2.4</v>
      </c>
      <c r="AZ92" s="4819">
        <v>2.44</v>
      </c>
      <c r="BA92" s="4800">
        <v>2.4</v>
      </c>
      <c r="BB92" s="4813">
        <f t="shared" si="714"/>
        <v>2.3178717879291892</v>
      </c>
      <c r="BC92" s="4822">
        <v>2.4</v>
      </c>
      <c r="BD92" s="4816">
        <f t="shared" si="720"/>
        <v>2.3058168191628936</v>
      </c>
      <c r="BE92" s="4811">
        <v>2.4</v>
      </c>
      <c r="BF92" s="4815">
        <f t="shared" si="721"/>
        <v>2.3901961788579307</v>
      </c>
    </row>
    <row r="93" spans="2:60" x14ac:dyDescent="0.25">
      <c r="B93" s="1438" t="s">
        <v>478</v>
      </c>
      <c r="C93" s="147" t="s">
        <v>52</v>
      </c>
      <c r="D93" s="147" t="s">
        <v>1798</v>
      </c>
      <c r="E93" s="4818" t="s">
        <v>1579</v>
      </c>
      <c r="F93" s="4818">
        <v>1.84</v>
      </c>
      <c r="G93" s="4818" t="s">
        <v>1579</v>
      </c>
      <c r="H93" s="4818">
        <v>1.83</v>
      </c>
      <c r="I93" s="4811" t="s">
        <v>698</v>
      </c>
      <c r="J93" s="4811">
        <f t="shared" si="715"/>
        <v>1.8352906810285459</v>
      </c>
      <c r="K93" s="4818" t="s">
        <v>1579</v>
      </c>
      <c r="L93" s="4820">
        <v>1.83</v>
      </c>
      <c r="M93" s="4800" t="s">
        <v>1579</v>
      </c>
      <c r="N93" s="4821">
        <f t="shared" si="716"/>
        <v>1.8330627264949226</v>
      </c>
      <c r="O93" s="147" t="s">
        <v>1579</v>
      </c>
      <c r="P93" s="4819">
        <v>1.82</v>
      </c>
      <c r="Q93" s="4811" t="s">
        <v>698</v>
      </c>
      <c r="R93" s="4811">
        <f t="shared" si="717"/>
        <v>1.8291931255920846</v>
      </c>
      <c r="S93" s="147" t="s">
        <v>1579</v>
      </c>
      <c r="T93" s="4819">
        <v>1.81</v>
      </c>
      <c r="U93" s="4811" t="s">
        <v>698</v>
      </c>
      <c r="V93" s="4811">
        <f t="shared" si="722"/>
        <v>1.8248401431079484</v>
      </c>
      <c r="W93" s="147" t="s">
        <v>1579</v>
      </c>
      <c r="X93" s="4819">
        <v>1.86</v>
      </c>
      <c r="Y93" s="4800" t="s">
        <v>1579</v>
      </c>
      <c r="Z93" s="4813">
        <f t="shared" si="712"/>
        <v>1.8293452276819233</v>
      </c>
      <c r="AA93" s="4822" t="s">
        <v>1579</v>
      </c>
      <c r="AB93" s="4816">
        <f t="shared" si="718"/>
        <v>1.8310129709231875</v>
      </c>
      <c r="AC93" s="147" t="s">
        <v>1579</v>
      </c>
      <c r="AD93" s="4819">
        <v>1.84</v>
      </c>
      <c r="AE93" s="4811" t="s">
        <v>1579</v>
      </c>
      <c r="AF93" s="4811">
        <f t="shared" si="723"/>
        <v>1.8324306953693665</v>
      </c>
      <c r="AG93" s="147" t="s">
        <v>1579</v>
      </c>
      <c r="AH93" s="4819">
        <v>1.87</v>
      </c>
      <c r="AI93" s="4811" t="s">
        <v>1579</v>
      </c>
      <c r="AJ93" s="4811">
        <f t="shared" si="727"/>
        <v>1.8374021148616373</v>
      </c>
      <c r="AK93" s="147" t="s">
        <v>1579</v>
      </c>
      <c r="AL93" s="4819">
        <v>1.88</v>
      </c>
      <c r="AM93" s="4800" t="s">
        <v>1579</v>
      </c>
      <c r="AN93" s="4813">
        <f t="shared" si="713"/>
        <v>1.863526113128718</v>
      </c>
      <c r="AO93" s="4811" t="s">
        <v>1579</v>
      </c>
      <c r="AP93" s="4815">
        <f t="shared" si="719"/>
        <v>1.8427468641292863</v>
      </c>
      <c r="AQ93" s="147" t="s">
        <v>1579</v>
      </c>
      <c r="AR93" s="4819">
        <v>1.88</v>
      </c>
      <c r="AS93" s="4811" t="s">
        <v>1579</v>
      </c>
      <c r="AT93" s="4811">
        <f t="shared" si="728"/>
        <v>1.8469401789380371</v>
      </c>
      <c r="AU93" s="147" t="s">
        <v>1579</v>
      </c>
      <c r="AV93" s="4819">
        <v>1.86</v>
      </c>
      <c r="AW93" s="4811" t="s">
        <v>1579</v>
      </c>
      <c r="AX93" s="4815">
        <f t="shared" si="729"/>
        <v>1.8481583420466619</v>
      </c>
      <c r="AY93" s="147" t="s">
        <v>1579</v>
      </c>
      <c r="AZ93" s="4819">
        <v>1.87</v>
      </c>
      <c r="BA93" s="4800" t="s">
        <v>1579</v>
      </c>
      <c r="BB93" s="4813">
        <f t="shared" si="714"/>
        <v>1.870292362373591</v>
      </c>
      <c r="BC93" s="4822" t="s">
        <v>698</v>
      </c>
      <c r="BD93" s="4816">
        <f t="shared" si="720"/>
        <v>1.8669674986086695</v>
      </c>
      <c r="BE93" s="4811" t="s">
        <v>698</v>
      </c>
      <c r="BF93" s="4815">
        <f t="shared" si="721"/>
        <v>1.8502380482071401</v>
      </c>
    </row>
    <row r="94" spans="2:60" x14ac:dyDescent="0.25">
      <c r="B94" s="1438" t="s">
        <v>660</v>
      </c>
      <c r="C94" s="147" t="s">
        <v>52</v>
      </c>
      <c r="D94" s="147" t="s">
        <v>726</v>
      </c>
      <c r="E94" s="4818" t="s">
        <v>726</v>
      </c>
      <c r="F94" s="4818">
        <v>4.4800000000000004</v>
      </c>
      <c r="G94" s="4818" t="s">
        <v>726</v>
      </c>
      <c r="H94" s="4818">
        <v>4.7300000000000004</v>
      </c>
      <c r="I94" s="4811" t="s">
        <v>726</v>
      </c>
      <c r="J94" s="4811">
        <f t="shared" si="715"/>
        <v>4.5977329742863562</v>
      </c>
      <c r="K94" s="4818" t="s">
        <v>726</v>
      </c>
      <c r="L94" s="4820">
        <v>5.05</v>
      </c>
      <c r="M94" s="4800" t="s">
        <v>726</v>
      </c>
      <c r="N94" s="4821">
        <f t="shared" si="716"/>
        <v>4.7881867863590148</v>
      </c>
      <c r="O94" s="147" t="s">
        <v>726</v>
      </c>
      <c r="P94" s="4819">
        <v>5.19</v>
      </c>
      <c r="Q94" s="4811" t="s">
        <v>726</v>
      </c>
      <c r="R94" s="4811">
        <f t="shared" si="717"/>
        <v>4.9072168200110022</v>
      </c>
      <c r="S94" s="147" t="s">
        <v>726</v>
      </c>
      <c r="T94" s="4819">
        <v>4.67</v>
      </c>
      <c r="U94" s="4811" t="s">
        <v>726</v>
      </c>
      <c r="V94" s="4811">
        <f t="shared" si="722"/>
        <v>4.853416272648551</v>
      </c>
      <c r="W94" s="147" t="s">
        <v>726</v>
      </c>
      <c r="X94" s="4819">
        <v>5.22</v>
      </c>
      <c r="Y94" s="4800" t="s">
        <v>726</v>
      </c>
      <c r="Z94" s="4813">
        <f t="shared" si="712"/>
        <v>5.0232126495221854</v>
      </c>
      <c r="AA94" s="4822" t="s">
        <v>726</v>
      </c>
      <c r="AB94" s="4816">
        <f t="shared" si="718"/>
        <v>4.9177754148304</v>
      </c>
      <c r="AC94" s="147" t="s">
        <v>726</v>
      </c>
      <c r="AD94" s="4819">
        <v>5.65</v>
      </c>
      <c r="AE94" s="4811" t="s">
        <v>726</v>
      </c>
      <c r="AF94" s="4811">
        <f t="shared" si="723"/>
        <v>5.0332855222992627</v>
      </c>
      <c r="AG94" s="147" t="s">
        <v>726</v>
      </c>
      <c r="AH94" s="4819">
        <v>5.45</v>
      </c>
      <c r="AI94" s="4811" t="s">
        <v>726</v>
      </c>
      <c r="AJ94" s="4811">
        <f t="shared" si="727"/>
        <v>5.0884279450169752</v>
      </c>
      <c r="AK94" s="147" t="s">
        <v>726</v>
      </c>
      <c r="AL94" s="4819">
        <v>5.57</v>
      </c>
      <c r="AM94" s="4800" t="s">
        <v>726</v>
      </c>
      <c r="AN94" s="4813">
        <f t="shared" si="713"/>
        <v>5.5580559860639829</v>
      </c>
      <c r="AO94" s="4811" t="s">
        <v>726</v>
      </c>
      <c r="AP94" s="4815">
        <f t="shared" si="719"/>
        <v>5.1488507073168073</v>
      </c>
      <c r="AQ94" s="147" t="s">
        <v>726</v>
      </c>
      <c r="AR94" s="4819">
        <v>4.6900000000000004</v>
      </c>
      <c r="AS94" s="4811" t="s">
        <v>726</v>
      </c>
      <c r="AT94" s="4811">
        <f t="shared" si="728"/>
        <v>5.0972012173872905</v>
      </c>
      <c r="AU94" s="147" t="s">
        <v>726</v>
      </c>
      <c r="AV94" s="4819">
        <v>4.74</v>
      </c>
      <c r="AW94" s="4811" t="s">
        <v>726</v>
      </c>
      <c r="AX94" s="4815">
        <f t="shared" si="729"/>
        <v>5.0638830468463176</v>
      </c>
      <c r="AY94" s="147" t="s">
        <v>726</v>
      </c>
      <c r="AZ94" s="4819">
        <v>5.23</v>
      </c>
      <c r="BA94" s="4800" t="s">
        <v>726</v>
      </c>
      <c r="BB94" s="4813">
        <f t="shared" si="714"/>
        <v>4.8945807363856337</v>
      </c>
      <c r="BC94" s="4822" t="s">
        <v>726</v>
      </c>
      <c r="BD94" s="4816">
        <f t="shared" si="720"/>
        <v>5.2206055008811401</v>
      </c>
      <c r="BE94" s="4811" t="s">
        <v>726</v>
      </c>
      <c r="BF94" s="4815">
        <f t="shared" si="721"/>
        <v>5.0797002733394567</v>
      </c>
    </row>
    <row r="95" spans="2:60" x14ac:dyDescent="0.25">
      <c r="B95" s="1438" t="s">
        <v>699</v>
      </c>
      <c r="C95" s="147" t="s">
        <v>52</v>
      </c>
      <c r="D95" s="147" t="s">
        <v>701</v>
      </c>
      <c r="E95" s="4818" t="s">
        <v>701</v>
      </c>
      <c r="F95" s="4818"/>
      <c r="G95" s="4818" t="s">
        <v>701</v>
      </c>
      <c r="H95" s="4818"/>
      <c r="I95" s="4811"/>
      <c r="J95" s="4811"/>
      <c r="K95" s="4818" t="s">
        <v>701</v>
      </c>
      <c r="L95" s="4820"/>
      <c r="M95" s="4800" t="s">
        <v>701</v>
      </c>
      <c r="N95" s="4821"/>
      <c r="O95" s="147" t="s">
        <v>701</v>
      </c>
      <c r="P95" s="4820"/>
      <c r="Q95" s="4811"/>
      <c r="R95" s="4811"/>
      <c r="S95" s="147" t="s">
        <v>701</v>
      </c>
      <c r="T95" s="4820"/>
      <c r="U95" s="4811"/>
      <c r="V95" s="4811"/>
      <c r="W95" s="147" t="s">
        <v>701</v>
      </c>
      <c r="X95" s="4820"/>
      <c r="Y95" s="4800" t="s">
        <v>701</v>
      </c>
      <c r="Z95" s="4821"/>
      <c r="AA95" s="4822" t="s">
        <v>701</v>
      </c>
      <c r="AB95" s="4822"/>
      <c r="AC95" s="147" t="s">
        <v>701</v>
      </c>
      <c r="AD95" s="4820"/>
      <c r="AE95" s="4811" t="s">
        <v>701</v>
      </c>
      <c r="AF95" s="4811"/>
      <c r="AG95" s="147" t="s">
        <v>701</v>
      </c>
      <c r="AH95" s="4820"/>
      <c r="AI95" s="4811" t="s">
        <v>701</v>
      </c>
      <c r="AJ95" s="4811"/>
      <c r="AK95" s="147" t="s">
        <v>701</v>
      </c>
      <c r="AL95" s="4820"/>
      <c r="AM95" s="4800" t="s">
        <v>701</v>
      </c>
      <c r="AN95" s="4821"/>
      <c r="AO95" s="4811" t="s">
        <v>701</v>
      </c>
      <c r="AP95" s="4811"/>
      <c r="AQ95" s="147" t="s">
        <v>701</v>
      </c>
      <c r="AR95" s="4820"/>
      <c r="AS95" s="4811" t="s">
        <v>701</v>
      </c>
      <c r="AT95" s="4811"/>
      <c r="AU95" s="147" t="s">
        <v>701</v>
      </c>
      <c r="AV95" s="4820"/>
      <c r="AW95" s="4811" t="s">
        <v>701</v>
      </c>
      <c r="AX95" s="4811"/>
      <c r="AY95" s="147" t="s">
        <v>701</v>
      </c>
      <c r="AZ95" s="4820"/>
      <c r="BA95" s="4800" t="s">
        <v>701</v>
      </c>
      <c r="BB95" s="4821"/>
      <c r="BC95" s="4822" t="s">
        <v>701</v>
      </c>
      <c r="BD95" s="4822"/>
      <c r="BE95" s="4811" t="s">
        <v>701</v>
      </c>
      <c r="BF95" s="4811"/>
    </row>
    <row r="96" spans="2:60" x14ac:dyDescent="0.25">
      <c r="B96" s="1438" t="s">
        <v>700</v>
      </c>
      <c r="C96" s="147" t="s">
        <v>52</v>
      </c>
      <c r="D96" s="147" t="s">
        <v>1580</v>
      </c>
      <c r="E96" s="4818" t="s">
        <v>1580</v>
      </c>
      <c r="F96" s="4818"/>
      <c r="G96" s="4818" t="s">
        <v>1580</v>
      </c>
      <c r="H96" s="4818"/>
      <c r="I96" s="4811"/>
      <c r="J96" s="4811"/>
      <c r="K96" s="4818" t="s">
        <v>1580</v>
      </c>
      <c r="L96" s="4820"/>
      <c r="M96" s="4800" t="s">
        <v>1580</v>
      </c>
      <c r="N96" s="4821"/>
      <c r="O96" s="147" t="s">
        <v>1580</v>
      </c>
      <c r="P96" s="4820"/>
      <c r="Q96" s="4811"/>
      <c r="R96" s="4811"/>
      <c r="S96" s="147" t="s">
        <v>1580</v>
      </c>
      <c r="T96" s="4820"/>
      <c r="U96" s="4811"/>
      <c r="V96" s="4811"/>
      <c r="W96" s="147" t="s">
        <v>1580</v>
      </c>
      <c r="X96" s="4820"/>
      <c r="Y96" s="4800" t="s">
        <v>1580</v>
      </c>
      <c r="Z96" s="4821"/>
      <c r="AA96" s="4822" t="s">
        <v>1580</v>
      </c>
      <c r="AB96" s="4822"/>
      <c r="AC96" s="147" t="s">
        <v>1580</v>
      </c>
      <c r="AD96" s="4820"/>
      <c r="AE96" s="4811" t="s">
        <v>1580</v>
      </c>
      <c r="AF96" s="4811"/>
      <c r="AG96" s="147" t="s">
        <v>1580</v>
      </c>
      <c r="AH96" s="4820"/>
      <c r="AI96" s="4811" t="s">
        <v>1580</v>
      </c>
      <c r="AJ96" s="4811"/>
      <c r="AK96" s="147" t="s">
        <v>1580</v>
      </c>
      <c r="AL96" s="4820"/>
      <c r="AM96" s="4800" t="s">
        <v>1580</v>
      </c>
      <c r="AN96" s="4821"/>
      <c r="AO96" s="4811" t="s">
        <v>1580</v>
      </c>
      <c r="AP96" s="4811"/>
      <c r="AQ96" s="147" t="s">
        <v>1580</v>
      </c>
      <c r="AR96" s="4820"/>
      <c r="AS96" s="4811" t="s">
        <v>1580</v>
      </c>
      <c r="AT96" s="4811"/>
      <c r="AU96" s="147" t="s">
        <v>1580</v>
      </c>
      <c r="AV96" s="4820"/>
      <c r="AW96" s="4811" t="s">
        <v>1580</v>
      </c>
      <c r="AX96" s="4811"/>
      <c r="AY96" s="147" t="s">
        <v>1580</v>
      </c>
      <c r="AZ96" s="4820"/>
      <c r="BA96" s="4800" t="s">
        <v>1580</v>
      </c>
      <c r="BB96" s="4821"/>
      <c r="BC96" s="4822" t="s">
        <v>727</v>
      </c>
      <c r="BD96" s="4822"/>
      <c r="BE96" s="4811" t="s">
        <v>727</v>
      </c>
      <c r="BF96" s="4811"/>
    </row>
    <row r="97" spans="2:58" ht="15" hidden="1" customHeight="1" x14ac:dyDescent="0.25"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4"/>
      <c r="P97" s="554"/>
      <c r="Q97" s="554"/>
      <c r="R97" s="554"/>
      <c r="S97" s="554"/>
      <c r="T97" s="554"/>
      <c r="U97" s="554"/>
      <c r="V97" s="554"/>
      <c r="W97" s="554"/>
      <c r="X97" s="554"/>
      <c r="Y97" s="554"/>
      <c r="Z97" s="554"/>
      <c r="AA97" s="554"/>
      <c r="AB97" s="554"/>
      <c r="AC97" s="554"/>
      <c r="AD97" s="554"/>
      <c r="AE97" s="554"/>
      <c r="AF97" s="554"/>
      <c r="AG97" s="554"/>
      <c r="AH97" s="554"/>
      <c r="AI97" s="554"/>
      <c r="AJ97" s="554"/>
      <c r="AK97" s="554"/>
      <c r="AL97" s="554"/>
      <c r="AM97" s="554"/>
      <c r="AN97" s="554"/>
      <c r="AO97" s="554"/>
      <c r="AP97" s="554"/>
      <c r="AQ97" s="554"/>
      <c r="AR97" s="554"/>
      <c r="AS97" s="554"/>
      <c r="AT97" s="554"/>
      <c r="AU97" s="554"/>
      <c r="AV97" s="554"/>
      <c r="AW97" s="554"/>
      <c r="AX97" s="554"/>
      <c r="AY97" s="554"/>
      <c r="AZ97" s="554"/>
      <c r="BA97" s="554"/>
      <c r="BB97" s="554"/>
      <c r="BC97" s="554"/>
      <c r="BD97" s="554"/>
      <c r="BE97" s="554"/>
      <c r="BF97" s="554"/>
    </row>
    <row r="98" spans="2:58" ht="15" hidden="1" customHeight="1" x14ac:dyDescent="0.25"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54"/>
      <c r="AB98" s="554"/>
      <c r="AC98" s="554"/>
      <c r="AD98" s="554"/>
      <c r="AE98" s="554"/>
      <c r="AF98" s="554"/>
      <c r="AG98" s="554"/>
      <c r="AH98" s="554"/>
      <c r="AI98" s="554"/>
      <c r="AJ98" s="554"/>
      <c r="AK98" s="554"/>
      <c r="AL98" s="554"/>
      <c r="AM98" s="554"/>
      <c r="AN98" s="554"/>
      <c r="AO98" s="554"/>
      <c r="AP98" s="554"/>
      <c r="AQ98" s="554"/>
      <c r="AR98" s="554"/>
      <c r="AS98" s="554"/>
      <c r="AT98" s="554"/>
      <c r="AU98" s="554"/>
      <c r="AV98" s="554"/>
      <c r="AW98" s="554"/>
      <c r="AX98" s="554"/>
      <c r="AY98" s="554"/>
      <c r="AZ98" s="554"/>
      <c r="BA98" s="554"/>
      <c r="BB98" s="554"/>
      <c r="BC98" s="554"/>
      <c r="BD98" s="554"/>
      <c r="BE98" s="554"/>
      <c r="BF98" s="554"/>
    </row>
    <row r="99" spans="2:58" ht="15" hidden="1" customHeight="1" x14ac:dyDescent="0.25">
      <c r="B99" s="4747" t="s">
        <v>1252</v>
      </c>
      <c r="C99" s="554"/>
      <c r="D99" s="554"/>
      <c r="E99" s="554"/>
      <c r="F99" s="554"/>
      <c r="G99" s="554"/>
      <c r="H99" s="554"/>
      <c r="I99" s="554"/>
      <c r="J99" s="554"/>
      <c r="K99" s="554"/>
      <c r="L99" s="554"/>
      <c r="M99" s="554"/>
      <c r="N99" s="554"/>
      <c r="O99" s="554"/>
      <c r="P99" s="554"/>
      <c r="Q99" s="554"/>
      <c r="R99" s="554"/>
      <c r="S99" s="554"/>
      <c r="T99" s="554"/>
      <c r="U99" s="554"/>
      <c r="V99" s="554"/>
      <c r="W99" s="554"/>
      <c r="X99" s="554"/>
      <c r="Y99" s="554"/>
      <c r="Z99" s="554"/>
      <c r="AA99" s="554"/>
      <c r="AB99" s="554"/>
      <c r="AC99" s="554"/>
      <c r="AD99" s="554"/>
      <c r="AE99" s="554"/>
      <c r="AF99" s="554"/>
      <c r="AG99" s="554"/>
      <c r="AH99" s="554"/>
      <c r="AI99" s="554"/>
      <c r="AJ99" s="554"/>
      <c r="AK99" s="554"/>
      <c r="AL99" s="554"/>
      <c r="AM99" s="554"/>
      <c r="AN99" s="554"/>
      <c r="AO99" s="554"/>
      <c r="AP99" s="554"/>
      <c r="AQ99" s="554"/>
      <c r="AR99" s="554"/>
      <c r="AS99" s="554"/>
      <c r="AT99" s="554"/>
      <c r="AU99" s="554"/>
      <c r="AV99" s="554"/>
      <c r="AW99" s="554"/>
      <c r="AX99" s="554"/>
      <c r="AY99" s="554"/>
      <c r="AZ99" s="554"/>
      <c r="BA99" s="554"/>
      <c r="BB99" s="554"/>
      <c r="BC99" s="554"/>
      <c r="BD99" s="554"/>
      <c r="BE99" s="554"/>
      <c r="BF99" s="554"/>
    </row>
    <row r="100" spans="2:58" ht="15" hidden="1" customHeight="1" x14ac:dyDescent="0.25">
      <c r="B100" s="3819" t="s">
        <v>954</v>
      </c>
      <c r="C100" s="554"/>
      <c r="D100" s="554"/>
      <c r="E100" s="554"/>
      <c r="F100" s="554"/>
      <c r="G100" s="554"/>
      <c r="H100" s="554"/>
      <c r="I100" s="554"/>
      <c r="J100" s="554"/>
      <c r="K100" s="554"/>
      <c r="L100" s="554"/>
      <c r="M100" s="554"/>
      <c r="N100" s="554"/>
      <c r="O100" s="554"/>
      <c r="P100" s="554"/>
      <c r="Q100" s="554"/>
      <c r="R100" s="554"/>
      <c r="S100" s="554"/>
      <c r="T100" s="554"/>
      <c r="U100" s="554"/>
      <c r="V100" s="554"/>
      <c r="W100" s="554"/>
      <c r="X100" s="554"/>
      <c r="Y100" s="554"/>
      <c r="Z100" s="554"/>
      <c r="AA100" s="554"/>
      <c r="AB100" s="554"/>
      <c r="AC100" s="554"/>
      <c r="AD100" s="554"/>
      <c r="AE100" s="554"/>
      <c r="AF100" s="554"/>
      <c r="AG100" s="554"/>
      <c r="AH100" s="554"/>
      <c r="AI100" s="554"/>
      <c r="AJ100" s="554"/>
      <c r="AK100" s="554"/>
      <c r="AL100" s="554"/>
      <c r="AM100" s="554"/>
      <c r="AN100" s="554"/>
      <c r="AO100" s="554"/>
      <c r="AP100" s="554"/>
      <c r="AQ100" s="554"/>
      <c r="AR100" s="554"/>
      <c r="AS100" s="554"/>
      <c r="AT100" s="554"/>
      <c r="AU100" s="554"/>
      <c r="AV100" s="554"/>
      <c r="AW100" s="554"/>
      <c r="AX100" s="554"/>
      <c r="AY100" s="554"/>
      <c r="AZ100" s="554"/>
      <c r="BA100" s="554"/>
      <c r="BB100" s="554"/>
      <c r="BC100" s="554"/>
      <c r="BD100" s="554"/>
      <c r="BE100" s="554"/>
      <c r="BF100" s="554"/>
    </row>
    <row r="101" spans="2:58" ht="15" hidden="1" customHeight="1" x14ac:dyDescent="0.25">
      <c r="B101" s="4748" t="s">
        <v>1257</v>
      </c>
      <c r="C101" s="4749" t="s">
        <v>52</v>
      </c>
      <c r="D101" s="4749"/>
      <c r="E101" s="4750"/>
      <c r="F101" s="4744">
        <v>8</v>
      </c>
      <c r="G101" s="4750"/>
      <c r="H101" s="4751">
        <v>8</v>
      </c>
      <c r="I101" s="4752"/>
      <c r="J101" s="4753">
        <v>8</v>
      </c>
      <c r="K101" s="4750"/>
      <c r="L101" s="4751">
        <v>8</v>
      </c>
      <c r="M101" s="4754"/>
      <c r="N101" s="4755">
        <v>8</v>
      </c>
      <c r="O101" s="4756"/>
      <c r="P101" s="4757">
        <v>8</v>
      </c>
      <c r="Q101" s="4752"/>
      <c r="R101" s="4753">
        <v>8</v>
      </c>
      <c r="S101" s="4756"/>
      <c r="T101" s="4757">
        <v>8</v>
      </c>
      <c r="U101" s="4752"/>
      <c r="V101" s="4753">
        <v>8</v>
      </c>
      <c r="W101" s="4756"/>
      <c r="X101" s="4757">
        <v>8</v>
      </c>
      <c r="Y101" s="4754"/>
      <c r="Z101" s="4755">
        <v>8</v>
      </c>
      <c r="AA101" s="4758"/>
      <c r="AB101" s="4759">
        <v>8</v>
      </c>
      <c r="AC101" s="4756"/>
      <c r="AD101" s="4757">
        <v>8</v>
      </c>
      <c r="AE101" s="4752"/>
      <c r="AF101" s="4753">
        <v>8</v>
      </c>
      <c r="AG101" s="4756"/>
      <c r="AH101" s="4757">
        <v>8</v>
      </c>
      <c r="AI101" s="4752"/>
      <c r="AJ101" s="4753">
        <v>8</v>
      </c>
      <c r="AK101" s="4756"/>
      <c r="AL101" s="4757">
        <v>8</v>
      </c>
      <c r="AM101" s="4754"/>
      <c r="AN101" s="4755">
        <v>8</v>
      </c>
      <c r="AO101" s="4752"/>
      <c r="AP101" s="4753">
        <v>8</v>
      </c>
      <c r="AQ101" s="4756"/>
      <c r="AR101" s="4757">
        <v>8</v>
      </c>
      <c r="AS101" s="4752"/>
      <c r="AT101" s="4753">
        <v>8</v>
      </c>
      <c r="AU101" s="4756"/>
      <c r="AV101" s="4757">
        <v>8</v>
      </c>
      <c r="AW101" s="4752"/>
      <c r="AX101" s="4753">
        <v>8</v>
      </c>
      <c r="AY101" s="4756"/>
      <c r="AZ101" s="4757">
        <v>8</v>
      </c>
      <c r="BA101" s="4754"/>
      <c r="BB101" s="4755">
        <v>8</v>
      </c>
      <c r="BC101" s="4758"/>
      <c r="BD101" s="4759">
        <v>8</v>
      </c>
      <c r="BE101" s="4752"/>
      <c r="BF101" s="4753">
        <v>8</v>
      </c>
    </row>
    <row r="102" spans="2:58" s="1386" customFormat="1" ht="15" hidden="1" customHeight="1" x14ac:dyDescent="0.25">
      <c r="B102" s="4748" t="s">
        <v>1258</v>
      </c>
      <c r="C102" s="4749" t="s">
        <v>52</v>
      </c>
      <c r="D102" s="4749"/>
      <c r="E102" s="4750"/>
      <c r="F102" s="4746">
        <f>+'B-FCE'!F89</f>
        <v>3.9995405467493681</v>
      </c>
      <c r="G102" s="4760"/>
      <c r="H102" s="4761">
        <f>+'B-FCE'!H89</f>
        <v>4.0003291407076542</v>
      </c>
      <c r="I102" s="4762"/>
      <c r="J102" s="4763">
        <f>+'B-FCE'!J89</f>
        <v>3.9999302852495302</v>
      </c>
      <c r="K102" s="4760"/>
      <c r="L102" s="4761">
        <f>+'B-FCE'!L89</f>
        <v>3.9998010049251285</v>
      </c>
      <c r="M102" s="4764"/>
      <c r="N102" s="4765">
        <f>+'B-FCE'!N89</f>
        <v>3.9998678432621135</v>
      </c>
      <c r="O102" s="4766"/>
      <c r="P102" s="4767">
        <f>+'B-FCE'!P89</f>
        <v>4.0002371213468493</v>
      </c>
      <c r="Q102" s="4762"/>
      <c r="R102" s="4763">
        <f>+'B-FCE'!R89</f>
        <v>3.9999920259634663</v>
      </c>
      <c r="S102" s="4766"/>
      <c r="T102" s="4767">
        <f>+'B-FCE'!T89</f>
        <v>3.9999061330329591</v>
      </c>
      <c r="U102" s="4762"/>
      <c r="V102" s="4763">
        <f>+'B-FCE'!V89</f>
        <v>3.9999702417264671</v>
      </c>
      <c r="W102" s="4766"/>
      <c r="X102" s="4767">
        <f>+'B-FCE'!X89</f>
        <v>4.0005715102157451</v>
      </c>
      <c r="Y102" s="4764"/>
      <c r="Z102" s="4765">
        <f>+'B-FCE'!Z89</f>
        <v>4.0002456257507895</v>
      </c>
      <c r="AA102" s="4768"/>
      <c r="AB102" s="4769">
        <f>+'B-FCE'!AB89</f>
        <v>4.0000983542062905</v>
      </c>
      <c r="AC102" s="4766"/>
      <c r="AD102" s="4767">
        <f>+'B-FCE'!AD89</f>
        <v>3.9999343735131498</v>
      </c>
      <c r="AE102" s="4762"/>
      <c r="AF102" s="4763">
        <f>+'B-FCE'!AF89</f>
        <v>4.0000619386807132</v>
      </c>
      <c r="AG102" s="4766"/>
      <c r="AH102" s="4767">
        <f>+'B-FCE'!AH89</f>
        <v>4</v>
      </c>
      <c r="AI102" s="4762"/>
      <c r="AJ102" s="4763">
        <f>+'B-FCE'!AJ89</f>
        <v>4.0000524383849028</v>
      </c>
      <c r="AK102" s="4766"/>
      <c r="AL102" s="4767">
        <f>+'B-FCE'!AL89</f>
        <v>4.0003093561420835</v>
      </c>
      <c r="AM102" s="4764"/>
      <c r="AN102" s="4765">
        <f>+'B-FCE'!AN89</f>
        <v>4.0000681313648343</v>
      </c>
      <c r="AO102" s="4762"/>
      <c r="AP102" s="4763">
        <f>+'B-FCE'!AP89</f>
        <v>4.0000854766789802</v>
      </c>
      <c r="AQ102" s="4766"/>
      <c r="AR102" s="4767">
        <f>+'B-FCE'!AR89</f>
        <v>3.9999999999999964</v>
      </c>
      <c r="AS102" s="4762"/>
      <c r="AT102" s="4763">
        <f>+'B-FCE'!AT89</f>
        <v>4.0000759091154992</v>
      </c>
      <c r="AU102" s="4766"/>
      <c r="AV102" s="4767">
        <f>+'B-FCE'!AV89</f>
        <v>3.9999999999999996</v>
      </c>
      <c r="AW102" s="4762"/>
      <c r="AX102" s="4763">
        <f>+'B-FCE'!AX89</f>
        <v>4.0000684345160158</v>
      </c>
      <c r="AY102" s="4766"/>
      <c r="AZ102" s="4767">
        <f>+'B-FCE'!AZ89</f>
        <v>4.0000000000000098</v>
      </c>
      <c r="BA102" s="4764"/>
      <c r="BB102" s="4765">
        <f>+'B-FCE'!BB89</f>
        <v>4.0000000000000018</v>
      </c>
      <c r="BC102" s="4768"/>
      <c r="BD102" s="4769">
        <f>+'B-FCE'!BF89</f>
        <v>4.0000615781840976</v>
      </c>
      <c r="BE102" s="4762"/>
      <c r="BF102" s="4763">
        <f>+'B-FCE'!BF89</f>
        <v>4.0000615781840976</v>
      </c>
    </row>
    <row r="103" spans="2:58" ht="15" hidden="1" customHeight="1" x14ac:dyDescent="0.25">
      <c r="B103" s="4748" t="s">
        <v>1253</v>
      </c>
      <c r="C103" s="4749" t="s">
        <v>52</v>
      </c>
      <c r="D103" s="4749"/>
      <c r="E103" s="4750"/>
      <c r="F103" s="4746">
        <v>2.5</v>
      </c>
      <c r="G103" s="4760"/>
      <c r="H103" s="4761">
        <v>2.5</v>
      </c>
      <c r="I103" s="4762"/>
      <c r="J103" s="4763">
        <v>2.5</v>
      </c>
      <c r="K103" s="4760"/>
      <c r="L103" s="4761">
        <v>2.5</v>
      </c>
      <c r="M103" s="4764"/>
      <c r="N103" s="4765">
        <v>2.5</v>
      </c>
      <c r="O103" s="4766"/>
      <c r="P103" s="4767">
        <v>2.5</v>
      </c>
      <c r="Q103" s="4762"/>
      <c r="R103" s="4763">
        <v>2.5</v>
      </c>
      <c r="S103" s="4766"/>
      <c r="T103" s="4767">
        <v>2.5</v>
      </c>
      <c r="U103" s="4762"/>
      <c r="V103" s="4763">
        <v>2.5</v>
      </c>
      <c r="W103" s="4766"/>
      <c r="X103" s="4767">
        <v>2.5</v>
      </c>
      <c r="Y103" s="4764"/>
      <c r="Z103" s="4765">
        <v>2.5</v>
      </c>
      <c r="AA103" s="4768"/>
      <c r="AB103" s="4769">
        <v>2.5</v>
      </c>
      <c r="AC103" s="4766"/>
      <c r="AD103" s="4767">
        <v>2.5</v>
      </c>
      <c r="AE103" s="4762"/>
      <c r="AF103" s="4763">
        <v>2.5</v>
      </c>
      <c r="AG103" s="4766"/>
      <c r="AH103" s="4767">
        <v>2.5</v>
      </c>
      <c r="AI103" s="4762"/>
      <c r="AJ103" s="4763">
        <v>2.5</v>
      </c>
      <c r="AK103" s="4766"/>
      <c r="AL103" s="4767">
        <v>2.5</v>
      </c>
      <c r="AM103" s="4764"/>
      <c r="AN103" s="4765">
        <v>2.5</v>
      </c>
      <c r="AO103" s="4762"/>
      <c r="AP103" s="4763">
        <v>2.5</v>
      </c>
      <c r="AQ103" s="4766"/>
      <c r="AR103" s="4767">
        <v>2.5</v>
      </c>
      <c r="AS103" s="4762"/>
      <c r="AT103" s="4763">
        <v>2.5</v>
      </c>
      <c r="AU103" s="4766"/>
      <c r="AV103" s="4767">
        <v>2.5</v>
      </c>
      <c r="AW103" s="4762"/>
      <c r="AX103" s="4763">
        <v>2.5</v>
      </c>
      <c r="AY103" s="4766"/>
      <c r="AZ103" s="4767">
        <v>2.5</v>
      </c>
      <c r="BA103" s="4764"/>
      <c r="BB103" s="4765">
        <v>2.5</v>
      </c>
      <c r="BC103" s="4768"/>
      <c r="BD103" s="4769">
        <v>2.5</v>
      </c>
      <c r="BE103" s="4762"/>
      <c r="BF103" s="4763">
        <v>2.5</v>
      </c>
    </row>
    <row r="104" spans="2:58" ht="15" hidden="1" customHeight="1" x14ac:dyDescent="0.25">
      <c r="B104" s="4770" t="s">
        <v>1255</v>
      </c>
      <c r="C104" s="4771" t="s">
        <v>1254</v>
      </c>
      <c r="D104" s="4771"/>
      <c r="E104" s="4750"/>
      <c r="F104" s="4744">
        <f>+(F6/(F54/1000))*(100-F101)/100</f>
        <v>774.19907698487691</v>
      </c>
      <c r="G104" s="4750"/>
      <c r="H104" s="4751">
        <f>+(H6/(H54/1000))*(100-H101)/100</f>
        <v>766.99690780739081</v>
      </c>
      <c r="I104" s="4752"/>
      <c r="J104" s="4753">
        <f>+(J6/(J54/1000))*(100-J101)/100</f>
        <v>770.80734579056104</v>
      </c>
      <c r="K104" s="4750"/>
      <c r="L104" s="4751">
        <f>+(L6/(L54/1000))*(100-L101)/100</f>
        <v>758.36076300474417</v>
      </c>
      <c r="M104" s="4754"/>
      <c r="N104" s="4755">
        <f>+(N6/(N54/1000))*(100-N101)/100</f>
        <v>765.56597508683512</v>
      </c>
      <c r="O104" s="4756"/>
      <c r="P104" s="4757">
        <f>+(P6/(P54/1000))*(100-P101)/100</f>
        <v>772.33243912617797</v>
      </c>
      <c r="Q104" s="4752"/>
      <c r="R104" s="4753">
        <f>+(R6/(R54/1000))*(100-R101)/100</f>
        <v>767.57041997556792</v>
      </c>
      <c r="S104" s="4756"/>
      <c r="T104" s="4757">
        <f>+(T6/(T54/1000))*(100-T101)/100</f>
        <v>755.06654784718023</v>
      </c>
      <c r="U104" s="4752"/>
      <c r="V104" s="4753">
        <f>+(V6/(V54/1000))*(100-V101)/100</f>
        <v>764.7345537641155</v>
      </c>
      <c r="W104" s="4756"/>
      <c r="X104" s="4757">
        <f>+(X6/(X54/1000))*(100-X101)/100</f>
        <v>750.73342388395565</v>
      </c>
      <c r="Y104" s="4754"/>
      <c r="Z104" s="4755">
        <f>+(Z6/(Z54/1000))*(100-Z101)/100</f>
        <v>759.59999336602584</v>
      </c>
      <c r="AA104" s="4758"/>
      <c r="AB104" s="4759">
        <f>+(AB6/(AB54/1000))*(100-AB101)/100</f>
        <v>762.27645035845114</v>
      </c>
      <c r="AC104" s="4756"/>
      <c r="AD104" s="4757">
        <f>+(AD6/(AD54/1000))*(100-AD101)/100</f>
        <v>756.41526265035804</v>
      </c>
      <c r="AE104" s="4752"/>
      <c r="AF104" s="4753">
        <f>+(AF6/(AF54/1000))*(100-AF101)/100</f>
        <v>761.35183455645631</v>
      </c>
      <c r="AG104" s="4756"/>
      <c r="AH104" s="4757">
        <f>+(AH6/(AH54/1000))*(100-AH101)/100</f>
        <v>742.34247069572575</v>
      </c>
      <c r="AI104" s="4752"/>
      <c r="AJ104" s="4753">
        <f>+(AJ6/(AJ54/1000))*(100-AJ101)/100</f>
        <v>758.8363894886802</v>
      </c>
      <c r="AK104" s="4756"/>
      <c r="AL104" s="4757">
        <f>+(AL6/(AL54/1000))*(100-AL101)/100</f>
        <v>749.53808017022845</v>
      </c>
      <c r="AM104" s="4754"/>
      <c r="AN104" s="4755">
        <f>+(AN6/(AN54/1000))*(100-AN101)/100</f>
        <v>749.51181384822337</v>
      </c>
      <c r="AO104" s="4752"/>
      <c r="AP104" s="4753">
        <f>+(AP6/(AP54/1000))*(100-AP101)/100</f>
        <v>757.66973222955232</v>
      </c>
      <c r="AQ104" s="4756"/>
      <c r="AR104" s="4757">
        <f>+(AR6/(AR54/1000))*(100-AR101)/100</f>
        <v>740.39567438746246</v>
      </c>
      <c r="AS104" s="4752"/>
      <c r="AT104" s="4753">
        <f>+(AT6/(AT54/1000))*(100-AT101)/100</f>
        <v>755.72531705849553</v>
      </c>
      <c r="AU104" s="4756"/>
      <c r="AV104" s="4757">
        <f>+(AV6/(AV54/1000))*(100-AV101)/100</f>
        <v>731.31883512885577</v>
      </c>
      <c r="AW104" s="4752"/>
      <c r="AX104" s="4753">
        <f>+(AX6/(AX54/1000))*(100-AX101)/100</f>
        <v>753.44878694702288</v>
      </c>
      <c r="AY104" s="4756"/>
      <c r="AZ104" s="4757">
        <f>+(AZ6/(AZ54/1000))*(100-AZ101)/100</f>
        <v>709.59973944977469</v>
      </c>
      <c r="BA104" s="4754"/>
      <c r="BB104" s="4755">
        <f>+(BB6/(BB54/1000))*(100-BB101)/100</f>
        <v>726.79666785131326</v>
      </c>
      <c r="BC104" s="4758"/>
      <c r="BD104" s="4759">
        <f>+(BD6/(BD54/1000))*(100-BD101)/100</f>
        <v>737.95865185556056</v>
      </c>
      <c r="BE104" s="4752"/>
      <c r="BF104" s="4753">
        <f>+(BF6/(BF54/1000))*(100-BF101)/100</f>
        <v>749.27359409280098</v>
      </c>
    </row>
    <row r="105" spans="2:58" s="1386" customFormat="1" ht="15" hidden="1" customHeight="1" x14ac:dyDescent="0.25">
      <c r="B105" s="4770" t="s">
        <v>51</v>
      </c>
      <c r="C105" s="4772" t="s">
        <v>393</v>
      </c>
      <c r="D105" s="4772"/>
      <c r="E105" s="4750"/>
      <c r="F105" s="4744">
        <f>+F104*F54/1000</f>
        <v>211734.15716644001</v>
      </c>
      <c r="G105" s="4750"/>
      <c r="H105" s="4751">
        <f>+H104*H54/1000</f>
        <v>186714.65924899999</v>
      </c>
      <c r="I105" s="4752"/>
      <c r="J105" s="4753">
        <f>+J104*J54/1000</f>
        <v>398448.81641543994</v>
      </c>
      <c r="K105" s="4750"/>
      <c r="L105" s="4751">
        <f>+L104*L54/1000</f>
        <v>285167.91443419998</v>
      </c>
      <c r="M105" s="4754"/>
      <c r="N105" s="4755">
        <f>+N104*N54/1000</f>
        <v>683616.73084963986</v>
      </c>
      <c r="O105" s="4756"/>
      <c r="P105" s="4757">
        <f>+P104*P54/1000</f>
        <v>290293.50456460001</v>
      </c>
      <c r="Q105" s="4752"/>
      <c r="R105" s="4753">
        <f>+R104*R54/1000</f>
        <v>973910.23541424004</v>
      </c>
      <c r="S105" s="4756"/>
      <c r="T105" s="4757">
        <f>+T104*T54/1000</f>
        <v>281018.40257812</v>
      </c>
      <c r="U105" s="4752"/>
      <c r="V105" s="4753">
        <f>+V104*V54/1000</f>
        <v>1254928.6379923599</v>
      </c>
      <c r="W105" s="4756"/>
      <c r="X105" s="4757">
        <f>+X104*X54/1000</f>
        <v>262346.04717651993</v>
      </c>
      <c r="Y105" s="4754"/>
      <c r="Z105" s="4755">
        <f>+Z104*Z54/1000</f>
        <v>833657.95431923983</v>
      </c>
      <c r="AA105" s="4758"/>
      <c r="AB105" s="4759">
        <f>+AB104*AB54/1000</f>
        <v>1517274.6851688798</v>
      </c>
      <c r="AC105" s="4756"/>
      <c r="AD105" s="4757">
        <f>+AD104*AD54/1000</f>
        <v>281999.17406867997</v>
      </c>
      <c r="AE105" s="4752"/>
      <c r="AF105" s="4753">
        <f>+AF104*AF54/1000</f>
        <v>1799273.8592375601</v>
      </c>
      <c r="AG105" s="4756"/>
      <c r="AH105" s="4757">
        <f>+AH104*AH54/1000</f>
        <v>267551.36157579999</v>
      </c>
      <c r="AI105" s="4752"/>
      <c r="AJ105" s="4753">
        <f>+AJ104*AJ54/1000</f>
        <v>2066825.2208133601</v>
      </c>
      <c r="AK105" s="4756"/>
      <c r="AL105" s="4757">
        <f>+AL104*AL54/1000</f>
        <v>292896.24605004</v>
      </c>
      <c r="AM105" s="4754"/>
      <c r="AN105" s="4755">
        <f>+AN104*AN54/1000</f>
        <v>842446.78169452003</v>
      </c>
      <c r="AO105" s="4752"/>
      <c r="AP105" s="4753">
        <f>+AP104*AP54/1000</f>
        <v>2359721.4668634003</v>
      </c>
      <c r="AQ105" s="4756"/>
      <c r="AR105" s="4757">
        <f>+AR104*AR54/1000</f>
        <v>292483.68602299999</v>
      </c>
      <c r="AS105" s="4752"/>
      <c r="AT105" s="4753">
        <f>+AT104*AT54/1000</f>
        <v>2652205.1528864</v>
      </c>
      <c r="AU105" s="4756"/>
      <c r="AV105" s="4757">
        <f>+AV104*AV54/1000</f>
        <v>264023.65113356005</v>
      </c>
      <c r="AW105" s="4752"/>
      <c r="AX105" s="4753">
        <f>+AX104*AX54/1000</f>
        <v>2916228.804019961</v>
      </c>
      <c r="AY105" s="4756"/>
      <c r="AZ105" s="4757">
        <f>+AZ104*AZ54/1000</f>
        <v>289037.00427163998</v>
      </c>
      <c r="BA105" s="4754"/>
      <c r="BB105" s="4755">
        <f>+BB104*BB54/1000</f>
        <v>845544.34142820013</v>
      </c>
      <c r="BC105" s="4758"/>
      <c r="BD105" s="4759">
        <f>+BD104*BD54/1000</f>
        <v>1687991.1231227203</v>
      </c>
      <c r="BE105" s="4752"/>
      <c r="BF105" s="4753">
        <f>+BF104*BF54/1000</f>
        <v>3205265.8082916006</v>
      </c>
    </row>
    <row r="106" spans="2:58" s="1386" customFormat="1" ht="15" hidden="1" customHeight="1" x14ac:dyDescent="0.25">
      <c r="B106" s="4748" t="s">
        <v>238</v>
      </c>
      <c r="C106" s="4772" t="s">
        <v>393</v>
      </c>
      <c r="D106" s="4772"/>
      <c r="E106" s="4750"/>
      <c r="F106" s="4744">
        <f>+F105*F101/(100-F101)</f>
        <v>18411.665840559999</v>
      </c>
      <c r="G106" s="4750"/>
      <c r="H106" s="4751">
        <f>+H105*H101/(100-H101)</f>
        <v>16236.057325999998</v>
      </c>
      <c r="I106" s="4752"/>
      <c r="J106" s="4753">
        <f>+J105*J101/(100-J101)</f>
        <v>34647.723166559997</v>
      </c>
      <c r="K106" s="4750"/>
      <c r="L106" s="4751">
        <f>+L105*L101/(100-L101)</f>
        <v>24797.209950799999</v>
      </c>
      <c r="M106" s="4754"/>
      <c r="N106" s="4755">
        <f>+N105*N101/(100-N101)</f>
        <v>59444.933117359986</v>
      </c>
      <c r="O106" s="4756"/>
      <c r="P106" s="4757">
        <f>+P105*P101/(100-P101)</f>
        <v>25242.9134404</v>
      </c>
      <c r="Q106" s="4752"/>
      <c r="R106" s="4753">
        <f>+R105*R101/(100-R101)</f>
        <v>84687.84655776</v>
      </c>
      <c r="S106" s="4756"/>
      <c r="T106" s="4757">
        <f>+T105*T101/(100-T101)</f>
        <v>24436.382832880001</v>
      </c>
      <c r="U106" s="4752"/>
      <c r="V106" s="4753">
        <f>+V105*V101/(100-V101)</f>
        <v>109124.22939064</v>
      </c>
      <c r="W106" s="4756"/>
      <c r="X106" s="4757">
        <f>+X105*X101/(100-X101)</f>
        <v>22812.699754479992</v>
      </c>
      <c r="Y106" s="4754"/>
      <c r="Z106" s="4755">
        <f>+Z105*Z101/(100-Z101)</f>
        <v>72491.996027759989</v>
      </c>
      <c r="AA106" s="4758"/>
      <c r="AB106" s="4759">
        <f>+AB105*AB101/(100-AB101)</f>
        <v>131936.92914512</v>
      </c>
      <c r="AC106" s="4756"/>
      <c r="AD106" s="4757">
        <f>+AD105*AD101/(100-AD101)</f>
        <v>24521.667310319997</v>
      </c>
      <c r="AE106" s="4752"/>
      <c r="AF106" s="4753">
        <f>+AF105*AF101/(100-AF101)</f>
        <v>156458.59645544001</v>
      </c>
      <c r="AG106" s="4756"/>
      <c r="AH106" s="4757">
        <f>+AH105*AH101/(100-AH101)</f>
        <v>23265.335789199999</v>
      </c>
      <c r="AI106" s="4752"/>
      <c r="AJ106" s="4753">
        <f>+AJ105*AJ101/(100-AJ101)</f>
        <v>179723.93224464002</v>
      </c>
      <c r="AK106" s="4756"/>
      <c r="AL106" s="4757">
        <f>+AL105*AL101/(100-AL101)</f>
        <v>25469.238786959999</v>
      </c>
      <c r="AM106" s="4754"/>
      <c r="AN106" s="4755">
        <f>+AN105*AN101/(100-AN101)</f>
        <v>73256.241886479998</v>
      </c>
      <c r="AO106" s="4752"/>
      <c r="AP106" s="4753">
        <f>+AP105*AP101/(100-AP101)</f>
        <v>205193.17103160004</v>
      </c>
      <c r="AQ106" s="4756"/>
      <c r="AR106" s="4757">
        <f>+AR105*AR101/(100-AR101)</f>
        <v>25433.364001999998</v>
      </c>
      <c r="AS106" s="4752"/>
      <c r="AT106" s="4753">
        <f>+AT105*AT101/(100-AT101)</f>
        <v>230626.5350336</v>
      </c>
      <c r="AU106" s="4756"/>
      <c r="AV106" s="4757">
        <f>+AV105*AV101/(100-AV101)</f>
        <v>22958.578359440005</v>
      </c>
      <c r="AW106" s="4752"/>
      <c r="AX106" s="4753">
        <f>+AX105*AX101/(100-AX101)</f>
        <v>253585.11339304008</v>
      </c>
      <c r="AY106" s="4756"/>
      <c r="AZ106" s="4757">
        <f>+AZ105*AZ101/(100-AZ101)</f>
        <v>25133.652545359997</v>
      </c>
      <c r="BA106" s="4754"/>
      <c r="BB106" s="4755">
        <f>+BB105*BB101/(100-BB101)</f>
        <v>73525.594906800005</v>
      </c>
      <c r="BC106" s="4758"/>
      <c r="BD106" s="4759">
        <f>+BD105*BD101/(100-BD101)</f>
        <v>146781.83679328003</v>
      </c>
      <c r="BE106" s="4752"/>
      <c r="BF106" s="4753">
        <f>+BF105*BF101/(100-BF101)</f>
        <v>278718.76593840006</v>
      </c>
    </row>
    <row r="107" spans="2:58" s="1386" customFormat="1" ht="15" hidden="1" customHeight="1" x14ac:dyDescent="0.25">
      <c r="B107" s="4748" t="s">
        <v>1108</v>
      </c>
      <c r="C107" s="4772" t="s">
        <v>393</v>
      </c>
      <c r="D107" s="4772"/>
      <c r="E107" s="4750"/>
      <c r="F107" s="4744">
        <f>+F105/(100-F103)*F103</f>
        <v>5429.0809529856415</v>
      </c>
      <c r="G107" s="4750"/>
      <c r="H107" s="4751">
        <f>+H105/(100-H103)*H103</f>
        <v>4787.5553653589741</v>
      </c>
      <c r="I107" s="4752"/>
      <c r="J107" s="4753">
        <f>+J105/(100-J103)*J103</f>
        <v>10216.636318344614</v>
      </c>
      <c r="K107" s="4750"/>
      <c r="L107" s="4751">
        <f>+L105/(100-L103)*L103</f>
        <v>7311.997806005128</v>
      </c>
      <c r="M107" s="4754"/>
      <c r="N107" s="4755">
        <f>+N105/(100-N103)*N103</f>
        <v>17528.634124349741</v>
      </c>
      <c r="O107" s="4756"/>
      <c r="P107" s="4757">
        <f>+P105/(100-P103)*P103</f>
        <v>7443.4231939641031</v>
      </c>
      <c r="Q107" s="4752"/>
      <c r="R107" s="4753">
        <f>+R105/(100-R103)*R103</f>
        <v>24972.057318313848</v>
      </c>
      <c r="S107" s="4756"/>
      <c r="T107" s="4757">
        <f>+T105/(100-T103)*T103</f>
        <v>7205.6000661056405</v>
      </c>
      <c r="U107" s="4752"/>
      <c r="V107" s="4753">
        <f>+V105/(100-V103)*V103</f>
        <v>32177.657384419486</v>
      </c>
      <c r="W107" s="4756"/>
      <c r="X107" s="4757">
        <f>+X105/(100-X103)*X103</f>
        <v>6726.8217224748696</v>
      </c>
      <c r="Y107" s="4754"/>
      <c r="Z107" s="4755">
        <f>+Z105/(100-Z103)*Z103</f>
        <v>21375.844982544608</v>
      </c>
      <c r="AA107" s="4758"/>
      <c r="AB107" s="4759">
        <f>+AB105/(100-AB103)*AB103</f>
        <v>38904.479106894352</v>
      </c>
      <c r="AC107" s="4756"/>
      <c r="AD107" s="4757">
        <f>+AD105/(100-AD103)*AD103</f>
        <v>7230.7480530430757</v>
      </c>
      <c r="AE107" s="4752"/>
      <c r="AF107" s="4753">
        <f>+AF105/(100-AF103)*AF103</f>
        <v>46135.227159937436</v>
      </c>
      <c r="AG107" s="4756"/>
      <c r="AH107" s="4757">
        <f>+AH105/(100-AH103)*AH103</f>
        <v>6860.2913224564099</v>
      </c>
      <c r="AI107" s="4752"/>
      <c r="AJ107" s="4753">
        <f>+AJ105/(100-AJ103)*AJ103</f>
        <v>52995.518482393847</v>
      </c>
      <c r="AK107" s="4756"/>
      <c r="AL107" s="4757">
        <f>+AL105/(100-AL103)*AL103</f>
        <v>7510.1601551292315</v>
      </c>
      <c r="AM107" s="4754"/>
      <c r="AN107" s="4755">
        <f>+AN105/(100-AN103)*AN103</f>
        <v>21601.199530628721</v>
      </c>
      <c r="AO107" s="4752"/>
      <c r="AP107" s="4753">
        <f>+AP105/(100-AP103)*AP103</f>
        <v>60505.678637523088</v>
      </c>
      <c r="AQ107" s="4756"/>
      <c r="AR107" s="4757">
        <f>+AR105/(100-AR103)*AR103</f>
        <v>7499.5816928974355</v>
      </c>
      <c r="AS107" s="4752"/>
      <c r="AT107" s="4753">
        <f>+AT105/(100-AT103)*AT103</f>
        <v>68005.260330420511</v>
      </c>
      <c r="AU107" s="4756"/>
      <c r="AV107" s="4757">
        <f>+AV105/(100-AV103)*AV103</f>
        <v>6769.8372085528217</v>
      </c>
      <c r="AW107" s="4752"/>
      <c r="AX107" s="4753">
        <f>+AX105/(100-AX103)*AX103</f>
        <v>74775.097538973365</v>
      </c>
      <c r="AY107" s="4756"/>
      <c r="AZ107" s="4757">
        <f>+AZ105/(100-AZ103)*AZ103</f>
        <v>7411.205237734358</v>
      </c>
      <c r="BA107" s="4754"/>
      <c r="BB107" s="4755">
        <f>+BB105/(100-BB103)*BB103</f>
        <v>21680.62413918462</v>
      </c>
      <c r="BC107" s="4758"/>
      <c r="BD107" s="4759">
        <f>+BD105/(100-BD103)*BD103</f>
        <v>43281.823669813341</v>
      </c>
      <c r="BE107" s="4752"/>
      <c r="BF107" s="4753">
        <f>+BF105/(100-BF103)*BF103</f>
        <v>82186.302776707715</v>
      </c>
    </row>
    <row r="108" spans="2:58" s="1386" customFormat="1" ht="15" hidden="1" customHeight="1" x14ac:dyDescent="0.25">
      <c r="B108" s="4748" t="s">
        <v>1232</v>
      </c>
      <c r="C108" s="4772" t="s">
        <v>393</v>
      </c>
      <c r="D108" s="4772"/>
      <c r="E108" s="4750"/>
      <c r="F108" s="4744">
        <f>+F107*F101/(100-F101)</f>
        <v>472.09399591179493</v>
      </c>
      <c r="G108" s="4750"/>
      <c r="H108" s="4751">
        <f>+H107*H101/(100-H101)</f>
        <v>416.30916220512819</v>
      </c>
      <c r="I108" s="4752"/>
      <c r="J108" s="4753">
        <f>+J107*J101/(100-J101)</f>
        <v>888.4031581169229</v>
      </c>
      <c r="K108" s="4750"/>
      <c r="L108" s="4751">
        <f>+L107*L101/(100-L101)</f>
        <v>635.82589617435895</v>
      </c>
      <c r="M108" s="4754"/>
      <c r="N108" s="4755">
        <f>+N107*N101/(100-N101)</f>
        <v>1524.2290542912817</v>
      </c>
      <c r="O108" s="4756"/>
      <c r="P108" s="4757">
        <f>+P107*P101/(100-P101)</f>
        <v>647.2541907794872</v>
      </c>
      <c r="Q108" s="4752"/>
      <c r="R108" s="4753">
        <f>+R107*R101/(100-R101)</f>
        <v>2171.4832450707695</v>
      </c>
      <c r="S108" s="4756"/>
      <c r="T108" s="4757">
        <f>+T107*T101/(100-T101)</f>
        <v>626.57391879179488</v>
      </c>
      <c r="U108" s="4752"/>
      <c r="V108" s="4753">
        <f>+V107*V101/(100-V101)</f>
        <v>2798.0571638625638</v>
      </c>
      <c r="W108" s="4756"/>
      <c r="X108" s="4757">
        <f>+X107*X101/(100-X101)</f>
        <v>584.94101934564083</v>
      </c>
      <c r="Y108" s="4754"/>
      <c r="Z108" s="4755">
        <f>+Z107*Z101/(100-Z101)</f>
        <v>1858.7691289169225</v>
      </c>
      <c r="AA108" s="4758"/>
      <c r="AB108" s="4759">
        <f>+AB107*AB101/(100-AB101)</f>
        <v>3382.9981832082044</v>
      </c>
      <c r="AC108" s="4756"/>
      <c r="AD108" s="4757">
        <f>+AD107*AD101/(100-AD101)</f>
        <v>628.76070026461525</v>
      </c>
      <c r="AE108" s="4752"/>
      <c r="AF108" s="4753">
        <f>+AF107*AF101/(100-AF101)</f>
        <v>4011.7588834728203</v>
      </c>
      <c r="AG108" s="4756"/>
      <c r="AH108" s="4757">
        <f>+AH107*AH101/(100-AH101)</f>
        <v>596.54707151794867</v>
      </c>
      <c r="AI108" s="4752"/>
      <c r="AJ108" s="4753">
        <f>+AJ107*AJ101/(100-AJ101)</f>
        <v>4608.3059549907694</v>
      </c>
      <c r="AK108" s="4756"/>
      <c r="AL108" s="4757">
        <f>+AL107*AL101/(100-AL101)</f>
        <v>653.05740479384622</v>
      </c>
      <c r="AM108" s="4754"/>
      <c r="AN108" s="4755">
        <f>+AN107*AN101/(100-AN101)</f>
        <v>1878.3651765764105</v>
      </c>
      <c r="AO108" s="4752"/>
      <c r="AP108" s="4753">
        <f>+AP107*AP101/(100-AP101)</f>
        <v>5261.3633597846165</v>
      </c>
      <c r="AQ108" s="4756"/>
      <c r="AR108" s="4757">
        <f>+AR107*AR101/(100-AR101)</f>
        <v>652.13753851282047</v>
      </c>
      <c r="AS108" s="4752"/>
      <c r="AT108" s="4753">
        <f>+AT107*AT101/(100-AT101)</f>
        <v>5913.5008982974359</v>
      </c>
      <c r="AU108" s="4756"/>
      <c r="AV108" s="4757">
        <f>+AV107*AV101/(100-AV101)</f>
        <v>588.68149639589751</v>
      </c>
      <c r="AW108" s="4752"/>
      <c r="AX108" s="4753">
        <f>+AX107*AX101/(100-AX101)</f>
        <v>6502.1823946933364</v>
      </c>
      <c r="AY108" s="4756"/>
      <c r="AZ108" s="4757">
        <f>+AZ107*AZ101/(100-AZ101)</f>
        <v>644.45262936820507</v>
      </c>
      <c r="BA108" s="4754"/>
      <c r="BB108" s="4755">
        <f>+BB107*BB101/(100-BB101)</f>
        <v>1885.2716642769235</v>
      </c>
      <c r="BC108" s="4758"/>
      <c r="BD108" s="4759">
        <f>+BD107*BD101/(100-BD101)</f>
        <v>3763.636840853334</v>
      </c>
      <c r="BE108" s="4752"/>
      <c r="BF108" s="4753">
        <f>+BF107*BF101/(100-BF101)</f>
        <v>7146.6350240615402</v>
      </c>
    </row>
    <row r="109" spans="2:58" s="1386" customFormat="1" ht="15" hidden="1" customHeight="1" x14ac:dyDescent="0.25">
      <c r="B109" s="4748" t="s">
        <v>549</v>
      </c>
      <c r="C109" s="4772" t="s">
        <v>393</v>
      </c>
      <c r="D109" s="4772"/>
      <c r="E109" s="4750"/>
      <c r="F109" s="4744">
        <f>SUM(F105:F108)</f>
        <v>236046.99795589744</v>
      </c>
      <c r="G109" s="4750"/>
      <c r="H109" s="4751">
        <f>SUM(H105:H108)</f>
        <v>208154.58110256409</v>
      </c>
      <c r="I109" s="4752"/>
      <c r="J109" s="4753">
        <f>SUM(J105:J108)</f>
        <v>444201.57905846147</v>
      </c>
      <c r="K109" s="4750"/>
      <c r="L109" s="4751">
        <f>SUM(L105:L108)</f>
        <v>317912.94808717945</v>
      </c>
      <c r="M109" s="4754"/>
      <c r="N109" s="4755">
        <f>SUM(N105:N108)</f>
        <v>762114.52714564081</v>
      </c>
      <c r="O109" s="4756"/>
      <c r="P109" s="4757">
        <f>SUM(P105:P108)</f>
        <v>323627.09538974357</v>
      </c>
      <c r="Q109" s="4752"/>
      <c r="R109" s="4753">
        <f>SUM(R105:R108)</f>
        <v>1085741.6225353845</v>
      </c>
      <c r="S109" s="4756"/>
      <c r="T109" s="4757">
        <f>SUM(T105:T108)</f>
        <v>313286.95939589746</v>
      </c>
      <c r="U109" s="4752"/>
      <c r="V109" s="4753">
        <f>SUM(V105:V108)</f>
        <v>1399028.5819312821</v>
      </c>
      <c r="W109" s="4756"/>
      <c r="X109" s="4757">
        <f>SUM(X105:X108)</f>
        <v>292470.50967282045</v>
      </c>
      <c r="Y109" s="4754"/>
      <c r="Z109" s="4755">
        <f>SUM(Z105:Z108)</f>
        <v>929384.56445846136</v>
      </c>
      <c r="AA109" s="4758"/>
      <c r="AB109" s="4759">
        <f>SUM(AB105:AB108)</f>
        <v>1691499.0916041026</v>
      </c>
      <c r="AC109" s="4756"/>
      <c r="AD109" s="4757">
        <f>SUM(AD105:AD108)</f>
        <v>314380.35013230768</v>
      </c>
      <c r="AE109" s="4752"/>
      <c r="AF109" s="4753">
        <f>SUM(AF105:AF108)</f>
        <v>2005879.4417364101</v>
      </c>
      <c r="AG109" s="4756"/>
      <c r="AH109" s="4757">
        <f>SUM(AH105:AH108)</f>
        <v>298273.53575897432</v>
      </c>
      <c r="AI109" s="4752"/>
      <c r="AJ109" s="4753">
        <f>SUM(AJ105:AJ108)</f>
        <v>2304152.9774953849</v>
      </c>
      <c r="AK109" s="4756"/>
      <c r="AL109" s="4757">
        <f>SUM(AL105:AL108)</f>
        <v>326528.70239692309</v>
      </c>
      <c r="AM109" s="4754"/>
      <c r="AN109" s="4755">
        <f>SUM(AN105:AN108)</f>
        <v>939182.58828820521</v>
      </c>
      <c r="AO109" s="4752"/>
      <c r="AP109" s="4753">
        <f>SUM(AP105:AP108)</f>
        <v>2630681.6798923081</v>
      </c>
      <c r="AQ109" s="4756"/>
      <c r="AR109" s="4757">
        <f>SUM(AR105:AR108)</f>
        <v>326068.76925641025</v>
      </c>
      <c r="AS109" s="4752"/>
      <c r="AT109" s="4753">
        <f>SUM(AT105:AT108)</f>
        <v>2956750.4491487178</v>
      </c>
      <c r="AU109" s="4756"/>
      <c r="AV109" s="4757">
        <f>SUM(AV105:AV108)</f>
        <v>294340.74819794879</v>
      </c>
      <c r="AW109" s="4752"/>
      <c r="AX109" s="4753">
        <f>SUM(AX105:AX108)</f>
        <v>3251091.1973466673</v>
      </c>
      <c r="AY109" s="4756"/>
      <c r="AZ109" s="4757">
        <f>SUM(AZ105:AZ108)</f>
        <v>322226.31468410254</v>
      </c>
      <c r="BA109" s="4754"/>
      <c r="BB109" s="4755">
        <f>SUM(BB105:BB108)</f>
        <v>942635.83213846164</v>
      </c>
      <c r="BC109" s="4758"/>
      <c r="BD109" s="4759">
        <f>SUM(BD105:BD108)</f>
        <v>1881818.420426667</v>
      </c>
      <c r="BE109" s="4752"/>
      <c r="BF109" s="4753">
        <f>SUM(BF105:BF108)</f>
        <v>3573317.5120307696</v>
      </c>
    </row>
    <row r="110" spans="2:58" ht="15" hidden="1" customHeight="1" x14ac:dyDescent="0.25">
      <c r="B110" s="4773" t="s">
        <v>1256</v>
      </c>
      <c r="C110" s="4772" t="s">
        <v>393</v>
      </c>
      <c r="D110" s="4772"/>
      <c r="E110" s="4750"/>
      <c r="F110" s="4744">
        <f>+'B-FCE'!F87+SMS!F135</f>
        <v>14044.416666666666</v>
      </c>
      <c r="G110" s="4750"/>
      <c r="H110" s="4751">
        <f>+'B-FCE'!H87+SMS!H135</f>
        <v>13632.403333333334</v>
      </c>
      <c r="I110" s="4752"/>
      <c r="J110" s="4753">
        <f>+'B-FCE'!J87+SMS!J135</f>
        <v>27676.82</v>
      </c>
      <c r="K110" s="4750"/>
      <c r="L110" s="4751">
        <f>+'B-FCE'!L87+SMS!L135</f>
        <v>26131.083333333336</v>
      </c>
      <c r="M110" s="4754"/>
      <c r="N110" s="4755">
        <f>+'B-FCE'!N87+SMS!N135</f>
        <v>53807.903333333335</v>
      </c>
      <c r="O110" s="4756"/>
      <c r="P110" s="4757">
        <f>+'B-FCE'!P87+SMS!P135</f>
        <v>27007.958333333332</v>
      </c>
      <c r="Q110" s="4752"/>
      <c r="R110" s="4753">
        <f>+'B-FCE'!R87+SMS!R135</f>
        <v>80815.861666666664</v>
      </c>
      <c r="S110" s="4756"/>
      <c r="T110" s="4757">
        <f>+'B-FCE'!T87+SMS!T135</f>
        <v>27282.666666666668</v>
      </c>
      <c r="U110" s="4752"/>
      <c r="V110" s="4753">
        <f>+'B-FCE'!V87+SMS!V135</f>
        <v>108098.52833333334</v>
      </c>
      <c r="W110" s="4756"/>
      <c r="X110" s="4757">
        <f>+'B-FCE'!X87+SMS!X135</f>
        <v>29539.991666666669</v>
      </c>
      <c r="Y110" s="4754"/>
      <c r="Z110" s="4755">
        <f>+'B-FCE'!Z87+SMS!Z135</f>
        <v>83830.616666666669</v>
      </c>
      <c r="AA110" s="4758"/>
      <c r="AB110" s="4759">
        <f>+'B-FCE'!AB87+SMS!AB135</f>
        <v>137638.52000000002</v>
      </c>
      <c r="AC110" s="4756"/>
      <c r="AD110" s="4757">
        <f>+'B-FCE'!AD87+SMS!AD135</f>
        <v>39008.666666666664</v>
      </c>
      <c r="AE110" s="4752"/>
      <c r="AF110" s="4753">
        <f>+'B-FCE'!AF87+SMS!AF135</f>
        <v>177330.93666666668</v>
      </c>
      <c r="AG110" s="4756"/>
      <c r="AH110" s="4757">
        <f>+'B-FCE'!AH87+SMS!AH135</f>
        <v>31824</v>
      </c>
      <c r="AI110" s="4752"/>
      <c r="AJ110" s="4753">
        <f>+'B-FCE'!AJ87+SMS!AJ135</f>
        <v>209376.18666666668</v>
      </c>
      <c r="AK110" s="4756"/>
      <c r="AL110" s="4757">
        <f>+'B-FCE'!AL87+SMS!AL135</f>
        <v>30618.333333333332</v>
      </c>
      <c r="AM110" s="4754"/>
      <c r="AN110" s="4755">
        <f>+'B-FCE'!AN87+SMS!AN135</f>
        <v>102638</v>
      </c>
      <c r="AO110" s="4752"/>
      <c r="AP110" s="4753">
        <f>+'B-FCE'!AP87+SMS!AP135</f>
        <v>240276.52000000002</v>
      </c>
      <c r="AQ110" s="4756"/>
      <c r="AR110" s="4757">
        <f>+'B-FCE'!AR87+SMS!AR135</f>
        <v>30010.060800000003</v>
      </c>
      <c r="AS110" s="4752"/>
      <c r="AT110" s="4753">
        <f>+'B-FCE'!AT87+SMS!AT135</f>
        <v>271111.5808</v>
      </c>
      <c r="AU110" s="4756"/>
      <c r="AV110" s="4757">
        <f>+'B-FCE'!AV87+SMS!AV135</f>
        <v>29283.696000000004</v>
      </c>
      <c r="AW110" s="4752"/>
      <c r="AX110" s="4753">
        <f>+'B-FCE'!AX87+SMS!AX135</f>
        <v>300770.27679999999</v>
      </c>
      <c r="AY110" s="4756"/>
      <c r="AZ110" s="4757">
        <f>+'B-FCE'!AZ87+SMS!AZ135</f>
        <v>33112.872000000003</v>
      </c>
      <c r="BA110" s="4754"/>
      <c r="BB110" s="4755" t="e">
        <f>+'B-FCE'!BB87+SMS!#REF!</f>
        <v>#REF!</v>
      </c>
      <c r="BC110" s="4758"/>
      <c r="BD110" s="4759" t="e">
        <f>+'B-FCE'!BF87+SMS!#REF!</f>
        <v>#REF!</v>
      </c>
      <c r="BE110" s="4752"/>
      <c r="BF110" s="4753" t="e">
        <f>+'B-FCE'!BF87+SMS!#REF!</f>
        <v>#REF!</v>
      </c>
    </row>
    <row r="111" spans="2:58" ht="15" hidden="1" customHeight="1" x14ac:dyDescent="0.25">
      <c r="B111" s="4748" t="s">
        <v>238</v>
      </c>
      <c r="C111" s="4772" t="s">
        <v>393</v>
      </c>
      <c r="D111" s="4772"/>
      <c r="E111" s="4750"/>
      <c r="F111" s="4744">
        <f>+F110*F102/(100-F102)</f>
        <v>585.11401126293208</v>
      </c>
      <c r="G111" s="4750"/>
      <c r="H111" s="4751">
        <f>+H110*H102/(100-H102)</f>
        <v>568.0654925592886</v>
      </c>
      <c r="I111" s="4752"/>
      <c r="J111" s="4753">
        <f>+J110*J102/(100-J102)</f>
        <v>1153.1798971224075</v>
      </c>
      <c r="K111" s="4750"/>
      <c r="L111" s="4751">
        <f>+L110*L102/(100-L102)</f>
        <v>1088.7387158625695</v>
      </c>
      <c r="M111" s="4754"/>
      <c r="N111" s="4755">
        <f>+N110*N102/(100-N102)</f>
        <v>2241.9188122049945</v>
      </c>
      <c r="O111" s="4756"/>
      <c r="P111" s="4757">
        <f>+P110*P102/(100-P102)</f>
        <v>1125.4010870146926</v>
      </c>
      <c r="Q111" s="4752"/>
      <c r="R111" s="4753">
        <f>+R110*R102/(100-R102)</f>
        <v>3367.3205769468323</v>
      </c>
      <c r="S111" s="4756"/>
      <c r="T111" s="4757">
        <f>+T110*T102/(100-T102)</f>
        <v>1136.7499898147923</v>
      </c>
      <c r="U111" s="4752"/>
      <c r="V111" s="4753">
        <f>+V110*V102/(100-V102)</f>
        <v>4504.0704424416508</v>
      </c>
      <c r="W111" s="4756"/>
      <c r="X111" s="4757">
        <f>+X110*X102/(100-X102)</f>
        <v>1231.0161730416232</v>
      </c>
      <c r="Y111" s="4754"/>
      <c r="Z111" s="4755">
        <f>+Z110*Z102/(100-Z102)</f>
        <v>3493.1657878780611</v>
      </c>
      <c r="AA111" s="4758"/>
      <c r="AB111" s="4759">
        <f>+AB110*AB102/(100-AB102)</f>
        <v>5735.0852228869244</v>
      </c>
      <c r="AC111" s="4756"/>
      <c r="AD111" s="4757">
        <f>+AD110*AD102/(100-AD102)</f>
        <v>1625.3333333333333</v>
      </c>
      <c r="AE111" s="4752"/>
      <c r="AF111" s="4753">
        <f>+AF110*AF102/(100-AF102)</f>
        <v>7388.908208022498</v>
      </c>
      <c r="AG111" s="4756"/>
      <c r="AH111" s="4757">
        <f>+AH110*AH102/(100-AH102)</f>
        <v>1326</v>
      </c>
      <c r="AI111" s="4752"/>
      <c r="AJ111" s="4753">
        <f>+AJ110*AJ102/(100-AJ102)</f>
        <v>8724.1269114047664</v>
      </c>
      <c r="AK111" s="4756"/>
      <c r="AL111" s="4757">
        <f>+AL110*AL102/(100-AL102)</f>
        <v>1275.8666666666684</v>
      </c>
      <c r="AM111" s="4754"/>
      <c r="AN111" s="4755">
        <f>+AN110*AN102/(100-AN102)</f>
        <v>4276.6592108505502</v>
      </c>
      <c r="AO111" s="4752"/>
      <c r="AP111" s="4753">
        <f>+AP110*AP102/(100-AP102)</f>
        <v>10011.744518850404</v>
      </c>
      <c r="AQ111" s="4756"/>
      <c r="AR111" s="4757">
        <f>+AR110*AR102/(100-AR102)</f>
        <v>1250.4191999999991</v>
      </c>
      <c r="AS111" s="4752"/>
      <c r="AT111" s="4753">
        <f>+AT110*AT102/(100-AT102)</f>
        <v>11296.53917240205</v>
      </c>
      <c r="AU111" s="4756"/>
      <c r="AV111" s="4757">
        <f>+AV110*AV102/(100-AV102)</f>
        <v>1220.154</v>
      </c>
      <c r="AW111" s="4752"/>
      <c r="AX111" s="4753">
        <f>+AX110*AX102/(100-AX102)</f>
        <v>12532.318207410997</v>
      </c>
      <c r="AY111" s="4756"/>
      <c r="AZ111" s="4757">
        <f>+AZ110*AZ102/(100-AZ102)</f>
        <v>1379.7030000000036</v>
      </c>
      <c r="BA111" s="4754"/>
      <c r="BB111" s="4755" t="e">
        <f>+BB110*BB102/(100-BB102)</f>
        <v>#REF!</v>
      </c>
      <c r="BC111" s="4758"/>
      <c r="BD111" s="4759" t="e">
        <f>+BD110*BD102/(100-BD102)</f>
        <v>#REF!</v>
      </c>
      <c r="BE111" s="4752"/>
      <c r="BF111" s="4753" t="e">
        <f>+BF110*BF102/(100-BF102)</f>
        <v>#REF!</v>
      </c>
    </row>
    <row r="112" spans="2:58" ht="15" hidden="1" customHeight="1" x14ac:dyDescent="0.25">
      <c r="B112" s="4748" t="s">
        <v>1108</v>
      </c>
      <c r="C112" s="4772" t="s">
        <v>393</v>
      </c>
      <c r="D112" s="4772"/>
      <c r="E112" s="4750"/>
      <c r="F112" s="4744">
        <f>+F110/(100-F103)*F103</f>
        <v>360.11324786324786</v>
      </c>
      <c r="G112" s="4750"/>
      <c r="H112" s="4751">
        <f>+H110/(100-H103)*H103</f>
        <v>349.5488034188034</v>
      </c>
      <c r="I112" s="4752"/>
      <c r="J112" s="4753">
        <f>+J110/(100-J103)*J103</f>
        <v>709.66205128205138</v>
      </c>
      <c r="K112" s="4750"/>
      <c r="L112" s="4751">
        <f>+L110/(100-L103)*L103</f>
        <v>670.02777777777783</v>
      </c>
      <c r="M112" s="4754"/>
      <c r="N112" s="4755">
        <f>+N110/(100-N103)*N103</f>
        <v>1379.689829059829</v>
      </c>
      <c r="O112" s="4756"/>
      <c r="P112" s="4757">
        <f>+P110/(100-P103)*P103</f>
        <v>692.51175213675208</v>
      </c>
      <c r="Q112" s="4752"/>
      <c r="R112" s="4753">
        <f>+R110/(100-R103)*R103</f>
        <v>2072.2015811965812</v>
      </c>
      <c r="S112" s="4756"/>
      <c r="T112" s="4757">
        <f>+T110/(100-T103)*T103</f>
        <v>699.55555555555566</v>
      </c>
      <c r="U112" s="4752"/>
      <c r="V112" s="4753">
        <f>+V110/(100-V103)*V103</f>
        <v>2771.7571367521368</v>
      </c>
      <c r="W112" s="4756"/>
      <c r="X112" s="4757">
        <f>+X110/(100-X103)*X103</f>
        <v>757.43568376068379</v>
      </c>
      <c r="Y112" s="4754"/>
      <c r="Z112" s="4755">
        <f>+Z110/(100-Z103)*Z103</f>
        <v>2149.5029914529914</v>
      </c>
      <c r="AA112" s="4758"/>
      <c r="AB112" s="4759">
        <f>+AB110/(100-AB103)*AB103</f>
        <v>3529.1928205128211</v>
      </c>
      <c r="AC112" s="4756"/>
      <c r="AD112" s="4757">
        <f>+AD110/(100-AD103)*AD103</f>
        <v>1000.2222222222222</v>
      </c>
      <c r="AE112" s="4752"/>
      <c r="AF112" s="4753">
        <f>+AF110/(100-AF103)*AF103</f>
        <v>4546.9470940170941</v>
      </c>
      <c r="AG112" s="4756"/>
      <c r="AH112" s="4757">
        <f>+AH110/(100-AH103)*AH103</f>
        <v>816</v>
      </c>
      <c r="AI112" s="4752"/>
      <c r="AJ112" s="4753">
        <f>+AJ110/(100-AJ103)*AJ103</f>
        <v>5368.6201709401712</v>
      </c>
      <c r="AK112" s="4756"/>
      <c r="AL112" s="4757">
        <f>+AL110/(100-AL103)*AL103</f>
        <v>785.08547008547009</v>
      </c>
      <c r="AM112" s="4754"/>
      <c r="AN112" s="4755">
        <f>+AN110/(100-AN103)*AN103</f>
        <v>2631.7435897435898</v>
      </c>
      <c r="AO112" s="4752"/>
      <c r="AP112" s="4753">
        <f>+AP110/(100-AP103)*AP103</f>
        <v>6160.9364102564105</v>
      </c>
      <c r="AQ112" s="4756"/>
      <c r="AR112" s="4757">
        <f>+AR110/(100-AR103)*AR103</f>
        <v>769.48873846153856</v>
      </c>
      <c r="AS112" s="4752"/>
      <c r="AT112" s="4753">
        <f>+AT110/(100-AT103)*AT103</f>
        <v>6951.5789948717957</v>
      </c>
      <c r="AU112" s="4756"/>
      <c r="AV112" s="4757">
        <f>+AV110/(100-AV103)*AV103</f>
        <v>750.86400000000015</v>
      </c>
      <c r="AW112" s="4752"/>
      <c r="AX112" s="4753">
        <f>+AX110/(100-AX103)*AX103</f>
        <v>7712.0583794871791</v>
      </c>
      <c r="AY112" s="4756"/>
      <c r="AZ112" s="4757">
        <f>+AZ110/(100-AZ103)*AZ103</f>
        <v>849.04800000000012</v>
      </c>
      <c r="BA112" s="4754"/>
      <c r="BB112" s="4755" t="e">
        <f>+BB110/(100-BB103)*BB103</f>
        <v>#REF!</v>
      </c>
      <c r="BC112" s="4758"/>
      <c r="BD112" s="4759" t="e">
        <f>+BD110/(100-BD103)*BD103</f>
        <v>#REF!</v>
      </c>
      <c r="BE112" s="4752"/>
      <c r="BF112" s="4753" t="e">
        <f>+BF110/(100-BF103)*BF103</f>
        <v>#REF!</v>
      </c>
    </row>
    <row r="113" spans="2:58" ht="15" hidden="1" customHeight="1" x14ac:dyDescent="0.25">
      <c r="B113" s="4748" t="s">
        <v>1232</v>
      </c>
      <c r="C113" s="4772" t="s">
        <v>393</v>
      </c>
      <c r="D113" s="4772"/>
      <c r="E113" s="4750"/>
      <c r="F113" s="4744">
        <f>+F112*F102/(100-F102)</f>
        <v>15.002923365716205</v>
      </c>
      <c r="G113" s="4750"/>
      <c r="H113" s="4751">
        <f>+H112*H102/(100-H102)</f>
        <v>14.56578186049458</v>
      </c>
      <c r="I113" s="4752"/>
      <c r="J113" s="4753">
        <f>+J112*J102/(100-J102)</f>
        <v>29.568715310830967</v>
      </c>
      <c r="K113" s="4750"/>
      <c r="L113" s="4751">
        <f>+L112*L102/(100-L102)</f>
        <v>27.916377329809475</v>
      </c>
      <c r="M113" s="4754"/>
      <c r="N113" s="4755">
        <f>+N112*N102/(100-N102)</f>
        <v>57.485097748846002</v>
      </c>
      <c r="O113" s="4756"/>
      <c r="P113" s="4757">
        <f>+P112*P102/(100-P102)</f>
        <v>28.856438128581857</v>
      </c>
      <c r="Q113" s="4752"/>
      <c r="R113" s="4753">
        <f>+R112*R102/(100-R102)</f>
        <v>86.341553255046989</v>
      </c>
      <c r="S113" s="4756"/>
      <c r="T113" s="4757">
        <f>+T112*T102/(100-T102)</f>
        <v>29.147435636276729</v>
      </c>
      <c r="U113" s="4752"/>
      <c r="V113" s="4753">
        <f>+V112*V102/(100-V102)</f>
        <v>115.48898570363207</v>
      </c>
      <c r="W113" s="4756"/>
      <c r="X113" s="4757">
        <f>+X112*X102/(100-X102)</f>
        <v>31.564517257477522</v>
      </c>
      <c r="Y113" s="4754"/>
      <c r="Z113" s="4755">
        <f>+Z112*Z102/(100-Z102)</f>
        <v>89.568353535334893</v>
      </c>
      <c r="AA113" s="4758"/>
      <c r="AB113" s="4759">
        <f>+AB112*AB102/(100-AB102)</f>
        <v>147.05346725351089</v>
      </c>
      <c r="AC113" s="4756"/>
      <c r="AD113" s="4757">
        <f>+AD112*AD102/(100-AD102)</f>
        <v>41.675213675213676</v>
      </c>
      <c r="AE113" s="4752"/>
      <c r="AF113" s="4753">
        <f>+AF112*AF102/(100-AF102)</f>
        <v>189.45918482108968</v>
      </c>
      <c r="AG113" s="4756"/>
      <c r="AH113" s="4757">
        <f>+AH112*AH102/(100-AH102)</f>
        <v>34</v>
      </c>
      <c r="AI113" s="4752"/>
      <c r="AJ113" s="4753">
        <f>+AJ112*AJ102/(100-AJ102)</f>
        <v>223.69556183089142</v>
      </c>
      <c r="AK113" s="4756"/>
      <c r="AL113" s="4757">
        <f>+AL112*AL102/(100-AL102)</f>
        <v>32.714529914529962</v>
      </c>
      <c r="AM113" s="4754"/>
      <c r="AN113" s="4755">
        <f>+AN112*AN102/(100-AN102)</f>
        <v>109.65792848334743</v>
      </c>
      <c r="AO113" s="4752"/>
      <c r="AP113" s="4753">
        <f>+AP112*AP102/(100-AP102)</f>
        <v>256.71139791924111</v>
      </c>
      <c r="AQ113" s="4756"/>
      <c r="AR113" s="4757">
        <f>+AR112*AR102/(100-AR102)</f>
        <v>32.062030769230745</v>
      </c>
      <c r="AS113" s="4752"/>
      <c r="AT113" s="4753">
        <f>+AT112*AT102/(100-AT102)</f>
        <v>289.65485057441157</v>
      </c>
      <c r="AU113" s="4756"/>
      <c r="AV113" s="4757">
        <f>+AV112*AV102/(100-AV102)</f>
        <v>31.286000000000001</v>
      </c>
      <c r="AW113" s="4752"/>
      <c r="AX113" s="4753">
        <f>+AX112*AX102/(100-AX102)</f>
        <v>321.34149249771787</v>
      </c>
      <c r="AY113" s="4756"/>
      <c r="AZ113" s="4757">
        <f>+AZ112*AZ102/(100-AZ102)</f>
        <v>35.377000000000095</v>
      </c>
      <c r="BA113" s="4754"/>
      <c r="BB113" s="4755" t="e">
        <f>+BB112*BB102/(100-BB102)</f>
        <v>#REF!</v>
      </c>
      <c r="BC113" s="4758"/>
      <c r="BD113" s="4759" t="e">
        <f>+BD112*BD102/(100-BD102)</f>
        <v>#REF!</v>
      </c>
      <c r="BE113" s="4752"/>
      <c r="BF113" s="4753" t="e">
        <f>+BF112*BF102/(100-BF102)</f>
        <v>#REF!</v>
      </c>
    </row>
    <row r="114" spans="2:58" ht="15" hidden="1" customHeight="1" x14ac:dyDescent="0.25">
      <c r="B114" s="4748" t="s">
        <v>549</v>
      </c>
      <c r="C114" s="4772" t="s">
        <v>393</v>
      </c>
      <c r="D114" s="4772"/>
      <c r="E114" s="4750"/>
      <c r="F114" s="4744">
        <f>SUM(F110:F113)</f>
        <v>15004.646849158564</v>
      </c>
      <c r="G114" s="4750"/>
      <c r="H114" s="4751">
        <f>SUM(H110:H113)</f>
        <v>14564.58341117192</v>
      </c>
      <c r="I114" s="4752"/>
      <c r="J114" s="4753">
        <f>SUM(J110:J113)</f>
        <v>29569.230663715291</v>
      </c>
      <c r="K114" s="4750"/>
      <c r="L114" s="4751">
        <f>SUM(L110:L113)</f>
        <v>27917.766204303491</v>
      </c>
      <c r="M114" s="4754"/>
      <c r="N114" s="4755">
        <f>SUM(N110:N113)</f>
        <v>57486.997072347003</v>
      </c>
      <c r="O114" s="4756"/>
      <c r="P114" s="4757">
        <f>SUM(P110:P113)</f>
        <v>28854.727610613361</v>
      </c>
      <c r="Q114" s="4752"/>
      <c r="R114" s="4753">
        <f>SUM(R110:R113)</f>
        <v>86341.725378065123</v>
      </c>
      <c r="S114" s="4756"/>
      <c r="T114" s="4757">
        <f>SUM(T110:T113)</f>
        <v>29148.119647673291</v>
      </c>
      <c r="U114" s="4752"/>
      <c r="V114" s="4753">
        <f>SUM(V110:V113)</f>
        <v>115489.84489823075</v>
      </c>
      <c r="W114" s="4756"/>
      <c r="X114" s="4757">
        <f>SUM(X110:X113)</f>
        <v>31560.00804072645</v>
      </c>
      <c r="Y114" s="4754"/>
      <c r="Z114" s="4755">
        <f>SUM(Z110:Z113)</f>
        <v>89562.853799533055</v>
      </c>
      <c r="AA114" s="4758"/>
      <c r="AB114" s="4759">
        <f>SUM(AB110:AB113)</f>
        <v>147049.8515106533</v>
      </c>
      <c r="AC114" s="4756"/>
      <c r="AD114" s="4757">
        <f>SUM(AD110:AD113)</f>
        <v>41675.89743589743</v>
      </c>
      <c r="AE114" s="4752"/>
      <c r="AF114" s="4753">
        <f>SUM(AF110:AF113)</f>
        <v>189456.25115352735</v>
      </c>
      <c r="AG114" s="4756"/>
      <c r="AH114" s="4757">
        <f>SUM(AH110:AH113)</f>
        <v>34000</v>
      </c>
      <c r="AI114" s="4752"/>
      <c r="AJ114" s="4753">
        <f>SUM(AJ110:AJ113)</f>
        <v>223692.62931084252</v>
      </c>
      <c r="AK114" s="4756"/>
      <c r="AL114" s="4757">
        <f>SUM(AL110:AL113)</f>
        <v>32712</v>
      </c>
      <c r="AM114" s="4754"/>
      <c r="AN114" s="4755">
        <f>SUM(AN110:AN113)</f>
        <v>109656.06072907748</v>
      </c>
      <c r="AO114" s="4752"/>
      <c r="AP114" s="4753">
        <f>SUM(AP110:AP113)</f>
        <v>256705.91232702608</v>
      </c>
      <c r="AQ114" s="4756"/>
      <c r="AR114" s="4757">
        <f>SUM(AR110:AR113)</f>
        <v>32062.030769230772</v>
      </c>
      <c r="AS114" s="4752"/>
      <c r="AT114" s="4753">
        <f>SUM(AT110:AT113)</f>
        <v>289649.35381784826</v>
      </c>
      <c r="AU114" s="4756"/>
      <c r="AV114" s="4757">
        <f>SUM(AV110:AV113)</f>
        <v>31286.000000000004</v>
      </c>
      <c r="AW114" s="4752"/>
      <c r="AX114" s="4753">
        <f>SUM(AX110:AX113)</f>
        <v>321335.99487939588</v>
      </c>
      <c r="AY114" s="4756"/>
      <c r="AZ114" s="4757">
        <f>SUM(AZ110:AZ113)</f>
        <v>35377.000000000007</v>
      </c>
      <c r="BA114" s="4754"/>
      <c r="BB114" s="4755" t="e">
        <f>SUM(BB110:BB113)</f>
        <v>#REF!</v>
      </c>
      <c r="BC114" s="4758"/>
      <c r="BD114" s="4759" t="e">
        <f>SUM(BD110:BD113)</f>
        <v>#REF!</v>
      </c>
      <c r="BE114" s="4752"/>
      <c r="BF114" s="4753" t="e">
        <f>SUM(BF110:BF113)</f>
        <v>#REF!</v>
      </c>
    </row>
    <row r="115" spans="2:58" ht="15" hidden="1" customHeight="1" x14ac:dyDescent="0.25">
      <c r="B115" s="4773"/>
      <c r="C115" s="4771"/>
      <c r="D115" s="4771"/>
      <c r="E115" s="4750"/>
      <c r="F115" s="4744"/>
      <c r="G115" s="4750"/>
      <c r="H115" s="4751"/>
      <c r="I115" s="4752"/>
      <c r="J115" s="4753"/>
      <c r="K115" s="4750"/>
      <c r="L115" s="4751"/>
      <c r="M115" s="4754"/>
      <c r="N115" s="4755"/>
      <c r="O115" s="4756"/>
      <c r="P115" s="4757"/>
      <c r="Q115" s="4752"/>
      <c r="R115" s="4753"/>
      <c r="S115" s="4756"/>
      <c r="T115" s="4757"/>
      <c r="U115" s="4752"/>
      <c r="V115" s="4753"/>
      <c r="W115" s="4756"/>
      <c r="X115" s="4757"/>
      <c r="Y115" s="4754"/>
      <c r="Z115" s="4755"/>
      <c r="AA115" s="4758"/>
      <c r="AB115" s="4759"/>
      <c r="AC115" s="4756"/>
      <c r="AD115" s="4757"/>
      <c r="AE115" s="4752"/>
      <c r="AF115" s="4753"/>
      <c r="AG115" s="4756"/>
      <c r="AH115" s="4757"/>
      <c r="AI115" s="4752"/>
      <c r="AJ115" s="4753"/>
      <c r="AK115" s="4756"/>
      <c r="AL115" s="4757"/>
      <c r="AM115" s="4754"/>
      <c r="AN115" s="4755"/>
      <c r="AO115" s="4752"/>
      <c r="AP115" s="4753"/>
      <c r="AQ115" s="4756"/>
      <c r="AR115" s="4757"/>
      <c r="AS115" s="4752"/>
      <c r="AT115" s="4753"/>
      <c r="AU115" s="4756"/>
      <c r="AV115" s="4757"/>
      <c r="AW115" s="4752"/>
      <c r="AX115" s="4753"/>
      <c r="AY115" s="4756"/>
      <c r="AZ115" s="4757"/>
      <c r="BA115" s="4754"/>
      <c r="BB115" s="4755"/>
      <c r="BC115" s="4758"/>
      <c r="BD115" s="4759"/>
      <c r="BE115" s="4752"/>
      <c r="BF115" s="4753"/>
    </row>
    <row r="116" spans="2:58" ht="15" hidden="1" customHeight="1" x14ac:dyDescent="0.25">
      <c r="B116" s="4748" t="s">
        <v>1259</v>
      </c>
      <c r="C116" s="4772" t="s">
        <v>393</v>
      </c>
      <c r="D116" s="4772"/>
      <c r="E116" s="4750"/>
      <c r="F116" s="4744">
        <f>+F109-F114</f>
        <v>221042.35110673888</v>
      </c>
      <c r="G116" s="4750"/>
      <c r="H116" s="4751">
        <f>+H109-H114</f>
        <v>193589.99769139217</v>
      </c>
      <c r="I116" s="4752"/>
      <c r="J116" s="4753">
        <f>+J109-J114</f>
        <v>414632.34839474619</v>
      </c>
      <c r="K116" s="4750"/>
      <c r="L116" s="4751">
        <f>+L109-L114</f>
        <v>289995.18188287597</v>
      </c>
      <c r="M116" s="4754"/>
      <c r="N116" s="4755">
        <f>+N109-N114</f>
        <v>704627.53007329383</v>
      </c>
      <c r="O116" s="4756"/>
      <c r="P116" s="4757">
        <f>+P109-P114</f>
        <v>294772.36777913023</v>
      </c>
      <c r="Q116" s="4752"/>
      <c r="R116" s="4753">
        <f>+R109-R114</f>
        <v>999399.89715731936</v>
      </c>
      <c r="S116" s="4756"/>
      <c r="T116" s="4757">
        <f>+T109-T114</f>
        <v>284138.83974822419</v>
      </c>
      <c r="U116" s="4752"/>
      <c r="V116" s="4753">
        <f>+V109-V114</f>
        <v>1283538.7370330514</v>
      </c>
      <c r="W116" s="4756"/>
      <c r="X116" s="4757">
        <f>+X109-X114</f>
        <v>260910.501632094</v>
      </c>
      <c r="Y116" s="4754"/>
      <c r="Z116" s="4755">
        <f>+Z109-Z114</f>
        <v>839821.71065892826</v>
      </c>
      <c r="AA116" s="4758"/>
      <c r="AB116" s="4759">
        <f>+AB109-AB114</f>
        <v>1544449.2400934494</v>
      </c>
      <c r="AC116" s="4756"/>
      <c r="AD116" s="4757">
        <f>+AD109-AD114</f>
        <v>272704.45269641024</v>
      </c>
      <c r="AE116" s="4752"/>
      <c r="AF116" s="4753">
        <f>+AF109-AF114</f>
        <v>1816423.1905828828</v>
      </c>
      <c r="AG116" s="4756"/>
      <c r="AH116" s="4757">
        <f>+AH109-AH114</f>
        <v>264273.53575897432</v>
      </c>
      <c r="AI116" s="4752"/>
      <c r="AJ116" s="4753">
        <f>+AJ109-AJ114</f>
        <v>2080460.3481845423</v>
      </c>
      <c r="AK116" s="4756"/>
      <c r="AL116" s="4757">
        <f>+AL109-AL114</f>
        <v>293816.70239692309</v>
      </c>
      <c r="AM116" s="4754"/>
      <c r="AN116" s="4755">
        <f>+AN109-AN114</f>
        <v>829526.52755912778</v>
      </c>
      <c r="AO116" s="4752"/>
      <c r="AP116" s="4753">
        <f>+AP109-AP114</f>
        <v>2373975.7675652821</v>
      </c>
      <c r="AQ116" s="4756"/>
      <c r="AR116" s="4757">
        <f>+AR109-AR114</f>
        <v>294006.73848717945</v>
      </c>
      <c r="AS116" s="4752"/>
      <c r="AT116" s="4753">
        <f>+AT109-AT114</f>
        <v>2667101.0953308698</v>
      </c>
      <c r="AU116" s="4756"/>
      <c r="AV116" s="4757">
        <f>+AV109-AV114</f>
        <v>263054.74819794879</v>
      </c>
      <c r="AW116" s="4752"/>
      <c r="AX116" s="4753">
        <f>+AX109-AX114</f>
        <v>2929755.2024672716</v>
      </c>
      <c r="AY116" s="4756"/>
      <c r="AZ116" s="4757">
        <f>+AZ109-AZ114</f>
        <v>286849.31468410254</v>
      </c>
      <c r="BA116" s="4754"/>
      <c r="BB116" s="4755" t="e">
        <f>+BB109-BB114</f>
        <v>#REF!</v>
      </c>
      <c r="BC116" s="4758"/>
      <c r="BD116" s="4759" t="e">
        <f>+BD109-BD114</f>
        <v>#REF!</v>
      </c>
      <c r="BE116" s="4752"/>
      <c r="BF116" s="4753" t="e">
        <f>+BF109-BF114</f>
        <v>#REF!</v>
      </c>
    </row>
    <row r="117" spans="2:58" ht="15" hidden="1" customHeight="1" x14ac:dyDescent="0.25">
      <c r="B117" s="4773"/>
      <c r="C117" s="4771"/>
      <c r="D117" s="477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54"/>
      <c r="P117" s="554"/>
      <c r="Q117" s="554"/>
      <c r="R117" s="554"/>
      <c r="S117" s="554"/>
      <c r="T117" s="554"/>
      <c r="U117" s="554"/>
      <c r="V117" s="554"/>
      <c r="W117" s="554"/>
      <c r="X117" s="554"/>
      <c r="Y117" s="554"/>
      <c r="Z117" s="554"/>
      <c r="AA117" s="554"/>
      <c r="AB117" s="554"/>
      <c r="AC117" s="554"/>
      <c r="AD117" s="554"/>
      <c r="AE117" s="554"/>
      <c r="AF117" s="554"/>
      <c r="AG117" s="554"/>
      <c r="AH117" s="554"/>
      <c r="AI117" s="554"/>
      <c r="AJ117" s="554"/>
      <c r="AK117" s="554"/>
      <c r="AL117" s="554"/>
      <c r="AM117" s="554"/>
      <c r="AN117" s="554"/>
      <c r="AO117" s="554"/>
      <c r="AP117" s="554"/>
      <c r="AQ117" s="554"/>
      <c r="AR117" s="554"/>
      <c r="AS117" s="554"/>
      <c r="AT117" s="554"/>
      <c r="AU117" s="554"/>
      <c r="AV117" s="554"/>
      <c r="AW117" s="554"/>
      <c r="AX117" s="554"/>
      <c r="AY117" s="554"/>
      <c r="AZ117" s="554"/>
      <c r="BA117" s="554"/>
      <c r="BB117" s="554"/>
      <c r="BC117" s="554"/>
      <c r="BD117" s="554"/>
      <c r="BE117" s="554"/>
      <c r="BF117" s="554"/>
    </row>
    <row r="118" spans="2:58" s="1386" customFormat="1" ht="15.75" hidden="1" customHeight="1" x14ac:dyDescent="0.25">
      <c r="B118" s="4775" t="s">
        <v>956</v>
      </c>
      <c r="C118" s="4771"/>
      <c r="D118" s="477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4"/>
      <c r="P118" s="554"/>
      <c r="Q118" s="554"/>
      <c r="R118" s="554"/>
      <c r="S118" s="554"/>
      <c r="T118" s="554"/>
      <c r="U118" s="554"/>
      <c r="V118" s="554"/>
      <c r="W118" s="554"/>
      <c r="X118" s="554"/>
      <c r="Y118" s="554"/>
      <c r="Z118" s="554"/>
      <c r="AA118" s="554"/>
      <c r="AB118" s="554"/>
      <c r="AC118" s="554"/>
      <c r="AD118" s="554"/>
      <c r="AE118" s="554"/>
      <c r="AF118" s="554"/>
      <c r="AG118" s="554"/>
      <c r="AH118" s="554"/>
      <c r="AI118" s="554"/>
      <c r="AJ118" s="554"/>
      <c r="AK118" s="554"/>
      <c r="AL118" s="554"/>
      <c r="AM118" s="554"/>
      <c r="AN118" s="554"/>
      <c r="AO118" s="554"/>
      <c r="AP118" s="554"/>
      <c r="AQ118" s="554"/>
      <c r="AR118" s="554"/>
      <c r="AS118" s="554"/>
      <c r="AT118" s="554"/>
      <c r="AU118" s="554"/>
      <c r="AV118" s="554"/>
      <c r="AW118" s="554"/>
      <c r="AX118" s="554"/>
      <c r="AY118" s="554"/>
      <c r="AZ118" s="554"/>
      <c r="BA118" s="554"/>
      <c r="BB118" s="554"/>
      <c r="BC118" s="554"/>
      <c r="BD118" s="554"/>
      <c r="BE118" s="554"/>
      <c r="BF118" s="554"/>
    </row>
    <row r="119" spans="2:58" ht="15" hidden="1" customHeight="1" x14ac:dyDescent="0.25">
      <c r="B119" s="4748" t="s">
        <v>20</v>
      </c>
      <c r="C119" s="4772" t="s">
        <v>393</v>
      </c>
      <c r="D119" s="4772"/>
      <c r="E119" s="4750"/>
      <c r="F119" s="4744">
        <f>+F7+F31</f>
        <v>17478.695243000002</v>
      </c>
      <c r="G119" s="4750"/>
      <c r="H119" s="4751">
        <f>+H7+H31</f>
        <v>19508.705571999999</v>
      </c>
      <c r="I119" s="4752"/>
      <c r="J119" s="4753">
        <f>+J7+J31</f>
        <v>36987.400815000001</v>
      </c>
      <c r="K119" s="4750"/>
      <c r="L119" s="4751">
        <f>+L7+L31</f>
        <v>26690.748511000002</v>
      </c>
      <c r="M119" s="4754"/>
      <c r="N119" s="4755">
        <f>+N7+N31</f>
        <v>63678.149325999999</v>
      </c>
      <c r="O119" s="4756"/>
      <c r="P119" s="4757">
        <f>+P7+P31</f>
        <v>31375.596720000001</v>
      </c>
      <c r="Q119" s="4752"/>
      <c r="R119" s="4753">
        <f>+R7+R31</f>
        <v>95053.746046</v>
      </c>
      <c r="S119" s="4756"/>
      <c r="T119" s="4757">
        <f>+T7+T31</f>
        <v>28315.863727</v>
      </c>
      <c r="U119" s="4752"/>
      <c r="V119" s="4753">
        <f>+V7+V31</f>
        <v>123369.609773</v>
      </c>
      <c r="W119" s="4756"/>
      <c r="X119" s="4757">
        <f>+X7+X31</f>
        <v>25373.098526000002</v>
      </c>
      <c r="Y119" s="4754"/>
      <c r="Z119" s="4755">
        <f>+Z7+Z31</f>
        <v>85064.558973000007</v>
      </c>
      <c r="AA119" s="4758"/>
      <c r="AB119" s="4759">
        <f>+AB7+AB31</f>
        <v>148742.70829899999</v>
      </c>
      <c r="AC119" s="4756"/>
      <c r="AD119" s="4757">
        <f>+AD7+AD31</f>
        <v>36182.651033999995</v>
      </c>
      <c r="AE119" s="4752"/>
      <c r="AF119" s="4753">
        <f>+AF7+AF31</f>
        <v>184925.359333</v>
      </c>
      <c r="AG119" s="4756"/>
      <c r="AH119" s="4757">
        <f>+AH7+AH31</f>
        <v>30028.700736999999</v>
      </c>
      <c r="AI119" s="4752"/>
      <c r="AJ119" s="4753">
        <f>+AJ7+AJ31</f>
        <v>214954.06007000001</v>
      </c>
      <c r="AK119" s="4756"/>
      <c r="AL119" s="4757">
        <f>+AL7+AL31</f>
        <v>39002.995870999999</v>
      </c>
      <c r="AM119" s="4754"/>
      <c r="AN119" s="4755">
        <f>+AN7+AN31</f>
        <v>105214.34764200001</v>
      </c>
      <c r="AO119" s="4752"/>
      <c r="AP119" s="4753">
        <f>+AP7+AP31</f>
        <v>253957.055941</v>
      </c>
      <c r="AQ119" s="4756"/>
      <c r="AR119" s="4757">
        <f>+AR7+AR31</f>
        <v>29400.161939000001</v>
      </c>
      <c r="AS119" s="4752"/>
      <c r="AT119" s="4753">
        <f>+AT7+AT31</f>
        <v>283357.21788000001</v>
      </c>
      <c r="AU119" s="4756"/>
      <c r="AV119" s="4757">
        <f>+AV7+AV31</f>
        <v>30792.522487999999</v>
      </c>
      <c r="AW119" s="4752"/>
      <c r="AX119" s="4753">
        <f>+AX7+AX31</f>
        <v>314149.740368</v>
      </c>
      <c r="AY119" s="4756"/>
      <c r="AZ119" s="4757">
        <f>+AZ7+AZ31</f>
        <v>40661.747313</v>
      </c>
      <c r="BA119" s="4754"/>
      <c r="BB119" s="4755">
        <f>+BB7+BB31</f>
        <v>100854.43174</v>
      </c>
      <c r="BC119" s="4758"/>
      <c r="BD119" s="4759">
        <f>+BD7+BD31</f>
        <v>206068.77938200001</v>
      </c>
      <c r="BE119" s="4752"/>
      <c r="BF119" s="4753">
        <f>+BF7+BF31</f>
        <v>354811.48768100003</v>
      </c>
    </row>
    <row r="120" spans="2:58" s="1386" customFormat="1" ht="15" hidden="1" customHeight="1" x14ac:dyDescent="0.25">
      <c r="B120" s="4748" t="s">
        <v>1253</v>
      </c>
      <c r="C120" s="4776" t="s">
        <v>52</v>
      </c>
      <c r="D120" s="4776"/>
      <c r="E120" s="4750"/>
      <c r="F120" s="4745">
        <v>1.25</v>
      </c>
      <c r="G120" s="4777"/>
      <c r="H120" s="4778">
        <v>1.25</v>
      </c>
      <c r="I120" s="4779"/>
      <c r="J120" s="4780">
        <v>1.25</v>
      </c>
      <c r="K120" s="4777"/>
      <c r="L120" s="4778">
        <v>1.25</v>
      </c>
      <c r="M120" s="4781"/>
      <c r="N120" s="4782">
        <v>1.25</v>
      </c>
      <c r="O120" s="4783"/>
      <c r="P120" s="4784">
        <v>1.25</v>
      </c>
      <c r="Q120" s="4779"/>
      <c r="R120" s="4780">
        <v>1.25</v>
      </c>
      <c r="S120" s="4783"/>
      <c r="T120" s="4784">
        <v>1.25</v>
      </c>
      <c r="U120" s="4779"/>
      <c r="V120" s="4780">
        <v>1.25</v>
      </c>
      <c r="W120" s="4783"/>
      <c r="X120" s="4784">
        <v>1.25</v>
      </c>
      <c r="Y120" s="4781"/>
      <c r="Z120" s="4782">
        <v>1.25</v>
      </c>
      <c r="AA120" s="4785"/>
      <c r="AB120" s="4786">
        <v>1.25</v>
      </c>
      <c r="AC120" s="4783"/>
      <c r="AD120" s="4784">
        <v>1.25</v>
      </c>
      <c r="AE120" s="4779"/>
      <c r="AF120" s="4780">
        <v>1.25</v>
      </c>
      <c r="AG120" s="4783"/>
      <c r="AH120" s="4784">
        <v>1.25</v>
      </c>
      <c r="AI120" s="4779"/>
      <c r="AJ120" s="4780">
        <v>1.25</v>
      </c>
      <c r="AK120" s="4783"/>
      <c r="AL120" s="4784">
        <v>1.25</v>
      </c>
      <c r="AM120" s="4781"/>
      <c r="AN120" s="4782">
        <v>1.25</v>
      </c>
      <c r="AO120" s="4779"/>
      <c r="AP120" s="4780">
        <v>1.25</v>
      </c>
      <c r="AQ120" s="4783"/>
      <c r="AR120" s="4784">
        <v>1.25</v>
      </c>
      <c r="AS120" s="4779"/>
      <c r="AT120" s="4780">
        <v>1.25</v>
      </c>
      <c r="AU120" s="4783"/>
      <c r="AV120" s="4784">
        <v>1.25</v>
      </c>
      <c r="AW120" s="4779"/>
      <c r="AX120" s="4780">
        <v>1.25</v>
      </c>
      <c r="AY120" s="4783"/>
      <c r="AZ120" s="4784">
        <v>1.25</v>
      </c>
      <c r="BA120" s="4781"/>
      <c r="BB120" s="4782">
        <v>1.25</v>
      </c>
      <c r="BC120" s="4785"/>
      <c r="BD120" s="4786">
        <v>1.25</v>
      </c>
      <c r="BE120" s="4779"/>
      <c r="BF120" s="4780">
        <v>1.25</v>
      </c>
    </row>
    <row r="121" spans="2:58" s="1386" customFormat="1" ht="15" hidden="1" customHeight="1" x14ac:dyDescent="0.25">
      <c r="B121" s="4748" t="s">
        <v>1253</v>
      </c>
      <c r="C121" s="4772" t="s">
        <v>393</v>
      </c>
      <c r="D121" s="4772"/>
      <c r="E121" s="4750"/>
      <c r="F121" s="4744">
        <f>+F119*F120/(100-F120)</f>
        <v>221.24930687341774</v>
      </c>
      <c r="G121" s="4750"/>
      <c r="H121" s="4751">
        <f>+H119*H120/(100-H120)</f>
        <v>246.94564015189874</v>
      </c>
      <c r="I121" s="4752"/>
      <c r="J121" s="4753">
        <f>+J119*J120/(100-J120)</f>
        <v>468.19494702531648</v>
      </c>
      <c r="K121" s="4750"/>
      <c r="L121" s="4751">
        <f>+L119*L120/(100-L120)</f>
        <v>337.85757608860763</v>
      </c>
      <c r="M121" s="4754"/>
      <c r="N121" s="4755">
        <f>+N119*N120/(100-N120)</f>
        <v>806.05252311392405</v>
      </c>
      <c r="O121" s="4756"/>
      <c r="P121" s="4757">
        <f>+P119*P120/(100-P120)</f>
        <v>397.15945215189873</v>
      </c>
      <c r="Q121" s="4752"/>
      <c r="R121" s="4753">
        <f>+R119*R120/(100-R120)</f>
        <v>1203.2119752658227</v>
      </c>
      <c r="S121" s="4756"/>
      <c r="T121" s="4757">
        <f>+T119*T120/(100-T120)</f>
        <v>358.4286547721519</v>
      </c>
      <c r="U121" s="4752"/>
      <c r="V121" s="4753">
        <f>+V119*V120/(100-V120)</f>
        <v>1561.6406300379747</v>
      </c>
      <c r="W121" s="4756"/>
      <c r="X121" s="4757">
        <f>+X119*X120/(100-X120)</f>
        <v>321.17846235443039</v>
      </c>
      <c r="Y121" s="4754"/>
      <c r="Z121" s="4755">
        <f>+Z119*Z120/(100-Z120)</f>
        <v>1076.7665692784813</v>
      </c>
      <c r="AA121" s="4758"/>
      <c r="AB121" s="4759">
        <f>+AB119*AB120/(100-AB120)</f>
        <v>1882.8190923924051</v>
      </c>
      <c r="AC121" s="4756"/>
      <c r="AD121" s="4757">
        <f>+AD119*AD120/(100-AD120)</f>
        <v>458.00824093670877</v>
      </c>
      <c r="AE121" s="4752"/>
      <c r="AF121" s="4753">
        <f>+AF119*AF120/(100-AF120)</f>
        <v>2340.827333329114</v>
      </c>
      <c r="AG121" s="4756"/>
      <c r="AH121" s="4757">
        <f>+AH119*AH120/(100-AH120)</f>
        <v>380.11013591139243</v>
      </c>
      <c r="AI121" s="4752"/>
      <c r="AJ121" s="4753">
        <f>+AJ119*AJ120/(100-AJ120)</f>
        <v>2720.9374692405067</v>
      </c>
      <c r="AK121" s="4756"/>
      <c r="AL121" s="4757">
        <f>+AL119*AL120/(100-AL120)</f>
        <v>493.70880849367086</v>
      </c>
      <c r="AM121" s="4754"/>
      <c r="AN121" s="4755">
        <f>+AN119*AN120/(100-AN120)</f>
        <v>1331.8271853417723</v>
      </c>
      <c r="AO121" s="4752"/>
      <c r="AP121" s="4753">
        <f>+AP119*AP120/(100-AP120)</f>
        <v>3214.6462777341776</v>
      </c>
      <c r="AQ121" s="4756"/>
      <c r="AR121" s="4757">
        <f>+AR119*AR120/(100-AR120)</f>
        <v>372.15394859493671</v>
      </c>
      <c r="AS121" s="4752"/>
      <c r="AT121" s="4753">
        <f>+AT119*AT120/(100-AT120)</f>
        <v>3586.8002263291137</v>
      </c>
      <c r="AU121" s="4756"/>
      <c r="AV121" s="4757">
        <f>+AV119*AV120/(100-AV120)</f>
        <v>389.77876567088606</v>
      </c>
      <c r="AW121" s="4752"/>
      <c r="AX121" s="4753">
        <f>+AX119*AX120/(100-AX120)</f>
        <v>3976.5789920000002</v>
      </c>
      <c r="AY121" s="4756"/>
      <c r="AZ121" s="4757">
        <f>+AZ119*AZ120/(100-AZ120)</f>
        <v>514.70566218987346</v>
      </c>
      <c r="BA121" s="4754"/>
      <c r="BB121" s="4755">
        <f>+BB119*BB120/(100-BB120)</f>
        <v>1276.6383764556963</v>
      </c>
      <c r="BC121" s="4758"/>
      <c r="BD121" s="4759">
        <f>+BD119*BD120/(100-BD120)</f>
        <v>2608.4655617974686</v>
      </c>
      <c r="BE121" s="4752"/>
      <c r="BF121" s="4753">
        <f>+BF119*BF120/(100-BF120)</f>
        <v>4491.2846541898734</v>
      </c>
    </row>
    <row r="122" spans="2:58" s="1386" customFormat="1" ht="15" hidden="1" customHeight="1" x14ac:dyDescent="0.25">
      <c r="B122" s="4748" t="s">
        <v>549</v>
      </c>
      <c r="C122" s="4772" t="s">
        <v>393</v>
      </c>
      <c r="D122" s="4772"/>
      <c r="E122" s="4750"/>
      <c r="F122" s="4744">
        <f>+F121+F119</f>
        <v>17699.94454987342</v>
      </c>
      <c r="G122" s="4750"/>
      <c r="H122" s="4751">
        <f>+H121+H119</f>
        <v>19755.651212151897</v>
      </c>
      <c r="I122" s="4752"/>
      <c r="J122" s="4753">
        <f>+J121+J119</f>
        <v>37455.595762025318</v>
      </c>
      <c r="K122" s="4750"/>
      <c r="L122" s="4751">
        <f>+L121+L119</f>
        <v>27028.60608708861</v>
      </c>
      <c r="M122" s="4754"/>
      <c r="N122" s="4755">
        <f>+N121+N119</f>
        <v>64484.201849113924</v>
      </c>
      <c r="O122" s="4756"/>
      <c r="P122" s="4757">
        <f>+P121+P119</f>
        <v>31772.756172151901</v>
      </c>
      <c r="Q122" s="4752"/>
      <c r="R122" s="4753">
        <f>+R121+R119</f>
        <v>96256.958021265818</v>
      </c>
      <c r="S122" s="4756"/>
      <c r="T122" s="4757">
        <f>+T121+T119</f>
        <v>28674.292381772153</v>
      </c>
      <c r="U122" s="4752"/>
      <c r="V122" s="4753">
        <f>+V121+V119</f>
        <v>124931.25040303798</v>
      </c>
      <c r="W122" s="4756"/>
      <c r="X122" s="4757">
        <f>+X121+X119</f>
        <v>25694.276988354432</v>
      </c>
      <c r="Y122" s="4754"/>
      <c r="Z122" s="4755">
        <f>+Z121+Z119</f>
        <v>86141.325542278486</v>
      </c>
      <c r="AA122" s="4758"/>
      <c r="AB122" s="4759">
        <f>+AB121+AB119</f>
        <v>150625.52739139239</v>
      </c>
      <c r="AC122" s="4756"/>
      <c r="AD122" s="4757">
        <f>+AD121+AD119</f>
        <v>36640.659274936705</v>
      </c>
      <c r="AE122" s="4752"/>
      <c r="AF122" s="4753">
        <f>+AF121+AF119</f>
        <v>187266.1866663291</v>
      </c>
      <c r="AG122" s="4756"/>
      <c r="AH122" s="4757">
        <f>+AH121+AH119</f>
        <v>30408.810872911392</v>
      </c>
      <c r="AI122" s="4752"/>
      <c r="AJ122" s="4753">
        <f>+AJ121+AJ119</f>
        <v>217674.99753924052</v>
      </c>
      <c r="AK122" s="4756"/>
      <c r="AL122" s="4757">
        <f>+AL121+AL119</f>
        <v>39496.704679493669</v>
      </c>
      <c r="AM122" s="4754"/>
      <c r="AN122" s="4755">
        <f>+AN121+AN119</f>
        <v>106546.17482734178</v>
      </c>
      <c r="AO122" s="4752"/>
      <c r="AP122" s="4753">
        <f>+AP121+AP119</f>
        <v>257171.70221873416</v>
      </c>
      <c r="AQ122" s="4756"/>
      <c r="AR122" s="4757">
        <f>+AR121+AR119</f>
        <v>29772.315887594938</v>
      </c>
      <c r="AS122" s="4752"/>
      <c r="AT122" s="4753">
        <f>+AT121+AT119</f>
        <v>286944.01810632914</v>
      </c>
      <c r="AU122" s="4756"/>
      <c r="AV122" s="4757">
        <f>+AV121+AV119</f>
        <v>31182.301253670885</v>
      </c>
      <c r="AW122" s="4752"/>
      <c r="AX122" s="4753">
        <f>+AX121+AX119</f>
        <v>318126.31936000002</v>
      </c>
      <c r="AY122" s="4756"/>
      <c r="AZ122" s="4757">
        <f>+AZ121+AZ119</f>
        <v>41176.452975189874</v>
      </c>
      <c r="BA122" s="4754"/>
      <c r="BB122" s="4755">
        <f>+BB121+BB119</f>
        <v>102131.0701164557</v>
      </c>
      <c r="BC122" s="4758"/>
      <c r="BD122" s="4759">
        <f>+BD121+BD119</f>
        <v>208677.24494379747</v>
      </c>
      <c r="BE122" s="4752"/>
      <c r="BF122" s="4753">
        <f>+BF121+BF119</f>
        <v>359302.77233518992</v>
      </c>
    </row>
    <row r="123" spans="2:58" s="1386" customFormat="1" ht="15" hidden="1" customHeight="1" x14ac:dyDescent="0.25">
      <c r="B123" s="4748"/>
      <c r="C123" s="4772"/>
      <c r="D123" s="4772"/>
      <c r="E123" s="4750"/>
      <c r="F123" s="4744"/>
      <c r="G123" s="4750"/>
      <c r="H123" s="4751"/>
      <c r="I123" s="4752"/>
      <c r="J123" s="4753"/>
      <c r="K123" s="4750"/>
      <c r="L123" s="4751"/>
      <c r="M123" s="4754"/>
      <c r="N123" s="4755"/>
      <c r="O123" s="4756"/>
      <c r="P123" s="4757"/>
      <c r="Q123" s="4752"/>
      <c r="R123" s="4753"/>
      <c r="S123" s="4756"/>
      <c r="T123" s="4757"/>
      <c r="U123" s="4752"/>
      <c r="V123" s="4753"/>
      <c r="W123" s="4756"/>
      <c r="X123" s="4757"/>
      <c r="Y123" s="4754"/>
      <c r="Z123" s="4755"/>
      <c r="AA123" s="4758"/>
      <c r="AB123" s="4759"/>
      <c r="AC123" s="4756"/>
      <c r="AD123" s="4757"/>
      <c r="AE123" s="4752"/>
      <c r="AF123" s="4753"/>
      <c r="AG123" s="4756"/>
      <c r="AH123" s="4757"/>
      <c r="AI123" s="4752"/>
      <c r="AJ123" s="4753"/>
      <c r="AK123" s="4756"/>
      <c r="AL123" s="4757"/>
      <c r="AM123" s="4754"/>
      <c r="AN123" s="4755"/>
      <c r="AO123" s="4752"/>
      <c r="AP123" s="4753"/>
      <c r="AQ123" s="4756"/>
      <c r="AR123" s="4757"/>
      <c r="AS123" s="4752"/>
      <c r="AT123" s="4753"/>
      <c r="AU123" s="4756"/>
      <c r="AV123" s="4757"/>
      <c r="AW123" s="4752"/>
      <c r="AX123" s="4753"/>
      <c r="AY123" s="4756"/>
      <c r="AZ123" s="4757"/>
      <c r="BA123" s="4754"/>
      <c r="BB123" s="4755"/>
      <c r="BC123" s="4758"/>
      <c r="BD123" s="4759"/>
      <c r="BE123" s="4752"/>
      <c r="BF123" s="4753"/>
    </row>
    <row r="124" spans="2:58" ht="15.75" hidden="1" customHeight="1" x14ac:dyDescent="0.25">
      <c r="B124" s="4775" t="s">
        <v>955</v>
      </c>
      <c r="C124" s="4771"/>
      <c r="D124" s="4771"/>
      <c r="E124" s="4750"/>
      <c r="F124" s="4744"/>
      <c r="G124" s="4750"/>
      <c r="H124" s="4751"/>
      <c r="I124" s="4752"/>
      <c r="J124" s="4753"/>
      <c r="K124" s="4750"/>
      <c r="L124" s="4751"/>
      <c r="M124" s="4754"/>
      <c r="N124" s="4755"/>
      <c r="O124" s="4756"/>
      <c r="P124" s="4757"/>
      <c r="Q124" s="4752"/>
      <c r="R124" s="4753"/>
      <c r="S124" s="4756"/>
      <c r="T124" s="4757"/>
      <c r="U124" s="4752"/>
      <c r="V124" s="4753"/>
      <c r="W124" s="4756"/>
      <c r="X124" s="4757"/>
      <c r="Y124" s="4754"/>
      <c r="Z124" s="4755"/>
      <c r="AA124" s="4758"/>
      <c r="AB124" s="4759"/>
      <c r="AC124" s="4756"/>
      <c r="AD124" s="4757"/>
      <c r="AE124" s="4752"/>
      <c r="AF124" s="4753"/>
      <c r="AG124" s="4756"/>
      <c r="AH124" s="4757"/>
      <c r="AI124" s="4752"/>
      <c r="AJ124" s="4753"/>
      <c r="AK124" s="4756"/>
      <c r="AL124" s="4757"/>
      <c r="AM124" s="4754"/>
      <c r="AN124" s="4755"/>
      <c r="AO124" s="4752"/>
      <c r="AP124" s="4753"/>
      <c r="AQ124" s="4756"/>
      <c r="AR124" s="4757"/>
      <c r="AS124" s="4752"/>
      <c r="AT124" s="4753"/>
      <c r="AU124" s="4756"/>
      <c r="AV124" s="4757"/>
      <c r="AW124" s="4752"/>
      <c r="AX124" s="4753"/>
      <c r="AY124" s="4756"/>
      <c r="AZ124" s="4757"/>
      <c r="BA124" s="4754"/>
      <c r="BB124" s="4755"/>
      <c r="BC124" s="4758"/>
      <c r="BD124" s="4759"/>
      <c r="BE124" s="4752"/>
      <c r="BF124" s="4753"/>
    </row>
    <row r="125" spans="2:58" ht="15" hidden="1" customHeight="1" x14ac:dyDescent="0.25">
      <c r="B125" s="4748" t="s">
        <v>20</v>
      </c>
      <c r="C125" s="4772" t="s">
        <v>393</v>
      </c>
      <c r="D125" s="4772"/>
      <c r="E125" s="4750"/>
      <c r="F125" s="4744">
        <f>+F8+F32</f>
        <v>41317.622773000003</v>
      </c>
      <c r="G125" s="4750"/>
      <c r="H125" s="4751">
        <f>+H8+H32</f>
        <v>32668.306794</v>
      </c>
      <c r="I125" s="4752"/>
      <c r="J125" s="4753">
        <f>+J8+J32</f>
        <v>73985.929566999999</v>
      </c>
      <c r="K125" s="4750"/>
      <c r="L125" s="4751">
        <f>+L8+L32</f>
        <v>53631.169461999998</v>
      </c>
      <c r="M125" s="4754"/>
      <c r="N125" s="4755">
        <f>+N8+N32</f>
        <v>127617.099029</v>
      </c>
      <c r="O125" s="4756"/>
      <c r="P125" s="4757">
        <f>+P8+P32</f>
        <v>52014.902276000001</v>
      </c>
      <c r="Q125" s="4752"/>
      <c r="R125" s="4753">
        <f>+R8+R32</f>
        <v>179632.00130500001</v>
      </c>
      <c r="S125" s="4756"/>
      <c r="T125" s="4757">
        <f>+T8+T32</f>
        <v>46777.820842000001</v>
      </c>
      <c r="U125" s="4752"/>
      <c r="V125" s="4753">
        <f>+V8+V32</f>
        <v>226409.822147</v>
      </c>
      <c r="W125" s="4756"/>
      <c r="X125" s="4757">
        <f>+X8+X32</f>
        <v>42616.372527</v>
      </c>
      <c r="Y125" s="4754"/>
      <c r="Z125" s="4755">
        <f>+Z8+Z32</f>
        <v>141409.09564499999</v>
      </c>
      <c r="AA125" s="4758"/>
      <c r="AB125" s="4759">
        <f>+AB8+AB32</f>
        <v>269026.19467400003</v>
      </c>
      <c r="AC125" s="4756"/>
      <c r="AD125" s="4757">
        <f>+AD8+AD32</f>
        <v>44874.528275999997</v>
      </c>
      <c r="AE125" s="4752"/>
      <c r="AF125" s="4753">
        <f>+AF8+AF32</f>
        <v>313900.72294999997</v>
      </c>
      <c r="AG125" s="4756"/>
      <c r="AH125" s="4757">
        <f>+AH8+AH32</f>
        <v>44066.878352</v>
      </c>
      <c r="AI125" s="4752"/>
      <c r="AJ125" s="4753">
        <f>+AJ8+AJ32</f>
        <v>357967.601302</v>
      </c>
      <c r="AK125" s="4756"/>
      <c r="AL125" s="4757">
        <f>+AL8+AL32</f>
        <v>45146.841941999999</v>
      </c>
      <c r="AM125" s="4754"/>
      <c r="AN125" s="4755">
        <f>+AN8+AN32</f>
        <v>134088.24857</v>
      </c>
      <c r="AO125" s="4752"/>
      <c r="AP125" s="4753">
        <f>+AP8+AP32</f>
        <v>403114.44324399997</v>
      </c>
      <c r="AQ125" s="4756"/>
      <c r="AR125" s="4757">
        <f>+AR8+AR32</f>
        <v>43765.914239999998</v>
      </c>
      <c r="AS125" s="4752"/>
      <c r="AT125" s="4753">
        <f>+AT8+AT32</f>
        <v>446880.35748399998</v>
      </c>
      <c r="AU125" s="4756"/>
      <c r="AV125" s="4757">
        <f>+AV8+AV32</f>
        <v>43172.675597000001</v>
      </c>
      <c r="AW125" s="4752"/>
      <c r="AX125" s="4753">
        <f>+AX8+AX32</f>
        <v>490053.03308099997</v>
      </c>
      <c r="AY125" s="4756"/>
      <c r="AZ125" s="4757">
        <f>+AZ8+AZ32</f>
        <v>48309.426659999997</v>
      </c>
      <c r="BA125" s="4754"/>
      <c r="BB125" s="4755">
        <f>+BB8+BB32</f>
        <v>135248.016497</v>
      </c>
      <c r="BC125" s="4758"/>
      <c r="BD125" s="4759">
        <f>+BD8+BD32</f>
        <v>269336.265067</v>
      </c>
      <c r="BE125" s="4752"/>
      <c r="BF125" s="4753">
        <f>+BF8+BF32</f>
        <v>538362.45974099997</v>
      </c>
    </row>
    <row r="126" spans="2:58" ht="15" hidden="1" customHeight="1" x14ac:dyDescent="0.25">
      <c r="B126" s="4748" t="s">
        <v>1253</v>
      </c>
      <c r="C126" s="4776" t="s">
        <v>52</v>
      </c>
      <c r="D126" s="4776"/>
      <c r="E126" s="4750"/>
      <c r="F126" s="4745">
        <v>1.25</v>
      </c>
      <c r="G126" s="4777"/>
      <c r="H126" s="4778">
        <v>1.25</v>
      </c>
      <c r="I126" s="4779"/>
      <c r="J126" s="4780">
        <v>1.25</v>
      </c>
      <c r="K126" s="4777"/>
      <c r="L126" s="4778">
        <v>1.25</v>
      </c>
      <c r="M126" s="4781"/>
      <c r="N126" s="4782">
        <v>1.25</v>
      </c>
      <c r="O126" s="4783"/>
      <c r="P126" s="4784">
        <v>1.25</v>
      </c>
      <c r="Q126" s="4779"/>
      <c r="R126" s="4780">
        <v>1.25</v>
      </c>
      <c r="S126" s="4783"/>
      <c r="T126" s="4784">
        <v>1.25</v>
      </c>
      <c r="U126" s="4779"/>
      <c r="V126" s="4780">
        <v>1.25</v>
      </c>
      <c r="W126" s="4783"/>
      <c r="X126" s="4784">
        <v>1.25</v>
      </c>
      <c r="Y126" s="4781"/>
      <c r="Z126" s="4782">
        <v>1.25</v>
      </c>
      <c r="AA126" s="4785"/>
      <c r="AB126" s="4786">
        <v>1.25</v>
      </c>
      <c r="AC126" s="4783"/>
      <c r="AD126" s="4784">
        <v>1.25</v>
      </c>
      <c r="AE126" s="4779"/>
      <c r="AF126" s="4780">
        <v>1.25</v>
      </c>
      <c r="AG126" s="4783"/>
      <c r="AH126" s="4784">
        <v>1.25</v>
      </c>
      <c r="AI126" s="4779"/>
      <c r="AJ126" s="4780">
        <v>1.25</v>
      </c>
      <c r="AK126" s="4783"/>
      <c r="AL126" s="4784">
        <v>1.25</v>
      </c>
      <c r="AM126" s="4781"/>
      <c r="AN126" s="4782">
        <v>1.25</v>
      </c>
      <c r="AO126" s="4779"/>
      <c r="AP126" s="4780">
        <v>1.25</v>
      </c>
      <c r="AQ126" s="4783"/>
      <c r="AR126" s="4784">
        <v>1.25</v>
      </c>
      <c r="AS126" s="4779"/>
      <c r="AT126" s="4780">
        <v>1.25</v>
      </c>
      <c r="AU126" s="4783"/>
      <c r="AV126" s="4784">
        <v>1.25</v>
      </c>
      <c r="AW126" s="4779"/>
      <c r="AX126" s="4780">
        <v>1.25</v>
      </c>
      <c r="AY126" s="4783"/>
      <c r="AZ126" s="4784">
        <v>1.25</v>
      </c>
      <c r="BA126" s="4781"/>
      <c r="BB126" s="4782">
        <v>1.25</v>
      </c>
      <c r="BC126" s="4785"/>
      <c r="BD126" s="4786">
        <v>1.25</v>
      </c>
      <c r="BE126" s="4779"/>
      <c r="BF126" s="4780">
        <v>1.25</v>
      </c>
    </row>
    <row r="127" spans="2:58" ht="15" hidden="1" customHeight="1" x14ac:dyDescent="0.25">
      <c r="B127" s="4748" t="s">
        <v>1253</v>
      </c>
      <c r="C127" s="4772" t="s">
        <v>393</v>
      </c>
      <c r="D127" s="4772"/>
      <c r="E127" s="4750"/>
      <c r="F127" s="4744">
        <f>+F125*F126/(100-F126)</f>
        <v>523.00788320253173</v>
      </c>
      <c r="G127" s="4750"/>
      <c r="H127" s="4751">
        <f>+H125*H126/(100-H126)</f>
        <v>413.52287081012656</v>
      </c>
      <c r="I127" s="4752"/>
      <c r="J127" s="4753">
        <f>+J125*J126/(100-J126)</f>
        <v>936.53075401265824</v>
      </c>
      <c r="K127" s="4750"/>
      <c r="L127" s="4751">
        <f>+L125*L126/(100-L126)</f>
        <v>678.87556281012655</v>
      </c>
      <c r="M127" s="4754"/>
      <c r="N127" s="4755">
        <f>+N125*N126/(100-N126)</f>
        <v>1615.4063168227849</v>
      </c>
      <c r="O127" s="4756"/>
      <c r="P127" s="4757">
        <f>+P125*P126/(100-P126)</f>
        <v>658.4164845063292</v>
      </c>
      <c r="Q127" s="4752"/>
      <c r="R127" s="4753">
        <f>+R125*R126/(100-R126)</f>
        <v>2273.8228013291141</v>
      </c>
      <c r="S127" s="4756"/>
      <c r="T127" s="4757">
        <f>+T125*T126/(100-T126)</f>
        <v>592.12431445569621</v>
      </c>
      <c r="U127" s="4752"/>
      <c r="V127" s="4753">
        <f>+V125*V126/(100-V126)</f>
        <v>2865.9471157848102</v>
      </c>
      <c r="W127" s="4756"/>
      <c r="X127" s="4757">
        <f>+X125*X126/(100-X126)</f>
        <v>539.44775350632915</v>
      </c>
      <c r="Y127" s="4754"/>
      <c r="Z127" s="4755">
        <f>+Z125*Z126/(100-Z126)</f>
        <v>1789.9885524683543</v>
      </c>
      <c r="AA127" s="4758"/>
      <c r="AB127" s="4759">
        <f>+AB125*AB126/(100-AB126)</f>
        <v>3405.3948692911399</v>
      </c>
      <c r="AC127" s="4756"/>
      <c r="AD127" s="4757">
        <f>+AD125*AD126/(100-AD126)</f>
        <v>568.0320034936708</v>
      </c>
      <c r="AE127" s="4752"/>
      <c r="AF127" s="4753">
        <f>+AF125*AF126/(100-AF126)</f>
        <v>3973.4268727848093</v>
      </c>
      <c r="AG127" s="4756"/>
      <c r="AH127" s="4757">
        <f>+AH125*AH126/(100-AH126)</f>
        <v>557.8085867341772</v>
      </c>
      <c r="AI127" s="4752"/>
      <c r="AJ127" s="4753">
        <f>+AJ125*AJ126/(100-AJ126)</f>
        <v>4531.2354595189872</v>
      </c>
      <c r="AK127" s="4756"/>
      <c r="AL127" s="4757">
        <f>+AL125*AL126/(100-AL126)</f>
        <v>571.47901192405061</v>
      </c>
      <c r="AM127" s="4754"/>
      <c r="AN127" s="4755">
        <f>+AN125*AN126/(100-AN126)</f>
        <v>1697.3196021518988</v>
      </c>
      <c r="AO127" s="4752"/>
      <c r="AP127" s="4753">
        <f>+AP125*AP126/(100-AP126)</f>
        <v>5102.7144714430378</v>
      </c>
      <c r="AQ127" s="4756"/>
      <c r="AR127" s="4757">
        <f>+AR125*AR126/(100-AR126)</f>
        <v>553.99891443037973</v>
      </c>
      <c r="AS127" s="4752"/>
      <c r="AT127" s="4753">
        <f>+AT125*AT126/(100-AT126)</f>
        <v>5656.7133858734178</v>
      </c>
      <c r="AU127" s="4756"/>
      <c r="AV127" s="4757">
        <f>+AV125*AV126/(100-AV126)</f>
        <v>546.48956451898732</v>
      </c>
      <c r="AW127" s="4752"/>
      <c r="AX127" s="4753">
        <f>+AX125*AX126/(100-AX126)</f>
        <v>6203.2029503924041</v>
      </c>
      <c r="AY127" s="4756"/>
      <c r="AZ127" s="4757">
        <f>+AZ125*AZ126/(100-AZ126)</f>
        <v>611.51172987341772</v>
      </c>
      <c r="BA127" s="4754"/>
      <c r="BB127" s="4755">
        <f>+BB125*BB126/(100-BB126)</f>
        <v>1712.0002088227848</v>
      </c>
      <c r="BC127" s="4758"/>
      <c r="BD127" s="4759">
        <f>+BD125*BD126/(100-BD126)</f>
        <v>3409.3198109746836</v>
      </c>
      <c r="BE127" s="4752"/>
      <c r="BF127" s="4753">
        <f>+BF125*BF126/(100-BF126)</f>
        <v>6814.7146802658226</v>
      </c>
    </row>
    <row r="128" spans="2:58" ht="15" hidden="1" customHeight="1" x14ac:dyDescent="0.25">
      <c r="B128" s="4748" t="s">
        <v>549</v>
      </c>
      <c r="C128" s="4772" t="s">
        <v>393</v>
      </c>
      <c r="D128" s="4772"/>
      <c r="E128" s="4750"/>
      <c r="F128" s="4744">
        <f>+F127+F125</f>
        <v>41840.630656202535</v>
      </c>
      <c r="G128" s="4750"/>
      <c r="H128" s="4751">
        <f>+H127+H125</f>
        <v>33081.829664810124</v>
      </c>
      <c r="I128" s="4752"/>
      <c r="J128" s="4753">
        <f>+J127+J125</f>
        <v>74922.460321012652</v>
      </c>
      <c r="K128" s="4750"/>
      <c r="L128" s="4751">
        <f>+L127+L125</f>
        <v>54310.045024810126</v>
      </c>
      <c r="M128" s="4754"/>
      <c r="N128" s="4755">
        <f>+N127+N125</f>
        <v>129232.50534582279</v>
      </c>
      <c r="O128" s="4756"/>
      <c r="P128" s="4757">
        <f>+P127+P125</f>
        <v>52673.318760506329</v>
      </c>
      <c r="Q128" s="4752"/>
      <c r="R128" s="4753">
        <f>+R127+R125</f>
        <v>181905.82410632912</v>
      </c>
      <c r="S128" s="4756"/>
      <c r="T128" s="4757">
        <f>+T127+T125</f>
        <v>47369.945156455695</v>
      </c>
      <c r="U128" s="4752"/>
      <c r="V128" s="4753">
        <f>+V127+V125</f>
        <v>229275.7692627848</v>
      </c>
      <c r="W128" s="4756"/>
      <c r="X128" s="4757">
        <f>+X127+X125</f>
        <v>43155.820280506327</v>
      </c>
      <c r="Y128" s="4754"/>
      <c r="Z128" s="4755">
        <f>+Z127+Z125</f>
        <v>143199.08419746836</v>
      </c>
      <c r="AA128" s="4758"/>
      <c r="AB128" s="4759">
        <f>+AB127+AB125</f>
        <v>272431.58954329119</v>
      </c>
      <c r="AC128" s="4756"/>
      <c r="AD128" s="4757">
        <f>+AD127+AD125</f>
        <v>45442.560279493671</v>
      </c>
      <c r="AE128" s="4752"/>
      <c r="AF128" s="4753">
        <f>+AF127+AF125</f>
        <v>317874.14982278476</v>
      </c>
      <c r="AG128" s="4756"/>
      <c r="AH128" s="4757">
        <f>+AH127+AH125</f>
        <v>44624.686938734179</v>
      </c>
      <c r="AI128" s="4752"/>
      <c r="AJ128" s="4753">
        <f>+AJ127+AJ125</f>
        <v>362498.83676151896</v>
      </c>
      <c r="AK128" s="4756"/>
      <c r="AL128" s="4757">
        <f>+AL127+AL125</f>
        <v>45718.320953924049</v>
      </c>
      <c r="AM128" s="4754"/>
      <c r="AN128" s="4755">
        <f>+AN127+AN125</f>
        <v>135785.56817215189</v>
      </c>
      <c r="AO128" s="4752"/>
      <c r="AP128" s="4753">
        <f>+AP127+AP125</f>
        <v>408217.157715443</v>
      </c>
      <c r="AQ128" s="4756"/>
      <c r="AR128" s="4757">
        <f>+AR127+AR125</f>
        <v>44319.913154430375</v>
      </c>
      <c r="AS128" s="4752"/>
      <c r="AT128" s="4753">
        <f>+AT127+AT125</f>
        <v>452537.07086987339</v>
      </c>
      <c r="AU128" s="4756"/>
      <c r="AV128" s="4757">
        <f>+AV127+AV125</f>
        <v>43719.165161518991</v>
      </c>
      <c r="AW128" s="4752"/>
      <c r="AX128" s="4753">
        <f>+AX127+AX125</f>
        <v>496256.23603139236</v>
      </c>
      <c r="AY128" s="4756"/>
      <c r="AZ128" s="4757">
        <f>+AZ127+AZ125</f>
        <v>48920.938389873416</v>
      </c>
      <c r="BA128" s="4754"/>
      <c r="BB128" s="4755">
        <f>+BB127+BB125</f>
        <v>136960.01670582278</v>
      </c>
      <c r="BC128" s="4758"/>
      <c r="BD128" s="4759">
        <f>+BD127+BD125</f>
        <v>272745.5848779747</v>
      </c>
      <c r="BE128" s="4752"/>
      <c r="BF128" s="4753">
        <f>+BF127+BF125</f>
        <v>545177.17442126584</v>
      </c>
    </row>
    <row r="129" spans="2:58" ht="15" hidden="1" customHeight="1" x14ac:dyDescent="0.25">
      <c r="B129" s="554"/>
      <c r="C129" s="554"/>
      <c r="D129" s="554"/>
      <c r="E129" s="554"/>
      <c r="F129" s="554"/>
      <c r="G129" s="554"/>
      <c r="H129" s="554"/>
      <c r="I129" s="554"/>
      <c r="J129" s="554"/>
      <c r="K129" s="554"/>
      <c r="L129" s="554"/>
      <c r="M129" s="554"/>
      <c r="N129" s="554"/>
      <c r="O129" s="554"/>
      <c r="P129" s="554"/>
      <c r="Q129" s="554"/>
      <c r="R129" s="554"/>
      <c r="S129" s="554"/>
      <c r="T129" s="554"/>
      <c r="U129" s="554"/>
      <c r="V129" s="554"/>
      <c r="W129" s="554"/>
      <c r="X129" s="554"/>
      <c r="Y129" s="554"/>
      <c r="Z129" s="554"/>
      <c r="AA129" s="554"/>
      <c r="AB129" s="554"/>
      <c r="AC129" s="554"/>
      <c r="AD129" s="554"/>
      <c r="AE129" s="554"/>
      <c r="AF129" s="554"/>
      <c r="AG129" s="554"/>
      <c r="AH129" s="554"/>
      <c r="AI129" s="554"/>
      <c r="AJ129" s="554"/>
      <c r="AK129" s="554"/>
      <c r="AL129" s="554"/>
      <c r="AM129" s="554"/>
      <c r="AN129" s="554"/>
      <c r="AO129" s="554"/>
      <c r="AP129" s="554"/>
      <c r="AQ129" s="554"/>
      <c r="AR129" s="554"/>
      <c r="AS129" s="554"/>
      <c r="AT129" s="554"/>
      <c r="AU129" s="554"/>
      <c r="AV129" s="554"/>
      <c r="AW129" s="554"/>
      <c r="AX129" s="554"/>
      <c r="AY129" s="554"/>
      <c r="AZ129" s="554"/>
      <c r="BA129" s="554"/>
      <c r="BB129" s="554"/>
      <c r="BC129" s="554"/>
      <c r="BD129" s="554"/>
      <c r="BE129" s="554"/>
      <c r="BF129" s="554"/>
    </row>
    <row r="130" spans="2:58" ht="15" hidden="1" customHeight="1" x14ac:dyDescent="0.25">
      <c r="B130" s="554"/>
      <c r="C130" s="554"/>
      <c r="D130" s="554"/>
      <c r="E130" s="554"/>
      <c r="F130" s="554"/>
      <c r="G130" s="554"/>
      <c r="H130" s="554"/>
      <c r="I130" s="554"/>
      <c r="J130" s="554"/>
      <c r="K130" s="554"/>
      <c r="L130" s="554"/>
      <c r="M130" s="554"/>
      <c r="N130" s="554"/>
      <c r="O130" s="554"/>
      <c r="P130" s="554"/>
      <c r="Q130" s="554"/>
      <c r="R130" s="554"/>
      <c r="S130" s="554"/>
      <c r="T130" s="554"/>
      <c r="U130" s="554"/>
      <c r="V130" s="554"/>
      <c r="W130" s="554"/>
      <c r="X130" s="554"/>
      <c r="Y130" s="554"/>
      <c r="Z130" s="554"/>
      <c r="AA130" s="554"/>
      <c r="AB130" s="554"/>
      <c r="AC130" s="554"/>
      <c r="AD130" s="554"/>
      <c r="AE130" s="554"/>
      <c r="AF130" s="554"/>
      <c r="AG130" s="554"/>
      <c r="AH130" s="554"/>
      <c r="AI130" s="554"/>
      <c r="AJ130" s="554"/>
      <c r="AK130" s="554"/>
      <c r="AL130" s="554"/>
      <c r="AM130" s="554"/>
      <c r="AN130" s="554"/>
      <c r="AO130" s="554"/>
      <c r="AP130" s="554"/>
      <c r="AQ130" s="554"/>
      <c r="AR130" s="554"/>
      <c r="AS130" s="554"/>
      <c r="AT130" s="554"/>
      <c r="AU130" s="554"/>
      <c r="AV130" s="554"/>
      <c r="AW130" s="554"/>
      <c r="AX130" s="554"/>
      <c r="AY130" s="554"/>
      <c r="AZ130" s="554"/>
      <c r="BA130" s="554"/>
      <c r="BB130" s="554"/>
      <c r="BC130" s="554"/>
      <c r="BD130" s="554"/>
      <c r="BE130" s="554"/>
      <c r="BF130" s="554"/>
    </row>
    <row r="131" spans="2:58" ht="15" hidden="1" customHeight="1" x14ac:dyDescent="0.25">
      <c r="B131" s="554"/>
      <c r="C131" s="554"/>
      <c r="D131" s="554"/>
      <c r="E131" s="554"/>
      <c r="F131" s="554"/>
      <c r="G131" s="554"/>
      <c r="H131" s="554"/>
      <c r="I131" s="554"/>
      <c r="J131" s="554"/>
      <c r="K131" s="554"/>
      <c r="L131" s="554"/>
      <c r="M131" s="554"/>
      <c r="N131" s="554"/>
      <c r="O131" s="554"/>
      <c r="P131" s="554"/>
      <c r="Q131" s="554"/>
      <c r="R131" s="554"/>
      <c r="S131" s="554"/>
      <c r="T131" s="554"/>
      <c r="U131" s="554"/>
      <c r="V131" s="554"/>
      <c r="W131" s="554"/>
      <c r="X131" s="554"/>
      <c r="Y131" s="554"/>
      <c r="Z131" s="554"/>
      <c r="AA131" s="554"/>
      <c r="AB131" s="554"/>
      <c r="AC131" s="554"/>
      <c r="AD131" s="554"/>
      <c r="AE131" s="554"/>
      <c r="AF131" s="554"/>
      <c r="AG131" s="554"/>
      <c r="AH131" s="554"/>
      <c r="AI131" s="554"/>
      <c r="AJ131" s="554"/>
      <c r="AK131" s="554"/>
      <c r="AL131" s="554"/>
      <c r="AM131" s="554"/>
      <c r="AN131" s="554"/>
      <c r="AO131" s="554"/>
      <c r="AP131" s="554"/>
      <c r="AQ131" s="554"/>
      <c r="AR131" s="554"/>
      <c r="AS131" s="554"/>
      <c r="AT131" s="554"/>
      <c r="AU131" s="554"/>
      <c r="AV131" s="554"/>
      <c r="AW131" s="554"/>
      <c r="AX131" s="554"/>
      <c r="AY131" s="554"/>
      <c r="AZ131" s="554"/>
      <c r="BA131" s="554"/>
      <c r="BB131" s="554"/>
      <c r="BC131" s="554"/>
      <c r="BD131" s="554"/>
      <c r="BE131" s="554"/>
      <c r="BF131" s="554"/>
    </row>
    <row r="132" spans="2:58" ht="15" hidden="1" customHeight="1" x14ac:dyDescent="0.25"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4"/>
      <c r="P132" s="554"/>
      <c r="Q132" s="554"/>
      <c r="R132" s="554"/>
      <c r="S132" s="554"/>
      <c r="T132" s="554"/>
      <c r="U132" s="554"/>
      <c r="V132" s="554"/>
      <c r="W132" s="554"/>
      <c r="X132" s="554"/>
      <c r="Y132" s="554"/>
      <c r="Z132" s="554"/>
      <c r="AA132" s="554"/>
      <c r="AB132" s="554"/>
      <c r="AC132" s="554"/>
      <c r="AD132" s="554"/>
      <c r="AE132" s="554"/>
      <c r="AF132" s="554"/>
      <c r="AG132" s="554"/>
      <c r="AH132" s="554"/>
      <c r="AI132" s="554"/>
      <c r="AJ132" s="554"/>
      <c r="AK132" s="554"/>
      <c r="AL132" s="554"/>
      <c r="AM132" s="554"/>
      <c r="AN132" s="554"/>
      <c r="AO132" s="554"/>
      <c r="AP132" s="554"/>
      <c r="AQ132" s="554"/>
      <c r="AR132" s="554"/>
      <c r="AS132" s="554"/>
      <c r="AT132" s="554"/>
      <c r="AU132" s="554"/>
      <c r="AV132" s="554"/>
      <c r="AW132" s="554"/>
      <c r="AX132" s="554"/>
      <c r="AY132" s="554"/>
      <c r="AZ132" s="554"/>
      <c r="BA132" s="554"/>
      <c r="BB132" s="554"/>
      <c r="BC132" s="554"/>
      <c r="BD132" s="554"/>
      <c r="BE132" s="554"/>
      <c r="BF132" s="554"/>
    </row>
    <row r="133" spans="2:58" ht="15" hidden="1" customHeight="1" x14ac:dyDescent="0.25"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4"/>
      <c r="P133" s="554"/>
      <c r="Q133" s="554"/>
      <c r="R133" s="554"/>
      <c r="S133" s="554"/>
      <c r="T133" s="554"/>
      <c r="U133" s="554"/>
      <c r="V133" s="554"/>
      <c r="W133" s="554"/>
      <c r="X133" s="554"/>
      <c r="Y133" s="554"/>
      <c r="Z133" s="554"/>
      <c r="AA133" s="554"/>
      <c r="AB133" s="554"/>
      <c r="AC133" s="554"/>
      <c r="AD133" s="554"/>
      <c r="AE133" s="554"/>
      <c r="AF133" s="554"/>
      <c r="AG133" s="554"/>
      <c r="AH133" s="554"/>
      <c r="AI133" s="554"/>
      <c r="AJ133" s="554"/>
      <c r="AK133" s="554"/>
      <c r="AL133" s="554"/>
      <c r="AM133" s="554"/>
      <c r="AN133" s="554"/>
      <c r="AO133" s="554"/>
      <c r="AP133" s="554"/>
      <c r="AQ133" s="554"/>
      <c r="AR133" s="554"/>
      <c r="AS133" s="554"/>
      <c r="AT133" s="554"/>
      <c r="AU133" s="554"/>
      <c r="AV133" s="554"/>
      <c r="AW133" s="554"/>
      <c r="AX133" s="554"/>
      <c r="AY133" s="554"/>
      <c r="AZ133" s="554"/>
      <c r="BA133" s="554"/>
      <c r="BB133" s="554"/>
      <c r="BC133" s="554"/>
      <c r="BD133" s="554"/>
      <c r="BE133" s="554"/>
      <c r="BF133" s="554"/>
    </row>
    <row r="134" spans="2:58" ht="15" hidden="1" customHeight="1" x14ac:dyDescent="0.25">
      <c r="B134" s="554"/>
      <c r="C134" s="554"/>
      <c r="D134" s="554"/>
      <c r="E134" s="554"/>
      <c r="F134" s="554"/>
      <c r="G134" s="554"/>
      <c r="H134" s="554"/>
      <c r="I134" s="554"/>
      <c r="J134" s="554"/>
      <c r="K134" s="554"/>
      <c r="L134" s="554"/>
      <c r="M134" s="554"/>
      <c r="N134" s="554"/>
      <c r="O134" s="554"/>
      <c r="P134" s="554"/>
      <c r="Q134" s="554"/>
      <c r="R134" s="554"/>
      <c r="S134" s="554"/>
      <c r="T134" s="554"/>
      <c r="U134" s="554"/>
      <c r="V134" s="554"/>
      <c r="W134" s="554"/>
      <c r="X134" s="554"/>
      <c r="Y134" s="554"/>
      <c r="Z134" s="554"/>
      <c r="AA134" s="554"/>
      <c r="AB134" s="554"/>
      <c r="AC134" s="554"/>
      <c r="AD134" s="554"/>
      <c r="AE134" s="554"/>
      <c r="AF134" s="554"/>
      <c r="AG134" s="554"/>
      <c r="AH134" s="554"/>
      <c r="AI134" s="554"/>
      <c r="AJ134" s="554"/>
      <c r="AK134" s="554"/>
      <c r="AL134" s="554"/>
      <c r="AM134" s="554"/>
      <c r="AN134" s="554"/>
      <c r="AO134" s="554"/>
      <c r="AP134" s="554"/>
      <c r="AQ134" s="554"/>
      <c r="AR134" s="554"/>
      <c r="AS134" s="554"/>
      <c r="AT134" s="554"/>
      <c r="AU134" s="554"/>
      <c r="AV134" s="554"/>
      <c r="AW134" s="554"/>
      <c r="AX134" s="554"/>
      <c r="AY134" s="554"/>
      <c r="AZ134" s="554"/>
      <c r="BA134" s="554"/>
      <c r="BB134" s="554"/>
      <c r="BC134" s="554"/>
      <c r="BD134" s="554"/>
      <c r="BE134" s="554"/>
      <c r="BF134" s="554"/>
    </row>
    <row r="135" spans="2:58" ht="15" hidden="1" customHeight="1" x14ac:dyDescent="0.25">
      <c r="B135" s="554"/>
      <c r="C135" s="554"/>
      <c r="D135" s="554"/>
      <c r="E135" s="554"/>
      <c r="F135" s="554"/>
      <c r="G135" s="554"/>
      <c r="H135" s="554"/>
      <c r="I135" s="554"/>
      <c r="J135" s="554"/>
      <c r="K135" s="554"/>
      <c r="L135" s="554"/>
      <c r="M135" s="554"/>
      <c r="N135" s="554"/>
      <c r="O135" s="554"/>
      <c r="P135" s="554"/>
      <c r="Q135" s="554"/>
      <c r="R135" s="554"/>
      <c r="S135" s="554"/>
      <c r="T135" s="554"/>
      <c r="U135" s="554"/>
      <c r="V135" s="554"/>
      <c r="W135" s="554"/>
      <c r="X135" s="554"/>
      <c r="Y135" s="554"/>
      <c r="Z135" s="554"/>
      <c r="AA135" s="554"/>
      <c r="AB135" s="554"/>
      <c r="AC135" s="554"/>
      <c r="AD135" s="554"/>
      <c r="AE135" s="554"/>
      <c r="AF135" s="554"/>
      <c r="AG135" s="554"/>
      <c r="AH135" s="554"/>
      <c r="AI135" s="554"/>
      <c r="AJ135" s="554"/>
      <c r="AK135" s="554"/>
      <c r="AL135" s="554"/>
      <c r="AM135" s="554"/>
      <c r="AN135" s="554"/>
      <c r="AO135" s="554"/>
      <c r="AP135" s="554"/>
      <c r="AQ135" s="554"/>
      <c r="AR135" s="554"/>
      <c r="AS135" s="554"/>
      <c r="AT135" s="554"/>
      <c r="AU135" s="554"/>
      <c r="AV135" s="554"/>
      <c r="AW135" s="554"/>
      <c r="AX135" s="554"/>
      <c r="AY135" s="554"/>
      <c r="AZ135" s="554"/>
      <c r="BA135" s="554"/>
      <c r="BB135" s="554"/>
      <c r="BC135" s="554"/>
      <c r="BD135" s="554"/>
      <c r="BE135" s="554"/>
      <c r="BF135" s="554"/>
    </row>
    <row r="136" spans="2:58" ht="15" hidden="1" customHeight="1" x14ac:dyDescent="0.25">
      <c r="B136" s="554"/>
      <c r="C136" s="554"/>
      <c r="D136" s="554"/>
      <c r="E136" s="554"/>
      <c r="F136" s="554"/>
      <c r="G136" s="554"/>
      <c r="H136" s="554"/>
      <c r="I136" s="554"/>
      <c r="J136" s="554"/>
      <c r="K136" s="554"/>
      <c r="L136" s="554"/>
      <c r="M136" s="554"/>
      <c r="N136" s="554"/>
      <c r="O136" s="554"/>
      <c r="P136" s="554"/>
      <c r="Q136" s="554"/>
      <c r="R136" s="554"/>
      <c r="S136" s="554"/>
      <c r="T136" s="554"/>
      <c r="U136" s="554"/>
      <c r="V136" s="554"/>
      <c r="W136" s="554"/>
      <c r="X136" s="554"/>
      <c r="Y136" s="554"/>
      <c r="Z136" s="554"/>
      <c r="AA136" s="554"/>
      <c r="AB136" s="554"/>
      <c r="AC136" s="554"/>
      <c r="AD136" s="554"/>
      <c r="AE136" s="554"/>
      <c r="AF136" s="554"/>
      <c r="AG136" s="554"/>
      <c r="AH136" s="554"/>
      <c r="AI136" s="554"/>
      <c r="AJ136" s="554"/>
      <c r="AK136" s="554"/>
      <c r="AL136" s="554"/>
      <c r="AM136" s="554"/>
      <c r="AN136" s="554"/>
      <c r="AO136" s="554"/>
      <c r="AP136" s="554"/>
      <c r="AQ136" s="554"/>
      <c r="AR136" s="554"/>
      <c r="AS136" s="554"/>
      <c r="AT136" s="554"/>
      <c r="AU136" s="554"/>
      <c r="AV136" s="554"/>
      <c r="AW136" s="554"/>
      <c r="AX136" s="554"/>
      <c r="AY136" s="554"/>
      <c r="AZ136" s="554"/>
      <c r="BA136" s="554"/>
      <c r="BB136" s="554"/>
      <c r="BC136" s="554"/>
      <c r="BD136" s="554"/>
      <c r="BE136" s="554"/>
      <c r="BF136" s="554"/>
    </row>
    <row r="137" spans="2:58" ht="15" hidden="1" customHeight="1" x14ac:dyDescent="0.25"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4"/>
      <c r="P137" s="554"/>
      <c r="Q137" s="554"/>
      <c r="R137" s="554"/>
      <c r="S137" s="554"/>
      <c r="T137" s="554"/>
      <c r="U137" s="554"/>
      <c r="V137" s="554"/>
      <c r="W137" s="554"/>
      <c r="X137" s="554"/>
      <c r="Y137" s="554"/>
      <c r="Z137" s="554"/>
      <c r="AA137" s="554"/>
      <c r="AB137" s="554"/>
      <c r="AC137" s="554"/>
      <c r="AD137" s="554"/>
      <c r="AE137" s="554"/>
      <c r="AF137" s="554"/>
      <c r="AG137" s="554"/>
      <c r="AH137" s="554"/>
      <c r="AI137" s="554"/>
      <c r="AJ137" s="554"/>
      <c r="AK137" s="554"/>
      <c r="AL137" s="554"/>
      <c r="AM137" s="554"/>
      <c r="AN137" s="554"/>
      <c r="AO137" s="554"/>
      <c r="AP137" s="554"/>
      <c r="AQ137" s="554"/>
      <c r="AR137" s="554"/>
      <c r="AS137" s="554"/>
      <c r="AT137" s="554"/>
      <c r="AU137" s="554"/>
      <c r="AV137" s="554"/>
      <c r="AW137" s="554"/>
      <c r="AX137" s="554"/>
      <c r="AY137" s="554"/>
      <c r="AZ137" s="554"/>
      <c r="BA137" s="554"/>
      <c r="BB137" s="554"/>
      <c r="BC137" s="554"/>
      <c r="BD137" s="554"/>
      <c r="BE137" s="554"/>
      <c r="BF137" s="554"/>
    </row>
    <row r="138" spans="2:58" ht="15" hidden="1" customHeight="1" x14ac:dyDescent="0.25"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4"/>
      <c r="P138" s="554"/>
      <c r="Q138" s="554"/>
      <c r="R138" s="554"/>
      <c r="S138" s="554"/>
      <c r="T138" s="554"/>
      <c r="U138" s="554"/>
      <c r="V138" s="554"/>
      <c r="W138" s="554"/>
      <c r="X138" s="554"/>
      <c r="Y138" s="554"/>
      <c r="Z138" s="554"/>
      <c r="AA138" s="554"/>
      <c r="AB138" s="554"/>
      <c r="AC138" s="554"/>
      <c r="AD138" s="554"/>
      <c r="AE138" s="554"/>
      <c r="AF138" s="554"/>
      <c r="AG138" s="554"/>
      <c r="AH138" s="554"/>
      <c r="AI138" s="554"/>
      <c r="AJ138" s="554"/>
      <c r="AK138" s="554"/>
      <c r="AL138" s="554"/>
      <c r="AM138" s="554"/>
      <c r="AN138" s="554"/>
      <c r="AO138" s="554"/>
      <c r="AP138" s="554"/>
      <c r="AQ138" s="554"/>
      <c r="AR138" s="554"/>
      <c r="AS138" s="554"/>
      <c r="AT138" s="554"/>
      <c r="AU138" s="554"/>
      <c r="AV138" s="554"/>
      <c r="AW138" s="554"/>
      <c r="AX138" s="554"/>
      <c r="AY138" s="554"/>
      <c r="AZ138" s="554"/>
      <c r="BA138" s="554"/>
      <c r="BB138" s="554"/>
      <c r="BC138" s="554"/>
      <c r="BD138" s="554"/>
      <c r="BE138" s="554"/>
      <c r="BF138" s="554"/>
    </row>
    <row r="139" spans="2:58" x14ac:dyDescent="0.25"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54"/>
      <c r="AB139" s="554"/>
      <c r="AC139" s="554"/>
      <c r="AD139" s="554"/>
      <c r="AE139" s="554"/>
      <c r="AF139" s="554"/>
      <c r="AG139" s="554"/>
      <c r="AH139" s="554"/>
      <c r="AI139" s="554"/>
      <c r="AJ139" s="554"/>
      <c r="AK139" s="554"/>
      <c r="AL139" s="554"/>
      <c r="AM139" s="554"/>
      <c r="AN139" s="554"/>
      <c r="AO139" s="554"/>
      <c r="AP139" s="554"/>
      <c r="AQ139" s="554"/>
      <c r="AR139" s="554"/>
      <c r="AS139" s="554"/>
      <c r="AT139" s="554"/>
      <c r="AU139" s="554"/>
      <c r="AV139" s="554"/>
      <c r="AW139" s="554"/>
      <c r="AX139" s="554"/>
      <c r="AY139" s="554"/>
      <c r="AZ139" s="554"/>
      <c r="BA139" s="554"/>
      <c r="BB139" s="554"/>
      <c r="BC139" s="554"/>
      <c r="BD139" s="554"/>
      <c r="BE139" s="554"/>
      <c r="BF139" s="554"/>
    </row>
    <row r="140" spans="2:58" x14ac:dyDescent="0.25">
      <c r="B140" s="554"/>
      <c r="C140" s="554"/>
      <c r="D140" s="554"/>
      <c r="E140" s="554"/>
      <c r="F140" s="554"/>
      <c r="G140" s="554"/>
      <c r="H140" s="554"/>
      <c r="I140" s="554"/>
      <c r="J140" s="554"/>
      <c r="K140" s="554"/>
      <c r="L140" s="554"/>
      <c r="M140" s="554"/>
      <c r="N140" s="554"/>
      <c r="O140" s="554"/>
      <c r="P140" s="554"/>
      <c r="Q140" s="554"/>
      <c r="R140" s="554"/>
      <c r="S140" s="554"/>
      <c r="T140" s="554"/>
      <c r="U140" s="554"/>
      <c r="V140" s="554"/>
      <c r="W140" s="554"/>
      <c r="X140" s="554"/>
      <c r="Y140" s="554"/>
      <c r="Z140" s="554"/>
      <c r="AA140" s="554"/>
      <c r="AB140" s="554"/>
      <c r="AC140" s="554"/>
      <c r="AD140" s="554"/>
      <c r="AE140" s="554"/>
      <c r="AF140" s="554"/>
      <c r="AG140" s="554"/>
      <c r="AH140" s="554"/>
      <c r="AI140" s="554"/>
      <c r="AJ140" s="554"/>
      <c r="AK140" s="554"/>
      <c r="AL140" s="554"/>
      <c r="AM140" s="554"/>
      <c r="AN140" s="554"/>
      <c r="AO140" s="554"/>
      <c r="AP140" s="554"/>
      <c r="AQ140" s="554"/>
      <c r="AR140" s="554"/>
      <c r="AS140" s="554"/>
      <c r="AT140" s="554"/>
      <c r="AU140" s="554"/>
      <c r="AV140" s="554"/>
      <c r="AW140" s="554"/>
      <c r="AX140" s="554"/>
      <c r="AY140" s="554"/>
      <c r="AZ140" s="554"/>
      <c r="BA140" s="554"/>
      <c r="BB140" s="554"/>
      <c r="BC140" s="554"/>
      <c r="BD140" s="554"/>
      <c r="BE140" s="554"/>
      <c r="BF140" s="554"/>
    </row>
    <row r="141" spans="2:58" x14ac:dyDescent="0.25">
      <c r="B141" s="554"/>
      <c r="C141" s="554"/>
      <c r="D141" s="554"/>
      <c r="E141" s="554"/>
      <c r="F141" s="554"/>
      <c r="G141" s="554"/>
      <c r="H141" s="554"/>
      <c r="I141" s="554"/>
      <c r="J141" s="554"/>
      <c r="K141" s="554"/>
      <c r="L141" s="554"/>
      <c r="M141" s="554"/>
      <c r="N141" s="554"/>
      <c r="O141" s="554"/>
      <c r="P141" s="554"/>
      <c r="Q141" s="554"/>
      <c r="R141" s="554"/>
      <c r="S141" s="554"/>
      <c r="T141" s="554"/>
      <c r="U141" s="554"/>
      <c r="V141" s="554"/>
      <c r="W141" s="554"/>
      <c r="X141" s="554"/>
      <c r="Y141" s="554"/>
      <c r="Z141" s="554"/>
      <c r="AA141" s="554"/>
      <c r="AB141" s="554"/>
      <c r="AC141" s="554"/>
      <c r="AD141" s="554"/>
      <c r="AE141" s="554"/>
      <c r="AF141" s="554"/>
      <c r="AG141" s="554"/>
      <c r="AH141" s="554"/>
      <c r="AI141" s="554"/>
      <c r="AJ141" s="554"/>
      <c r="AK141" s="554"/>
      <c r="AL141" s="554"/>
      <c r="AM141" s="554"/>
      <c r="AN141" s="554"/>
      <c r="AO141" s="554"/>
      <c r="AP141" s="554"/>
      <c r="AQ141" s="554"/>
      <c r="AR141" s="554"/>
      <c r="AS141" s="554"/>
      <c r="AT141" s="554"/>
      <c r="AU141" s="554"/>
      <c r="AV141" s="554"/>
      <c r="AW141" s="554"/>
      <c r="AX141" s="554"/>
      <c r="AY141" s="554"/>
      <c r="AZ141" s="554"/>
      <c r="BA141" s="554"/>
      <c r="BB141" s="554"/>
      <c r="BC141" s="554"/>
      <c r="BD141" s="554"/>
      <c r="BE141" s="554"/>
      <c r="BF141" s="554"/>
    </row>
    <row r="142" spans="2:58" x14ac:dyDescent="0.25">
      <c r="B142" s="554"/>
      <c r="C142" s="554"/>
      <c r="D142" s="554"/>
      <c r="E142" s="554"/>
      <c r="F142" s="554"/>
      <c r="G142" s="554"/>
      <c r="H142" s="554"/>
      <c r="I142" s="554"/>
      <c r="J142" s="554"/>
      <c r="K142" s="554"/>
      <c r="L142" s="554"/>
      <c r="M142" s="554"/>
      <c r="N142" s="554"/>
      <c r="O142" s="554"/>
      <c r="P142" s="554"/>
      <c r="Q142" s="554"/>
      <c r="R142" s="554"/>
      <c r="S142" s="554"/>
      <c r="T142" s="554"/>
      <c r="U142" s="554"/>
      <c r="V142" s="554"/>
      <c r="W142" s="554"/>
      <c r="X142" s="554"/>
      <c r="Y142" s="554"/>
      <c r="Z142" s="554"/>
      <c r="AA142" s="554"/>
      <c r="AB142" s="554"/>
      <c r="AC142" s="554"/>
      <c r="AD142" s="554"/>
      <c r="AE142" s="554"/>
      <c r="AF142" s="554"/>
      <c r="AG142" s="554"/>
      <c r="AH142" s="554"/>
      <c r="AI142" s="554"/>
      <c r="AJ142" s="554"/>
      <c r="AK142" s="554"/>
      <c r="AL142" s="554"/>
      <c r="AM142" s="554"/>
      <c r="AN142" s="554"/>
      <c r="AO142" s="554"/>
      <c r="AP142" s="554"/>
      <c r="AQ142" s="554"/>
      <c r="AR142" s="554"/>
      <c r="AS142" s="554"/>
      <c r="AT142" s="554"/>
      <c r="AU142" s="554"/>
      <c r="AV142" s="554"/>
      <c r="AW142" s="554"/>
      <c r="AX142" s="554"/>
      <c r="AY142" s="554"/>
      <c r="AZ142" s="554"/>
      <c r="BA142" s="554"/>
      <c r="BB142" s="554"/>
      <c r="BC142" s="554"/>
      <c r="BD142" s="554"/>
      <c r="BE142" s="554"/>
      <c r="BF142" s="554"/>
    </row>
    <row r="143" spans="2:58" x14ac:dyDescent="0.25">
      <c r="T143" s="1722"/>
      <c r="V143" s="1722"/>
      <c r="AK143" s="1726"/>
      <c r="AL143" s="1726"/>
      <c r="AQ143" s="1470"/>
      <c r="AR143" s="899"/>
      <c r="AS143" s="1470"/>
      <c r="AT143" s="1470"/>
      <c r="AY143" s="4240"/>
      <c r="AZ143" s="4240"/>
      <c r="BA143" s="4240"/>
      <c r="BB143" s="4240"/>
      <c r="BD143" s="4240"/>
      <c r="BE143" s="4240"/>
      <c r="BF143" s="4240"/>
    </row>
    <row r="144" spans="2:58" x14ac:dyDescent="0.25">
      <c r="T144" s="1722"/>
      <c r="V144" s="1722"/>
      <c r="AK144" s="1726"/>
      <c r="AL144" s="1726"/>
      <c r="AQ144" s="1470"/>
      <c r="AR144" s="899"/>
      <c r="AS144" s="1470"/>
      <c r="AT144" s="1470"/>
      <c r="AY144" s="4240"/>
      <c r="AZ144" s="4240"/>
      <c r="BA144" s="4240"/>
      <c r="BB144" s="4240"/>
      <c r="BD144" s="4240"/>
      <c r="BE144" s="4240"/>
      <c r="BF144" s="4240"/>
    </row>
    <row r="145" spans="20:54" x14ac:dyDescent="0.25">
      <c r="T145" s="1722"/>
      <c r="V145" s="1722"/>
      <c r="AK145" s="1726"/>
      <c r="AL145" s="1726"/>
      <c r="AQ145" s="1470"/>
      <c r="AR145" s="899"/>
      <c r="AS145" s="1470"/>
      <c r="AT145" s="1470"/>
      <c r="BA145" s="4240"/>
      <c r="BB145" s="4240"/>
    </row>
    <row r="146" spans="20:54" x14ac:dyDescent="0.25">
      <c r="T146" s="1722"/>
      <c r="V146" s="1722"/>
      <c r="AK146" s="1726"/>
      <c r="AL146" s="1726"/>
      <c r="AQ146" s="1470"/>
      <c r="AR146" s="899"/>
      <c r="AS146" s="1470"/>
      <c r="AT146" s="1470"/>
      <c r="BA146" s="4240"/>
      <c r="BB146" s="4240"/>
    </row>
    <row r="147" spans="20:54" x14ac:dyDescent="0.25">
      <c r="T147" s="1722"/>
      <c r="V147" s="1722"/>
      <c r="AL147" s="899"/>
      <c r="AQ147" s="1470"/>
      <c r="AR147" s="899"/>
      <c r="AS147" s="1470"/>
      <c r="AT147" s="1470"/>
      <c r="BA147" s="4240"/>
      <c r="BB147" s="4240"/>
    </row>
    <row r="148" spans="20:54" x14ac:dyDescent="0.25">
      <c r="T148" s="1722"/>
      <c r="V148" s="1722"/>
      <c r="AL148" s="899"/>
      <c r="AQ148" s="1470"/>
      <c r="AR148" s="899"/>
      <c r="AS148" s="1470"/>
      <c r="AT148" s="1470"/>
      <c r="BA148" s="4240"/>
      <c r="BB148" s="4240"/>
    </row>
    <row r="149" spans="20:54" x14ac:dyDescent="0.25">
      <c r="T149" s="1722"/>
      <c r="V149" s="1722"/>
      <c r="AL149" s="899"/>
      <c r="AS149" s="1470"/>
      <c r="AT149" s="1470"/>
      <c r="BA149" s="4240"/>
      <c r="BB149" s="4240"/>
    </row>
    <row r="150" spans="20:54" x14ac:dyDescent="0.25">
      <c r="T150" s="1722"/>
      <c r="V150" s="1722"/>
      <c r="AL150" s="899"/>
    </row>
    <row r="151" spans="20:54" x14ac:dyDescent="0.25">
      <c r="T151" s="1722"/>
      <c r="V151" s="1722"/>
      <c r="AL151" s="899"/>
    </row>
  </sheetData>
  <mergeCells count="31">
    <mergeCell ref="S3:T3"/>
    <mergeCell ref="U3:V3"/>
    <mergeCell ref="B55:B56"/>
    <mergeCell ref="B3:B4"/>
    <mergeCell ref="C3:C4"/>
    <mergeCell ref="E3:F3"/>
    <mergeCell ref="G3:H3"/>
    <mergeCell ref="K3:L3"/>
    <mergeCell ref="M3:N3"/>
    <mergeCell ref="O3:P3"/>
    <mergeCell ref="Q3:R3"/>
    <mergeCell ref="I3:J3"/>
    <mergeCell ref="D3:D4"/>
    <mergeCell ref="W3:X3"/>
    <mergeCell ref="AA3:AB3"/>
    <mergeCell ref="Y3:Z3"/>
    <mergeCell ref="AK3:AL3"/>
    <mergeCell ref="AM3:AN3"/>
    <mergeCell ref="AC3:AD3"/>
    <mergeCell ref="AE3:AF3"/>
    <mergeCell ref="AO3:AP3"/>
    <mergeCell ref="AG3:AH3"/>
    <mergeCell ref="AI3:AJ3"/>
    <mergeCell ref="AQ3:AR3"/>
    <mergeCell ref="AS3:AT3"/>
    <mergeCell ref="AY3:AZ3"/>
    <mergeCell ref="BA3:BB3"/>
    <mergeCell ref="BE3:BF3"/>
    <mergeCell ref="BC3:BD3"/>
    <mergeCell ref="AU3:AV3"/>
    <mergeCell ref="AW3:AX3"/>
  </mergeCells>
  <printOptions horizontalCentered="1" verticalCentered="1"/>
  <pageMargins left="0" right="0" top="0" bottom="0" header="0" footer="0"/>
  <pageSetup scale="41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26"/>
  <sheetViews>
    <sheetView topLeftCell="G1" workbookViewId="0">
      <selection activeCell="Q2" sqref="Q2"/>
    </sheetView>
  </sheetViews>
  <sheetFormatPr defaultColWidth="8.85546875" defaultRowHeight="15" x14ac:dyDescent="0.25"/>
  <cols>
    <col min="2" max="2" width="18.7109375" style="856" customWidth="1"/>
    <col min="4" max="4" width="9.140625" style="853"/>
    <col min="5" max="5" width="1.85546875" customWidth="1"/>
    <col min="6" max="6" width="26.7109375" customWidth="1"/>
    <col min="9" max="9" width="1.7109375" customWidth="1"/>
    <col min="10" max="10" width="28.42578125" customWidth="1"/>
    <col min="13" max="13" width="28.140625" customWidth="1"/>
    <col min="14" max="14" width="29.140625" bestFit="1" customWidth="1"/>
    <col min="15" max="15" width="18.7109375" customWidth="1"/>
    <col min="16" max="16" width="12.42578125" customWidth="1"/>
    <col min="17" max="17" width="12.7109375" style="853" customWidth="1"/>
    <col min="18" max="18" width="14" customWidth="1"/>
  </cols>
  <sheetData>
    <row r="1" spans="2:19" ht="50.25" customHeight="1" x14ac:dyDescent="0.25">
      <c r="B1" s="858" t="s">
        <v>979</v>
      </c>
      <c r="C1" s="859" t="s">
        <v>198</v>
      </c>
      <c r="D1" s="859" t="s">
        <v>199</v>
      </c>
      <c r="E1" s="859"/>
      <c r="F1" s="858" t="s">
        <v>978</v>
      </c>
      <c r="G1" s="859" t="s">
        <v>198</v>
      </c>
      <c r="H1" s="859" t="s">
        <v>199</v>
      </c>
      <c r="I1" s="859"/>
      <c r="J1" s="858" t="s">
        <v>977</v>
      </c>
      <c r="K1" s="859" t="s">
        <v>198</v>
      </c>
      <c r="L1" s="859" t="s">
        <v>199</v>
      </c>
      <c r="M1" s="858" t="s">
        <v>984</v>
      </c>
      <c r="N1" s="421"/>
      <c r="O1" s="862" t="s">
        <v>985</v>
      </c>
      <c r="P1" s="714" t="s">
        <v>986</v>
      </c>
      <c r="Q1" s="714" t="s">
        <v>521</v>
      </c>
      <c r="R1" s="862" t="s">
        <v>987</v>
      </c>
      <c r="S1" s="862" t="s">
        <v>988</v>
      </c>
    </row>
    <row r="2" spans="2:19" x14ac:dyDescent="0.25">
      <c r="B2" s="864" t="s">
        <v>40</v>
      </c>
      <c r="C2" s="857" t="s">
        <v>248</v>
      </c>
      <c r="D2" s="854">
        <v>860.00000000000011</v>
      </c>
      <c r="F2" s="866" t="s">
        <v>86</v>
      </c>
      <c r="G2" t="s">
        <v>302</v>
      </c>
      <c r="H2" s="854">
        <v>1.8</v>
      </c>
      <c r="J2" s="856" t="s">
        <v>269</v>
      </c>
      <c r="K2" t="s">
        <v>273</v>
      </c>
      <c r="L2" s="854">
        <v>355</v>
      </c>
      <c r="M2" t="s">
        <v>10</v>
      </c>
      <c r="N2" s="421" t="s">
        <v>956</v>
      </c>
      <c r="O2" s="863">
        <v>742.32600000000002</v>
      </c>
      <c r="P2" s="863">
        <v>56834.77</v>
      </c>
      <c r="Q2" s="863">
        <f>+P2-R2</f>
        <v>2612.5179999999964</v>
      </c>
      <c r="R2" s="863">
        <v>54222.252</v>
      </c>
      <c r="S2" s="863">
        <f>+O2+P2-R2</f>
        <v>3354.8439999999973</v>
      </c>
    </row>
    <row r="3" spans="2:19" x14ac:dyDescent="0.25">
      <c r="B3" s="864" t="s">
        <v>41</v>
      </c>
      <c r="C3" s="857" t="s">
        <v>248</v>
      </c>
      <c r="D3" s="854">
        <v>40</v>
      </c>
      <c r="F3" s="866" t="s">
        <v>87</v>
      </c>
      <c r="G3" t="s">
        <v>302</v>
      </c>
      <c r="H3" s="854">
        <v>16</v>
      </c>
      <c r="J3" s="856" t="s">
        <v>1</v>
      </c>
      <c r="K3" t="s">
        <v>273</v>
      </c>
      <c r="L3" s="854">
        <v>30</v>
      </c>
      <c r="M3" t="s">
        <v>11</v>
      </c>
    </row>
    <row r="4" spans="2:19" x14ac:dyDescent="0.25">
      <c r="B4" s="864" t="s">
        <v>42</v>
      </c>
      <c r="C4" s="857" t="s">
        <v>248</v>
      </c>
      <c r="D4" s="463">
        <v>101.39999999999999</v>
      </c>
      <c r="F4" s="866" t="s">
        <v>88</v>
      </c>
      <c r="G4" t="s">
        <v>302</v>
      </c>
      <c r="H4" s="854">
        <v>3.2</v>
      </c>
      <c r="J4" s="856" t="s">
        <v>139</v>
      </c>
      <c r="K4" t="s">
        <v>273</v>
      </c>
      <c r="L4" s="854">
        <v>145</v>
      </c>
      <c r="M4" t="s">
        <v>697</v>
      </c>
    </row>
    <row r="5" spans="2:19" x14ac:dyDescent="0.25">
      <c r="B5" s="724" t="s">
        <v>43</v>
      </c>
      <c r="C5" s="857" t="s">
        <v>248</v>
      </c>
      <c r="D5" s="854">
        <v>40</v>
      </c>
      <c r="F5" s="866" t="s">
        <v>147</v>
      </c>
      <c r="G5" t="s">
        <v>302</v>
      </c>
      <c r="H5" s="854">
        <v>0</v>
      </c>
      <c r="J5" s="856" t="s">
        <v>20</v>
      </c>
      <c r="K5" t="s">
        <v>273</v>
      </c>
      <c r="L5" s="463">
        <v>1229.4576828266227</v>
      </c>
      <c r="M5" t="s">
        <v>707</v>
      </c>
      <c r="N5" s="421"/>
      <c r="O5" s="714" t="s">
        <v>991</v>
      </c>
      <c r="P5" s="714" t="s">
        <v>992</v>
      </c>
      <c r="Q5" s="714" t="s">
        <v>990</v>
      </c>
    </row>
    <row r="6" spans="2:19" x14ac:dyDescent="0.25">
      <c r="B6" s="724" t="s">
        <v>693</v>
      </c>
      <c r="C6" s="857" t="s">
        <v>248</v>
      </c>
      <c r="D6" s="854">
        <v>0</v>
      </c>
      <c r="F6" s="866" t="s">
        <v>89</v>
      </c>
      <c r="G6" t="s">
        <v>302</v>
      </c>
      <c r="H6" s="854">
        <v>2</v>
      </c>
      <c r="J6" s="860" t="s">
        <v>271</v>
      </c>
      <c r="K6" t="s">
        <v>273</v>
      </c>
      <c r="L6" s="463">
        <v>388.24979457682844</v>
      </c>
      <c r="M6" t="s">
        <v>725</v>
      </c>
      <c r="N6" s="421" t="s">
        <v>989</v>
      </c>
      <c r="O6" s="714">
        <v>32703</v>
      </c>
      <c r="P6" s="714">
        <v>32538</v>
      </c>
      <c r="Q6" s="863">
        <v>29307.655999999999</v>
      </c>
      <c r="R6" s="463">
        <f>+R2-O6</f>
        <v>21519.252</v>
      </c>
    </row>
    <row r="7" spans="2:19" x14ac:dyDescent="0.25">
      <c r="B7" s="724" t="s">
        <v>615</v>
      </c>
      <c r="C7" s="857" t="s">
        <v>248</v>
      </c>
      <c r="D7" s="854">
        <v>5</v>
      </c>
      <c r="F7" s="866" t="s">
        <v>90</v>
      </c>
      <c r="G7" t="s">
        <v>302</v>
      </c>
      <c r="H7" s="854">
        <v>0.1</v>
      </c>
      <c r="J7" s="861" t="s">
        <v>272</v>
      </c>
      <c r="K7" t="s">
        <v>273</v>
      </c>
      <c r="L7" s="463">
        <v>10</v>
      </c>
      <c r="M7" t="s">
        <v>710</v>
      </c>
      <c r="N7" s="421" t="s">
        <v>994</v>
      </c>
      <c r="O7" s="714"/>
      <c r="P7" s="867">
        <v>8440</v>
      </c>
      <c r="Q7" s="863">
        <v>8441.3499999999985</v>
      </c>
      <c r="R7" s="854"/>
    </row>
    <row r="8" spans="2:19" x14ac:dyDescent="0.25">
      <c r="B8" s="724" t="s">
        <v>44</v>
      </c>
      <c r="C8" s="857" t="s">
        <v>248</v>
      </c>
      <c r="D8" s="854">
        <v>4.5</v>
      </c>
      <c r="F8" s="671" t="s">
        <v>144</v>
      </c>
      <c r="G8" t="s">
        <v>302</v>
      </c>
      <c r="H8" s="854">
        <v>20</v>
      </c>
      <c r="J8" s="860" t="s">
        <v>6</v>
      </c>
      <c r="K8" t="s">
        <v>273</v>
      </c>
      <c r="L8" s="463">
        <v>20</v>
      </c>
      <c r="M8" t="s">
        <v>719</v>
      </c>
      <c r="N8" s="421" t="s">
        <v>995</v>
      </c>
      <c r="O8" s="714"/>
      <c r="P8" s="863">
        <f>+P6-P7</f>
        <v>24098</v>
      </c>
      <c r="Q8" s="863">
        <f>+Q6-Q7</f>
        <v>20866.306</v>
      </c>
      <c r="R8" s="854"/>
    </row>
    <row r="9" spans="2:19" x14ac:dyDescent="0.25">
      <c r="B9" s="724" t="s">
        <v>45</v>
      </c>
      <c r="C9" s="857" t="s">
        <v>248</v>
      </c>
      <c r="D9" s="854">
        <v>30</v>
      </c>
      <c r="F9" s="866" t="s">
        <v>600</v>
      </c>
      <c r="G9" t="s">
        <v>302</v>
      </c>
      <c r="H9" s="854">
        <v>0</v>
      </c>
      <c r="M9" t="s">
        <v>562</v>
      </c>
      <c r="N9" s="421" t="s">
        <v>996</v>
      </c>
      <c r="O9" s="714"/>
      <c r="P9" s="714"/>
      <c r="Q9" s="714"/>
      <c r="R9" s="854"/>
    </row>
    <row r="10" spans="2:19" x14ac:dyDescent="0.25">
      <c r="B10" s="724" t="s">
        <v>973</v>
      </c>
      <c r="C10" s="857" t="s">
        <v>248</v>
      </c>
      <c r="D10" s="854">
        <v>0</v>
      </c>
      <c r="F10" s="866" t="s">
        <v>145</v>
      </c>
      <c r="G10" t="s">
        <v>302</v>
      </c>
      <c r="H10" s="854">
        <v>10</v>
      </c>
      <c r="J10" s="858" t="s">
        <v>981</v>
      </c>
      <c r="M10" t="s">
        <v>563</v>
      </c>
      <c r="N10" s="421" t="s">
        <v>993</v>
      </c>
      <c r="O10" s="714"/>
      <c r="P10" s="714"/>
      <c r="Q10" s="714"/>
      <c r="R10" s="854"/>
    </row>
    <row r="11" spans="2:19" x14ac:dyDescent="0.25">
      <c r="B11" s="724" t="s">
        <v>104</v>
      </c>
      <c r="C11" s="857" t="s">
        <v>248</v>
      </c>
      <c r="D11" s="854">
        <v>130</v>
      </c>
      <c r="F11" s="671" t="s">
        <v>20</v>
      </c>
      <c r="G11" t="s">
        <v>302</v>
      </c>
      <c r="H11" s="854">
        <v>0</v>
      </c>
      <c r="J11" t="s">
        <v>614</v>
      </c>
      <c r="N11" s="421" t="s">
        <v>996</v>
      </c>
      <c r="O11" s="714"/>
      <c r="P11" s="714"/>
      <c r="Q11" s="714"/>
      <c r="R11" s="854"/>
    </row>
    <row r="12" spans="2:19" x14ac:dyDescent="0.25">
      <c r="B12" s="724"/>
      <c r="C12" s="857"/>
      <c r="F12" s="866" t="s">
        <v>146</v>
      </c>
      <c r="G12" t="s">
        <v>302</v>
      </c>
      <c r="H12" s="854">
        <v>15</v>
      </c>
      <c r="O12" s="854"/>
      <c r="P12" s="854"/>
      <c r="Q12" s="854"/>
      <c r="R12" s="854"/>
    </row>
    <row r="13" spans="2:19" ht="30" x14ac:dyDescent="0.25">
      <c r="B13" s="865" t="s">
        <v>980</v>
      </c>
      <c r="C13" s="857"/>
      <c r="F13" s="671" t="s">
        <v>128</v>
      </c>
      <c r="G13" t="s">
        <v>302</v>
      </c>
      <c r="H13" s="854">
        <v>65</v>
      </c>
      <c r="J13" s="858" t="s">
        <v>85</v>
      </c>
      <c r="O13" s="854"/>
      <c r="P13" s="854"/>
      <c r="Q13" s="854"/>
      <c r="R13" s="854"/>
    </row>
    <row r="14" spans="2:19" ht="30" x14ac:dyDescent="0.25">
      <c r="B14" s="724" t="s">
        <v>73</v>
      </c>
      <c r="C14" s="857" t="s">
        <v>248</v>
      </c>
      <c r="D14" s="854">
        <v>17.2</v>
      </c>
      <c r="F14" s="671" t="s">
        <v>619</v>
      </c>
      <c r="G14" t="s">
        <v>201</v>
      </c>
      <c r="H14" s="854"/>
      <c r="J14" s="204" t="s">
        <v>982</v>
      </c>
    </row>
    <row r="15" spans="2:19" x14ac:dyDescent="0.25">
      <c r="B15" s="724" t="s">
        <v>823</v>
      </c>
      <c r="C15" s="857" t="s">
        <v>248</v>
      </c>
      <c r="D15" s="854">
        <v>0</v>
      </c>
      <c r="F15" s="866" t="s">
        <v>601</v>
      </c>
      <c r="G15" t="s">
        <v>302</v>
      </c>
      <c r="H15" s="855">
        <v>9.5</v>
      </c>
      <c r="J15" s="204" t="s">
        <v>983</v>
      </c>
    </row>
    <row r="16" spans="2:19" x14ac:dyDescent="0.25">
      <c r="B16" s="724" t="s">
        <v>47</v>
      </c>
      <c r="C16" s="857" t="s">
        <v>248</v>
      </c>
      <c r="D16" s="854">
        <v>15</v>
      </c>
      <c r="F16" s="671"/>
    </row>
    <row r="17" spans="2:6" ht="30" x14ac:dyDescent="0.25">
      <c r="B17" s="724" t="s">
        <v>74</v>
      </c>
      <c r="C17" s="857" t="s">
        <v>248</v>
      </c>
      <c r="D17" s="854">
        <v>21</v>
      </c>
      <c r="F17" s="866" t="s">
        <v>640</v>
      </c>
    </row>
    <row r="18" spans="2:6" x14ac:dyDescent="0.25">
      <c r="B18" s="724" t="s">
        <v>70</v>
      </c>
      <c r="C18" s="857" t="s">
        <v>248</v>
      </c>
      <c r="D18" s="854">
        <v>80</v>
      </c>
      <c r="F18" s="866" t="s">
        <v>639</v>
      </c>
    </row>
    <row r="19" spans="2:6" ht="30" x14ac:dyDescent="0.25">
      <c r="B19" s="724" t="s">
        <v>103</v>
      </c>
      <c r="C19" s="857" t="s">
        <v>248</v>
      </c>
      <c r="D19" s="854">
        <v>170</v>
      </c>
      <c r="F19" s="866" t="s">
        <v>863</v>
      </c>
    </row>
    <row r="20" spans="2:6" x14ac:dyDescent="0.25">
      <c r="B20" s="724" t="s">
        <v>838</v>
      </c>
      <c r="C20" s="857" t="s">
        <v>248</v>
      </c>
      <c r="D20" s="854">
        <v>0</v>
      </c>
      <c r="F20" s="866" t="s">
        <v>637</v>
      </c>
    </row>
    <row r="21" spans="2:6" x14ac:dyDescent="0.25">
      <c r="F21" s="866" t="s">
        <v>692</v>
      </c>
    </row>
    <row r="22" spans="2:6" x14ac:dyDescent="0.25">
      <c r="F22" s="866" t="s">
        <v>864</v>
      </c>
    </row>
    <row r="23" spans="2:6" x14ac:dyDescent="0.25">
      <c r="F23" s="866" t="s">
        <v>638</v>
      </c>
    </row>
    <row r="24" spans="2:6" x14ac:dyDescent="0.25">
      <c r="F24" s="810" t="s">
        <v>1</v>
      </c>
    </row>
    <row r="25" spans="2:6" x14ac:dyDescent="0.25">
      <c r="F25" s="866" t="s">
        <v>865</v>
      </c>
    </row>
    <row r="26" spans="2:6" x14ac:dyDescent="0.25">
      <c r="F26" s="810" t="s">
        <v>866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EU149"/>
  <sheetViews>
    <sheetView topLeftCell="A37" workbookViewId="0">
      <pane xSplit="4" topLeftCell="AQ1" activePane="topRight" state="frozen"/>
      <selection pane="topRight" activeCell="L33" sqref="L33"/>
    </sheetView>
  </sheetViews>
  <sheetFormatPr defaultColWidth="8.85546875" defaultRowHeight="15" x14ac:dyDescent="0.25"/>
  <cols>
    <col min="1" max="1" width="9.140625" style="332"/>
    <col min="2" max="2" width="60" customWidth="1"/>
    <col min="3" max="3" width="11.7109375" style="899" bestFit="1" customWidth="1"/>
    <col min="4" max="4" width="13.7109375" style="1826" bestFit="1" customWidth="1"/>
    <col min="5" max="5" width="12.42578125" style="1824" customWidth="1"/>
    <col min="6" max="6" width="11.28515625" style="1092" customWidth="1"/>
    <col min="7" max="7" width="12" style="1824" customWidth="1"/>
    <col min="8" max="8" width="12.140625" style="1092" customWidth="1"/>
    <col min="9" max="9" width="10.7109375" style="1824" hidden="1" customWidth="1"/>
    <col min="10" max="10" width="14" style="1092" hidden="1" customWidth="1"/>
    <col min="11" max="11" width="11.140625" style="1824" customWidth="1"/>
    <col min="12" max="12" width="11.42578125" style="1092" customWidth="1"/>
    <col min="13" max="13" width="11" style="1824" customWidth="1"/>
    <col min="14" max="14" width="11.85546875" style="1092" customWidth="1"/>
    <col min="15" max="15" width="9.140625" style="1824" customWidth="1"/>
    <col min="16" max="16" width="9.85546875" style="1576" bestFit="1" customWidth="1"/>
    <col min="17" max="17" width="9.140625" style="1824" hidden="1" customWidth="1"/>
    <col min="18" max="18" width="12.42578125" style="1092" hidden="1" customWidth="1"/>
    <col min="19" max="19" width="9.140625" style="899" customWidth="1"/>
    <col min="20" max="20" width="9.85546875" style="899" bestFit="1" customWidth="1"/>
    <col min="21" max="21" width="9.140625" style="899" hidden="1" customWidth="1"/>
    <col min="22" max="22" width="12.42578125" style="899" hidden="1" customWidth="1"/>
    <col min="23" max="23" width="9.140625" style="899" customWidth="1"/>
    <col min="24" max="24" width="9.85546875" style="899" bestFit="1" customWidth="1"/>
    <col min="25" max="25" width="9.140625" style="899" customWidth="1"/>
    <col min="26" max="26" width="9.85546875" style="899" customWidth="1"/>
    <col min="27" max="27" width="9.140625" style="899" customWidth="1"/>
    <col min="28" max="28" width="12.42578125" style="899" customWidth="1"/>
    <col min="29" max="29" width="9.140625" style="899" customWidth="1"/>
    <col min="30" max="30" width="9.85546875" style="899" bestFit="1" customWidth="1"/>
    <col min="31" max="31" width="9.140625" style="899" hidden="1" customWidth="1"/>
    <col min="32" max="32" width="12.42578125" style="899" hidden="1" customWidth="1"/>
    <col min="33" max="33" width="9.140625" style="899" customWidth="1"/>
    <col min="34" max="34" width="9.85546875" style="899" bestFit="1" customWidth="1"/>
    <col min="35" max="35" width="11.42578125" style="899" hidden="1" customWidth="1"/>
    <col min="36" max="36" width="11.28515625" style="899" hidden="1" customWidth="1"/>
    <col min="37" max="37" width="10" style="899" customWidth="1"/>
    <col min="38" max="38" width="10" style="899" bestFit="1" customWidth="1"/>
    <col min="39" max="39" width="9" style="899" customWidth="1"/>
    <col min="40" max="40" width="9.85546875" style="899" bestFit="1" customWidth="1"/>
    <col min="41" max="41" width="8.85546875" style="899" hidden="1" customWidth="1"/>
    <col min="42" max="42" width="12.42578125" style="899" hidden="1" customWidth="1"/>
    <col min="43" max="43" width="8.85546875" style="899" customWidth="1"/>
    <col min="44" max="44" width="9.85546875" style="899" bestFit="1" customWidth="1"/>
    <col min="45" max="46" width="12.28515625" style="899" hidden="1" customWidth="1"/>
    <col min="47" max="47" width="8.85546875" style="899" customWidth="1"/>
    <col min="48" max="48" width="11.85546875" style="899" customWidth="1"/>
    <col min="49" max="49" width="11.28515625" style="899" hidden="1" customWidth="1"/>
    <col min="50" max="50" width="14.42578125" style="899" hidden="1" customWidth="1"/>
    <col min="51" max="51" width="11.42578125" style="899" customWidth="1"/>
    <col min="52" max="52" width="11.85546875" style="899" customWidth="1"/>
    <col min="53" max="53" width="9.140625" style="899" customWidth="1"/>
    <col min="54" max="54" width="11.140625" style="899" customWidth="1"/>
    <col min="55" max="55" width="13.140625" style="899" customWidth="1"/>
    <col min="56" max="56" width="11.140625" style="899" customWidth="1"/>
    <col min="57" max="57" width="12.42578125" style="899" bestFit="1" customWidth="1"/>
    <col min="58" max="58" width="11" style="899" customWidth="1"/>
    <col min="59" max="59" width="8.85546875" style="1324"/>
    <col min="60" max="60" width="9.85546875" style="1433" bestFit="1" customWidth="1"/>
    <col min="61" max="61" width="12.28515625" style="1433" bestFit="1" customWidth="1"/>
    <col min="62" max="73" width="8.85546875" style="1433"/>
  </cols>
  <sheetData>
    <row r="1" spans="1:73" ht="22.5" x14ac:dyDescent="0.3">
      <c r="B1" s="971" t="s">
        <v>263</v>
      </c>
      <c r="C1" s="476"/>
      <c r="D1" s="476"/>
      <c r="E1" s="476"/>
      <c r="F1" s="476"/>
      <c r="G1" s="476"/>
      <c r="H1" s="476"/>
      <c r="I1" s="476"/>
      <c r="J1" s="476"/>
      <c r="K1" s="1092"/>
      <c r="M1" s="1092"/>
      <c r="O1" s="1092"/>
      <c r="Q1" s="1092"/>
      <c r="S1" s="1092"/>
      <c r="T1" s="1092"/>
      <c r="U1" s="1092"/>
      <c r="V1" s="1092"/>
      <c r="W1" s="1092"/>
      <c r="X1" s="1092"/>
      <c r="Y1" s="1092"/>
      <c r="Z1" s="1092"/>
      <c r="AA1" s="1092"/>
      <c r="AB1" s="1092"/>
      <c r="AC1" s="1092"/>
      <c r="AD1" s="1092"/>
      <c r="AE1" s="1092"/>
      <c r="AF1" s="1092"/>
      <c r="AG1" s="1092"/>
      <c r="AH1" s="1092"/>
      <c r="AI1" s="1092"/>
      <c r="AJ1" s="200"/>
      <c r="AK1" s="200"/>
      <c r="AL1" s="200"/>
      <c r="AM1" s="200"/>
      <c r="AN1" s="200"/>
      <c r="AO1" s="1092"/>
      <c r="AP1" s="1092"/>
    </row>
    <row r="2" spans="1:73" s="200" customFormat="1" ht="15.75" thickBot="1" x14ac:dyDescent="0.3">
      <c r="B2" s="106"/>
      <c r="C2" s="476"/>
      <c r="D2" s="476">
        <v>365</v>
      </c>
      <c r="E2" s="207">
        <v>30</v>
      </c>
      <c r="F2" s="207">
        <v>30</v>
      </c>
      <c r="G2" s="207">
        <v>31</v>
      </c>
      <c r="H2" s="207">
        <v>31</v>
      </c>
      <c r="I2" s="207">
        <f>+E2+G2</f>
        <v>61</v>
      </c>
      <c r="J2" s="207">
        <f>+F2+H2</f>
        <v>61</v>
      </c>
      <c r="K2" s="207">
        <v>30</v>
      </c>
      <c r="L2" s="207">
        <v>30</v>
      </c>
      <c r="M2" s="207">
        <f>+I2+K2</f>
        <v>91</v>
      </c>
      <c r="N2" s="207">
        <f>+J2+L2</f>
        <v>91</v>
      </c>
      <c r="O2" s="207">
        <v>31</v>
      </c>
      <c r="P2" s="984">
        <v>31</v>
      </c>
      <c r="Q2" s="207">
        <f>+M2+O2</f>
        <v>122</v>
      </c>
      <c r="R2" s="207">
        <f>+N2+P2</f>
        <v>122</v>
      </c>
      <c r="S2" s="207">
        <v>31</v>
      </c>
      <c r="T2" s="984">
        <v>31</v>
      </c>
      <c r="U2" s="207">
        <f>+Q2+S2</f>
        <v>153</v>
      </c>
      <c r="V2" s="207">
        <f>+R2+T2</f>
        <v>153</v>
      </c>
      <c r="W2" s="207">
        <v>30</v>
      </c>
      <c r="X2" s="984">
        <v>30</v>
      </c>
      <c r="Y2" s="207">
        <f>+O2+S2+W2</f>
        <v>92</v>
      </c>
      <c r="Z2" s="207">
        <f>+P2+T2+X2</f>
        <v>92</v>
      </c>
      <c r="AA2" s="207">
        <f>+U2+W2</f>
        <v>183</v>
      </c>
      <c r="AB2" s="207">
        <f>+V2+X2</f>
        <v>183</v>
      </c>
      <c r="AC2" s="1092">
        <v>31</v>
      </c>
      <c r="AD2" s="1092">
        <v>31</v>
      </c>
      <c r="AE2" s="1092">
        <f>+AA2+AC2</f>
        <v>214</v>
      </c>
      <c r="AF2" s="207">
        <f>+AB2+AD2</f>
        <v>214</v>
      </c>
      <c r="AG2" s="1092">
        <v>30</v>
      </c>
      <c r="AH2" s="1092">
        <v>30</v>
      </c>
      <c r="AI2" s="1092">
        <f>+AE2+AG2</f>
        <v>244</v>
      </c>
      <c r="AJ2" s="200">
        <f>+AF2+AH2</f>
        <v>244</v>
      </c>
      <c r="AK2" s="200">
        <v>31</v>
      </c>
      <c r="AL2" s="200">
        <v>31</v>
      </c>
      <c r="AM2" s="200">
        <f>+AC2+AG2+AK2</f>
        <v>92</v>
      </c>
      <c r="AN2" s="200">
        <f>+AD2+AH2+AL2</f>
        <v>92</v>
      </c>
      <c r="AO2" s="207">
        <f>+AI2+AK2</f>
        <v>275</v>
      </c>
      <c r="AP2" s="207">
        <f>+AJ2+AL2</f>
        <v>275</v>
      </c>
      <c r="AQ2" s="207">
        <v>31</v>
      </c>
      <c r="AR2" s="984">
        <v>31</v>
      </c>
      <c r="AS2" s="207">
        <f>+AO2+AQ2</f>
        <v>306</v>
      </c>
      <c r="AT2" s="207">
        <f>+AP2+AR2</f>
        <v>306</v>
      </c>
      <c r="AU2" s="1092">
        <v>28</v>
      </c>
      <c r="AV2" s="1092">
        <v>28</v>
      </c>
      <c r="AW2" s="1092">
        <f>+AS2+AU2</f>
        <v>334</v>
      </c>
      <c r="AX2" s="1092">
        <f>+AT2+AV2</f>
        <v>334</v>
      </c>
      <c r="AY2" s="1092">
        <v>31</v>
      </c>
      <c r="AZ2" s="1092">
        <v>31</v>
      </c>
      <c r="BA2" s="200">
        <f>+AQ2+AU2+AY2</f>
        <v>90</v>
      </c>
      <c r="BB2" s="200">
        <f>+AR2+AV2+AZ2</f>
        <v>90</v>
      </c>
      <c r="BC2" s="207">
        <f>+BA2+AM2</f>
        <v>182</v>
      </c>
      <c r="BD2" s="207">
        <f>+BB2+AN2</f>
        <v>182</v>
      </c>
      <c r="BE2" s="207">
        <f>+AW2+AY2</f>
        <v>365</v>
      </c>
      <c r="BF2" s="207">
        <f>+AX2+AZ2</f>
        <v>365</v>
      </c>
      <c r="BG2" s="1825"/>
      <c r="BH2" s="1516"/>
      <c r="BI2" s="1516"/>
      <c r="BJ2" s="1516"/>
      <c r="BK2" s="1516"/>
      <c r="BL2" s="1516"/>
      <c r="BM2" s="1516"/>
      <c r="BN2" s="1516"/>
      <c r="BO2" s="1516"/>
      <c r="BP2" s="1516"/>
      <c r="BQ2" s="1516"/>
      <c r="BR2" s="1516"/>
      <c r="BS2" s="1516"/>
      <c r="BT2" s="1516"/>
      <c r="BU2" s="1516"/>
    </row>
    <row r="3" spans="1:73" s="200" customFormat="1" ht="15.75" thickBot="1" x14ac:dyDescent="0.3">
      <c r="B3" s="5073" t="s">
        <v>197</v>
      </c>
      <c r="C3" s="4873" t="s">
        <v>198</v>
      </c>
      <c r="D3" s="5192" t="s">
        <v>1572</v>
      </c>
      <c r="E3" s="4875" t="s">
        <v>1323</v>
      </c>
      <c r="F3" s="4876"/>
      <c r="G3" s="4875" t="s">
        <v>1384</v>
      </c>
      <c r="H3" s="4875"/>
      <c r="I3" s="4877" t="s">
        <v>15</v>
      </c>
      <c r="J3" s="4878"/>
      <c r="K3" s="4879" t="s">
        <v>1397</v>
      </c>
      <c r="L3" s="4880"/>
      <c r="M3" s="4881" t="s">
        <v>741</v>
      </c>
      <c r="N3" s="4859"/>
      <c r="O3" s="4875" t="s">
        <v>1424</v>
      </c>
      <c r="P3" s="4875"/>
      <c r="Q3" s="4877" t="s">
        <v>18</v>
      </c>
      <c r="R3" s="4878"/>
      <c r="S3" s="4875" t="s">
        <v>1496</v>
      </c>
      <c r="T3" s="4875"/>
      <c r="U3" s="4877" t="s">
        <v>19</v>
      </c>
      <c r="V3" s="4878"/>
      <c r="W3" s="4875" t="s">
        <v>1573</v>
      </c>
      <c r="X3" s="4875"/>
      <c r="Y3" s="4858" t="s">
        <v>159</v>
      </c>
      <c r="Z3" s="4859"/>
      <c r="AA3" s="4850" t="s">
        <v>784</v>
      </c>
      <c r="AB3" s="4851"/>
      <c r="AC3" s="4875" t="s">
        <v>1634</v>
      </c>
      <c r="AD3" s="4875"/>
      <c r="AE3" s="4877" t="s">
        <v>26</v>
      </c>
      <c r="AF3" s="4878"/>
      <c r="AG3" s="4875" t="s">
        <v>1671</v>
      </c>
      <c r="AH3" s="4875"/>
      <c r="AI3" s="4877" t="s">
        <v>29</v>
      </c>
      <c r="AJ3" s="4878"/>
      <c r="AK3" s="4875" t="s">
        <v>1696</v>
      </c>
      <c r="AL3" s="4875"/>
      <c r="AM3" s="4858" t="s">
        <v>160</v>
      </c>
      <c r="AN3" s="4859"/>
      <c r="AO3" s="4877" t="s">
        <v>30</v>
      </c>
      <c r="AP3" s="4878"/>
      <c r="AQ3" s="4875" t="s">
        <v>1760</v>
      </c>
      <c r="AR3" s="4875"/>
      <c r="AS3" s="4877" t="s">
        <v>31</v>
      </c>
      <c r="AT3" s="4878"/>
      <c r="AU3" s="4875" t="s">
        <v>1812</v>
      </c>
      <c r="AV3" s="4875"/>
      <c r="AW3" s="4877" t="s">
        <v>33</v>
      </c>
      <c r="AX3" s="4878"/>
      <c r="AY3" s="4875" t="s">
        <v>1844</v>
      </c>
      <c r="AZ3" s="4875"/>
      <c r="BA3" s="4858" t="s">
        <v>161</v>
      </c>
      <c r="BB3" s="4859"/>
      <c r="BC3" s="4850" t="s">
        <v>817</v>
      </c>
      <c r="BD3" s="4851"/>
      <c r="BE3" s="4877" t="s">
        <v>1314</v>
      </c>
      <c r="BF3" s="4878"/>
      <c r="BG3" s="1825"/>
      <c r="BH3" s="1516"/>
      <c r="BI3" s="1516"/>
      <c r="BJ3" s="1516"/>
      <c r="BK3" s="1516"/>
      <c r="BL3" s="1516"/>
      <c r="BM3" s="1516"/>
      <c r="BN3" s="1516"/>
      <c r="BO3" s="1516"/>
      <c r="BP3" s="1516"/>
      <c r="BQ3" s="1516"/>
      <c r="BR3" s="1516"/>
      <c r="BS3" s="1516"/>
      <c r="BT3" s="1516"/>
      <c r="BU3" s="1516"/>
    </row>
    <row r="4" spans="1:73" s="200" customFormat="1" ht="15.75" thickBot="1" x14ac:dyDescent="0.3">
      <c r="B4" s="5098"/>
      <c r="C4" s="4874"/>
      <c r="D4" s="5193"/>
      <c r="E4" s="3503" t="s">
        <v>199</v>
      </c>
      <c r="F4" s="3560" t="s">
        <v>200</v>
      </c>
      <c r="G4" s="3503" t="s">
        <v>199</v>
      </c>
      <c r="H4" s="3552" t="s">
        <v>200</v>
      </c>
      <c r="I4" s="3513" t="s">
        <v>199</v>
      </c>
      <c r="J4" s="381" t="s">
        <v>200</v>
      </c>
      <c r="K4" s="3503" t="s">
        <v>199</v>
      </c>
      <c r="L4" s="3552" t="s">
        <v>200</v>
      </c>
      <c r="M4" s="3499" t="s">
        <v>199</v>
      </c>
      <c r="N4" s="395" t="s">
        <v>200</v>
      </c>
      <c r="O4" s="3503" t="s">
        <v>199</v>
      </c>
      <c r="P4" s="985" t="s">
        <v>200</v>
      </c>
      <c r="Q4" s="3513" t="s">
        <v>199</v>
      </c>
      <c r="R4" s="381" t="s">
        <v>200</v>
      </c>
      <c r="S4" s="3503" t="s">
        <v>199</v>
      </c>
      <c r="T4" s="985" t="s">
        <v>200</v>
      </c>
      <c r="U4" s="3513" t="s">
        <v>199</v>
      </c>
      <c r="V4" s="381" t="s">
        <v>200</v>
      </c>
      <c r="W4" s="3503" t="s">
        <v>199</v>
      </c>
      <c r="X4" s="1192" t="s">
        <v>200</v>
      </c>
      <c r="Y4" s="3493" t="s">
        <v>199</v>
      </c>
      <c r="Z4" s="395" t="s">
        <v>200</v>
      </c>
      <c r="AA4" s="3516" t="s">
        <v>199</v>
      </c>
      <c r="AB4" s="1137" t="s">
        <v>200</v>
      </c>
      <c r="AC4" s="3503" t="s">
        <v>199</v>
      </c>
      <c r="AD4" s="985" t="s">
        <v>200</v>
      </c>
      <c r="AE4" s="3513" t="s">
        <v>199</v>
      </c>
      <c r="AF4" s="381" t="s">
        <v>200</v>
      </c>
      <c r="AG4" s="3503" t="s">
        <v>199</v>
      </c>
      <c r="AH4" s="985" t="s">
        <v>200</v>
      </c>
      <c r="AI4" s="3513" t="s">
        <v>199</v>
      </c>
      <c r="AJ4" s="381" t="s">
        <v>200</v>
      </c>
      <c r="AK4" s="3503" t="s">
        <v>199</v>
      </c>
      <c r="AL4" s="1192" t="s">
        <v>200</v>
      </c>
      <c r="AM4" s="3493" t="s">
        <v>199</v>
      </c>
      <c r="AN4" s="395" t="s">
        <v>200</v>
      </c>
      <c r="AO4" s="3513" t="s">
        <v>199</v>
      </c>
      <c r="AP4" s="381" t="s">
        <v>200</v>
      </c>
      <c r="AQ4" s="1783" t="s">
        <v>199</v>
      </c>
      <c r="AR4" s="1192" t="s">
        <v>200</v>
      </c>
      <c r="AS4" s="1784" t="s">
        <v>199</v>
      </c>
      <c r="AT4" s="381" t="s">
        <v>200</v>
      </c>
      <c r="AU4" s="1783" t="s">
        <v>199</v>
      </c>
      <c r="AV4" s="1192" t="s">
        <v>200</v>
      </c>
      <c r="AW4" s="1784" t="s">
        <v>199</v>
      </c>
      <c r="AX4" s="381" t="s">
        <v>200</v>
      </c>
      <c r="AY4" s="1783" t="s">
        <v>199</v>
      </c>
      <c r="AZ4" s="1192" t="s">
        <v>200</v>
      </c>
      <c r="BA4" s="4235" t="s">
        <v>199</v>
      </c>
      <c r="BB4" s="395" t="s">
        <v>200</v>
      </c>
      <c r="BC4" s="4238" t="s">
        <v>199</v>
      </c>
      <c r="BD4" s="1137" t="s">
        <v>200</v>
      </c>
      <c r="BE4" s="4237" t="s">
        <v>199</v>
      </c>
      <c r="BF4" s="381" t="s">
        <v>200</v>
      </c>
      <c r="BG4" s="1825"/>
      <c r="BH4" s="1516"/>
      <c r="BI4" s="1516"/>
      <c r="BJ4" s="1516"/>
      <c r="BK4" s="1516"/>
      <c r="BL4" s="1516"/>
      <c r="BM4" s="1516"/>
      <c r="BN4" s="1516"/>
      <c r="BO4" s="1516"/>
      <c r="BP4" s="1516"/>
      <c r="BQ4" s="1516"/>
      <c r="BR4" s="1516"/>
      <c r="BS4" s="1516"/>
      <c r="BT4" s="1516"/>
      <c r="BU4" s="1516"/>
    </row>
    <row r="5" spans="1:73" s="200" customFormat="1" ht="18.75" x14ac:dyDescent="0.25">
      <c r="B5" s="461" t="s">
        <v>91</v>
      </c>
      <c r="C5" s="1816" t="s">
        <v>53</v>
      </c>
      <c r="D5" s="2478">
        <v>2650000.4700000002</v>
      </c>
      <c r="E5" s="2479">
        <f>+'Maj Production Summ'!E17</f>
        <v>102000</v>
      </c>
      <c r="F5" s="263">
        <f>+'Maj Production Summ'!F17</f>
        <v>109815</v>
      </c>
      <c r="G5" s="263">
        <f>+'Maj Production Summ'!G17</f>
        <v>134000</v>
      </c>
      <c r="H5" s="414">
        <f>+'Maj Production Summ'!H17</f>
        <v>103466.6</v>
      </c>
      <c r="I5" s="2480">
        <f>+E5+G5</f>
        <v>236000</v>
      </c>
      <c r="J5" s="220">
        <f>+F5+H5</f>
        <v>213281.6</v>
      </c>
      <c r="K5" s="3586">
        <f>+'Maj Production Summ'!K17</f>
        <v>237623</v>
      </c>
      <c r="L5" s="3586">
        <f>+'Maj Production Summ'!L17</f>
        <v>206937</v>
      </c>
      <c r="M5" s="2349">
        <f>+I5+K5</f>
        <v>473623</v>
      </c>
      <c r="N5" s="457">
        <f>+J5+L5</f>
        <v>420218.6</v>
      </c>
      <c r="O5" s="263">
        <f>+'Maj Production Summ'!O17</f>
        <v>245677.5</v>
      </c>
      <c r="P5" s="3586">
        <f>+'Maj Production Summ'!P17</f>
        <v>200202</v>
      </c>
      <c r="Q5" s="2480">
        <f>+M5+O5</f>
        <v>719300.5</v>
      </c>
      <c r="R5" s="453">
        <f>+N5+P5</f>
        <v>620420.6</v>
      </c>
      <c r="S5" s="263">
        <f>+'Maj Production Summ'!S17</f>
        <v>245677.5</v>
      </c>
      <c r="T5" s="3586">
        <f>+'Maj Production Summ'!T17</f>
        <v>220172</v>
      </c>
      <c r="U5" s="2480">
        <f>+Q5+S5</f>
        <v>964978</v>
      </c>
      <c r="V5" s="453">
        <f>+R5+T5</f>
        <v>840592.6</v>
      </c>
      <c r="W5" s="263">
        <f>+'Maj Production Summ'!W17</f>
        <v>238950</v>
      </c>
      <c r="X5" s="3586">
        <f>+'Maj Production Summ'!X17</f>
        <v>213015</v>
      </c>
      <c r="Y5" s="2349">
        <f>+W5+S5+O5</f>
        <v>730305</v>
      </c>
      <c r="Z5" s="457">
        <f>+X5+T5+P5</f>
        <v>633389</v>
      </c>
      <c r="AA5" s="2481">
        <f>+U5+W5</f>
        <v>1203928</v>
      </c>
      <c r="AB5" s="1138">
        <f>+V5+X5</f>
        <v>1053607.6000000001</v>
      </c>
      <c r="AC5" s="263">
        <f>+'Maj Production Summ'!AC17</f>
        <v>247050</v>
      </c>
      <c r="AD5" s="3586">
        <f>+'Maj Production Summ'!AD17</f>
        <v>232652</v>
      </c>
      <c r="AE5" s="2480">
        <f>+AA5+AC5</f>
        <v>1450978</v>
      </c>
      <c r="AF5" s="220">
        <f>+AB5+AD5</f>
        <v>1286259.6000000001</v>
      </c>
      <c r="AG5" s="263">
        <f>+'Maj Production Summ'!AG17</f>
        <v>238950</v>
      </c>
      <c r="AH5" s="3586">
        <f>+'Maj Production Summ'!AH17</f>
        <v>207019</v>
      </c>
      <c r="AI5" s="2480">
        <f>+AE5+AG5</f>
        <v>1689928</v>
      </c>
      <c r="AJ5" s="220">
        <f>+AF5+AH5</f>
        <v>1493278.6</v>
      </c>
      <c r="AK5" s="263">
        <f>+'Maj Production Summ'!AK17</f>
        <v>247050</v>
      </c>
      <c r="AL5" s="3586">
        <f>+'Maj Production Summ'!AL17</f>
        <v>230306</v>
      </c>
      <c r="AM5" s="2349">
        <f>+AK5+AG5+AC5</f>
        <v>733050</v>
      </c>
      <c r="AN5" s="457">
        <f>+AL5+AH5+AD5</f>
        <v>669977</v>
      </c>
      <c r="AO5" s="2480">
        <f>+AI5+AK5</f>
        <v>1936978</v>
      </c>
      <c r="AP5" s="453">
        <f>+AJ5+AL5</f>
        <v>1723584.6</v>
      </c>
      <c r="AQ5" s="263">
        <f>+'Maj Production Summ'!AQ17</f>
        <v>247050</v>
      </c>
      <c r="AR5" s="3586">
        <f>+'Maj Production Summ'!AR17</f>
        <v>235117</v>
      </c>
      <c r="AS5" s="2480">
        <f>+AO5+AQ5</f>
        <v>2184028</v>
      </c>
      <c r="AT5" s="220">
        <f>+AP5+AR5</f>
        <v>1958701.6</v>
      </c>
      <c r="AU5" s="263">
        <f>+'Maj Production Summ'!AU17</f>
        <v>218922.97</v>
      </c>
      <c r="AV5" s="3586">
        <f>+'Maj Production Summ'!AV17</f>
        <v>210229</v>
      </c>
      <c r="AW5" s="2480">
        <f>+AS5+AU5</f>
        <v>2402950.9700000002</v>
      </c>
      <c r="AX5" s="220">
        <f>+AT5+AV5</f>
        <v>2168930.6</v>
      </c>
      <c r="AY5" s="263">
        <f>+'Maj Production Summ'!AY17</f>
        <v>247050</v>
      </c>
      <c r="AZ5" s="4453">
        <f>+'Maj Production Summ'!AZ17</f>
        <v>237855.1</v>
      </c>
      <c r="BA5" s="2349">
        <f>+AY5+AU5+AQ5</f>
        <v>713022.97</v>
      </c>
      <c r="BB5" s="457">
        <f>+AZ5+AV5+AR5</f>
        <v>683201.1</v>
      </c>
      <c r="BC5" s="4376">
        <f>+AM5+BA5</f>
        <v>1446072.97</v>
      </c>
      <c r="BD5" s="4376">
        <f>+AN5+BB5</f>
        <v>1353178.1</v>
      </c>
      <c r="BE5" s="2803">
        <f>+AW5+AY5</f>
        <v>2650000.9700000002</v>
      </c>
      <c r="BF5" s="220">
        <f>+AX5+AZ5</f>
        <v>2406785.7000000002</v>
      </c>
      <c r="BG5" s="1825">
        <v>2700000</v>
      </c>
      <c r="BH5" s="4513">
        <f>+BF5/BG5</f>
        <v>0.89140211111111123</v>
      </c>
      <c r="BI5" s="1516"/>
      <c r="BJ5" s="1516"/>
      <c r="BK5" s="1516"/>
      <c r="BL5" s="1516"/>
      <c r="BM5" s="1516"/>
      <c r="BN5" s="1516"/>
      <c r="BO5" s="1516"/>
      <c r="BP5" s="1516"/>
      <c r="BQ5" s="1516"/>
      <c r="BR5" s="1516"/>
      <c r="BS5" s="1516"/>
      <c r="BT5" s="1516"/>
      <c r="BU5" s="1516"/>
    </row>
    <row r="6" spans="1:73" s="334" customFormat="1" x14ac:dyDescent="0.25">
      <c r="A6" s="333"/>
      <c r="B6" s="709" t="s">
        <v>266</v>
      </c>
      <c r="C6" s="1818"/>
      <c r="D6" s="1818"/>
      <c r="E6" s="1818"/>
      <c r="F6" s="1821"/>
      <c r="G6" s="1818"/>
      <c r="H6" s="1818"/>
      <c r="I6" s="1818"/>
      <c r="J6" s="1818"/>
      <c r="K6" s="1818"/>
      <c r="L6" s="1818"/>
      <c r="M6" s="1818"/>
      <c r="N6" s="1818"/>
      <c r="O6" s="1818"/>
      <c r="P6" s="1818"/>
      <c r="Q6" s="1818"/>
      <c r="R6" s="1818"/>
      <c r="S6" s="1818"/>
      <c r="T6" s="1818"/>
      <c r="U6" s="1818"/>
      <c r="V6" s="1818"/>
      <c r="W6" s="1818"/>
      <c r="X6" s="1818"/>
      <c r="Y6" s="1818"/>
      <c r="Z6" s="1818"/>
      <c r="AA6" s="1818"/>
      <c r="AB6" s="1836"/>
      <c r="AC6" s="1818"/>
      <c r="AD6" s="1818"/>
      <c r="AE6" s="1818"/>
      <c r="AF6" s="1818"/>
      <c r="AG6" s="1818"/>
      <c r="AH6" s="1818"/>
      <c r="AI6" s="1818"/>
      <c r="AJ6" s="1818"/>
      <c r="AK6" s="1818"/>
      <c r="AL6" s="1818"/>
      <c r="AM6" s="1818"/>
      <c r="AN6" s="1818"/>
      <c r="AO6" s="1818"/>
      <c r="AP6" s="1818"/>
      <c r="AQ6" s="1818"/>
      <c r="AR6" s="1818"/>
      <c r="AS6" s="1818"/>
      <c r="AT6" s="1818"/>
      <c r="AU6" s="1818"/>
      <c r="AV6" s="1818"/>
      <c r="AW6" s="1818"/>
      <c r="AX6" s="1818"/>
      <c r="AY6" s="1818"/>
      <c r="AZ6" s="1818"/>
      <c r="BA6" s="1818"/>
      <c r="BB6" s="1818"/>
      <c r="BC6" s="1818"/>
      <c r="BD6" s="1836"/>
      <c r="BE6" s="1818"/>
      <c r="BF6" s="1818"/>
      <c r="BG6" s="1792"/>
      <c r="BH6" s="1517"/>
      <c r="BI6" s="1517"/>
      <c r="BJ6" s="1517"/>
      <c r="BK6" s="1517"/>
      <c r="BL6" s="1517"/>
      <c r="BM6" s="1517"/>
      <c r="BN6" s="1517"/>
      <c r="BO6" s="1517"/>
      <c r="BP6" s="1517"/>
      <c r="BQ6" s="1517"/>
      <c r="BR6" s="1517"/>
      <c r="BS6" s="1517"/>
      <c r="BT6" s="1517"/>
      <c r="BU6" s="1517"/>
    </row>
    <row r="7" spans="1:73" x14ac:dyDescent="0.25">
      <c r="B7" s="2482" t="s">
        <v>483</v>
      </c>
      <c r="C7" s="3573" t="s">
        <v>53</v>
      </c>
      <c r="D7" s="39">
        <v>2611100.4700000002</v>
      </c>
      <c r="E7" s="39">
        <v>100000</v>
      </c>
      <c r="F7" s="238">
        <v>104860</v>
      </c>
      <c r="G7" s="39">
        <v>103500</v>
      </c>
      <c r="H7" s="40">
        <v>85269.6</v>
      </c>
      <c r="I7" s="1077">
        <f>+E7+G7</f>
        <v>203500</v>
      </c>
      <c r="J7" s="144">
        <f t="shared" ref="J7:J29" si="0">+F7+H7</f>
        <v>190129.6</v>
      </c>
      <c r="K7" s="39">
        <v>236822.5</v>
      </c>
      <c r="L7" s="40">
        <v>206560</v>
      </c>
      <c r="M7" s="162">
        <f>+I7+K7</f>
        <v>440322.5</v>
      </c>
      <c r="N7" s="184">
        <f t="shared" ref="N7:N10" si="1">+J7+L7</f>
        <v>396689.6</v>
      </c>
      <c r="O7" s="39">
        <v>244877.5</v>
      </c>
      <c r="P7" s="417">
        <v>198732</v>
      </c>
      <c r="Q7" s="1077">
        <f>+M7+O7</f>
        <v>685200</v>
      </c>
      <c r="R7" s="144">
        <f t="shared" ref="R7:R10" si="2">+N7+P7</f>
        <v>595421.6</v>
      </c>
      <c r="S7" s="39">
        <v>245077.5</v>
      </c>
      <c r="T7" s="417">
        <v>217622</v>
      </c>
      <c r="U7" s="1077">
        <f>+Q7+S7</f>
        <v>930277.5</v>
      </c>
      <c r="V7" s="144">
        <f t="shared" ref="V7:V10" si="3">+R7+T7</f>
        <v>813043.6</v>
      </c>
      <c r="W7" s="39">
        <v>238350</v>
      </c>
      <c r="X7" s="417">
        <v>211386</v>
      </c>
      <c r="Y7" s="162">
        <f t="shared" ref="Y7:Y10" si="4">+W7+S7+O7</f>
        <v>728305</v>
      </c>
      <c r="Z7" s="163">
        <f t="shared" ref="Z7:Z10" si="5">+X7+T7+P7</f>
        <v>627740</v>
      </c>
      <c r="AA7" s="1139">
        <f>+U7+W7</f>
        <v>1168627.5</v>
      </c>
      <c r="AB7" s="1149">
        <f t="shared" ref="AB7:AB10" si="6">+V7+X7</f>
        <v>1024429.6</v>
      </c>
      <c r="AC7" s="39">
        <v>246450</v>
      </c>
      <c r="AD7" s="417">
        <v>228117</v>
      </c>
      <c r="AE7" s="1077">
        <f>+AA7+AC7</f>
        <v>1415077.5</v>
      </c>
      <c r="AF7" s="144">
        <f t="shared" ref="AF7:AF10" si="7">+AB7+AD7</f>
        <v>1252546.6000000001</v>
      </c>
      <c r="AG7" s="39">
        <v>238350</v>
      </c>
      <c r="AH7" s="417">
        <v>205885</v>
      </c>
      <c r="AI7" s="1077">
        <f>+AE7+AG7</f>
        <v>1653427.5</v>
      </c>
      <c r="AJ7" s="144">
        <f t="shared" ref="AJ7:AJ10" si="8">+AF7+AH7</f>
        <v>1458431.6</v>
      </c>
      <c r="AK7" s="39">
        <v>246450</v>
      </c>
      <c r="AL7" s="417">
        <v>229459</v>
      </c>
      <c r="AM7" s="162">
        <f t="shared" ref="AM7" si="9">+AK7+AG7+AC7</f>
        <v>731250</v>
      </c>
      <c r="AN7" s="163">
        <f t="shared" ref="AN7:AN10" si="10">+AL7+AH7+AD7</f>
        <v>663461</v>
      </c>
      <c r="AO7" s="1077">
        <f>+AI7+AK7</f>
        <v>1899877.5</v>
      </c>
      <c r="AP7" s="144">
        <f t="shared" ref="AP7:AP10" si="11">+AJ7+AL7</f>
        <v>1687890.6</v>
      </c>
      <c r="AQ7" s="39">
        <v>246450</v>
      </c>
      <c r="AR7" s="417">
        <v>235117</v>
      </c>
      <c r="AS7" s="1077">
        <f>+AO7+AQ7</f>
        <v>2146327.5</v>
      </c>
      <c r="AT7" s="144">
        <f t="shared" ref="AT7:AT10" si="12">+AP7+AR7</f>
        <v>1923007.6</v>
      </c>
      <c r="AU7" s="39">
        <v>218322.97</v>
      </c>
      <c r="AV7" s="417">
        <v>209825</v>
      </c>
      <c r="AW7" s="1077">
        <f>+AS7+AU7</f>
        <v>2364650.4700000002</v>
      </c>
      <c r="AX7" s="144">
        <f t="shared" ref="AX7:AX10" si="13">+AT7+AV7</f>
        <v>2132832.6</v>
      </c>
      <c r="AY7" s="39">
        <v>246450</v>
      </c>
      <c r="AZ7" s="417">
        <v>234384</v>
      </c>
      <c r="BA7" s="162">
        <f t="shared" ref="BA7" si="14">+AY7+AU7+AQ7</f>
        <v>711222.97</v>
      </c>
      <c r="BB7" s="163">
        <f t="shared" ref="BB7:BB10" si="15">+AZ7+AV7+AR7</f>
        <v>679326</v>
      </c>
      <c r="BC7" s="1139">
        <f t="shared" ref="BC7:BD10" si="16">+AM7+BA7</f>
        <v>1442472.97</v>
      </c>
      <c r="BD7" s="1149">
        <f t="shared" si="16"/>
        <v>1342787</v>
      </c>
      <c r="BE7" s="1077">
        <f>+AW7+AY7</f>
        <v>2611100.4700000002</v>
      </c>
      <c r="BF7" s="144">
        <f t="shared" ref="BF7:BF10" si="17">+AX7+AZ7</f>
        <v>2367216.6</v>
      </c>
    </row>
    <row r="8" spans="1:73" x14ac:dyDescent="0.25">
      <c r="B8" s="2482" t="s">
        <v>484</v>
      </c>
      <c r="C8" s="3573" t="s">
        <v>53</v>
      </c>
      <c r="D8" s="39">
        <v>20400</v>
      </c>
      <c r="E8" s="39">
        <v>2000</v>
      </c>
      <c r="F8" s="238">
        <v>3441</v>
      </c>
      <c r="G8" s="39">
        <v>12000</v>
      </c>
      <c r="H8" s="40">
        <v>6678.7</v>
      </c>
      <c r="I8" s="1077">
        <f t="shared" ref="I8:I10" si="18">+E8+G8</f>
        <v>14000</v>
      </c>
      <c r="J8" s="144">
        <f t="shared" si="0"/>
        <v>10119.700000000001</v>
      </c>
      <c r="K8" s="39">
        <v>800</v>
      </c>
      <c r="L8" s="40">
        <v>377</v>
      </c>
      <c r="M8" s="162">
        <f t="shared" ref="M8:M10" si="19">+I8+K8</f>
        <v>14800</v>
      </c>
      <c r="N8" s="184">
        <f t="shared" si="1"/>
        <v>10496.7</v>
      </c>
      <c r="O8" s="39">
        <v>800</v>
      </c>
      <c r="P8" s="417">
        <v>1470</v>
      </c>
      <c r="Q8" s="1077">
        <f t="shared" ref="Q8:Q10" si="20">+M8+O8</f>
        <v>15600</v>
      </c>
      <c r="R8" s="144">
        <f t="shared" si="2"/>
        <v>11966.7</v>
      </c>
      <c r="S8" s="39">
        <v>600</v>
      </c>
      <c r="T8" s="417">
        <v>2550</v>
      </c>
      <c r="U8" s="1077">
        <f t="shared" ref="U8:U10" si="21">+Q8+S8</f>
        <v>16200</v>
      </c>
      <c r="V8" s="144">
        <f t="shared" si="3"/>
        <v>14516.7</v>
      </c>
      <c r="W8" s="39">
        <v>600</v>
      </c>
      <c r="X8" s="417">
        <v>1629</v>
      </c>
      <c r="Y8" s="162">
        <f>+W8+S8+O8</f>
        <v>2000</v>
      </c>
      <c r="Z8" s="163">
        <f t="shared" si="5"/>
        <v>5649</v>
      </c>
      <c r="AA8" s="1139">
        <f t="shared" ref="AA8:AA10" si="22">+U8+W8</f>
        <v>16800</v>
      </c>
      <c r="AB8" s="1149">
        <f t="shared" si="6"/>
        <v>16145.7</v>
      </c>
      <c r="AC8" s="39">
        <v>600</v>
      </c>
      <c r="AD8" s="417">
        <v>4535</v>
      </c>
      <c r="AE8" s="1077">
        <f t="shared" ref="AE8:AE10" si="23">+AA8+AC8</f>
        <v>17400</v>
      </c>
      <c r="AF8" s="144">
        <f t="shared" si="7"/>
        <v>20680.7</v>
      </c>
      <c r="AG8" s="39">
        <v>600</v>
      </c>
      <c r="AH8" s="417">
        <v>1134</v>
      </c>
      <c r="AI8" s="1077">
        <f t="shared" ref="AI8:AI10" si="24">+AE8+AG8</f>
        <v>18000</v>
      </c>
      <c r="AJ8" s="144">
        <f t="shared" si="8"/>
        <v>21814.7</v>
      </c>
      <c r="AK8" s="39">
        <v>600</v>
      </c>
      <c r="AL8" s="417">
        <v>847</v>
      </c>
      <c r="AM8" s="162">
        <f>+AK8+AG8+AC8</f>
        <v>1800</v>
      </c>
      <c r="AN8" s="163">
        <f t="shared" si="10"/>
        <v>6516</v>
      </c>
      <c r="AO8" s="1077">
        <f t="shared" ref="AO8:AO10" si="25">+AI8+AK8</f>
        <v>18600</v>
      </c>
      <c r="AP8" s="144">
        <f t="shared" si="11"/>
        <v>22661.7</v>
      </c>
      <c r="AQ8" s="39">
        <v>600</v>
      </c>
      <c r="AR8" s="417">
        <v>0</v>
      </c>
      <c r="AS8" s="1077">
        <f t="shared" ref="AS8:AS10" si="26">+AO8+AQ8</f>
        <v>19200</v>
      </c>
      <c r="AT8" s="144">
        <f t="shared" si="12"/>
        <v>22661.7</v>
      </c>
      <c r="AU8" s="39">
        <v>600</v>
      </c>
      <c r="AV8" s="417">
        <v>404</v>
      </c>
      <c r="AW8" s="1077">
        <f t="shared" ref="AW8:AW10" si="27">+AS8+AU8</f>
        <v>19800</v>
      </c>
      <c r="AX8" s="144">
        <f t="shared" si="13"/>
        <v>23065.7</v>
      </c>
      <c r="AY8" s="39">
        <v>600</v>
      </c>
      <c r="AZ8" s="417">
        <v>3471</v>
      </c>
      <c r="BA8" s="162">
        <f>+AY8+AU8+AQ8</f>
        <v>1800</v>
      </c>
      <c r="BB8" s="163">
        <f t="shared" si="15"/>
        <v>3875</v>
      </c>
      <c r="BC8" s="1139">
        <f t="shared" si="16"/>
        <v>3600</v>
      </c>
      <c r="BD8" s="1149">
        <f t="shared" si="16"/>
        <v>10391</v>
      </c>
      <c r="BE8" s="1077">
        <f t="shared" ref="BE8:BE10" si="28">+AW8+AY8</f>
        <v>20400</v>
      </c>
      <c r="BF8" s="144">
        <f t="shared" si="17"/>
        <v>26536.7</v>
      </c>
    </row>
    <row r="9" spans="1:73" x14ac:dyDescent="0.25">
      <c r="B9" s="2482" t="s">
        <v>485</v>
      </c>
      <c r="C9" s="3573" t="s">
        <v>53</v>
      </c>
      <c r="D9" s="39">
        <v>18500</v>
      </c>
      <c r="E9" s="39">
        <v>0</v>
      </c>
      <c r="F9" s="238">
        <v>1514</v>
      </c>
      <c r="G9" s="39">
        <v>18500</v>
      </c>
      <c r="H9" s="40">
        <v>11518.3</v>
      </c>
      <c r="I9" s="1077">
        <f t="shared" si="18"/>
        <v>18500</v>
      </c>
      <c r="J9" s="144">
        <f t="shared" si="0"/>
        <v>13032.3</v>
      </c>
      <c r="K9" s="39">
        <v>0</v>
      </c>
      <c r="L9" s="40">
        <v>0</v>
      </c>
      <c r="M9" s="162">
        <f t="shared" si="19"/>
        <v>18500</v>
      </c>
      <c r="N9" s="184">
        <f t="shared" si="1"/>
        <v>13032.3</v>
      </c>
      <c r="O9" s="39">
        <v>0</v>
      </c>
      <c r="P9" s="417">
        <v>0</v>
      </c>
      <c r="Q9" s="1077">
        <f t="shared" si="20"/>
        <v>18500</v>
      </c>
      <c r="R9" s="144">
        <f t="shared" si="2"/>
        <v>13032.3</v>
      </c>
      <c r="S9" s="39">
        <v>0</v>
      </c>
      <c r="T9" s="417">
        <v>0</v>
      </c>
      <c r="U9" s="1077">
        <f t="shared" si="21"/>
        <v>18500</v>
      </c>
      <c r="V9" s="144">
        <f t="shared" si="3"/>
        <v>13032.3</v>
      </c>
      <c r="W9" s="39">
        <v>0</v>
      </c>
      <c r="X9" s="417">
        <v>0</v>
      </c>
      <c r="Y9" s="162">
        <f t="shared" si="4"/>
        <v>0</v>
      </c>
      <c r="Z9" s="163">
        <f t="shared" si="5"/>
        <v>0</v>
      </c>
      <c r="AA9" s="1139">
        <f t="shared" si="22"/>
        <v>18500</v>
      </c>
      <c r="AB9" s="1149">
        <f t="shared" si="6"/>
        <v>13032.3</v>
      </c>
      <c r="AC9" s="39">
        <v>0</v>
      </c>
      <c r="AD9" s="417">
        <v>0</v>
      </c>
      <c r="AE9" s="1077">
        <f t="shared" si="23"/>
        <v>18500</v>
      </c>
      <c r="AF9" s="144">
        <f t="shared" si="7"/>
        <v>13032.3</v>
      </c>
      <c r="AG9" s="39">
        <v>0</v>
      </c>
      <c r="AH9" s="417">
        <v>0</v>
      </c>
      <c r="AI9" s="1077">
        <f t="shared" si="24"/>
        <v>18500</v>
      </c>
      <c r="AJ9" s="144">
        <f t="shared" si="8"/>
        <v>13032.3</v>
      </c>
      <c r="AK9" s="39">
        <v>0</v>
      </c>
      <c r="AL9" s="417">
        <v>0</v>
      </c>
      <c r="AM9" s="162">
        <f t="shared" ref="AM9:AM10" si="29">+AK9+AG9+AC9</f>
        <v>0</v>
      </c>
      <c r="AN9" s="163">
        <f t="shared" si="10"/>
        <v>0</v>
      </c>
      <c r="AO9" s="1077">
        <f t="shared" si="25"/>
        <v>18500</v>
      </c>
      <c r="AP9" s="144">
        <f t="shared" si="11"/>
        <v>13032.3</v>
      </c>
      <c r="AQ9" s="39">
        <v>0</v>
      </c>
      <c r="AR9" s="417">
        <v>0</v>
      </c>
      <c r="AS9" s="1077">
        <f t="shared" si="26"/>
        <v>18500</v>
      </c>
      <c r="AT9" s="144">
        <f t="shared" si="12"/>
        <v>13032.3</v>
      </c>
      <c r="AU9" s="39">
        <v>0</v>
      </c>
      <c r="AV9" s="417">
        <v>0</v>
      </c>
      <c r="AW9" s="1077">
        <f t="shared" si="27"/>
        <v>18500</v>
      </c>
      <c r="AX9" s="144">
        <f t="shared" si="13"/>
        <v>13032.3</v>
      </c>
      <c r="AY9" s="39">
        <v>0</v>
      </c>
      <c r="AZ9" s="417">
        <v>0</v>
      </c>
      <c r="BA9" s="162">
        <f t="shared" ref="BA9:BA10" si="30">+AY9+AU9+AQ9</f>
        <v>0</v>
      </c>
      <c r="BB9" s="163">
        <f t="shared" si="15"/>
        <v>0</v>
      </c>
      <c r="BC9" s="1139">
        <f t="shared" si="16"/>
        <v>0</v>
      </c>
      <c r="BD9" s="1149">
        <f t="shared" si="16"/>
        <v>0</v>
      </c>
      <c r="BE9" s="1077">
        <f t="shared" si="28"/>
        <v>18500</v>
      </c>
      <c r="BF9" s="144">
        <f t="shared" si="17"/>
        <v>13032.3</v>
      </c>
    </row>
    <row r="10" spans="1:73" x14ac:dyDescent="0.25">
      <c r="B10" s="2482" t="s">
        <v>264</v>
      </c>
      <c r="C10" s="3573" t="s">
        <v>53</v>
      </c>
      <c r="D10" s="39">
        <v>0</v>
      </c>
      <c r="E10" s="39">
        <v>0</v>
      </c>
      <c r="F10" s="238">
        <v>0</v>
      </c>
      <c r="G10" s="39">
        <v>0</v>
      </c>
      <c r="H10" s="40">
        <v>0</v>
      </c>
      <c r="I10" s="1077">
        <f t="shared" si="18"/>
        <v>0</v>
      </c>
      <c r="J10" s="144">
        <f t="shared" si="0"/>
        <v>0</v>
      </c>
      <c r="K10" s="39">
        <v>0</v>
      </c>
      <c r="L10" s="40">
        <v>0</v>
      </c>
      <c r="M10" s="162">
        <f t="shared" si="19"/>
        <v>0</v>
      </c>
      <c r="N10" s="184">
        <f t="shared" si="1"/>
        <v>0</v>
      </c>
      <c r="O10" s="39">
        <v>0</v>
      </c>
      <c r="P10" s="417">
        <v>0</v>
      </c>
      <c r="Q10" s="1077">
        <f t="shared" si="20"/>
        <v>0</v>
      </c>
      <c r="R10" s="144">
        <f t="shared" si="2"/>
        <v>0</v>
      </c>
      <c r="S10" s="39">
        <v>0</v>
      </c>
      <c r="T10" s="417">
        <v>0</v>
      </c>
      <c r="U10" s="1077">
        <f t="shared" si="21"/>
        <v>0</v>
      </c>
      <c r="V10" s="144">
        <f t="shared" si="3"/>
        <v>0</v>
      </c>
      <c r="W10" s="39">
        <v>0</v>
      </c>
      <c r="X10" s="417">
        <v>0</v>
      </c>
      <c r="Y10" s="162">
        <f t="shared" si="4"/>
        <v>0</v>
      </c>
      <c r="Z10" s="163">
        <f t="shared" si="5"/>
        <v>0</v>
      </c>
      <c r="AA10" s="1139">
        <f t="shared" si="22"/>
        <v>0</v>
      </c>
      <c r="AB10" s="1149">
        <f t="shared" si="6"/>
        <v>0</v>
      </c>
      <c r="AC10" s="39">
        <v>0</v>
      </c>
      <c r="AD10" s="417">
        <v>0</v>
      </c>
      <c r="AE10" s="1077">
        <f t="shared" si="23"/>
        <v>0</v>
      </c>
      <c r="AF10" s="144">
        <f t="shared" si="7"/>
        <v>0</v>
      </c>
      <c r="AG10" s="39">
        <v>0</v>
      </c>
      <c r="AH10" s="417">
        <v>0</v>
      </c>
      <c r="AI10" s="1077">
        <f t="shared" si="24"/>
        <v>0</v>
      </c>
      <c r="AJ10" s="144">
        <f t="shared" si="8"/>
        <v>0</v>
      </c>
      <c r="AK10" s="39">
        <v>0</v>
      </c>
      <c r="AL10" s="417">
        <v>0</v>
      </c>
      <c r="AM10" s="162">
        <f t="shared" si="29"/>
        <v>0</v>
      </c>
      <c r="AN10" s="163">
        <f t="shared" si="10"/>
        <v>0</v>
      </c>
      <c r="AO10" s="1077">
        <f t="shared" si="25"/>
        <v>0</v>
      </c>
      <c r="AP10" s="144">
        <f t="shared" si="11"/>
        <v>0</v>
      </c>
      <c r="AQ10" s="39">
        <v>0</v>
      </c>
      <c r="AR10" s="417">
        <v>0</v>
      </c>
      <c r="AS10" s="1077">
        <f t="shared" si="26"/>
        <v>0</v>
      </c>
      <c r="AT10" s="144">
        <f t="shared" si="12"/>
        <v>0</v>
      </c>
      <c r="AU10" s="39">
        <v>0</v>
      </c>
      <c r="AV10" s="417">
        <v>0</v>
      </c>
      <c r="AW10" s="1077">
        <f t="shared" si="27"/>
        <v>0</v>
      </c>
      <c r="AX10" s="144">
        <f t="shared" si="13"/>
        <v>0</v>
      </c>
      <c r="AY10" s="39">
        <v>0</v>
      </c>
      <c r="AZ10" s="417">
        <v>0</v>
      </c>
      <c r="BA10" s="162">
        <f t="shared" si="30"/>
        <v>0</v>
      </c>
      <c r="BB10" s="163">
        <f t="shared" si="15"/>
        <v>0</v>
      </c>
      <c r="BC10" s="1139">
        <f t="shared" si="16"/>
        <v>0</v>
      </c>
      <c r="BD10" s="1149">
        <f t="shared" si="16"/>
        <v>0</v>
      </c>
      <c r="BE10" s="1077">
        <f t="shared" si="28"/>
        <v>0</v>
      </c>
      <c r="BF10" s="144">
        <f t="shared" si="17"/>
        <v>0</v>
      </c>
    </row>
    <row r="11" spans="1:73" s="334" customFormat="1" x14ac:dyDescent="0.25">
      <c r="A11" s="333"/>
      <c r="B11" s="709" t="s">
        <v>267</v>
      </c>
      <c r="C11" s="1818"/>
      <c r="D11" s="1818"/>
      <c r="E11" s="1818"/>
      <c r="F11" s="1782"/>
      <c r="G11" s="1818"/>
      <c r="H11" s="1818"/>
      <c r="I11" s="1818"/>
      <c r="J11" s="1818"/>
      <c r="K11" s="1818"/>
      <c r="L11" s="1818"/>
      <c r="M11" s="1818"/>
      <c r="N11" s="1818"/>
      <c r="O11" s="1818"/>
      <c r="P11" s="1818"/>
      <c r="Q11" s="1818"/>
      <c r="R11" s="1818"/>
      <c r="S11" s="1818"/>
      <c r="T11" s="1818"/>
      <c r="U11" s="1818"/>
      <c r="V11" s="1818"/>
      <c r="W11" s="1818"/>
      <c r="X11" s="1818"/>
      <c r="Y11" s="1818"/>
      <c r="Z11" s="1818"/>
      <c r="AA11" s="1818"/>
      <c r="AB11" s="1836"/>
      <c r="AC11" s="1818"/>
      <c r="AD11" s="1818"/>
      <c r="AE11" s="1818"/>
      <c r="AF11" s="1818"/>
      <c r="AG11" s="1818"/>
      <c r="AH11" s="1818"/>
      <c r="AI11" s="1818"/>
      <c r="AJ11" s="1818"/>
      <c r="AK11" s="1818"/>
      <c r="AL11" s="1818"/>
      <c r="AM11" s="1818"/>
      <c r="AN11" s="1818"/>
      <c r="AO11" s="1818"/>
      <c r="AP11" s="1818"/>
      <c r="AQ11" s="1818"/>
      <c r="AR11" s="1818"/>
      <c r="AS11" s="1818"/>
      <c r="AT11" s="1818"/>
      <c r="AU11" s="1818"/>
      <c r="AV11" s="1818"/>
      <c r="AW11" s="1818"/>
      <c r="AX11" s="1818"/>
      <c r="AY11" s="1818"/>
      <c r="AZ11" s="1818"/>
      <c r="BA11" s="1818"/>
      <c r="BB11" s="1818"/>
      <c r="BC11" s="1818"/>
      <c r="BD11" s="1836"/>
      <c r="BE11" s="1818"/>
      <c r="BF11" s="1818"/>
      <c r="BG11" s="1792"/>
      <c r="BH11" s="1517"/>
      <c r="BI11" s="1517"/>
      <c r="BJ11" s="1517"/>
      <c r="BK11" s="1517"/>
      <c r="BL11" s="1517"/>
      <c r="BM11" s="1517"/>
      <c r="BN11" s="1517"/>
      <c r="BO11" s="1517"/>
      <c r="BP11" s="1517"/>
      <c r="BQ11" s="1517"/>
      <c r="BR11" s="1517"/>
      <c r="BS11" s="1517"/>
      <c r="BT11" s="1517"/>
      <c r="BU11" s="1517"/>
    </row>
    <row r="12" spans="1:73" x14ac:dyDescent="0.25">
      <c r="A12" s="332" t="s">
        <v>515</v>
      </c>
      <c r="B12" s="26" t="s">
        <v>22</v>
      </c>
      <c r="C12" s="3573" t="s">
        <v>53</v>
      </c>
      <c r="D12" s="823">
        <v>34535.234215885946</v>
      </c>
      <c r="E12" s="823">
        <v>1935</v>
      </c>
      <c r="F12" s="238">
        <f>+'Maj Production Summ'!F21</f>
        <v>3131.2</v>
      </c>
      <c r="G12" s="823">
        <v>11608.961303462322</v>
      </c>
      <c r="H12" s="238">
        <f>+'Maj Production Summ'!H21</f>
        <v>5506.5882000000001</v>
      </c>
      <c r="I12" s="1077">
        <f>+E12+G12</f>
        <v>13543.961303462322</v>
      </c>
      <c r="J12" s="142">
        <f t="shared" si="0"/>
        <v>8637.7881999999991</v>
      </c>
      <c r="K12" s="823">
        <v>773.93075356415477</v>
      </c>
      <c r="L12" s="3572">
        <f>+'Maj Production Summ'!L21</f>
        <v>337</v>
      </c>
      <c r="M12" s="162">
        <f>+I12+K12</f>
        <v>14317.892057026476</v>
      </c>
      <c r="N12" s="184">
        <f t="shared" ref="N12:N14" si="31">+J12+L12</f>
        <v>8974.7881999999991</v>
      </c>
      <c r="O12" s="823">
        <f>+'Maj Production Summ'!O21</f>
        <v>773.93075356415477</v>
      </c>
      <c r="P12" s="3572">
        <f>+'Maj Production Summ'!P21</f>
        <v>1227</v>
      </c>
      <c r="Q12" s="1077">
        <f>+M12+O12</f>
        <v>15091.822810590631</v>
      </c>
      <c r="R12" s="144">
        <f t="shared" ref="R12:R14" si="32">+N12+P12</f>
        <v>10201.788199999999</v>
      </c>
      <c r="S12" s="823">
        <f>+'Maj Production Summ'!S21</f>
        <v>580.44806517311611</v>
      </c>
      <c r="T12" s="3572">
        <f>+'Maj Production Summ'!T21</f>
        <v>2129</v>
      </c>
      <c r="U12" s="1077">
        <f>+Q12+S12</f>
        <v>15672.270875763747</v>
      </c>
      <c r="V12" s="144">
        <f t="shared" ref="V12:V14" si="33">+R12+T12</f>
        <v>12330.788199999999</v>
      </c>
      <c r="W12" s="823">
        <f>+'Maj Production Summ'!W21</f>
        <v>580.44806517311611</v>
      </c>
      <c r="X12" s="3572">
        <f>+'Maj Production Summ'!X21</f>
        <v>1360</v>
      </c>
      <c r="Y12" s="162">
        <f t="shared" ref="Y12:Y14" si="34">+W12+S12+O12</f>
        <v>1934.8268839103871</v>
      </c>
      <c r="Z12" s="163">
        <f t="shared" ref="Z12:Z14" si="35">+X12+T12+P12</f>
        <v>4716</v>
      </c>
      <c r="AA12" s="1139">
        <f>+U12+W12</f>
        <v>16252.718940936862</v>
      </c>
      <c r="AB12" s="1149">
        <f t="shared" ref="AB12:AB14" si="36">+V12+X12</f>
        <v>13690.788199999999</v>
      </c>
      <c r="AC12" s="823">
        <f>+'Maj Production Summ'!AC21</f>
        <v>580.44806517311611</v>
      </c>
      <c r="AD12" s="3572">
        <f>+'Maj Production Summ'!AD21</f>
        <v>3785</v>
      </c>
      <c r="AE12" s="1077">
        <f>+AA12+AC12</f>
        <v>16833.167006109979</v>
      </c>
      <c r="AF12" s="144">
        <f t="shared" ref="AF12:AF14" si="37">+AB12+AD12</f>
        <v>17475.788199999999</v>
      </c>
      <c r="AG12" s="823">
        <f>+'Maj Production Summ'!AG21</f>
        <v>580.44806517311611</v>
      </c>
      <c r="AH12" s="3572">
        <f>+'Maj Production Summ'!AH21</f>
        <v>947</v>
      </c>
      <c r="AI12" s="1077">
        <f>+AE12+AG12</f>
        <v>17413.615071283097</v>
      </c>
      <c r="AJ12" s="144">
        <f t="shared" ref="AJ12:AJ14" si="38">+AF12+AH12</f>
        <v>18422.788199999999</v>
      </c>
      <c r="AK12" s="823">
        <f>+'Maj Production Summ'!AK21</f>
        <v>580.44806517311611</v>
      </c>
      <c r="AL12" s="238">
        <f>+'Maj Production Summ'!AL21</f>
        <v>706.9908999999999</v>
      </c>
      <c r="AM12" s="162">
        <f t="shared" ref="AM12:AM14" si="39">+AK12+AG12+AC12</f>
        <v>1741.3441955193484</v>
      </c>
      <c r="AN12" s="163">
        <f t="shared" ref="AN12:AN14" si="40">+AL12+AH12+AD12</f>
        <v>5438.9908999999998</v>
      </c>
      <c r="AO12" s="1077">
        <f>+AI12+AK12</f>
        <v>17994.063136456214</v>
      </c>
      <c r="AP12" s="144">
        <f t="shared" ref="AP12:AP14" si="41">+AJ12+AL12</f>
        <v>19129.7791</v>
      </c>
      <c r="AQ12" s="823">
        <f>+'Maj Production Summ'!AQ21</f>
        <v>580.44806517311611</v>
      </c>
      <c r="AR12" s="3872">
        <f>+'Maj Production Summ'!AR21</f>
        <v>0</v>
      </c>
      <c r="AS12" s="1077">
        <f>+AO12+AQ12</f>
        <v>18574.511201629331</v>
      </c>
      <c r="AT12" s="144">
        <f t="shared" ref="AT12:AT14" si="42">+AP12+AR12</f>
        <v>19129.7791</v>
      </c>
      <c r="AU12" s="823">
        <f>+'Maj Production Summ'!AU21</f>
        <v>580.44806517311611</v>
      </c>
      <c r="AV12" s="3989">
        <f>+'Maj Production Summ'!AV21</f>
        <v>337</v>
      </c>
      <c r="AW12" s="1077">
        <f>+AS12+AU12</f>
        <v>19154.959266802449</v>
      </c>
      <c r="AX12" s="144">
        <f t="shared" ref="AX12:AX14" si="43">+AT12+AV12</f>
        <v>19466.7791</v>
      </c>
      <c r="AY12" s="823">
        <f>+'Maj Production Summ'!AY21</f>
        <v>580.44806517311611</v>
      </c>
      <c r="AZ12" s="4223">
        <f>+'Maj Production Summ'!AZ21</f>
        <v>2894.2933499999999</v>
      </c>
      <c r="BA12" s="162">
        <f t="shared" ref="BA12:BA14" si="44">+AY12+AU12+AQ12</f>
        <v>1741.3441955193484</v>
      </c>
      <c r="BB12" s="163">
        <f t="shared" ref="BB12:BB14" si="45">+AZ12+AV12+AR12</f>
        <v>3231.2933499999999</v>
      </c>
      <c r="BC12" s="1139">
        <f t="shared" ref="BC12:BD14" si="46">+AM12+BA12</f>
        <v>3482.6883910386969</v>
      </c>
      <c r="BD12" s="1149">
        <f t="shared" si="46"/>
        <v>8670.2842500000006</v>
      </c>
      <c r="BE12" s="1077">
        <f>+AW12+AY12</f>
        <v>19735.407331975566</v>
      </c>
      <c r="BF12" s="144">
        <f t="shared" ref="BF12:BF14" si="47">+AX12+AZ12</f>
        <v>22361.07245</v>
      </c>
    </row>
    <row r="13" spans="1:73" x14ac:dyDescent="0.25">
      <c r="A13" s="554"/>
      <c r="B13" s="26" t="s">
        <v>122</v>
      </c>
      <c r="C13" s="3573" t="s">
        <v>53</v>
      </c>
      <c r="D13" s="823">
        <v>0</v>
      </c>
      <c r="E13" s="823">
        <v>0</v>
      </c>
      <c r="F13" s="238">
        <f>+'Maj Production Summ'!F22</f>
        <v>206.5</v>
      </c>
      <c r="G13" s="39">
        <v>0</v>
      </c>
      <c r="H13" s="238">
        <f>+'Maj Production Summ'!H22</f>
        <v>655.84829999999999</v>
      </c>
      <c r="I13" s="1077">
        <f>+E13+G13</f>
        <v>0</v>
      </c>
      <c r="J13" s="142">
        <f t="shared" si="0"/>
        <v>862.34829999999999</v>
      </c>
      <c r="K13" s="39">
        <v>0</v>
      </c>
      <c r="L13" s="3572">
        <f>+'Maj Production Summ'!L22</f>
        <v>22</v>
      </c>
      <c r="M13" s="162">
        <f>+I13+K13</f>
        <v>0</v>
      </c>
      <c r="N13" s="184">
        <f t="shared" si="31"/>
        <v>884.34829999999999</v>
      </c>
      <c r="O13" s="39">
        <f>+'Maj Production Summ'!O22</f>
        <v>0</v>
      </c>
      <c r="P13" s="3572">
        <f>+'Maj Production Summ'!P22</f>
        <v>173</v>
      </c>
      <c r="Q13" s="1077">
        <f>+M13+O13</f>
        <v>0</v>
      </c>
      <c r="R13" s="144">
        <f t="shared" si="32"/>
        <v>1057.3483000000001</v>
      </c>
      <c r="S13" s="39">
        <f>+'Maj Production Summ'!S22</f>
        <v>0</v>
      </c>
      <c r="T13" s="3572">
        <f>+'Maj Production Summ'!T22</f>
        <v>301</v>
      </c>
      <c r="U13" s="1077">
        <f>+Q13+S13</f>
        <v>0</v>
      </c>
      <c r="V13" s="144">
        <f t="shared" si="33"/>
        <v>1358.3483000000001</v>
      </c>
      <c r="W13" s="39">
        <f>+'Maj Production Summ'!W22</f>
        <v>0</v>
      </c>
      <c r="X13" s="3572">
        <f>+'Maj Production Summ'!X22</f>
        <v>192</v>
      </c>
      <c r="Y13" s="162">
        <f t="shared" si="34"/>
        <v>0</v>
      </c>
      <c r="Z13" s="163">
        <f t="shared" si="35"/>
        <v>666</v>
      </c>
      <c r="AA13" s="1139">
        <f>+U13+W13</f>
        <v>0</v>
      </c>
      <c r="AB13" s="1149">
        <f t="shared" si="36"/>
        <v>1550.3483000000001</v>
      </c>
      <c r="AC13" s="39">
        <f>+'Maj Production Summ'!AC22</f>
        <v>0</v>
      </c>
      <c r="AD13" s="3572">
        <f>+'Maj Production Summ'!AD22</f>
        <v>534</v>
      </c>
      <c r="AE13" s="1077">
        <f>+AA13+AC13</f>
        <v>0</v>
      </c>
      <c r="AF13" s="144">
        <f t="shared" si="37"/>
        <v>2084.3483000000001</v>
      </c>
      <c r="AG13" s="39">
        <f>+'Maj Production Summ'!AG22</f>
        <v>0</v>
      </c>
      <c r="AH13" s="3572">
        <f>+'Maj Production Summ'!AH22</f>
        <v>134</v>
      </c>
      <c r="AI13" s="1077">
        <f>+AE13+AG13</f>
        <v>0</v>
      </c>
      <c r="AJ13" s="144">
        <f t="shared" si="38"/>
        <v>2218.3483000000001</v>
      </c>
      <c r="AK13" s="39">
        <f>+'Maj Production Summ'!AK22</f>
        <v>0</v>
      </c>
      <c r="AL13" s="238">
        <f>+'Maj Production Summ'!AL22</f>
        <v>99.810479999999998</v>
      </c>
      <c r="AM13" s="162">
        <f t="shared" si="39"/>
        <v>0</v>
      </c>
      <c r="AN13" s="163">
        <f t="shared" si="40"/>
        <v>767.81047999999998</v>
      </c>
      <c r="AO13" s="1077">
        <f>+AI13+AK13</f>
        <v>0</v>
      </c>
      <c r="AP13" s="144">
        <f t="shared" si="41"/>
        <v>2318.1587800000002</v>
      </c>
      <c r="AQ13" s="39">
        <f>+'Maj Production Summ'!AQ22</f>
        <v>0</v>
      </c>
      <c r="AR13" s="3872">
        <f>+'Maj Production Summ'!AR22</f>
        <v>0</v>
      </c>
      <c r="AS13" s="1077">
        <f>+AO13+AQ13</f>
        <v>0</v>
      </c>
      <c r="AT13" s="144">
        <f t="shared" si="42"/>
        <v>2318.1587800000002</v>
      </c>
      <c r="AU13" s="39">
        <f>+'Maj Production Summ'!AU22</f>
        <v>0</v>
      </c>
      <c r="AV13" s="3989">
        <f>+'Maj Production Summ'!AV22</f>
        <v>48</v>
      </c>
      <c r="AW13" s="1077">
        <f>+AS13+AU13</f>
        <v>0</v>
      </c>
      <c r="AX13" s="144">
        <f t="shared" si="43"/>
        <v>2366.1587800000002</v>
      </c>
      <c r="AY13" s="39">
        <f>+'Maj Production Summ'!AY22</f>
        <v>0</v>
      </c>
      <c r="AZ13" s="4223">
        <f>+'Maj Production Summ'!AZ22</f>
        <v>408.60611999999998</v>
      </c>
      <c r="BA13" s="162">
        <f t="shared" si="44"/>
        <v>0</v>
      </c>
      <c r="BB13" s="163">
        <f t="shared" si="45"/>
        <v>456.60611999999998</v>
      </c>
      <c r="BC13" s="1139">
        <f t="shared" si="46"/>
        <v>0</v>
      </c>
      <c r="BD13" s="1149">
        <f t="shared" si="46"/>
        <v>1224.4166</v>
      </c>
      <c r="BE13" s="1077">
        <f>+AW13+AY13</f>
        <v>0</v>
      </c>
      <c r="BF13" s="144">
        <f t="shared" si="47"/>
        <v>2774.7649000000001</v>
      </c>
    </row>
    <row r="14" spans="1:73" ht="30.75" thickBot="1" x14ac:dyDescent="0.3">
      <c r="B14" s="21" t="s">
        <v>265</v>
      </c>
      <c r="C14" s="380" t="s">
        <v>53</v>
      </c>
      <c r="D14" s="2046">
        <v>0</v>
      </c>
      <c r="E14" s="2046">
        <v>0</v>
      </c>
      <c r="F14" s="3572">
        <f>+'Maj Production Summ'!F23</f>
        <v>0</v>
      </c>
      <c r="G14" s="2397">
        <f>+G9*0.8</f>
        <v>14800</v>
      </c>
      <c r="H14" s="238">
        <f>+'Maj Production Summ'!H23</f>
        <v>9214.4</v>
      </c>
      <c r="I14" s="2358">
        <f>+E14+G14</f>
        <v>14800</v>
      </c>
      <c r="J14" s="144">
        <f t="shared" si="0"/>
        <v>9214.4</v>
      </c>
      <c r="K14" s="2397">
        <v>0</v>
      </c>
      <c r="L14" s="3572">
        <f>+'Maj Production Summ'!L23</f>
        <v>0</v>
      </c>
      <c r="M14" s="2483">
        <f>+I14+K14</f>
        <v>14800</v>
      </c>
      <c r="N14" s="184">
        <f t="shared" si="31"/>
        <v>9214.4</v>
      </c>
      <c r="O14" s="2397">
        <v>0</v>
      </c>
      <c r="P14" s="3572">
        <f>+'Maj Production Summ'!P23</f>
        <v>0</v>
      </c>
      <c r="Q14" s="2358">
        <f>+M14+O14</f>
        <v>14800</v>
      </c>
      <c r="R14" s="144">
        <f t="shared" si="32"/>
        <v>9214.4</v>
      </c>
      <c r="S14" s="2397">
        <v>0</v>
      </c>
      <c r="T14" s="3572">
        <f>+'Maj Production Summ'!T23</f>
        <v>0</v>
      </c>
      <c r="U14" s="2358">
        <f>+Q14+S14</f>
        <v>14800</v>
      </c>
      <c r="V14" s="144">
        <f t="shared" si="33"/>
        <v>9214.4</v>
      </c>
      <c r="W14" s="2397">
        <v>0</v>
      </c>
      <c r="X14" s="3572">
        <f>+'Maj Production Summ'!X23</f>
        <v>0</v>
      </c>
      <c r="Y14" s="162">
        <f t="shared" si="34"/>
        <v>0</v>
      </c>
      <c r="Z14" s="163">
        <f t="shared" si="35"/>
        <v>0</v>
      </c>
      <c r="AA14" s="2359">
        <f>+U14+W14</f>
        <v>14800</v>
      </c>
      <c r="AB14" s="1149">
        <f t="shared" si="36"/>
        <v>9214.4</v>
      </c>
      <c r="AC14" s="2397">
        <v>0</v>
      </c>
      <c r="AD14" s="3572">
        <f>+'Maj Production Summ'!AD23</f>
        <v>0</v>
      </c>
      <c r="AE14" s="2358">
        <f>+AA14+AC14</f>
        <v>14800</v>
      </c>
      <c r="AF14" s="144">
        <f t="shared" si="37"/>
        <v>9214.4</v>
      </c>
      <c r="AG14" s="2397">
        <v>0</v>
      </c>
      <c r="AH14" s="3572">
        <f>+'Maj Production Summ'!AH23</f>
        <v>0</v>
      </c>
      <c r="AI14" s="2358">
        <f>+AE14+AG14</f>
        <v>14800</v>
      </c>
      <c r="AJ14" s="144">
        <f t="shared" si="38"/>
        <v>9214.4</v>
      </c>
      <c r="AK14" s="2397">
        <v>0</v>
      </c>
      <c r="AL14" s="3572">
        <f>+'Maj Production Summ'!AL23</f>
        <v>0</v>
      </c>
      <c r="AM14" s="162">
        <f t="shared" si="39"/>
        <v>0</v>
      </c>
      <c r="AN14" s="163">
        <f t="shared" si="40"/>
        <v>0</v>
      </c>
      <c r="AO14" s="2358">
        <f>+AI14+AK14</f>
        <v>14800</v>
      </c>
      <c r="AP14" s="144">
        <f t="shared" si="41"/>
        <v>9214.4</v>
      </c>
      <c r="AQ14" s="2397">
        <v>0</v>
      </c>
      <c r="AR14" s="3620">
        <f>+'Maj Production Summ'!AR23</f>
        <v>0</v>
      </c>
      <c r="AS14" s="2358">
        <f>+AO14+AQ14</f>
        <v>14800</v>
      </c>
      <c r="AT14" s="144">
        <f t="shared" si="42"/>
        <v>9214.4</v>
      </c>
      <c r="AU14" s="2397">
        <v>0</v>
      </c>
      <c r="AV14" s="3620">
        <f>+'Maj Production Summ'!AV23</f>
        <v>0</v>
      </c>
      <c r="AW14" s="2358">
        <f>+AS14+AU14</f>
        <v>14800</v>
      </c>
      <c r="AX14" s="144">
        <f t="shared" si="43"/>
        <v>9214.4</v>
      </c>
      <c r="AY14" s="2397">
        <v>0</v>
      </c>
      <c r="AZ14" s="3620">
        <f>+'Maj Production Summ'!AZ23</f>
        <v>0</v>
      </c>
      <c r="BA14" s="162">
        <f t="shared" si="44"/>
        <v>0</v>
      </c>
      <c r="BB14" s="163">
        <f t="shared" si="45"/>
        <v>0</v>
      </c>
      <c r="BC14" s="1139">
        <f t="shared" si="46"/>
        <v>0</v>
      </c>
      <c r="BD14" s="1149">
        <f t="shared" si="46"/>
        <v>0</v>
      </c>
      <c r="BE14" s="2358">
        <f>+AW14+AY14</f>
        <v>14800</v>
      </c>
      <c r="BF14" s="144">
        <f t="shared" si="47"/>
        <v>9214.4</v>
      </c>
    </row>
    <row r="15" spans="1:73" ht="16.5" thickBot="1" x14ac:dyDescent="0.3">
      <c r="B15" s="22" t="s">
        <v>141</v>
      </c>
      <c r="C15" s="1194" t="s">
        <v>53</v>
      </c>
      <c r="D15" s="52">
        <f>SUM(D12:D14)</f>
        <v>34535.234215885946</v>
      </c>
      <c r="E15" s="52">
        <f t="shared" ref="E15:AB15" si="48">SUM(E12:E14)</f>
        <v>1935</v>
      </c>
      <c r="F15" s="247">
        <f t="shared" si="48"/>
        <v>3337.7</v>
      </c>
      <c r="G15" s="52">
        <f t="shared" si="48"/>
        <v>26408.961303462322</v>
      </c>
      <c r="H15" s="56">
        <f t="shared" si="48"/>
        <v>15376.836499999999</v>
      </c>
      <c r="I15" s="2024">
        <f t="shared" si="48"/>
        <v>28343.961303462322</v>
      </c>
      <c r="J15" s="98">
        <f t="shared" si="48"/>
        <v>18714.536499999998</v>
      </c>
      <c r="K15" s="52">
        <f t="shared" si="48"/>
        <v>773.93075356415477</v>
      </c>
      <c r="L15" s="56">
        <f t="shared" si="48"/>
        <v>359</v>
      </c>
      <c r="M15" s="2025">
        <f t="shared" si="48"/>
        <v>29117.892057026475</v>
      </c>
      <c r="N15" s="159">
        <f t="shared" si="48"/>
        <v>19073.536499999998</v>
      </c>
      <c r="O15" s="52">
        <f t="shared" si="48"/>
        <v>773.93075356415477</v>
      </c>
      <c r="P15" s="986">
        <f t="shared" si="48"/>
        <v>1400</v>
      </c>
      <c r="Q15" s="2024">
        <f t="shared" si="48"/>
        <v>29891.822810590631</v>
      </c>
      <c r="R15" s="98">
        <f t="shared" si="48"/>
        <v>20473.536499999998</v>
      </c>
      <c r="S15" s="52">
        <f t="shared" si="48"/>
        <v>580.44806517311611</v>
      </c>
      <c r="T15" s="986">
        <f t="shared" si="48"/>
        <v>2430</v>
      </c>
      <c r="U15" s="2024">
        <f t="shared" si="48"/>
        <v>30472.270875763745</v>
      </c>
      <c r="V15" s="98">
        <f t="shared" si="48"/>
        <v>22903.536499999998</v>
      </c>
      <c r="W15" s="52">
        <f t="shared" ref="W15:X15" si="49">SUM(W12:W14)</f>
        <v>580.44806517311611</v>
      </c>
      <c r="X15" s="986">
        <f t="shared" si="49"/>
        <v>1552</v>
      </c>
      <c r="Y15" s="2025">
        <f t="shared" si="48"/>
        <v>1934.8268839103871</v>
      </c>
      <c r="Z15" s="159">
        <f t="shared" si="48"/>
        <v>5382</v>
      </c>
      <c r="AA15" s="2026">
        <f t="shared" si="48"/>
        <v>31052.718940936862</v>
      </c>
      <c r="AB15" s="1126">
        <f t="shared" si="48"/>
        <v>24455.536499999998</v>
      </c>
      <c r="AC15" s="52">
        <f t="shared" ref="AC15:AF15" si="50">SUM(AC12:AC14)</f>
        <v>580.44806517311611</v>
      </c>
      <c r="AD15" s="986">
        <f t="shared" si="50"/>
        <v>4319</v>
      </c>
      <c r="AE15" s="2024">
        <f t="shared" si="50"/>
        <v>31633.167006109979</v>
      </c>
      <c r="AF15" s="98">
        <f t="shared" si="50"/>
        <v>28774.536500000002</v>
      </c>
      <c r="AG15" s="52">
        <f t="shared" ref="AG15:AJ15" si="51">SUM(AG12:AG14)</f>
        <v>580.44806517311611</v>
      </c>
      <c r="AH15" s="986">
        <f t="shared" si="51"/>
        <v>1081</v>
      </c>
      <c r="AI15" s="2024">
        <f t="shared" si="51"/>
        <v>32213.615071283097</v>
      </c>
      <c r="AJ15" s="98">
        <f t="shared" si="51"/>
        <v>29855.536500000002</v>
      </c>
      <c r="AK15" s="52">
        <f t="shared" ref="AK15:AL15" si="52">SUM(AK12:AK14)</f>
        <v>580.44806517311611</v>
      </c>
      <c r="AL15" s="986">
        <f t="shared" si="52"/>
        <v>806.80137999999988</v>
      </c>
      <c r="AM15" s="2025">
        <f t="shared" ref="AM15:BF15" si="53">SUM(AM12:AM14)</f>
        <v>1741.3441955193484</v>
      </c>
      <c r="AN15" s="159">
        <f t="shared" si="53"/>
        <v>6206.8013799999999</v>
      </c>
      <c r="AO15" s="2024">
        <f t="shared" si="53"/>
        <v>32794.063136456214</v>
      </c>
      <c r="AP15" s="98">
        <f t="shared" si="53"/>
        <v>30662.337879999999</v>
      </c>
      <c r="AQ15" s="52">
        <f t="shared" si="53"/>
        <v>580.44806517311611</v>
      </c>
      <c r="AR15" s="986">
        <f t="shared" si="53"/>
        <v>0</v>
      </c>
      <c r="AS15" s="2024">
        <f t="shared" si="53"/>
        <v>33374.511201629328</v>
      </c>
      <c r="AT15" s="98">
        <f t="shared" si="53"/>
        <v>30662.337879999999</v>
      </c>
      <c r="AU15" s="52">
        <f t="shared" ref="AU15:AV15" si="54">SUM(AU12:AU14)</f>
        <v>580.44806517311611</v>
      </c>
      <c r="AV15" s="986">
        <f t="shared" si="54"/>
        <v>385</v>
      </c>
      <c r="AW15" s="2024">
        <f t="shared" ref="AW15:BB15" si="55">SUM(AW12:AW14)</f>
        <v>33954.959266802449</v>
      </c>
      <c r="AX15" s="98">
        <f t="shared" si="55"/>
        <v>31047.337879999999</v>
      </c>
      <c r="AY15" s="52">
        <f t="shared" si="55"/>
        <v>580.44806517311611</v>
      </c>
      <c r="AZ15" s="986">
        <f t="shared" si="55"/>
        <v>3302.8994699999998</v>
      </c>
      <c r="BA15" s="2025">
        <f t="shared" si="55"/>
        <v>1741.3441955193484</v>
      </c>
      <c r="BB15" s="159">
        <f t="shared" si="55"/>
        <v>3687.8994699999998</v>
      </c>
      <c r="BC15" s="2026">
        <f t="shared" ref="BC15:BD15" si="56">SUM(BC12:BC14)</f>
        <v>3482.6883910386969</v>
      </c>
      <c r="BD15" s="1126">
        <f t="shared" si="56"/>
        <v>9894.7008500000011</v>
      </c>
      <c r="BE15" s="2024">
        <f t="shared" si="53"/>
        <v>34535.40733197557</v>
      </c>
      <c r="BF15" s="98">
        <f t="shared" si="53"/>
        <v>34350.237350000003</v>
      </c>
    </row>
    <row r="16" spans="1:73" x14ac:dyDescent="0.25">
      <c r="A16" s="423"/>
      <c r="B16" s="23" t="s">
        <v>870</v>
      </c>
      <c r="C16" s="140" t="s">
        <v>53</v>
      </c>
      <c r="D16" s="2484">
        <v>2399.04</v>
      </c>
      <c r="E16" s="2484">
        <v>235</v>
      </c>
      <c r="F16" s="556">
        <v>3262</v>
      </c>
      <c r="G16" s="2484">
        <v>1411</v>
      </c>
      <c r="H16" s="3550">
        <f>+'Maj Production Summ'!H25</f>
        <v>1898.93</v>
      </c>
      <c r="I16" s="2485" t="s">
        <v>35</v>
      </c>
      <c r="J16" s="144">
        <f t="shared" si="0"/>
        <v>5160.93</v>
      </c>
      <c r="K16" s="2484">
        <v>94.08</v>
      </c>
      <c r="L16" s="556">
        <f>+'Maj Production Summ'!L25</f>
        <v>2544</v>
      </c>
      <c r="M16" s="2486" t="s">
        <v>35</v>
      </c>
      <c r="N16" s="184">
        <f t="shared" ref="N16:N20" si="57">+J16+L16</f>
        <v>7704.93</v>
      </c>
      <c r="O16" s="2487">
        <f>+'Maj Production Summ'!O25</f>
        <v>94.08</v>
      </c>
      <c r="P16" s="556">
        <f>+'Maj Production Summ'!P25</f>
        <v>2390</v>
      </c>
      <c r="Q16" s="2485" t="s">
        <v>35</v>
      </c>
      <c r="R16" s="142">
        <f t="shared" ref="R16:R20" si="58">+N16+P16</f>
        <v>10094.93</v>
      </c>
      <c r="S16" s="2487">
        <f>+'Maj Production Summ'!S25</f>
        <v>70.56</v>
      </c>
      <c r="T16" s="556">
        <f>+'Maj Production Summ'!T25</f>
        <v>1428</v>
      </c>
      <c r="U16" s="2485" t="s">
        <v>35</v>
      </c>
      <c r="V16" s="142">
        <f t="shared" ref="V16:V20" si="59">+R16+T16</f>
        <v>11522.93</v>
      </c>
      <c r="W16" s="2487">
        <f>+'Maj Production Summ'!W25</f>
        <v>70.56</v>
      </c>
      <c r="X16" s="556">
        <f>+'Maj Production Summ'!X25</f>
        <v>243</v>
      </c>
      <c r="Y16" s="162">
        <f t="shared" ref="Y16:Y20" si="60">+W16+S16+O16</f>
        <v>235.2</v>
      </c>
      <c r="Z16" s="163">
        <f t="shared" ref="Z16:Z20" si="61">+X16+T16+P16</f>
        <v>4061</v>
      </c>
      <c r="AA16" s="2488" t="s">
        <v>35</v>
      </c>
      <c r="AB16" s="1149">
        <f t="shared" ref="AB16:AB20" si="62">+V16+X16</f>
        <v>11765.93</v>
      </c>
      <c r="AC16" s="2487">
        <f>+'Maj Production Summ'!AC25</f>
        <v>70.56</v>
      </c>
      <c r="AD16" s="556">
        <f>+'Maj Production Summ'!AD25</f>
        <v>403</v>
      </c>
      <c r="AE16" s="2485" t="s">
        <v>35</v>
      </c>
      <c r="AF16" s="144">
        <f t="shared" ref="AF16:AF20" si="63">+AB16+AD16</f>
        <v>12168.93</v>
      </c>
      <c r="AG16" s="2487">
        <f>+'Maj Production Summ'!AG25</f>
        <v>70.56</v>
      </c>
      <c r="AH16" s="556">
        <f>+'Maj Production Summ'!AH25</f>
        <v>487</v>
      </c>
      <c r="AI16" s="2485" t="s">
        <v>35</v>
      </c>
      <c r="AJ16" s="144">
        <f t="shared" ref="AJ16:AJ20" si="64">+AF16+AH16</f>
        <v>12655.93</v>
      </c>
      <c r="AK16" s="2487">
        <f>+'Maj Production Summ'!AK25</f>
        <v>70.56</v>
      </c>
      <c r="AL16" s="556">
        <f>+'Maj Production Summ'!AL25</f>
        <v>0</v>
      </c>
      <c r="AM16" s="162">
        <f t="shared" ref="AM16:AM20" si="65">+AK16+AG16+AC16</f>
        <v>211.68</v>
      </c>
      <c r="AN16" s="163">
        <f t="shared" ref="AN16:AN20" si="66">+AL16+AH16+AD16</f>
        <v>890</v>
      </c>
      <c r="AO16" s="2485" t="s">
        <v>35</v>
      </c>
      <c r="AP16" s="142">
        <f t="shared" ref="AP16:AP20" si="67">+AJ16+AL16</f>
        <v>12655.93</v>
      </c>
      <c r="AQ16" s="2487">
        <f>+'Maj Production Summ'!AQ25</f>
        <v>70.56</v>
      </c>
      <c r="AR16" s="556">
        <f>+'Maj Production Summ'!AR25</f>
        <v>0</v>
      </c>
      <c r="AS16" s="2485" t="s">
        <v>35</v>
      </c>
      <c r="AT16" s="144">
        <f t="shared" ref="AT16:AT20" si="68">+AP16+AR16</f>
        <v>12655.93</v>
      </c>
      <c r="AU16" s="2487">
        <f>+'Maj Production Summ'!AU25</f>
        <v>70.56</v>
      </c>
      <c r="AV16" s="4012">
        <f>+'Maj Production Summ'!AV25</f>
        <v>145.02600000000001</v>
      </c>
      <c r="AW16" s="2485" t="s">
        <v>35</v>
      </c>
      <c r="AX16" s="144">
        <f t="shared" ref="AX16:AX20" si="69">+AT16+AV16</f>
        <v>12800.956</v>
      </c>
      <c r="AY16" s="2487">
        <f>+'Maj Production Summ'!AY25</f>
        <v>70.56</v>
      </c>
      <c r="AZ16" s="4262">
        <f>+'Maj Production Summ'!AZ25</f>
        <v>576.72299999999996</v>
      </c>
      <c r="BA16" s="162">
        <f t="shared" ref="BA16:BA20" si="70">+AY16+AU16+AQ16</f>
        <v>211.68</v>
      </c>
      <c r="BB16" s="163">
        <f t="shared" ref="BB16:BB20" si="71">+AZ16+AV16+AR16</f>
        <v>721.74900000000002</v>
      </c>
      <c r="BC16" s="2488" t="s">
        <v>35</v>
      </c>
      <c r="BD16" s="1149">
        <f>+AN16+BB16</f>
        <v>1611.749</v>
      </c>
      <c r="BE16" s="2485" t="s">
        <v>35</v>
      </c>
      <c r="BF16" s="144">
        <f t="shared" ref="BF16:BF20" si="72">+AX16+AZ16</f>
        <v>13377.679</v>
      </c>
    </row>
    <row r="17" spans="1:151" x14ac:dyDescent="0.25">
      <c r="B17" s="1993" t="s">
        <v>268</v>
      </c>
      <c r="C17" s="3573" t="s">
        <v>53</v>
      </c>
      <c r="D17" s="39">
        <v>970948.48949999991</v>
      </c>
      <c r="E17" s="39">
        <v>38760</v>
      </c>
      <c r="F17" s="238">
        <v>45776</v>
      </c>
      <c r="G17" s="39">
        <v>50920</v>
      </c>
      <c r="H17" s="40">
        <v>41192.152999999998</v>
      </c>
      <c r="I17" s="1077">
        <f>+E17+G17</f>
        <v>89680</v>
      </c>
      <c r="J17" s="142">
        <f t="shared" si="0"/>
        <v>86968.152999999991</v>
      </c>
      <c r="K17" s="39">
        <v>90296.55</v>
      </c>
      <c r="L17" s="40">
        <v>79513</v>
      </c>
      <c r="M17" s="162">
        <f>+I17+K17</f>
        <v>179976.55</v>
      </c>
      <c r="N17" s="184">
        <f t="shared" si="57"/>
        <v>166481.15299999999</v>
      </c>
      <c r="O17" s="39">
        <v>93357.45</v>
      </c>
      <c r="P17" s="417">
        <v>78714</v>
      </c>
      <c r="Q17" s="1077">
        <f>+M17+O17</f>
        <v>273334</v>
      </c>
      <c r="R17" s="142">
        <f t="shared" si="58"/>
        <v>245195.15299999999</v>
      </c>
      <c r="S17" s="39">
        <v>93357.45</v>
      </c>
      <c r="T17" s="417">
        <v>77682</v>
      </c>
      <c r="U17" s="1077">
        <f>+Q17+S17</f>
        <v>366691.45</v>
      </c>
      <c r="V17" s="142">
        <f t="shared" si="59"/>
        <v>322877.15299999999</v>
      </c>
      <c r="W17" s="39">
        <v>90801</v>
      </c>
      <c r="X17" s="417">
        <v>79516</v>
      </c>
      <c r="Y17" s="162">
        <f t="shared" si="60"/>
        <v>277515.90000000002</v>
      </c>
      <c r="Z17" s="163">
        <f t="shared" si="61"/>
        <v>235912</v>
      </c>
      <c r="AA17" s="1139">
        <f>+U17+W17</f>
        <v>457492.45</v>
      </c>
      <c r="AB17" s="1149">
        <f t="shared" si="62"/>
        <v>402393.15299999999</v>
      </c>
      <c r="AC17" s="39">
        <v>91408.5</v>
      </c>
      <c r="AD17" s="417">
        <v>90867</v>
      </c>
      <c r="AE17" s="1077">
        <f>+AA17+AC17</f>
        <v>548900.94999999995</v>
      </c>
      <c r="AF17" s="144">
        <f t="shared" si="63"/>
        <v>493260.15299999999</v>
      </c>
      <c r="AG17" s="39">
        <v>86022</v>
      </c>
      <c r="AH17" s="417">
        <v>76468</v>
      </c>
      <c r="AI17" s="1077">
        <f>+AE17+AG17</f>
        <v>634922.94999999995</v>
      </c>
      <c r="AJ17" s="144">
        <f t="shared" si="64"/>
        <v>569728.15299999993</v>
      </c>
      <c r="AK17" s="39">
        <v>86467.5</v>
      </c>
      <c r="AL17" s="417">
        <v>89822</v>
      </c>
      <c r="AM17" s="162">
        <f t="shared" si="65"/>
        <v>263898</v>
      </c>
      <c r="AN17" s="163">
        <f t="shared" si="66"/>
        <v>257157</v>
      </c>
      <c r="AO17" s="1077">
        <f>+AI17+AK17</f>
        <v>721390.45</v>
      </c>
      <c r="AP17" s="142">
        <f t="shared" si="67"/>
        <v>659550.15299999993</v>
      </c>
      <c r="AQ17" s="39">
        <v>86467.5</v>
      </c>
      <c r="AR17" s="417">
        <v>79023.872774591611</v>
      </c>
      <c r="AS17" s="1077">
        <f>+AO17+AQ17</f>
        <v>807857.95</v>
      </c>
      <c r="AT17" s="144">
        <f t="shared" si="68"/>
        <v>738574.0257745916</v>
      </c>
      <c r="AU17" s="39">
        <v>76623.039499999999</v>
      </c>
      <c r="AV17" s="417">
        <v>73620.27376262295</v>
      </c>
      <c r="AW17" s="1077">
        <f>+AS17+AU17</f>
        <v>884480.98949999991</v>
      </c>
      <c r="AX17" s="144">
        <f t="shared" si="69"/>
        <v>812194.29953721457</v>
      </c>
      <c r="AY17" s="39">
        <v>86467.5</v>
      </c>
      <c r="AZ17" s="417">
        <v>90962.169000000009</v>
      </c>
      <c r="BA17" s="162">
        <f t="shared" si="70"/>
        <v>249558.03950000001</v>
      </c>
      <c r="BB17" s="163">
        <f t="shared" si="71"/>
        <v>243606.31553721457</v>
      </c>
      <c r="BC17" s="1139">
        <f>+AM17+BA17</f>
        <v>513456.03950000001</v>
      </c>
      <c r="BD17" s="1149">
        <f>+AN17+BB17</f>
        <v>500763.31553721457</v>
      </c>
      <c r="BE17" s="1077">
        <f>+AW17+AY17</f>
        <v>970948.48949999991</v>
      </c>
      <c r="BF17" s="144">
        <f t="shared" si="72"/>
        <v>903156.46853721456</v>
      </c>
    </row>
    <row r="18" spans="1:151" x14ac:dyDescent="0.25">
      <c r="A18" s="332" t="s">
        <v>515</v>
      </c>
      <c r="B18" s="1993" t="s">
        <v>629</v>
      </c>
      <c r="C18" s="3573" t="s">
        <v>53</v>
      </c>
      <c r="D18" s="823">
        <v>905157.83768250002</v>
      </c>
      <c r="E18" s="823">
        <v>35853</v>
      </c>
      <c r="F18" s="483">
        <v>42482</v>
      </c>
      <c r="G18" s="823">
        <v>45319</v>
      </c>
      <c r="H18" s="297">
        <v>37729.048000000003</v>
      </c>
      <c r="I18" s="1077">
        <f t="shared" ref="I18:I20" si="73">+E18+G18</f>
        <v>81172</v>
      </c>
      <c r="J18" s="142">
        <f t="shared" si="0"/>
        <v>80211.04800000001</v>
      </c>
      <c r="K18" s="823">
        <v>84427.274250000002</v>
      </c>
      <c r="L18" s="40">
        <v>79428</v>
      </c>
      <c r="M18" s="162">
        <f t="shared" ref="M18:M20" si="74">+I18+K18</f>
        <v>165599.27425000002</v>
      </c>
      <c r="N18" s="184">
        <f t="shared" si="57"/>
        <v>159639.04800000001</v>
      </c>
      <c r="O18" s="823">
        <f>+O17*0.95</f>
        <v>88689.577499999999</v>
      </c>
      <c r="P18" s="417">
        <v>61439</v>
      </c>
      <c r="Q18" s="1077">
        <f t="shared" ref="Q18:Q20" si="75">+M18+O18</f>
        <v>254288.85175000003</v>
      </c>
      <c r="R18" s="142">
        <f t="shared" si="58"/>
        <v>221078.04800000001</v>
      </c>
      <c r="S18" s="823">
        <f>+S17*0.95</f>
        <v>88689.577499999999</v>
      </c>
      <c r="T18" s="417">
        <v>80100</v>
      </c>
      <c r="U18" s="1077">
        <f t="shared" ref="U18:U20" si="76">+Q18+S18</f>
        <v>342978.42925000004</v>
      </c>
      <c r="V18" s="142">
        <f t="shared" si="59"/>
        <v>301178.04800000001</v>
      </c>
      <c r="W18" s="823">
        <f>+W17*0.95</f>
        <v>86260.95</v>
      </c>
      <c r="X18" s="417">
        <v>76864</v>
      </c>
      <c r="Y18" s="162">
        <f t="shared" si="60"/>
        <v>263640.10499999998</v>
      </c>
      <c r="Z18" s="163">
        <f t="shared" si="61"/>
        <v>218403</v>
      </c>
      <c r="AA18" s="1139">
        <f t="shared" ref="AA18:AA20" si="77">+U18+W18</f>
        <v>429239.37925000006</v>
      </c>
      <c r="AB18" s="1149">
        <f t="shared" si="62"/>
        <v>378042.04800000001</v>
      </c>
      <c r="AC18" s="823">
        <f>+AC17*0.95</f>
        <v>86838.074999999997</v>
      </c>
      <c r="AD18" s="417">
        <v>91898</v>
      </c>
      <c r="AE18" s="1077">
        <f t="shared" ref="AE18:AE20" si="78">+AA18+AC18</f>
        <v>516077.45425000007</v>
      </c>
      <c r="AF18" s="144">
        <f t="shared" si="63"/>
        <v>469940.04800000001</v>
      </c>
      <c r="AG18" s="823">
        <f>+AG17*0.95</f>
        <v>81720.899999999994</v>
      </c>
      <c r="AH18" s="417">
        <v>74941</v>
      </c>
      <c r="AI18" s="1077">
        <f t="shared" ref="AI18:AI20" si="79">+AE18+AG18</f>
        <v>597798.35425000009</v>
      </c>
      <c r="AJ18" s="144">
        <f t="shared" si="64"/>
        <v>544881.04799999995</v>
      </c>
      <c r="AK18" s="823">
        <f>+AK17*0.95</f>
        <v>82144.125</v>
      </c>
      <c r="AL18" s="417">
        <v>88827</v>
      </c>
      <c r="AM18" s="162">
        <f t="shared" si="65"/>
        <v>250703.09999999998</v>
      </c>
      <c r="AN18" s="163">
        <f t="shared" si="66"/>
        <v>255666</v>
      </c>
      <c r="AO18" s="1077">
        <f t="shared" ref="AO18:AO20" si="80">+AI18+AK18</f>
        <v>679942.47925000009</v>
      </c>
      <c r="AP18" s="142">
        <f t="shared" si="67"/>
        <v>633708.04799999995</v>
      </c>
      <c r="AQ18" s="823">
        <f>+AQ17*0.95</f>
        <v>82144.125</v>
      </c>
      <c r="AR18" s="417">
        <v>68910.424761816015</v>
      </c>
      <c r="AS18" s="1077">
        <f t="shared" ref="AS18:AS20" si="81">+AO18+AQ18</f>
        <v>762086.60425000009</v>
      </c>
      <c r="AT18" s="144">
        <f t="shared" si="68"/>
        <v>702618.472761816</v>
      </c>
      <c r="AU18" s="823">
        <f>+AU17*0.95</f>
        <v>72791.887524999998</v>
      </c>
      <c r="AV18" s="417">
        <v>73847.079308885252</v>
      </c>
      <c r="AW18" s="1077">
        <f t="shared" ref="AW18:AW20" si="82">+AS18+AU18</f>
        <v>834878.49177500012</v>
      </c>
      <c r="AX18" s="144">
        <f t="shared" si="69"/>
        <v>776465.55207070126</v>
      </c>
      <c r="AY18" s="823">
        <f>+AY17*0.95</f>
        <v>82144.125</v>
      </c>
      <c r="AZ18" s="417">
        <v>97342.647379999995</v>
      </c>
      <c r="BA18" s="162">
        <f t="shared" si="70"/>
        <v>237080.137525</v>
      </c>
      <c r="BB18" s="163">
        <f t="shared" si="71"/>
        <v>240100.15145070126</v>
      </c>
      <c r="BC18" s="1139">
        <f>+AM18+BA18</f>
        <v>487783.237525</v>
      </c>
      <c r="BD18" s="1149">
        <f>+AN18+BB18</f>
        <v>495766.15145070129</v>
      </c>
      <c r="BE18" s="1077">
        <f t="shared" ref="BE18:BE20" si="83">+AW18+AY18</f>
        <v>917022.61677500012</v>
      </c>
      <c r="BF18" s="144">
        <f t="shared" si="72"/>
        <v>873808.19945070124</v>
      </c>
    </row>
    <row r="19" spans="1:151" x14ac:dyDescent="0.25">
      <c r="B19" s="1993" t="s">
        <v>628</v>
      </c>
      <c r="C19" s="3573" t="s">
        <v>53</v>
      </c>
      <c r="D19" s="823">
        <v>0</v>
      </c>
      <c r="E19" s="823">
        <v>0</v>
      </c>
      <c r="F19" s="3572">
        <v>9000</v>
      </c>
      <c r="G19" s="823">
        <v>0</v>
      </c>
      <c r="H19" s="3572">
        <v>1900</v>
      </c>
      <c r="I19" s="1077">
        <f t="shared" ref="I19" si="84">+E19+G19</f>
        <v>0</v>
      </c>
      <c r="J19" s="142">
        <f t="shared" ref="J19" si="85">+F19+H19</f>
        <v>10900</v>
      </c>
      <c r="K19" s="823">
        <v>0</v>
      </c>
      <c r="L19" s="33">
        <v>32000</v>
      </c>
      <c r="M19" s="162">
        <f t="shared" si="74"/>
        <v>0</v>
      </c>
      <c r="N19" s="184">
        <f t="shared" si="57"/>
        <v>42900</v>
      </c>
      <c r="O19" s="823">
        <v>0</v>
      </c>
      <c r="P19" s="417">
        <v>0</v>
      </c>
      <c r="Q19" s="1077">
        <f t="shared" si="75"/>
        <v>0</v>
      </c>
      <c r="R19" s="142">
        <f t="shared" si="58"/>
        <v>42900</v>
      </c>
      <c r="S19" s="823">
        <v>0</v>
      </c>
      <c r="T19" s="417">
        <v>0</v>
      </c>
      <c r="U19" s="1077">
        <f t="shared" si="76"/>
        <v>0</v>
      </c>
      <c r="V19" s="142">
        <f t="shared" si="59"/>
        <v>42900</v>
      </c>
      <c r="W19" s="823">
        <v>0</v>
      </c>
      <c r="X19" s="417">
        <v>12000</v>
      </c>
      <c r="Y19" s="162">
        <f t="shared" si="60"/>
        <v>0</v>
      </c>
      <c r="Z19" s="163">
        <f t="shared" si="61"/>
        <v>12000</v>
      </c>
      <c r="AA19" s="1139">
        <f t="shared" si="77"/>
        <v>0</v>
      </c>
      <c r="AB19" s="1149">
        <f t="shared" si="62"/>
        <v>54900</v>
      </c>
      <c r="AC19" s="823">
        <v>0</v>
      </c>
      <c r="AD19" s="417">
        <v>0</v>
      </c>
      <c r="AE19" s="1077">
        <f t="shared" si="78"/>
        <v>0</v>
      </c>
      <c r="AF19" s="142">
        <f t="shared" si="63"/>
        <v>54900</v>
      </c>
      <c r="AG19" s="823">
        <v>0</v>
      </c>
      <c r="AH19" s="417">
        <v>34000</v>
      </c>
      <c r="AI19" s="1077">
        <f t="shared" si="79"/>
        <v>0</v>
      </c>
      <c r="AJ19" s="142">
        <f t="shared" si="64"/>
        <v>88900</v>
      </c>
      <c r="AK19" s="823">
        <v>0</v>
      </c>
      <c r="AL19" s="417">
        <v>20001</v>
      </c>
      <c r="AM19" s="162">
        <f t="shared" si="65"/>
        <v>0</v>
      </c>
      <c r="AN19" s="163">
        <f t="shared" si="66"/>
        <v>54001</v>
      </c>
      <c r="AO19" s="1077">
        <f t="shared" si="80"/>
        <v>0</v>
      </c>
      <c r="AP19" s="142">
        <f t="shared" si="67"/>
        <v>108901</v>
      </c>
      <c r="AQ19" s="823">
        <v>0</v>
      </c>
      <c r="AR19" s="417">
        <v>25000</v>
      </c>
      <c r="AS19" s="1077">
        <f t="shared" si="81"/>
        <v>0</v>
      </c>
      <c r="AT19" s="142">
        <f t="shared" si="68"/>
        <v>133901</v>
      </c>
      <c r="AU19" s="823">
        <v>0</v>
      </c>
      <c r="AV19" s="417">
        <v>25000</v>
      </c>
      <c r="AW19" s="1077">
        <f t="shared" si="82"/>
        <v>0</v>
      </c>
      <c r="AX19" s="142">
        <f t="shared" si="69"/>
        <v>158901</v>
      </c>
      <c r="AY19" s="823">
        <v>0</v>
      </c>
      <c r="AZ19" s="417">
        <v>15000</v>
      </c>
      <c r="BA19" s="162">
        <f t="shared" si="70"/>
        <v>0</v>
      </c>
      <c r="BB19" s="163">
        <f t="shared" si="71"/>
        <v>65000</v>
      </c>
      <c r="BC19" s="1139">
        <f>+AM19+BA19</f>
        <v>0</v>
      </c>
      <c r="BD19" s="1149">
        <f>+AN19+BB19</f>
        <v>119001</v>
      </c>
      <c r="BE19" s="1077">
        <f t="shared" si="83"/>
        <v>0</v>
      </c>
      <c r="BF19" s="142">
        <f t="shared" si="72"/>
        <v>173901</v>
      </c>
    </row>
    <row r="20" spans="1:151" s="204" customFormat="1" x14ac:dyDescent="0.25">
      <c r="A20" s="332" t="s">
        <v>515</v>
      </c>
      <c r="B20" s="673" t="s">
        <v>110</v>
      </c>
      <c r="C20" s="3558" t="s">
        <v>53</v>
      </c>
      <c r="D20" s="1782">
        <v>953450.92424878944</v>
      </c>
      <c r="E20" s="1782">
        <v>36985</v>
      </c>
      <c r="F20" s="639">
        <f>+'Maj Production Summ'!F26</f>
        <v>45318</v>
      </c>
      <c r="G20" s="1782">
        <v>46750</v>
      </c>
      <c r="H20" s="639">
        <f>+'Maj Production Summ'!H26</f>
        <v>37351.757709750302</v>
      </c>
      <c r="I20" s="2489">
        <f t="shared" si="73"/>
        <v>83735</v>
      </c>
      <c r="J20" s="219">
        <f t="shared" si="0"/>
        <v>82669.757709750294</v>
      </c>
      <c r="K20" s="1782">
        <v>91931.92085000001</v>
      </c>
      <c r="L20" s="639">
        <f>+'Maj Production Summ'!L26</f>
        <v>110633</v>
      </c>
      <c r="M20" s="2349">
        <f t="shared" si="74"/>
        <v>175666.92084999999</v>
      </c>
      <c r="N20" s="194">
        <f t="shared" si="57"/>
        <v>193302.75770975029</v>
      </c>
      <c r="O20" s="1782">
        <v>95048.257150000005</v>
      </c>
      <c r="P20" s="639">
        <f>+'Maj Production Summ'!P26</f>
        <v>80624</v>
      </c>
      <c r="Q20" s="2489">
        <f t="shared" si="75"/>
        <v>270715.17800000001</v>
      </c>
      <c r="R20" s="221">
        <f t="shared" si="58"/>
        <v>273926.75770975032</v>
      </c>
      <c r="S20" s="1782">
        <f>+'Maj Production Summ'!S26</f>
        <v>95048.257150000005</v>
      </c>
      <c r="T20" s="639">
        <f>+'Maj Production Summ'!T26</f>
        <v>79299</v>
      </c>
      <c r="U20" s="2489">
        <f t="shared" si="76"/>
        <v>365763.43515000003</v>
      </c>
      <c r="V20" s="221">
        <f t="shared" si="59"/>
        <v>353225.75770975032</v>
      </c>
      <c r="W20" s="1782">
        <f>+'Maj Production Summ'!W26</f>
        <v>92445.507000000012</v>
      </c>
      <c r="X20" s="639">
        <f>+'Maj Production Summ'!X26</f>
        <v>76095</v>
      </c>
      <c r="Y20" s="162">
        <f t="shared" si="60"/>
        <v>282542.02130000002</v>
      </c>
      <c r="Z20" s="163">
        <f t="shared" si="61"/>
        <v>236018</v>
      </c>
      <c r="AA20" s="2350">
        <f t="shared" si="77"/>
        <v>458208.94215000002</v>
      </c>
      <c r="AB20" s="1184">
        <f t="shared" si="62"/>
        <v>429320.75770975032</v>
      </c>
      <c r="AC20" s="1782">
        <f>+'Maj Production Summ'!AC26</f>
        <v>88165.903736842112</v>
      </c>
      <c r="AD20" s="639">
        <f>+'Maj Production Summ'!AD26</f>
        <v>90979</v>
      </c>
      <c r="AE20" s="2489">
        <f t="shared" si="78"/>
        <v>546374.84588684211</v>
      </c>
      <c r="AF20" s="221">
        <f t="shared" si="63"/>
        <v>520299.75770975032</v>
      </c>
      <c r="AG20" s="1782">
        <f>+'Maj Production Summ'!AG26</f>
        <v>82970.482736842096</v>
      </c>
      <c r="AH20" s="639">
        <f>+'Maj Production Summ'!AH26</f>
        <v>74191</v>
      </c>
      <c r="AI20" s="2489">
        <f t="shared" si="79"/>
        <v>629345.32862368424</v>
      </c>
      <c r="AJ20" s="221">
        <f t="shared" si="64"/>
        <v>594490.75770975032</v>
      </c>
      <c r="AK20" s="1782">
        <f>+'Maj Production Summ'!AK26</f>
        <v>83400.179210526316</v>
      </c>
      <c r="AL20" s="639">
        <f>+'Maj Production Summ'!AL26</f>
        <v>87939</v>
      </c>
      <c r="AM20" s="162">
        <f t="shared" si="65"/>
        <v>254536.56568421051</v>
      </c>
      <c r="AN20" s="163">
        <f t="shared" si="66"/>
        <v>253109</v>
      </c>
      <c r="AO20" s="2489">
        <f t="shared" si="80"/>
        <v>712745.50783421053</v>
      </c>
      <c r="AP20" s="221">
        <f t="shared" si="67"/>
        <v>682429.75770975032</v>
      </c>
      <c r="AQ20" s="1782">
        <f>+'Maj Production Summ'!AQ26</f>
        <v>83400.179210526316</v>
      </c>
      <c r="AR20" s="3870">
        <v>68221</v>
      </c>
      <c r="AS20" s="2489">
        <f t="shared" si="81"/>
        <v>796145.68704473681</v>
      </c>
      <c r="AT20" s="221">
        <f t="shared" si="68"/>
        <v>750650.75770975032</v>
      </c>
      <c r="AU20" s="1782">
        <f>+'Maj Production Summ'!AU26</f>
        <v>73904.937993526328</v>
      </c>
      <c r="AV20" s="1782">
        <f>+'Maj Production Summ'!AV26</f>
        <v>73109</v>
      </c>
      <c r="AW20" s="2489">
        <f t="shared" si="82"/>
        <v>870050.62503826316</v>
      </c>
      <c r="AX20" s="221">
        <f t="shared" si="69"/>
        <v>823759.75770975032</v>
      </c>
      <c r="AY20" s="1782">
        <f>+'Maj Production Summ'!AY26</f>
        <v>83400.179210526316</v>
      </c>
      <c r="AZ20" s="1782">
        <f>+'Maj Production Summ'!AZ26</f>
        <v>96369.220906199989</v>
      </c>
      <c r="BA20" s="162">
        <f t="shared" si="70"/>
        <v>240705.29641457894</v>
      </c>
      <c r="BB20" s="163">
        <f t="shared" si="71"/>
        <v>237699.2209062</v>
      </c>
      <c r="BC20" s="2350">
        <f>+AM20+BA20</f>
        <v>495241.86209878942</v>
      </c>
      <c r="BD20" s="1184">
        <f>+AN20+BB20</f>
        <v>490808.2209062</v>
      </c>
      <c r="BE20" s="2489">
        <f t="shared" si="83"/>
        <v>953450.80424878944</v>
      </c>
      <c r="BF20" s="221">
        <f t="shared" si="72"/>
        <v>920128.97861595033</v>
      </c>
      <c r="BG20" s="1324"/>
      <c r="BH20" s="1433"/>
      <c r="BI20" s="1433"/>
      <c r="BJ20" s="1433"/>
      <c r="BK20" s="1433"/>
      <c r="BL20" s="1433"/>
      <c r="BM20" s="1433"/>
      <c r="BN20" s="1433"/>
      <c r="BO20" s="1433"/>
      <c r="BP20" s="1433"/>
      <c r="BQ20" s="1433"/>
      <c r="BR20" s="1433"/>
      <c r="BS20" s="1433"/>
      <c r="BT20" s="1433"/>
      <c r="BU20" s="1433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</row>
    <row r="21" spans="1:151" s="334" customFormat="1" ht="15.75" x14ac:dyDescent="0.25">
      <c r="A21" s="333"/>
      <c r="B21" s="2490" t="s">
        <v>489</v>
      </c>
      <c r="C21" s="626"/>
      <c r="D21" s="626"/>
      <c r="E21" s="626"/>
      <c r="F21" s="1179"/>
      <c r="G21" s="626"/>
      <c r="H21" s="626"/>
      <c r="I21" s="626"/>
      <c r="J21" s="626"/>
      <c r="K21" s="626"/>
      <c r="L21" s="626"/>
      <c r="M21" s="626"/>
      <c r="N21" s="626"/>
      <c r="O21" s="626"/>
      <c r="P21" s="626"/>
      <c r="Q21" s="626"/>
      <c r="R21" s="626"/>
      <c r="S21" s="626"/>
      <c r="T21" s="626"/>
      <c r="U21" s="626"/>
      <c r="V21" s="626"/>
      <c r="W21" s="626"/>
      <c r="X21" s="626"/>
      <c r="Y21" s="626"/>
      <c r="Z21" s="626"/>
      <c r="AA21" s="626"/>
      <c r="AB21" s="1837"/>
      <c r="AC21" s="626"/>
      <c r="AD21" s="626"/>
      <c r="AE21" s="626"/>
      <c r="AF21" s="626"/>
      <c r="AG21" s="626"/>
      <c r="AH21" s="626"/>
      <c r="AI21" s="626"/>
      <c r="AJ21" s="626"/>
      <c r="AK21" s="626"/>
      <c r="AL21" s="626"/>
      <c r="AM21" s="626"/>
      <c r="AN21" s="626"/>
      <c r="AO21" s="626"/>
      <c r="AP21" s="626"/>
      <c r="AQ21" s="626"/>
      <c r="AR21" s="626"/>
      <c r="AS21" s="626"/>
      <c r="AT21" s="626"/>
      <c r="AU21" s="626"/>
      <c r="AV21" s="626"/>
      <c r="AW21" s="626"/>
      <c r="AX21" s="626"/>
      <c r="AY21" s="626"/>
      <c r="AZ21" s="626"/>
      <c r="BA21" s="626"/>
      <c r="BB21" s="626"/>
      <c r="BC21" s="626"/>
      <c r="BD21" s="1837"/>
      <c r="BE21" s="626"/>
      <c r="BF21" s="626"/>
      <c r="BG21" s="1792"/>
      <c r="BH21" s="1517"/>
      <c r="BI21" s="1517"/>
      <c r="BJ21" s="1517"/>
      <c r="BK21" s="1517"/>
      <c r="BL21" s="1517"/>
      <c r="BM21" s="1517"/>
      <c r="BN21" s="1517"/>
      <c r="BO21" s="1517"/>
      <c r="BP21" s="1517"/>
      <c r="BQ21" s="1517"/>
      <c r="BR21" s="1517"/>
      <c r="BS21" s="1517"/>
      <c r="BT21" s="1517"/>
      <c r="BU21" s="1517"/>
    </row>
    <row r="22" spans="1:151" x14ac:dyDescent="0.25">
      <c r="A22" s="332" t="s">
        <v>515</v>
      </c>
      <c r="B22" s="1993" t="s">
        <v>269</v>
      </c>
      <c r="C22" s="3573" t="s">
        <v>53</v>
      </c>
      <c r="D22" s="151">
        <f t="shared" ref="D22:E24" si="86">+D$5*D36/1000</f>
        <v>1001395.9942000002</v>
      </c>
      <c r="E22" s="151">
        <f t="shared" si="86"/>
        <v>41820</v>
      </c>
      <c r="F22" s="3550">
        <v>43408</v>
      </c>
      <c r="G22" s="3490">
        <f>+G$5*G36/1000</f>
        <v>58960</v>
      </c>
      <c r="H22" s="311">
        <v>43712.860999999997</v>
      </c>
      <c r="I22" s="3497">
        <f>+E22+G22</f>
        <v>100780</v>
      </c>
      <c r="J22" s="142">
        <f t="shared" si="0"/>
        <v>87120.861000000004</v>
      </c>
      <c r="K22" s="3492">
        <f>+K$5*K36/1000</f>
        <v>90296.74</v>
      </c>
      <c r="L22" s="311">
        <v>83766</v>
      </c>
      <c r="M22" s="3494">
        <f>+I22+K22</f>
        <v>191076.74</v>
      </c>
      <c r="N22" s="184">
        <f t="shared" ref="N22:N24" si="87">+J22+L22</f>
        <v>170886.861</v>
      </c>
      <c r="O22" s="3490">
        <f>+O$5*O36/1000</f>
        <v>94585.837499999994</v>
      </c>
      <c r="P22" s="311">
        <v>84995</v>
      </c>
      <c r="Q22" s="3497">
        <f>+M22+O22</f>
        <v>285662.57750000001</v>
      </c>
      <c r="R22" s="144">
        <f t="shared" ref="R22:R24" si="88">+N22+P22</f>
        <v>255881.861</v>
      </c>
      <c r="S22" s="3490">
        <f>+S$5*S36/1000</f>
        <v>94585.837499999994</v>
      </c>
      <c r="T22" s="311">
        <v>85420</v>
      </c>
      <c r="U22" s="3497">
        <f>+Q22+S22</f>
        <v>380248.41500000004</v>
      </c>
      <c r="V22" s="144">
        <f t="shared" ref="V22:V24" si="89">+R22+T22</f>
        <v>341301.86100000003</v>
      </c>
      <c r="W22" s="3490">
        <f>+W$5*W36/1000</f>
        <v>90801</v>
      </c>
      <c r="X22" s="311">
        <v>81791</v>
      </c>
      <c r="Y22" s="162">
        <f t="shared" ref="Y22:Y24" si="90">+W22+S22+O22</f>
        <v>279972.67499999999</v>
      </c>
      <c r="Z22" s="163">
        <f t="shared" ref="Z22:Z24" si="91">+X22+T22+P22</f>
        <v>252206</v>
      </c>
      <c r="AA22" s="3506">
        <f>+U22+W22</f>
        <v>471049.41500000004</v>
      </c>
      <c r="AB22" s="1149">
        <f t="shared" ref="AB22:AB24" si="92">+V22+X22</f>
        <v>423092.86100000003</v>
      </c>
      <c r="AC22" s="3490">
        <f>+AC$5*AC36/1000</f>
        <v>92643.75</v>
      </c>
      <c r="AD22" s="311">
        <v>90700</v>
      </c>
      <c r="AE22" s="3497">
        <f>+AA22+AC22</f>
        <v>563693.16500000004</v>
      </c>
      <c r="AF22" s="144">
        <f t="shared" ref="AF22:AF24" si="93">+AB22+AD22</f>
        <v>513792.86100000003</v>
      </c>
      <c r="AG22" s="3490">
        <f>+AG$5*AG36/1000</f>
        <v>89606.25</v>
      </c>
      <c r="AH22" s="311">
        <v>83130</v>
      </c>
      <c r="AI22" s="3497">
        <f>+AE22+AG22</f>
        <v>653299.41500000004</v>
      </c>
      <c r="AJ22" s="144">
        <f t="shared" ref="AJ22:AJ24" si="94">+AF22+AH22</f>
        <v>596922.86100000003</v>
      </c>
      <c r="AK22" s="3490">
        <f>+AK$5*AK36/1000</f>
        <v>91408.5</v>
      </c>
      <c r="AL22" s="311">
        <v>90910</v>
      </c>
      <c r="AM22" s="162">
        <f t="shared" ref="AM22:AM24" si="95">+AK22+AG22+AC22</f>
        <v>273658.5</v>
      </c>
      <c r="AN22" s="163">
        <f t="shared" ref="AN22:AN24" si="96">+AL22+AH22+AD22</f>
        <v>264740</v>
      </c>
      <c r="AO22" s="3497">
        <f>+AI22+AK22</f>
        <v>744707.91500000004</v>
      </c>
      <c r="AP22" s="142">
        <f t="shared" ref="AP22:AP24" si="97">+AJ22+AL22</f>
        <v>687832.86100000003</v>
      </c>
      <c r="AQ22" s="3490">
        <f>+AQ$5*AQ36/1000</f>
        <v>88938</v>
      </c>
      <c r="AR22" s="311">
        <v>91923.198500000028</v>
      </c>
      <c r="AS22" s="3497">
        <f>+AO22+AQ22</f>
        <v>833645.91500000004</v>
      </c>
      <c r="AT22" s="144">
        <f t="shared" ref="AT22:AT24" si="98">+AP22+AR22</f>
        <v>779756.05950000009</v>
      </c>
      <c r="AU22" s="3490">
        <f>+AU$5*AU36/1000</f>
        <v>78812.26920000001</v>
      </c>
      <c r="AV22" s="311">
        <v>82368.314899999998</v>
      </c>
      <c r="AW22" s="3497">
        <f>+AS22+AU22</f>
        <v>912458.18420000002</v>
      </c>
      <c r="AX22" s="144">
        <f t="shared" ref="AX22:AX24" si="99">+AT22+AV22</f>
        <v>862124.37440000009</v>
      </c>
      <c r="AY22" s="3490">
        <f>+AY$5*AY36/1000</f>
        <v>88938</v>
      </c>
      <c r="AZ22" s="311">
        <v>92682.627000000008</v>
      </c>
      <c r="BA22" s="162">
        <f t="shared" ref="BA22:BA24" si="100">+AY22+AU22+AQ22</f>
        <v>256688.26920000001</v>
      </c>
      <c r="BB22" s="163">
        <f t="shared" ref="BB22:BB24" si="101">+AZ22+AV22+AR22</f>
        <v>266974.14040000003</v>
      </c>
      <c r="BC22" s="3506">
        <f t="shared" ref="BC22:BD24" si="102">+AM22+BA22</f>
        <v>530346.76919999998</v>
      </c>
      <c r="BD22" s="1149">
        <f t="shared" si="102"/>
        <v>531714.14040000003</v>
      </c>
      <c r="BE22" s="3497">
        <f>+AW22+AY22</f>
        <v>1001396.1842</v>
      </c>
      <c r="BF22" s="144">
        <f t="shared" ref="BF22:BF24" si="103">+AX22+AZ22</f>
        <v>954807.00140000007</v>
      </c>
    </row>
    <row r="23" spans="1:151" x14ac:dyDescent="0.25">
      <c r="A23" s="332" t="s">
        <v>515</v>
      </c>
      <c r="B23" s="1993" t="s">
        <v>1</v>
      </c>
      <c r="C23" s="3573" t="s">
        <v>53</v>
      </c>
      <c r="D23" s="151">
        <f t="shared" si="86"/>
        <v>62941.284399999997</v>
      </c>
      <c r="E23" s="151">
        <f t="shared" si="86"/>
        <v>1632</v>
      </c>
      <c r="F23" s="3551">
        <v>5123</v>
      </c>
      <c r="G23" s="3490">
        <f>+G$5*G37/1000</f>
        <v>3350</v>
      </c>
      <c r="H23" s="311">
        <v>3483.2449999999999</v>
      </c>
      <c r="I23" s="3497">
        <f t="shared" ref="I23:I24" si="104">+E23+G23</f>
        <v>4982</v>
      </c>
      <c r="J23" s="142">
        <f t="shared" si="0"/>
        <v>8606.244999999999</v>
      </c>
      <c r="K23" s="3492">
        <f>+K$5*K37/1000</f>
        <v>7128.69</v>
      </c>
      <c r="L23" s="311">
        <v>9306</v>
      </c>
      <c r="M23" s="3494">
        <f t="shared" ref="M23:M24" si="105">+I23+K23</f>
        <v>12110.689999999999</v>
      </c>
      <c r="N23" s="184">
        <f t="shared" si="87"/>
        <v>17912.244999999999</v>
      </c>
      <c r="O23" s="3490">
        <f>+O$5*O37/1000</f>
        <v>7370.3249999999998</v>
      </c>
      <c r="P23" s="311">
        <v>7504</v>
      </c>
      <c r="Q23" s="3497">
        <f t="shared" ref="Q23:Q24" si="106">+M23+O23</f>
        <v>19481.014999999999</v>
      </c>
      <c r="R23" s="144">
        <f t="shared" si="88"/>
        <v>25416.244999999999</v>
      </c>
      <c r="S23" s="3490">
        <f>+S$5*S37/1000</f>
        <v>7370.3249999999998</v>
      </c>
      <c r="T23" s="311">
        <v>9058</v>
      </c>
      <c r="U23" s="3497">
        <f t="shared" ref="U23:U24" si="107">+Q23+S23</f>
        <v>26851.34</v>
      </c>
      <c r="V23" s="144">
        <f t="shared" si="89"/>
        <v>34474.244999999995</v>
      </c>
      <c r="W23" s="3490">
        <f>+W$5*W37/1000</f>
        <v>7168.5</v>
      </c>
      <c r="X23" s="311">
        <v>8543</v>
      </c>
      <c r="Y23" s="162">
        <f t="shared" si="90"/>
        <v>21909.15</v>
      </c>
      <c r="Z23" s="163">
        <f t="shared" si="91"/>
        <v>25105</v>
      </c>
      <c r="AA23" s="3506">
        <f t="shared" ref="AA23:AA24" si="108">+U23+W23</f>
        <v>34019.839999999997</v>
      </c>
      <c r="AB23" s="1149">
        <f t="shared" si="92"/>
        <v>43017.244999999995</v>
      </c>
      <c r="AC23" s="3490">
        <f>+AC$5*AC37/1000</f>
        <v>4941</v>
      </c>
      <c r="AD23" s="311">
        <v>8414</v>
      </c>
      <c r="AE23" s="3497">
        <f t="shared" ref="AE23:AE24" si="109">+AA23+AC23</f>
        <v>38960.839999999997</v>
      </c>
      <c r="AF23" s="144">
        <f t="shared" si="93"/>
        <v>51431.244999999995</v>
      </c>
      <c r="AG23" s="3490">
        <f>+AG$5*AG37/1000</f>
        <v>4779</v>
      </c>
      <c r="AH23" s="311">
        <v>8020</v>
      </c>
      <c r="AI23" s="3497">
        <f t="shared" ref="AI23:AI24" si="110">+AE23+AG23</f>
        <v>43739.839999999997</v>
      </c>
      <c r="AJ23" s="144">
        <f t="shared" si="94"/>
        <v>59451.244999999995</v>
      </c>
      <c r="AK23" s="3490">
        <f>+AK$5*AK37/1000</f>
        <v>4941</v>
      </c>
      <c r="AL23" s="311">
        <v>7263</v>
      </c>
      <c r="AM23" s="162">
        <f t="shared" si="95"/>
        <v>14661</v>
      </c>
      <c r="AN23" s="163">
        <f t="shared" si="96"/>
        <v>23697</v>
      </c>
      <c r="AO23" s="3497">
        <f t="shared" ref="AO23:AO24" si="111">+AI23+AK23</f>
        <v>48680.84</v>
      </c>
      <c r="AP23" s="142">
        <f t="shared" si="97"/>
        <v>66714.244999999995</v>
      </c>
      <c r="AQ23" s="3490">
        <f>+AQ$5*AQ37/1000</f>
        <v>4941</v>
      </c>
      <c r="AR23" s="311">
        <v>8068.5679999999993</v>
      </c>
      <c r="AS23" s="3497">
        <f t="shared" ref="AS23:AS24" si="112">+AO23+AQ23</f>
        <v>53621.84</v>
      </c>
      <c r="AT23" s="144">
        <f t="shared" si="98"/>
        <v>74782.812999999995</v>
      </c>
      <c r="AU23" s="3490">
        <f>+AU$5*AU37/1000</f>
        <v>4378.4594000000006</v>
      </c>
      <c r="AV23" s="311">
        <v>6709.3308999999999</v>
      </c>
      <c r="AW23" s="3497">
        <f t="shared" ref="AW23:AW24" si="113">+AS23+AU23</f>
        <v>58000.299399999996</v>
      </c>
      <c r="AX23" s="144">
        <f t="shared" si="99"/>
        <v>81492.143899999995</v>
      </c>
      <c r="AY23" s="3490">
        <f>+AY$5*AY37/1000</f>
        <v>4941</v>
      </c>
      <c r="AZ23" s="311">
        <v>7664.2706999999982</v>
      </c>
      <c r="BA23" s="162">
        <f t="shared" si="100"/>
        <v>14260.4594</v>
      </c>
      <c r="BB23" s="163">
        <f t="shared" si="101"/>
        <v>22442.169599999997</v>
      </c>
      <c r="BC23" s="3506">
        <f t="shared" si="102"/>
        <v>28921.4594</v>
      </c>
      <c r="BD23" s="1149">
        <f t="shared" si="102"/>
        <v>46139.169599999994</v>
      </c>
      <c r="BE23" s="3497">
        <f t="shared" ref="BE23:BE24" si="114">+AW23+AY23</f>
        <v>62941.299399999996</v>
      </c>
      <c r="BF23" s="144">
        <f t="shared" si="103"/>
        <v>89156.414599999989</v>
      </c>
    </row>
    <row r="24" spans="1:151" ht="15.75" thickBot="1" x14ac:dyDescent="0.3">
      <c r="A24" s="332" t="s">
        <v>515</v>
      </c>
      <c r="B24" s="3514" t="s">
        <v>139</v>
      </c>
      <c r="C24" s="380" t="s">
        <v>53</v>
      </c>
      <c r="D24" s="151">
        <f t="shared" si="86"/>
        <v>354153.79314999998</v>
      </c>
      <c r="E24" s="151">
        <f t="shared" si="86"/>
        <v>11016</v>
      </c>
      <c r="F24" s="551">
        <v>12112</v>
      </c>
      <c r="G24" s="3490">
        <f>+G$5*G38/1000</f>
        <v>10050</v>
      </c>
      <c r="H24" s="311">
        <v>10249.837</v>
      </c>
      <c r="I24" s="3497">
        <f t="shared" si="104"/>
        <v>21066</v>
      </c>
      <c r="J24" s="142">
        <f t="shared" si="0"/>
        <v>22361.837</v>
      </c>
      <c r="K24" s="3492">
        <f>+K$5*K38/1000</f>
        <v>29702.875</v>
      </c>
      <c r="L24" s="311">
        <v>22806</v>
      </c>
      <c r="M24" s="3494">
        <f t="shared" si="105"/>
        <v>50768.875</v>
      </c>
      <c r="N24" s="184">
        <f t="shared" si="87"/>
        <v>45167.837</v>
      </c>
      <c r="O24" s="3490">
        <f>+O$5*O38/1000</f>
        <v>31938.075000000001</v>
      </c>
      <c r="P24" s="311">
        <v>20089</v>
      </c>
      <c r="Q24" s="3497">
        <f t="shared" si="106"/>
        <v>82706.95</v>
      </c>
      <c r="R24" s="144">
        <f t="shared" si="88"/>
        <v>65256.837</v>
      </c>
      <c r="S24" s="3490">
        <f>+S$5*S38/1000</f>
        <v>31938.075000000001</v>
      </c>
      <c r="T24" s="311">
        <v>25822</v>
      </c>
      <c r="U24" s="3497">
        <f t="shared" si="107"/>
        <v>114645.02499999999</v>
      </c>
      <c r="V24" s="144">
        <f t="shared" si="89"/>
        <v>91078.837</v>
      </c>
      <c r="W24" s="3490">
        <f>+W$5*W38/1000</f>
        <v>32258.25</v>
      </c>
      <c r="X24" s="311">
        <v>26435</v>
      </c>
      <c r="Y24" s="162">
        <f t="shared" si="90"/>
        <v>96134.399999999994</v>
      </c>
      <c r="Z24" s="163">
        <f t="shared" si="91"/>
        <v>72346</v>
      </c>
      <c r="AA24" s="3506">
        <f t="shared" si="108"/>
        <v>146903.27499999999</v>
      </c>
      <c r="AB24" s="1149">
        <f t="shared" si="92"/>
        <v>117513.837</v>
      </c>
      <c r="AC24" s="3490">
        <f>+AC$5*AC38/1000</f>
        <v>34587</v>
      </c>
      <c r="AD24" s="311">
        <v>29197</v>
      </c>
      <c r="AE24" s="3497">
        <f t="shared" si="109"/>
        <v>181490.27499999999</v>
      </c>
      <c r="AF24" s="144">
        <f t="shared" si="93"/>
        <v>146710.837</v>
      </c>
      <c r="AG24" s="3490">
        <f>+AG$5*AG38/1000</f>
        <v>33453</v>
      </c>
      <c r="AH24" s="311">
        <v>22883</v>
      </c>
      <c r="AI24" s="3497">
        <f t="shared" si="110"/>
        <v>214943.27499999999</v>
      </c>
      <c r="AJ24" s="144">
        <f t="shared" si="94"/>
        <v>169593.837</v>
      </c>
      <c r="AK24" s="3490">
        <f>+AK$5*AK38/1000</f>
        <v>35822.25</v>
      </c>
      <c r="AL24" s="311">
        <v>27962</v>
      </c>
      <c r="AM24" s="162">
        <f t="shared" si="95"/>
        <v>103862.25</v>
      </c>
      <c r="AN24" s="163">
        <f t="shared" si="96"/>
        <v>80042</v>
      </c>
      <c r="AO24" s="3497">
        <f t="shared" si="111"/>
        <v>250765.52499999999</v>
      </c>
      <c r="AP24" s="142">
        <f t="shared" si="97"/>
        <v>197555.837</v>
      </c>
      <c r="AQ24" s="3490">
        <f>+AQ$5*AQ38/1000</f>
        <v>35822.25</v>
      </c>
      <c r="AR24" s="311">
        <v>29608.767599999999</v>
      </c>
      <c r="AS24" s="3497">
        <f t="shared" si="112"/>
        <v>286587.77500000002</v>
      </c>
      <c r="AT24" s="144">
        <f t="shared" si="98"/>
        <v>227164.60459999999</v>
      </c>
      <c r="AU24" s="3490">
        <f>+AU$5*AU38/1000</f>
        <v>31743.83065</v>
      </c>
      <c r="AV24" s="311">
        <v>26040.008499999996</v>
      </c>
      <c r="AW24" s="3497">
        <f t="shared" si="113"/>
        <v>318331.60565000004</v>
      </c>
      <c r="AX24" s="144">
        <f t="shared" si="99"/>
        <v>253204.61309999999</v>
      </c>
      <c r="AY24" s="3490">
        <f>+AY$5*AY38/1000</f>
        <v>35822.25</v>
      </c>
      <c r="AZ24" s="311">
        <v>30979</v>
      </c>
      <c r="BA24" s="162">
        <f t="shared" si="100"/>
        <v>103388.33065</v>
      </c>
      <c r="BB24" s="163">
        <f t="shared" si="101"/>
        <v>86627.776099999988</v>
      </c>
      <c r="BC24" s="3506">
        <f t="shared" si="102"/>
        <v>207250.58065000002</v>
      </c>
      <c r="BD24" s="1149">
        <f t="shared" si="102"/>
        <v>166669.77609999999</v>
      </c>
      <c r="BE24" s="3497">
        <f t="shared" si="114"/>
        <v>354153.85565000004</v>
      </c>
      <c r="BF24" s="144">
        <f t="shared" si="103"/>
        <v>284183.61309999996</v>
      </c>
    </row>
    <row r="25" spans="1:151" ht="16.5" thickBot="1" x14ac:dyDescent="0.3">
      <c r="A25" s="332" t="s">
        <v>515</v>
      </c>
      <c r="B25" s="2047" t="s">
        <v>270</v>
      </c>
      <c r="C25" s="1194" t="s">
        <v>53</v>
      </c>
      <c r="D25" s="52">
        <f t="shared" ref="D25" si="115">SUM(D22:D24)</f>
        <v>1418491.0717500001</v>
      </c>
      <c r="E25" s="52">
        <f t="shared" ref="E25:J25" si="116">SUM(E22:E24)</f>
        <v>54468</v>
      </c>
      <c r="F25" s="247">
        <f t="shared" si="116"/>
        <v>60643</v>
      </c>
      <c r="G25" s="1373">
        <f t="shared" ref="G25" si="117">SUM(G22:G24)</f>
        <v>72360</v>
      </c>
      <c r="H25" s="53">
        <f t="shared" si="116"/>
        <v>57445.942999999999</v>
      </c>
      <c r="I25" s="97">
        <f t="shared" si="116"/>
        <v>126828</v>
      </c>
      <c r="J25" s="95">
        <f t="shared" si="116"/>
        <v>118088.943</v>
      </c>
      <c r="K25" s="1373">
        <f t="shared" ref="K25" si="118">SUM(K22:K24)</f>
        <v>127128.30500000001</v>
      </c>
      <c r="L25" s="53">
        <f t="shared" ref="L25:O25" si="119">SUM(L22:L24)</f>
        <v>115878</v>
      </c>
      <c r="M25" s="871">
        <f t="shared" si="119"/>
        <v>253956.30499999999</v>
      </c>
      <c r="N25" s="159">
        <f t="shared" si="119"/>
        <v>233966.943</v>
      </c>
      <c r="O25" s="1373">
        <f t="shared" si="119"/>
        <v>133894.23749999999</v>
      </c>
      <c r="P25" s="987">
        <f t="shared" ref="P25" si="120">SUM(P22:P24)</f>
        <v>112588</v>
      </c>
      <c r="Q25" s="97">
        <f t="shared" ref="Q25:T25" si="121">SUM(Q22:Q24)</f>
        <v>387850.54250000004</v>
      </c>
      <c r="R25" s="95">
        <f t="shared" si="121"/>
        <v>346554.94300000003</v>
      </c>
      <c r="S25" s="1373">
        <f t="shared" si="121"/>
        <v>133894.23749999999</v>
      </c>
      <c r="T25" s="987">
        <f t="shared" si="121"/>
        <v>120300</v>
      </c>
      <c r="U25" s="97">
        <f t="shared" ref="U25:X25" si="122">SUM(U22:U24)</f>
        <v>521744.78</v>
      </c>
      <c r="V25" s="95">
        <f t="shared" si="122"/>
        <v>466854.94300000003</v>
      </c>
      <c r="W25" s="1373">
        <f t="shared" si="122"/>
        <v>130227.75</v>
      </c>
      <c r="X25" s="987">
        <f t="shared" si="122"/>
        <v>116769</v>
      </c>
      <c r="Y25" s="871">
        <f t="shared" ref="Y25:Z25" si="123">SUM(Y22:Y24)</f>
        <v>398016.22499999998</v>
      </c>
      <c r="Z25" s="165">
        <f t="shared" si="123"/>
        <v>349657</v>
      </c>
      <c r="AA25" s="1130">
        <f t="shared" ref="AA25:AN25" si="124">SUM(AA22:AA24)</f>
        <v>651972.53</v>
      </c>
      <c r="AB25" s="1126">
        <f t="shared" si="124"/>
        <v>583623.94299999997</v>
      </c>
      <c r="AC25" s="1373">
        <f t="shared" si="124"/>
        <v>132171.75</v>
      </c>
      <c r="AD25" s="987">
        <f t="shared" si="124"/>
        <v>128311</v>
      </c>
      <c r="AE25" s="97">
        <f t="shared" si="124"/>
        <v>784144.28</v>
      </c>
      <c r="AF25" s="98">
        <f t="shared" si="124"/>
        <v>711934.94299999997</v>
      </c>
      <c r="AG25" s="1373">
        <f t="shared" ref="AG25:AJ25" si="125">SUM(AG22:AG24)</f>
        <v>127838.25</v>
      </c>
      <c r="AH25" s="987">
        <f t="shared" si="125"/>
        <v>114033</v>
      </c>
      <c r="AI25" s="97">
        <f t="shared" si="125"/>
        <v>911982.53</v>
      </c>
      <c r="AJ25" s="98">
        <f t="shared" si="125"/>
        <v>825967.94299999997</v>
      </c>
      <c r="AK25" s="1373">
        <f t="shared" ref="AK25:AL25" si="126">SUM(AK22:AK24)</f>
        <v>132171.75</v>
      </c>
      <c r="AL25" s="987">
        <f t="shared" si="126"/>
        <v>126135</v>
      </c>
      <c r="AM25" s="871">
        <f t="shared" si="124"/>
        <v>392181.75</v>
      </c>
      <c r="AN25" s="165">
        <f t="shared" si="124"/>
        <v>368479</v>
      </c>
      <c r="AO25" s="97">
        <f t="shared" ref="AO25:AT25" si="127">SUM(AO22:AO24)</f>
        <v>1044154.28</v>
      </c>
      <c r="AP25" s="95">
        <f t="shared" si="127"/>
        <v>952102.94299999997</v>
      </c>
      <c r="AQ25" s="1373">
        <f t="shared" si="127"/>
        <v>129701.25</v>
      </c>
      <c r="AR25" s="987">
        <f t="shared" si="127"/>
        <v>129600.53410000002</v>
      </c>
      <c r="AS25" s="97">
        <f t="shared" si="127"/>
        <v>1173855.53</v>
      </c>
      <c r="AT25" s="98">
        <f t="shared" si="127"/>
        <v>1081703.4771</v>
      </c>
      <c r="AU25" s="1373">
        <f t="shared" ref="AU25:AV25" si="128">SUM(AU22:AU24)</f>
        <v>114934.55925000002</v>
      </c>
      <c r="AV25" s="987">
        <f t="shared" si="128"/>
        <v>115117.65429999999</v>
      </c>
      <c r="AW25" s="97">
        <f t="shared" ref="AW25:BB25" si="129">SUM(AW22:AW24)</f>
        <v>1288790.0892500002</v>
      </c>
      <c r="AX25" s="98">
        <f t="shared" si="129"/>
        <v>1196821.1314000001</v>
      </c>
      <c r="AY25" s="1373">
        <f t="shared" si="129"/>
        <v>129701.25</v>
      </c>
      <c r="AZ25" s="987">
        <f t="shared" si="129"/>
        <v>131325.8977</v>
      </c>
      <c r="BA25" s="871">
        <f t="shared" si="129"/>
        <v>374337.05925000005</v>
      </c>
      <c r="BB25" s="165">
        <f t="shared" si="129"/>
        <v>376044.08610000007</v>
      </c>
      <c r="BC25" s="1130">
        <f t="shared" ref="BC25:BD25" si="130">SUM(BC22:BC24)</f>
        <v>766518.80925000005</v>
      </c>
      <c r="BD25" s="1126">
        <f t="shared" si="130"/>
        <v>744523.08610000007</v>
      </c>
      <c r="BE25" s="97">
        <f t="shared" ref="BE25:BF25" si="131">SUM(BE22:BE24)</f>
        <v>1418491.33925</v>
      </c>
      <c r="BF25" s="98">
        <f t="shared" si="131"/>
        <v>1328147.0290999999</v>
      </c>
    </row>
    <row r="26" spans="1:151" x14ac:dyDescent="0.25">
      <c r="A26" s="332" t="s">
        <v>515</v>
      </c>
      <c r="B26" s="2491" t="s">
        <v>20</v>
      </c>
      <c r="C26" s="2261" t="s">
        <v>53</v>
      </c>
      <c r="D26" s="151">
        <f t="shared" ref="D26:E29" si="132">+D$5*D40/1000</f>
        <v>3442695.1105911005</v>
      </c>
      <c r="E26" s="151">
        <f t="shared" si="132"/>
        <v>132511.26</v>
      </c>
      <c r="F26" s="3543">
        <v>141225</v>
      </c>
      <c r="G26" s="151">
        <f>+G$5*G40/1000</f>
        <v>174083.42</v>
      </c>
      <c r="H26" s="190">
        <v>136868.94</v>
      </c>
      <c r="I26" s="2000">
        <f t="shared" ref="I26:I29" si="133">+E26+G26</f>
        <v>306594.68000000005</v>
      </c>
      <c r="J26" s="454">
        <f t="shared" si="0"/>
        <v>278093.94</v>
      </c>
      <c r="K26" s="151">
        <f>+K$5*K40/1000</f>
        <v>308672.277</v>
      </c>
      <c r="L26" s="190">
        <v>270646</v>
      </c>
      <c r="M26" s="2001">
        <f t="shared" ref="M26:M29" si="134">+I26+K26</f>
        <v>615266.95700000005</v>
      </c>
      <c r="N26" s="168">
        <f t="shared" ref="N26:N29" si="135">+J26+L26</f>
        <v>548739.93999999994</v>
      </c>
      <c r="O26" s="151">
        <f>+O$5*O40/1000</f>
        <v>319166.84629348939</v>
      </c>
      <c r="P26" s="717">
        <v>257142</v>
      </c>
      <c r="Q26" s="2000">
        <f t="shared" ref="Q26:Q29" si="136">+M26+O26</f>
        <v>934433.80329348939</v>
      </c>
      <c r="R26" s="100">
        <f t="shared" ref="R26:R29" si="137">+N26+P26</f>
        <v>805881.94</v>
      </c>
      <c r="S26" s="151">
        <f>+S$5*S40/1000</f>
        <v>319166.84629348939</v>
      </c>
      <c r="T26" s="717">
        <v>277203</v>
      </c>
      <c r="U26" s="2000">
        <f t="shared" ref="U26:U29" si="138">+Q26+S26</f>
        <v>1253600.6495869788</v>
      </c>
      <c r="V26" s="100">
        <f t="shared" ref="V26:V29" si="139">+R26+T26</f>
        <v>1083084.94</v>
      </c>
      <c r="W26" s="151">
        <f>+W$5*W40/1000</f>
        <v>310426.95371708559</v>
      </c>
      <c r="X26" s="717">
        <v>273437</v>
      </c>
      <c r="Y26" s="162">
        <f t="shared" ref="Y26:Y29" si="140">+W26+S26+O26</f>
        <v>948760.64630406443</v>
      </c>
      <c r="Z26" s="163">
        <f t="shared" ref="Z26:Z29" si="141">+X26+T26+P26</f>
        <v>807782</v>
      </c>
      <c r="AA26" s="2002">
        <f t="shared" ref="AA26:AA29" si="142">+U26+W26</f>
        <v>1564027.6033040644</v>
      </c>
      <c r="AB26" s="1124">
        <f t="shared" ref="AB26:AB29" si="143">+V26+X26</f>
        <v>1356521.94</v>
      </c>
      <c r="AC26" s="151">
        <f>+AC$5*AC40/1000</f>
        <v>320949.90130071557</v>
      </c>
      <c r="AD26" s="717">
        <v>299318</v>
      </c>
      <c r="AE26" s="2000">
        <f t="shared" ref="AE26:AE29" si="144">+AA26+AC26</f>
        <v>1884977.5046047799</v>
      </c>
      <c r="AF26" s="100">
        <f t="shared" ref="AF26:AF29" si="145">+AB26+AD26</f>
        <v>1655839.94</v>
      </c>
      <c r="AG26" s="151">
        <f>+AG$5*AG40/1000</f>
        <v>310426.95371708559</v>
      </c>
      <c r="AH26" s="717">
        <v>276452</v>
      </c>
      <c r="AI26" s="2000">
        <f t="shared" ref="AI26:AI29" si="146">+AE26+AG26</f>
        <v>2195404.4583218656</v>
      </c>
      <c r="AJ26" s="100">
        <f t="shared" ref="AJ26:AJ29" si="147">+AF26+AH26</f>
        <v>1932291.94</v>
      </c>
      <c r="AK26" s="151">
        <f>+AK$5*AK40/1000</f>
        <v>320949.90130071557</v>
      </c>
      <c r="AL26" s="717">
        <v>320333</v>
      </c>
      <c r="AM26" s="162">
        <f t="shared" ref="AM26:AM29" si="148">+AK26+AG26+AC26</f>
        <v>952326.7563185168</v>
      </c>
      <c r="AN26" s="163">
        <f t="shared" ref="AN26:AN29" si="149">+AL26+AH26+AD26</f>
        <v>896103</v>
      </c>
      <c r="AO26" s="2000">
        <f t="shared" ref="AO26:AO29" si="150">+AI26+AK26</f>
        <v>2516354.3596225814</v>
      </c>
      <c r="AP26" s="454">
        <f t="shared" ref="AP26:AP29" si="151">+AJ26+AL26</f>
        <v>2252624.94</v>
      </c>
      <c r="AQ26" s="151">
        <f>+AQ$5*AQ40/1000</f>
        <v>320949.90130071557</v>
      </c>
      <c r="AR26" s="717">
        <v>318245.01389999996</v>
      </c>
      <c r="AS26" s="2000">
        <f t="shared" ref="AS26:AS29" si="152">+AO26+AQ26</f>
        <v>2837304.2609232971</v>
      </c>
      <c r="AT26" s="100">
        <f t="shared" ref="AT26:AT29" si="153">+AP26+AR26</f>
        <v>2570869.9539000001</v>
      </c>
      <c r="AU26" s="151">
        <f>+AU$5*AU40/1000</f>
        <v>284409.25162501325</v>
      </c>
      <c r="AV26" s="717">
        <v>289749.31920000003</v>
      </c>
      <c r="AW26" s="2000">
        <f t="shared" ref="AW26:AW29" si="154">+AS26+AU26</f>
        <v>3121713.5125483102</v>
      </c>
      <c r="AX26" s="100">
        <f t="shared" ref="AX26:AX29" si="155">+AT26+AV26</f>
        <v>2860619.2730999999</v>
      </c>
      <c r="AY26" s="151">
        <f>+AY$5*AY40/1000</f>
        <v>320949.90130071557</v>
      </c>
      <c r="AZ26" s="717">
        <v>337224.69</v>
      </c>
      <c r="BA26" s="162">
        <f t="shared" ref="BA26:BA29" si="156">+AY26+AU26+AQ26</f>
        <v>926309.05422644434</v>
      </c>
      <c r="BB26" s="163">
        <f t="shared" ref="BB26:BB29" si="157">+AZ26+AV26+AR26</f>
        <v>945219.02309999987</v>
      </c>
      <c r="BC26" s="2002">
        <f t="shared" ref="BC26:BD29" si="158">+AM26+BA26</f>
        <v>1878635.8105449611</v>
      </c>
      <c r="BD26" s="1124">
        <f t="shared" si="158"/>
        <v>1841322.0230999999</v>
      </c>
      <c r="BE26" s="2000">
        <f t="shared" ref="BE26:BE29" si="159">+AW26+AY26</f>
        <v>3442663.413849026</v>
      </c>
      <c r="BF26" s="100">
        <f t="shared" ref="BF26:BF29" si="160">+AX26+AZ26</f>
        <v>3197843.9630999998</v>
      </c>
    </row>
    <row r="27" spans="1:151" x14ac:dyDescent="0.25">
      <c r="A27" s="332" t="s">
        <v>515</v>
      </c>
      <c r="B27" s="1993" t="s">
        <v>271</v>
      </c>
      <c r="C27" s="3573" t="s">
        <v>53</v>
      </c>
      <c r="D27" s="151">
        <f t="shared" si="132"/>
        <v>971013.17221740005</v>
      </c>
      <c r="E27" s="151">
        <f t="shared" si="132"/>
        <v>37374.839999999997</v>
      </c>
      <c r="F27" s="238">
        <v>41789</v>
      </c>
      <c r="G27" s="151">
        <f>+G$5*G41/1000</f>
        <v>49100.28</v>
      </c>
      <c r="H27" s="40">
        <v>40833.46</v>
      </c>
      <c r="I27" s="3497">
        <f t="shared" si="133"/>
        <v>86475.12</v>
      </c>
      <c r="J27" s="142">
        <f t="shared" si="0"/>
        <v>82622.459999999992</v>
      </c>
      <c r="K27" s="151">
        <f>+K$5*K41/1000</f>
        <v>87069.819659999994</v>
      </c>
      <c r="L27" s="40">
        <v>77188</v>
      </c>
      <c r="M27" s="3494">
        <f t="shared" si="134"/>
        <v>173544.93965999997</v>
      </c>
      <c r="N27" s="184">
        <f t="shared" si="135"/>
        <v>159810.46</v>
      </c>
      <c r="O27" s="151">
        <f>+O$5*O41/1000</f>
        <v>90021.41818534318</v>
      </c>
      <c r="P27" s="417">
        <v>80971</v>
      </c>
      <c r="Q27" s="3497">
        <f t="shared" si="136"/>
        <v>263566.35784534318</v>
      </c>
      <c r="R27" s="144">
        <f t="shared" si="137"/>
        <v>240781.46</v>
      </c>
      <c r="S27" s="151">
        <f>+S$5*S41/1000</f>
        <v>90021.41818534318</v>
      </c>
      <c r="T27" s="417">
        <v>81818</v>
      </c>
      <c r="U27" s="3497">
        <f t="shared" si="138"/>
        <v>353587.77603068633</v>
      </c>
      <c r="V27" s="144">
        <f t="shared" si="139"/>
        <v>322599.45999999996</v>
      </c>
      <c r="W27" s="151">
        <f>+W$5*W41/1000</f>
        <v>87556.320279177991</v>
      </c>
      <c r="X27" s="417">
        <v>87347</v>
      </c>
      <c r="Y27" s="162">
        <f t="shared" si="140"/>
        <v>267599.1566498644</v>
      </c>
      <c r="Z27" s="163">
        <f t="shared" si="141"/>
        <v>250136</v>
      </c>
      <c r="AA27" s="3506">
        <f t="shared" si="142"/>
        <v>441144.09630986431</v>
      </c>
      <c r="AB27" s="1149">
        <f t="shared" si="143"/>
        <v>409946.45999999996</v>
      </c>
      <c r="AC27" s="151">
        <f>+AC$5*AC41/1000</f>
        <v>90524.331136099281</v>
      </c>
      <c r="AD27" s="417">
        <v>117026</v>
      </c>
      <c r="AE27" s="3497">
        <f t="shared" si="144"/>
        <v>531668.42744596361</v>
      </c>
      <c r="AF27" s="144">
        <f t="shared" si="145"/>
        <v>526972.46</v>
      </c>
      <c r="AG27" s="151">
        <f>+AG$5*AG41/1000</f>
        <v>87556.320279177991</v>
      </c>
      <c r="AH27" s="417">
        <v>95472</v>
      </c>
      <c r="AI27" s="3497">
        <f t="shared" si="146"/>
        <v>619224.74772514158</v>
      </c>
      <c r="AJ27" s="144">
        <f t="shared" si="147"/>
        <v>622444.46</v>
      </c>
      <c r="AK27" s="151">
        <f>+AK$5*AK41/1000</f>
        <v>90524.331136099281</v>
      </c>
      <c r="AL27" s="417">
        <v>91855</v>
      </c>
      <c r="AM27" s="162">
        <f t="shared" si="148"/>
        <v>268604.98255137657</v>
      </c>
      <c r="AN27" s="163">
        <f t="shared" si="149"/>
        <v>304353</v>
      </c>
      <c r="AO27" s="3497">
        <f t="shared" si="150"/>
        <v>709749.07886124088</v>
      </c>
      <c r="AP27" s="142">
        <f t="shared" si="151"/>
        <v>714299.46</v>
      </c>
      <c r="AQ27" s="151">
        <f>+AQ$5*AQ41/1000</f>
        <v>90524.331136099281</v>
      </c>
      <c r="AR27" s="417">
        <v>90030.182400000005</v>
      </c>
      <c r="AS27" s="3497">
        <f t="shared" si="152"/>
        <v>800273.40999734018</v>
      </c>
      <c r="AT27" s="144">
        <f t="shared" si="153"/>
        <v>804329.64240000001</v>
      </c>
      <c r="AU27" s="151">
        <f>+AU$5*AU41/1000</f>
        <v>80217.994048080669</v>
      </c>
      <c r="AV27" s="417">
        <v>87851.088000000003</v>
      </c>
      <c r="AW27" s="3497">
        <f t="shared" si="154"/>
        <v>880491.40404542082</v>
      </c>
      <c r="AX27" s="144">
        <f t="shared" si="155"/>
        <v>892180.7304</v>
      </c>
      <c r="AY27" s="151">
        <f>+AY$5*AY41/1000</f>
        <v>90524.331136099281</v>
      </c>
      <c r="AZ27" s="417">
        <v>99338.616000000009</v>
      </c>
      <c r="BA27" s="162">
        <f t="shared" si="156"/>
        <v>261266.65632027923</v>
      </c>
      <c r="BB27" s="163">
        <f t="shared" si="157"/>
        <v>277219.88640000002</v>
      </c>
      <c r="BC27" s="3506">
        <f t="shared" si="158"/>
        <v>529871.6388716558</v>
      </c>
      <c r="BD27" s="1149">
        <f t="shared" si="158"/>
        <v>581572.88639999996</v>
      </c>
      <c r="BE27" s="3497">
        <f t="shared" si="159"/>
        <v>971015.73518152011</v>
      </c>
      <c r="BF27" s="144">
        <f t="shared" si="160"/>
        <v>991519.34640000004</v>
      </c>
    </row>
    <row r="28" spans="1:151" x14ac:dyDescent="0.25">
      <c r="A28" s="332" t="s">
        <v>515</v>
      </c>
      <c r="B28" s="1993" t="s">
        <v>272</v>
      </c>
      <c r="C28" s="3573" t="s">
        <v>53</v>
      </c>
      <c r="D28" s="151">
        <f t="shared" si="132"/>
        <v>31800.005639999999</v>
      </c>
      <c r="E28" s="151">
        <f t="shared" si="132"/>
        <v>1224</v>
      </c>
      <c r="F28" s="238">
        <v>1968</v>
      </c>
      <c r="G28" s="151">
        <f>+G$5*G42/1000</f>
        <v>1608</v>
      </c>
      <c r="H28" s="40">
        <v>1048.7</v>
      </c>
      <c r="I28" s="3497">
        <f t="shared" si="133"/>
        <v>2832</v>
      </c>
      <c r="J28" s="142">
        <f t="shared" si="0"/>
        <v>3016.7</v>
      </c>
      <c r="K28" s="151">
        <f>+K$5*K42/1000</f>
        <v>2851.4760000000001</v>
      </c>
      <c r="L28" s="40">
        <v>83</v>
      </c>
      <c r="M28" s="3494">
        <f t="shared" si="134"/>
        <v>5683.4760000000006</v>
      </c>
      <c r="N28" s="184">
        <f t="shared" si="135"/>
        <v>3099.7</v>
      </c>
      <c r="O28" s="151">
        <f>+O$5*O42/1000</f>
        <v>2948.13</v>
      </c>
      <c r="P28" s="417">
        <v>17</v>
      </c>
      <c r="Q28" s="3497">
        <f t="shared" si="136"/>
        <v>8631.6059999999998</v>
      </c>
      <c r="R28" s="144">
        <f t="shared" si="137"/>
        <v>3116.7</v>
      </c>
      <c r="S28" s="151">
        <f>+S$5*S42/1000</f>
        <v>2948.13</v>
      </c>
      <c r="T28" s="417">
        <v>38</v>
      </c>
      <c r="U28" s="3497">
        <f t="shared" si="138"/>
        <v>11579.736000000001</v>
      </c>
      <c r="V28" s="144">
        <f t="shared" si="139"/>
        <v>3154.7</v>
      </c>
      <c r="W28" s="151">
        <f>+W$5*W42/1000</f>
        <v>2867.4</v>
      </c>
      <c r="X28" s="417">
        <v>35</v>
      </c>
      <c r="Y28" s="162">
        <f t="shared" si="140"/>
        <v>8763.66</v>
      </c>
      <c r="Z28" s="163">
        <f t="shared" si="141"/>
        <v>90</v>
      </c>
      <c r="AA28" s="3506">
        <f t="shared" si="142"/>
        <v>14447.136</v>
      </c>
      <c r="AB28" s="1149">
        <f t="shared" si="143"/>
        <v>3189.7</v>
      </c>
      <c r="AC28" s="151">
        <f>+AC$5*AC42/1000</f>
        <v>2964.6</v>
      </c>
      <c r="AD28" s="417">
        <v>1632</v>
      </c>
      <c r="AE28" s="3497">
        <f t="shared" si="144"/>
        <v>17411.736000000001</v>
      </c>
      <c r="AF28" s="144">
        <f t="shared" si="145"/>
        <v>4821.7</v>
      </c>
      <c r="AG28" s="151">
        <f>+AG$5*AG42/1000</f>
        <v>2867.4</v>
      </c>
      <c r="AH28" s="417">
        <v>55</v>
      </c>
      <c r="AI28" s="3497">
        <f t="shared" si="146"/>
        <v>20279.136000000002</v>
      </c>
      <c r="AJ28" s="144">
        <f t="shared" si="147"/>
        <v>4876.7</v>
      </c>
      <c r="AK28" s="151">
        <f>+AK$5*AK42/1000</f>
        <v>2964.6</v>
      </c>
      <c r="AL28" s="417">
        <v>515</v>
      </c>
      <c r="AM28" s="162">
        <f t="shared" si="148"/>
        <v>8796.6</v>
      </c>
      <c r="AN28" s="163">
        <f t="shared" si="149"/>
        <v>2202</v>
      </c>
      <c r="AO28" s="3497">
        <f t="shared" si="150"/>
        <v>23243.736000000001</v>
      </c>
      <c r="AP28" s="142">
        <f t="shared" si="151"/>
        <v>5391.7</v>
      </c>
      <c r="AQ28" s="151">
        <f>+AQ$5*AQ42/1000</f>
        <v>2964.6</v>
      </c>
      <c r="AR28" s="417">
        <v>103.67999999999999</v>
      </c>
      <c r="AS28" s="3497">
        <f t="shared" si="152"/>
        <v>26208.335999999999</v>
      </c>
      <c r="AT28" s="144">
        <f t="shared" si="153"/>
        <v>5495.38</v>
      </c>
      <c r="AU28" s="151">
        <f>+AU$5*AU42/1000</f>
        <v>2627.07564</v>
      </c>
      <c r="AV28" s="417">
        <v>0</v>
      </c>
      <c r="AW28" s="3497">
        <f t="shared" si="154"/>
        <v>28835.411639999998</v>
      </c>
      <c r="AX28" s="144">
        <f t="shared" si="155"/>
        <v>5495.38</v>
      </c>
      <c r="AY28" s="151">
        <f>+AY$5*AY42/1000</f>
        <v>2964.6</v>
      </c>
      <c r="AZ28" s="417">
        <v>61.44</v>
      </c>
      <c r="BA28" s="162">
        <f t="shared" si="156"/>
        <v>8556.2756399999998</v>
      </c>
      <c r="BB28" s="163">
        <f t="shared" si="157"/>
        <v>165.12</v>
      </c>
      <c r="BC28" s="3506">
        <f t="shared" si="158"/>
        <v>17352.875639999998</v>
      </c>
      <c r="BD28" s="1149">
        <f t="shared" si="158"/>
        <v>2367.12</v>
      </c>
      <c r="BE28" s="3497">
        <f t="shared" si="159"/>
        <v>31800.011639999997</v>
      </c>
      <c r="BF28" s="144">
        <f t="shared" si="160"/>
        <v>5556.82</v>
      </c>
    </row>
    <row r="29" spans="1:151" x14ac:dyDescent="0.25">
      <c r="A29" s="332" t="s">
        <v>515</v>
      </c>
      <c r="B29" s="2492" t="s">
        <v>6</v>
      </c>
      <c r="C29" s="3573" t="s">
        <v>53</v>
      </c>
      <c r="D29" s="151">
        <f t="shared" si="132"/>
        <v>63600.011279999999</v>
      </c>
      <c r="E29" s="151">
        <f t="shared" si="132"/>
        <v>2448</v>
      </c>
      <c r="F29" s="238">
        <v>3611</v>
      </c>
      <c r="G29" s="151">
        <f>+G$5*G43/1000</f>
        <v>3216</v>
      </c>
      <c r="H29" s="40">
        <v>3954.95</v>
      </c>
      <c r="I29" s="3497">
        <f t="shared" si="133"/>
        <v>5664</v>
      </c>
      <c r="J29" s="142">
        <f t="shared" si="0"/>
        <v>7565.95</v>
      </c>
      <c r="K29" s="151">
        <f>+K$5*K43/1000</f>
        <v>5702.9520000000002</v>
      </c>
      <c r="L29" s="40">
        <v>2269</v>
      </c>
      <c r="M29" s="3494">
        <f t="shared" si="134"/>
        <v>11366.952000000001</v>
      </c>
      <c r="N29" s="184">
        <f t="shared" si="135"/>
        <v>9834.9500000000007</v>
      </c>
      <c r="O29" s="151">
        <f>+O$5*O43/1000</f>
        <v>5896.26</v>
      </c>
      <c r="P29" s="417">
        <v>3473</v>
      </c>
      <c r="Q29" s="3497">
        <f t="shared" si="136"/>
        <v>17263.212</v>
      </c>
      <c r="R29" s="144">
        <f t="shared" si="137"/>
        <v>13307.95</v>
      </c>
      <c r="S29" s="151">
        <f>+S$5*S43/1000</f>
        <v>5896.26</v>
      </c>
      <c r="T29" s="417">
        <v>2992</v>
      </c>
      <c r="U29" s="3497">
        <f t="shared" si="138"/>
        <v>23159.472000000002</v>
      </c>
      <c r="V29" s="144">
        <f t="shared" si="139"/>
        <v>16299.95</v>
      </c>
      <c r="W29" s="151">
        <f>+W$5*W43/1000</f>
        <v>5734.8</v>
      </c>
      <c r="X29" s="417">
        <v>2886</v>
      </c>
      <c r="Y29" s="162">
        <f t="shared" si="140"/>
        <v>17527.32</v>
      </c>
      <c r="Z29" s="163">
        <f t="shared" si="141"/>
        <v>9351</v>
      </c>
      <c r="AA29" s="3506">
        <f t="shared" si="142"/>
        <v>28894.272000000001</v>
      </c>
      <c r="AB29" s="1149">
        <f t="shared" si="143"/>
        <v>19185.95</v>
      </c>
      <c r="AC29" s="151">
        <f>+AC$5*AC43/1000</f>
        <v>5929.2</v>
      </c>
      <c r="AD29" s="417">
        <v>143</v>
      </c>
      <c r="AE29" s="3497">
        <f t="shared" si="144"/>
        <v>34823.472000000002</v>
      </c>
      <c r="AF29" s="144">
        <f t="shared" si="145"/>
        <v>19328.95</v>
      </c>
      <c r="AG29" s="151">
        <f>+AG$5*AG43/1000</f>
        <v>5734.8</v>
      </c>
      <c r="AH29" s="417">
        <v>1607</v>
      </c>
      <c r="AI29" s="3497">
        <f t="shared" si="146"/>
        <v>40558.272000000004</v>
      </c>
      <c r="AJ29" s="144">
        <f t="shared" si="147"/>
        <v>20935.95</v>
      </c>
      <c r="AK29" s="151">
        <f>+AK$5*AK43/1000</f>
        <v>5929.2</v>
      </c>
      <c r="AL29" s="417">
        <v>813</v>
      </c>
      <c r="AM29" s="162">
        <f t="shared" si="148"/>
        <v>17593.2</v>
      </c>
      <c r="AN29" s="163">
        <f t="shared" si="149"/>
        <v>2563</v>
      </c>
      <c r="AO29" s="3497">
        <f t="shared" si="150"/>
        <v>46487.472000000002</v>
      </c>
      <c r="AP29" s="142">
        <f t="shared" si="151"/>
        <v>21748.95</v>
      </c>
      <c r="AQ29" s="151">
        <f>+AQ$5*AQ43/1000</f>
        <v>5929.2</v>
      </c>
      <c r="AR29" s="417">
        <v>609.16571999999996</v>
      </c>
      <c r="AS29" s="3497">
        <f t="shared" si="152"/>
        <v>52416.671999999999</v>
      </c>
      <c r="AT29" s="144">
        <f t="shared" si="153"/>
        <v>22358.115720000002</v>
      </c>
      <c r="AU29" s="151">
        <f>+AU$5*AU43/1000</f>
        <v>5254.15128</v>
      </c>
      <c r="AV29" s="417">
        <v>345.58848</v>
      </c>
      <c r="AW29" s="3497">
        <f t="shared" si="154"/>
        <v>57670.823279999997</v>
      </c>
      <c r="AX29" s="144">
        <f t="shared" si="155"/>
        <v>22703.7042</v>
      </c>
      <c r="AY29" s="151">
        <f>+AY$5*AY43/1000</f>
        <v>5929.2</v>
      </c>
      <c r="AZ29" s="417">
        <v>514.98720000000003</v>
      </c>
      <c r="BA29" s="162">
        <f t="shared" si="156"/>
        <v>17112.55128</v>
      </c>
      <c r="BB29" s="163">
        <f t="shared" si="157"/>
        <v>1469.7413999999999</v>
      </c>
      <c r="BC29" s="3506">
        <f t="shared" si="158"/>
        <v>34705.751279999997</v>
      </c>
      <c r="BD29" s="1149">
        <f t="shared" si="158"/>
        <v>4032.7413999999999</v>
      </c>
      <c r="BE29" s="3497">
        <f t="shared" si="159"/>
        <v>63600.023279999994</v>
      </c>
      <c r="BF29" s="144">
        <f t="shared" si="160"/>
        <v>23218.6914</v>
      </c>
    </row>
    <row r="30" spans="1:151" s="334" customFormat="1" ht="15.75" x14ac:dyDescent="0.25">
      <c r="A30" s="333" t="s">
        <v>515</v>
      </c>
      <c r="B30" s="2490" t="s">
        <v>487</v>
      </c>
      <c r="C30" s="1819"/>
      <c r="D30" s="1819"/>
      <c r="E30" s="1819"/>
      <c r="F30" s="1822"/>
      <c r="G30" s="1819"/>
      <c r="H30" s="1819"/>
      <c r="I30" s="1819"/>
      <c r="J30" s="1819"/>
      <c r="K30" s="1819"/>
      <c r="L30" s="1819"/>
      <c r="M30" s="1819"/>
      <c r="N30" s="1819"/>
      <c r="O30" s="1819"/>
      <c r="P30" s="1819"/>
      <c r="Q30" s="1819"/>
      <c r="R30" s="1819"/>
      <c r="S30" s="1819"/>
      <c r="T30" s="1819"/>
      <c r="U30" s="1819"/>
      <c r="V30" s="1819"/>
      <c r="W30" s="1819"/>
      <c r="X30" s="1819"/>
      <c r="Y30" s="1819"/>
      <c r="Z30" s="1819"/>
      <c r="AA30" s="1819"/>
      <c r="AB30" s="1819"/>
      <c r="AC30" s="1819"/>
      <c r="AD30" s="1819"/>
      <c r="AE30" s="1819"/>
      <c r="AF30" s="1819"/>
      <c r="AG30" s="1819"/>
      <c r="AH30" s="1819"/>
      <c r="AI30" s="1819"/>
      <c r="AJ30" s="1819"/>
      <c r="AK30" s="1819"/>
      <c r="AL30" s="1819"/>
      <c r="AM30" s="1819"/>
      <c r="AN30" s="1819"/>
      <c r="AO30" s="1819"/>
      <c r="AP30" s="1819"/>
      <c r="AQ30" s="1819"/>
      <c r="AR30" s="1819"/>
      <c r="AS30" s="1819"/>
      <c r="AT30" s="1819"/>
      <c r="AU30" s="1819"/>
      <c r="AV30" s="1819"/>
      <c r="AW30" s="1819"/>
      <c r="AX30" s="1819"/>
      <c r="AY30" s="1819"/>
      <c r="AZ30" s="1819"/>
      <c r="BA30" s="1819"/>
      <c r="BB30" s="1819"/>
      <c r="BC30" s="1819"/>
      <c r="BD30" s="1819"/>
      <c r="BE30" s="1819"/>
      <c r="BF30" s="1819"/>
      <c r="BG30" s="1792"/>
      <c r="BH30" s="1517"/>
      <c r="BI30" s="1517"/>
      <c r="BJ30" s="1517"/>
      <c r="BK30" s="1517"/>
      <c r="BL30" s="1517"/>
      <c r="BM30" s="1517"/>
      <c r="BN30" s="1517"/>
      <c r="BO30" s="1517"/>
      <c r="BP30" s="1517"/>
      <c r="BQ30" s="1517"/>
      <c r="BR30" s="1517"/>
      <c r="BS30" s="1517"/>
      <c r="BT30" s="1517"/>
      <c r="BU30" s="1517"/>
    </row>
    <row r="31" spans="1:151" s="874" customFormat="1" x14ac:dyDescent="0.25">
      <c r="A31" s="332"/>
      <c r="B31" s="2492" t="s">
        <v>997</v>
      </c>
      <c r="C31" s="3573" t="s">
        <v>53</v>
      </c>
      <c r="D31" s="39">
        <v>13952</v>
      </c>
      <c r="E31" s="39">
        <v>3452</v>
      </c>
      <c r="F31" s="238">
        <v>887</v>
      </c>
      <c r="G31" s="39">
        <v>5500</v>
      </c>
      <c r="H31" s="54">
        <v>0</v>
      </c>
      <c r="I31" s="143">
        <f>+E31+G31</f>
        <v>8952</v>
      </c>
      <c r="J31" s="96">
        <f>+F31+H31</f>
        <v>887</v>
      </c>
      <c r="K31" s="39">
        <v>500</v>
      </c>
      <c r="L31" s="629">
        <v>3637</v>
      </c>
      <c r="M31" s="167">
        <f>+I31+K31</f>
        <v>9452</v>
      </c>
      <c r="N31" s="163">
        <f>+J31+L31</f>
        <v>4524</v>
      </c>
      <c r="O31" s="39">
        <v>500</v>
      </c>
      <c r="P31" s="629">
        <v>96</v>
      </c>
      <c r="Q31" s="143">
        <f>+M31+O31</f>
        <v>9952</v>
      </c>
      <c r="R31" s="96">
        <f>+N31+P31</f>
        <v>4620</v>
      </c>
      <c r="S31" s="39">
        <v>500</v>
      </c>
      <c r="T31" s="629">
        <v>630</v>
      </c>
      <c r="U31" s="143">
        <f>+Q31+S31</f>
        <v>10452</v>
      </c>
      <c r="V31" s="96">
        <f>+R31+T31</f>
        <v>5250</v>
      </c>
      <c r="W31" s="39">
        <v>500</v>
      </c>
      <c r="X31" s="629">
        <v>437</v>
      </c>
      <c r="Y31" s="162">
        <f t="shared" ref="Y31:Y34" si="161">+W31+S31+O31</f>
        <v>1500</v>
      </c>
      <c r="Z31" s="163">
        <f t="shared" ref="Z31:Z34" si="162">+X31+T31+P31</f>
        <v>1163</v>
      </c>
      <c r="AA31" s="1789">
        <f>+U31+W31</f>
        <v>10952</v>
      </c>
      <c r="AB31" s="1118">
        <f>+V31+X31</f>
        <v>5687</v>
      </c>
      <c r="AC31" s="39">
        <v>500</v>
      </c>
      <c r="AD31" s="629">
        <v>1434</v>
      </c>
      <c r="AE31" s="143">
        <f>+AA31+AC31</f>
        <v>11452</v>
      </c>
      <c r="AF31" s="96">
        <f>+AB31+AD31</f>
        <v>7121</v>
      </c>
      <c r="AG31" s="39">
        <v>500</v>
      </c>
      <c r="AH31" s="629">
        <v>2000</v>
      </c>
      <c r="AI31" s="143">
        <f>+AE31+AG31</f>
        <v>11952</v>
      </c>
      <c r="AJ31" s="96">
        <f>+AF31+AH31</f>
        <v>9121</v>
      </c>
      <c r="AK31" s="39">
        <v>500</v>
      </c>
      <c r="AL31" s="629">
        <v>2212</v>
      </c>
      <c r="AM31" s="162">
        <f t="shared" ref="AM31:AM34" si="163">+AK31+AG31+AC31</f>
        <v>1500</v>
      </c>
      <c r="AN31" s="163">
        <f t="shared" ref="AN31:AN34" si="164">+AL31+AH31+AD31</f>
        <v>5646</v>
      </c>
      <c r="AO31" s="143">
        <f>+AI31+AK31</f>
        <v>12452</v>
      </c>
      <c r="AP31" s="96">
        <f>+AJ31+AL31</f>
        <v>11333</v>
      </c>
      <c r="AQ31" s="39">
        <v>500</v>
      </c>
      <c r="AR31" s="629">
        <v>0</v>
      </c>
      <c r="AS31" s="143">
        <f>+AO31+AQ31</f>
        <v>12952</v>
      </c>
      <c r="AT31" s="96">
        <f>+AP31+AR31</f>
        <v>11333</v>
      </c>
      <c r="AU31" s="39">
        <v>500</v>
      </c>
      <c r="AV31" s="629">
        <v>0</v>
      </c>
      <c r="AW31" s="143">
        <f>+AS31+AU31</f>
        <v>13452</v>
      </c>
      <c r="AX31" s="96">
        <f>+AT31+AV31</f>
        <v>11333</v>
      </c>
      <c r="AY31" s="39">
        <v>500</v>
      </c>
      <c r="AZ31" s="629">
        <v>0</v>
      </c>
      <c r="BA31" s="162">
        <f t="shared" ref="BA31:BA34" si="165">+AY31+AU31+AQ31</f>
        <v>1500</v>
      </c>
      <c r="BB31" s="163">
        <f t="shared" ref="BB31:BB34" si="166">+AZ31+AV31+AR31</f>
        <v>0</v>
      </c>
      <c r="BC31" s="1789">
        <f t="shared" ref="BC31:BD34" si="167">+AM31+BA31</f>
        <v>3000</v>
      </c>
      <c r="BD31" s="1118">
        <f t="shared" si="167"/>
        <v>5646</v>
      </c>
      <c r="BE31" s="143">
        <f>+AW31+AY31</f>
        <v>13952</v>
      </c>
      <c r="BF31" s="96">
        <f>+AX31+AZ31</f>
        <v>11333</v>
      </c>
      <c r="BG31" s="1324"/>
      <c r="BH31" s="1433"/>
      <c r="BI31" s="1433"/>
      <c r="BJ31" s="1433"/>
      <c r="BK31" s="1433"/>
      <c r="BL31" s="1433"/>
      <c r="BM31" s="1433"/>
      <c r="BN31" s="1433"/>
      <c r="BO31" s="1433"/>
      <c r="BP31" s="1433"/>
      <c r="BQ31" s="1433"/>
      <c r="BR31" s="1433"/>
      <c r="BS31" s="1433"/>
      <c r="BT31" s="1433"/>
      <c r="BU31" s="1433"/>
    </row>
    <row r="32" spans="1:151" x14ac:dyDescent="0.25">
      <c r="A32" s="332" t="s">
        <v>515</v>
      </c>
      <c r="B32" s="2492" t="s">
        <v>490</v>
      </c>
      <c r="C32" s="3573" t="s">
        <v>53</v>
      </c>
      <c r="D32" s="39">
        <f>+D22+D23+D58+D31</f>
        <v>1248323.8019889963</v>
      </c>
      <c r="E32" s="39">
        <f>+E22+E23+E58+E31</f>
        <v>54572</v>
      </c>
      <c r="F32" s="238">
        <f>+F31+F22+F23+F58</f>
        <v>57432.771999999997</v>
      </c>
      <c r="G32" s="39">
        <f>+G22+G23+G58+G31</f>
        <v>80572.289156626503</v>
      </c>
      <c r="H32" s="39">
        <f>+H31+H22+H23+H58</f>
        <v>59621.419600000001</v>
      </c>
      <c r="I32" s="143">
        <f>+E32+G32</f>
        <v>135144.2891566265</v>
      </c>
      <c r="J32" s="96">
        <f>+F32+H32</f>
        <v>117054.19159999999</v>
      </c>
      <c r="K32" s="39">
        <f>+K22+K23+K58+K31</f>
        <v>113130.55491329481</v>
      </c>
      <c r="L32" s="39">
        <f>+L22+L23+L58+L31</f>
        <v>110323.534</v>
      </c>
      <c r="M32" s="167">
        <f>+I32+K32</f>
        <v>248274.8440699213</v>
      </c>
      <c r="N32" s="163">
        <f>+J32+L32</f>
        <v>227377.72560000001</v>
      </c>
      <c r="O32" s="39">
        <f>+O22+O23+O58+O31</f>
        <v>118368.39595375722</v>
      </c>
      <c r="P32" s="39">
        <f>+P22+P23+P58+P31</f>
        <v>107353.0488</v>
      </c>
      <c r="Q32" s="143">
        <f>+M32+O32</f>
        <v>366643.24002367852</v>
      </c>
      <c r="R32" s="96">
        <f>+N32+P32</f>
        <v>334730.77439999999</v>
      </c>
      <c r="S32" s="39">
        <f>+S22+S23+S58+S31</f>
        <v>118368.39595375722</v>
      </c>
      <c r="T32" s="39">
        <f>+T22+T23+T58+T31</f>
        <v>108012.65</v>
      </c>
      <c r="U32" s="143">
        <f>+Q32+S32</f>
        <v>485011.63597743574</v>
      </c>
      <c r="V32" s="96">
        <f>+R32+T32</f>
        <v>442743.42440000002</v>
      </c>
      <c r="W32" s="39">
        <f>+W22+W23+W58+W31</f>
        <v>113759.53757225434</v>
      </c>
      <c r="X32" s="39">
        <f>+X22+X23+X58+X31</f>
        <v>97914.553</v>
      </c>
      <c r="Y32" s="162">
        <f t="shared" si="161"/>
        <v>350496.32947976876</v>
      </c>
      <c r="Z32" s="163">
        <f t="shared" si="162"/>
        <v>313280.25179999997</v>
      </c>
      <c r="AA32" s="1789">
        <f>+U32+W32</f>
        <v>598771.17354969005</v>
      </c>
      <c r="AB32" s="1118">
        <f>+V32+X32</f>
        <v>540657.97739999997</v>
      </c>
      <c r="AC32" s="39">
        <f>+AC22+AC23+AC58+AC31</f>
        <v>113314.73988439307</v>
      </c>
      <c r="AD32" s="39">
        <f>+AD22+AD23+AD58+AD31</f>
        <v>111316.5824</v>
      </c>
      <c r="AE32" s="143">
        <f>+AA32+AC32</f>
        <v>712085.91343408311</v>
      </c>
      <c r="AF32" s="96">
        <f>+AB32+AD32</f>
        <v>651974.55979999993</v>
      </c>
      <c r="AG32" s="39">
        <f>+AG22+AG23+AG58+AG31</f>
        <v>109615.89595375722</v>
      </c>
      <c r="AH32" s="39">
        <f>+AH22+AH23+AH58+AH31</f>
        <v>105118.5048</v>
      </c>
      <c r="AI32" s="143">
        <f>+AE32+AG32</f>
        <v>821701.80938784033</v>
      </c>
      <c r="AJ32" s="96">
        <f>+AF32+AH32</f>
        <v>757093.06459999993</v>
      </c>
      <c r="AK32" s="39">
        <f>+AK22+AK23+AK58+AK31</f>
        <v>111886.70520231214</v>
      </c>
      <c r="AL32" s="39">
        <f>+AL22+AL23+AL58+AL31</f>
        <v>111629.0138</v>
      </c>
      <c r="AM32" s="162">
        <f t="shared" si="163"/>
        <v>334817.34104046243</v>
      </c>
      <c r="AN32" s="163">
        <f t="shared" si="164"/>
        <v>328064.10100000002</v>
      </c>
      <c r="AO32" s="143">
        <f>+AI32+AK32</f>
        <v>933588.51459015242</v>
      </c>
      <c r="AP32" s="96">
        <f>+AJ32+AL32</f>
        <v>868722.07839999988</v>
      </c>
      <c r="AQ32" s="39">
        <f>+AQ22+AQ23+AQ58+AQ31</f>
        <v>109030.63583815029</v>
      </c>
      <c r="AR32" s="39">
        <f>+AR22+AR23+AR58+AR31</f>
        <v>109830.73650000003</v>
      </c>
      <c r="AS32" s="143">
        <f>+AO32+AQ32</f>
        <v>1042619.1504283027</v>
      </c>
      <c r="AT32" s="96">
        <f>+AP32+AR32</f>
        <v>978552.81489999988</v>
      </c>
      <c r="AU32" s="39">
        <f>+AU22+AU23+AU58+AU31</f>
        <v>96674.252716763032</v>
      </c>
      <c r="AV32" s="39">
        <f>+AV22+AV23+AV58+AV31</f>
        <v>98926.645799999998</v>
      </c>
      <c r="AW32" s="143">
        <f>+AS32+AU32</f>
        <v>1139293.4031450658</v>
      </c>
      <c r="AX32" s="96">
        <f>+AT32+AV32</f>
        <v>1077479.4606999999</v>
      </c>
      <c r="AY32" s="39">
        <f>+AY22+AY23+AY58+AY31</f>
        <v>109030.63583815029</v>
      </c>
      <c r="AZ32" s="39">
        <f>+AZ22+AZ23+AZ58+AZ31</f>
        <v>112650.5729</v>
      </c>
      <c r="BA32" s="162">
        <f t="shared" si="165"/>
        <v>314735.52439306362</v>
      </c>
      <c r="BB32" s="163">
        <f t="shared" si="166"/>
        <v>321407.95520000003</v>
      </c>
      <c r="BC32" s="1789">
        <f t="shared" si="167"/>
        <v>649552.86543352599</v>
      </c>
      <c r="BD32" s="1118">
        <f t="shared" si="167"/>
        <v>649472.05619999999</v>
      </c>
      <c r="BE32" s="143">
        <f>+AW32+AY32</f>
        <v>1248324.038983216</v>
      </c>
      <c r="BF32" s="96">
        <f>+AX32+AZ32</f>
        <v>1190130.0336</v>
      </c>
    </row>
    <row r="33" spans="1:73" x14ac:dyDescent="0.25">
      <c r="A33" s="332" t="s">
        <v>515</v>
      </c>
      <c r="B33" s="2492" t="s">
        <v>643</v>
      </c>
      <c r="C33" s="3573" t="s">
        <v>53</v>
      </c>
      <c r="D33" s="39">
        <f>+D26+D56</f>
        <v>4050229.541871883</v>
      </c>
      <c r="E33" s="39">
        <f>+E26+E56</f>
        <v>155895.6</v>
      </c>
      <c r="F33" s="238">
        <f>+F26+F56</f>
        <v>171511.27859999999</v>
      </c>
      <c r="G33" s="39">
        <f>+G26+G56</f>
        <v>204804.02352941179</v>
      </c>
      <c r="H33" s="238">
        <f>+H26+H56</f>
        <v>174300.992</v>
      </c>
      <c r="I33" s="143">
        <f t="shared" ref="I33:I34" si="168">+E33+G33</f>
        <v>360699.62352941179</v>
      </c>
      <c r="J33" s="96">
        <f t="shared" ref="J33:J34" si="169">+F33+H33</f>
        <v>345812.27059999999</v>
      </c>
      <c r="K33" s="39">
        <f>+K26+K56</f>
        <v>363143.85529411765</v>
      </c>
      <c r="L33" s="238">
        <f>+L26+L56</f>
        <v>334625.5</v>
      </c>
      <c r="M33" s="167">
        <f t="shared" ref="M33:M34" si="170">+I33+K33</f>
        <v>723843.47882352944</v>
      </c>
      <c r="N33" s="163">
        <f t="shared" ref="N33:N34" si="171">+J33+L33</f>
        <v>680437.77059999993</v>
      </c>
      <c r="O33" s="39">
        <f>+O26+O56</f>
        <v>375490.40740410518</v>
      </c>
      <c r="P33" s="238">
        <f>+P26+P56</f>
        <v>314576.81799999997</v>
      </c>
      <c r="Q33" s="143">
        <f t="shared" ref="Q33:Q34" si="172">+M33+O33</f>
        <v>1099333.8862276347</v>
      </c>
      <c r="R33" s="96">
        <f t="shared" ref="R33:R34" si="173">+N33+P33</f>
        <v>995014.5885999999</v>
      </c>
      <c r="S33" s="39">
        <f>+S26+S56</f>
        <v>375490.40740410518</v>
      </c>
      <c r="T33" s="238">
        <f>+T26+T56</f>
        <v>346349</v>
      </c>
      <c r="U33" s="143">
        <f t="shared" ref="U33:U34" si="174">+Q33+S33</f>
        <v>1474824.2936317399</v>
      </c>
      <c r="V33" s="96">
        <f t="shared" ref="V33:V34" si="175">+R33+T33</f>
        <v>1341363.5885999999</v>
      </c>
      <c r="W33" s="39">
        <f>+W26+W56</f>
        <v>365208.18084363011</v>
      </c>
      <c r="X33" s="238">
        <f>+X26+X56</f>
        <v>336446.95130000002</v>
      </c>
      <c r="Y33" s="162">
        <f t="shared" si="161"/>
        <v>1116188.9956518405</v>
      </c>
      <c r="Z33" s="163">
        <f t="shared" si="162"/>
        <v>997372.76930000004</v>
      </c>
      <c r="AA33" s="1789">
        <f t="shared" ref="AA33:AA34" si="176">+U33+W33</f>
        <v>1840032.47447537</v>
      </c>
      <c r="AB33" s="1118">
        <f t="shared" ref="AB33:AB34" si="177">+V33+X33</f>
        <v>1677810.5399</v>
      </c>
      <c r="AC33" s="39">
        <f>+AC26+AC56</f>
        <v>377588.11917731247</v>
      </c>
      <c r="AD33" s="238">
        <f>+AD26+AD56</f>
        <v>359600.33880000003</v>
      </c>
      <c r="AE33" s="143">
        <f t="shared" ref="AE33:AE34" si="178">+AA33+AC33</f>
        <v>2217620.5936526824</v>
      </c>
      <c r="AF33" s="96">
        <f t="shared" ref="AF33:AF34" si="179">+AB33+AD33</f>
        <v>2037410.8787</v>
      </c>
      <c r="AG33" s="39">
        <f>+AG26+AG56</f>
        <v>365208.18084363011</v>
      </c>
      <c r="AH33" s="238">
        <f>+AH26+AH56</f>
        <v>331561.79333333333</v>
      </c>
      <c r="AI33" s="143">
        <f t="shared" ref="AI33:AI34" si="180">+AE33+AG33</f>
        <v>2582828.7744963123</v>
      </c>
      <c r="AJ33" s="96">
        <f t="shared" ref="AJ33:AJ34" si="181">+AF33+AH33</f>
        <v>2368972.6720333332</v>
      </c>
      <c r="AK33" s="39">
        <f>+AK26+AK56</f>
        <v>377588.11917731247</v>
      </c>
      <c r="AL33" s="238">
        <f>+AL26+AL56</f>
        <v>377669.29519999999</v>
      </c>
      <c r="AM33" s="162">
        <f t="shared" si="163"/>
        <v>1120384.4191982551</v>
      </c>
      <c r="AN33" s="163">
        <f t="shared" si="164"/>
        <v>1068831.4273333333</v>
      </c>
      <c r="AO33" s="143">
        <f t="shared" ref="AO33:AO34" si="182">+AI33+AK33</f>
        <v>2960416.8936736248</v>
      </c>
      <c r="AP33" s="96">
        <f t="shared" ref="AP33:AP34" si="183">+AJ33+AL33</f>
        <v>2746641.9672333333</v>
      </c>
      <c r="AQ33" s="39">
        <f>+AQ26+AQ56</f>
        <v>377588.11917731247</v>
      </c>
      <c r="AR33" s="3872">
        <f>+AR26+AR56</f>
        <v>377163.87389999995</v>
      </c>
      <c r="AS33" s="143">
        <f t="shared" ref="AS33:AS34" si="184">+AO33+AQ33</f>
        <v>3338005.0128509374</v>
      </c>
      <c r="AT33" s="96">
        <f t="shared" ref="AT33:AT34" si="185">+AP33+AR33</f>
        <v>3123805.8411333333</v>
      </c>
      <c r="AU33" s="39">
        <f>+AU26+AU56</f>
        <v>334599.11955883913</v>
      </c>
      <c r="AV33" s="3989">
        <f>+AV26+AV56</f>
        <v>342815.59080000001</v>
      </c>
      <c r="AW33" s="143">
        <f t="shared" ref="AW33:AW34" si="186">+AS33+AU33</f>
        <v>3672604.1324097766</v>
      </c>
      <c r="AX33" s="96">
        <f t="shared" ref="AX33:AX34" si="187">+AT33+AV33</f>
        <v>3466621.4319333332</v>
      </c>
      <c r="AY33" s="39">
        <f>+AY26+AY56</f>
        <v>377588.11917731247</v>
      </c>
      <c r="AZ33" s="4223">
        <f>+AZ26+AZ56</f>
        <v>409471.32900000003</v>
      </c>
      <c r="BA33" s="162">
        <f t="shared" si="165"/>
        <v>1089775.3579134641</v>
      </c>
      <c r="BB33" s="163">
        <f t="shared" si="166"/>
        <v>1129450.7937</v>
      </c>
      <c r="BC33" s="1789">
        <f t="shared" si="167"/>
        <v>2210159.7771117194</v>
      </c>
      <c r="BD33" s="1118">
        <f t="shared" si="167"/>
        <v>2198282.2210333333</v>
      </c>
      <c r="BE33" s="143">
        <f t="shared" ref="BE33:BE34" si="188">+AW33+AY33</f>
        <v>4050192.2515870892</v>
      </c>
      <c r="BF33" s="96">
        <f t="shared" ref="BF33:BF34" si="189">+AX33+AZ33</f>
        <v>3876092.7609333331</v>
      </c>
    </row>
    <row r="34" spans="1:73" ht="15.75" thickBot="1" x14ac:dyDescent="0.3">
      <c r="A34" s="332" t="s">
        <v>515</v>
      </c>
      <c r="B34" s="2493" t="s">
        <v>687</v>
      </c>
      <c r="C34" s="2243" t="s">
        <v>53</v>
      </c>
      <c r="D34" s="2494">
        <f>+D27+D60</f>
        <v>1103424.0593379545</v>
      </c>
      <c r="E34" s="2494">
        <f>+E27+E60</f>
        <v>42471.409090909088</v>
      </c>
      <c r="F34" s="248">
        <f>+F27+F60</f>
        <v>45847.163</v>
      </c>
      <c r="G34" s="464">
        <f>+G27+G60</f>
        <v>55795.772727272728</v>
      </c>
      <c r="H34" s="248">
        <f>+H27+H60</f>
        <v>48373.305</v>
      </c>
      <c r="I34" s="2016">
        <f t="shared" si="168"/>
        <v>98267.181818181823</v>
      </c>
      <c r="J34" s="101">
        <f t="shared" si="169"/>
        <v>94220.467999999993</v>
      </c>
      <c r="K34" s="464">
        <f>+K27+K60</f>
        <v>98942.976886363627</v>
      </c>
      <c r="L34" s="248">
        <f>+L27+L60</f>
        <v>86209.219400000002</v>
      </c>
      <c r="M34" s="2013">
        <f t="shared" si="170"/>
        <v>197210.15870454547</v>
      </c>
      <c r="N34" s="169">
        <f t="shared" si="171"/>
        <v>180429.6874</v>
      </c>
      <c r="O34" s="464">
        <f>+O27+O60</f>
        <v>102297.06611970816</v>
      </c>
      <c r="P34" s="248">
        <f>+P27+P60</f>
        <v>86867.641600000003</v>
      </c>
      <c r="Q34" s="2016">
        <f t="shared" si="172"/>
        <v>299507.22482425364</v>
      </c>
      <c r="R34" s="101">
        <f t="shared" si="173"/>
        <v>267297.32900000003</v>
      </c>
      <c r="S34" s="464">
        <f>+S27+S60</f>
        <v>102297.06611970816</v>
      </c>
      <c r="T34" s="248">
        <f>+T27+T60</f>
        <v>91141.86</v>
      </c>
      <c r="U34" s="2016">
        <f t="shared" si="174"/>
        <v>401804.29094396182</v>
      </c>
      <c r="V34" s="101">
        <f t="shared" si="175"/>
        <v>358439.18900000001</v>
      </c>
      <c r="W34" s="464">
        <f>+W27+W60</f>
        <v>99495.818499065892</v>
      </c>
      <c r="X34" s="248">
        <f>+X27+X60</f>
        <v>92266.195600000006</v>
      </c>
      <c r="Y34" s="162">
        <f t="shared" si="161"/>
        <v>304089.95073848224</v>
      </c>
      <c r="Z34" s="163">
        <f t="shared" si="162"/>
        <v>270275.69720000005</v>
      </c>
      <c r="AA34" s="2017">
        <f t="shared" si="176"/>
        <v>501300.1094430277</v>
      </c>
      <c r="AB34" s="1125">
        <f t="shared" si="177"/>
        <v>450705.38459999999</v>
      </c>
      <c r="AC34" s="464">
        <f>+AC27+AC60</f>
        <v>102868.55810920373</v>
      </c>
      <c r="AD34" s="248">
        <f>+AD27+AD60</f>
        <v>123448.22</v>
      </c>
      <c r="AE34" s="2016">
        <f t="shared" si="178"/>
        <v>604168.66755223146</v>
      </c>
      <c r="AF34" s="101">
        <f t="shared" si="179"/>
        <v>574153.60459999996</v>
      </c>
      <c r="AG34" s="464">
        <f>+AG27+AG60</f>
        <v>99495.818499065892</v>
      </c>
      <c r="AH34" s="248">
        <f>+AH27+AH60</f>
        <v>100772.4</v>
      </c>
      <c r="AI34" s="2016">
        <f t="shared" si="180"/>
        <v>703664.4860512974</v>
      </c>
      <c r="AJ34" s="101">
        <f t="shared" si="181"/>
        <v>674926.00459999999</v>
      </c>
      <c r="AK34" s="464">
        <f>+AK27+AK60</f>
        <v>102868.55810920373</v>
      </c>
      <c r="AL34" s="248">
        <f>+AL27+AL60</f>
        <v>102235.825</v>
      </c>
      <c r="AM34" s="162">
        <f t="shared" si="163"/>
        <v>305232.93471747334</v>
      </c>
      <c r="AN34" s="163">
        <f t="shared" si="164"/>
        <v>326456.44499999995</v>
      </c>
      <c r="AO34" s="2016">
        <f t="shared" si="182"/>
        <v>806533.0441605011</v>
      </c>
      <c r="AP34" s="101">
        <f t="shared" si="183"/>
        <v>777161.82959999994</v>
      </c>
      <c r="AQ34" s="464">
        <f>+AQ27+AQ60</f>
        <v>102868.55810920373</v>
      </c>
      <c r="AR34" s="248">
        <f>+AR27+AR60</f>
        <v>104775.3324</v>
      </c>
      <c r="AS34" s="2016">
        <f t="shared" si="184"/>
        <v>909401.6022697048</v>
      </c>
      <c r="AT34" s="101">
        <f t="shared" si="185"/>
        <v>881937.16199999989</v>
      </c>
      <c r="AU34" s="464">
        <f>+AU27+AU60</f>
        <v>91156.811418273486</v>
      </c>
      <c r="AV34" s="248">
        <f>+AV27+AV60</f>
        <v>98121.847999999998</v>
      </c>
      <c r="AW34" s="2016">
        <f t="shared" si="186"/>
        <v>1000558.4136879783</v>
      </c>
      <c r="AX34" s="101">
        <f t="shared" si="187"/>
        <v>980059.00999999989</v>
      </c>
      <c r="AY34" s="464">
        <f>+AY27+AY60</f>
        <v>102868.55810920373</v>
      </c>
      <c r="AZ34" s="248">
        <f>+AZ27+AZ60</f>
        <v>102183.86410000001</v>
      </c>
      <c r="BA34" s="162">
        <f t="shared" si="165"/>
        <v>296893.92763668095</v>
      </c>
      <c r="BB34" s="163">
        <f t="shared" si="166"/>
        <v>305081.04450000002</v>
      </c>
      <c r="BC34" s="2017">
        <f t="shared" si="167"/>
        <v>602126.86235415423</v>
      </c>
      <c r="BD34" s="1125">
        <f t="shared" si="167"/>
        <v>631537.48949999991</v>
      </c>
      <c r="BE34" s="2016">
        <f t="shared" si="188"/>
        <v>1103426.971797182</v>
      </c>
      <c r="BF34" s="101">
        <f t="shared" si="189"/>
        <v>1082242.8740999999</v>
      </c>
    </row>
    <row r="35" spans="1:73" s="334" customFormat="1" ht="15.75" x14ac:dyDescent="0.25">
      <c r="A35" s="333"/>
      <c r="B35" s="2495" t="s">
        <v>488</v>
      </c>
      <c r="C35" s="685"/>
      <c r="D35" s="685"/>
      <c r="E35" s="685"/>
      <c r="F35" s="645"/>
      <c r="G35" s="685"/>
      <c r="H35" s="685"/>
      <c r="I35" s="1174"/>
      <c r="J35" s="1174"/>
      <c r="K35" s="685"/>
      <c r="L35" s="1174"/>
      <c r="M35" s="1174"/>
      <c r="N35" s="1174"/>
      <c r="O35" s="685"/>
      <c r="P35" s="1174"/>
      <c r="Q35" s="1174"/>
      <c r="R35" s="1174"/>
      <c r="S35" s="685"/>
      <c r="T35" s="1174"/>
      <c r="U35" s="1174"/>
      <c r="V35" s="1174"/>
      <c r="W35" s="685"/>
      <c r="X35" s="1174"/>
      <c r="Y35" s="1174"/>
      <c r="Z35" s="1174"/>
      <c r="AA35" s="1174"/>
      <c r="AB35" s="1174"/>
      <c r="AC35" s="685"/>
      <c r="AD35" s="1174"/>
      <c r="AE35" s="1174"/>
      <c r="AF35" s="1174"/>
      <c r="AG35" s="685"/>
      <c r="AH35" s="1174"/>
      <c r="AI35" s="1174"/>
      <c r="AJ35" s="1174"/>
      <c r="AK35" s="685"/>
      <c r="AL35" s="1174"/>
      <c r="AM35" s="1174"/>
      <c r="AN35" s="1174"/>
      <c r="AO35" s="1174"/>
      <c r="AP35" s="1174"/>
      <c r="AQ35" s="685"/>
      <c r="AR35" s="1174"/>
      <c r="AS35" s="1174"/>
      <c r="AT35" s="1174"/>
      <c r="AU35" s="685"/>
      <c r="AV35" s="1174"/>
      <c r="AW35" s="1174"/>
      <c r="AX35" s="1174"/>
      <c r="AY35" s="685"/>
      <c r="AZ35" s="1174"/>
      <c r="BA35" s="1174"/>
      <c r="BB35" s="1174"/>
      <c r="BC35" s="1174"/>
      <c r="BD35" s="1174"/>
      <c r="BE35" s="1174"/>
      <c r="BF35" s="1174"/>
      <c r="BG35" s="1792"/>
      <c r="BH35" s="1517"/>
      <c r="BI35" s="1517"/>
      <c r="BJ35" s="1517"/>
      <c r="BK35" s="1517"/>
      <c r="BL35" s="1517"/>
      <c r="BM35" s="1517"/>
      <c r="BN35" s="1517"/>
      <c r="BO35" s="1517"/>
      <c r="BP35" s="1517"/>
      <c r="BQ35" s="1517"/>
      <c r="BR35" s="1517"/>
      <c r="BS35" s="1517"/>
      <c r="BT35" s="1517"/>
      <c r="BU35" s="1517"/>
    </row>
    <row r="36" spans="1:73" x14ac:dyDescent="0.25">
      <c r="B36" s="1993" t="s">
        <v>269</v>
      </c>
      <c r="C36" s="3573" t="s">
        <v>273</v>
      </c>
      <c r="D36" s="151">
        <f>+'Maj Techno Summ'!D10</f>
        <v>377.88521380903757</v>
      </c>
      <c r="E36" s="151">
        <f>+'Maj Techno Summ'!E10</f>
        <v>410</v>
      </c>
      <c r="F36" s="3543">
        <f>+F22/F$5*1000</f>
        <v>395.28297591403725</v>
      </c>
      <c r="G36" s="3490">
        <f>+'Maj Techno Summ'!G10</f>
        <v>440</v>
      </c>
      <c r="H36" s="3543">
        <f>+H22/H$5*1000</f>
        <v>422.4828205430544</v>
      </c>
      <c r="I36" s="144">
        <f t="shared" ref="I36:J38" si="190">+I22/I$5*1000</f>
        <v>427.03389830508473</v>
      </c>
      <c r="J36" s="144">
        <f t="shared" si="190"/>
        <v>408.47809187477964</v>
      </c>
      <c r="K36" s="3490">
        <f>+'Maj Techno Summ'!K10</f>
        <v>380</v>
      </c>
      <c r="L36" s="3543">
        <f>+L22/L$5*1000</f>
        <v>404.78986358166981</v>
      </c>
      <c r="M36" s="184">
        <f t="shared" ref="M36:N38" si="191">+M22/M$5*1000</f>
        <v>403.43636183209009</v>
      </c>
      <c r="N36" s="184">
        <f t="shared" si="191"/>
        <v>406.66182077613894</v>
      </c>
      <c r="O36" s="3490">
        <f>+'Maj Techno Summ'!O10</f>
        <v>385</v>
      </c>
      <c r="P36" s="3543">
        <f>+P22/P$5*1000</f>
        <v>424.5462083295871</v>
      </c>
      <c r="Q36" s="144">
        <f t="shared" ref="Q36:R38" si="192">+Q22/Q$5*1000</f>
        <v>397.13941183135563</v>
      </c>
      <c r="R36" s="144">
        <f t="shared" si="192"/>
        <v>412.43288988147719</v>
      </c>
      <c r="S36" s="3490">
        <f>+'Maj Techno Summ'!S10</f>
        <v>385</v>
      </c>
      <c r="T36" s="3543">
        <f>+T22/T$5*1000</f>
        <v>387.96940573733264</v>
      </c>
      <c r="U36" s="144">
        <f t="shared" ref="U36:V36" si="193">+U22/U$5*1000</f>
        <v>394.04879178592677</v>
      </c>
      <c r="V36" s="144">
        <f t="shared" si="193"/>
        <v>406.02529810517012</v>
      </c>
      <c r="W36" s="3490">
        <f>+'Maj Techno Summ'!W10</f>
        <v>380</v>
      </c>
      <c r="X36" s="3543">
        <f>+X22/X$5*1000</f>
        <v>383.96826514564702</v>
      </c>
      <c r="Y36" s="184">
        <f t="shared" ref="Y36:AB36" si="194">+Y22/Y$5*1000</f>
        <v>383.36403968205065</v>
      </c>
      <c r="Z36" s="184">
        <f t="shared" si="194"/>
        <v>398.18500163406691</v>
      </c>
      <c r="AA36" s="1149">
        <f t="shared" si="194"/>
        <v>391.26045328292059</v>
      </c>
      <c r="AB36" s="1149">
        <f t="shared" si="194"/>
        <v>401.56587803656691</v>
      </c>
      <c r="AC36" s="3490">
        <f>+'Maj Techno Summ'!AC10</f>
        <v>375</v>
      </c>
      <c r="AD36" s="3543">
        <f>+AD22/AD$5*1000</f>
        <v>389.85265546825303</v>
      </c>
      <c r="AE36" s="144">
        <f t="shared" ref="AE36:AF36" si="195">+AE22/AE$5*1000</f>
        <v>388.49187582444392</v>
      </c>
      <c r="AF36" s="144">
        <f t="shared" si="195"/>
        <v>399.44725077270562</v>
      </c>
      <c r="AG36" s="3490">
        <f>+'Maj Techno Summ'!AG10</f>
        <v>375</v>
      </c>
      <c r="AH36" s="3543">
        <f>+AH22/AH$5*1000</f>
        <v>401.55734497799716</v>
      </c>
      <c r="AI36" s="144">
        <f t="shared" ref="AI36:AJ36" si="196">+AI22/AI$5*1000</f>
        <v>386.58417104160651</v>
      </c>
      <c r="AJ36" s="144">
        <f t="shared" si="196"/>
        <v>399.7397813107346</v>
      </c>
      <c r="AK36" s="3490">
        <f>+'Maj Techno Summ'!AK10</f>
        <v>370</v>
      </c>
      <c r="AL36" s="3543">
        <f>+AL22/AL$5*1000</f>
        <v>394.73569946071746</v>
      </c>
      <c r="AM36" s="184">
        <f t="shared" ref="AM36:AP36" si="197">+AM22/AM$5*1000</f>
        <v>373.31491712707179</v>
      </c>
      <c r="AN36" s="184">
        <f t="shared" si="197"/>
        <v>395.14789313663005</v>
      </c>
      <c r="AO36" s="144">
        <f t="shared" si="197"/>
        <v>384.4689588627233</v>
      </c>
      <c r="AP36" s="144">
        <f t="shared" si="197"/>
        <v>399.07113407720169</v>
      </c>
      <c r="AQ36" s="3490">
        <f>+'Maj Techno Summ'!AQ10</f>
        <v>360</v>
      </c>
      <c r="AR36" s="3888">
        <f>+AR22/AR$5*1000</f>
        <v>390.96789470774132</v>
      </c>
      <c r="AS36" s="144">
        <f t="shared" ref="AS36:AT36" si="198">+AS22/AS$5*1000</f>
        <v>381.70111143263733</v>
      </c>
      <c r="AT36" s="144">
        <f t="shared" si="198"/>
        <v>398.09844414279337</v>
      </c>
      <c r="AU36" s="3490">
        <f>+'Maj Techno Summ'!AU10</f>
        <v>360</v>
      </c>
      <c r="AV36" s="4008">
        <f>+AV22/AV$5*1000</f>
        <v>391.80281930656571</v>
      </c>
      <c r="AW36" s="144">
        <f t="shared" ref="AW36:AX36" si="199">+AW22/AW$5*1000</f>
        <v>379.72401251283122</v>
      </c>
      <c r="AX36" s="144">
        <f t="shared" si="199"/>
        <v>397.48822502665604</v>
      </c>
      <c r="AY36" s="3490">
        <f>+'Maj Techno Summ'!AY10</f>
        <v>360</v>
      </c>
      <c r="AZ36" s="4258">
        <f>+AZ22/AZ$5*1000</f>
        <v>389.66003671983492</v>
      </c>
      <c r="BA36" s="184">
        <f t="shared" ref="BA36:BD36" si="200">+BA22/BA$5*1000</f>
        <v>360.00000000000006</v>
      </c>
      <c r="BB36" s="184">
        <f t="shared" si="200"/>
        <v>390.76948266037635</v>
      </c>
      <c r="BC36" s="1149">
        <f t="shared" si="200"/>
        <v>366.74965938959497</v>
      </c>
      <c r="BD36" s="1149">
        <f t="shared" si="200"/>
        <v>392.93729362010811</v>
      </c>
      <c r="BE36" s="144">
        <f t="shared" ref="BE36:BF36" si="201">+BE22/BE$5*1000</f>
        <v>377.88521420805364</v>
      </c>
      <c r="BF36" s="144">
        <f t="shared" si="201"/>
        <v>396.71458967036409</v>
      </c>
    </row>
    <row r="37" spans="1:73" x14ac:dyDescent="0.25">
      <c r="B37" s="1993" t="s">
        <v>1</v>
      </c>
      <c r="C37" s="3573" t="s">
        <v>273</v>
      </c>
      <c r="D37" s="151">
        <f>+'Maj Techno Summ'!D11</f>
        <v>23.751423862955011</v>
      </c>
      <c r="E37" s="151">
        <f>+'Maj Techno Summ'!E11</f>
        <v>16</v>
      </c>
      <c r="F37" s="238">
        <f>+F23/F$5*1000</f>
        <v>46.651186085689574</v>
      </c>
      <c r="G37" s="3490">
        <f>+'Maj Techno Summ'!G11</f>
        <v>25</v>
      </c>
      <c r="H37" s="238">
        <f>+H23/H$5*1000</f>
        <v>33.665405067915636</v>
      </c>
      <c r="I37" s="96">
        <f t="shared" si="190"/>
        <v>21.110169491525422</v>
      </c>
      <c r="J37" s="96">
        <f t="shared" si="190"/>
        <v>40.351558690482435</v>
      </c>
      <c r="K37" s="3490">
        <f>+'Maj Techno Summ'!K11</f>
        <v>30</v>
      </c>
      <c r="L37" s="238">
        <f>+L23/L$5*1000</f>
        <v>44.970208324272605</v>
      </c>
      <c r="M37" s="163">
        <f t="shared" si="191"/>
        <v>25.570316475340089</v>
      </c>
      <c r="N37" s="163">
        <f t="shared" si="191"/>
        <v>42.626016554241055</v>
      </c>
      <c r="O37" s="3490">
        <f>+'Maj Techno Summ'!O11</f>
        <v>30</v>
      </c>
      <c r="P37" s="238">
        <f>+P23/P$5*1000</f>
        <v>37.482143035534115</v>
      </c>
      <c r="Q37" s="96">
        <f t="shared" si="192"/>
        <v>27.083277434118287</v>
      </c>
      <c r="R37" s="96">
        <f t="shared" si="192"/>
        <v>40.966152639032295</v>
      </c>
      <c r="S37" s="3490">
        <f>+'Maj Techno Summ'!S11</f>
        <v>30</v>
      </c>
      <c r="T37" s="238">
        <f>+T23/T$5*1000</f>
        <v>41.140562832694442</v>
      </c>
      <c r="U37" s="96">
        <f t="shared" ref="U37:V37" si="202">+U23/U$5*1000</f>
        <v>27.825857169800763</v>
      </c>
      <c r="V37" s="96">
        <f t="shared" si="202"/>
        <v>41.011834984033882</v>
      </c>
      <c r="W37" s="3490">
        <f>+'Maj Techno Summ'!W11</f>
        <v>30</v>
      </c>
      <c r="X37" s="238">
        <f>+X23/X$5*1000</f>
        <v>40.10515691383236</v>
      </c>
      <c r="Y37" s="163">
        <f t="shared" ref="Y37:AB37" si="203">+Y23/Y$5*1000</f>
        <v>30.000000000000004</v>
      </c>
      <c r="Z37" s="163">
        <f t="shared" si="203"/>
        <v>39.635989889309727</v>
      </c>
      <c r="AA37" s="1118">
        <f t="shared" si="203"/>
        <v>28.257370872676766</v>
      </c>
      <c r="AB37" s="1118">
        <f t="shared" si="203"/>
        <v>40.828525724377833</v>
      </c>
      <c r="AC37" s="3490">
        <f>+'Maj Techno Summ'!AC11</f>
        <v>20</v>
      </c>
      <c r="AD37" s="238">
        <f>+AD23/AD$5*1000</f>
        <v>36.165603562402211</v>
      </c>
      <c r="AE37" s="96">
        <f t="shared" ref="AE37:AF37" si="204">+AE23/AE$5*1000</f>
        <v>26.851433998310103</v>
      </c>
      <c r="AF37" s="96">
        <f t="shared" si="204"/>
        <v>39.985120422036104</v>
      </c>
      <c r="AG37" s="3490">
        <f>+'Maj Techno Summ'!AG11</f>
        <v>20</v>
      </c>
      <c r="AH37" s="238">
        <f>+AH23/AH$5*1000</f>
        <v>38.740405470029323</v>
      </c>
      <c r="AI37" s="96">
        <f t="shared" ref="AI37:AJ37" si="205">+AI23/AI$5*1000</f>
        <v>25.882664823590115</v>
      </c>
      <c r="AJ37" s="96">
        <f t="shared" si="205"/>
        <v>39.812560763945854</v>
      </c>
      <c r="AK37" s="3490">
        <f>+'Maj Techno Summ'!AK11</f>
        <v>20</v>
      </c>
      <c r="AL37" s="238">
        <f>+AL23/AL$5*1000</f>
        <v>31.536303873976365</v>
      </c>
      <c r="AM37" s="163">
        <f t="shared" ref="AM37:AP37" si="206">+AM23/AM$5*1000</f>
        <v>20</v>
      </c>
      <c r="AN37" s="163">
        <f t="shared" si="206"/>
        <v>35.369870906016175</v>
      </c>
      <c r="AO37" s="96">
        <f t="shared" si="206"/>
        <v>25.132365984538801</v>
      </c>
      <c r="AP37" s="96">
        <f t="shared" si="206"/>
        <v>38.706684313610126</v>
      </c>
      <c r="AQ37" s="3490">
        <f>+'Maj Techno Summ'!AQ11</f>
        <v>20</v>
      </c>
      <c r="AR37" s="3872">
        <f>+AR23/AR$5*1000</f>
        <v>34.31724630715771</v>
      </c>
      <c r="AS37" s="96">
        <f t="shared" ref="AS37:AT37" si="207">+AS23/AS$5*1000</f>
        <v>24.551809775332551</v>
      </c>
      <c r="AT37" s="96">
        <f t="shared" si="207"/>
        <v>38.179788590564279</v>
      </c>
      <c r="AU37" s="3490">
        <f>+'Maj Techno Summ'!AU11</f>
        <v>20</v>
      </c>
      <c r="AV37" s="3989">
        <f>+AV23/AV$5*1000</f>
        <v>31.914392876339612</v>
      </c>
      <c r="AW37" s="96">
        <f t="shared" ref="AW37:AX37" si="208">+AW23/AW$5*1000</f>
        <v>24.137113126365616</v>
      </c>
      <c r="AX37" s="96">
        <f t="shared" si="208"/>
        <v>37.572499507360902</v>
      </c>
      <c r="AY37" s="3490">
        <f>+'Maj Techno Summ'!AY11</f>
        <v>20</v>
      </c>
      <c r="AZ37" s="4223">
        <f>+AZ23/AZ$5*1000</f>
        <v>32.222435844343877</v>
      </c>
      <c r="BA37" s="163">
        <f t="shared" ref="BA37:BD37" si="209">+BA23/BA$5*1000</f>
        <v>20</v>
      </c>
      <c r="BB37" s="163">
        <f t="shared" si="209"/>
        <v>32.848556010814384</v>
      </c>
      <c r="BC37" s="1118">
        <f t="shared" si="209"/>
        <v>20</v>
      </c>
      <c r="BD37" s="1118">
        <f t="shared" si="209"/>
        <v>34.096893527910325</v>
      </c>
      <c r="BE37" s="96">
        <f t="shared" ref="BE37:BF37" si="210">+BE23/BE$5*1000</f>
        <v>23.75142504193121</v>
      </c>
      <c r="BF37" s="96">
        <f t="shared" si="210"/>
        <v>37.043769455668603</v>
      </c>
    </row>
    <row r="38" spans="1:73" ht="15.75" thickBot="1" x14ac:dyDescent="0.3">
      <c r="B38" s="3514" t="s">
        <v>139</v>
      </c>
      <c r="C38" s="380" t="s">
        <v>273</v>
      </c>
      <c r="D38" s="151">
        <f>+'Maj Techno Summ'!D12</f>
        <v>133.64291710861468</v>
      </c>
      <c r="E38" s="151">
        <f>+'Maj Techno Summ'!E12</f>
        <v>108</v>
      </c>
      <c r="F38" s="238">
        <f>+F24/F$5*1000</f>
        <v>110.29458634977007</v>
      </c>
      <c r="G38" s="3490">
        <f>+'Maj Techno Summ'!G12</f>
        <v>75</v>
      </c>
      <c r="H38" s="238">
        <f>+H24/H$5*1000</f>
        <v>99.06421009291887</v>
      </c>
      <c r="I38" s="96">
        <f t="shared" si="190"/>
        <v>89.262711864406782</v>
      </c>
      <c r="J38" s="96">
        <f t="shared" si="190"/>
        <v>104.84653622253396</v>
      </c>
      <c r="K38" s="3490">
        <f>+'Maj Techno Summ'!K12</f>
        <v>125</v>
      </c>
      <c r="L38" s="238">
        <f>+L24/L$5*1000</f>
        <v>110.20745444265647</v>
      </c>
      <c r="M38" s="163">
        <f t="shared" si="191"/>
        <v>107.19258777550922</v>
      </c>
      <c r="N38" s="163">
        <f t="shared" si="191"/>
        <v>107.48652487062687</v>
      </c>
      <c r="O38" s="3490">
        <f>+'Maj Techno Summ'!O12</f>
        <v>130</v>
      </c>
      <c r="P38" s="238">
        <f>+P24/P$5*1000</f>
        <v>100.34365291056034</v>
      </c>
      <c r="Q38" s="96">
        <f t="shared" si="192"/>
        <v>114.98247255493358</v>
      </c>
      <c r="R38" s="96">
        <f t="shared" si="192"/>
        <v>105.1816090568237</v>
      </c>
      <c r="S38" s="3490">
        <f>+'Maj Techno Summ'!S12</f>
        <v>130</v>
      </c>
      <c r="T38" s="238">
        <f>+T24/T$5*1000</f>
        <v>117.28103482731682</v>
      </c>
      <c r="U38" s="96">
        <f t="shared" ref="U38:V38" si="211">+U24/U$5*1000</f>
        <v>118.80584324202209</v>
      </c>
      <c r="V38" s="96">
        <f t="shared" si="211"/>
        <v>108.35074803180518</v>
      </c>
      <c r="W38" s="3490">
        <f>+'Maj Techno Summ'!W12</f>
        <v>135</v>
      </c>
      <c r="X38" s="238">
        <f>+X24/X$5*1000</f>
        <v>124.09924183742929</v>
      </c>
      <c r="Y38" s="163">
        <f t="shared" ref="Y38:AB38" si="212">+Y24/Y$5*1000</f>
        <v>131.63596031794933</v>
      </c>
      <c r="Z38" s="163">
        <f t="shared" si="212"/>
        <v>114.22048693614823</v>
      </c>
      <c r="AA38" s="1118">
        <f t="shared" si="212"/>
        <v>122.01998375318125</v>
      </c>
      <c r="AB38" s="1118">
        <f t="shared" si="212"/>
        <v>111.5347279195784</v>
      </c>
      <c r="AC38" s="3490">
        <f>+'Maj Techno Summ'!AC12</f>
        <v>140</v>
      </c>
      <c r="AD38" s="238">
        <f>+AD24/AD$5*1000</f>
        <v>125.49644963292813</v>
      </c>
      <c r="AE38" s="96">
        <f t="shared" ref="AE38:AF38" si="213">+AE24/AE$5*1000</f>
        <v>125.08134168815791</v>
      </c>
      <c r="AF38" s="96">
        <f t="shared" si="213"/>
        <v>114.06005210767717</v>
      </c>
      <c r="AG38" s="3490">
        <f>+'Maj Techno Summ'!AG12</f>
        <v>140</v>
      </c>
      <c r="AH38" s="238">
        <f>+AH24/AH$5*1000</f>
        <v>110.53574792651882</v>
      </c>
      <c r="AI38" s="96">
        <f t="shared" ref="AI38:AJ38" si="214">+AI24/AI$5*1000</f>
        <v>127.19078860164457</v>
      </c>
      <c r="AJ38" s="96">
        <f t="shared" si="214"/>
        <v>113.57146415946761</v>
      </c>
      <c r="AK38" s="3490">
        <f>+'Maj Techno Summ'!AK12</f>
        <v>145</v>
      </c>
      <c r="AL38" s="238">
        <f>+AL24/AL$5*1000</f>
        <v>121.41238178770853</v>
      </c>
      <c r="AM38" s="163">
        <f t="shared" ref="AM38:AP38" si="215">+AM24/AM$5*1000</f>
        <v>141.68508287292818</v>
      </c>
      <c r="AN38" s="163">
        <f t="shared" si="215"/>
        <v>119.46977284294834</v>
      </c>
      <c r="AO38" s="96">
        <f t="shared" si="215"/>
        <v>129.4622473770998</v>
      </c>
      <c r="AP38" s="96">
        <f t="shared" si="215"/>
        <v>114.61917041960109</v>
      </c>
      <c r="AQ38" s="3490">
        <f>+'Maj Techno Summ'!AQ12</f>
        <v>145</v>
      </c>
      <c r="AR38" s="3872">
        <f>+AR24/AR$5*1000</f>
        <v>125.93205765640086</v>
      </c>
      <c r="AS38" s="96">
        <f t="shared" ref="AS38:AT38" si="216">+AS24/AS$5*1000</f>
        <v>131.21982639416711</v>
      </c>
      <c r="AT38" s="96">
        <f t="shared" si="216"/>
        <v>115.97713740571815</v>
      </c>
      <c r="AU38" s="3490">
        <f>+'Maj Techno Summ'!AU12</f>
        <v>145</v>
      </c>
      <c r="AV38" s="3989">
        <f>+AV24/AV$5*1000</f>
        <v>123.86496867701409</v>
      </c>
      <c r="AW38" s="96">
        <f t="shared" ref="AW38:AX38" si="217">+AW24/AW$5*1000</f>
        <v>132.47528127883527</v>
      </c>
      <c r="AX38" s="96">
        <f t="shared" si="217"/>
        <v>116.74168509587166</v>
      </c>
      <c r="AY38" s="3490">
        <f>+'Maj Techno Summ'!AY12</f>
        <v>145</v>
      </c>
      <c r="AZ38" s="4223">
        <f>+AZ24/AZ$5*1000</f>
        <v>130.24316064696532</v>
      </c>
      <c r="BA38" s="163">
        <f t="shared" ref="BA38:BD38" si="218">+BA24/BA$5*1000</f>
        <v>145.00000000000003</v>
      </c>
      <c r="BB38" s="163">
        <f t="shared" si="218"/>
        <v>126.79689201320079</v>
      </c>
      <c r="BC38" s="1118">
        <f t="shared" si="218"/>
        <v>143.31958687395976</v>
      </c>
      <c r="BD38" s="1118">
        <f t="shared" si="218"/>
        <v>123.16913501629975</v>
      </c>
      <c r="BE38" s="96">
        <f t="shared" ref="BE38:BF38" si="219">+BE24/BE$5*1000</f>
        <v>133.64291547787624</v>
      </c>
      <c r="BF38" s="96">
        <f t="shared" si="219"/>
        <v>118.07599367903838</v>
      </c>
    </row>
    <row r="39" spans="1:73" ht="16.5" thickBot="1" x14ac:dyDescent="0.3">
      <c r="B39" s="2047" t="s">
        <v>270</v>
      </c>
      <c r="C39" s="1194" t="s">
        <v>273</v>
      </c>
      <c r="D39" s="52">
        <f t="shared" ref="D39" si="220">SUM(D36:D38)</f>
        <v>535.27955478060721</v>
      </c>
      <c r="E39" s="52">
        <f t="shared" ref="E39:J39" si="221">SUM(E36:E38)</f>
        <v>534</v>
      </c>
      <c r="F39" s="247">
        <f t="shared" si="221"/>
        <v>552.22874834949687</v>
      </c>
      <c r="G39" s="1373">
        <f t="shared" ref="G39" si="222">SUM(G36:G38)</f>
        <v>540</v>
      </c>
      <c r="H39" s="247">
        <f t="shared" ref="H39" si="223">SUM(H36:H38)</f>
        <v>555.2124357038889</v>
      </c>
      <c r="I39" s="2024">
        <f t="shared" si="221"/>
        <v>537.40677966101691</v>
      </c>
      <c r="J39" s="98">
        <f t="shared" si="221"/>
        <v>553.67618678779604</v>
      </c>
      <c r="K39" s="1373">
        <f t="shared" ref="K39" si="224">SUM(K36:K38)</f>
        <v>535</v>
      </c>
      <c r="L39" s="247">
        <f t="shared" ref="L39" si="225">SUM(L36:L38)</f>
        <v>559.96752634859888</v>
      </c>
      <c r="M39" s="2025">
        <f t="shared" ref="M39:O39" si="226">SUM(M36:M38)</f>
        <v>536.1992660829394</v>
      </c>
      <c r="N39" s="159">
        <f t="shared" si="226"/>
        <v>556.77436220100685</v>
      </c>
      <c r="O39" s="1373">
        <f t="shared" si="226"/>
        <v>545</v>
      </c>
      <c r="P39" s="247">
        <f t="shared" ref="P39" si="227">SUM(P36:P38)</f>
        <v>562.37200427568155</v>
      </c>
      <c r="Q39" s="2024">
        <f t="shared" ref="Q39:T39" si="228">SUM(Q36:Q38)</f>
        <v>539.20516182040751</v>
      </c>
      <c r="R39" s="98">
        <f t="shared" si="228"/>
        <v>558.58065157733324</v>
      </c>
      <c r="S39" s="1373">
        <f t="shared" si="228"/>
        <v>545</v>
      </c>
      <c r="T39" s="247">
        <f t="shared" si="228"/>
        <v>546.39100339734387</v>
      </c>
      <c r="U39" s="2024">
        <f t="shared" ref="U39:X39" si="229">SUM(U36:U38)</f>
        <v>540.68049219774957</v>
      </c>
      <c r="V39" s="98">
        <f t="shared" si="229"/>
        <v>555.38788112100917</v>
      </c>
      <c r="W39" s="1373">
        <f t="shared" si="229"/>
        <v>545</v>
      </c>
      <c r="X39" s="247">
        <f t="shared" si="229"/>
        <v>548.17266389690872</v>
      </c>
      <c r="Y39" s="2025">
        <f t="shared" ref="Y39:AF39" si="230">SUM(Y36:Y38)</f>
        <v>545</v>
      </c>
      <c r="Z39" s="159">
        <f t="shared" si="230"/>
        <v>552.0414784595248</v>
      </c>
      <c r="AA39" s="2026">
        <f t="shared" si="230"/>
        <v>541.53780790877863</v>
      </c>
      <c r="AB39" s="1126">
        <f t="shared" si="230"/>
        <v>553.92913168052314</v>
      </c>
      <c r="AC39" s="1373">
        <f t="shared" si="230"/>
        <v>535</v>
      </c>
      <c r="AD39" s="247">
        <f t="shared" si="230"/>
        <v>551.51470866358341</v>
      </c>
      <c r="AE39" s="2024">
        <f t="shared" si="230"/>
        <v>540.42465151091187</v>
      </c>
      <c r="AF39" s="98">
        <f t="shared" si="230"/>
        <v>553.49242330241896</v>
      </c>
      <c r="AG39" s="1373">
        <f t="shared" ref="AG39:AJ39" si="231">SUM(AG36:AG38)</f>
        <v>535</v>
      </c>
      <c r="AH39" s="247">
        <f t="shared" si="231"/>
        <v>550.83349837454534</v>
      </c>
      <c r="AI39" s="2024">
        <f t="shared" si="231"/>
        <v>539.65762446684118</v>
      </c>
      <c r="AJ39" s="98">
        <f t="shared" si="231"/>
        <v>553.12380623414811</v>
      </c>
      <c r="AK39" s="1373">
        <f t="shared" ref="AK39:AL39" si="232">SUM(AK36:AK38)</f>
        <v>535</v>
      </c>
      <c r="AL39" s="247">
        <f t="shared" si="232"/>
        <v>547.68438512240232</v>
      </c>
      <c r="AM39" s="2025">
        <f t="shared" ref="AM39:AT39" si="233">SUM(AM36:AM38)</f>
        <v>535</v>
      </c>
      <c r="AN39" s="159">
        <f t="shared" si="233"/>
        <v>549.98753688559452</v>
      </c>
      <c r="AO39" s="2024">
        <f t="shared" si="233"/>
        <v>539.06357222436191</v>
      </c>
      <c r="AP39" s="98">
        <f t="shared" si="233"/>
        <v>552.39698881041295</v>
      </c>
      <c r="AQ39" s="1373">
        <f t="shared" si="233"/>
        <v>525</v>
      </c>
      <c r="AR39" s="247">
        <f t="shared" si="233"/>
        <v>551.21719867129991</v>
      </c>
      <c r="AS39" s="2024">
        <f t="shared" si="233"/>
        <v>537.47274760213702</v>
      </c>
      <c r="AT39" s="98">
        <f t="shared" si="233"/>
        <v>552.25537013907581</v>
      </c>
      <c r="AU39" s="1373">
        <f t="shared" ref="AU39:AV39" si="234">SUM(AU36:AU38)</f>
        <v>525</v>
      </c>
      <c r="AV39" s="247">
        <f t="shared" si="234"/>
        <v>547.58218085991939</v>
      </c>
      <c r="AW39" s="2024">
        <f t="shared" ref="AW39:BB39" si="235">SUM(AW36:AW38)</f>
        <v>536.33640691803203</v>
      </c>
      <c r="AX39" s="98">
        <f t="shared" si="235"/>
        <v>551.80240962988853</v>
      </c>
      <c r="AY39" s="1373">
        <f t="shared" si="235"/>
        <v>525</v>
      </c>
      <c r="AZ39" s="247">
        <f t="shared" si="235"/>
        <v>552.12563321114408</v>
      </c>
      <c r="BA39" s="2025">
        <f t="shared" si="235"/>
        <v>525.00000000000011</v>
      </c>
      <c r="BB39" s="159">
        <f t="shared" si="235"/>
        <v>550.41493068439149</v>
      </c>
      <c r="BC39" s="2026">
        <f t="shared" ref="BC39:BD39" si="236">SUM(BC36:BC38)</f>
        <v>530.06924626355476</v>
      </c>
      <c r="BD39" s="1126">
        <f t="shared" si="236"/>
        <v>550.20332216431814</v>
      </c>
      <c r="BE39" s="2024">
        <f t="shared" ref="BE39:BF39" si="237">SUM(BE36:BE38)</f>
        <v>535.27955472786107</v>
      </c>
      <c r="BF39" s="98">
        <f t="shared" si="237"/>
        <v>551.83435280507103</v>
      </c>
    </row>
    <row r="40" spans="1:73" x14ac:dyDescent="0.25">
      <c r="A40" s="332" t="s">
        <v>515</v>
      </c>
      <c r="B40" s="3515" t="s">
        <v>20</v>
      </c>
      <c r="C40" s="140" t="s">
        <v>273</v>
      </c>
      <c r="D40" s="151">
        <v>1299.1300000000001</v>
      </c>
      <c r="E40" s="151">
        <v>1299.1300000000001</v>
      </c>
      <c r="F40" s="238">
        <f>+F26/F$5*1000</f>
        <v>1286.026499112143</v>
      </c>
      <c r="G40" s="151">
        <f>+E40</f>
        <v>1299.1300000000001</v>
      </c>
      <c r="H40" s="238">
        <f>+H26/H$5*1000</f>
        <v>1322.8321023402721</v>
      </c>
      <c r="I40" s="3547">
        <f t="shared" ref="I40:J43" si="238">+I26/I$5*1000</f>
        <v>1299.1300000000001</v>
      </c>
      <c r="J40" s="3547">
        <f t="shared" si="238"/>
        <v>1303.8815350222428</v>
      </c>
      <c r="K40" s="151">
        <v>1299</v>
      </c>
      <c r="L40" s="238">
        <f>+L26/L$5*1000</f>
        <v>1307.8666454041568</v>
      </c>
      <c r="M40" s="3549">
        <f t="shared" ref="M40:N43" si="239">+M26/M$5*1000</f>
        <v>1299.0647772595505</v>
      </c>
      <c r="N40" s="3549">
        <f t="shared" si="239"/>
        <v>1305.8440059530919</v>
      </c>
      <c r="O40" s="151">
        <v>1299.1293313123481</v>
      </c>
      <c r="P40" s="238">
        <f>+P26/P$5*1000</f>
        <v>1284.4127431294391</v>
      </c>
      <c r="Q40" s="3547">
        <f t="shared" ref="Q40:R40" si="240">+Q26/Q$5*1000</f>
        <v>1299.0868257334582</v>
      </c>
      <c r="R40" s="3547">
        <f t="shared" si="240"/>
        <v>1298.928404375999</v>
      </c>
      <c r="S40" s="151">
        <v>1299.1293313123481</v>
      </c>
      <c r="T40" s="238">
        <f>+T26/T$5*1000</f>
        <v>1259.0293043620443</v>
      </c>
      <c r="U40" s="3547">
        <f t="shared" ref="U40:V40" si="241">+U26/U$5*1000</f>
        <v>1299.0976473940118</v>
      </c>
      <c r="V40" s="3547">
        <f t="shared" si="241"/>
        <v>1288.4778428932159</v>
      </c>
      <c r="W40" s="151">
        <v>1299.1293313123481</v>
      </c>
      <c r="X40" s="238">
        <f>+X26/X$5*1000</f>
        <v>1283.6513860526252</v>
      </c>
      <c r="Y40" s="3549">
        <f t="shared" ref="Y40:AB43" si="242">+Y26/Y$5*1000</f>
        <v>1299.1293313123483</v>
      </c>
      <c r="Z40" s="3549">
        <f t="shared" si="242"/>
        <v>1275.3331680847</v>
      </c>
      <c r="AA40" s="1134">
        <f t="shared" si="242"/>
        <v>1299.1039358699725</v>
      </c>
      <c r="AB40" s="1134">
        <f t="shared" si="242"/>
        <v>1287.5020453535071</v>
      </c>
      <c r="AC40" s="151">
        <v>1299.1293313123481</v>
      </c>
      <c r="AD40" s="238">
        <f>+AD26/AD$5*1000</f>
        <v>1286.5481491669962</v>
      </c>
      <c r="AE40" s="3547">
        <f t="shared" ref="AE40:AF40" si="243">+AE26/AE$5*1000</f>
        <v>1299.1082598115065</v>
      </c>
      <c r="AF40" s="3547">
        <f t="shared" si="243"/>
        <v>1287.3295095329122</v>
      </c>
      <c r="AG40" s="151">
        <v>1299.1293313123481</v>
      </c>
      <c r="AH40" s="238">
        <f>+AH26/AH$5*1000</f>
        <v>1335.3943357856042</v>
      </c>
      <c r="AI40" s="3547">
        <f t="shared" ref="AI40:AJ40" si="244">+AI26/AI$5*1000</f>
        <v>1299.1112392491666</v>
      </c>
      <c r="AJ40" s="3547">
        <f t="shared" si="244"/>
        <v>1293.9929226870324</v>
      </c>
      <c r="AK40" s="151">
        <v>1299.1293313123481</v>
      </c>
      <c r="AL40" s="238">
        <f>+AL26/AL$5*1000</f>
        <v>1390.9016699521505</v>
      </c>
      <c r="AM40" s="3549">
        <f t="shared" ref="AM40:AP40" si="245">+AM26/AM$5*1000</f>
        <v>1299.1293313123483</v>
      </c>
      <c r="AN40" s="3549">
        <f t="shared" si="245"/>
        <v>1337.5130788071829</v>
      </c>
      <c r="AO40" s="3547">
        <f t="shared" si="245"/>
        <v>1299.1135467840013</v>
      </c>
      <c r="AP40" s="3547">
        <f t="shared" si="245"/>
        <v>1306.9419046793525</v>
      </c>
      <c r="AQ40" s="151">
        <v>1299.1293313123481</v>
      </c>
      <c r="AR40" s="3872">
        <f>+AR26/AR$5*1000</f>
        <v>1353.5602015166914</v>
      </c>
      <c r="AS40" s="3874">
        <f t="shared" ref="AS40:AT40" si="246">+AS26/AS$5*1000</f>
        <v>1299.1153322774696</v>
      </c>
      <c r="AT40" s="3874">
        <f t="shared" si="246"/>
        <v>1312.5378331747929</v>
      </c>
      <c r="AU40" s="151">
        <v>1299.1293313123481</v>
      </c>
      <c r="AV40" s="3989">
        <f>+AV26/AV$5*1000</f>
        <v>1378.2557078233738</v>
      </c>
      <c r="AW40" s="3991">
        <f t="shared" ref="AW40:AX40" si="247">+AW26/AW$5*1000</f>
        <v>1299.1166076719035</v>
      </c>
      <c r="AX40" s="3991">
        <f t="shared" si="247"/>
        <v>1318.9077018416356</v>
      </c>
      <c r="AY40" s="151">
        <v>1299.1293313123481</v>
      </c>
      <c r="AZ40" s="4223">
        <f>+AZ26/AZ$5*1000</f>
        <v>1417.7736361339319</v>
      </c>
      <c r="BA40" s="4225">
        <f t="shared" ref="BA40:BD40" si="248">+BA26/BA$5*1000</f>
        <v>1299.1293313123481</v>
      </c>
      <c r="BB40" s="4225">
        <f t="shared" si="248"/>
        <v>1383.5150779177607</v>
      </c>
      <c r="BC40" s="4227">
        <f t="shared" si="248"/>
        <v>1299.1293313123481</v>
      </c>
      <c r="BD40" s="4227">
        <f t="shared" si="248"/>
        <v>1360.7388584695539</v>
      </c>
      <c r="BE40" s="4226">
        <f t="shared" ref="BE40:BF40" si="249">+BE26/BE$5*1000</f>
        <v>1299.1177938508549</v>
      </c>
      <c r="BF40" s="4226">
        <f t="shared" si="249"/>
        <v>1328.6783127804022</v>
      </c>
    </row>
    <row r="41" spans="1:73" x14ac:dyDescent="0.25">
      <c r="A41" s="332" t="s">
        <v>515</v>
      </c>
      <c r="B41" s="1993" t="s">
        <v>271</v>
      </c>
      <c r="C41" s="3573" t="s">
        <v>273</v>
      </c>
      <c r="D41" s="39">
        <v>366.42</v>
      </c>
      <c r="E41" s="39">
        <v>366.42</v>
      </c>
      <c r="F41" s="238">
        <f>+F27/F$5*1000</f>
        <v>380.5399990893776</v>
      </c>
      <c r="G41" s="39">
        <v>366.42</v>
      </c>
      <c r="H41" s="238">
        <f>+H27/H$5*1000</f>
        <v>394.65354036954921</v>
      </c>
      <c r="I41" s="3547">
        <f t="shared" si="238"/>
        <v>366.41999999999996</v>
      </c>
      <c r="J41" s="3547">
        <f t="shared" si="238"/>
        <v>387.38672253021349</v>
      </c>
      <c r="K41" s="39">
        <v>366.42</v>
      </c>
      <c r="L41" s="238">
        <f>+L27/L$5*1000</f>
        <v>373.0024113619121</v>
      </c>
      <c r="M41" s="3549">
        <f t="shared" si="239"/>
        <v>366.41999999999996</v>
      </c>
      <c r="N41" s="3549">
        <f t="shared" si="239"/>
        <v>380.30315649997402</v>
      </c>
      <c r="O41" s="39">
        <v>366.42109344707256</v>
      </c>
      <c r="P41" s="238">
        <f>+P27/P$5*1000</f>
        <v>404.44650902588387</v>
      </c>
      <c r="Q41" s="3547">
        <f t="shared" ref="Q41:R41" si="250">+Q27/Q$5*1000</f>
        <v>366.42037346747736</v>
      </c>
      <c r="R41" s="3547">
        <f t="shared" si="250"/>
        <v>388.09391564367786</v>
      </c>
      <c r="S41" s="39">
        <v>366.42109344707256</v>
      </c>
      <c r="T41" s="238">
        <f>+T27/T$5*1000</f>
        <v>371.60946896063081</v>
      </c>
      <c r="U41" s="3547">
        <f t="shared" ref="U41:V41" si="251">+U27/U$5*1000</f>
        <v>366.4205567698811</v>
      </c>
      <c r="V41" s="3547">
        <f t="shared" si="251"/>
        <v>383.77623119689611</v>
      </c>
      <c r="W41" s="39">
        <v>366.42109344707256</v>
      </c>
      <c r="X41" s="238">
        <f>+X27/X$5*1000</f>
        <v>410.05093538013756</v>
      </c>
      <c r="Y41" s="3549">
        <f t="shared" si="242"/>
        <v>366.42109344707262</v>
      </c>
      <c r="Z41" s="3549">
        <f t="shared" si="242"/>
        <v>394.91686783319574</v>
      </c>
      <c r="AA41" s="1134">
        <f t="shared" si="242"/>
        <v>366.42066328706062</v>
      </c>
      <c r="AB41" s="1134">
        <f t="shared" si="242"/>
        <v>389.08836648482787</v>
      </c>
      <c r="AC41" s="39">
        <v>366.42109344707256</v>
      </c>
      <c r="AD41" s="238">
        <f>+AD27/AD$5*1000</f>
        <v>503.00878565411</v>
      </c>
      <c r="AE41" s="3547">
        <f t="shared" ref="AE41:AF41" si="252">+AE27/AE$5*1000</f>
        <v>366.42073652802702</v>
      </c>
      <c r="AF41" s="3547">
        <f t="shared" si="252"/>
        <v>409.69370413250942</v>
      </c>
      <c r="AG41" s="39">
        <v>366.42109344707256</v>
      </c>
      <c r="AH41" s="238">
        <f>+AH27/AH$5*1000</f>
        <v>461.17506122626429</v>
      </c>
      <c r="AI41" s="3547">
        <f t="shared" ref="AI41:AJ41" si="253">+AI27/AI$5*1000</f>
        <v>366.42078699515099</v>
      </c>
      <c r="AJ41" s="3547">
        <f t="shared" si="253"/>
        <v>416.83076419899135</v>
      </c>
      <c r="AK41" s="39">
        <v>366.42109344707256</v>
      </c>
      <c r="AL41" s="238">
        <f>+AL27/AL$5*1000</f>
        <v>398.83893602424604</v>
      </c>
      <c r="AM41" s="3549">
        <f t="shared" ref="AM41:AP41" si="254">+AM27/AM$5*1000</f>
        <v>366.42109344707256</v>
      </c>
      <c r="AN41" s="3549">
        <f t="shared" si="254"/>
        <v>454.27380342907293</v>
      </c>
      <c r="AO41" s="3547">
        <f t="shared" si="254"/>
        <v>366.42082608126725</v>
      </c>
      <c r="AP41" s="3547">
        <f t="shared" si="254"/>
        <v>414.42668958634226</v>
      </c>
      <c r="AQ41" s="39">
        <v>366.42109344707256</v>
      </c>
      <c r="AR41" s="3872">
        <f>+AR27/AR$5*1000</f>
        <v>382.9165156071233</v>
      </c>
      <c r="AS41" s="3874">
        <f t="shared" ref="AS41:AT41" si="255">+AS27/AS$5*1000</f>
        <v>366.4208563247999</v>
      </c>
      <c r="AT41" s="3874">
        <f t="shared" si="255"/>
        <v>410.64429742641755</v>
      </c>
      <c r="AU41" s="39">
        <v>366.42109344707256</v>
      </c>
      <c r="AV41" s="3989">
        <f>+AV27/AV$5*1000</f>
        <v>417.8828230168055</v>
      </c>
      <c r="AW41" s="3991">
        <f t="shared" ref="AW41:AX41" si="256">+AW27/AW$5*1000</f>
        <v>366.42087792803397</v>
      </c>
      <c r="AX41" s="3991">
        <f t="shared" si="256"/>
        <v>411.34590954639117</v>
      </c>
      <c r="AY41" s="39">
        <v>366.42109344707256</v>
      </c>
      <c r="AZ41" s="4223">
        <f>+AZ27/AZ$5*1000</f>
        <v>417.64341399448659</v>
      </c>
      <c r="BA41" s="4225">
        <f t="shared" ref="BA41:BD41" si="257">+BA27/BA$5*1000</f>
        <v>366.42109344707256</v>
      </c>
      <c r="BB41" s="4225">
        <f t="shared" si="257"/>
        <v>405.76615933434539</v>
      </c>
      <c r="BC41" s="4227">
        <f t="shared" si="257"/>
        <v>366.42109344707256</v>
      </c>
      <c r="BD41" s="4227">
        <f t="shared" si="257"/>
        <v>429.78295791219199</v>
      </c>
      <c r="BE41" s="4226">
        <f t="shared" ref="BE41:BF41" si="258">+BE27/BE$5*1000</f>
        <v>366.42089802009394</v>
      </c>
      <c r="BF41" s="4226">
        <f t="shared" si="258"/>
        <v>411.9682722063705</v>
      </c>
    </row>
    <row r="42" spans="1:73" x14ac:dyDescent="0.25">
      <c r="A42" s="332" t="s">
        <v>515</v>
      </c>
      <c r="B42" s="1993" t="s">
        <v>272</v>
      </c>
      <c r="C42" s="3573" t="s">
        <v>273</v>
      </c>
      <c r="D42" s="39">
        <v>12</v>
      </c>
      <c r="E42" s="39">
        <v>12</v>
      </c>
      <c r="F42" s="238">
        <f>+F28/F$5*1000</f>
        <v>17.9210490370168</v>
      </c>
      <c r="G42" s="39">
        <f>+E42</f>
        <v>12</v>
      </c>
      <c r="H42" s="238">
        <f>+H28/H$5*1000</f>
        <v>10.135637973993539</v>
      </c>
      <c r="I42" s="3547">
        <f t="shared" si="238"/>
        <v>12</v>
      </c>
      <c r="J42" s="3547">
        <f t="shared" si="238"/>
        <v>14.144211221221145</v>
      </c>
      <c r="K42" s="2045">
        <v>12</v>
      </c>
      <c r="L42" s="238">
        <f>+L28/L$5*1000</f>
        <v>0.40108825391302672</v>
      </c>
      <c r="M42" s="3549">
        <f t="shared" si="239"/>
        <v>12.000000000000002</v>
      </c>
      <c r="N42" s="3549">
        <f t="shared" si="239"/>
        <v>7.376398855262476</v>
      </c>
      <c r="O42" s="2045">
        <v>12</v>
      </c>
      <c r="P42" s="238">
        <f>+P28/P$5*1000</f>
        <v>8.4914236621012773E-2</v>
      </c>
      <c r="Q42" s="3547">
        <f t="shared" ref="Q42:R42" si="259">+Q28/Q$5*1000</f>
        <v>12</v>
      </c>
      <c r="R42" s="3547">
        <f t="shared" si="259"/>
        <v>5.0235275875752681</v>
      </c>
      <c r="S42" s="2045">
        <v>12</v>
      </c>
      <c r="T42" s="238">
        <f>+T28/T$5*1000</f>
        <v>0.17259233690024162</v>
      </c>
      <c r="U42" s="3547">
        <f t="shared" ref="U42:V42" si="260">+U28/U$5*1000</f>
        <v>12</v>
      </c>
      <c r="V42" s="3547">
        <f t="shared" si="260"/>
        <v>3.7529476229031755</v>
      </c>
      <c r="W42" s="2045">
        <v>12</v>
      </c>
      <c r="X42" s="238">
        <f>+X28/X$5*1000</f>
        <v>0.1643076778630613</v>
      </c>
      <c r="Y42" s="3549">
        <f t="shared" si="242"/>
        <v>12</v>
      </c>
      <c r="Z42" s="3549">
        <f t="shared" si="242"/>
        <v>0.14209277395092118</v>
      </c>
      <c r="AA42" s="1134">
        <f t="shared" si="242"/>
        <v>12</v>
      </c>
      <c r="AB42" s="1134">
        <f t="shared" si="242"/>
        <v>3.0274079268220917</v>
      </c>
      <c r="AC42" s="2045">
        <v>12</v>
      </c>
      <c r="AD42" s="238">
        <f>+AD28/AD$5*1000</f>
        <v>7.01476883929646</v>
      </c>
      <c r="AE42" s="3547">
        <f t="shared" ref="AE42:AF42" si="261">+AE28/AE$5*1000</f>
        <v>12</v>
      </c>
      <c r="AF42" s="3547">
        <f t="shared" si="261"/>
        <v>3.7486211959078863</v>
      </c>
      <c r="AG42" s="2045">
        <v>12</v>
      </c>
      <c r="AH42" s="238">
        <f>+AH28/AH$5*1000</f>
        <v>0.26567609736304398</v>
      </c>
      <c r="AI42" s="3547">
        <f t="shared" ref="AI42:AJ42" si="262">+AI28/AI$5*1000</f>
        <v>12.000000000000002</v>
      </c>
      <c r="AJ42" s="3547">
        <f t="shared" si="262"/>
        <v>3.2657670176214939</v>
      </c>
      <c r="AK42" s="2045">
        <v>12</v>
      </c>
      <c r="AL42" s="238">
        <f>+AL28/AL$5*1000</f>
        <v>2.2361553758912054</v>
      </c>
      <c r="AM42" s="3549">
        <f t="shared" ref="AM42:AP42" si="263">+AM28/AM$5*1000</f>
        <v>12</v>
      </c>
      <c r="AN42" s="3549">
        <f t="shared" si="263"/>
        <v>3.2866799905071367</v>
      </c>
      <c r="AO42" s="3547">
        <f t="shared" si="263"/>
        <v>12</v>
      </c>
      <c r="AP42" s="3547">
        <f t="shared" si="263"/>
        <v>3.1281899362526211</v>
      </c>
      <c r="AQ42" s="2045">
        <v>12</v>
      </c>
      <c r="AR42" s="3872">
        <f>+AR28/AR$5*1000</f>
        <v>0.44097194162906128</v>
      </c>
      <c r="AS42" s="3874">
        <f t="shared" ref="AS42:AT42" si="264">+AS28/AS$5*1000</f>
        <v>12</v>
      </c>
      <c r="AT42" s="3874">
        <f t="shared" si="264"/>
        <v>2.805623888804706</v>
      </c>
      <c r="AU42" s="2045">
        <v>12</v>
      </c>
      <c r="AV42" s="3989">
        <f>+AV28/AV$5*1000</f>
        <v>0</v>
      </c>
      <c r="AW42" s="3991">
        <f t="shared" ref="AW42:AX42" si="265">+AW28/AW$5*1000</f>
        <v>11.999999999999998</v>
      </c>
      <c r="AX42" s="3991">
        <f t="shared" si="265"/>
        <v>2.5336818061398554</v>
      </c>
      <c r="AY42" s="2045">
        <v>12</v>
      </c>
      <c r="AZ42" s="4223">
        <f>+AZ28/AZ$5*1000</f>
        <v>0.25830852481195482</v>
      </c>
      <c r="BA42" s="4225">
        <f t="shared" ref="BA42:BD42" si="266">+BA28/BA$5*1000</f>
        <v>12</v>
      </c>
      <c r="BB42" s="4225">
        <f t="shared" si="266"/>
        <v>0.24168579353868139</v>
      </c>
      <c r="BC42" s="4227">
        <f t="shared" si="266"/>
        <v>11.999999999999998</v>
      </c>
      <c r="BD42" s="4227">
        <f t="shared" si="266"/>
        <v>1.7493041012118062</v>
      </c>
      <c r="BE42" s="4226">
        <f t="shared" ref="BE42:BF42" si="267">+BE28/BE$5*1000</f>
        <v>11.999999999999998</v>
      </c>
      <c r="BF42" s="4226">
        <f t="shared" si="267"/>
        <v>2.3088137842933003</v>
      </c>
    </row>
    <row r="43" spans="1:73" x14ac:dyDescent="0.25">
      <c r="A43" s="332" t="s">
        <v>515</v>
      </c>
      <c r="B43" s="1993" t="s">
        <v>6</v>
      </c>
      <c r="C43" s="3573" t="s">
        <v>273</v>
      </c>
      <c r="D43" s="2045">
        <v>24</v>
      </c>
      <c r="E43" s="2045">
        <v>24</v>
      </c>
      <c r="F43" s="238">
        <f>+F29/F$5*1000</f>
        <v>32.882575240176664</v>
      </c>
      <c r="G43" s="39">
        <f>+E43</f>
        <v>24</v>
      </c>
      <c r="H43" s="238">
        <f>+H29/H$5*1000</f>
        <v>38.224412515729711</v>
      </c>
      <c r="I43" s="3547">
        <f t="shared" si="238"/>
        <v>24</v>
      </c>
      <c r="J43" s="3547">
        <f t="shared" si="238"/>
        <v>35.473993068319068</v>
      </c>
      <c r="K43" s="2045">
        <v>24</v>
      </c>
      <c r="L43" s="238">
        <f>+L29/L$5*1000</f>
        <v>10.96468973648985</v>
      </c>
      <c r="M43" s="3549">
        <f t="shared" si="239"/>
        <v>24.000000000000004</v>
      </c>
      <c r="N43" s="3549">
        <f t="shared" si="239"/>
        <v>23.40436620368542</v>
      </c>
      <c r="O43" s="2045">
        <v>24</v>
      </c>
      <c r="P43" s="238">
        <f>+P29/P$5*1000</f>
        <v>17.347479046163375</v>
      </c>
      <c r="Q43" s="3547">
        <f t="shared" ref="Q43:R43" si="268">+Q29/Q$5*1000</f>
        <v>24</v>
      </c>
      <c r="R43" s="3547">
        <f t="shared" si="268"/>
        <v>21.449884159230049</v>
      </c>
      <c r="S43" s="2045">
        <v>24</v>
      </c>
      <c r="T43" s="238">
        <f>+T29/T$5*1000</f>
        <v>13.589375579092708</v>
      </c>
      <c r="U43" s="3547">
        <f t="shared" ref="U43:V43" si="269">+U29/U$5*1000</f>
        <v>24</v>
      </c>
      <c r="V43" s="3547">
        <f t="shared" si="269"/>
        <v>19.391022476286373</v>
      </c>
      <c r="W43" s="2045">
        <v>24</v>
      </c>
      <c r="X43" s="238">
        <f>+X29/X$5*1000</f>
        <v>13.548341666079853</v>
      </c>
      <c r="Y43" s="3549">
        <f t="shared" si="242"/>
        <v>24</v>
      </c>
      <c r="Z43" s="3549">
        <f t="shared" si="242"/>
        <v>14.763439213500709</v>
      </c>
      <c r="AA43" s="1134">
        <f t="shared" si="242"/>
        <v>24</v>
      </c>
      <c r="AB43" s="1134">
        <f t="shared" si="242"/>
        <v>18.209768038878988</v>
      </c>
      <c r="AC43" s="2045">
        <v>24</v>
      </c>
      <c r="AD43" s="238">
        <f>+AD29/AD$5*1000</f>
        <v>0.61465192648247169</v>
      </c>
      <c r="AE43" s="3547">
        <f t="shared" ref="AE43:AF43" si="270">+AE29/AE$5*1000</f>
        <v>24</v>
      </c>
      <c r="AF43" s="3547">
        <f t="shared" si="270"/>
        <v>15.027254218355299</v>
      </c>
      <c r="AG43" s="2045">
        <v>24</v>
      </c>
      <c r="AH43" s="238">
        <f>+AH29/AH$5*1000</f>
        <v>7.7625725174983939</v>
      </c>
      <c r="AI43" s="3547">
        <f t="shared" ref="AI43:AJ43" si="271">+AI29/AI$5*1000</f>
        <v>24.000000000000004</v>
      </c>
      <c r="AJ43" s="3547">
        <f t="shared" si="271"/>
        <v>14.020123237552591</v>
      </c>
      <c r="AK43" s="2045">
        <v>24</v>
      </c>
      <c r="AL43" s="238">
        <f>+AL29/AL$5*1000</f>
        <v>3.5300860594166021</v>
      </c>
      <c r="AM43" s="3549">
        <f t="shared" ref="AM43:AP43" si="272">+AM29/AM$5*1000</f>
        <v>24</v>
      </c>
      <c r="AN43" s="3549">
        <f t="shared" si="272"/>
        <v>3.8255044576157093</v>
      </c>
      <c r="AO43" s="3547">
        <f t="shared" si="272"/>
        <v>24</v>
      </c>
      <c r="AP43" s="3547">
        <f t="shared" si="272"/>
        <v>12.618440661398344</v>
      </c>
      <c r="AQ43" s="2045">
        <v>24</v>
      </c>
      <c r="AR43" s="3872">
        <f>+AR29/AR$5*1000</f>
        <v>2.5909046134477727</v>
      </c>
      <c r="AS43" s="3874">
        <f t="shared" ref="AS43:AT43" si="273">+AS29/AS$5*1000</f>
        <v>24</v>
      </c>
      <c r="AT43" s="3874">
        <f t="shared" si="273"/>
        <v>11.414763596455938</v>
      </c>
      <c r="AU43" s="2045">
        <v>24</v>
      </c>
      <c r="AV43" s="3989">
        <f>+AV29/AV$5*1000</f>
        <v>1.6438668309319837</v>
      </c>
      <c r="AW43" s="3991">
        <f t="shared" ref="AW43:AX43" si="274">+AW29/AW$5*1000</f>
        <v>23.999999999999996</v>
      </c>
      <c r="AX43" s="3991">
        <f t="shared" si="274"/>
        <v>10.467695093609727</v>
      </c>
      <c r="AY43" s="2045">
        <v>24</v>
      </c>
      <c r="AZ43" s="4223">
        <f>+AZ29/AZ$5*1000</f>
        <v>2.1651299467617049</v>
      </c>
      <c r="BA43" s="4225">
        <f t="shared" ref="BA43:BD43" si="275">+BA29/BA$5*1000</f>
        <v>24</v>
      </c>
      <c r="BB43" s="4225">
        <f t="shared" si="275"/>
        <v>2.1512573677062288</v>
      </c>
      <c r="BC43" s="4227">
        <f t="shared" si="275"/>
        <v>23.999999999999996</v>
      </c>
      <c r="BD43" s="4227">
        <f t="shared" si="275"/>
        <v>2.980200019494847</v>
      </c>
      <c r="BE43" s="4226">
        <f t="shared" ref="BE43:BF43" si="276">+BE29/BE$5*1000</f>
        <v>23.999999999999996</v>
      </c>
      <c r="BF43" s="4226">
        <f t="shared" si="276"/>
        <v>9.6471785585230947</v>
      </c>
      <c r="BI43" s="713"/>
    </row>
    <row r="44" spans="1:73" s="334" customFormat="1" ht="15.75" x14ac:dyDescent="0.25">
      <c r="A44" s="333" t="s">
        <v>515</v>
      </c>
      <c r="B44" s="2496" t="s">
        <v>50</v>
      </c>
      <c r="C44" s="2497"/>
      <c r="D44" s="1823"/>
      <c r="E44" s="1823"/>
      <c r="F44" s="1823"/>
      <c r="G44" s="1823"/>
      <c r="H44" s="1823"/>
      <c r="I44" s="1823"/>
      <c r="J44" s="1823"/>
      <c r="K44" s="1823"/>
      <c r="L44" s="1823"/>
      <c r="M44" s="1823"/>
      <c r="N44" s="1823"/>
      <c r="O44" s="1823"/>
      <c r="P44" s="1823"/>
      <c r="Q44" s="1823"/>
      <c r="R44" s="1823"/>
      <c r="S44" s="1823"/>
      <c r="T44" s="1823"/>
      <c r="U44" s="1823"/>
      <c r="V44" s="1823"/>
      <c r="W44" s="1823"/>
      <c r="X44" s="1823"/>
      <c r="Y44" s="1823"/>
      <c r="Z44" s="1823"/>
      <c r="AA44" s="1823"/>
      <c r="AB44" s="1823"/>
      <c r="AC44" s="1823"/>
      <c r="AD44" s="1823"/>
      <c r="AE44" s="1823"/>
      <c r="AF44" s="1823"/>
      <c r="AG44" s="1823"/>
      <c r="AH44" s="1823"/>
      <c r="AI44" s="1823"/>
      <c r="AJ44" s="1823"/>
      <c r="AK44" s="1823"/>
      <c r="AL44" s="1823"/>
      <c r="AM44" s="1823"/>
      <c r="AN44" s="1823"/>
      <c r="AO44" s="1823"/>
      <c r="AP44" s="1823"/>
      <c r="AQ44" s="1823"/>
      <c r="AR44" s="1823"/>
      <c r="AS44" s="1823"/>
      <c r="AT44" s="1823"/>
      <c r="AU44" s="1823"/>
      <c r="AV44" s="1823"/>
      <c r="AW44" s="1823"/>
      <c r="AX44" s="1823"/>
      <c r="AY44" s="1823"/>
      <c r="AZ44" s="1823"/>
      <c r="BA44" s="1823"/>
      <c r="BB44" s="1823"/>
      <c r="BC44" s="1823"/>
      <c r="BD44" s="1823"/>
      <c r="BE44" s="1823"/>
      <c r="BF44" s="1823"/>
      <c r="BG44" s="1792"/>
      <c r="BH44" s="1517"/>
      <c r="BI44" s="1517"/>
      <c r="BJ44" s="1517"/>
      <c r="BK44" s="1517"/>
      <c r="BL44" s="1517"/>
      <c r="BM44" s="1517"/>
      <c r="BN44" s="1517"/>
      <c r="BO44" s="1517"/>
      <c r="BP44" s="1517"/>
      <c r="BQ44" s="1517"/>
      <c r="BR44" s="1517"/>
      <c r="BS44" s="1517"/>
      <c r="BT44" s="1517"/>
      <c r="BU44" s="1517"/>
    </row>
    <row r="45" spans="1:73" x14ac:dyDescent="0.25">
      <c r="A45" s="332" t="s">
        <v>515</v>
      </c>
      <c r="B45" s="3571" t="s">
        <v>293</v>
      </c>
      <c r="C45" s="3558" t="s">
        <v>274</v>
      </c>
      <c r="D45" s="2498">
        <f>+'Maj Techno Summ'!D14</f>
        <v>2.2268038942305983</v>
      </c>
      <c r="E45" s="2498">
        <f>+'Maj Techno Summ'!E14</f>
        <v>2.1120000000000001</v>
      </c>
      <c r="F45" s="1709">
        <v>1.9339999999999999</v>
      </c>
      <c r="G45" s="1709">
        <f>+'Maj Techno Summ'!G14</f>
        <v>1.448</v>
      </c>
      <c r="H45" s="1709">
        <f>+'Maj Techno Summ'!H14</f>
        <v>1.4319999999999999</v>
      </c>
      <c r="I45" s="1710">
        <f>+(I5/3551)/(E46+G46)</f>
        <v>1.6756973141647162</v>
      </c>
      <c r="J45" s="1710">
        <f>+(J5/3551)/(F46+H46)</f>
        <v>1.6529037498823971</v>
      </c>
      <c r="K45" s="1709">
        <f>+'Maj Techno Summ'!K14</f>
        <v>2.2679999999999998</v>
      </c>
      <c r="L45" s="1709">
        <f>+'Maj Techno Summ'!L14</f>
        <v>1.9430000000000001</v>
      </c>
      <c r="M45" s="1711">
        <f>+(M5/3551)/(I46+K46)</f>
        <v>1.9283622413970996</v>
      </c>
      <c r="N45" s="1711">
        <f>+(N5/3551)/(J46+L46)</f>
        <v>1.7840771651940746</v>
      </c>
      <c r="O45" s="1709">
        <f>+'Maj Techno Summ'!O14</f>
        <v>2.2683751056040551</v>
      </c>
      <c r="P45" s="1712">
        <f>+'Maj Techno Summ'!P14</f>
        <v>1.8779999999999999</v>
      </c>
      <c r="Q45" s="1710">
        <f>+(Q5/3551)/(M46+O46)</f>
        <v>2.0324135584063052</v>
      </c>
      <c r="R45" s="1710">
        <f>+(R5/3551)/(N46+P46)</f>
        <v>1.8133414144298954</v>
      </c>
      <c r="S45" s="1709">
        <f>+'Maj Techno Summ'!S14</f>
        <v>2.2683751056040551</v>
      </c>
      <c r="T45" s="1712">
        <f>+'Maj Techno Summ'!T14</f>
        <v>2.0579999999999998</v>
      </c>
      <c r="U45" s="1710">
        <f>+(U5/3551)/(Q46+S46)</f>
        <v>2.0877031106557449</v>
      </c>
      <c r="V45" s="1710">
        <f>+(V5/3551)/(R46+T46)</f>
        <v>1.8716200401382324</v>
      </c>
      <c r="W45" s="1709">
        <f>+'Maj Techno Summ'!W14</f>
        <v>2.2810475922275417</v>
      </c>
      <c r="X45" s="1712">
        <f>+'Maj Techno Summ'!X14</f>
        <v>2.0619999999999998</v>
      </c>
      <c r="Y45" s="872">
        <f>+(Y5/3551)/(O46+S46+W46)</f>
        <v>2.2725059161608825</v>
      </c>
      <c r="Z45" s="872">
        <f>+(Z5/3551)/(P46+T46+X46)</f>
        <v>1.9987512692271994</v>
      </c>
      <c r="AA45" s="1131">
        <f>+(AA5/3551)/(U46+W46)</f>
        <v>2.1234255404125526</v>
      </c>
      <c r="AB45" s="1186">
        <f>+(AB5/3551)/(V46+X46)</f>
        <v>1.9072212651661151</v>
      </c>
      <c r="AC45" s="1709">
        <f>+'Maj Techno Summ'!AC14</f>
        <v>2.2810475922275417</v>
      </c>
      <c r="AD45" s="1712">
        <f>+'Maj Techno Summ'!AD14</f>
        <v>2.113</v>
      </c>
      <c r="AE45" s="1710">
        <f>+(AE5/3551)/(AA46+AC46)</f>
        <v>2.1487059229633863</v>
      </c>
      <c r="AF45" s="1710">
        <f>+(AF5/3551)/(AB46+AD46)</f>
        <v>1.9414190875279593</v>
      </c>
      <c r="AG45" s="1709">
        <f>+'Maj Techno Summ'!AG14</f>
        <v>2.2810475922275417</v>
      </c>
      <c r="AH45" s="1712">
        <f>+'Maj Techno Summ'!AH14</f>
        <v>1.9430000000000001</v>
      </c>
      <c r="AI45" s="1710">
        <f>+(AI5/3551)/(AE46+AG46)</f>
        <v>2.1664787093145264</v>
      </c>
      <c r="AJ45" s="1710">
        <f>+(AJ5/3551)/(AF46+AH46)</f>
        <v>1.9416381019308571</v>
      </c>
      <c r="AK45" s="1709">
        <f>+'Maj Techno Summ'!AK14</f>
        <v>2.2810475922275417</v>
      </c>
      <c r="AL45" s="1712">
        <f>+'Maj Techno Summ'!AL14</f>
        <v>2.1091596779104935</v>
      </c>
      <c r="AM45" s="872">
        <f>+(AM5/3551)/(AC46+AG46+AK46)</f>
        <v>2.2810475922275422</v>
      </c>
      <c r="AN45" s="872">
        <f>+(AN5/3551)/(AD46+AH46+AL46)</f>
        <v>2.0561257089256699</v>
      </c>
      <c r="AO45" s="712">
        <f>+(AO5/3551)/(AI46+AK46)</f>
        <v>2.1804468307885272</v>
      </c>
      <c r="AP45" s="455">
        <f>+(AP5/3551)/(AJ46+AL46)</f>
        <v>1.9624655460631397</v>
      </c>
      <c r="AQ45" s="1709">
        <f>+'Maj Techno Summ'!AQ14</f>
        <v>2.2810475922275417</v>
      </c>
      <c r="AR45" s="1712">
        <f>+'Maj Techno Summ'!AR14</f>
        <v>2.1693866939371018</v>
      </c>
      <c r="AS45" s="1710">
        <f>+(AS5/3551)/(AO46+AQ46)</f>
        <v>2.1913791196096217</v>
      </c>
      <c r="AT45" s="1710">
        <f>+(AT5/3551)/(AP46+AR46)</f>
        <v>1.9851948851685839</v>
      </c>
      <c r="AU45" s="1709">
        <f>+'Maj Techno Summ'!AU14</f>
        <v>2.2808389105922653</v>
      </c>
      <c r="AV45" s="1712">
        <f>+'Maj Techno Summ'!AV14</f>
        <v>2.1848276292107922</v>
      </c>
      <c r="AW45" s="1710">
        <f>+(AW5/3551)/(AS46+AU46)</f>
        <v>2.1992378409065818</v>
      </c>
      <c r="AX45" s="1710">
        <f>+(AX5/3551)/(AT46+AV46)</f>
        <v>2.0029338458482204</v>
      </c>
      <c r="AY45" s="1709">
        <f>+'Maj Techno Summ'!AY14</f>
        <v>2.2810475922275417</v>
      </c>
      <c r="AZ45" s="1712">
        <f>+'Maj Techno Summ'!AZ14</f>
        <v>2.181</v>
      </c>
      <c r="BA45" s="872">
        <f>+(BA5/3551)/(AQ46+AU46+AY46)</f>
        <v>2.2809835156104623</v>
      </c>
      <c r="BB45" s="872">
        <f>+(BB5/3551)/(AR46+AV46+AZ46)</f>
        <v>2.1781614412197001</v>
      </c>
      <c r="BC45" s="1131">
        <f>+(BC5/3551)/(AM46+BA46)</f>
        <v>2.2810159971757211</v>
      </c>
      <c r="BD45" s="1186">
        <f>+(BD5/3551)/(AN46+BB46)</f>
        <v>2.1159809658027364</v>
      </c>
      <c r="BE45" s="1710">
        <f>+(BE5/3551)/(AW46+AY46)</f>
        <v>2.2066158005423167</v>
      </c>
      <c r="BF45" s="1710">
        <f>+(BF5/3551)/(AX46+AZ46)</f>
        <v>2.0192262714625757</v>
      </c>
    </row>
    <row r="46" spans="1:73" x14ac:dyDescent="0.25">
      <c r="A46" s="332" t="s">
        <v>515</v>
      </c>
      <c r="B46" s="3576" t="s">
        <v>486</v>
      </c>
      <c r="C46" s="3573" t="s">
        <v>275</v>
      </c>
      <c r="D46" s="39">
        <f>+D5/(D45*3551)</f>
        <v>335.13</v>
      </c>
      <c r="E46" s="118">
        <f>+E5/(E45*3551)</f>
        <v>13.600522260054785</v>
      </c>
      <c r="F46" s="230">
        <f>+F5/(F45*3551)</f>
        <v>15.990223124878232</v>
      </c>
      <c r="G46" s="230">
        <f>+G5/(G45*3551)</f>
        <v>26.060669237986033</v>
      </c>
      <c r="H46" s="230">
        <f>+H5/(H45*3551)</f>
        <v>20.347285916784791</v>
      </c>
      <c r="I46" s="687">
        <f>+E46+G46</f>
        <v>39.661191498040822</v>
      </c>
      <c r="J46" s="687">
        <f>+F46+H46</f>
        <v>36.337509041663026</v>
      </c>
      <c r="K46" s="230">
        <f>+K5/(K45*3551)</f>
        <v>29.50494110261312</v>
      </c>
      <c r="L46" s="230">
        <f>+L5/(L45*3551)</f>
        <v>29.992638696224546</v>
      </c>
      <c r="M46" s="3580">
        <f>+I46+K46</f>
        <v>69.166132600653938</v>
      </c>
      <c r="N46" s="3580">
        <f>+J46+L46</f>
        <v>66.330147737887572</v>
      </c>
      <c r="O46" s="3578">
        <f>+O5/(O45*3551)</f>
        <v>30.5</v>
      </c>
      <c r="P46" s="3577">
        <f>+P5/(P45*3551)</f>
        <v>30.020792415042159</v>
      </c>
      <c r="Q46" s="3579">
        <f>+M46+O46</f>
        <v>99.666132600653938</v>
      </c>
      <c r="R46" s="3579">
        <f>+N46+P46</f>
        <v>96.350940152929724</v>
      </c>
      <c r="S46" s="3578">
        <f>+S5/(S45*3551)</f>
        <v>30.5</v>
      </c>
      <c r="T46" s="3577">
        <f>+T5/(T45*3551)</f>
        <v>30.12770462008676</v>
      </c>
      <c r="U46" s="3579">
        <f>+Q46+S46</f>
        <v>130.16613260065395</v>
      </c>
      <c r="V46" s="3579">
        <f>+R46+T46</f>
        <v>126.47864477301648</v>
      </c>
      <c r="W46" s="3578">
        <f>+W5/(W45*3551)</f>
        <v>29.499999999999996</v>
      </c>
      <c r="X46" s="3577">
        <f>+X5/(X45*3551)</f>
        <v>29.091817416768439</v>
      </c>
      <c r="Y46" s="162">
        <f t="shared" ref="Y46" si="277">+W46+S46+O46</f>
        <v>90.5</v>
      </c>
      <c r="Z46" s="163">
        <f t="shared" ref="Z46" si="278">+X46+T46+P46</f>
        <v>89.240314451897348</v>
      </c>
      <c r="AA46" s="2395">
        <f>+U46+W46</f>
        <v>159.66613260065395</v>
      </c>
      <c r="AB46" s="1132">
        <f>+V46+X46</f>
        <v>155.57046218978493</v>
      </c>
      <c r="AC46" s="3578">
        <f>+AC5/(AC45*3551)</f>
        <v>30.499999999999996</v>
      </c>
      <c r="AD46" s="3577">
        <f>+AD5/(AD45*3551)</f>
        <v>31.006776651704733</v>
      </c>
      <c r="AE46" s="3579">
        <f>+AA46+AC46</f>
        <v>190.16613260065395</v>
      </c>
      <c r="AF46" s="3579">
        <f>+AB46+AD46</f>
        <v>186.57723884148967</v>
      </c>
      <c r="AG46" s="3578">
        <f>+AG5/(AG45*3551)</f>
        <v>29.499999999999996</v>
      </c>
      <c r="AH46" s="3577">
        <f>+AH5/(AH45*3551)</f>
        <v>30.004523455224099</v>
      </c>
      <c r="AI46" s="3579">
        <f>+AE46+AG46</f>
        <v>219.66613260065395</v>
      </c>
      <c r="AJ46" s="3579">
        <f>+AF46+AH46</f>
        <v>216.58176229671378</v>
      </c>
      <c r="AK46" s="3578">
        <f>+AK5/(AK45*3551)</f>
        <v>30.499999999999996</v>
      </c>
      <c r="AL46" s="3577">
        <f>+AL5/(AL45*3551)</f>
        <v>30.75</v>
      </c>
      <c r="AM46" s="162">
        <f t="shared" ref="AM46" si="279">+AK46+AG46+AC46</f>
        <v>90.499999999999986</v>
      </c>
      <c r="AN46" s="163">
        <f t="shared" ref="AN46" si="280">+AL46+AH46+AD46</f>
        <v>91.761300106928843</v>
      </c>
      <c r="AO46" s="2394">
        <f>+AI46+AK46</f>
        <v>250.16613260065395</v>
      </c>
      <c r="AP46" s="224">
        <f>+AJ46+AL46</f>
        <v>247.33176229671378</v>
      </c>
      <c r="AQ46" s="3897">
        <f>+AQ5/(AQ45*3551)</f>
        <v>30.499999999999996</v>
      </c>
      <c r="AR46" s="3898">
        <f>+AR5/(AR45*3551)</f>
        <v>30.520833333333332</v>
      </c>
      <c r="AS46" s="3896">
        <f>+AO46+AQ46</f>
        <v>280.66613260065395</v>
      </c>
      <c r="AT46" s="3896">
        <f>+AP46+AR46</f>
        <v>277.85259563004712</v>
      </c>
      <c r="AU46" s="4025">
        <f>+AU5/(AU45*3551)</f>
        <v>27.029999999999998</v>
      </c>
      <c r="AV46" s="4024">
        <f>+AV5/(AV45*3551)</f>
        <v>27.097222222222229</v>
      </c>
      <c r="AW46" s="4023">
        <f>+AS46+AU46</f>
        <v>307.69613260065393</v>
      </c>
      <c r="AX46" s="4023">
        <f>+AT46+AV46</f>
        <v>304.94981785226935</v>
      </c>
      <c r="AY46" s="4447">
        <f>+AY5/(AY45*3551)</f>
        <v>30.499999999999996</v>
      </c>
      <c r="AZ46" s="4446">
        <f>+AZ5/(AZ45*3551)</f>
        <v>30.711860747648952</v>
      </c>
      <c r="BA46" s="162">
        <f t="shared" ref="BA46" si="281">+AY46+AU46+AQ46</f>
        <v>88.029999999999987</v>
      </c>
      <c r="BB46" s="163">
        <f t="shared" ref="BB46" si="282">+AZ46+AV46+AR46</f>
        <v>88.329916303204513</v>
      </c>
      <c r="BC46" s="2749">
        <f>+AM46+BA46</f>
        <v>178.52999999999997</v>
      </c>
      <c r="BD46" s="1118">
        <f>+AN46+BB46</f>
        <v>180.09121641013337</v>
      </c>
      <c r="BE46" s="4451">
        <f>+AW46+AY46</f>
        <v>338.19613260065393</v>
      </c>
      <c r="BF46" s="4451">
        <f>+AX46+AZ46</f>
        <v>335.66167859991828</v>
      </c>
      <c r="BH46" s="3987">
        <f>365-BF46</f>
        <v>29.338321400081725</v>
      </c>
    </row>
    <row r="47" spans="1:73" ht="15.75" thickBot="1" x14ac:dyDescent="0.3">
      <c r="A47" s="332" t="s">
        <v>515</v>
      </c>
      <c r="B47" s="3576" t="s">
        <v>276</v>
      </c>
      <c r="C47" s="3573" t="s">
        <v>52</v>
      </c>
      <c r="D47" s="118">
        <v>78</v>
      </c>
      <c r="E47" s="118">
        <v>78</v>
      </c>
      <c r="F47" s="230">
        <f t="shared" ref="F47" si="283">+(F40/(F40+F41))*100</f>
        <v>77.1662277202837</v>
      </c>
      <c r="G47" s="230">
        <f>+E47</f>
        <v>78</v>
      </c>
      <c r="H47" s="230">
        <f t="shared" ref="H47" si="284">+(H40/(H40+H41))*100</f>
        <v>77.021435838795654</v>
      </c>
      <c r="I47" s="687">
        <f t="shared" ref="I47:J47" si="285">+(I40/(I40+I41))*100</f>
        <v>78.000060040226941</v>
      </c>
      <c r="J47" s="687">
        <f t="shared" si="285"/>
        <v>77.09489782000486</v>
      </c>
      <c r="K47" s="230">
        <v>78</v>
      </c>
      <c r="L47" s="230">
        <f>+(L40/(L40+L41))*100</f>
        <v>77.80895484627726</v>
      </c>
      <c r="M47" s="869">
        <f t="shared" ref="M47:N47" si="286">+(M40/(M40+M41))*100</f>
        <v>77.999198491449391</v>
      </c>
      <c r="N47" s="869">
        <f t="shared" si="286"/>
        <v>77.445435074202209</v>
      </c>
      <c r="O47" s="230">
        <v>78</v>
      </c>
      <c r="P47" s="449">
        <f t="shared" ref="P47" si="287">+(P40/(P40+P41))*100</f>
        <v>76.052089094474326</v>
      </c>
      <c r="Q47" s="687">
        <f>+(Q40/(Q40+Q41))*100</f>
        <v>77.999472254261292</v>
      </c>
      <c r="R47" s="687">
        <f t="shared" ref="R47" si="288">+(R40/(R40+R41))*100</f>
        <v>76.995330112813718</v>
      </c>
      <c r="S47" s="230">
        <v>78</v>
      </c>
      <c r="T47" s="449">
        <f t="shared" ref="T47" si="289">+(T40/(T40+T41))*100</f>
        <v>77.210803824845897</v>
      </c>
      <c r="U47" s="687">
        <f>+(U40/(U40+U41))*100</f>
        <v>77.999606617699627</v>
      </c>
      <c r="V47" s="687">
        <f t="shared" ref="V47" si="290">+(V40/(V40+V41))*100</f>
        <v>77.0503635097608</v>
      </c>
      <c r="W47" s="230">
        <v>78</v>
      </c>
      <c r="X47" s="449">
        <f t="shared" ref="X47" si="291">+(X40/(X40+X41))*100</f>
        <v>75.789669164929705</v>
      </c>
      <c r="Y47" s="2499">
        <f t="shared" ref="Y47:Z47" si="292">+(Y40/(Y40+Y41))*100</f>
        <v>78</v>
      </c>
      <c r="Z47" s="406">
        <f t="shared" si="292"/>
        <v>76.355823419206402</v>
      </c>
      <c r="AA47" s="2500">
        <f>+(AA40/(AA40+AA41))*100</f>
        <v>77.999684695589849</v>
      </c>
      <c r="AB47" s="1187">
        <f t="shared" ref="AB47" si="293">+(AB40/(AB40+AB41))*100</f>
        <v>76.792878944225663</v>
      </c>
      <c r="AC47" s="230">
        <v>78</v>
      </c>
      <c r="AD47" s="449">
        <f t="shared" ref="AD47" si="294">+(AD40/(AD40+AD41))*100</f>
        <v>71.891993159502718</v>
      </c>
      <c r="AE47" s="687">
        <f>+(AE40/(AE40+AE41))*100</f>
        <v>77.999738381418808</v>
      </c>
      <c r="AF47" s="687">
        <f t="shared" ref="AF47" si="295">+(AF40/(AF40+AF41))*100</f>
        <v>75.858096646326544</v>
      </c>
      <c r="AG47" s="230">
        <v>78</v>
      </c>
      <c r="AH47" s="449">
        <f t="shared" ref="AH47" si="296">+(AH40/(AH40+AH41))*100</f>
        <v>74.330239511298018</v>
      </c>
      <c r="AI47" s="687">
        <f>+(AI40/(AI40+AI41))*100</f>
        <v>77.999775373793938</v>
      </c>
      <c r="AJ47" s="687">
        <f t="shared" ref="AJ47" si="297">+(AJ40/(AJ40+AJ41))*100</f>
        <v>75.635667930358679</v>
      </c>
      <c r="AK47" s="230">
        <v>78</v>
      </c>
      <c r="AL47" s="449">
        <f t="shared" ref="AL47" si="298">+(AL40/(AL40+AL41))*100</f>
        <v>77.715265849563792</v>
      </c>
      <c r="AM47" s="2499">
        <f t="shared" ref="AM47:AN47" si="299">+(AM40/(AM40+AM41))*100</f>
        <v>78</v>
      </c>
      <c r="AN47" s="406">
        <f t="shared" si="299"/>
        <v>74.646884184010077</v>
      </c>
      <c r="AO47" s="2759">
        <f>+(AO40/(AO40+AO41))*100</f>
        <v>77.999804023803932</v>
      </c>
      <c r="AP47" s="303">
        <f t="shared" ref="AP47" si="300">+(AP40/(AP40+AP41))*100</f>
        <v>75.924581698138311</v>
      </c>
      <c r="AQ47" s="230">
        <v>78</v>
      </c>
      <c r="AR47" s="449">
        <f t="shared" ref="AR47" si="301">+(AR40/(AR40+AR41))*100</f>
        <v>77.948652473650156</v>
      </c>
      <c r="AS47" s="687">
        <f>+(AS40/(AS40+AS41))*100</f>
        <v>77.999826192170403</v>
      </c>
      <c r="AT47" s="687">
        <f t="shared" ref="AT47" si="302">+(AT40/(AT40+AT41))*100</f>
        <v>76.169419927587938</v>
      </c>
      <c r="AU47" s="230">
        <v>78</v>
      </c>
      <c r="AV47" s="449">
        <f t="shared" ref="AV47" si="303">+(AV40/(AV40+AV41))*100</f>
        <v>76.734376784326727</v>
      </c>
      <c r="AW47" s="687">
        <f>+(AW40/(AW40+AW41))*100</f>
        <v>77.999842027209198</v>
      </c>
      <c r="AX47" s="687">
        <f t="shared" ref="AX47" si="304">+(AX40/(AX40+AX41))*100</f>
        <v>76.226264933704996</v>
      </c>
      <c r="AY47" s="230">
        <v>78</v>
      </c>
      <c r="AZ47" s="449">
        <f t="shared" ref="AZ47" si="305">+(AZ40/(AZ40+AZ41))*100</f>
        <v>77.245312504574088</v>
      </c>
      <c r="BA47" s="2499">
        <f t="shared" ref="BA47:BB47" si="306">+(BA40/(BA40+BA41))*100</f>
        <v>78</v>
      </c>
      <c r="BB47" s="406">
        <f t="shared" si="306"/>
        <v>77.322393434499872</v>
      </c>
      <c r="BC47" s="2500">
        <f>+(BC40/(BC40+BC41))*100</f>
        <v>78</v>
      </c>
      <c r="BD47" s="1187">
        <f t="shared" ref="BD47" si="307">+(BD40/(BD40+BD41))*100</f>
        <v>75.996776248128072</v>
      </c>
      <c r="BE47" s="687">
        <f>+(BE40/(BE40+BE41))*100</f>
        <v>77.999856754544524</v>
      </c>
      <c r="BF47" s="687">
        <f t="shared" ref="BF47" si="308">+(BF40/(BF40+BF41))*100</f>
        <v>76.332457389131577</v>
      </c>
    </row>
    <row r="48" spans="1:73" x14ac:dyDescent="0.25">
      <c r="B48" s="2491" t="s">
        <v>667</v>
      </c>
      <c r="C48" s="2261" t="s">
        <v>52</v>
      </c>
      <c r="D48" s="2501"/>
      <c r="E48" s="2501" t="s">
        <v>35</v>
      </c>
      <c r="F48" s="451">
        <v>0.86</v>
      </c>
      <c r="G48" s="2501" t="s">
        <v>35</v>
      </c>
      <c r="H48" s="201">
        <v>0.9</v>
      </c>
      <c r="I48" s="2502" t="s">
        <v>35</v>
      </c>
      <c r="J48" s="3579">
        <f>+((F48*F51)+(H48*H51))/J51</f>
        <v>0.88211443040939097</v>
      </c>
      <c r="K48" s="2501" t="s">
        <v>35</v>
      </c>
      <c r="L48" s="549">
        <v>1.57</v>
      </c>
      <c r="M48" s="2503" t="s">
        <v>35</v>
      </c>
      <c r="N48" s="3580">
        <f>+((J48*J51)+(L48*L51))/N51</f>
        <v>1.217489667794271</v>
      </c>
      <c r="O48" s="2501" t="s">
        <v>35</v>
      </c>
      <c r="P48" s="549">
        <v>1.56</v>
      </c>
      <c r="Q48" s="2502" t="s">
        <v>35</v>
      </c>
      <c r="R48" s="3579">
        <f>+((N48*N51)+(P48*P51))/R51</f>
        <v>1.3217531539240137</v>
      </c>
      <c r="S48" s="2501" t="s">
        <v>35</v>
      </c>
      <c r="T48" s="549">
        <v>1.22</v>
      </c>
      <c r="U48" s="2502" t="s">
        <v>35</v>
      </c>
      <c r="V48" s="3579">
        <f>+((R48*R51)+(T48*T51))/V51</f>
        <v>1.2945324956241928</v>
      </c>
      <c r="W48" s="2501" t="s">
        <v>35</v>
      </c>
      <c r="X48" s="549">
        <v>1.49</v>
      </c>
      <c r="Y48" s="2503" t="s">
        <v>35</v>
      </c>
      <c r="Z48" s="3580">
        <f>+((P48*P51)+(T48*T51)+(X48*X51))/Z51</f>
        <v>1.4129577032676748</v>
      </c>
      <c r="AA48" s="2504" t="s">
        <v>35</v>
      </c>
      <c r="AB48" s="3581">
        <f>+((V48*V51)+(X48*X51))/AB51</f>
        <v>1.332927994742483</v>
      </c>
      <c r="AC48" s="2501"/>
      <c r="AD48" s="549">
        <v>0.84</v>
      </c>
      <c r="AE48" s="2502" t="s">
        <v>35</v>
      </c>
      <c r="AF48" s="3579">
        <f>+((AB48*AB51)+(AD48*AD51))/AF51</f>
        <v>1.2553791709581752</v>
      </c>
      <c r="AG48" s="2501"/>
      <c r="AH48" s="549">
        <v>0.88166666666666649</v>
      </c>
      <c r="AI48" s="2502" t="s">
        <v>35</v>
      </c>
      <c r="AJ48" s="3579">
        <f>+((AF48*AF51)+(AH48*AH51))/AJ51</f>
        <v>1.2083715214778148</v>
      </c>
      <c r="AK48" s="2501"/>
      <c r="AL48" s="549">
        <v>0.84</v>
      </c>
      <c r="AM48" s="2503" t="s">
        <v>35</v>
      </c>
      <c r="AN48" s="3580">
        <f>+((AD48*AD51)+(AH48*AH51)+(AL48*AL51))/AN51</f>
        <v>0.85329774512336287</v>
      </c>
      <c r="AO48" s="2502" t="s">
        <v>35</v>
      </c>
      <c r="AP48" s="3579">
        <f>+((AJ48*AJ51)+(AL48*AL51))/AP51</f>
        <v>1.1657582699135463</v>
      </c>
      <c r="AQ48" s="2501"/>
      <c r="AR48" s="549">
        <v>0.81</v>
      </c>
      <c r="AS48" s="2502" t="s">
        <v>35</v>
      </c>
      <c r="AT48" s="3896">
        <f>+((AP48*AP51)+(AR48*AR51))/AT51</f>
        <v>1.1279714698175869</v>
      </c>
      <c r="AU48" s="2501"/>
      <c r="AV48" s="549">
        <v>0.87</v>
      </c>
      <c r="AW48" s="2502" t="s">
        <v>35</v>
      </c>
      <c r="AX48" s="4023">
        <f>+((AT48*AT51)+(AV48*AV51))/AX51</f>
        <v>1.1054351290955693</v>
      </c>
      <c r="AY48" s="2501"/>
      <c r="AZ48" s="549">
        <v>0.85</v>
      </c>
      <c r="BA48" s="2503" t="s">
        <v>35</v>
      </c>
      <c r="BB48" s="4271">
        <f>+((AR48*AR51)+(AV48*AV51)+(AZ48*AZ51))/BB51</f>
        <v>0.84297430542847607</v>
      </c>
      <c r="BC48" s="2504" t="s">
        <v>35</v>
      </c>
      <c r="BD48" s="4274">
        <f>+((AN48*AN51)+(BB48*BB51))/BD51</f>
        <v>0.84796995293688471</v>
      </c>
      <c r="BE48" s="2502" t="s">
        <v>35</v>
      </c>
      <c r="BF48" s="4273">
        <f>+((AX48*AX51)+(AZ48*AZ51))/BF51</f>
        <v>1.0782889856027877</v>
      </c>
    </row>
    <row r="49" spans="1:62" x14ac:dyDescent="0.25">
      <c r="B49" s="1993" t="s">
        <v>668</v>
      </c>
      <c r="C49" s="3573" t="s">
        <v>52</v>
      </c>
      <c r="D49" s="2045"/>
      <c r="E49" s="2045" t="s">
        <v>35</v>
      </c>
      <c r="F49" s="3577">
        <v>3.32</v>
      </c>
      <c r="G49" s="2045" t="s">
        <v>35</v>
      </c>
      <c r="H49" s="3577">
        <v>3.32</v>
      </c>
      <c r="I49" s="2358" t="s">
        <v>35</v>
      </c>
      <c r="J49" s="3579">
        <f>+((F49*F57)+(H49*H57))/J57</f>
        <v>3.3200000000000003</v>
      </c>
      <c r="K49" s="2045" t="s">
        <v>35</v>
      </c>
      <c r="L49" s="376">
        <v>4.1500000000000004</v>
      </c>
      <c r="M49" s="2483" t="s">
        <v>35</v>
      </c>
      <c r="N49" s="3580">
        <f>+((J49*J57)+(L49*L57))/N57</f>
        <v>3.6535404289028466</v>
      </c>
      <c r="O49" s="2045" t="s">
        <v>35</v>
      </c>
      <c r="P49" s="376">
        <v>6.31</v>
      </c>
      <c r="Q49" s="2358" t="s">
        <v>35</v>
      </c>
      <c r="R49" s="3579">
        <f>+((N49*N57)+(P49*P57))/R57</f>
        <v>4.4724482367215943</v>
      </c>
      <c r="S49" s="2045" t="s">
        <v>35</v>
      </c>
      <c r="T49" s="376">
        <v>4.41</v>
      </c>
      <c r="U49" s="2358" t="s">
        <v>35</v>
      </c>
      <c r="V49" s="3579">
        <f>+((R49*R57)+(T49*T57))/V57</f>
        <v>4.4593975045667049</v>
      </c>
      <c r="W49" s="2045" t="s">
        <v>35</v>
      </c>
      <c r="X49" s="376">
        <v>5.82</v>
      </c>
      <c r="Y49" s="2483" t="s">
        <v>35</v>
      </c>
      <c r="Z49" s="3580">
        <f>+((P49*P57)+(T49*T57)+(X49*X57))/Z57</f>
        <v>5.5127947444145837</v>
      </c>
      <c r="AA49" s="2359" t="s">
        <v>35</v>
      </c>
      <c r="AB49" s="3581">
        <f>+((V49*V57)+(X49*X57))/AB57</f>
        <v>4.602369810066083</v>
      </c>
      <c r="AC49" s="2045"/>
      <c r="AD49" s="376">
        <v>4.16</v>
      </c>
      <c r="AE49" s="2358" t="s">
        <v>35</v>
      </c>
      <c r="AF49" s="3579">
        <f>+((AB49*AB57)+(AD49*AD57))/AF57</f>
        <v>4.5427854565506669</v>
      </c>
      <c r="AG49" s="2045"/>
      <c r="AH49" s="376">
        <v>3.9599999999999995</v>
      </c>
      <c r="AI49" s="2358" t="s">
        <v>35</v>
      </c>
      <c r="AJ49" s="3579">
        <f>+((AF49*AF57)+(AH49*AH57))/AJ57</f>
        <v>4.4670387250863053</v>
      </c>
      <c r="AK49" s="2045"/>
      <c r="AL49" s="376">
        <v>3.46</v>
      </c>
      <c r="AM49" s="2483" t="s">
        <v>35</v>
      </c>
      <c r="AN49" s="3580">
        <f>+((AD49*AD57)+(AH49*AH57)+(AL49*AL57))/AN57</f>
        <v>3.8588173716225773</v>
      </c>
      <c r="AO49" s="2358" t="s">
        <v>35</v>
      </c>
      <c r="AP49" s="3579">
        <f>+((AJ49*AJ57)+(AL49*AL57))/AP57</f>
        <v>4.35796034521241</v>
      </c>
      <c r="AQ49" s="2045"/>
      <c r="AR49" s="376">
        <v>3.35</v>
      </c>
      <c r="AS49" s="2358" t="s">
        <v>35</v>
      </c>
      <c r="AT49" s="3896">
        <f>+((AP49*AP57)+(AR49*AR57))/AT57</f>
        <v>4.2707866924932887</v>
      </c>
      <c r="AU49" s="2045"/>
      <c r="AV49" s="376">
        <v>6.2</v>
      </c>
      <c r="AW49" s="2358" t="s">
        <v>35</v>
      </c>
      <c r="AX49" s="4023">
        <f>+((AT49*AT57)+(AV49*AV57))/AX57</f>
        <v>4.4287857231998</v>
      </c>
      <c r="AY49" s="2045"/>
      <c r="AZ49" s="376">
        <v>3.44</v>
      </c>
      <c r="BA49" s="2483" t="s">
        <v>35</v>
      </c>
      <c r="BB49" s="4271">
        <f>+((AR49*AR57)+(AV49*AV57)+(AZ49*AZ57))/BB57</f>
        <v>4.2796804500029912</v>
      </c>
      <c r="BC49" s="2359" t="s">
        <v>35</v>
      </c>
      <c r="BD49" s="4274">
        <f>+((AN49*AN57)+(BB49*BB57))/BD57</f>
        <v>4.0633644044381754</v>
      </c>
      <c r="BE49" s="2358" t="s">
        <v>35</v>
      </c>
      <c r="BF49" s="4273">
        <f>+((AX49*AX57)+(AZ49*AZ57))/BF57</f>
        <v>4.3393986520042569</v>
      </c>
      <c r="BH49" s="1433">
        <v>350</v>
      </c>
      <c r="BI49" s="1433">
        <f>2.7*1000000</f>
        <v>2700000</v>
      </c>
    </row>
    <row r="50" spans="1:62" ht="15.75" thickBot="1" x14ac:dyDescent="0.3">
      <c r="B50" s="2505" t="s">
        <v>669</v>
      </c>
      <c r="C50" s="2506" t="s">
        <v>52</v>
      </c>
      <c r="D50" s="2397"/>
      <c r="E50" s="2397" t="s">
        <v>35</v>
      </c>
      <c r="F50" s="452">
        <v>5.05</v>
      </c>
      <c r="G50" s="2507" t="s">
        <v>35</v>
      </c>
      <c r="H50" s="1500">
        <v>4.8600000000000003</v>
      </c>
      <c r="I50" s="3561" t="s">
        <v>35</v>
      </c>
      <c r="J50" s="3579">
        <f>+((F50*F59)+(H50*H59))/J59</f>
        <v>4.9265677514550372</v>
      </c>
      <c r="K50" s="2397" t="s">
        <v>35</v>
      </c>
      <c r="L50" s="915">
        <v>7.17</v>
      </c>
      <c r="M50" s="3564" t="s">
        <v>35</v>
      </c>
      <c r="N50" s="3580">
        <f>+((J50*J59)+(L50*L59))/N59</f>
        <v>5.9213058356526895</v>
      </c>
      <c r="O50" s="2507" t="s">
        <v>35</v>
      </c>
      <c r="P50" s="915">
        <v>7.98</v>
      </c>
      <c r="Q50" s="3561" t="s">
        <v>35</v>
      </c>
      <c r="R50" s="3579">
        <f>+((N50*N59)+(P50*P59))/R59</f>
        <v>6.3870467784642546</v>
      </c>
      <c r="S50" s="2507" t="s">
        <v>35</v>
      </c>
      <c r="T50" s="915">
        <v>0.81</v>
      </c>
      <c r="U50" s="3561" t="s">
        <v>35</v>
      </c>
      <c r="V50" s="3579">
        <f>+((R50*R59)+(T50*T59))/V59</f>
        <v>4.9974049039098745</v>
      </c>
      <c r="W50" s="2507" t="s">
        <v>35</v>
      </c>
      <c r="X50" s="915">
        <v>7.22</v>
      </c>
      <c r="Y50" s="3564" t="s">
        <v>35</v>
      </c>
      <c r="Z50" s="3580">
        <f>+((P50*P59)+(T50*T59)+(X50*X59))/Z59</f>
        <v>4.596413074372335</v>
      </c>
      <c r="AA50" s="2508" t="s">
        <v>35</v>
      </c>
      <c r="AB50" s="3581">
        <f>+((V50*V59)+(X50*X59))/AB59</f>
        <v>5.2712840774397476</v>
      </c>
      <c r="AC50" s="2507"/>
      <c r="AD50" s="915">
        <v>5.5</v>
      </c>
      <c r="AE50" s="3561" t="s">
        <v>35</v>
      </c>
      <c r="AF50" s="3579">
        <f>+((AB50*AB59)+(AD50*AD59))/AF59</f>
        <v>5.3024815848102289</v>
      </c>
      <c r="AG50" s="2507"/>
      <c r="AH50" s="915">
        <v>5.3500000000000005</v>
      </c>
      <c r="AI50" s="3561" t="s">
        <v>35</v>
      </c>
      <c r="AJ50" s="3579">
        <f>+((AF50*AF59)+(AH50*AH59))/AJ59</f>
        <v>5.3072828969922243</v>
      </c>
      <c r="AK50" s="2507"/>
      <c r="AL50" s="915">
        <v>5.5</v>
      </c>
      <c r="AM50" s="3564" t="s">
        <v>35</v>
      </c>
      <c r="AN50" s="3580">
        <f>+((AD50*AD59)+(AH50*AH59)+(AL50*AL59))/AN59</f>
        <v>5.4640733929258802</v>
      </c>
      <c r="AO50" s="3561" t="s">
        <v>35</v>
      </c>
      <c r="AP50" s="3579">
        <f>+((AJ50*AJ59)+(AL50*AL59))/AP59</f>
        <v>5.3391615468015905</v>
      </c>
      <c r="AQ50" s="2507"/>
      <c r="AR50" s="915">
        <v>4.87</v>
      </c>
      <c r="AS50" s="3890" t="s">
        <v>35</v>
      </c>
      <c r="AT50" s="3896">
        <f>+((AP50*AP59)+(AR50*AR59))/AT59</f>
        <v>5.2503789617619772</v>
      </c>
      <c r="AU50" s="2507"/>
      <c r="AV50" s="915">
        <v>5.12</v>
      </c>
      <c r="AW50" s="4017" t="s">
        <v>35</v>
      </c>
      <c r="AX50" s="4023">
        <f>+((AT50*AT59)+(AV50*AV59))/AX59</f>
        <v>5.2351594362308997</v>
      </c>
      <c r="AY50" s="2507"/>
      <c r="AZ50" s="915">
        <v>5.19</v>
      </c>
      <c r="BA50" s="4266" t="s">
        <v>35</v>
      </c>
      <c r="BB50" s="4271">
        <f>+((AR50*AR59)+(AV50*AV59)+(AZ50*AZ59))/BB59</f>
        <v>4.9950279615358388</v>
      </c>
      <c r="BC50" s="2508" t="s">
        <v>35</v>
      </c>
      <c r="BD50" s="4274">
        <f>+((AN50*AN59)+(BB50*BB59))/BD59</f>
        <v>5.2030980704650238</v>
      </c>
      <c r="BE50" s="4264" t="s">
        <v>35</v>
      </c>
      <c r="BF50" s="4273">
        <f>+((AX50*AX59)+(AZ50*AZ59))/BF59</f>
        <v>5.2337438109762475</v>
      </c>
      <c r="BH50" s="1433">
        <v>1</v>
      </c>
      <c r="BI50" s="1433">
        <f>+BI49/BH49</f>
        <v>7714.2857142857147</v>
      </c>
    </row>
    <row r="51" spans="1:62" x14ac:dyDescent="0.25">
      <c r="B51" s="2491" t="s">
        <v>1624</v>
      </c>
      <c r="C51" s="2261" t="s">
        <v>53</v>
      </c>
      <c r="D51" s="2509"/>
      <c r="E51" s="2509" t="s">
        <v>35</v>
      </c>
      <c r="F51" s="354">
        <v>30549</v>
      </c>
      <c r="G51" s="2509" t="s">
        <v>35</v>
      </c>
      <c r="H51" s="190">
        <f>+RMHP!I22</f>
        <v>37772</v>
      </c>
      <c r="I51" s="2510" t="s">
        <v>35</v>
      </c>
      <c r="J51" s="144">
        <f t="shared" ref="J51:J60" si="309">+F51+H51</f>
        <v>68321</v>
      </c>
      <c r="K51" s="2509" t="s">
        <v>35</v>
      </c>
      <c r="L51" s="717">
        <v>65000</v>
      </c>
      <c r="M51" s="2511" t="s">
        <v>35</v>
      </c>
      <c r="N51" s="285">
        <f t="shared" ref="N51:N60" si="310">+J51+L51</f>
        <v>133321</v>
      </c>
      <c r="O51" s="2509" t="s">
        <v>35</v>
      </c>
      <c r="P51" s="717">
        <v>58345</v>
      </c>
      <c r="Q51" s="2510" t="s">
        <v>35</v>
      </c>
      <c r="R51" s="454">
        <f t="shared" ref="R51:R60" si="311">+N51+P51</f>
        <v>191666</v>
      </c>
      <c r="S51" s="2509" t="s">
        <v>35</v>
      </c>
      <c r="T51" s="717">
        <v>70000</v>
      </c>
      <c r="U51" s="2510" t="s">
        <v>35</v>
      </c>
      <c r="V51" s="454">
        <f t="shared" ref="V51:V60" si="312">+R51+T51</f>
        <v>261666</v>
      </c>
      <c r="W51" s="2509" t="s">
        <v>35</v>
      </c>
      <c r="X51" s="717">
        <v>63963</v>
      </c>
      <c r="Y51" s="2511" t="s">
        <v>35</v>
      </c>
      <c r="Z51" s="163">
        <f t="shared" ref="Z51:Z59" si="313">+X51+T51+P51</f>
        <v>192308</v>
      </c>
      <c r="AA51" s="2512" t="s">
        <v>35</v>
      </c>
      <c r="AB51" s="1185">
        <f t="shared" ref="AB51:AB60" si="314">+V51+X51</f>
        <v>325629</v>
      </c>
      <c r="AC51" s="2509"/>
      <c r="AD51" s="717">
        <v>60793</v>
      </c>
      <c r="AE51" s="2510" t="s">
        <v>35</v>
      </c>
      <c r="AF51" s="454">
        <f t="shared" ref="AF51:AF60" si="315">+AB51+AD51</f>
        <v>386422</v>
      </c>
      <c r="AG51" s="2509"/>
      <c r="AH51" s="717">
        <v>55600</v>
      </c>
      <c r="AI51" s="2510" t="s">
        <v>35</v>
      </c>
      <c r="AJ51" s="454">
        <f t="shared" ref="AJ51:AJ60" si="316">+AF51+AH51</f>
        <v>442022</v>
      </c>
      <c r="AK51" s="2509"/>
      <c r="AL51" s="717">
        <v>57822</v>
      </c>
      <c r="AM51" s="2511" t="s">
        <v>35</v>
      </c>
      <c r="AN51" s="163">
        <f t="shared" ref="AN51:AN60" si="317">+AL51+AH51+AD51</f>
        <v>174215</v>
      </c>
      <c r="AO51" s="2510" t="s">
        <v>35</v>
      </c>
      <c r="AP51" s="454">
        <f t="shared" ref="AP51:AP60" si="318">+AJ51+AL51</f>
        <v>499844</v>
      </c>
      <c r="AQ51" s="2509"/>
      <c r="AR51" s="717">
        <f>+RMHP!AS22</f>
        <v>59400</v>
      </c>
      <c r="AS51" s="2510" t="s">
        <v>35</v>
      </c>
      <c r="AT51" s="454">
        <f t="shared" ref="AT51:AT60" si="319">+AP51+AR51</f>
        <v>559244</v>
      </c>
      <c r="AU51" s="2509"/>
      <c r="AV51" s="717">
        <f>+RMHP!AW22</f>
        <v>53532</v>
      </c>
      <c r="AW51" s="2510" t="s">
        <v>35</v>
      </c>
      <c r="AX51" s="454">
        <f t="shared" ref="AX51:AX60" si="320">+AT51+AV51</f>
        <v>612776</v>
      </c>
      <c r="AY51" s="2509"/>
      <c r="AZ51" s="717">
        <f>+RMHP!BA22</f>
        <v>72866</v>
      </c>
      <c r="BA51" s="2511" t="s">
        <v>35</v>
      </c>
      <c r="BB51" s="163">
        <f t="shared" ref="BB51:BB60" si="321">+AZ51+AV51+AR51</f>
        <v>185798</v>
      </c>
      <c r="BC51" s="2512" t="s">
        <v>35</v>
      </c>
      <c r="BD51" s="1124">
        <f t="shared" ref="BD51:BD60" si="322">+AN51+BB51</f>
        <v>360013</v>
      </c>
      <c r="BE51" s="2510" t="s">
        <v>35</v>
      </c>
      <c r="BF51" s="454">
        <f t="shared" ref="BF51:BF60" si="323">+AX51+AZ51</f>
        <v>685642</v>
      </c>
      <c r="BH51" s="3987">
        <f>+BF46</f>
        <v>335.66167859991828</v>
      </c>
      <c r="BI51" s="1433">
        <f>+BI50*BH51</f>
        <v>2589390.0920565124</v>
      </c>
    </row>
    <row r="52" spans="1:62" x14ac:dyDescent="0.25">
      <c r="A52" s="332" t="s">
        <v>515</v>
      </c>
      <c r="B52" s="3515" t="s">
        <v>644</v>
      </c>
      <c r="C52" s="140" t="s">
        <v>53</v>
      </c>
      <c r="D52" s="1101">
        <f>+(D26/((100-D62)/100))-D26</f>
        <v>607534.43128078245</v>
      </c>
      <c r="E52" s="1101">
        <f>+(E26/((100-E62)/100))-E26</f>
        <v>23384.339999999997</v>
      </c>
      <c r="F52" s="54">
        <f>+F51-((F48/100)*F51)</f>
        <v>30286.278600000001</v>
      </c>
      <c r="G52" s="3492">
        <f>+(G26/((100-G62)/100))-G26</f>
        <v>30720.603529411776</v>
      </c>
      <c r="H52" s="54">
        <f>+H51-((H48/100)*H51)</f>
        <v>37432.052000000003</v>
      </c>
      <c r="I52" s="143">
        <f>+E52+G52</f>
        <v>54104.943529411772</v>
      </c>
      <c r="J52" s="96">
        <f t="shared" si="309"/>
        <v>67718.330600000001</v>
      </c>
      <c r="K52" s="3492">
        <f>+(K26/((100-K62)/100))-K26</f>
        <v>54471.578294117644</v>
      </c>
      <c r="L52" s="629">
        <f>+L51-((L48/100)*L51)</f>
        <v>63979.5</v>
      </c>
      <c r="M52" s="167">
        <f>+I52+K52</f>
        <v>108576.52182352942</v>
      </c>
      <c r="N52" s="184">
        <f t="shared" si="310"/>
        <v>131697.83059999999</v>
      </c>
      <c r="O52" s="3492">
        <f>+(O26/((100-O62)/100))-O26</f>
        <v>56323.561110615788</v>
      </c>
      <c r="P52" s="629">
        <f>+P51-((P48/100)*P51)</f>
        <v>57434.817999999999</v>
      </c>
      <c r="Q52" s="143">
        <f>+M52+O52</f>
        <v>164900.0829341452</v>
      </c>
      <c r="R52" s="144">
        <f t="shared" si="311"/>
        <v>189132.64859999999</v>
      </c>
      <c r="S52" s="3492">
        <f>+(S26/((100-S62)/100))-S26</f>
        <v>56323.561110615788</v>
      </c>
      <c r="T52" s="629">
        <f>+T51-((T48/100)*T51)</f>
        <v>69146</v>
      </c>
      <c r="U52" s="143">
        <f>+Q52+S52</f>
        <v>221223.64404476099</v>
      </c>
      <c r="V52" s="144">
        <f t="shared" si="312"/>
        <v>258278.64859999999</v>
      </c>
      <c r="W52" s="3492">
        <f>+(W26/((100-W62)/100))-W26</f>
        <v>54781.227126544516</v>
      </c>
      <c r="X52" s="629">
        <f>+X51-((X48/100)*X51)</f>
        <v>63009.951300000001</v>
      </c>
      <c r="Y52" s="162">
        <f t="shared" ref="Y52" si="324">+W52+S52+O52</f>
        <v>167428.34934777609</v>
      </c>
      <c r="Z52" s="163">
        <f t="shared" si="313"/>
        <v>189590.76930000001</v>
      </c>
      <c r="AA52" s="1789">
        <f>+U52+W52</f>
        <v>276004.87117130554</v>
      </c>
      <c r="AB52" s="1149">
        <f t="shared" si="314"/>
        <v>321288.59989999997</v>
      </c>
      <c r="AC52" s="3492">
        <f>+(AC26/((100-AC62)/100))-AC26</f>
        <v>56638.2178765969</v>
      </c>
      <c r="AD52" s="629">
        <f>+AD51-((AD48/100)*AD51)</f>
        <v>60282.338799999998</v>
      </c>
      <c r="AE52" s="143">
        <f>+AA52+AC52</f>
        <v>332643.08904790244</v>
      </c>
      <c r="AF52" s="144">
        <f t="shared" si="315"/>
        <v>381570.93869999994</v>
      </c>
      <c r="AG52" s="3492">
        <f>+(AG26/((100-AG62)/100))-AG26</f>
        <v>54781.227126544516</v>
      </c>
      <c r="AH52" s="629">
        <f>+AH51-((AH48/100)*AH51)</f>
        <v>55109.793333333335</v>
      </c>
      <c r="AI52" s="143">
        <f>+AE52+AG52</f>
        <v>387424.31617444695</v>
      </c>
      <c r="AJ52" s="144">
        <f t="shared" si="316"/>
        <v>436680.73203333328</v>
      </c>
      <c r="AK52" s="3492">
        <f>+(AK26/((100-AK62)/100))-AK26</f>
        <v>56638.2178765969</v>
      </c>
      <c r="AL52" s="629">
        <f>+AL51-((AL48/100)*AL51)</f>
        <v>57336.2952</v>
      </c>
      <c r="AM52" s="162">
        <f t="shared" ref="AM52" si="325">+AK52+AG52+AC52</f>
        <v>168057.66287973832</v>
      </c>
      <c r="AN52" s="163">
        <f t="shared" si="317"/>
        <v>172728.42733333333</v>
      </c>
      <c r="AO52" s="143">
        <f>+AI52+AK52</f>
        <v>444062.53405104385</v>
      </c>
      <c r="AP52" s="144">
        <f t="shared" si="318"/>
        <v>494017.02723333327</v>
      </c>
      <c r="AQ52" s="3885">
        <f>+(AQ26/((100-AQ62)/100))-AQ26</f>
        <v>56638.2178765969</v>
      </c>
      <c r="AR52" s="629">
        <f>+AR51-((AR48/100)*AR51)</f>
        <v>58918.86</v>
      </c>
      <c r="AS52" s="143">
        <f>+AO52+AQ52</f>
        <v>500700.75192764075</v>
      </c>
      <c r="AT52" s="144">
        <f t="shared" si="319"/>
        <v>552935.88723333331</v>
      </c>
      <c r="AU52" s="4010">
        <f>+(AU26/((100-AU62)/100))-AU26</f>
        <v>50189.867933825881</v>
      </c>
      <c r="AV52" s="629">
        <f>+AV51-((AV48/100)*AV51)</f>
        <v>53066.2716</v>
      </c>
      <c r="AW52" s="143">
        <f>+AS52+AU52</f>
        <v>550890.61986146658</v>
      </c>
      <c r="AX52" s="144">
        <f t="shared" si="320"/>
        <v>606002.15883333329</v>
      </c>
      <c r="AY52" s="4260">
        <f>+(AY26/((100-AY62)/100))-AY26</f>
        <v>56638.2178765969</v>
      </c>
      <c r="AZ52" s="629">
        <f>+AZ51-((AZ48/100)*AZ51)</f>
        <v>72246.638999999996</v>
      </c>
      <c r="BA52" s="162">
        <f t="shared" ref="BA52" si="326">+AY52+AU52+AQ52</f>
        <v>163466.30368701968</v>
      </c>
      <c r="BB52" s="163">
        <f t="shared" si="321"/>
        <v>184231.77059999999</v>
      </c>
      <c r="BC52" s="1789">
        <f>+AM52+BA52</f>
        <v>331523.966566758</v>
      </c>
      <c r="BD52" s="1149">
        <f t="shared" si="322"/>
        <v>356960.19793333334</v>
      </c>
      <c r="BE52" s="143">
        <f>+AW52+AY52</f>
        <v>607528.83773806342</v>
      </c>
      <c r="BF52" s="144">
        <f t="shared" si="323"/>
        <v>678248.79783333326</v>
      </c>
    </row>
    <row r="53" spans="1:62" x14ac:dyDescent="0.25">
      <c r="B53" s="3515" t="s">
        <v>1625</v>
      </c>
      <c r="C53" s="140" t="s">
        <v>53</v>
      </c>
      <c r="D53" s="2484" t="s">
        <v>35</v>
      </c>
      <c r="E53" s="2484" t="s">
        <v>35</v>
      </c>
      <c r="F53" s="238">
        <v>0</v>
      </c>
      <c r="G53" s="2484" t="s">
        <v>35</v>
      </c>
      <c r="H53" s="57">
        <v>0</v>
      </c>
      <c r="I53" s="2513" t="s">
        <v>35</v>
      </c>
      <c r="J53" s="96">
        <f t="shared" si="309"/>
        <v>0</v>
      </c>
      <c r="K53" s="2484" t="s">
        <v>35</v>
      </c>
      <c r="L53" s="629"/>
      <c r="M53" s="2514" t="s">
        <v>35</v>
      </c>
      <c r="N53" s="184">
        <f t="shared" si="310"/>
        <v>0</v>
      </c>
      <c r="O53" s="2484" t="s">
        <v>35</v>
      </c>
      <c r="P53" s="629">
        <v>0</v>
      </c>
      <c r="Q53" s="2513" t="s">
        <v>35</v>
      </c>
      <c r="R53" s="144">
        <f t="shared" si="311"/>
        <v>0</v>
      </c>
      <c r="S53" s="2484" t="s">
        <v>35</v>
      </c>
      <c r="T53" s="629"/>
      <c r="U53" s="2513" t="s">
        <v>35</v>
      </c>
      <c r="V53" s="144">
        <f t="shared" si="312"/>
        <v>0</v>
      </c>
      <c r="W53" s="2484" t="s">
        <v>35</v>
      </c>
      <c r="X53" s="629"/>
      <c r="Y53" s="2514" t="s">
        <v>35</v>
      </c>
      <c r="Z53" s="163">
        <f t="shared" si="313"/>
        <v>0</v>
      </c>
      <c r="AA53" s="2515" t="s">
        <v>35</v>
      </c>
      <c r="AB53" s="1149">
        <f t="shared" si="314"/>
        <v>0</v>
      </c>
      <c r="AC53" s="2484"/>
      <c r="AD53" s="629"/>
      <c r="AE53" s="2513" t="s">
        <v>35</v>
      </c>
      <c r="AF53" s="144">
        <f t="shared" si="315"/>
        <v>0</v>
      </c>
      <c r="AG53" s="2484"/>
      <c r="AH53" s="629"/>
      <c r="AI53" s="2513" t="s">
        <v>35</v>
      </c>
      <c r="AJ53" s="144">
        <f t="shared" si="316"/>
        <v>0</v>
      </c>
      <c r="AK53" s="2484"/>
      <c r="AL53" s="629"/>
      <c r="AM53" s="2514" t="s">
        <v>35</v>
      </c>
      <c r="AN53" s="163">
        <f t="shared" si="317"/>
        <v>0</v>
      </c>
      <c r="AO53" s="2513" t="s">
        <v>35</v>
      </c>
      <c r="AP53" s="144">
        <f t="shared" si="318"/>
        <v>0</v>
      </c>
      <c r="AQ53" s="2484"/>
      <c r="AR53" s="629"/>
      <c r="AS53" s="2513" t="s">
        <v>35</v>
      </c>
      <c r="AT53" s="144">
        <f t="shared" si="319"/>
        <v>0</v>
      </c>
      <c r="AU53" s="2484"/>
      <c r="AV53" s="629"/>
      <c r="AW53" s="2513" t="s">
        <v>35</v>
      </c>
      <c r="AX53" s="144">
        <f t="shared" si="320"/>
        <v>0</v>
      </c>
      <c r="AY53" s="2484"/>
      <c r="AZ53" s="629"/>
      <c r="BA53" s="2514" t="s">
        <v>35</v>
      </c>
      <c r="BB53" s="163">
        <f t="shared" si="321"/>
        <v>0</v>
      </c>
      <c r="BC53" s="2515" t="s">
        <v>35</v>
      </c>
      <c r="BD53" s="1149">
        <f t="shared" si="322"/>
        <v>0</v>
      </c>
      <c r="BE53" s="2513" t="s">
        <v>35</v>
      </c>
      <c r="BF53" s="144">
        <f t="shared" si="323"/>
        <v>0</v>
      </c>
    </row>
    <row r="54" spans="1:62" x14ac:dyDescent="0.25">
      <c r="B54" s="3515" t="s">
        <v>654</v>
      </c>
      <c r="C54" s="140" t="s">
        <v>53</v>
      </c>
      <c r="D54" s="1101">
        <v>0</v>
      </c>
      <c r="E54" s="1101">
        <v>0</v>
      </c>
      <c r="F54" s="54">
        <f>+F53-((F48/100)*F53)</f>
        <v>0</v>
      </c>
      <c r="G54" s="1101">
        <v>0</v>
      </c>
      <c r="H54" s="54">
        <f>+H53-((H48/100)*H53)</f>
        <v>0</v>
      </c>
      <c r="I54" s="143">
        <f>+E54+G54</f>
        <v>0</v>
      </c>
      <c r="J54" s="96">
        <f t="shared" si="309"/>
        <v>0</v>
      </c>
      <c r="K54" s="1101">
        <v>0</v>
      </c>
      <c r="L54" s="629">
        <f>+L53-((L48/100)*L53)</f>
        <v>0</v>
      </c>
      <c r="M54" s="167">
        <f>+I54+K54</f>
        <v>0</v>
      </c>
      <c r="N54" s="184">
        <f t="shared" si="310"/>
        <v>0</v>
      </c>
      <c r="O54" s="1101">
        <v>0</v>
      </c>
      <c r="P54" s="629">
        <f>+P53-((P48/100)*P53)</f>
        <v>0</v>
      </c>
      <c r="Q54" s="143">
        <f>+M54+O54</f>
        <v>0</v>
      </c>
      <c r="R54" s="144">
        <f t="shared" si="311"/>
        <v>0</v>
      </c>
      <c r="S54" s="1101">
        <v>0</v>
      </c>
      <c r="T54" s="629">
        <f>+T53-((T48/100)*T53)</f>
        <v>0</v>
      </c>
      <c r="U54" s="143">
        <f>+Q54+S54</f>
        <v>0</v>
      </c>
      <c r="V54" s="144">
        <f t="shared" si="312"/>
        <v>0</v>
      </c>
      <c r="W54" s="1101">
        <v>0</v>
      </c>
      <c r="X54" s="629">
        <f>+X53-((X48/100)*X53)</f>
        <v>0</v>
      </c>
      <c r="Y54" s="162">
        <f t="shared" ref="Y54" si="327">+W54+S54+O54</f>
        <v>0</v>
      </c>
      <c r="Z54" s="163">
        <f t="shared" ref="Z54" si="328">+X54+T54+P54</f>
        <v>0</v>
      </c>
      <c r="AA54" s="1789">
        <f>+U54+W54</f>
        <v>0</v>
      </c>
      <c r="AB54" s="1149">
        <f t="shared" si="314"/>
        <v>0</v>
      </c>
      <c r="AC54" s="1101">
        <v>0</v>
      </c>
      <c r="AD54" s="629">
        <f>+AD53-((AD48/100)*AD53)</f>
        <v>0</v>
      </c>
      <c r="AE54" s="143">
        <f>+AA54+AC54</f>
        <v>0</v>
      </c>
      <c r="AF54" s="144">
        <f t="shared" si="315"/>
        <v>0</v>
      </c>
      <c r="AG54" s="1101"/>
      <c r="AH54" s="629">
        <f>+AH53-((AH48/100)*AH53)</f>
        <v>0</v>
      </c>
      <c r="AI54" s="143">
        <f>+AE54+AG54</f>
        <v>0</v>
      </c>
      <c r="AJ54" s="144">
        <f t="shared" si="316"/>
        <v>0</v>
      </c>
      <c r="AK54" s="1101"/>
      <c r="AL54" s="629">
        <f>+AL53-((AL48/100)*AL53)</f>
        <v>0</v>
      </c>
      <c r="AM54" s="162">
        <f t="shared" ref="AM54" si="329">+AK54+AG54+AC54</f>
        <v>0</v>
      </c>
      <c r="AN54" s="163">
        <f t="shared" si="317"/>
        <v>0</v>
      </c>
      <c r="AO54" s="143">
        <f>+AI54+AK54</f>
        <v>0</v>
      </c>
      <c r="AP54" s="144">
        <f t="shared" si="318"/>
        <v>0</v>
      </c>
      <c r="AQ54" s="1101"/>
      <c r="AR54" s="629">
        <f>+AR53-((AR48/100)*AR53)</f>
        <v>0</v>
      </c>
      <c r="AS54" s="143">
        <f>+AO54+AQ54</f>
        <v>0</v>
      </c>
      <c r="AT54" s="144">
        <f t="shared" si="319"/>
        <v>0</v>
      </c>
      <c r="AU54" s="1101"/>
      <c r="AV54" s="629">
        <f>+AV53-((AV48/100)*AV53)</f>
        <v>0</v>
      </c>
      <c r="AW54" s="143">
        <f>+AS54+AU54</f>
        <v>0</v>
      </c>
      <c r="AX54" s="144">
        <f t="shared" si="320"/>
        <v>0</v>
      </c>
      <c r="AY54" s="1101"/>
      <c r="AZ54" s="629">
        <f>+AZ53-((AZ48/100)*AZ53)</f>
        <v>0</v>
      </c>
      <c r="BA54" s="162">
        <f t="shared" ref="BA54" si="330">+AY54+AU54+AQ54</f>
        <v>0</v>
      </c>
      <c r="BB54" s="163">
        <f t="shared" si="321"/>
        <v>0</v>
      </c>
      <c r="BC54" s="1789">
        <f>+AM54+BA54</f>
        <v>0</v>
      </c>
      <c r="BD54" s="1149">
        <f t="shared" si="322"/>
        <v>0</v>
      </c>
      <c r="BE54" s="143">
        <f>+AW54+AY54</f>
        <v>0</v>
      </c>
      <c r="BF54" s="144">
        <f t="shared" si="323"/>
        <v>0</v>
      </c>
      <c r="BI54" s="4647">
        <f>+BF5/BI51</f>
        <v>0.92947976721750469</v>
      </c>
    </row>
    <row r="55" spans="1:62" x14ac:dyDescent="0.25">
      <c r="B55" s="3515" t="s">
        <v>645</v>
      </c>
      <c r="C55" s="140" t="s">
        <v>53</v>
      </c>
      <c r="D55" s="2484" t="s">
        <v>35</v>
      </c>
      <c r="E55" s="2484" t="s">
        <v>35</v>
      </c>
      <c r="F55" s="54">
        <f>+F51+F53</f>
        <v>30549</v>
      </c>
      <c r="G55" s="2484" t="s">
        <v>35</v>
      </c>
      <c r="H55" s="54">
        <f>+H51+H53</f>
        <v>37772</v>
      </c>
      <c r="I55" s="2513" t="s">
        <v>35</v>
      </c>
      <c r="J55" s="96">
        <f t="shared" si="309"/>
        <v>68321</v>
      </c>
      <c r="K55" s="2484" t="s">
        <v>35</v>
      </c>
      <c r="L55" s="629">
        <f>+L51+L53</f>
        <v>65000</v>
      </c>
      <c r="M55" s="2514" t="s">
        <v>35</v>
      </c>
      <c r="N55" s="184">
        <f t="shared" si="310"/>
        <v>133321</v>
      </c>
      <c r="O55" s="2484" t="s">
        <v>35</v>
      </c>
      <c r="P55" s="629">
        <f>+P51+P53</f>
        <v>58345</v>
      </c>
      <c r="Q55" s="2513" t="s">
        <v>35</v>
      </c>
      <c r="R55" s="144">
        <f t="shared" si="311"/>
        <v>191666</v>
      </c>
      <c r="S55" s="2484" t="s">
        <v>35</v>
      </c>
      <c r="T55" s="629">
        <f>+T51+T53</f>
        <v>70000</v>
      </c>
      <c r="U55" s="2513" t="s">
        <v>35</v>
      </c>
      <c r="V55" s="144">
        <f t="shared" si="312"/>
        <v>261666</v>
      </c>
      <c r="W55" s="2484" t="s">
        <v>35</v>
      </c>
      <c r="X55" s="629">
        <f>+X51+X53</f>
        <v>63963</v>
      </c>
      <c r="Y55" s="2514" t="s">
        <v>35</v>
      </c>
      <c r="Z55" s="163">
        <f t="shared" si="313"/>
        <v>192308</v>
      </c>
      <c r="AA55" s="2515" t="s">
        <v>35</v>
      </c>
      <c r="AB55" s="1149">
        <f t="shared" si="314"/>
        <v>325629</v>
      </c>
      <c r="AC55" s="2484"/>
      <c r="AD55" s="629">
        <f>+AD51+AD53</f>
        <v>60793</v>
      </c>
      <c r="AE55" s="2513" t="s">
        <v>35</v>
      </c>
      <c r="AF55" s="144">
        <f t="shared" si="315"/>
        <v>386422</v>
      </c>
      <c r="AG55" s="2484"/>
      <c r="AH55" s="629">
        <f>+AH51+AH53</f>
        <v>55600</v>
      </c>
      <c r="AI55" s="2513" t="s">
        <v>35</v>
      </c>
      <c r="AJ55" s="144">
        <f t="shared" si="316"/>
        <v>442022</v>
      </c>
      <c r="AK55" s="2484"/>
      <c r="AL55" s="629">
        <f>+AL51+AL53</f>
        <v>57822</v>
      </c>
      <c r="AM55" s="2514" t="s">
        <v>35</v>
      </c>
      <c r="AN55" s="163">
        <f t="shared" si="317"/>
        <v>174215</v>
      </c>
      <c r="AO55" s="2513" t="s">
        <v>35</v>
      </c>
      <c r="AP55" s="144">
        <f t="shared" si="318"/>
        <v>499844</v>
      </c>
      <c r="AQ55" s="2484"/>
      <c r="AR55" s="629">
        <f>+AR51+AR53</f>
        <v>59400</v>
      </c>
      <c r="AS55" s="2513" t="s">
        <v>35</v>
      </c>
      <c r="AT55" s="144">
        <f t="shared" si="319"/>
        <v>559244</v>
      </c>
      <c r="AU55" s="2484"/>
      <c r="AV55" s="629">
        <f>+AV51+AV53</f>
        <v>53532</v>
      </c>
      <c r="AW55" s="2513" t="s">
        <v>35</v>
      </c>
      <c r="AX55" s="144">
        <f t="shared" si="320"/>
        <v>612776</v>
      </c>
      <c r="AY55" s="2484"/>
      <c r="AZ55" s="629">
        <f>+AZ51+AZ53</f>
        <v>72866</v>
      </c>
      <c r="BA55" s="2514" t="s">
        <v>35</v>
      </c>
      <c r="BB55" s="163">
        <f t="shared" si="321"/>
        <v>185798</v>
      </c>
      <c r="BC55" s="2515" t="s">
        <v>35</v>
      </c>
      <c r="BD55" s="1149">
        <f t="shared" si="322"/>
        <v>360013</v>
      </c>
      <c r="BE55" s="2513" t="s">
        <v>35</v>
      </c>
      <c r="BF55" s="144">
        <f t="shared" si="323"/>
        <v>685642</v>
      </c>
    </row>
    <row r="56" spans="1:62" ht="15.75" thickBot="1" x14ac:dyDescent="0.3">
      <c r="A56" s="332" t="s">
        <v>515</v>
      </c>
      <c r="B56" s="3562" t="s">
        <v>646</v>
      </c>
      <c r="C56" s="2516" t="s">
        <v>53</v>
      </c>
      <c r="D56" s="3546">
        <f>+D52+D54</f>
        <v>607534.43128078245</v>
      </c>
      <c r="E56" s="3546">
        <f>+E52+E54</f>
        <v>23384.339999999997</v>
      </c>
      <c r="F56" s="93">
        <f>+F52+F54</f>
        <v>30286.278600000001</v>
      </c>
      <c r="G56" s="3548">
        <f>+G52+G54</f>
        <v>30720.603529411776</v>
      </c>
      <c r="H56" s="93">
        <f>+H52+H54</f>
        <v>37432.052000000003</v>
      </c>
      <c r="I56" s="2016">
        <f t="shared" ref="I56" si="331">+E56+G56</f>
        <v>54104.943529411772</v>
      </c>
      <c r="J56" s="101">
        <f t="shared" si="309"/>
        <v>67718.330600000001</v>
      </c>
      <c r="K56" s="3548">
        <f>+K52+K54</f>
        <v>54471.578294117644</v>
      </c>
      <c r="L56" s="346">
        <f>+L52+L54</f>
        <v>63979.5</v>
      </c>
      <c r="M56" s="2013">
        <f>+I56+K56</f>
        <v>108576.52182352942</v>
      </c>
      <c r="N56" s="169">
        <f t="shared" si="310"/>
        <v>131697.83059999999</v>
      </c>
      <c r="O56" s="3548">
        <f>+O52+O54</f>
        <v>56323.561110615788</v>
      </c>
      <c r="P56" s="346">
        <f>+P52+P54</f>
        <v>57434.817999999999</v>
      </c>
      <c r="Q56" s="2016">
        <f t="shared" ref="Q56" si="332">+M56+O56</f>
        <v>164900.0829341452</v>
      </c>
      <c r="R56" s="144">
        <f t="shared" si="311"/>
        <v>189132.64859999999</v>
      </c>
      <c r="S56" s="3548">
        <f>+S52+S54</f>
        <v>56323.561110615788</v>
      </c>
      <c r="T56" s="346">
        <f>+T52+T54</f>
        <v>69146</v>
      </c>
      <c r="U56" s="2016">
        <f t="shared" ref="U56" si="333">+Q56+S56</f>
        <v>221223.64404476099</v>
      </c>
      <c r="V56" s="144">
        <f t="shared" si="312"/>
        <v>258278.64859999999</v>
      </c>
      <c r="W56" s="3548">
        <f>+W52+W54</f>
        <v>54781.227126544516</v>
      </c>
      <c r="X56" s="346">
        <f>+X52+X54</f>
        <v>63009.951300000001</v>
      </c>
      <c r="Y56" s="162">
        <f t="shared" ref="Y56" si="334">+W56+S56+O56</f>
        <v>167428.34934777609</v>
      </c>
      <c r="Z56" s="163">
        <f t="shared" ref="Z56" si="335">+X56+T56+P56</f>
        <v>189590.76930000001</v>
      </c>
      <c r="AA56" s="2017">
        <f t="shared" ref="AA56" si="336">+U56+W56</f>
        <v>276004.87117130554</v>
      </c>
      <c r="AB56" s="1149">
        <f t="shared" si="314"/>
        <v>321288.59989999997</v>
      </c>
      <c r="AC56" s="3548">
        <f>+AC52+AC54</f>
        <v>56638.2178765969</v>
      </c>
      <c r="AD56" s="346">
        <f>+AD52+AD54</f>
        <v>60282.338799999998</v>
      </c>
      <c r="AE56" s="2016">
        <f t="shared" ref="AE56" si="337">+AA56+AC56</f>
        <v>332643.08904790244</v>
      </c>
      <c r="AF56" s="144">
        <f t="shared" si="315"/>
        <v>381570.93869999994</v>
      </c>
      <c r="AG56" s="3548">
        <f>+AG52+AG54</f>
        <v>54781.227126544516</v>
      </c>
      <c r="AH56" s="346">
        <f>+AH52+AH54</f>
        <v>55109.793333333335</v>
      </c>
      <c r="AI56" s="2016">
        <f t="shared" ref="AI56" si="338">+AE56+AG56</f>
        <v>387424.31617444695</v>
      </c>
      <c r="AJ56" s="144">
        <f t="shared" si="316"/>
        <v>436680.73203333328</v>
      </c>
      <c r="AK56" s="3548">
        <f>+AK52+AK54</f>
        <v>56638.2178765969</v>
      </c>
      <c r="AL56" s="346">
        <f>+AL52+AL54</f>
        <v>57336.2952</v>
      </c>
      <c r="AM56" s="162">
        <f t="shared" ref="AM56" si="339">+AK56+AG56+AC56</f>
        <v>168057.66287973832</v>
      </c>
      <c r="AN56" s="163">
        <f t="shared" si="317"/>
        <v>172728.42733333333</v>
      </c>
      <c r="AO56" s="2016">
        <f t="shared" ref="AO56" si="340">+AI56+AK56</f>
        <v>444062.53405104385</v>
      </c>
      <c r="AP56" s="144">
        <f t="shared" si="318"/>
        <v>494017.02723333327</v>
      </c>
      <c r="AQ56" s="3887">
        <f>+AQ52+AQ54</f>
        <v>56638.2178765969</v>
      </c>
      <c r="AR56" s="346">
        <f>+AR52+AR54</f>
        <v>58918.86</v>
      </c>
      <c r="AS56" s="2016">
        <f t="shared" ref="AS56" si="341">+AO56+AQ56</f>
        <v>500700.75192764075</v>
      </c>
      <c r="AT56" s="144">
        <f t="shared" si="319"/>
        <v>552935.88723333331</v>
      </c>
      <c r="AU56" s="4011">
        <f>+AU52+AU54</f>
        <v>50189.867933825881</v>
      </c>
      <c r="AV56" s="346">
        <f>+AV52+AV54</f>
        <v>53066.2716</v>
      </c>
      <c r="AW56" s="2016">
        <f t="shared" ref="AW56" si="342">+AS56+AU56</f>
        <v>550890.61986146658</v>
      </c>
      <c r="AX56" s="144">
        <f t="shared" si="320"/>
        <v>606002.15883333329</v>
      </c>
      <c r="AY56" s="4261">
        <f>+AY52+AY54</f>
        <v>56638.2178765969</v>
      </c>
      <c r="AZ56" s="346">
        <f>+AZ52+AZ54</f>
        <v>72246.638999999996</v>
      </c>
      <c r="BA56" s="162">
        <f t="shared" ref="BA56" si="343">+AY56+AU56+AQ56</f>
        <v>163466.30368701968</v>
      </c>
      <c r="BB56" s="163">
        <f t="shared" si="321"/>
        <v>184231.77059999999</v>
      </c>
      <c r="BC56" s="2017">
        <f>+AM56+BA56</f>
        <v>331523.966566758</v>
      </c>
      <c r="BD56" s="1149">
        <f t="shared" si="322"/>
        <v>356960.19793333334</v>
      </c>
      <c r="BE56" s="2016">
        <f t="shared" ref="BE56" si="344">+AW56+AY56</f>
        <v>607528.83773806342</v>
      </c>
      <c r="BF56" s="144">
        <f t="shared" si="323"/>
        <v>678248.79783333326</v>
      </c>
      <c r="BH56" s="4026"/>
      <c r="BI56" s="4026"/>
      <c r="BJ56" s="4026"/>
    </row>
    <row r="57" spans="1:62" x14ac:dyDescent="0.25">
      <c r="B57" s="3515" t="s">
        <v>277</v>
      </c>
      <c r="C57" s="140" t="s">
        <v>53</v>
      </c>
      <c r="D57" s="2517" t="s">
        <v>35</v>
      </c>
      <c r="E57" s="2517" t="s">
        <v>35</v>
      </c>
      <c r="F57" s="3543">
        <v>8290</v>
      </c>
      <c r="G57" s="2518" t="s">
        <v>35</v>
      </c>
      <c r="H57" s="57">
        <f>+RMHP!I23</f>
        <v>12852</v>
      </c>
      <c r="I57" s="2519" t="s">
        <v>35</v>
      </c>
      <c r="J57" s="144">
        <f t="shared" si="309"/>
        <v>21142</v>
      </c>
      <c r="K57" s="2518" t="s">
        <v>35</v>
      </c>
      <c r="L57" s="629">
        <v>14204</v>
      </c>
      <c r="M57" s="2520" t="s">
        <v>35</v>
      </c>
      <c r="N57" s="183">
        <f t="shared" si="310"/>
        <v>35346</v>
      </c>
      <c r="O57" s="2518" t="s">
        <v>35</v>
      </c>
      <c r="P57" s="629">
        <v>15752</v>
      </c>
      <c r="Q57" s="2519" t="s">
        <v>35</v>
      </c>
      <c r="R57" s="454">
        <f t="shared" si="311"/>
        <v>51098</v>
      </c>
      <c r="S57" s="2518" t="s">
        <v>35</v>
      </c>
      <c r="T57" s="629">
        <v>13500</v>
      </c>
      <c r="U57" s="2519" t="s">
        <v>35</v>
      </c>
      <c r="V57" s="454">
        <f t="shared" si="312"/>
        <v>64598</v>
      </c>
      <c r="W57" s="2518" t="s">
        <v>35</v>
      </c>
      <c r="X57" s="629">
        <v>7585</v>
      </c>
      <c r="Y57" s="2520" t="s">
        <v>35</v>
      </c>
      <c r="Z57" s="163">
        <f t="shared" si="313"/>
        <v>36837</v>
      </c>
      <c r="AA57" s="2521" t="s">
        <v>35</v>
      </c>
      <c r="AB57" s="1185">
        <f t="shared" si="314"/>
        <v>72183</v>
      </c>
      <c r="AC57" s="2518"/>
      <c r="AD57" s="629">
        <v>11236</v>
      </c>
      <c r="AE57" s="2519" t="s">
        <v>35</v>
      </c>
      <c r="AF57" s="454">
        <f t="shared" si="315"/>
        <v>83419</v>
      </c>
      <c r="AG57" s="2518"/>
      <c r="AH57" s="629">
        <v>12462</v>
      </c>
      <c r="AI57" s="2519" t="s">
        <v>35</v>
      </c>
      <c r="AJ57" s="454">
        <f t="shared" si="316"/>
        <v>95881</v>
      </c>
      <c r="AK57" s="2518"/>
      <c r="AL57" s="629">
        <f>+RMHP!AM23</f>
        <v>11647</v>
      </c>
      <c r="AM57" s="2520" t="s">
        <v>35</v>
      </c>
      <c r="AN57" s="163">
        <f t="shared" si="317"/>
        <v>35345</v>
      </c>
      <c r="AO57" s="2519" t="s">
        <v>35</v>
      </c>
      <c r="AP57" s="454">
        <f t="shared" si="318"/>
        <v>107528</v>
      </c>
      <c r="AQ57" s="2518"/>
      <c r="AR57" s="629">
        <v>10180</v>
      </c>
      <c r="AS57" s="2519" t="s">
        <v>35</v>
      </c>
      <c r="AT57" s="454">
        <f t="shared" si="319"/>
        <v>117708</v>
      </c>
      <c r="AU57" s="2518"/>
      <c r="AV57" s="629">
        <f>+RMHP!AW23</f>
        <v>10500</v>
      </c>
      <c r="AW57" s="2519" t="s">
        <v>35</v>
      </c>
      <c r="AX57" s="454">
        <f t="shared" si="320"/>
        <v>128208</v>
      </c>
      <c r="AY57" s="2518"/>
      <c r="AZ57" s="629">
        <f>+RMHP!BA23</f>
        <v>12742</v>
      </c>
      <c r="BA57" s="2520" t="s">
        <v>35</v>
      </c>
      <c r="BB57" s="163">
        <f t="shared" si="321"/>
        <v>33422</v>
      </c>
      <c r="BC57" s="2521" t="s">
        <v>35</v>
      </c>
      <c r="BD57" s="1124">
        <f t="shared" si="322"/>
        <v>68767</v>
      </c>
      <c r="BE57" s="2519" t="s">
        <v>35</v>
      </c>
      <c r="BF57" s="454">
        <f t="shared" si="323"/>
        <v>140950</v>
      </c>
      <c r="BH57" s="4027">
        <v>7922</v>
      </c>
      <c r="BI57" s="4027" t="s">
        <v>1811</v>
      </c>
      <c r="BJ57" s="4026"/>
    </row>
    <row r="58" spans="1:62" ht="15.75" thickBot="1" x14ac:dyDescent="0.3">
      <c r="A58" s="332" t="s">
        <v>515</v>
      </c>
      <c r="B58" s="2054" t="s">
        <v>278</v>
      </c>
      <c r="C58" s="2243" t="s">
        <v>53</v>
      </c>
      <c r="D58" s="1102">
        <f>+((D22+D23)/((100-D63)/100))-(D22+D23)</f>
        <v>170034.52338899625</v>
      </c>
      <c r="E58" s="1102">
        <f>+((E22+E23)/((100-E63)/100))-(E22+E23)</f>
        <v>7668</v>
      </c>
      <c r="F58" s="54">
        <f>+F57-((F49/100)*F57)</f>
        <v>8014.7719999999999</v>
      </c>
      <c r="G58" s="2014">
        <f>+((G22+G23)/((100-G63)/100))-(G22+G23)</f>
        <v>12762.289156626503</v>
      </c>
      <c r="H58" s="54">
        <f>+H57-((H49/100)*H57)</f>
        <v>12425.313599999999</v>
      </c>
      <c r="I58" s="2016">
        <f t="shared" ref="I58" si="345">+E58+G58</f>
        <v>20430.289156626503</v>
      </c>
      <c r="J58" s="101">
        <f t="shared" si="309"/>
        <v>20440.085599999999</v>
      </c>
      <c r="K58" s="2014">
        <f>+((K22+K23)/((100-K63)/100))-(K22+K23)</f>
        <v>15205.1249132948</v>
      </c>
      <c r="L58" s="629">
        <f>+L57-((L49/100)*L57)</f>
        <v>13614.534</v>
      </c>
      <c r="M58" s="2013">
        <f t="shared" ref="M58" si="346">+I58+K58</f>
        <v>35635.414069921302</v>
      </c>
      <c r="N58" s="169">
        <f t="shared" si="310"/>
        <v>34054.619599999998</v>
      </c>
      <c r="O58" s="2014">
        <f>+((O22+O23)/((100-O63)/100))-(O22+O23)</f>
        <v>15912.233453757231</v>
      </c>
      <c r="P58" s="629">
        <f>+P57-((P49/100)*P57)</f>
        <v>14758.0488</v>
      </c>
      <c r="Q58" s="2016">
        <f t="shared" ref="Q58" si="347">+M58+O58</f>
        <v>51547.647523678534</v>
      </c>
      <c r="R58" s="460">
        <f t="shared" si="311"/>
        <v>48812.668399999995</v>
      </c>
      <c r="S58" s="2014">
        <f>+((S22+S23)/((100-S63)/100))-(S22+S23)</f>
        <v>15912.233453757231</v>
      </c>
      <c r="T58" s="629">
        <f>+T57-((T49/100)*T57)</f>
        <v>12904.65</v>
      </c>
      <c r="U58" s="2016">
        <f t="shared" ref="U58" si="348">+Q58+S58</f>
        <v>67459.880977435765</v>
      </c>
      <c r="V58" s="460">
        <f t="shared" si="312"/>
        <v>61717.318399999996</v>
      </c>
      <c r="W58" s="2014">
        <f>+((W22+W23)/((100-W63)/100))-(W22+W23)</f>
        <v>15290.037572254339</v>
      </c>
      <c r="X58" s="629">
        <f>+X57-((X49/100)*X57)</f>
        <v>7143.5529999999999</v>
      </c>
      <c r="Y58" s="162">
        <f t="shared" ref="Y58" si="349">+W58+S58+O58</f>
        <v>47114.504479768802</v>
      </c>
      <c r="Z58" s="163">
        <f t="shared" si="313"/>
        <v>34806.251799999998</v>
      </c>
      <c r="AA58" s="2017">
        <f t="shared" ref="AA58" si="350">+U58+W58</f>
        <v>82749.918549690105</v>
      </c>
      <c r="AB58" s="1189">
        <f t="shared" si="314"/>
        <v>68860.871400000004</v>
      </c>
      <c r="AC58" s="2014">
        <f>+((AC22+AC23)/((100-AC63)/100))-(AC22+AC23)</f>
        <v>15229.989884393071</v>
      </c>
      <c r="AD58" s="629">
        <f>+AD57-((AD49/100)*AD57)</f>
        <v>10768.582399999999</v>
      </c>
      <c r="AE58" s="2016">
        <f t="shared" ref="AE58" si="351">+AA58+AC58</f>
        <v>97979.908434083176</v>
      </c>
      <c r="AF58" s="460">
        <f t="shared" si="315"/>
        <v>79629.453800000003</v>
      </c>
      <c r="AG58" s="2014">
        <f>+((AG22+AG23)/((100-AG63)/100))-(AG22+AG23)</f>
        <v>14730.645953757223</v>
      </c>
      <c r="AH58" s="629">
        <f>+AH57-((AH49/100)*AH57)</f>
        <v>11968.504800000001</v>
      </c>
      <c r="AI58" s="2016">
        <f t="shared" ref="AI58" si="352">+AE58+AG58</f>
        <v>112710.5543878404</v>
      </c>
      <c r="AJ58" s="460">
        <f t="shared" si="316"/>
        <v>91597.958599999998</v>
      </c>
      <c r="AK58" s="2014">
        <f>+((AK22+AK23)/((100-AK63)/100))-(AK22+AK23)</f>
        <v>15037.205202312136</v>
      </c>
      <c r="AL58" s="629">
        <f>+AL57-((AL49/100)*AL57)</f>
        <v>11244.013800000001</v>
      </c>
      <c r="AM58" s="162">
        <f t="shared" ref="AM58" si="353">+AK58+AG58+AC58</f>
        <v>44997.84104046243</v>
      </c>
      <c r="AN58" s="163">
        <f t="shared" si="317"/>
        <v>33981.101000000002</v>
      </c>
      <c r="AO58" s="2016">
        <f t="shared" ref="AO58" si="354">+AI58+AK58</f>
        <v>127747.75959015253</v>
      </c>
      <c r="AP58" s="460">
        <f t="shared" si="318"/>
        <v>102841.9724</v>
      </c>
      <c r="AQ58" s="2014">
        <f>+((AQ22+AQ23)/((100-AQ63)/100))-(AQ22+AQ23)</f>
        <v>14651.635838150294</v>
      </c>
      <c r="AR58" s="629">
        <f>+AR57-((AR49/100)*AR57)</f>
        <v>9838.9699999999993</v>
      </c>
      <c r="AS58" s="2016">
        <f t="shared" ref="AS58" si="355">+AO58+AQ58</f>
        <v>142399.39542830281</v>
      </c>
      <c r="AT58" s="460">
        <f t="shared" si="319"/>
        <v>112680.9424</v>
      </c>
      <c r="AU58" s="2014">
        <f>+((AU22+AU23)/((100-AU63)/100))-(AU22+AU23)</f>
        <v>12983.524116763016</v>
      </c>
      <c r="AV58" s="629">
        <f>+AV57-((AV49/100)*AV57)</f>
        <v>9849</v>
      </c>
      <c r="AW58" s="2016">
        <f t="shared" ref="AW58" si="356">+AS58+AU58</f>
        <v>155382.91954506584</v>
      </c>
      <c r="AX58" s="460">
        <f t="shared" si="320"/>
        <v>122529.9424</v>
      </c>
      <c r="AY58" s="2014">
        <f>+((AY22+AY23)/((100-AY63)/100))-(AY22+AY23)</f>
        <v>14651.635838150294</v>
      </c>
      <c r="AZ58" s="629">
        <f>+AZ57-((AZ49/100)*AZ57)</f>
        <v>12303.6752</v>
      </c>
      <c r="BA58" s="162">
        <f t="shared" ref="BA58" si="357">+AY58+AU58+AQ58</f>
        <v>42286.795793063604</v>
      </c>
      <c r="BB58" s="163">
        <f t="shared" si="321"/>
        <v>31991.645199999999</v>
      </c>
      <c r="BC58" s="2017">
        <f>+AM58+BA58</f>
        <v>87284.636833526034</v>
      </c>
      <c r="BD58" s="1189">
        <f t="shared" si="322"/>
        <v>65972.746199999994</v>
      </c>
      <c r="BE58" s="2016">
        <f t="shared" ref="BE58" si="358">+AW58+AY58</f>
        <v>170034.55538321612</v>
      </c>
      <c r="BF58" s="460">
        <f t="shared" si="323"/>
        <v>134833.6176</v>
      </c>
      <c r="BH58" s="4026">
        <v>2000</v>
      </c>
      <c r="BI58" s="4026"/>
      <c r="BJ58" s="4026"/>
    </row>
    <row r="59" spans="1:62" x14ac:dyDescent="0.25">
      <c r="B59" s="2491" t="s">
        <v>670</v>
      </c>
      <c r="C59" s="2261" t="s">
        <v>53</v>
      </c>
      <c r="D59" s="2522" t="s">
        <v>35</v>
      </c>
      <c r="E59" s="2522" t="s">
        <v>35</v>
      </c>
      <c r="F59" s="354">
        <v>4274</v>
      </c>
      <c r="G59" s="2523" t="s">
        <v>35</v>
      </c>
      <c r="H59" s="190">
        <f>+RMHP!I24</f>
        <v>7925</v>
      </c>
      <c r="I59" s="2510" t="s">
        <v>35</v>
      </c>
      <c r="J59" s="100">
        <f t="shared" si="309"/>
        <v>12199</v>
      </c>
      <c r="K59" s="2523" t="s">
        <v>35</v>
      </c>
      <c r="L59" s="717">
        <v>9718</v>
      </c>
      <c r="M59" s="2511" t="s">
        <v>35</v>
      </c>
      <c r="N59" s="285">
        <f t="shared" si="310"/>
        <v>21917</v>
      </c>
      <c r="O59" s="2523" t="s">
        <v>35</v>
      </c>
      <c r="P59" s="717">
        <v>6408</v>
      </c>
      <c r="Q59" s="2510" t="s">
        <v>35</v>
      </c>
      <c r="R59" s="454">
        <f t="shared" si="311"/>
        <v>28325</v>
      </c>
      <c r="S59" s="2523" t="s">
        <v>35</v>
      </c>
      <c r="T59" s="717">
        <v>9400</v>
      </c>
      <c r="U59" s="2510" t="s">
        <v>35</v>
      </c>
      <c r="V59" s="454">
        <f t="shared" si="312"/>
        <v>37725</v>
      </c>
      <c r="W59" s="2523" t="s">
        <v>35</v>
      </c>
      <c r="X59" s="717">
        <v>5302</v>
      </c>
      <c r="Y59" s="2511" t="s">
        <v>35</v>
      </c>
      <c r="Z59" s="163">
        <f t="shared" si="313"/>
        <v>21110</v>
      </c>
      <c r="AA59" s="2512" t="s">
        <v>35</v>
      </c>
      <c r="AB59" s="1185">
        <f t="shared" si="314"/>
        <v>43027</v>
      </c>
      <c r="AC59" s="2523"/>
      <c r="AD59" s="717">
        <v>6796</v>
      </c>
      <c r="AE59" s="2510" t="s">
        <v>35</v>
      </c>
      <c r="AF59" s="454">
        <f t="shared" si="315"/>
        <v>49823</v>
      </c>
      <c r="AG59" s="2523"/>
      <c r="AH59" s="717">
        <v>5600</v>
      </c>
      <c r="AI59" s="2510" t="s">
        <v>35</v>
      </c>
      <c r="AJ59" s="454">
        <f t="shared" si="316"/>
        <v>55423</v>
      </c>
      <c r="AK59" s="2523"/>
      <c r="AL59" s="717">
        <v>10985</v>
      </c>
      <c r="AM59" s="2511" t="s">
        <v>35</v>
      </c>
      <c r="AN59" s="163">
        <f t="shared" si="317"/>
        <v>23381</v>
      </c>
      <c r="AO59" s="2510" t="s">
        <v>35</v>
      </c>
      <c r="AP59" s="454">
        <f t="shared" si="318"/>
        <v>66408</v>
      </c>
      <c r="AQ59" s="2523"/>
      <c r="AR59" s="717">
        <f>+RMHP!AS24</f>
        <v>15500</v>
      </c>
      <c r="AS59" s="2510" t="s">
        <v>35</v>
      </c>
      <c r="AT59" s="454">
        <f t="shared" si="319"/>
        <v>81908</v>
      </c>
      <c r="AU59" s="2523"/>
      <c r="AV59" s="717">
        <f>+RMHP!AW24</f>
        <v>10825</v>
      </c>
      <c r="AW59" s="2510" t="s">
        <v>35</v>
      </c>
      <c r="AX59" s="454">
        <f t="shared" si="320"/>
        <v>92733</v>
      </c>
      <c r="AY59" s="2523"/>
      <c r="AZ59" s="717">
        <f>+RMHP!BA24</f>
        <v>3001</v>
      </c>
      <c r="BA59" s="2511" t="s">
        <v>35</v>
      </c>
      <c r="BB59" s="163">
        <f t="shared" si="321"/>
        <v>29326</v>
      </c>
      <c r="BC59" s="2512" t="s">
        <v>35</v>
      </c>
      <c r="BD59" s="1124">
        <f t="shared" si="322"/>
        <v>52707</v>
      </c>
      <c r="BE59" s="2510" t="s">
        <v>35</v>
      </c>
      <c r="BF59" s="454">
        <f t="shared" si="323"/>
        <v>95734</v>
      </c>
      <c r="BH59" s="4026">
        <f>SUM(BH57:BH58)</f>
        <v>9922</v>
      </c>
      <c r="BI59" s="4026"/>
      <c r="BJ59" s="4026"/>
    </row>
    <row r="60" spans="1:62" ht="15.75" thickBot="1" x14ac:dyDescent="0.3">
      <c r="A60" s="332" t="s">
        <v>515</v>
      </c>
      <c r="B60" s="2054" t="s">
        <v>671</v>
      </c>
      <c r="C60" s="2243" t="s">
        <v>53</v>
      </c>
      <c r="D60" s="1102">
        <f>+(D27/((100-D64)/100))-D27</f>
        <v>132410.88712055446</v>
      </c>
      <c r="E60" s="1102">
        <f>+(E27/((100-E64)/100))-E27</f>
        <v>5096.5690909090918</v>
      </c>
      <c r="F60" s="1642">
        <f>+F59-((F50/100)*F59)</f>
        <v>4058.163</v>
      </c>
      <c r="G60" s="2014">
        <f>+(G27/((100-G64)/100))-G27</f>
        <v>6695.4927272727291</v>
      </c>
      <c r="H60" s="1642">
        <f>+H59-((H50/100)*H59)</f>
        <v>7539.8450000000003</v>
      </c>
      <c r="I60" s="2016">
        <f>+E60+G60</f>
        <v>11792.061818181821</v>
      </c>
      <c r="J60" s="101">
        <f t="shared" si="309"/>
        <v>11598.008</v>
      </c>
      <c r="K60" s="2014">
        <f>+(K27/((100-K64)/100))-K27</f>
        <v>11873.157226363634</v>
      </c>
      <c r="L60" s="1647">
        <f>+L59-((L50/100)*L59)</f>
        <v>9021.2194</v>
      </c>
      <c r="M60" s="2013">
        <f>+I60+K60</f>
        <v>23665.219044545454</v>
      </c>
      <c r="N60" s="169">
        <f t="shared" si="310"/>
        <v>20619.2274</v>
      </c>
      <c r="O60" s="2014">
        <f>+(O27/((100-O64)/100))-O27</f>
        <v>12275.647934364984</v>
      </c>
      <c r="P60" s="1647">
        <f>+P59-((P50/100)*P59)</f>
        <v>5896.6415999999999</v>
      </c>
      <c r="Q60" s="2016">
        <f>+M60+O60</f>
        <v>35940.866978910439</v>
      </c>
      <c r="R60" s="101">
        <f t="shared" si="311"/>
        <v>26515.868999999999</v>
      </c>
      <c r="S60" s="2014">
        <f>+(S27/((100-S64)/100))-S27</f>
        <v>12275.647934364984</v>
      </c>
      <c r="T60" s="1647">
        <f>+T59-((T50/100)*T59)</f>
        <v>9323.86</v>
      </c>
      <c r="U60" s="2016">
        <f>+Q60+S60</f>
        <v>48216.514913275423</v>
      </c>
      <c r="V60" s="101">
        <f t="shared" si="312"/>
        <v>35839.728999999999</v>
      </c>
      <c r="W60" s="2014">
        <f>+(W27/((100-W64)/100))-W27</f>
        <v>11939.498219887901</v>
      </c>
      <c r="X60" s="1647">
        <f>+X59-((X50/100)*X59)</f>
        <v>4919.1956</v>
      </c>
      <c r="Y60" s="162">
        <f t="shared" ref="Y60" si="359">+W60+S60+O60</f>
        <v>36490.794088617869</v>
      </c>
      <c r="Z60" s="163">
        <f t="shared" ref="Z60" si="360">+X60+T60+P60</f>
        <v>20139.697199999999</v>
      </c>
      <c r="AA60" s="2017">
        <f>+U60+W60</f>
        <v>60156.013133163324</v>
      </c>
      <c r="AB60" s="1150">
        <f t="shared" si="314"/>
        <v>40758.924599999998</v>
      </c>
      <c r="AC60" s="2014">
        <f>+(AC27/((100-AC64)/100))-AC27</f>
        <v>12344.226973104451</v>
      </c>
      <c r="AD60" s="1647">
        <f>+AD59-((AD50/100)*AD59)</f>
        <v>6422.22</v>
      </c>
      <c r="AE60" s="2016">
        <f>+AA60+AC60</f>
        <v>72500.240106267767</v>
      </c>
      <c r="AF60" s="101">
        <f t="shared" si="315"/>
        <v>47181.1446</v>
      </c>
      <c r="AG60" s="2014">
        <f>+(AG27/((100-AG64)/100))-AG27</f>
        <v>11939.498219887901</v>
      </c>
      <c r="AH60" s="1647">
        <f>+AH59-((AH50/100)*AH59)</f>
        <v>5300.4</v>
      </c>
      <c r="AI60" s="2016">
        <f>+AE60+AG60</f>
        <v>84439.738326155668</v>
      </c>
      <c r="AJ60" s="101">
        <f t="shared" si="316"/>
        <v>52481.544600000001</v>
      </c>
      <c r="AK60" s="2014">
        <f>+(AK27/((100-AK64)/100))-AK27</f>
        <v>12344.226973104451</v>
      </c>
      <c r="AL60" s="1647">
        <f>+AL59-((AL50/100)*AL59)</f>
        <v>10380.825000000001</v>
      </c>
      <c r="AM60" s="162">
        <f t="shared" ref="AM60" si="361">+AK60+AG60+AC60</f>
        <v>36627.952166096802</v>
      </c>
      <c r="AN60" s="163">
        <f t="shared" si="317"/>
        <v>22103.445</v>
      </c>
      <c r="AO60" s="2016">
        <f>+AI60+AK60</f>
        <v>96783.965299260119</v>
      </c>
      <c r="AP60" s="385">
        <f t="shared" si="318"/>
        <v>62862.369600000005</v>
      </c>
      <c r="AQ60" s="2014">
        <f>+(AQ27/((100-AQ64)/100))-AQ27</f>
        <v>12344.226973104451</v>
      </c>
      <c r="AR60" s="1647">
        <f>+AR59-((AR50/100)*AR59)</f>
        <v>14745.15</v>
      </c>
      <c r="AS60" s="2016">
        <f>+AO60+AQ60</f>
        <v>109128.19227236457</v>
      </c>
      <c r="AT60" s="101">
        <f t="shared" si="319"/>
        <v>77607.5196</v>
      </c>
      <c r="AU60" s="2014">
        <f>+(AU27/((100-AU64)/100))-AU27</f>
        <v>10938.817370192817</v>
      </c>
      <c r="AV60" s="1647">
        <f>+AV59-((AV50/100)*AV59)</f>
        <v>10270.76</v>
      </c>
      <c r="AW60" s="2016">
        <f>+AS60+AU60</f>
        <v>120067.00964255739</v>
      </c>
      <c r="AX60" s="101">
        <f t="shared" si="320"/>
        <v>87878.279599999994</v>
      </c>
      <c r="AY60" s="2014">
        <f>+(AY27/((100-AY64)/100))-AY27</f>
        <v>12344.226973104451</v>
      </c>
      <c r="AZ60" s="1647">
        <f>+AZ59-((AZ50/100)*AZ59)</f>
        <v>2845.2480999999998</v>
      </c>
      <c r="BA60" s="162">
        <f t="shared" ref="BA60" si="362">+AY60+AU60+AQ60</f>
        <v>35627.271316401719</v>
      </c>
      <c r="BB60" s="163">
        <f t="shared" si="321"/>
        <v>27861.158100000001</v>
      </c>
      <c r="BC60" s="2017">
        <f>+AM60+BA60</f>
        <v>72255.223482498521</v>
      </c>
      <c r="BD60" s="1150">
        <f t="shared" si="322"/>
        <v>49964.6031</v>
      </c>
      <c r="BE60" s="2016">
        <f>+AW60+AY60</f>
        <v>132411.23661566182</v>
      </c>
      <c r="BF60" s="101">
        <f t="shared" si="323"/>
        <v>90723.527699999991</v>
      </c>
      <c r="BH60" s="4026"/>
      <c r="BI60" s="4026"/>
      <c r="BJ60" s="4026"/>
    </row>
    <row r="61" spans="1:62" ht="30.75" hidden="1" customHeight="1" thickBot="1" x14ac:dyDescent="0.3">
      <c r="B61" s="2524" t="s">
        <v>656</v>
      </c>
      <c r="C61" s="2506" t="s">
        <v>52</v>
      </c>
      <c r="D61" s="2525"/>
      <c r="E61" s="2525" t="s">
        <v>35</v>
      </c>
      <c r="F61" s="1648">
        <f>+(F54/(F56+F26+F80))*100</f>
        <v>0</v>
      </c>
      <c r="G61" s="2526" t="s">
        <v>35</v>
      </c>
      <c r="H61" s="1648">
        <f>+(H54/(H56+H26+H80))*100</f>
        <v>0</v>
      </c>
      <c r="I61" s="2527" t="s">
        <v>35</v>
      </c>
      <c r="J61" s="1649">
        <f>+(J54/(J56+J26+J80))*100</f>
        <v>0</v>
      </c>
      <c r="K61" s="2525" t="s">
        <v>35</v>
      </c>
      <c r="L61" s="1648">
        <f>+(L54/(L56+L26+L80))*100</f>
        <v>0</v>
      </c>
      <c r="M61" s="2528" t="s">
        <v>35</v>
      </c>
      <c r="N61" s="1650">
        <f>+(N54/(N56+N26+N80))*100</f>
        <v>0</v>
      </c>
      <c r="O61" s="2526" t="s">
        <v>35</v>
      </c>
      <c r="P61" s="1651">
        <f>+(P54/(P56+P26+P80))*100</f>
        <v>0</v>
      </c>
      <c r="Q61" s="2527" t="s">
        <v>35</v>
      </c>
      <c r="R61" s="1649">
        <f>+(R54/(R56+R26+R80))*100</f>
        <v>0</v>
      </c>
      <c r="S61" s="2526" t="s">
        <v>35</v>
      </c>
      <c r="T61" s="1651">
        <f>+(T54/(T56+T26+T80))*100</f>
        <v>0</v>
      </c>
      <c r="U61" s="2527" t="s">
        <v>35</v>
      </c>
      <c r="V61" s="1649">
        <f>+(V54/(V56+V26+V80))*100</f>
        <v>0</v>
      </c>
      <c r="W61" s="2526" t="s">
        <v>35</v>
      </c>
      <c r="X61" s="1651">
        <f>+(X54/(X56+X26+X80))*100</f>
        <v>0</v>
      </c>
      <c r="Y61" s="2529" t="s">
        <v>35</v>
      </c>
      <c r="Z61" s="265">
        <f>+(Z54/(Z56+Z26+Z80))*100</f>
        <v>0</v>
      </c>
      <c r="AA61" s="2530" t="s">
        <v>35</v>
      </c>
      <c r="AB61" s="1190">
        <f>+(AB54/(AB56+AB26+AB80))*100</f>
        <v>0</v>
      </c>
      <c r="AC61" s="2526" t="s">
        <v>35</v>
      </c>
      <c r="AD61" s="1651">
        <f>+(AD54/(AD56+AD26+AD80))*100</f>
        <v>0</v>
      </c>
      <c r="AE61" s="2527" t="s">
        <v>35</v>
      </c>
      <c r="AF61" s="1649">
        <f>+(AF54/(AF56+AF26+AF80))*100</f>
        <v>0</v>
      </c>
      <c r="AG61" s="2526" t="s">
        <v>35</v>
      </c>
      <c r="AH61" s="1651">
        <f>+(AH54/(AH56+AH26+AH80))*100</f>
        <v>0</v>
      </c>
      <c r="AI61" s="2527" t="s">
        <v>35</v>
      </c>
      <c r="AJ61" s="1649">
        <f>+(AJ54/(AJ56+AJ26+AJ80))*100</f>
        <v>0</v>
      </c>
      <c r="AK61" s="2526" t="s">
        <v>35</v>
      </c>
      <c r="AL61" s="1651">
        <f>+(AL54/(AL56+AL26+AL80))*100</f>
        <v>0</v>
      </c>
      <c r="AM61" s="2529" t="s">
        <v>35</v>
      </c>
      <c r="AN61" s="265">
        <f>+(AN54/(AN56+AN26+AN80))*100</f>
        <v>0</v>
      </c>
      <c r="AO61" s="3692" t="s">
        <v>35</v>
      </c>
      <c r="AP61" s="990">
        <f>+(AP54/(AP56+AP26+AP80))*100</f>
        <v>0</v>
      </c>
      <c r="AQ61" s="2526" t="s">
        <v>35</v>
      </c>
      <c r="AR61" s="1651">
        <f>+(AR54/(AR56+AR26+AR80))*100</f>
        <v>0</v>
      </c>
      <c r="AS61" s="2527" t="s">
        <v>35</v>
      </c>
      <c r="AT61" s="1649">
        <f>+(AT54/(AT56+AT26+AT80))*100</f>
        <v>0</v>
      </c>
      <c r="AU61" s="2526" t="s">
        <v>35</v>
      </c>
      <c r="AV61" s="1651">
        <f>+(AV54/(AV56+AV26+AV80))*100</f>
        <v>0</v>
      </c>
      <c r="AW61" s="2527" t="s">
        <v>35</v>
      </c>
      <c r="AX61" s="1649">
        <f>+(AX54/(AX56+AX26+AX80))*100</f>
        <v>0</v>
      </c>
      <c r="AY61" s="2526" t="s">
        <v>35</v>
      </c>
      <c r="AZ61" s="1651">
        <f>+(AZ54/(AZ56+AZ26+AZ80))*100</f>
        <v>0</v>
      </c>
      <c r="BA61" s="2529" t="s">
        <v>35</v>
      </c>
      <c r="BB61" s="265">
        <f>+(BB54/(BB56+BB26+BB80))*100</f>
        <v>0</v>
      </c>
      <c r="BC61" s="2530" t="s">
        <v>35</v>
      </c>
      <c r="BD61" s="1190">
        <f>+(BD54/(BD56+BD26+BD80))*100</f>
        <v>0</v>
      </c>
      <c r="BE61" s="2527" t="s">
        <v>35</v>
      </c>
      <c r="BF61" s="1649">
        <f>+(BF54/(BF56+BF26+BF80))*100</f>
        <v>0</v>
      </c>
    </row>
    <row r="62" spans="1:62" ht="28.5" x14ac:dyDescent="0.25">
      <c r="A62" s="467" t="s">
        <v>728</v>
      </c>
      <c r="B62" s="2531" t="s">
        <v>655</v>
      </c>
      <c r="C62" s="3557" t="s">
        <v>52</v>
      </c>
      <c r="D62" s="2532">
        <v>15</v>
      </c>
      <c r="E62" s="2532">
        <v>15</v>
      </c>
      <c r="F62" s="1652">
        <f>+(F52/(F56+F26+F80))*100</f>
        <v>17.516920361752881</v>
      </c>
      <c r="G62" s="2533">
        <v>15</v>
      </c>
      <c r="H62" s="1652">
        <f>+(H52/(H56+H26+H80))*100</f>
        <v>21.344981500281424</v>
      </c>
      <c r="I62" s="2534">
        <f>+(I52/(I56+I26+I80))*100</f>
        <v>15</v>
      </c>
      <c r="J62" s="1653">
        <f>+(J52/(J56+J26+J80))*100</f>
        <v>19.444524264097737</v>
      </c>
      <c r="K62" s="2533">
        <v>15</v>
      </c>
      <c r="L62" s="1652">
        <f>+(L52/(L56+L26+L80))*100</f>
        <v>18.841911358686769</v>
      </c>
      <c r="M62" s="1654">
        <f>+(M52/(M56+M26+M80))*100</f>
        <v>15</v>
      </c>
      <c r="N62" s="1654">
        <f>+(N52/(N56+N26+N80))*100</f>
        <v>19.147031002595014</v>
      </c>
      <c r="O62" s="2533">
        <v>15</v>
      </c>
      <c r="P62" s="1713">
        <f>+(P52/(P56+P26+P80))*100</f>
        <v>17.819809695681364</v>
      </c>
      <c r="Q62" s="2534">
        <f>+(Q52/(Q56+Q26+Q80))*100</f>
        <v>15.000000000000002</v>
      </c>
      <c r="R62" s="1655">
        <f>+(R52/(R56+R26+R80))*100</f>
        <v>18.723546862509373</v>
      </c>
      <c r="S62" s="2533">
        <v>15</v>
      </c>
      <c r="T62" s="1713">
        <f>+(T52/(T56+T26+T80))*100</f>
        <v>19.546185658517004</v>
      </c>
      <c r="U62" s="2534">
        <f>+(U52/(U56+U26+U80))*100</f>
        <v>15</v>
      </c>
      <c r="V62" s="1655">
        <f>+(V52/(V56+V26+V80))*100</f>
        <v>18.93691767712054</v>
      </c>
      <c r="W62" s="2532">
        <v>15</v>
      </c>
      <c r="X62" s="1713">
        <f>+(X52/(X56+X26+X80))*100</f>
        <v>18.427413397287889</v>
      </c>
      <c r="Y62" s="458">
        <f>+(Y52/(Y56+Y26+Y80))*100</f>
        <v>15.000000000000002</v>
      </c>
      <c r="Z62" s="458">
        <f>+(Z52/(Z56+Z26+Z80))*100</f>
        <v>18.623815303421988</v>
      </c>
      <c r="AA62" s="2535">
        <f>+(AA52/(AA56+AA26+AA80))*100</f>
        <v>15.000000000000005</v>
      </c>
      <c r="AB62" s="1190">
        <f>+(AB52/(AB56+AB26+AB80))*100</f>
        <v>18.83478658191709</v>
      </c>
      <c r="AC62" s="2532">
        <v>15</v>
      </c>
      <c r="AD62" s="1713">
        <f>+(AD52/(AD56+AD26+AD80))*100</f>
        <v>16.507779248755774</v>
      </c>
      <c r="AE62" s="2534">
        <f>+(AE52/(AE56+AE26+AE80))*100</f>
        <v>15.000000000000005</v>
      </c>
      <c r="AF62" s="1655">
        <f>+(AF52/(AF56+AF26+AF80))*100</f>
        <v>18.424470149888013</v>
      </c>
      <c r="AG62" s="2532">
        <v>15</v>
      </c>
      <c r="AH62" s="1713">
        <f>+(AH52/(AH56+AH26+AH80))*100</f>
        <v>16.383838840690952</v>
      </c>
      <c r="AI62" s="2534">
        <f>+(AI52/(AI56+AI26+AI80))*100</f>
        <v>15.000000000000002</v>
      </c>
      <c r="AJ62" s="1655">
        <f>+(AJ52/(AJ56+AJ26+AJ80))*100</f>
        <v>18.139345190446125</v>
      </c>
      <c r="AK62" s="2532">
        <v>15</v>
      </c>
      <c r="AL62" s="1713">
        <f>+(AL52/(AL56+AL26+AL80))*100</f>
        <v>14.986539189915002</v>
      </c>
      <c r="AM62" s="458">
        <f>+(AM52/(AM56+AM26+AM80))*100</f>
        <v>15.000000000000005</v>
      </c>
      <c r="AN62" s="458">
        <f>+(AN52/(AN56+AN26+AN80))*100</f>
        <v>15.932483855537127</v>
      </c>
      <c r="AO62" s="2537">
        <f>+(AO52/(AO56+AO26+AO80))*100</f>
        <v>15.000000000000002</v>
      </c>
      <c r="AP62" s="990">
        <f>+(AP52/(AP56+AP26+AP80))*100</f>
        <v>17.707001983020056</v>
      </c>
      <c r="AQ62" s="2532">
        <v>15</v>
      </c>
      <c r="AR62" s="1713">
        <f>+(AR52/(AR56+AR26+AR80))*100</f>
        <v>15.603516863356667</v>
      </c>
      <c r="AS62" s="2534">
        <f>+(AS52/(AS56+AS26+AS80))*100</f>
        <v>15.000000000000002</v>
      </c>
      <c r="AT62" s="1655">
        <f>+(AT52/(AT56+AT26+AT80))*100</f>
        <v>17.456248244796317</v>
      </c>
      <c r="AU62" s="2532">
        <v>15</v>
      </c>
      <c r="AV62" s="1713">
        <f>+(AV52/(AV56+AV26+AV80))*100</f>
        <v>15.390289723166074</v>
      </c>
      <c r="AW62" s="2534">
        <f>+(AW52/(AW56+AW26+AW80))*100</f>
        <v>15.000000000000002</v>
      </c>
      <c r="AX62" s="1655">
        <f>+(AX52/(AX56+AX26+AX80))*100</f>
        <v>17.253435708396111</v>
      </c>
      <c r="AY62" s="2532">
        <v>15</v>
      </c>
      <c r="AZ62" s="1713">
        <f>+(AZ52/(AZ56+AZ26+AZ80))*100</f>
        <v>17.630104369533889</v>
      </c>
      <c r="BA62" s="458">
        <f>+(BA52/(BA56+BA26+BA80))*100</f>
        <v>15.000000000000007</v>
      </c>
      <c r="BB62" s="458">
        <f>+(BB52/(BB56+BB26+BB80))*100</f>
        <v>16.272091306649862</v>
      </c>
      <c r="BC62" s="2535">
        <f>+(BC52/(BC56+BC26+BC80))*100</f>
        <v>15.000000000000005</v>
      </c>
      <c r="BD62" s="1190">
        <f>+(BD52/(BD56+BD26+BD80))*100</f>
        <v>16.105970266674717</v>
      </c>
      <c r="BE62" s="2534">
        <f t="shared" ref="BE62:BF62" si="363">+(BE52/(BE56+BE26+BE80))*100</f>
        <v>15.000000000000002</v>
      </c>
      <c r="BF62" s="1655">
        <f t="shared" si="363"/>
        <v>17.292790562075457</v>
      </c>
    </row>
    <row r="63" spans="1:62" x14ac:dyDescent="0.25">
      <c r="A63" s="467" t="s">
        <v>728</v>
      </c>
      <c r="B63" s="673" t="s">
        <v>653</v>
      </c>
      <c r="C63" s="3558" t="s">
        <v>52</v>
      </c>
      <c r="D63" s="2043">
        <v>13.774984418390984</v>
      </c>
      <c r="E63" s="2043">
        <v>15</v>
      </c>
      <c r="F63" s="988">
        <f>+(F58/(F58+F22+F23+F31))*100</f>
        <v>13.955049914707235</v>
      </c>
      <c r="G63" s="2536">
        <v>17</v>
      </c>
      <c r="H63" s="988">
        <f>+(H58/(H58+H22+H23+H31))*100</f>
        <v>20.840351812086002</v>
      </c>
      <c r="I63" s="2537">
        <f>+(I58/(I58+I22+I23))*100</f>
        <v>16.189807866365726</v>
      </c>
      <c r="J63" s="990">
        <f>+(J58/(J58+J22+J23+J31))*100</f>
        <v>17.462070619263496</v>
      </c>
      <c r="K63" s="2536">
        <v>13.5</v>
      </c>
      <c r="L63" s="988">
        <f>+(L58/(L58+L22+L23+L31))*100</f>
        <v>12.340552832544322</v>
      </c>
      <c r="M63" s="2538">
        <f>+(M58/(M58+M22+M23))*100</f>
        <v>14.921275311288126</v>
      </c>
      <c r="N63" s="458">
        <f>+(N58/(N58+N22+N23+N31))*100</f>
        <v>14.977113307883311</v>
      </c>
      <c r="O63" s="2536">
        <v>13.5</v>
      </c>
      <c r="P63" s="988">
        <f>+(P58/(P58+P22+P23+P31))*100</f>
        <v>13.74720975786577</v>
      </c>
      <c r="Q63" s="2537">
        <f>+(Q58/(Q58+Q22+Q23))*100</f>
        <v>14.451615778468963</v>
      </c>
      <c r="R63" s="1656">
        <f>+(R58/(R58+R22+R23+R31))*100</f>
        <v>14.582665274053749</v>
      </c>
      <c r="S63" s="2536">
        <v>13.5</v>
      </c>
      <c r="T63" s="988">
        <f>+(T58/(T58+T22+T23+T31))*100</f>
        <v>11.947350611247849</v>
      </c>
      <c r="U63" s="2537">
        <f>+(U58/(U58+U22+U23))*100</f>
        <v>14.215258918616358</v>
      </c>
      <c r="V63" s="1656">
        <f>+(V58/(V58+V22+V23+V31))*100</f>
        <v>13.939748169865759</v>
      </c>
      <c r="W63" s="2043">
        <v>13.5</v>
      </c>
      <c r="X63" s="988">
        <f>+(X58/(X58+X22+X23+X31))*100</f>
        <v>7.2957009771570931</v>
      </c>
      <c r="Y63" s="458">
        <f>+(Y58/(Y58+Y22+Y23))*100</f>
        <v>13.500000000000004</v>
      </c>
      <c r="Z63" s="458">
        <f>+(Z58/(Z58+Z22+Z23+Z31))*100</f>
        <v>11.110260413803715</v>
      </c>
      <c r="AA63" s="2535">
        <f>+(AA58/(AA58+AA22+AA23))*100</f>
        <v>14.077444607664708</v>
      </c>
      <c r="AB63" s="1190">
        <f>+(AB58/(AB58+AB22+AB23+AB31))*100</f>
        <v>12.736494101344597</v>
      </c>
      <c r="AC63" s="2043">
        <v>13.5</v>
      </c>
      <c r="AD63" s="988">
        <f>+(AD58/(AD58+AD22+AD23+AD31))*100</f>
        <v>9.6738349020675649</v>
      </c>
      <c r="AE63" s="2537">
        <f>+(AE58/(AE58+AE22+AE23))*100</f>
        <v>13.984465575445098</v>
      </c>
      <c r="AF63" s="1656">
        <f>+(AF58/(AF58+AF22+AF23+AF31))*100</f>
        <v>12.213582969315116</v>
      </c>
      <c r="AG63" s="2043">
        <v>13.5</v>
      </c>
      <c r="AH63" s="988">
        <f>+(AH58/(AH58+AH22+AH23+AH31))*100</f>
        <v>11.385725874594062</v>
      </c>
      <c r="AI63" s="2537">
        <f>+(AI58/(AI58+AI22+AI23))*100</f>
        <v>13.919182577276306</v>
      </c>
      <c r="AJ63" s="1656">
        <f>+(AJ58/(AJ58+AJ22+AJ23+AJ31))*100</f>
        <v>12.098639240394382</v>
      </c>
      <c r="AK63" s="2043">
        <v>13.5</v>
      </c>
      <c r="AL63" s="988">
        <f>+(AL58/(AL58+AL22+AL23+AL31))*100</f>
        <v>10.072662489113561</v>
      </c>
      <c r="AM63" s="458">
        <f>+(AM58/(AM58+AM22+AM23))*100</f>
        <v>13.5</v>
      </c>
      <c r="AN63" s="458">
        <f>+(AN58/(AN58+AN22+AN23+AN31))*100</f>
        <v>10.358067492425818</v>
      </c>
      <c r="AO63" s="2537">
        <f>+(AO58/(AO58+AO22+AO23))*100</f>
        <v>13.868493710402111</v>
      </c>
      <c r="AP63" s="990">
        <f>+(AP58/(AP58+AP22+AP23+AP31))*100</f>
        <v>11.838305363369248</v>
      </c>
      <c r="AQ63" s="2043">
        <v>13.5</v>
      </c>
      <c r="AR63" s="3988">
        <f>+(AR58/(AR58+AR22+AR23+AR31))*100</f>
        <v>8.9583028517704566</v>
      </c>
      <c r="AS63" s="2537">
        <f>+(AS58/(AS58+AS22+AS23))*100</f>
        <v>13.829653142675284</v>
      </c>
      <c r="AT63" s="1656">
        <f>+(AT58/(AT58+AT22+AT23+AT31))*100</f>
        <v>11.515059860260589</v>
      </c>
      <c r="AU63" s="2043">
        <v>13.5</v>
      </c>
      <c r="AV63" s="3988">
        <f>+(AV58/(AV58+AV22+AV23+AV31))*100</f>
        <v>9.9558616592659206</v>
      </c>
      <c r="AW63" s="2537">
        <f>+(AW58/(AW58+AW22+AW23))*100</f>
        <v>13.801492742316976</v>
      </c>
      <c r="AX63" s="1656">
        <f>+(AX58/(AX58+AX22+AX23+AX31))*100</f>
        <v>11.37190516099459</v>
      </c>
      <c r="AY63" s="2043">
        <v>13.5</v>
      </c>
      <c r="AZ63" s="3988">
        <f>+(AZ58/(AZ58+AZ22+AZ23+AZ31))*100</f>
        <v>10.921981915637465</v>
      </c>
      <c r="BA63" s="458">
        <f>+(BA58/(BA58+BA22+BA23))*100</f>
        <v>13.500000000000004</v>
      </c>
      <c r="BB63" s="458">
        <f>+(BB58/(BB58+BB22+BB23+BB31))*100</f>
        <v>9.953594701815268</v>
      </c>
      <c r="BC63" s="2535">
        <f>+(BC58/(BC58+BC22+BC23))*100</f>
        <v>13.5</v>
      </c>
      <c r="BD63" s="1190">
        <f>+(BD58/(BD58+BD22+BD23+BD31))*100</f>
        <v>10.157903726605317</v>
      </c>
      <c r="BE63" s="2537">
        <f>+(BE58/(BE58+BE22+BE23))*100</f>
        <v>13.774984365595152</v>
      </c>
      <c r="BF63" s="1656">
        <f>+(BF58/(BF58+BF22+BF23+BF31))*100</f>
        <v>11.329318124351886</v>
      </c>
      <c r="BJ63" s="3987">
        <f>+AR57-BH57</f>
        <v>2258</v>
      </c>
    </row>
    <row r="64" spans="1:62" ht="15.75" thickBot="1" x14ac:dyDescent="0.3">
      <c r="A64" s="467" t="s">
        <v>728</v>
      </c>
      <c r="B64" s="2539" t="s">
        <v>672</v>
      </c>
      <c r="C64" s="3559" t="s">
        <v>52</v>
      </c>
      <c r="D64" s="2540">
        <v>12</v>
      </c>
      <c r="E64" s="2540">
        <v>12</v>
      </c>
      <c r="F64" s="1644">
        <f>+(F60/(F60+F27))*100</f>
        <v>8.8515029817657425</v>
      </c>
      <c r="G64" s="2541">
        <f>+E64</f>
        <v>12</v>
      </c>
      <c r="H64" s="1644">
        <f>+(H60/(H60+H27))*100</f>
        <v>15.586789035812213</v>
      </c>
      <c r="I64" s="2542">
        <f>+(I60/(I60+I27))*100</f>
        <v>12.000000000000002</v>
      </c>
      <c r="J64" s="1657">
        <f>+(J60/(J60+J27))*100</f>
        <v>12.309435779919923</v>
      </c>
      <c r="K64" s="2541">
        <v>12</v>
      </c>
      <c r="L64" s="1644">
        <f>+(L60/(L60+L27))*100</f>
        <v>10.464332542141079</v>
      </c>
      <c r="M64" s="2543">
        <f>+(M60/(M60+M27))*100</f>
        <v>12.000000000000002</v>
      </c>
      <c r="N64" s="1645">
        <f>+(N60/(N60+N27))*100</f>
        <v>11.427846324584388</v>
      </c>
      <c r="O64" s="2541">
        <v>12</v>
      </c>
      <c r="P64" s="1646">
        <f>+(P60/(P60+P27))*100</f>
        <v>6.7880760791829751</v>
      </c>
      <c r="Q64" s="2542">
        <f>+(Q60/(Q60+Q27))*100</f>
        <v>12.000000000000002</v>
      </c>
      <c r="R64" s="1658">
        <f>+(R60/(R60+R27))*100</f>
        <v>9.9199902592367479</v>
      </c>
      <c r="S64" s="2541">
        <v>12</v>
      </c>
      <c r="T64" s="1646">
        <f>+(T60/(T60+T27))*100</f>
        <v>10.230052360133971</v>
      </c>
      <c r="U64" s="2542">
        <f>+(U60/(U60+U27))*100</f>
        <v>12.000000000000002</v>
      </c>
      <c r="V64" s="1658">
        <f>+(V60/(V60+V27))*100</f>
        <v>9.9988310708961023</v>
      </c>
      <c r="W64" s="2540">
        <v>12</v>
      </c>
      <c r="X64" s="1646">
        <f>+(X60/(X60+X27))*100</f>
        <v>5.3315253414436867</v>
      </c>
      <c r="Y64" s="458">
        <f>+(Y60/(Y60+Y27))*100</f>
        <v>11.999999999999998</v>
      </c>
      <c r="Z64" s="458">
        <f>+(Z60/(Z60+Z27))*100</f>
        <v>7.4515383397926902</v>
      </c>
      <c r="AA64" s="2535">
        <f>+(AA60/(AA60+AA27))*100</f>
        <v>12.000000000000002</v>
      </c>
      <c r="AB64" s="1190">
        <f>+(AB60/(AB60+AB27))*100</f>
        <v>9.0433631353602433</v>
      </c>
      <c r="AC64" s="2540">
        <v>12</v>
      </c>
      <c r="AD64" s="1646">
        <f>+(AD60/(AD60+AD27))*100</f>
        <v>5.2023593373804831</v>
      </c>
      <c r="AE64" s="2542">
        <f>+(AE60/(AE60+AE27))*100</f>
        <v>12.000000000000002</v>
      </c>
      <c r="AF64" s="1658">
        <f>+(AF60/(AF60+AF27))*100</f>
        <v>8.2175125649293879</v>
      </c>
      <c r="AG64" s="2540">
        <v>12</v>
      </c>
      <c r="AH64" s="1646">
        <f>+(AH60/(AH60+AH27))*100</f>
        <v>5.259773509413292</v>
      </c>
      <c r="AI64" s="2542">
        <f>+(AI60/(AI60+AI27))*100</f>
        <v>12</v>
      </c>
      <c r="AJ64" s="1658">
        <f>+(AJ60/(AJ60+AJ27))*100</f>
        <v>7.7758960600582556</v>
      </c>
      <c r="AK64" s="2540">
        <v>12</v>
      </c>
      <c r="AL64" s="1646">
        <f>+(AL60/(AL60+AL27))*100</f>
        <v>10.153803718021544</v>
      </c>
      <c r="AM64" s="458">
        <f>+(AM60/(AM60+AM27))*100</f>
        <v>12.000000000000002</v>
      </c>
      <c r="AN64" s="458">
        <f>+(AN60/(AN60+AN27))*100</f>
        <v>6.7707179130741313</v>
      </c>
      <c r="AO64" s="2537">
        <f>+(AO60/(AO60+AO27))*100</f>
        <v>12</v>
      </c>
      <c r="AP64" s="990">
        <f>+(AP60/(AP60+AP27))*100</f>
        <v>8.0887103825408992</v>
      </c>
      <c r="AQ64" s="2540">
        <v>12</v>
      </c>
      <c r="AR64" s="1646">
        <f>+(AR60/(AR60+AR27))*100</f>
        <v>14.073112117370862</v>
      </c>
      <c r="AS64" s="2542">
        <f>+(AS60/(AS60+AS27))*100</f>
        <v>12.000000000000002</v>
      </c>
      <c r="AT64" s="1658">
        <f>+(AT60/(AT60+AT27))*100</f>
        <v>8.7996654346673289</v>
      </c>
      <c r="AU64" s="2540">
        <v>12</v>
      </c>
      <c r="AV64" s="1646">
        <f>+(AV60/(AV60+AV27))*100</f>
        <v>10.467352795882931</v>
      </c>
      <c r="AW64" s="2542">
        <f>+(AW60/(AW60+AW27))*100</f>
        <v>12.000000000000002</v>
      </c>
      <c r="AX64" s="1658">
        <f>+(AX60/(AX60+AX27))*100</f>
        <v>8.966631468445966</v>
      </c>
      <c r="AY64" s="2540">
        <v>12</v>
      </c>
      <c r="AZ64" s="1646">
        <f>+(AZ60/(AZ60+AZ27))*100</f>
        <v>2.7844397205566231</v>
      </c>
      <c r="BA64" s="458">
        <f>+(BA60/(BA60+BA27))*100</f>
        <v>12.000000000000002</v>
      </c>
      <c r="BB64" s="458">
        <f>+(BB60/(BB60+BB27))*100</f>
        <v>9.1323792815977445</v>
      </c>
      <c r="BC64" s="2535">
        <f>+(BC60/(BC60+BC27))*100</f>
        <v>12</v>
      </c>
      <c r="BD64" s="1190">
        <f>+(BD60/(BD60+BD27))*100</f>
        <v>7.9115814865650984</v>
      </c>
      <c r="BE64" s="2542">
        <f t="shared" ref="BE64:BF64" si="364">+(BE60/(BE60+BE27))*100</f>
        <v>11.999999999999998</v>
      </c>
      <c r="BF64" s="1658">
        <f t="shared" si="364"/>
        <v>8.3829175383063834</v>
      </c>
    </row>
    <row r="65" spans="1:74" x14ac:dyDescent="0.25">
      <c r="B65" s="3541" t="s">
        <v>279</v>
      </c>
      <c r="C65" s="2544" t="s">
        <v>405</v>
      </c>
      <c r="D65" s="1101">
        <f>+'Maj Techno Summ'!D15</f>
        <v>908</v>
      </c>
      <c r="E65" s="1101">
        <f>+'Maj Techno Summ'!E15</f>
        <v>982</v>
      </c>
      <c r="F65" s="3543">
        <f>+'Maj Techno Summ'!F15</f>
        <v>948.46405595735609</v>
      </c>
      <c r="G65" s="3550">
        <f>+'Maj Techno Summ'!G15</f>
        <v>1051.5031216562909</v>
      </c>
      <c r="H65" s="3543">
        <f>+'Maj Techno Summ'!H15</f>
        <v>1024.9108226631874</v>
      </c>
      <c r="I65" s="1552">
        <f>+'Maj Techno Summ'!I15</f>
        <v>1021.6231030316935</v>
      </c>
      <c r="J65" s="1552">
        <f>+'Maj Techno Summ'!J15</f>
        <v>985.55052941563929</v>
      </c>
      <c r="K65" s="3550">
        <f>+'Maj Techno Summ'!K15</f>
        <v>906.6340969439907</v>
      </c>
      <c r="L65" s="3543">
        <f>+'Maj Techno Summ'!L15</f>
        <v>983.61627997837002</v>
      </c>
      <c r="M65" s="1166">
        <f>+'Maj Techno Summ'!M15</f>
        <v>963.93157919611508</v>
      </c>
      <c r="N65" s="1166">
        <f>+'Maj Techno Summ'!N15</f>
        <v>982.08184326348726</v>
      </c>
      <c r="O65" s="3550">
        <f>+'Maj Techno Summ'!O15</f>
        <v>921.47599466356405</v>
      </c>
      <c r="P65" s="3550">
        <f>+'Maj Techno Summ'!P15</f>
        <v>976.41610518004916</v>
      </c>
      <c r="Q65" s="1552">
        <f>+'Maj Techno Summ'!Q15</f>
        <v>949.430849850041</v>
      </c>
      <c r="R65" s="1552">
        <f>+'Maj Techno Summ'!R15</f>
        <v>979.1856004970964</v>
      </c>
      <c r="S65" s="3550">
        <f>+'Maj Techno Summ'!S15</f>
        <v>921.47599466356405</v>
      </c>
      <c r="T65" s="3550">
        <f>+'Maj Techno Summ'!T15</f>
        <v>935.25446114607621</v>
      </c>
      <c r="U65" s="1552">
        <f>+'Maj Techno Summ'!U15</f>
        <v>942.31371460439209</v>
      </c>
      <c r="V65" s="1552">
        <f>+'Maj Techno Summ'!V15</f>
        <v>966.78308113444677</v>
      </c>
      <c r="W65" s="3550">
        <f>+'Maj Techno Summ'!W15</f>
        <v>917.94419003692371</v>
      </c>
      <c r="X65" s="3550">
        <f>+'Maj Techno Summ'!X15</f>
        <v>894.5616789893719</v>
      </c>
      <c r="Y65" s="3549">
        <f>+'Maj Techno Summ'!Y15</f>
        <v>920.3204162195774</v>
      </c>
      <c r="Z65" s="3549">
        <f>+'Maj Techno Summ'!Z15</f>
        <v>934.78552205709184</v>
      </c>
      <c r="AA65" s="1134">
        <f>+'Maj Techno Summ'!AA15</f>
        <v>937.4769653175606</v>
      </c>
      <c r="AB65" s="1134">
        <f>+'Maj Techno Summ'!AB15</f>
        <v>951.8665051824313</v>
      </c>
      <c r="AC65" s="3550">
        <f>+'Maj Techno Summ'!AC15</f>
        <v>895.63343671376776</v>
      </c>
      <c r="AD65" s="3550">
        <f>+'Maj Techno Summ'!AD15</f>
        <v>929.88523552909919</v>
      </c>
      <c r="AE65" s="1552">
        <f>+'Maj Techno Summ'!AE15</f>
        <v>930.35249910127959</v>
      </c>
      <c r="AF65" s="1552">
        <f>+'Maj Techno Summ'!AF15</f>
        <v>947.29291978625088</v>
      </c>
      <c r="AG65" s="3550">
        <f>+'Maj Techno Summ'!AG15</f>
        <v>895.74367850207182</v>
      </c>
      <c r="AH65" s="3550">
        <f>+'Maj Techno Summ'!AH15</f>
        <v>957.83017609203</v>
      </c>
      <c r="AI65" s="1552">
        <f>+'Maj Techno Summ'!AI15</f>
        <v>925.45893104265178</v>
      </c>
      <c r="AJ65" s="1552">
        <f>+'Maj Techno Summ'!AJ15</f>
        <v>948.50499102939625</v>
      </c>
      <c r="AK65" s="3550">
        <f>+'Maj Techno Summ'!AK15</f>
        <v>892.00955863823674</v>
      </c>
      <c r="AL65" s="3550">
        <f>+'Maj Techno Summ'!AL15</f>
        <v>928.91573633522341</v>
      </c>
      <c r="AM65" s="3549">
        <f>+'Maj Techno Summ'!AM15</f>
        <v>894.44806490659937</v>
      </c>
      <c r="AN65" s="3549">
        <f>+'Maj Techno Summ'!AN15</f>
        <v>938.17486577746331</v>
      </c>
      <c r="AO65" s="3547">
        <f>+'Maj Techno Summ'!AO15</f>
        <v>921.19266294228578</v>
      </c>
      <c r="AP65" s="3547">
        <f>+'Maj Techno Summ'!AP15</f>
        <v>945.71878382737304</v>
      </c>
      <c r="AQ65" s="3889">
        <f>+'Maj Techno Summ'!AQ15</f>
        <v>873.43292517891575</v>
      </c>
      <c r="AR65" s="3889">
        <f>+'Maj Techno Summ'!AR15</f>
        <v>904.16594384810003</v>
      </c>
      <c r="AS65" s="1552">
        <f>+'Maj Techno Summ'!AS15</f>
        <v>915.79023988981544</v>
      </c>
      <c r="AT65" s="1552">
        <f>+'Maj Techno Summ'!AT15</f>
        <v>940.644595050725</v>
      </c>
      <c r="AU65" s="4012">
        <f>+'Maj Techno Summ'!AU15</f>
        <v>873.85075632547421</v>
      </c>
      <c r="AV65" s="4012">
        <f>+'Maj Techno Summ'!AV15</f>
        <v>906.1439220404236</v>
      </c>
      <c r="AW65" s="1552">
        <f>+'Maj Techno Summ'!AW15</f>
        <v>911.96930620585772</v>
      </c>
      <c r="AX65" s="1552">
        <f>+'Maj Techno Summ'!AX15</f>
        <v>937.25379626302151</v>
      </c>
      <c r="AY65" s="4441">
        <f>+'Maj Techno Summ'!AY15</f>
        <v>873.43292517891575</v>
      </c>
      <c r="AZ65" s="4441">
        <f>+'Maj Techno Summ'!AZ15</f>
        <v>916.99896980659673</v>
      </c>
      <c r="BA65" s="4462">
        <f>+'Maj Techno Summ'!BA15</f>
        <v>873.56121394296929</v>
      </c>
      <c r="BB65" s="4462">
        <f>+'Maj Techno Summ'!BB15</f>
        <v>909.25395464447149</v>
      </c>
      <c r="BC65" s="4464">
        <f>+'Maj Techno Summ'!BC15</f>
        <v>884.1492730634501</v>
      </c>
      <c r="BD65" s="4464">
        <f>+'Maj Techno Summ'!BD15</f>
        <v>923.55845361141837</v>
      </c>
      <c r="BE65" s="4463">
        <f>+'Maj Techno Summ'!BE15</f>
        <v>908.37669886703623</v>
      </c>
      <c r="BF65" s="4463">
        <f>+'Maj Techno Summ'!BF15</f>
        <v>935.21205199417307</v>
      </c>
    </row>
    <row r="66" spans="1:74" s="421" customFormat="1" x14ac:dyDescent="0.25">
      <c r="A66" s="1323"/>
      <c r="B66" s="3576" t="s">
        <v>282</v>
      </c>
      <c r="C66" s="3573" t="s">
        <v>52</v>
      </c>
      <c r="D66" s="3551">
        <f>0.94954192304016*100</f>
        <v>94.954192304016004</v>
      </c>
      <c r="E66" s="823">
        <f>+E46/E2*100</f>
        <v>45.335074200182618</v>
      </c>
      <c r="F66" s="238">
        <v>53.29</v>
      </c>
      <c r="G66" s="3551">
        <f>+G46/G2*100</f>
        <v>84.066674961245269</v>
      </c>
      <c r="H66" s="238">
        <v>65.63</v>
      </c>
      <c r="I66" s="3547">
        <f>+I46/I2*100</f>
        <v>65.018346718099707</v>
      </c>
      <c r="J66" s="3547">
        <f>+J46/J2*100</f>
        <v>59.56968695354594</v>
      </c>
      <c r="K66" s="3551">
        <f>+K46/K2*100</f>
        <v>98.349803675377075</v>
      </c>
      <c r="L66" s="238">
        <v>100</v>
      </c>
      <c r="M66" s="3549">
        <f>+M46/M2*100</f>
        <v>76.006739121597732</v>
      </c>
      <c r="N66" s="3549">
        <f>+N46/N2*100</f>
        <v>72.890272239436896</v>
      </c>
      <c r="O66" s="3551">
        <f>+O46/O2*100</f>
        <v>98.387096774193552</v>
      </c>
      <c r="P66" s="3551">
        <v>96.85</v>
      </c>
      <c r="Q66" s="3547">
        <f>+Q46/Q2*100</f>
        <v>81.693551312011422</v>
      </c>
      <c r="R66" s="3547">
        <f>+R46/R2*100</f>
        <v>78.97618045322109</v>
      </c>
      <c r="S66" s="3551">
        <f>+S46/S2*100</f>
        <v>98.387096774193552</v>
      </c>
      <c r="T66" s="3551">
        <v>97.18</v>
      </c>
      <c r="U66" s="3547">
        <f>+U46/U2*100</f>
        <v>85.07590366055814</v>
      </c>
      <c r="V66" s="3547">
        <f>+V46/V2*100</f>
        <v>82.665780897396388</v>
      </c>
      <c r="W66" s="3551">
        <f>+W46/W2*100</f>
        <v>98.333333333333314</v>
      </c>
      <c r="X66" s="3551">
        <v>96.99</v>
      </c>
      <c r="Y66" s="3549">
        <f>+Y46/Y2*100</f>
        <v>98.369565217391312</v>
      </c>
      <c r="Z66" s="3549">
        <f>+Z46/Z2*100</f>
        <v>97.000341795540592</v>
      </c>
      <c r="AA66" s="1134">
        <f>+AA46/AA2*100</f>
        <v>87.249252787242597</v>
      </c>
      <c r="AB66" s="1134">
        <f>+AB46/AB2*100</f>
        <v>85.011181524472647</v>
      </c>
      <c r="AC66" s="3551">
        <f>+AC46/AC2*100</f>
        <v>98.387096774193537</v>
      </c>
      <c r="AD66" s="3551">
        <v>100</v>
      </c>
      <c r="AE66" s="3547">
        <f>+AE46/AE2*100</f>
        <v>88.862678785352315</v>
      </c>
      <c r="AF66" s="3547">
        <f>+AF46/AF2*100</f>
        <v>87.185625626864336</v>
      </c>
      <c r="AG66" s="3551">
        <f>+AG46/AG2*100</f>
        <v>98.333333333333314</v>
      </c>
      <c r="AH66" s="3551">
        <v>97.79</v>
      </c>
      <c r="AI66" s="3547">
        <f>+AI46/AI2*100</f>
        <v>90.027103524858177</v>
      </c>
      <c r="AJ66" s="3547">
        <f>+AJ46/AJ2*100</f>
        <v>88.763017334718768</v>
      </c>
      <c r="AK66" s="3551">
        <f>+AK46/AK2*100</f>
        <v>98.387096774193537</v>
      </c>
      <c r="AL66" s="449">
        <v>99.193548387096769</v>
      </c>
      <c r="AM66" s="3549">
        <f>+AM46/AM2*100</f>
        <v>98.369565217391283</v>
      </c>
      <c r="AN66" s="3549">
        <f>+AN46/AN2*100</f>
        <v>99.740543594487875</v>
      </c>
      <c r="AO66" s="3547">
        <f>+AO46/AO2*100</f>
        <v>90.969502763874161</v>
      </c>
      <c r="AP66" s="3547">
        <f>+AP46/AP2*100</f>
        <v>89.938822653350456</v>
      </c>
      <c r="AQ66" s="3873">
        <f>+AQ46/AQ2*100</f>
        <v>98.387096774193537</v>
      </c>
      <c r="AR66" s="449">
        <v>98.454301075268816</v>
      </c>
      <c r="AS66" s="3874">
        <f>+AS46/AS2*100</f>
        <v>91.720958366226782</v>
      </c>
      <c r="AT66" s="3874">
        <f>+AT46/AT2*100</f>
        <v>90.801501839884679</v>
      </c>
      <c r="AU66" s="3990">
        <f>+AU46/AU2*100</f>
        <v>96.535714285714278</v>
      </c>
      <c r="AV66" s="449">
        <v>96.775793650793645</v>
      </c>
      <c r="AW66" s="3991">
        <f>+AW46/AW2*100</f>
        <v>92.124590598998182</v>
      </c>
      <c r="AX66" s="3991">
        <f>+AX46/AX2*100</f>
        <v>91.302340674332143</v>
      </c>
      <c r="AY66" s="4224">
        <f>+AY46/AY2*100</f>
        <v>98.387096774193537</v>
      </c>
      <c r="AZ66" s="449">
        <v>99.081541218637994</v>
      </c>
      <c r="BA66" s="4225">
        <f>+BA46/BA2*100</f>
        <v>97.811111111111089</v>
      </c>
      <c r="BB66" s="4225">
        <f>+BB46/BB2*100</f>
        <v>98.144351448005011</v>
      </c>
      <c r="BC66" s="4227">
        <f>+BC46/BC2*100</f>
        <v>98.09340659340657</v>
      </c>
      <c r="BD66" s="4227">
        <f>+BD46/BD2*100</f>
        <v>98.951217807765588</v>
      </c>
      <c r="BE66" s="4226">
        <f t="shared" ref="BE66:BF66" si="365">+BE46/BE2*100</f>
        <v>92.656474685110666</v>
      </c>
      <c r="BF66" s="4226">
        <f t="shared" si="365"/>
        <v>91.962103726005012</v>
      </c>
      <c r="BG66" s="1324"/>
      <c r="BH66" s="1433"/>
      <c r="BI66" s="1433"/>
      <c r="BJ66" s="1433"/>
      <c r="BK66" s="1433"/>
      <c r="BL66" s="1433"/>
      <c r="BM66" s="1433"/>
      <c r="BN66" s="1433"/>
      <c r="BO66" s="1433"/>
      <c r="BP66" s="1433"/>
      <c r="BQ66" s="1433"/>
      <c r="BR66" s="1433"/>
      <c r="BS66" s="1433"/>
      <c r="BT66" s="1433"/>
      <c r="BU66" s="1433"/>
      <c r="BV66" s="759"/>
    </row>
    <row r="67" spans="1:74" x14ac:dyDescent="0.25">
      <c r="A67" s="332" t="s">
        <v>515</v>
      </c>
      <c r="B67" s="2545" t="s">
        <v>281</v>
      </c>
      <c r="C67" s="140" t="s">
        <v>280</v>
      </c>
      <c r="D67" s="3551">
        <v>1174.6234856328156</v>
      </c>
      <c r="E67" s="2357">
        <v>1110</v>
      </c>
      <c r="F67" s="3572">
        <v>1092</v>
      </c>
      <c r="G67" s="483">
        <v>1110</v>
      </c>
      <c r="H67" s="3572">
        <v>1127</v>
      </c>
      <c r="I67" s="3547">
        <f>+AVERAGE(E67,G67)</f>
        <v>1110</v>
      </c>
      <c r="J67" s="3547">
        <f>+((F67*F$2)+(H67*H$2))/J$2</f>
        <v>1109.7868852459017</v>
      </c>
      <c r="K67" s="483">
        <v>1130</v>
      </c>
      <c r="L67" s="3572">
        <v>1129</v>
      </c>
      <c r="M67" s="952">
        <f>+AVERAGE(E67,G67,K67)</f>
        <v>1116.6666666666667</v>
      </c>
      <c r="N67" s="3549">
        <f>+((J67*J$2)+(L67*L$2))/N$2</f>
        <v>1116.1208791208792</v>
      </c>
      <c r="O67" s="483">
        <v>1150</v>
      </c>
      <c r="P67" s="483">
        <v>1129</v>
      </c>
      <c r="Q67" s="3547">
        <f>+AVERAGE(E67,G67,K67,O67)</f>
        <v>1125</v>
      </c>
      <c r="R67" s="3547">
        <f>+((N67*N$2)+(P67*P$2))/R$2</f>
        <v>1119.3934426229507</v>
      </c>
      <c r="S67" s="483">
        <v>1170</v>
      </c>
      <c r="T67" s="483">
        <v>1136</v>
      </c>
      <c r="U67" s="3547">
        <f>+AVERAGE(I67,K67,O67,S67)</f>
        <v>1140</v>
      </c>
      <c r="V67" s="3547">
        <f>+((R67*R$2)+(T67*T$2))/V$2</f>
        <v>1122.7581699346406</v>
      </c>
      <c r="W67" s="483">
        <v>1180</v>
      </c>
      <c r="X67" s="483">
        <v>1163</v>
      </c>
      <c r="Y67" s="3549">
        <f>+AVERAGE(O67,S67,W67)</f>
        <v>1166.6666666666667</v>
      </c>
      <c r="Z67" s="3549">
        <f>+((P67*P$2)+(T67*T$2)+(X67*X$2))/Z$2</f>
        <v>1142.445652173913</v>
      </c>
      <c r="AA67" s="1134">
        <f>+AVERAGE(E67,G67,K67,O67,S67,W67)</f>
        <v>1141.6666666666667</v>
      </c>
      <c r="AB67" s="1134">
        <f>+((V67*V$2)+(X67*X$2))/AB$2</f>
        <v>1129.3551912568305</v>
      </c>
      <c r="AC67" s="483">
        <v>1180</v>
      </c>
      <c r="AD67" s="483">
        <v>1175</v>
      </c>
      <c r="AE67" s="3547">
        <f>+AVERAGE(E67,G67,K67,O67,S67,W67,AC67)</f>
        <v>1147.1428571428571</v>
      </c>
      <c r="AF67" s="3547">
        <f>+AVERAGE(F67,H67,L67,P67,T67,X67,AD67)</f>
        <v>1135.8571428571429</v>
      </c>
      <c r="AG67" s="483">
        <v>1200</v>
      </c>
      <c r="AH67" s="483">
        <v>1178</v>
      </c>
      <c r="AI67" s="3547">
        <f>+AVERAGE(E67,G67,K67,O67,S67,W67,AG67)</f>
        <v>1150</v>
      </c>
      <c r="AJ67" s="3547">
        <f>+AVERAGE(F67,H67,L67,P67,T67,X67,AH67)</f>
        <v>1136.2857142857142</v>
      </c>
      <c r="AK67" s="483">
        <v>1200</v>
      </c>
      <c r="AL67" s="3551">
        <v>1152.8387096774193</v>
      </c>
      <c r="AM67" s="3875">
        <f>+AVERAGE(AC67,AG67,AK67)</f>
        <v>1193.3333333333333</v>
      </c>
      <c r="AN67" s="3875">
        <f>+((AD67*AD$2)+(AH67*AH$2)+(AL67*AL$2))/AN$2</f>
        <v>1168.5108695652175</v>
      </c>
      <c r="AO67" s="3547">
        <f>+AVERAGE(S67,U67,Y67,AC67,AG67,AK67)</f>
        <v>1176.1111111111111</v>
      </c>
      <c r="AP67" s="3547">
        <f>+((AJ67*AJ$2)+(AL67*AL$2))/AP$2</f>
        <v>1138.1516883116883</v>
      </c>
      <c r="AQ67" s="483">
        <v>1200</v>
      </c>
      <c r="AR67" s="3873">
        <v>1154.5193548387097</v>
      </c>
      <c r="AS67" s="3874">
        <f>+AVERAGE(E67,G67,K67,O67,S67,W67,AC67,AG67,AK67,AQ67)</f>
        <v>1163</v>
      </c>
      <c r="AT67" s="3874">
        <f>+AVERAGE(F67,H67,L67,P67,T67,X67,AD67,AH67,AL67,AR67)</f>
        <v>1143.6358064516128</v>
      </c>
      <c r="AU67" s="483">
        <v>1200</v>
      </c>
      <c r="AV67" s="3990">
        <v>1157.0535714285713</v>
      </c>
      <c r="AW67" s="3991">
        <f>+AVERAGE(E67,G67,K67,O67,S67,W67,AC67,AG67,AK67,AQ67,AU67)</f>
        <v>1166.3636363636363</v>
      </c>
      <c r="AX67" s="3991">
        <f>+AVERAGE(F67,H67,L67,P67,T67,X67,AD67,AH67,AL67,AR67,AV67)</f>
        <v>1144.8556032676997</v>
      </c>
      <c r="AY67" s="483">
        <v>1200</v>
      </c>
      <c r="AZ67" s="4224">
        <v>1161.1935483870968</v>
      </c>
      <c r="BA67" s="4225">
        <f>+AVERAGE(AQ67,AU67,AY67)</f>
        <v>1200</v>
      </c>
      <c r="BB67" s="4225">
        <f>+((AR67*AR$2)+(AV67*AV$2)+(AZ67*AZ$2))/BB$2</f>
        <v>1157.6066666666666</v>
      </c>
      <c r="BC67" s="4227">
        <f>+AVERAGE(AM67,BA67)</f>
        <v>1196.6666666666665</v>
      </c>
      <c r="BD67" s="4227">
        <f>+AVERAGE(AN67,BB67)</f>
        <v>1163.058768115942</v>
      </c>
      <c r="BE67" s="4226">
        <f>+AVERAGE(BC67,AA67)</f>
        <v>1169.1666666666665</v>
      </c>
      <c r="BF67" s="4226">
        <f>+((AX67*AX$2)+(AZ67*AZ$2))/BF$2</f>
        <v>1146.2432095655115</v>
      </c>
    </row>
    <row r="68" spans="1:74" x14ac:dyDescent="0.25">
      <c r="A68" s="332" t="s">
        <v>515</v>
      </c>
      <c r="B68" s="2546" t="s">
        <v>283</v>
      </c>
      <c r="C68" s="3573" t="s">
        <v>248</v>
      </c>
      <c r="D68" s="238">
        <v>366.39559143172528</v>
      </c>
      <c r="E68" s="39">
        <v>380</v>
      </c>
      <c r="F68" s="238">
        <f>+F17/F5*1000</f>
        <v>416.84651459272413</v>
      </c>
      <c r="G68" s="238">
        <v>380</v>
      </c>
      <c r="H68" s="238">
        <f>+H17/H5*1000</f>
        <v>398.12029195895099</v>
      </c>
      <c r="I68" s="3547">
        <f>+I17/I5*1000</f>
        <v>380</v>
      </c>
      <c r="J68" s="3547">
        <f>+J17/J5*1000</f>
        <v>407.76209949662791</v>
      </c>
      <c r="K68" s="3572">
        <v>380</v>
      </c>
      <c r="L68" s="238">
        <v>384</v>
      </c>
      <c r="M68" s="3549">
        <f>+M17/M5*1000</f>
        <v>379.99959883704969</v>
      </c>
      <c r="N68" s="3549">
        <f>+N17/N5*1000</f>
        <v>396.1774966648311</v>
      </c>
      <c r="O68" s="3572">
        <v>380</v>
      </c>
      <c r="P68" s="3551">
        <f>+P17/P5*1000</f>
        <v>393.17289537567058</v>
      </c>
      <c r="Q68" s="3547">
        <f>+Q17/Q5*1000</f>
        <v>379.9997358544864</v>
      </c>
      <c r="R68" s="3547">
        <f>+R17/R5*1000</f>
        <v>395.20794925249095</v>
      </c>
      <c r="S68" s="3572">
        <v>380</v>
      </c>
      <c r="T68" s="3551">
        <f>+T17/T5*1000</f>
        <v>352.82415566012025</v>
      </c>
      <c r="U68" s="3547">
        <f>+U17/U5*1000</f>
        <v>379.99980310431948</v>
      </c>
      <c r="V68" s="3547">
        <f>+V17/V5*1000</f>
        <v>384.10658504488384</v>
      </c>
      <c r="W68" s="3572">
        <v>380</v>
      </c>
      <c r="X68" s="3551">
        <f>+X17/X5*1000</f>
        <v>373.28826608454801</v>
      </c>
      <c r="Y68" s="3549">
        <f>+Y17/Y5*1000</f>
        <v>380</v>
      </c>
      <c r="Z68" s="3549">
        <f>+Z17/Z5*1000</f>
        <v>372.45989431455234</v>
      </c>
      <c r="AA68" s="1134">
        <f>+AA17/AA5*1000</f>
        <v>379.99984218325352</v>
      </c>
      <c r="AB68" s="1134">
        <f>+AB17/AB5*1000</f>
        <v>381.91937206982936</v>
      </c>
      <c r="AC68" s="3572">
        <v>370</v>
      </c>
      <c r="AD68" s="3551">
        <f>+AD17/AD5*1000</f>
        <v>390.57046576001926</v>
      </c>
      <c r="AE68" s="3547">
        <f>+AE17/AE5*1000</f>
        <v>378.29722435488338</v>
      </c>
      <c r="AF68" s="3547">
        <f>+AF17/AF5*1000</f>
        <v>383.4841372612496</v>
      </c>
      <c r="AG68" s="3572">
        <v>360</v>
      </c>
      <c r="AH68" s="3551">
        <f>+AH17/AH5*1000</f>
        <v>369.37672387558626</v>
      </c>
      <c r="AI68" s="3547">
        <f>+AI17/AI5*1000</f>
        <v>375.71005983686877</v>
      </c>
      <c r="AJ68" s="3547">
        <f>+AJ17/AJ5*1000</f>
        <v>381.52837186577233</v>
      </c>
      <c r="AK68" s="3572">
        <v>350</v>
      </c>
      <c r="AL68" s="3551">
        <f>+AL17/AL5*1000</f>
        <v>390.01154985106774</v>
      </c>
      <c r="AM68" s="3549">
        <f>+AM17/AM5*1000</f>
        <v>360</v>
      </c>
      <c r="AN68" s="3549">
        <f>+AN17/AN5*1000</f>
        <v>383.82959415024692</v>
      </c>
      <c r="AO68" s="3547">
        <f>+AO17/AO5*1000</f>
        <v>372.43089493014378</v>
      </c>
      <c r="AP68" s="3547">
        <f>+AP17/AP5*1000</f>
        <v>382.66189718798825</v>
      </c>
      <c r="AQ68" s="3620">
        <v>350</v>
      </c>
      <c r="AR68" s="3873">
        <f>+AR17/AR5*1000</f>
        <v>336.10446192572897</v>
      </c>
      <c r="AS68" s="3874">
        <f>+AS17/AS5*1000</f>
        <v>369.89358652911039</v>
      </c>
      <c r="AT68" s="3874">
        <f>+AT17/AT5*1000</f>
        <v>377.07327434387736</v>
      </c>
      <c r="AU68" s="3620">
        <v>350</v>
      </c>
      <c r="AV68" s="3990">
        <f>+AV17/AV5*1000</f>
        <v>350.19085741083745</v>
      </c>
      <c r="AW68" s="3991">
        <f>+AW17/AW5*1000</f>
        <v>368.08116376173911</v>
      </c>
      <c r="AX68" s="3991">
        <f>+AX17/AX5*1000</f>
        <v>374.46762913355298</v>
      </c>
      <c r="AY68" s="3620">
        <v>350</v>
      </c>
      <c r="AZ68" s="4224">
        <f>+AZ17/AZ5*1000</f>
        <v>382.42681783993703</v>
      </c>
      <c r="BA68" s="4225">
        <f>+BA17/BA5*1000</f>
        <v>350.00000000000006</v>
      </c>
      <c r="BB68" s="4225">
        <f>+BB17/BB5*1000</f>
        <v>356.56604700609319</v>
      </c>
      <c r="BC68" s="4227">
        <f>+BC17/BC5*1000</f>
        <v>355.06924626355476</v>
      </c>
      <c r="BD68" s="4227">
        <f>+BD17/BD5*1000</f>
        <v>370.06460238841771</v>
      </c>
      <c r="BE68" s="4226">
        <f t="shared" ref="BE68:BF68" si="366">+BE17/BE5*1000</f>
        <v>366.39552230050685</v>
      </c>
      <c r="BF68" s="4226">
        <f t="shared" si="366"/>
        <v>375.25421084943895</v>
      </c>
    </row>
    <row r="69" spans="1:74" x14ac:dyDescent="0.25">
      <c r="A69" s="332" t="s">
        <v>515</v>
      </c>
      <c r="B69" s="2354" t="s">
        <v>284</v>
      </c>
      <c r="C69" s="3573" t="s">
        <v>52</v>
      </c>
      <c r="D69" s="3577">
        <v>0.8</v>
      </c>
      <c r="E69" s="1110">
        <v>0.8</v>
      </c>
      <c r="F69" s="3577">
        <v>0.94</v>
      </c>
      <c r="G69" s="3577">
        <v>0.8</v>
      </c>
      <c r="H69" s="3578">
        <v>1.24</v>
      </c>
      <c r="I69" s="3579" t="s">
        <v>616</v>
      </c>
      <c r="J69" s="3579">
        <f>+((F69*F$5)+(H69*H$5))/J$5</f>
        <v>1.085535198535645</v>
      </c>
      <c r="K69" s="3577">
        <v>0.8</v>
      </c>
      <c r="L69" s="3578">
        <v>0.88</v>
      </c>
      <c r="M69" s="3580">
        <v>0.8</v>
      </c>
      <c r="N69" s="3580">
        <f>+((J69*J$5)+(L69*L$5))/N$5</f>
        <v>0.98431921861621552</v>
      </c>
      <c r="O69" s="3577">
        <v>0.8</v>
      </c>
      <c r="P69" s="3577">
        <v>0.81</v>
      </c>
      <c r="Q69" s="3579">
        <v>0.8</v>
      </c>
      <c r="R69" s="3579">
        <f>+((N69*N$5)+(P69*P$5))/R$5</f>
        <v>0.92806857799370313</v>
      </c>
      <c r="S69" s="3577">
        <v>0.8</v>
      </c>
      <c r="T69" s="3577">
        <v>0.66</v>
      </c>
      <c r="U69" s="3579">
        <v>0.8</v>
      </c>
      <c r="V69" s="3579">
        <f>+((R69*R$5)+(T69*T$5))/V$5</f>
        <v>0.85785478482679967</v>
      </c>
      <c r="W69" s="3577">
        <v>0.8</v>
      </c>
      <c r="X69" s="3577">
        <v>0.68</v>
      </c>
      <c r="Y69" s="3580">
        <v>0.8</v>
      </c>
      <c r="Z69" s="3580">
        <f>+((P69*P$5)+(T69*T$5)+(X69*X$5))/Z$5</f>
        <v>0.71413829416046071</v>
      </c>
      <c r="AA69" s="3581">
        <v>0.8</v>
      </c>
      <c r="AB69" s="3581">
        <f>+((V69*V$5)+(X69*X$5))/AB$5</f>
        <v>0.82189667576429781</v>
      </c>
      <c r="AC69" s="3577">
        <v>0.8</v>
      </c>
      <c r="AD69" s="3577">
        <v>0.72</v>
      </c>
      <c r="AE69" s="3579">
        <v>0.8</v>
      </c>
      <c r="AF69" s="3579">
        <f>+((AB69*AB$5)+(AD69*AD$5))/AF$5</f>
        <v>0.80346613078728424</v>
      </c>
      <c r="AG69" s="3577">
        <v>0.8</v>
      </c>
      <c r="AH69" s="3577">
        <v>0.81</v>
      </c>
      <c r="AI69" s="3579">
        <v>0.8</v>
      </c>
      <c r="AJ69" s="3579">
        <f>+((AF69*AF$5)+(AH69*AH$5))/AJ$5</f>
        <v>0.80437194640035681</v>
      </c>
      <c r="AK69" s="3577">
        <v>0.8</v>
      </c>
      <c r="AL69" s="3577">
        <v>0.7470210420034904</v>
      </c>
      <c r="AM69" s="3580">
        <v>0.8</v>
      </c>
      <c r="AN69" s="3580">
        <f>+((AD69*AD$5)+(AH69*AH$5)+(AL69*AL$5))/AN$5</f>
        <v>0.75709801694633672</v>
      </c>
      <c r="AO69" s="3579">
        <v>0.8</v>
      </c>
      <c r="AP69" s="3579">
        <f>+((AJ69*AJ$5)+(AL69*AL$5))/AP$5</f>
        <v>0.79670869773358122</v>
      </c>
      <c r="AQ69" s="3898">
        <v>0.8</v>
      </c>
      <c r="AR69" s="3898">
        <v>0.71633161522536926</v>
      </c>
      <c r="AS69" s="3896">
        <v>0.8</v>
      </c>
      <c r="AT69" s="3896">
        <f>+((AP69*AP$5)+(AR69*AR$5))/AT$5</f>
        <v>0.78706046009080644</v>
      </c>
      <c r="AU69" s="4024">
        <v>0.8</v>
      </c>
      <c r="AV69" s="4024">
        <v>0.63421736012003183</v>
      </c>
      <c r="AW69" s="4023">
        <v>0.8</v>
      </c>
      <c r="AX69" s="4023">
        <f>+((AT69*AT$5)+(AV69*AV$5))/AX$5</f>
        <v>0.77224576197932415</v>
      </c>
      <c r="AY69" s="4272">
        <v>0.8</v>
      </c>
      <c r="AZ69" s="4272">
        <v>0.70109475032742574</v>
      </c>
      <c r="BA69" s="4271">
        <v>0.8</v>
      </c>
      <c r="BB69" s="4271">
        <f>+((AR69*AR$5)+(AV69*AV$5)+(AZ69*AZ$5))/BB$5</f>
        <v>0.68575941070092272</v>
      </c>
      <c r="BC69" s="4274">
        <v>0.8</v>
      </c>
      <c r="BD69" s="4274">
        <f>+((AN69*AN$5)+(BB69*BB$5))/BD$5</f>
        <v>0.72108013115633329</v>
      </c>
      <c r="BE69" s="4273">
        <v>0.8</v>
      </c>
      <c r="BF69" s="4273">
        <f>+((AX69*AX$5)+(AZ69*AZ$5))/BF$5</f>
        <v>0.76521413012628314</v>
      </c>
    </row>
    <row r="70" spans="1:74" x14ac:dyDescent="0.25">
      <c r="A70" s="332" t="s">
        <v>515</v>
      </c>
      <c r="B70" s="2354" t="s">
        <v>285</v>
      </c>
      <c r="C70" s="3573" t="s">
        <v>52</v>
      </c>
      <c r="D70" s="677">
        <v>0.04</v>
      </c>
      <c r="E70" s="2352">
        <v>0.04</v>
      </c>
      <c r="F70" s="677">
        <v>3.4000000000000002E-2</v>
      </c>
      <c r="G70" s="677">
        <v>0.04</v>
      </c>
      <c r="H70" s="413">
        <v>4.1000000000000002E-2</v>
      </c>
      <c r="I70" s="957" t="s">
        <v>617</v>
      </c>
      <c r="J70" s="3579">
        <f>+((F70*F$5)+(H70*H$5))/J$5</f>
        <v>3.739582129916505E-2</v>
      </c>
      <c r="K70" s="677">
        <v>0.04</v>
      </c>
      <c r="L70" s="413">
        <v>3.5999999999999997E-2</v>
      </c>
      <c r="M70" s="958">
        <v>0.04</v>
      </c>
      <c r="N70" s="3580">
        <f>+((J70*J$5)+(L70*L$5))/N$5</f>
        <v>3.6708447936383587E-2</v>
      </c>
      <c r="O70" s="677">
        <v>0.04</v>
      </c>
      <c r="P70" s="677">
        <v>3.9E-2</v>
      </c>
      <c r="Q70" s="957" t="s">
        <v>617</v>
      </c>
      <c r="R70" s="3579">
        <f>+((N70*N$5)+(P70*P$5))/R$5</f>
        <v>3.7447903244992191E-2</v>
      </c>
      <c r="S70" s="677">
        <v>0.04</v>
      </c>
      <c r="T70" s="677">
        <v>3.9E-2</v>
      </c>
      <c r="U70" s="957" t="s">
        <v>617</v>
      </c>
      <c r="V70" s="3579">
        <f>+((R70*R$5)+(T70*T$5))/V$5</f>
        <v>3.785443578732433E-2</v>
      </c>
      <c r="W70" s="677">
        <v>0.04</v>
      </c>
      <c r="X70" s="677">
        <v>3.5999999999999997E-2</v>
      </c>
      <c r="Y70" s="958">
        <v>0.04</v>
      </c>
      <c r="Z70" s="3580">
        <f>+((P70*P$5)+(T70*T$5)+(X70*X$5))/Z$5</f>
        <v>3.799107025856148E-2</v>
      </c>
      <c r="AA70" s="1855">
        <v>0.04</v>
      </c>
      <c r="AB70" s="3581">
        <f>+((V70*V$5)+(X70*X$5))/AB$5</f>
        <v>3.7479511916960355E-2</v>
      </c>
      <c r="AC70" s="677">
        <v>0.04</v>
      </c>
      <c r="AD70" s="677">
        <v>3.6999999999999998E-2</v>
      </c>
      <c r="AE70" s="957">
        <v>0.04</v>
      </c>
      <c r="AF70" s="3579">
        <f>+((AB70*AB$5)+(AD70*AD$5))/AF$5</f>
        <v>3.7392780275459163E-2</v>
      </c>
      <c r="AG70" s="677">
        <v>0.04</v>
      </c>
      <c r="AH70" s="677">
        <v>3.6999999999999998E-2</v>
      </c>
      <c r="AI70" s="957">
        <v>0.04</v>
      </c>
      <c r="AJ70" s="3579">
        <f>+((AF70*AF$5)+(AH70*AH$5))/AJ$5</f>
        <v>3.733832762352584E-2</v>
      </c>
      <c r="AK70" s="677">
        <v>0.04</v>
      </c>
      <c r="AL70" s="677">
        <v>3.5405157723001096E-2</v>
      </c>
      <c r="AM70" s="958">
        <v>0.04</v>
      </c>
      <c r="AN70" s="3580">
        <f>+((AD70*AD$5)+(AH70*AH$5)+(AL70*AL$5))/AN$5</f>
        <v>3.6451769619783199E-2</v>
      </c>
      <c r="AO70" s="957">
        <v>0.04</v>
      </c>
      <c r="AP70" s="3579">
        <f>+((AJ70*AJ$5)+(AL70*AL$5))/AP$5</f>
        <v>3.7080016759579705E-2</v>
      </c>
      <c r="AQ70" s="677">
        <v>0.04</v>
      </c>
      <c r="AR70" s="677">
        <v>3.4408597639866013E-2</v>
      </c>
      <c r="AS70" s="957">
        <v>0.04</v>
      </c>
      <c r="AT70" s="3896">
        <f>+((AP70*AP$5)+(AR70*AR$5))/AT$5</f>
        <v>3.6759347164389847E-2</v>
      </c>
      <c r="AU70" s="677">
        <v>0.04</v>
      </c>
      <c r="AV70" s="677">
        <v>3.7166394494243055E-2</v>
      </c>
      <c r="AW70" s="957">
        <v>0.04</v>
      </c>
      <c r="AX70" s="4023">
        <f>+((AT70*AT$5)+(AV70*AV$5))/AX$5</f>
        <v>3.6798801240563471E-2</v>
      </c>
      <c r="AY70" s="677">
        <v>0.04</v>
      </c>
      <c r="AZ70" s="677">
        <v>3.7537920877740889E-2</v>
      </c>
      <c r="BA70" s="958">
        <v>0.04</v>
      </c>
      <c r="BB70" s="4271">
        <f>+((AR70*AR$5)+(AV70*AV$5)+(AZ70*AZ$5))/BB$5</f>
        <v>3.6346671753880004E-2</v>
      </c>
      <c r="BC70" s="1855">
        <v>0.04</v>
      </c>
      <c r="BD70" s="4274">
        <f>+((AN70*AN$5)+(BB70*BB$5))/BD$5</f>
        <v>3.6398707145898407E-2</v>
      </c>
      <c r="BE70" s="957">
        <v>0.04</v>
      </c>
      <c r="BF70" s="4273">
        <f>+((AX70*AX$5)+(AZ70*AZ$5))/BF$5</f>
        <v>3.6871846121631524E-2</v>
      </c>
    </row>
    <row r="71" spans="1:74" x14ac:dyDescent="0.25">
      <c r="B71" s="2547" t="s">
        <v>291</v>
      </c>
      <c r="C71" s="3573" t="s">
        <v>239</v>
      </c>
      <c r="D71" s="1109">
        <f>+(D72*D5)/1000000</f>
        <v>3817.7939703544521</v>
      </c>
      <c r="E71" s="1109">
        <f>+(E72*E5)/1000000</f>
        <v>85.543999999989126</v>
      </c>
      <c r="F71" s="230">
        <f>+EMD!E35/1000</f>
        <v>181.639881</v>
      </c>
      <c r="G71" s="449">
        <f>+(G72*G5)/1000000</f>
        <v>169.01290322579283</v>
      </c>
      <c r="H71" s="230">
        <f>+EMD!G35/1000</f>
        <v>190.41389999999998</v>
      </c>
      <c r="I71" s="687">
        <f>+E71+G71</f>
        <v>254.55690322578195</v>
      </c>
      <c r="J71" s="687">
        <f t="shared" ref="J71" si="367">+F71+H71</f>
        <v>372.05378099999996</v>
      </c>
      <c r="K71" s="449">
        <f>+(K72*K5)/1000000</f>
        <v>362.17705583333338</v>
      </c>
      <c r="L71" s="230">
        <f>+EMD!K35/1000</f>
        <v>340.96532999999999</v>
      </c>
      <c r="M71" s="869">
        <f>+I71+K71</f>
        <v>616.73395905911536</v>
      </c>
      <c r="N71" s="869">
        <f t="shared" ref="N71" si="368">+J71+L71</f>
        <v>713.01911099999995</v>
      </c>
      <c r="O71" s="449">
        <f>+(O72*O5)/1000000</f>
        <v>374.6581875</v>
      </c>
      <c r="P71" s="3551">
        <v>339.5</v>
      </c>
      <c r="Q71" s="687">
        <f>+M71+O71</f>
        <v>991.39214655911542</v>
      </c>
      <c r="R71" s="687">
        <f t="shared" ref="R71" si="369">+N71+P71</f>
        <v>1052.5191110000001</v>
      </c>
      <c r="S71" s="3551">
        <f>+(S72*S5)/1000000</f>
        <v>374.6581875</v>
      </c>
      <c r="T71" s="3551">
        <v>344.2</v>
      </c>
      <c r="U71" s="687">
        <f>+Q71+S71</f>
        <v>1366.0503340591154</v>
      </c>
      <c r="V71" s="687">
        <f t="shared" ref="V71" si="370">+R71+T71</f>
        <v>1396.7191110000001</v>
      </c>
      <c r="W71" s="3551">
        <f>+(W72*W5)/1000000</f>
        <v>364.19962500000003</v>
      </c>
      <c r="X71" s="3551">
        <v>333.2</v>
      </c>
      <c r="Y71" s="3549">
        <f t="shared" ref="Y71" si="371">+W71+S71+O71</f>
        <v>1113.5160000000001</v>
      </c>
      <c r="Z71" s="3549">
        <f t="shared" ref="Z71" si="372">+X71+T71+P71</f>
        <v>1016.9</v>
      </c>
      <c r="AA71" s="1135">
        <f>+U71+W71</f>
        <v>1730.2499590591153</v>
      </c>
      <c r="AB71" s="1135">
        <f t="shared" ref="AB71" si="373">+V71+X71</f>
        <v>1729.9191110000002</v>
      </c>
      <c r="AC71" s="3551">
        <f>+(AC72*AC5)/1000000</f>
        <v>376.75125000000003</v>
      </c>
      <c r="AD71" s="3551">
        <v>362.9</v>
      </c>
      <c r="AE71" s="687">
        <f>+AA71+AC71</f>
        <v>2107.0012090591154</v>
      </c>
      <c r="AF71" s="687">
        <f t="shared" ref="AF71" si="374">+AB71+AD71</f>
        <v>2092.8191110000002</v>
      </c>
      <c r="AG71" s="3551">
        <f>+(AG72*AG5)/1000000</f>
        <v>364.19962500000003</v>
      </c>
      <c r="AH71" s="3551">
        <v>336.6</v>
      </c>
      <c r="AI71" s="687">
        <f>+AE71+AG71</f>
        <v>2471.2008340591156</v>
      </c>
      <c r="AJ71" s="687">
        <f t="shared" ref="AJ71" si="375">+AF71+AH71</f>
        <v>2429.4191110000002</v>
      </c>
      <c r="AK71" s="3551">
        <f>+(AK72*AK5)/1000000</f>
        <v>376.75125000000003</v>
      </c>
      <c r="AL71" s="3601">
        <v>360.1</v>
      </c>
      <c r="AM71" s="3549">
        <f t="shared" ref="AM71" si="376">+AK71+AG71+AC71</f>
        <v>1117.702125</v>
      </c>
      <c r="AN71" s="3549">
        <f t="shared" ref="AN71" si="377">+AL71+AH71+AD71</f>
        <v>1059.5999999999999</v>
      </c>
      <c r="AO71" s="687">
        <f>+AI71+AK71</f>
        <v>2847.9520840591158</v>
      </c>
      <c r="AP71" s="687">
        <f t="shared" ref="AP71" si="378">+AJ71+AL71</f>
        <v>2789.5191110000001</v>
      </c>
      <c r="AQ71" s="3873">
        <f>+(AQ72*AQ5)/1000000</f>
        <v>376.75125000000003</v>
      </c>
      <c r="AR71" s="3900">
        <v>359.6</v>
      </c>
      <c r="AS71" s="687">
        <f>+AO71+AQ71</f>
        <v>3224.7033340591161</v>
      </c>
      <c r="AT71" s="687">
        <f t="shared" ref="AT71" si="379">+AP71+AR71</f>
        <v>3149.119111</v>
      </c>
      <c r="AU71" s="3990">
        <f>+(AU72*AU5)/1000000</f>
        <v>327.57522187872837</v>
      </c>
      <c r="AV71" s="4092">
        <v>320.2</v>
      </c>
      <c r="AW71" s="687">
        <f>+AS71+AU71</f>
        <v>3552.2785559378444</v>
      </c>
      <c r="AX71" s="687">
        <f t="shared" ref="AX71" si="380">+AT71+AV71</f>
        <v>3469.3191109999998</v>
      </c>
      <c r="AY71" s="4224">
        <f>+(AY72*AY5)/1000000</f>
        <v>376.75125000000003</v>
      </c>
      <c r="AZ71" s="4556">
        <v>363.1</v>
      </c>
      <c r="BA71" s="4225">
        <f t="shared" ref="BA71" si="381">+AY71+AU71+AQ71</f>
        <v>1081.0777218787284</v>
      </c>
      <c r="BB71" s="4225">
        <f t="shared" ref="BB71" si="382">+AZ71+AV71+AR71</f>
        <v>1042.9000000000001</v>
      </c>
      <c r="BC71" s="1135">
        <f>+AM71+BA71</f>
        <v>2198.7798468787287</v>
      </c>
      <c r="BD71" s="1135">
        <f>+AN71+BB71</f>
        <v>2102.5</v>
      </c>
      <c r="BE71" s="687">
        <f>+AW71+AY71</f>
        <v>3929.0298059378447</v>
      </c>
      <c r="BF71" s="687">
        <f t="shared" ref="BF71" si="383">+AX71+AZ71</f>
        <v>3832.4191109999997</v>
      </c>
    </row>
    <row r="72" spans="1:74" x14ac:dyDescent="0.25">
      <c r="B72" s="2547" t="s">
        <v>292</v>
      </c>
      <c r="C72" s="3573" t="s">
        <v>286</v>
      </c>
      <c r="D72" s="3551">
        <v>1440.6767144288287</v>
      </c>
      <c r="E72" s="823">
        <v>838.66666666655999</v>
      </c>
      <c r="F72" s="238">
        <f>+(F71*1000000)/F5</f>
        <v>1654.0534626417157</v>
      </c>
      <c r="G72" s="3551">
        <v>1261.2903225805435</v>
      </c>
      <c r="H72" s="238">
        <f>+(H71*1000000)/H5</f>
        <v>1840.341714137702</v>
      </c>
      <c r="I72" s="3547">
        <f>+(I71*1000000)/I5</f>
        <v>1078.6309458719575</v>
      </c>
      <c r="J72" s="3547">
        <f>+(J71*1000000)/J5</f>
        <v>1744.4251215294705</v>
      </c>
      <c r="K72" s="3551">
        <v>1524.1666666666667</v>
      </c>
      <c r="L72" s="449">
        <f>+(L71*1000000)/L5</f>
        <v>1647.6769741515534</v>
      </c>
      <c r="M72" s="869">
        <f>+(M71*1000000)/M5</f>
        <v>1302.1621818600775</v>
      </c>
      <c r="N72" s="869">
        <f>+(N71*1000000)/N5</f>
        <v>1696.7814156726999</v>
      </c>
      <c r="O72" s="3551">
        <v>1525</v>
      </c>
      <c r="P72" s="3551">
        <f>+(P71*1000000)/P5</f>
        <v>1695.7872548725786</v>
      </c>
      <c r="Q72" s="687">
        <f>+(Q71*1000000)/Q5</f>
        <v>1378.2725669718225</v>
      </c>
      <c r="R72" s="687">
        <f>+(R71*1000000)/R5</f>
        <v>1696.4606123652247</v>
      </c>
      <c r="S72" s="3551">
        <v>1525</v>
      </c>
      <c r="T72" s="3551">
        <f>+(T71*1000000)/T5</f>
        <v>1563.3232200279781</v>
      </c>
      <c r="U72" s="687">
        <f>+(U71*1000000)/U5</f>
        <v>1415.6284744928023</v>
      </c>
      <c r="V72" s="687">
        <f>+(V71*1000000)/V5</f>
        <v>1661.5886352080663</v>
      </c>
      <c r="W72" s="3551">
        <v>1524.1666666666667</v>
      </c>
      <c r="X72" s="3551">
        <f>+(X71*1000000)/X5</f>
        <v>1564.2090932563435</v>
      </c>
      <c r="Y72" s="869">
        <f>+(Y71*1000000)/Y5</f>
        <v>1524.7273399470084</v>
      </c>
      <c r="Z72" s="869">
        <f>+(Z71*1000000)/Z5</f>
        <v>1605.4904647854637</v>
      </c>
      <c r="AA72" s="1135">
        <f>+(AA71*1000000)/AA5</f>
        <v>1437.1706273623633</v>
      </c>
      <c r="AB72" s="1135">
        <f>+(AB71*1000000)/AB5</f>
        <v>1641.9007522345132</v>
      </c>
      <c r="AC72" s="3551">
        <v>1525</v>
      </c>
      <c r="AD72" s="3551">
        <f>+(AD71*1000000)/AD5</f>
        <v>1559.8404483950278</v>
      </c>
      <c r="AE72" s="687">
        <f>+(AE71*1000000)/AE5</f>
        <v>1452.1248489357629</v>
      </c>
      <c r="AF72" s="687">
        <f>+(AF71*1000000)/AF5</f>
        <v>1627.0581078656285</v>
      </c>
      <c r="AG72" s="3551">
        <v>1524.1666666666667</v>
      </c>
      <c r="AH72" s="3551">
        <f>+(AH71*1000000)/AH5</f>
        <v>1625.937715861829</v>
      </c>
      <c r="AI72" s="687">
        <f>+(AI71*1000000)/AI5</f>
        <v>1462.3113138897725</v>
      </c>
      <c r="AJ72" s="687">
        <f>+(AJ71*1000000)/AJ5</f>
        <v>1626.9027835797017</v>
      </c>
      <c r="AK72" s="3551">
        <v>1525</v>
      </c>
      <c r="AL72" s="3551">
        <f>+(AL71*1000000)/AL5</f>
        <v>1563.5719434144139</v>
      </c>
      <c r="AM72" s="869">
        <f>+(AM71*1000000)/AM5</f>
        <v>1524.7283609576427</v>
      </c>
      <c r="AN72" s="869">
        <f>+(AN71*1000000)/AN5</f>
        <v>1581.5468292195103</v>
      </c>
      <c r="AO72" s="687">
        <f>+(AO71*1000000)/AO5</f>
        <v>1470.3068821943853</v>
      </c>
      <c r="AP72" s="687">
        <f>+(AP71*1000000)/AP5</f>
        <v>1618.440493724532</v>
      </c>
      <c r="AQ72" s="3873">
        <v>1525</v>
      </c>
      <c r="AR72" s="3873">
        <f>+(AR71*1000000)/AR5</f>
        <v>1529.4512944619062</v>
      </c>
      <c r="AS72" s="687">
        <f>+(AS71*1000000)/AS5</f>
        <v>1476.4935861898821</v>
      </c>
      <c r="AT72" s="687">
        <f>+(AT71*1000000)/AT5</f>
        <v>1607.7584819453866</v>
      </c>
      <c r="AU72" s="3990">
        <v>1496.3035714284727</v>
      </c>
      <c r="AV72" s="3990">
        <f>+(AV71*1000000)/AV5</f>
        <v>1523.1009993863834</v>
      </c>
      <c r="AW72" s="687">
        <f>+(AW71*1000000)/AW5</f>
        <v>1478.298392387858</v>
      </c>
      <c r="AX72" s="687">
        <f>+(AX71*1000000)/AX5</f>
        <v>1599.5528446138387</v>
      </c>
      <c r="AY72" s="4224">
        <v>1525</v>
      </c>
      <c r="AZ72" s="4224">
        <f>+(AZ71*1000000)/AZ5</f>
        <v>1526.5596575394011</v>
      </c>
      <c r="BA72" s="869">
        <f>+(BA71*1000000)/BA5</f>
        <v>1516.1891935665528</v>
      </c>
      <c r="BB72" s="869">
        <f>+(BB71*1000000)/BB5</f>
        <v>1526.490516481897</v>
      </c>
      <c r="BC72" s="1135">
        <f>+(BC71*1000000)/BC5</f>
        <v>1520.5179078056683</v>
      </c>
      <c r="BD72" s="1135">
        <f>+(BD71*1000000)/BD5</f>
        <v>1553.7496505448912</v>
      </c>
      <c r="BE72" s="687">
        <f t="shared" ref="BE72:BF72" si="384">+(BE71*1000000)/BE5</f>
        <v>1482.6522142510175</v>
      </c>
      <c r="BF72" s="687">
        <f t="shared" si="384"/>
        <v>1592.3391563278772</v>
      </c>
    </row>
    <row r="73" spans="1:74" x14ac:dyDescent="0.25">
      <c r="B73" s="2546" t="s">
        <v>290</v>
      </c>
      <c r="C73" s="3573" t="s">
        <v>241</v>
      </c>
      <c r="D73" s="483">
        <v>880</v>
      </c>
      <c r="E73" s="2357">
        <v>880</v>
      </c>
      <c r="F73" s="3551">
        <f>+EMD!E34</f>
        <v>910.27833328105805</v>
      </c>
      <c r="G73" s="483">
        <v>880</v>
      </c>
      <c r="H73" s="3551">
        <f>+EMD!G34</f>
        <v>929.4</v>
      </c>
      <c r="I73" s="143">
        <v>880</v>
      </c>
      <c r="J73" s="96">
        <f>+((F73*F71)+(H71*H73))/J71</f>
        <v>920.06463655330992</v>
      </c>
      <c r="K73" s="483">
        <v>880</v>
      </c>
      <c r="L73" s="3551">
        <f>+EMD!K34</f>
        <v>918.28</v>
      </c>
      <c r="M73" s="2369">
        <v>880</v>
      </c>
      <c r="N73" s="163">
        <f>+((J73*J71)+(L71*L73))/N71</f>
        <v>919.21122437691542</v>
      </c>
      <c r="O73" s="483">
        <v>880</v>
      </c>
      <c r="P73" s="312">
        <v>926.75</v>
      </c>
      <c r="Q73" s="2548">
        <v>880</v>
      </c>
      <c r="R73" s="96">
        <f>+((N73*N71)+(P71*P73))/R71</f>
        <v>921.64292779900859</v>
      </c>
      <c r="S73" s="483">
        <v>880</v>
      </c>
      <c r="T73" s="312">
        <v>915.62</v>
      </c>
      <c r="U73" s="2548">
        <v>880</v>
      </c>
      <c r="V73" s="96">
        <f>+((R73*R71)+(T71*T73))/V71</f>
        <v>920.15866963135545</v>
      </c>
      <c r="W73" s="483">
        <v>880</v>
      </c>
      <c r="X73" s="312">
        <v>914.77</v>
      </c>
      <c r="Y73" s="2369">
        <v>880</v>
      </c>
      <c r="Z73" s="163">
        <f>+((P73*P71)+(T73*T71)+(X71*X73))/Z71</f>
        <v>919.05732422067058</v>
      </c>
      <c r="AA73" s="2549">
        <v>880</v>
      </c>
      <c r="AB73" s="1118">
        <f>+((V73*V71)+(X71*X73))/AB71</f>
        <v>919.12075710137037</v>
      </c>
      <c r="AC73" s="483">
        <v>880</v>
      </c>
      <c r="AD73" s="312">
        <v>918.15</v>
      </c>
      <c r="AE73" s="2548">
        <v>880</v>
      </c>
      <c r="AF73" s="96">
        <f>+((AB73*AB71)+(AD71*AD73))/AF71</f>
        <v>918.95242542366555</v>
      </c>
      <c r="AG73" s="483">
        <v>880</v>
      </c>
      <c r="AH73" s="312">
        <v>936.38373621536812</v>
      </c>
      <c r="AI73" s="2548">
        <v>880</v>
      </c>
      <c r="AJ73" s="96">
        <f>+((AF73*AF71)+(AH71*AH73))/AJ71</f>
        <v>921.36756210630733</v>
      </c>
      <c r="AK73" s="483">
        <v>880</v>
      </c>
      <c r="AL73" s="312">
        <v>943.43</v>
      </c>
      <c r="AM73" s="2369">
        <v>880</v>
      </c>
      <c r="AN73" s="163">
        <f>+((AD73*AD71)+(AH73*AH71)+(AL71*AL73))/AN71</f>
        <v>932.53354436588597</v>
      </c>
      <c r="AO73" s="2548">
        <v>880</v>
      </c>
      <c r="AP73" s="96">
        <f>+((AJ73*AJ71)+(AL71*AL73))/AP71</f>
        <v>924.21560994874392</v>
      </c>
      <c r="AQ73" s="483">
        <v>880</v>
      </c>
      <c r="AR73" s="312">
        <v>934.32</v>
      </c>
      <c r="AS73" s="2548">
        <v>880</v>
      </c>
      <c r="AT73" s="96">
        <f>+((AP73*AP71)+(AR71*AR73))/AT71</f>
        <v>925.36943695063144</v>
      </c>
      <c r="AU73" s="483">
        <v>880</v>
      </c>
      <c r="AV73" s="312">
        <v>934.64045255069584</v>
      </c>
      <c r="AW73" s="2548">
        <v>880</v>
      </c>
      <c r="AX73" s="96">
        <f>+((AT73*AT71)+(AV71*AV73))/AX71</f>
        <v>926.22510317796934</v>
      </c>
      <c r="AY73" s="483">
        <v>880</v>
      </c>
      <c r="AZ73" s="312">
        <v>933.71</v>
      </c>
      <c r="BA73" s="2369">
        <v>880</v>
      </c>
      <c r="BB73" s="163">
        <f>+((AR73*AR71)+(AV73*AV71)+(AZ71*AZ73))/BB71</f>
        <v>934.20600815680586</v>
      </c>
      <c r="BC73" s="2549">
        <v>880</v>
      </c>
      <c r="BD73" s="1118">
        <f>+((AN73*AN71)+(BB71*BB73))/BD71</f>
        <v>933.36313413404309</v>
      </c>
      <c r="BE73" s="2548">
        <v>880</v>
      </c>
      <c r="BF73" s="96">
        <f>+((AX73*AX71)+(AZ71*AZ73))/BF71</f>
        <v>926.9342547496957</v>
      </c>
    </row>
    <row r="74" spans="1:74" x14ac:dyDescent="0.25">
      <c r="B74" s="28" t="s">
        <v>287</v>
      </c>
      <c r="C74" s="3573" t="s">
        <v>333</v>
      </c>
      <c r="D74" s="677">
        <v>6.6455567000000002</v>
      </c>
      <c r="E74" s="2368">
        <f>+(EMD!D22/E2/24)</f>
        <v>6.0364890999999998</v>
      </c>
      <c r="F74" s="981">
        <f>+(EMD!E22/F2/24)</f>
        <v>3.222666666666667</v>
      </c>
      <c r="G74" s="981">
        <f>+(EMD!F22/G2/24)</f>
        <v>6.1820640000000004</v>
      </c>
      <c r="H74" s="981">
        <f>+(EMD!G22/H2/24)</f>
        <v>4.0032258064516126</v>
      </c>
      <c r="I74" s="182">
        <f>+((E74*E2)+(G74*G2))/I2</f>
        <v>6.110469786885246</v>
      </c>
      <c r="J74" s="245">
        <f>+((F74*F$2)+(H74*H$2))/J$2</f>
        <v>3.619344262295082</v>
      </c>
      <c r="K74" s="981">
        <f>+(EMD!J22/K2/24)</f>
        <v>6.7498224999999996</v>
      </c>
      <c r="L74" s="981">
        <f>+(EMD!K22/L2/24)</f>
        <v>5.6433333333333335</v>
      </c>
      <c r="M74" s="962">
        <f>+((I74*I2)+(K74*K2))/M2</f>
        <v>6.3212454065934072</v>
      </c>
      <c r="N74" s="261">
        <f>+((J74*J$2)+(L74*L$2))/N$2</f>
        <v>4.2865934065934068</v>
      </c>
      <c r="O74" s="981">
        <f>+(EMD!N22/O2/24)</f>
        <v>6.7505058</v>
      </c>
      <c r="P74" s="981">
        <f>+(EMD!O22/P2/24)</f>
        <v>5.5411693548387104</v>
      </c>
      <c r="Q74" s="182">
        <f>+((M74*M2)+(O74*O2))/Q2</f>
        <v>6.4303197688524598</v>
      </c>
      <c r="R74" s="245">
        <f>+((N74*N$2)+(P74*P$2))/R$2</f>
        <v>4.6053790983606557</v>
      </c>
      <c r="S74" s="981">
        <f>+(EMD!R22/S2/24)</f>
        <v>6.7505058</v>
      </c>
      <c r="T74" s="981">
        <f>+(EMD!S22/T2/24)</f>
        <v>5.4123655913978501</v>
      </c>
      <c r="U74" s="182">
        <f>+((Q74*Q2)+(S74*S2))/U2</f>
        <v>6.4951940627450986</v>
      </c>
      <c r="V74" s="245">
        <f>+((R74*R$2)+(T74*T$2))/V$2</f>
        <v>4.7688861655773422</v>
      </c>
      <c r="W74" s="981">
        <f>+(EMD!V22/W2/24)</f>
        <v>6.7568047</v>
      </c>
      <c r="X74" s="981">
        <f>+(EMD!W22/X2/24)</f>
        <v>5.2088888888888887</v>
      </c>
      <c r="Y74" s="1842">
        <f>+(EMD!X22/Y2/24)</f>
        <v>6.7525597891304336</v>
      </c>
      <c r="Z74" s="1842">
        <f>+(EMD!Y22/Z2/24)</f>
        <v>5.3894157608695652</v>
      </c>
      <c r="AA74" s="1838">
        <f>+(EMD!Z22/AA2/24)</f>
        <v>6.5380810524590158</v>
      </c>
      <c r="AB74" s="1838">
        <f>+(EMD!AA22/AB2/24)</f>
        <v>4.841017759562841</v>
      </c>
      <c r="AC74" s="981">
        <f>+(EMD!AB22/AC2/24)</f>
        <v>6.7574918999999989</v>
      </c>
      <c r="AD74" s="981">
        <f>+(EMD!AC22/AD2/24)</f>
        <v>4.715389784946237</v>
      </c>
      <c r="AE74" s="182">
        <f>+((AA74*AA2)+(AC74*AC2))/AE2</f>
        <v>6.5698648668224289</v>
      </c>
      <c r="AF74" s="245">
        <f>+((AB74*AB$2)+(AD74*AD$2))/AF$2</f>
        <v>4.8228193146417446</v>
      </c>
      <c r="AG74" s="981">
        <f>+(EMD!AF22/AG2/24)</f>
        <v>6.7568047</v>
      </c>
      <c r="AH74" s="981">
        <f>+(EMD!AG22/AH2/24)</f>
        <v>5.8620833333333335</v>
      </c>
      <c r="AI74" s="182">
        <f>+((AE74*AE2)+(AG74*AG2))/AI2</f>
        <v>6.5928492725409829</v>
      </c>
      <c r="AJ74" s="245">
        <f>+((AF74*AF$2)+(AH74*AH$2))/AJ$2</f>
        <v>4.9505976775956277</v>
      </c>
      <c r="AK74" s="981">
        <f>+(EMD!AJ22/AK2/24)</f>
        <v>6.7574918999999989</v>
      </c>
      <c r="AL74" s="981">
        <f>+(EMD!AK22/AL2/24)</f>
        <v>5.9290322580645158</v>
      </c>
      <c r="AM74" s="962">
        <f>+((AC74*AC2)+(AG74*AG2)+(AK74*AK2))/AM2</f>
        <v>6.7572678130434776</v>
      </c>
      <c r="AN74" s="203">
        <f>+((AD74*AD$2)+(AH74*AH$2)+(AL74*AL$2))/AN$2</f>
        <v>5.4982563405797098</v>
      </c>
      <c r="AO74" s="182">
        <f>+((AI74*AI2)+(AK74*AK2))/AO2</f>
        <v>6.6114089869090904</v>
      </c>
      <c r="AP74" s="245">
        <f>+((AJ74*AJ$2)+(AL74*AL$2))/AP$2</f>
        <v>5.0608939393939387</v>
      </c>
      <c r="AQ74" s="981">
        <f>+(EMD!AP22/AQ2/24)</f>
        <v>6.7574918999999989</v>
      </c>
      <c r="AR74" s="981">
        <f>+(EMD!AQ22/AR2/24)</f>
        <v>5.9315860215053773</v>
      </c>
      <c r="AS74" s="182">
        <f>+((AO74*AO2)+(AQ74*AQ2))/AS2</f>
        <v>6.6262082362745094</v>
      </c>
      <c r="AT74" s="245">
        <f>+((AP74*AP$2)+(AR74*AR$2))/AT$2</f>
        <v>5.1491013071895422</v>
      </c>
      <c r="AU74" s="981">
        <f>+(EMD!AT22/AU2/24)</f>
        <v>6.7337163999999996</v>
      </c>
      <c r="AV74" s="982">
        <f>+(EMD!AU22/AV2/24)</f>
        <v>6.1375744047619056</v>
      </c>
      <c r="AW74" s="182">
        <f>+((AS74*AS2)+(AU74*AU2))/AW2</f>
        <v>6.6352208967065858</v>
      </c>
      <c r="AX74" s="245">
        <f>+((AT74*AT$2)+(AV74*AV$2))/AX$2</f>
        <v>5.2319673153692614</v>
      </c>
      <c r="AY74" s="981">
        <f>+(EMD!AX22/AY2/24)</f>
        <v>6.7574918999999989</v>
      </c>
      <c r="AZ74" s="982">
        <f>+(EMD!AY22/AZ2/24)</f>
        <v>6.560510752688173</v>
      </c>
      <c r="BA74" s="962">
        <f>+((AQ74*AQ2)+(AU74*AU2)+(AY74*AY2))/BA2</f>
        <v>6.7500950777777762</v>
      </c>
      <c r="BB74" s="203">
        <f>+((AR74*AR$2)+(AV74*AV$2)+(AZ74*AZ$2))/BB$2</f>
        <v>6.212300925925927</v>
      </c>
      <c r="BC74" s="1838">
        <f>+((AM74*AM2)+(BA74*BA2))/BC2</f>
        <v>6.7537208560439561</v>
      </c>
      <c r="BD74" s="1838">
        <f>+((AN74*AN$2)+(BB74*BB$2))/BD$2</f>
        <v>5.8513553113553121</v>
      </c>
      <c r="BE74" s="182">
        <f>+((AW74*AW2)+(AY74*AY2))/BE2</f>
        <v>6.6456055572602724</v>
      </c>
      <c r="BF74" s="245">
        <f>+((AX74*AX$2)+(AZ74*AZ$2))/BF$2</f>
        <v>5.3448025114155246</v>
      </c>
    </row>
    <row r="75" spans="1:74" x14ac:dyDescent="0.25">
      <c r="B75" s="28" t="s">
        <v>491</v>
      </c>
      <c r="C75" s="3573" t="s">
        <v>333</v>
      </c>
      <c r="D75" s="3577">
        <v>215.26107479575001</v>
      </c>
      <c r="E75" s="2550">
        <f>+(EMD!D43/E2/24)</f>
        <v>86.723484847222224</v>
      </c>
      <c r="F75" s="982">
        <f>+(EMD!E43/F2/24)</f>
        <v>108.96944444444445</v>
      </c>
      <c r="G75" s="982">
        <f>+(EMD!F43/G2/24)</f>
        <v>117.44559506354005</v>
      </c>
      <c r="H75" s="982">
        <f>+(EMD!G43/H2/24)</f>
        <v>109.56048387096774</v>
      </c>
      <c r="I75" s="182">
        <f>+(EMD!H43/I2/24)</f>
        <v>102.33636053092471</v>
      </c>
      <c r="J75" s="245">
        <f>+(EMD!I43/J2/24)</f>
        <v>109.26980874316939</v>
      </c>
      <c r="K75" s="982">
        <f>+(EMD!J43/K2/24)</f>
        <v>237.26531605113999</v>
      </c>
      <c r="L75" s="982">
        <f>+(EMD!K43/L2/24)</f>
        <v>202.73194444444445</v>
      </c>
      <c r="M75" s="962">
        <f>+((I75*I2)+(K75*K2))/M2</f>
        <v>146.81843377934734</v>
      </c>
      <c r="N75" s="261">
        <f t="shared" ref="N75" si="385">+((J75*J$2)+(L75*L$2))/N$2</f>
        <v>140.08150183150184</v>
      </c>
      <c r="O75" s="982">
        <f>+(EMD!N43/O2/24)</f>
        <v>237.40952735520997</v>
      </c>
      <c r="P75" s="982">
        <f>+(EMD!O43/P2/24)</f>
        <v>194.61827956989248</v>
      </c>
      <c r="Q75" s="143">
        <f>+((M75*M2)+(O75*O2))/Q2</f>
        <v>169.83748214698454</v>
      </c>
      <c r="R75" s="245">
        <f t="shared" ref="R75" si="386">+((N75*N$2)+(P75*P$2))/R$2</f>
        <v>153.93920765027323</v>
      </c>
      <c r="S75" s="982">
        <f>+(EMD!R43/S2/24)</f>
        <v>237.40952735520997</v>
      </c>
      <c r="T75" s="982">
        <f>+(EMD!S43/T2/24)</f>
        <v>197.03404569892473</v>
      </c>
      <c r="U75" s="143">
        <f>+((Q75*Q2)+(S75*S2))/U2</f>
        <v>183.52855013035048</v>
      </c>
      <c r="V75" s="245">
        <f t="shared" ref="V75" si="387">+((R75*R$2)+(T75*T$2))/V$2</f>
        <v>162.67084150326798</v>
      </c>
      <c r="W75" s="982">
        <f>+(EMD!V43/W2/24)</f>
        <v>238.73884943182</v>
      </c>
      <c r="X75" s="982">
        <f>+(EMD!W43/X2/24)</f>
        <v>199.20763888888891</v>
      </c>
      <c r="Y75" s="1843">
        <f>+(EMD!X43/Y2/24)</f>
        <v>237.84300194540887</v>
      </c>
      <c r="Z75" s="1843">
        <f>+(EMD!Y43/Z2/24)</f>
        <v>196.92881793478259</v>
      </c>
      <c r="AA75" s="1839">
        <f>+(EMD!Z43/AA2/24)</f>
        <v>192.57941886829633</v>
      </c>
      <c r="AB75" s="1839">
        <f>+(EMD!AA43/AB2/24)</f>
        <v>168.66048041894354</v>
      </c>
      <c r="AC75" s="982">
        <f>+(EMD!AB43/AC2/24)</f>
        <v>238.88386638562997</v>
      </c>
      <c r="AD75" s="982">
        <f>+(EMD!AC43/AD2/24)</f>
        <v>209.34946236559139</v>
      </c>
      <c r="AE75" s="143">
        <f>+((AA75*AA2)+(AC75*AC2))/AE2</f>
        <v>199.28707248062037</v>
      </c>
      <c r="AF75" s="245">
        <f t="shared" ref="AF75" si="388">+((AB75*AB$2)+(AD75*AD$2))/AF$2</f>
        <v>174.55467873831776</v>
      </c>
      <c r="AG75" s="982">
        <f>+(EMD!AF43/AG2/24)</f>
        <v>238.73884943182</v>
      </c>
      <c r="AH75" s="982">
        <f>+(EMD!AG43/AH2/24)</f>
        <v>200.72083333333333</v>
      </c>
      <c r="AI75" s="143">
        <f>+((AE75*AE2)+(AG75*AG2))/AI2</f>
        <v>204.13770079429247</v>
      </c>
      <c r="AJ75" s="245">
        <f t="shared" ref="AJ75" si="389">+((AF75*AF$2)+(AH75*AH$2))/AJ$2</f>
        <v>177.7718288934426</v>
      </c>
      <c r="AK75" s="982">
        <f>+(EMD!AJ43/AK2/24)</f>
        <v>238.88386638562997</v>
      </c>
      <c r="AL75" s="982">
        <f>+(EMD!AK43/AL2/24)</f>
        <v>207.77553763440861</v>
      </c>
      <c r="AM75" s="962">
        <f>+((AC75*AC2)+(AG75*AG2)+(AK75*AK2))/AM2</f>
        <v>238.83657824851801</v>
      </c>
      <c r="AN75" s="203">
        <f>+((AD75*AD$2)+(AH75*AH$2)+(AL75*AL$2))/AN$2</f>
        <v>206.00543478260869</v>
      </c>
      <c r="AO75" s="143">
        <f>+((AI75*AI2)+(AK75*AK2))/AO2</f>
        <v>208.05454127913416</v>
      </c>
      <c r="AP75" s="245">
        <f t="shared" ref="AP75" si="390">+((AJ75*AJ$2)+(AL75*AL$2))/AP$2</f>
        <v>181.15406515151514</v>
      </c>
      <c r="AQ75" s="982">
        <f>+(EMD!AP43/AQ2/24)</f>
        <v>238.88386638562997</v>
      </c>
      <c r="AR75" s="982">
        <f>+(EMD!AQ43/AR2/24)</f>
        <v>206.74462365591398</v>
      </c>
      <c r="AS75" s="143">
        <f>+((AO75*AO2)+(AQ75*AQ2))/AS2</f>
        <v>211.17777356116477</v>
      </c>
      <c r="AT75" s="245">
        <f t="shared" ref="AT75" si="391">+((AP75*AP$2)+(AR75*AR$2))/AT$2</f>
        <v>183.7465727124183</v>
      </c>
      <c r="AU75" s="982">
        <f>+(EMD!AT43/AU2/24)</f>
        <v>233.86628246923001</v>
      </c>
      <c r="AV75" s="967">
        <f>+(EMD!AU43/AV2/24)</f>
        <v>204.34970238095238</v>
      </c>
      <c r="AW75" s="143">
        <f>+((AS75*AS2)+(AU75*AU2))/AW2</f>
        <v>213.07980424806846</v>
      </c>
      <c r="AX75" s="245">
        <f t="shared" ref="AX75" si="392">+((AT75*AT$2)+(AV75*AV$2))/AX$2</f>
        <v>185.47378118762475</v>
      </c>
      <c r="AY75" s="982">
        <f>+(EMD!AX43/AY2/24)</f>
        <v>238.88386638562997</v>
      </c>
      <c r="AZ75" s="967">
        <f>+(EMD!AY43/AZ2/24)</f>
        <v>209.04032258064515</v>
      </c>
      <c r="BA75" s="962">
        <f>+((AQ75*AQ2)+(AU75*AU2)+(AY75*AY2))/BA2</f>
        <v>237.32284027830553</v>
      </c>
      <c r="BB75" s="203">
        <f>+((AR75*AR$2)+(AV75*AV$2)+(AZ75*AZ$2))/BB$2</f>
        <v>206.79027777777779</v>
      </c>
      <c r="BC75" s="1839">
        <f>+((AM75*AM2)+(BA75*BA2))/BC2</f>
        <v>238.08802650500633</v>
      </c>
      <c r="BD75" s="1839">
        <f>+((AN75*AN$2)+(BB75*BB$2))/BD$2</f>
        <v>206.39354395604394</v>
      </c>
      <c r="BE75" s="143">
        <f>+((AW75*AW2)+(AY75*AY2))/BE2</f>
        <v>215.27138212824491</v>
      </c>
      <c r="BF75" s="245">
        <f t="shared" ref="BF75" si="393">+((AX75*AX$2)+(AZ75*AZ$2))/BF$2</f>
        <v>187.47532305936073</v>
      </c>
    </row>
    <row r="76" spans="1:74" x14ac:dyDescent="0.25">
      <c r="B76" s="2546" t="s">
        <v>289</v>
      </c>
      <c r="C76" s="3573" t="s">
        <v>1618</v>
      </c>
      <c r="D76" s="677">
        <v>0.72168007547169799</v>
      </c>
      <c r="E76" s="2352">
        <v>0.72399999999999998</v>
      </c>
      <c r="F76" s="677">
        <v>0.74</v>
      </c>
      <c r="G76" s="677">
        <v>0.72329759999999998</v>
      </c>
      <c r="H76" s="983">
        <v>0.85499999999999998</v>
      </c>
      <c r="I76" s="953">
        <f>+((E76*E5)+(G76*G5))/I5</f>
        <v>0.72360117966101689</v>
      </c>
      <c r="J76" s="456">
        <f>+((F76*F5)+(H76*H5))/J5</f>
        <v>0.79578849277199726</v>
      </c>
      <c r="K76" s="677">
        <v>0.72149661016949196</v>
      </c>
      <c r="L76" s="981">
        <v>0.73099999999999998</v>
      </c>
      <c r="M76" s="954">
        <f>+((I76*I5)+(K76*K5))/M5</f>
        <v>0.72254528897098569</v>
      </c>
      <c r="N76" s="459">
        <f>+((J76*J5)+(L76*L5))/N5</f>
        <v>0.76388334547780612</v>
      </c>
      <c r="O76" s="677">
        <v>0.72149540983606597</v>
      </c>
      <c r="P76" s="981">
        <v>0.75800000000000001</v>
      </c>
      <c r="Q76" s="953">
        <f>+((M76*M5)+(O76*O5))/Q5</f>
        <v>0.72218670214785785</v>
      </c>
      <c r="R76" s="456">
        <f>+((N76*N5)+(P76*P5))/R5</f>
        <v>0.76198486317185476</v>
      </c>
      <c r="S76" s="677">
        <v>0.72149540983606597</v>
      </c>
      <c r="T76" s="981">
        <v>0.68700000000000006</v>
      </c>
      <c r="U76" s="953">
        <f>+((Q76*Q5)+(S76*S5))/U5</f>
        <v>0.72201070335106632</v>
      </c>
      <c r="V76" s="456">
        <f>+((R76*R5)+(T76*T5))/V5</f>
        <v>0.74234447222114497</v>
      </c>
      <c r="W76" s="677">
        <v>0.72149661016949196</v>
      </c>
      <c r="X76" s="981">
        <v>0.69099999999999995</v>
      </c>
      <c r="Y76" s="958">
        <f>+((O76*O5)+(S76*S5)+(W76*W5))/Y5</f>
        <v>0.72149580257563672</v>
      </c>
      <c r="Z76" s="1842">
        <f>+((P76*P5)+(T76*T5)+(X76*X5))/Z5</f>
        <v>0.71078696504044125</v>
      </c>
      <c r="AA76" s="1855">
        <f>+((U76*U5)+(W76*W5))/AA5</f>
        <v>0.72190866854023283</v>
      </c>
      <c r="AB76" s="1838">
        <f>+((V76*V5)+(X76*X5))/AB5</f>
        <v>0.73196381176445569</v>
      </c>
      <c r="AC76" s="677">
        <v>0.72146830601092904</v>
      </c>
      <c r="AD76" s="981">
        <v>0.67900000000000005</v>
      </c>
      <c r="AE76" s="953">
        <f>+((AA76*AA5)+(AC76*AC5))/AE5</f>
        <v>0.72183369044761903</v>
      </c>
      <c r="AF76" s="456">
        <f>+((AB76*AB5)+(AD76*AD5))/AF5</f>
        <v>0.72238399075894155</v>
      </c>
      <c r="AG76" s="677">
        <v>0.72146830601092904</v>
      </c>
      <c r="AH76" s="981">
        <v>0.74</v>
      </c>
      <c r="AI76" s="953">
        <f>+((AE76*AE5)+(AG76*AG5))/AI5</f>
        <v>0.72178202634645783</v>
      </c>
      <c r="AJ76" s="456">
        <f>+((AF76*AF5)+(AH76*AH5))/AJ5</f>
        <v>0.72482616639654507</v>
      </c>
      <c r="AK76" s="677">
        <v>0.72145500352006398</v>
      </c>
      <c r="AL76" s="981">
        <v>0.71499999999999997</v>
      </c>
      <c r="AM76" s="962">
        <f>+((AC76*AC5)+(AG76*AG5)+(AK76*AK5))/AM5</f>
        <v>0.72146382285102417</v>
      </c>
      <c r="AN76" s="459">
        <f>+((AD76*AD5)+(AH76*AH5)+(AL76*AL5))/AN5</f>
        <v>0.7102237211128144</v>
      </c>
      <c r="AO76" s="953">
        <f>+((AI76*AI5)+(AK76*AK5))/AO5</f>
        <v>0.72174031653392479</v>
      </c>
      <c r="AP76" s="456">
        <f>+((AJ76*AJ5)+(AL76*AL5))/AP5</f>
        <v>0.72351319047524554</v>
      </c>
      <c r="AQ76" s="677">
        <v>0.72144186325469795</v>
      </c>
      <c r="AR76" s="981">
        <v>0.69099999999999995</v>
      </c>
      <c r="AS76" s="953">
        <f>+((AO76*AO5)+(AQ76*AQ5))/AS5</f>
        <v>0.72170655648934978</v>
      </c>
      <c r="AT76" s="456">
        <f>+((AP76*AP5)+(AR76*AR5))/AT5</f>
        <v>0.71961039905210678</v>
      </c>
      <c r="AU76" s="677">
        <v>0.721521997703789</v>
      </c>
      <c r="AV76" s="981">
        <v>0.69399999999999995</v>
      </c>
      <c r="AW76" s="953">
        <f>+((AS76*AS5)+(AU76*AU5))/AW5</f>
        <v>0.72168974209822023</v>
      </c>
      <c r="AX76" s="456">
        <f>+((AT76*AT5)+(AV76*AV5))/AX5</f>
        <v>0.71712804734277802</v>
      </c>
      <c r="AY76" s="677">
        <v>0.72144186325469795</v>
      </c>
      <c r="AZ76" s="981">
        <v>0.69799999999999995</v>
      </c>
      <c r="BA76" s="962">
        <f>+((AQ76*AQ5)+(AU76*AU5)+(AY76*AY5))/BA5</f>
        <v>0.72146646733104969</v>
      </c>
      <c r="BB76" s="459">
        <f>+((AR76*AR5)+(AV76*AV5)+(AZ76*AZ5))/BB5</f>
        <v>0.69436017125850635</v>
      </c>
      <c r="BC76" s="1855">
        <f>+((AM76*AM5)+(BA76*BA5))/BC5</f>
        <v>0.72146512677900088</v>
      </c>
      <c r="BD76" s="1838">
        <f>+((AN76*AN5)+(BB76*BB5))/BD5</f>
        <v>0.70221443193619515</v>
      </c>
      <c r="BE76" s="953">
        <f>+((AW76*AW5)+(AY76*AY5))/BE5</f>
        <v>0.72166663325071956</v>
      </c>
      <c r="BF76" s="456">
        <f>+((AX76*AX5)+(AZ76*AZ5))/BF5</f>
        <v>0.71523768227474505</v>
      </c>
    </row>
    <row r="77" spans="1:74" x14ac:dyDescent="0.25">
      <c r="B77" s="2546" t="s">
        <v>260</v>
      </c>
      <c r="C77" s="3573" t="s">
        <v>242</v>
      </c>
      <c r="D77" s="3551">
        <f>14.8159842890411*D2*24*1000</f>
        <v>129788022.37200004</v>
      </c>
      <c r="E77" s="823">
        <f>+'POWER DISTRIBUTION'!I22</f>
        <v>7015199.9999999749</v>
      </c>
      <c r="F77" s="3551">
        <f>+'POWER DISTRIBUTION'!J22</f>
        <v>7383179.9999999898</v>
      </c>
      <c r="G77" s="3551">
        <f>+'POWER DISTRIBUTION'!K22</f>
        <v>7866400.0000000065</v>
      </c>
      <c r="H77" s="3551">
        <f>+'POWER DISTRIBUTION'!L22</f>
        <v>7757454.0000000102</v>
      </c>
      <c r="I77" s="143">
        <f>+'POWER DISTRIBUTION'!M22</f>
        <v>14881599.999999981</v>
      </c>
      <c r="J77" s="192">
        <f>+'POWER DISTRIBUTION'!N22</f>
        <v>15140634</v>
      </c>
      <c r="K77" s="3551">
        <f>+'POWER DISTRIBUTION'!O22</f>
        <v>11310831</v>
      </c>
      <c r="L77" s="3551">
        <f>+'POWER DISTRIBUTION'!P22</f>
        <v>10573941.999999994</v>
      </c>
      <c r="M77" s="2369">
        <f>+I77+K77</f>
        <v>26192430.999999981</v>
      </c>
      <c r="N77" s="183">
        <f t="shared" ref="N77" si="394">+J77+L77</f>
        <v>25714575.999999993</v>
      </c>
      <c r="O77" s="3551">
        <f>+'POWER DISTRIBUTION'!S22</f>
        <v>11694249</v>
      </c>
      <c r="P77" s="312">
        <f>+'POWER DISTRIBUTION'!T22</f>
        <v>11040828</v>
      </c>
      <c r="Q77" s="2548">
        <f>+M77+O77</f>
        <v>37886679.999999985</v>
      </c>
      <c r="R77" s="142">
        <f t="shared" ref="R77" si="395">+N77+P77</f>
        <v>36755403.999999993</v>
      </c>
      <c r="S77" s="3551">
        <f>+'POWER DISTRIBUTION'!W22</f>
        <v>11694249</v>
      </c>
      <c r="T77" s="312">
        <f>+'POWER DISTRIBUTION'!X22</f>
        <v>11391528.000000004</v>
      </c>
      <c r="U77" s="2548">
        <f>+Q77+S77</f>
        <v>49580928.999999985</v>
      </c>
      <c r="V77" s="142">
        <f t="shared" ref="V77" si="396">+R77+T77</f>
        <v>48146932</v>
      </c>
      <c r="W77" s="3551">
        <f>+'POWER DISTRIBUTION'!AA22</f>
        <v>11374020</v>
      </c>
      <c r="X77" s="312">
        <f>+'POWER DISTRIBUTION'!AB22</f>
        <v>10199465.999999998</v>
      </c>
      <c r="Y77" s="3549">
        <f>+'POWER DISTRIBUTION'!AC22</f>
        <v>34762518</v>
      </c>
      <c r="Z77" s="1326">
        <f>+'POWER DISTRIBUTION'!AD22</f>
        <v>32631822</v>
      </c>
      <c r="AA77" s="1134">
        <f>+'POWER DISTRIBUTION'!AE22</f>
        <v>60954948.999999985</v>
      </c>
      <c r="AB77" s="1840">
        <f>+'POWER DISTRIBUTION'!AF22</f>
        <v>58346398</v>
      </c>
      <c r="AC77" s="3551">
        <f>+'POWER DISTRIBUTION'!AG22</f>
        <v>11759580</v>
      </c>
      <c r="AD77" s="312">
        <f>+'POWER DISTRIBUTION'!AH22</f>
        <v>10764974.000000004</v>
      </c>
      <c r="AE77" s="2548">
        <f>+AA77+AC77</f>
        <v>72714528.999999985</v>
      </c>
      <c r="AF77" s="142">
        <f t="shared" ref="AF77" si="397">+AB77+AD77</f>
        <v>69111372</v>
      </c>
      <c r="AG77" s="3551">
        <f>+'POWER DISTRIBUTION'!AK22</f>
        <v>11374020</v>
      </c>
      <c r="AH77" s="312">
        <f>+'POWER DISTRIBUTION'!AL22</f>
        <v>10113127.999999993</v>
      </c>
      <c r="AI77" s="2548">
        <f>+AE77+AG77</f>
        <v>84088548.999999985</v>
      </c>
      <c r="AJ77" s="142">
        <f t="shared" ref="AJ77" si="398">+AF77+AH77</f>
        <v>79224500</v>
      </c>
      <c r="AK77" s="3551">
        <f>+'POWER DISTRIBUTION'!AO22</f>
        <v>11759580</v>
      </c>
      <c r="AL77" s="312">
        <f>+'POWER DISTRIBUTION'!AP22</f>
        <v>11313648.000000013</v>
      </c>
      <c r="AM77" s="162">
        <f t="shared" ref="AM77" si="399">+AK77+AG77+AC77</f>
        <v>34893180</v>
      </c>
      <c r="AN77" s="163">
        <f t="shared" ref="AN77" si="400">+AL77+AH77+AD77</f>
        <v>32191750.000000011</v>
      </c>
      <c r="AO77" s="2548">
        <f>+AI77+AK77</f>
        <v>95848128.999999985</v>
      </c>
      <c r="AP77" s="142">
        <f t="shared" ref="AP77" si="401">+AJ77+AL77</f>
        <v>90538148.000000015</v>
      </c>
      <c r="AQ77" s="3873">
        <f>+'POWER DISTRIBUTION'!AU22</f>
        <v>11759580</v>
      </c>
      <c r="AR77" s="312">
        <f>+'POWER DISTRIBUTION'!AV22</f>
        <v>11229299.999999983</v>
      </c>
      <c r="AS77" s="2548">
        <f>+AO77+AQ77</f>
        <v>107607708.99999999</v>
      </c>
      <c r="AT77" s="142">
        <f t="shared" ref="AT77" si="402">+AP77+AR77</f>
        <v>101767448</v>
      </c>
      <c r="AU77" s="3990">
        <f>+'POWER DISTRIBUTION'!AY22</f>
        <v>10420733.372</v>
      </c>
      <c r="AV77" s="312">
        <f>+'POWER DISTRIBUTION'!AZ22</f>
        <v>10058586.000000024</v>
      </c>
      <c r="AW77" s="2548">
        <f>+AS77+AU77</f>
        <v>118028442.37199998</v>
      </c>
      <c r="AX77" s="142">
        <f t="shared" ref="AX77" si="403">+AT77+AV77</f>
        <v>111826034.00000003</v>
      </c>
      <c r="AY77" s="4429">
        <f>+'POWER DISTRIBUTION'!BC22</f>
        <v>11759580</v>
      </c>
      <c r="AZ77" s="312">
        <f>+'POWER DISTRIBUTION'!BD22</f>
        <v>11810945.999999987</v>
      </c>
      <c r="BA77" s="162">
        <f t="shared" ref="BA77" si="404">+AY77+AU77+AQ77</f>
        <v>33939893.372000001</v>
      </c>
      <c r="BB77" s="163">
        <f t="shared" ref="BB77" si="405">+AZ77+AV77+AR77</f>
        <v>33098831.999999993</v>
      </c>
      <c r="BC77" s="4227">
        <f>+AM77+BA77</f>
        <v>68833073.372000009</v>
      </c>
      <c r="BD77" s="1840">
        <f>+AN77+BB77</f>
        <v>65290582</v>
      </c>
      <c r="BE77" s="143">
        <f>+AW77+AY77</f>
        <v>129788022.37199998</v>
      </c>
      <c r="BF77" s="142">
        <f t="shared" ref="BF77" si="406">+AX77+AZ77</f>
        <v>123636980.00000001</v>
      </c>
    </row>
    <row r="78" spans="1:74" ht="15.75" thickBot="1" x14ac:dyDescent="0.3">
      <c r="B78" s="2551" t="s">
        <v>261</v>
      </c>
      <c r="C78" s="3573" t="s">
        <v>288</v>
      </c>
      <c r="D78" s="118">
        <f t="shared" ref="D78:V78" si="407">+D77/D5</f>
        <v>48.976603529432595</v>
      </c>
      <c r="E78" s="118">
        <f t="shared" si="407"/>
        <v>68.776470588235043</v>
      </c>
      <c r="F78" s="230">
        <f t="shared" si="407"/>
        <v>67.232891681464181</v>
      </c>
      <c r="G78" s="230">
        <f t="shared" si="407"/>
        <v>58.704477611940348</v>
      </c>
      <c r="H78" s="230">
        <f t="shared" si="407"/>
        <v>74.975441350155606</v>
      </c>
      <c r="I78" s="687">
        <f t="shared" si="407"/>
        <v>63.057627118643985</v>
      </c>
      <c r="J78" s="687">
        <f t="shared" si="407"/>
        <v>70.988936692147846</v>
      </c>
      <c r="K78" s="230">
        <f t="shared" si="407"/>
        <v>47.599899841345326</v>
      </c>
      <c r="L78" s="230">
        <f t="shared" si="407"/>
        <v>51.097396792260419</v>
      </c>
      <c r="M78" s="869">
        <f t="shared" si="407"/>
        <v>55.302278394419147</v>
      </c>
      <c r="N78" s="869">
        <f t="shared" si="407"/>
        <v>61.193331280433547</v>
      </c>
      <c r="O78" s="230">
        <f t="shared" si="407"/>
        <v>47.6</v>
      </c>
      <c r="P78" s="967">
        <f t="shared" si="407"/>
        <v>55.148440075523723</v>
      </c>
      <c r="Q78" s="2552">
        <f t="shared" si="407"/>
        <v>52.671560773279019</v>
      </c>
      <c r="R78" s="303">
        <f t="shared" si="407"/>
        <v>59.24272018047111</v>
      </c>
      <c r="S78" s="230">
        <f t="shared" si="407"/>
        <v>47.6</v>
      </c>
      <c r="T78" s="967">
        <f t="shared" si="407"/>
        <v>51.739222062750954</v>
      </c>
      <c r="U78" s="2552">
        <f t="shared" si="407"/>
        <v>51.380372402272371</v>
      </c>
      <c r="V78" s="303">
        <f t="shared" si="407"/>
        <v>57.277368370837429</v>
      </c>
      <c r="W78" s="230">
        <f t="shared" ref="W78:X78" si="408">+W77/W5</f>
        <v>47.6</v>
      </c>
      <c r="X78" s="967">
        <f t="shared" si="408"/>
        <v>47.881444968664169</v>
      </c>
      <c r="Y78" s="869">
        <f t="shared" ref="Y78:AF78" si="409">+Y77/Y5</f>
        <v>47.6</v>
      </c>
      <c r="Z78" s="881">
        <f t="shared" si="409"/>
        <v>51.519401189474401</v>
      </c>
      <c r="AA78" s="1135">
        <f t="shared" si="409"/>
        <v>50.63006176449089</v>
      </c>
      <c r="AB78" s="1164">
        <f t="shared" si="409"/>
        <v>55.377730760484262</v>
      </c>
      <c r="AC78" s="230">
        <f t="shared" si="409"/>
        <v>47.6</v>
      </c>
      <c r="AD78" s="967">
        <f t="shared" si="409"/>
        <v>46.270713340095952</v>
      </c>
      <c r="AE78" s="2552">
        <f t="shared" si="409"/>
        <v>50.114149904409288</v>
      </c>
      <c r="AF78" s="303">
        <f t="shared" si="409"/>
        <v>53.730500437081282</v>
      </c>
      <c r="AG78" s="230">
        <f t="shared" ref="AG78:AJ78" si="410">+AG77/AG5</f>
        <v>47.6</v>
      </c>
      <c r="AH78" s="967">
        <f t="shared" si="410"/>
        <v>48.851206894053163</v>
      </c>
      <c r="AI78" s="2552">
        <f t="shared" si="410"/>
        <v>49.758657765301237</v>
      </c>
      <c r="AJ78" s="303">
        <f t="shared" si="410"/>
        <v>53.054065061938203</v>
      </c>
      <c r="AK78" s="230">
        <f t="shared" ref="AK78:AL78" si="411">+AK77/AK5</f>
        <v>47.6</v>
      </c>
      <c r="AL78" s="967">
        <f t="shared" si="411"/>
        <v>49.124417079885077</v>
      </c>
      <c r="AM78" s="869">
        <f t="shared" ref="AM78:BF78" si="412">+AM77/AM5</f>
        <v>47.6</v>
      </c>
      <c r="AN78" s="869">
        <f t="shared" si="412"/>
        <v>48.049037504272555</v>
      </c>
      <c r="AO78" s="2552">
        <f t="shared" si="412"/>
        <v>49.48333383239251</v>
      </c>
      <c r="AP78" s="303">
        <f t="shared" si="412"/>
        <v>52.528984071916177</v>
      </c>
      <c r="AQ78" s="230">
        <f t="shared" si="412"/>
        <v>47.6</v>
      </c>
      <c r="AR78" s="967">
        <f t="shared" si="412"/>
        <v>47.760476698834978</v>
      </c>
      <c r="AS78" s="2552">
        <f t="shared" si="412"/>
        <v>49.270297358825061</v>
      </c>
      <c r="AT78" s="303">
        <f t="shared" si="412"/>
        <v>51.95658593427401</v>
      </c>
      <c r="AU78" s="230">
        <f t="shared" ref="AU78:AV78" si="413">+AU77/AU5</f>
        <v>47.599999999999994</v>
      </c>
      <c r="AV78" s="967">
        <f t="shared" si="413"/>
        <v>47.845853807039106</v>
      </c>
      <c r="AW78" s="2552">
        <f t="shared" ref="AW78:BB78" si="414">+AW77/AW5</f>
        <v>49.118123443026377</v>
      </c>
      <c r="AX78" s="303">
        <f t="shared" si="414"/>
        <v>51.558142985303462</v>
      </c>
      <c r="AY78" s="230">
        <f t="shared" si="414"/>
        <v>47.6</v>
      </c>
      <c r="AZ78" s="967">
        <f t="shared" si="414"/>
        <v>49.656055304258715</v>
      </c>
      <c r="BA78" s="869">
        <f t="shared" si="414"/>
        <v>47.6</v>
      </c>
      <c r="BB78" s="869">
        <f t="shared" si="414"/>
        <v>48.446690147308011</v>
      </c>
      <c r="BC78" s="1135">
        <f t="shared" ref="BC78:BD78" si="415">+BC77/BC5</f>
        <v>47.600000000000009</v>
      </c>
      <c r="BD78" s="1164">
        <f t="shared" si="415"/>
        <v>48.249806880557699</v>
      </c>
      <c r="BE78" s="2552">
        <f t="shared" si="412"/>
        <v>48.976594288567362</v>
      </c>
      <c r="BF78" s="303">
        <f t="shared" si="412"/>
        <v>51.370165611337981</v>
      </c>
    </row>
    <row r="79" spans="1:74" x14ac:dyDescent="0.25">
      <c r="B79" s="2553" t="s">
        <v>1022</v>
      </c>
      <c r="C79" s="3558" t="s">
        <v>52</v>
      </c>
      <c r="D79" s="928"/>
      <c r="E79" s="2554"/>
      <c r="F79" s="928">
        <v>3.64</v>
      </c>
      <c r="G79" s="928"/>
      <c r="H79" s="928">
        <v>2.6</v>
      </c>
      <c r="I79" s="1845"/>
      <c r="J79" s="1845"/>
      <c r="K79" s="928"/>
      <c r="L79" s="928">
        <v>3.6</v>
      </c>
      <c r="M79" s="1844"/>
      <c r="N79" s="1844"/>
      <c r="O79" s="928"/>
      <c r="P79" s="989">
        <v>3.36</v>
      </c>
      <c r="Q79" s="1845"/>
      <c r="R79" s="1845"/>
      <c r="S79" s="928"/>
      <c r="T79" s="989">
        <v>3.63</v>
      </c>
      <c r="U79" s="1845"/>
      <c r="V79" s="1845"/>
      <c r="W79" s="928"/>
      <c r="X79" s="989">
        <v>3.42</v>
      </c>
      <c r="Y79" s="1844"/>
      <c r="Z79" s="1844"/>
      <c r="AA79" s="1841"/>
      <c r="AB79" s="1841"/>
      <c r="AC79" s="928"/>
      <c r="AD79" s="989">
        <v>4.1100000000000003</v>
      </c>
      <c r="AE79" s="1845"/>
      <c r="AF79" s="1845"/>
      <c r="AG79" s="928"/>
      <c r="AH79" s="989">
        <v>3.25</v>
      </c>
      <c r="AI79" s="1845"/>
      <c r="AJ79" s="1845"/>
      <c r="AK79" s="928"/>
      <c r="AL79" s="3694">
        <v>3.8530864283721158</v>
      </c>
      <c r="AM79" s="928"/>
      <c r="AN79" s="928"/>
      <c r="AO79" s="928"/>
      <c r="AP79" s="928"/>
      <c r="AQ79" s="928"/>
      <c r="AR79" s="3694">
        <v>3.9191509326998606</v>
      </c>
      <c r="AS79" s="1845"/>
      <c r="AT79" s="1845"/>
      <c r="AU79" s="928"/>
      <c r="AV79" s="3694">
        <v>4.0743445992357383</v>
      </c>
      <c r="AW79" s="1845"/>
      <c r="AX79" s="1845"/>
      <c r="AY79" s="928"/>
      <c r="AZ79" s="3694">
        <v>4.4028643535728298</v>
      </c>
      <c r="BA79" s="928"/>
      <c r="BB79" s="928"/>
      <c r="BC79" s="1841"/>
      <c r="BD79" s="1841"/>
      <c r="BE79" s="1845"/>
      <c r="BF79" s="1845"/>
    </row>
    <row r="80" spans="1:74" ht="15.75" thickBot="1" x14ac:dyDescent="0.3">
      <c r="B80" s="2555" t="s">
        <v>1050</v>
      </c>
      <c r="C80" s="2556"/>
      <c r="D80" s="2555"/>
      <c r="E80" s="2557"/>
      <c r="F80" s="980">
        <f>+SMS!F65</f>
        <v>1386</v>
      </c>
      <c r="G80" s="2555"/>
      <c r="H80" s="980">
        <f>+SMS!H65</f>
        <v>1066</v>
      </c>
      <c r="I80" s="1828"/>
      <c r="J80" s="3547">
        <f t="shared" ref="J80" si="416">+F80+H80</f>
        <v>2452</v>
      </c>
      <c r="K80" s="2555"/>
      <c r="L80" s="980">
        <f>+SMS!L65</f>
        <v>4934</v>
      </c>
      <c r="M80" s="1827"/>
      <c r="N80" s="3549">
        <f t="shared" ref="N80" si="417">+J80+L80</f>
        <v>7386</v>
      </c>
      <c r="O80" s="2555"/>
      <c r="P80" s="980">
        <f>+SMS!P65</f>
        <v>7732</v>
      </c>
      <c r="Q80" s="1828"/>
      <c r="R80" s="3547">
        <f t="shared" ref="R80" si="418">+N80+P80</f>
        <v>15118</v>
      </c>
      <c r="S80" s="2555"/>
      <c r="T80" s="980">
        <f>+SMS!T65</f>
        <v>7408</v>
      </c>
      <c r="U80" s="1828"/>
      <c r="V80" s="3547">
        <f t="shared" ref="V80" si="419">+R80+T80</f>
        <v>22526</v>
      </c>
      <c r="W80" s="2555"/>
      <c r="X80" s="980">
        <f>+SMS!X65</f>
        <v>5489</v>
      </c>
      <c r="Y80" s="1827"/>
      <c r="Z80" s="163">
        <f t="shared" ref="Z80" si="420">+X80+T80+P80</f>
        <v>20629</v>
      </c>
      <c r="AA80" s="2558"/>
      <c r="AB80" s="1134">
        <f t="shared" ref="AB80" si="421">+V80+X80</f>
        <v>28015</v>
      </c>
      <c r="AC80" s="2555"/>
      <c r="AD80" s="980">
        <f>+SMS!AD65</f>
        <v>5575</v>
      </c>
      <c r="AE80" s="1828"/>
      <c r="AF80" s="3547">
        <f t="shared" ref="AF80" si="422">+AB80+AD80</f>
        <v>33590</v>
      </c>
      <c r="AG80" s="2555"/>
      <c r="AH80" s="980">
        <f>+SMS!AH65</f>
        <v>4805</v>
      </c>
      <c r="AI80" s="1828"/>
      <c r="AJ80" s="3547">
        <f t="shared" ref="AJ80" si="423">+AF80+AH80</f>
        <v>38395</v>
      </c>
      <c r="AK80" s="2555"/>
      <c r="AL80" s="980">
        <f>+SMS!AL65</f>
        <v>4916</v>
      </c>
      <c r="AM80" s="2555"/>
      <c r="AN80" s="417">
        <f t="shared" ref="AN80" si="424">+AL80+AH80+AD80</f>
        <v>15296</v>
      </c>
      <c r="AO80" s="2555"/>
      <c r="AP80" s="3551">
        <f t="shared" ref="AP80" si="425">+AJ80+AL80</f>
        <v>43311</v>
      </c>
      <c r="AQ80" s="2555"/>
      <c r="AR80" s="980">
        <f>+SMS!AR65</f>
        <v>436</v>
      </c>
      <c r="AS80" s="1828"/>
      <c r="AT80" s="3874">
        <f t="shared" ref="AT80" si="426">+AP80+AR80</f>
        <v>43747</v>
      </c>
      <c r="AU80" s="2555"/>
      <c r="AV80" s="980">
        <f>+SMS!AV65</f>
        <v>1988</v>
      </c>
      <c r="AW80" s="1828"/>
      <c r="AX80" s="101">
        <f t="shared" ref="AX80" si="427">+AT80+AV80</f>
        <v>45735</v>
      </c>
      <c r="AY80" s="2555"/>
      <c r="AZ80" s="980">
        <f>+SMS!AZ65</f>
        <v>320</v>
      </c>
      <c r="BA80" s="2555"/>
      <c r="BB80" s="417">
        <f t="shared" ref="BB80" si="428">+AZ80+AV80+AR80</f>
        <v>2744</v>
      </c>
      <c r="BC80" s="2558"/>
      <c r="BD80" s="4227">
        <f>+AN80+BB80</f>
        <v>18040</v>
      </c>
      <c r="BE80" s="1828"/>
      <c r="BF80" s="101">
        <f t="shared" ref="BF80" si="429">+AX80+AZ80</f>
        <v>46055</v>
      </c>
    </row>
    <row r="81" spans="1:73" x14ac:dyDescent="0.25">
      <c r="B81" s="200"/>
      <c r="C81" s="1092"/>
      <c r="D81" s="1092"/>
      <c r="E81" s="1092"/>
      <c r="G81" s="1092"/>
      <c r="I81" s="1092"/>
      <c r="K81" s="1092"/>
      <c r="M81" s="1092"/>
      <c r="O81" s="1092"/>
      <c r="P81" s="1092"/>
      <c r="Q81" s="1092"/>
      <c r="S81" s="1092"/>
      <c r="T81" s="1092"/>
      <c r="U81" s="1092"/>
      <c r="V81" s="1092"/>
      <c r="W81" s="1092"/>
      <c r="X81" s="1092"/>
      <c r="Y81" s="1092"/>
      <c r="Z81" s="1092"/>
      <c r="AA81" s="1092"/>
      <c r="AB81" s="1092"/>
      <c r="AC81" s="1092"/>
      <c r="AD81" s="1092"/>
      <c r="AE81" s="1092"/>
      <c r="AF81" s="1092"/>
      <c r="AG81" s="1092"/>
      <c r="AH81" s="1092"/>
      <c r="AI81" s="1092"/>
      <c r="AJ81" s="1092"/>
      <c r="AK81" s="1092"/>
      <c r="AL81" s="1092"/>
      <c r="AM81" s="1092"/>
      <c r="AN81" s="1092"/>
      <c r="AO81" s="1092"/>
      <c r="AP81" s="1092"/>
      <c r="AQ81" s="1092"/>
      <c r="AR81" s="1092"/>
      <c r="AS81" s="1092"/>
      <c r="AT81" s="1092"/>
      <c r="AU81" s="1092"/>
      <c r="AV81" s="1092"/>
      <c r="AW81" s="1092"/>
      <c r="AX81" s="1092"/>
      <c r="AY81" s="1092"/>
      <c r="AZ81" s="1092"/>
      <c r="BA81" s="1092"/>
      <c r="BB81" s="1092"/>
      <c r="BC81" s="1092"/>
      <c r="BD81" s="1092"/>
      <c r="BE81" s="1092"/>
      <c r="BF81" s="1092"/>
    </row>
    <row r="82" spans="1:73" ht="15" hidden="1" customHeight="1" x14ac:dyDescent="0.25">
      <c r="B82" s="2559" t="s">
        <v>1249</v>
      </c>
      <c r="C82" s="1825"/>
      <c r="D82" s="1092"/>
      <c r="E82" s="1092"/>
      <c r="G82" s="1092"/>
      <c r="I82" s="1092"/>
      <c r="K82" s="1092"/>
      <c r="M82" s="1092"/>
      <c r="O82" s="1092"/>
      <c r="P82" s="1092"/>
      <c r="Q82" s="1092"/>
      <c r="S82" s="1092"/>
      <c r="T82" s="1092"/>
      <c r="U82" s="1092"/>
      <c r="V82" s="1092"/>
      <c r="W82" s="1092"/>
      <c r="X82" s="1092"/>
      <c r="Y82" s="1092"/>
      <c r="Z82" s="1092"/>
      <c r="AA82" s="1092"/>
      <c r="AB82" s="1092"/>
      <c r="AC82" s="1092"/>
      <c r="AD82" s="1092"/>
      <c r="AE82" s="1092"/>
      <c r="AF82" s="1092"/>
      <c r="AG82" s="1092"/>
      <c r="AH82" s="1092"/>
      <c r="AI82" s="1092"/>
      <c r="AJ82" s="1092"/>
      <c r="AK82" s="1092"/>
      <c r="AL82" s="1092"/>
      <c r="AM82" s="1092"/>
      <c r="AN82" s="1092"/>
      <c r="AO82" s="1092"/>
      <c r="AP82" s="1092"/>
      <c r="AQ82" s="1092"/>
      <c r="AR82" s="1092"/>
      <c r="AS82" s="1092"/>
      <c r="AT82" s="1092"/>
      <c r="AU82" s="1092"/>
      <c r="AV82" s="1092"/>
      <c r="AW82" s="1092"/>
      <c r="AX82" s="1092"/>
      <c r="AY82" s="1092"/>
      <c r="AZ82" s="1092"/>
      <c r="BA82" s="1092"/>
      <c r="BB82" s="1092"/>
      <c r="BC82" s="1092"/>
      <c r="BD82" s="1092"/>
      <c r="BE82" s="1092"/>
      <c r="BF82" s="1092"/>
    </row>
    <row r="83" spans="1:73" ht="18.75" x14ac:dyDescent="0.3">
      <c r="B83" s="3337" t="s">
        <v>1244</v>
      </c>
      <c r="C83" s="1825"/>
      <c r="D83" s="1092"/>
      <c r="E83" s="1092"/>
      <c r="G83" s="1092"/>
      <c r="I83" s="1092"/>
      <c r="K83" s="1092"/>
      <c r="M83" s="1092"/>
      <c r="O83" s="1092"/>
      <c r="P83" s="1092"/>
      <c r="Q83" s="1092"/>
      <c r="S83" s="1092"/>
      <c r="T83" s="1092"/>
      <c r="U83" s="1092"/>
      <c r="V83" s="1092"/>
      <c r="W83" s="1092"/>
      <c r="X83" s="1092"/>
      <c r="Y83" s="1092"/>
      <c r="Z83" s="1092"/>
      <c r="AA83" s="1092"/>
      <c r="AB83" s="1092"/>
      <c r="AC83" s="1092"/>
      <c r="AD83" s="1092"/>
      <c r="AE83" s="1092"/>
      <c r="AF83" s="1092"/>
      <c r="AG83" s="1092"/>
      <c r="AH83" s="1092"/>
      <c r="AI83" s="1092"/>
      <c r="AJ83" s="1092"/>
      <c r="AK83" s="1092"/>
      <c r="AL83" s="1092"/>
      <c r="AM83" s="1092"/>
      <c r="AN83" s="1092"/>
      <c r="AO83" s="1092"/>
      <c r="AP83" s="1092"/>
      <c r="AQ83" s="1092"/>
      <c r="AR83" s="1092"/>
      <c r="AS83" s="1092"/>
      <c r="AT83" s="1092"/>
      <c r="AU83" s="1092"/>
      <c r="AV83" s="1092"/>
      <c r="AW83" s="1092"/>
      <c r="AX83" s="1092"/>
      <c r="AY83" s="1092"/>
      <c r="AZ83" s="1092"/>
      <c r="BA83" s="1092"/>
      <c r="BB83" s="1092"/>
      <c r="BC83" s="1092"/>
      <c r="BD83" s="1092"/>
      <c r="BE83" s="1092"/>
      <c r="BF83" s="1092"/>
    </row>
    <row r="84" spans="1:73" s="1421" customFormat="1" ht="18.75" x14ac:dyDescent="0.3">
      <c r="A84" s="1829"/>
      <c r="B84" s="2565" t="s">
        <v>271</v>
      </c>
      <c r="C84" s="2560"/>
      <c r="D84" s="2561"/>
      <c r="E84" s="2561"/>
      <c r="F84" s="1830">
        <v>43530</v>
      </c>
      <c r="G84" s="1730"/>
      <c r="H84" s="1830">
        <v>42535</v>
      </c>
      <c r="I84" s="1831"/>
      <c r="J84" s="1831">
        <f>+F84+H84</f>
        <v>86065</v>
      </c>
      <c r="K84" s="699"/>
      <c r="L84" s="1830">
        <v>80404</v>
      </c>
      <c r="M84" s="1832"/>
      <c r="N84" s="1832">
        <f>+F84+H84+L84</f>
        <v>166469</v>
      </c>
      <c r="O84" s="699"/>
      <c r="P84" s="1730">
        <v>84345</v>
      </c>
      <c r="Q84" s="1831"/>
      <c r="R84" s="1831">
        <f>+N84+P84</f>
        <v>250814</v>
      </c>
      <c r="S84" s="699"/>
      <c r="T84" s="1730">
        <v>85227</v>
      </c>
      <c r="U84" s="1831"/>
      <c r="V84" s="1831">
        <f>+R84+T84</f>
        <v>336041</v>
      </c>
      <c r="W84" s="699"/>
      <c r="X84" s="1730">
        <v>90987</v>
      </c>
      <c r="Y84" s="1832"/>
      <c r="Z84" s="1832">
        <f>+X84+T84+P84</f>
        <v>260559</v>
      </c>
      <c r="AA84" s="1833"/>
      <c r="AB84" s="1833">
        <f>+Z84+N84</f>
        <v>427028</v>
      </c>
      <c r="AC84" s="699"/>
      <c r="AD84" s="1730">
        <v>121902</v>
      </c>
      <c r="AE84" s="1831"/>
      <c r="AF84" s="1831">
        <f>+AD84+AB84</f>
        <v>548930</v>
      </c>
      <c r="AG84" s="699"/>
      <c r="AH84" s="1730">
        <v>99450</v>
      </c>
      <c r="AI84" s="1831"/>
      <c r="AJ84" s="1831">
        <f>+AH84+AF84</f>
        <v>648380</v>
      </c>
      <c r="AK84" s="699"/>
      <c r="AL84" s="1730">
        <v>95682.6</v>
      </c>
      <c r="AM84" s="1832"/>
      <c r="AN84" s="3693">
        <f>+AL84+AH84+AD84</f>
        <v>317034.59999999998</v>
      </c>
      <c r="AO84" s="1831"/>
      <c r="AP84" s="1831">
        <f>+AJ84+AL84</f>
        <v>744062.6</v>
      </c>
      <c r="AQ84" s="699"/>
      <c r="AR84" s="1730">
        <v>93781.440000000002</v>
      </c>
      <c r="AS84" s="1831"/>
      <c r="AT84" s="1831">
        <f>+AR84+AP84</f>
        <v>837844.04</v>
      </c>
      <c r="AU84" s="699"/>
      <c r="AV84" s="1730">
        <v>91511.55</v>
      </c>
      <c r="AW84" s="1831"/>
      <c r="AX84" s="1831">
        <f>+AV84+AT84</f>
        <v>929355.59000000008</v>
      </c>
      <c r="AY84" s="699"/>
      <c r="AZ84" s="1730">
        <v>103477.72500000002</v>
      </c>
      <c r="BA84" s="1832"/>
      <c r="BB84" s="3693">
        <f>+AZ84+AV84+AR84</f>
        <v>288770.71500000003</v>
      </c>
      <c r="BC84" s="1833"/>
      <c r="BD84" s="1833">
        <f>+BB84+AN84</f>
        <v>605805.31499999994</v>
      </c>
      <c r="BE84" s="1831"/>
      <c r="BF84" s="1831">
        <f>+AX84+AZ84</f>
        <v>1032833.3150000001</v>
      </c>
      <c r="BG84" s="1834"/>
      <c r="BH84" s="1835"/>
      <c r="BI84" s="1835"/>
      <c r="BJ84" s="1835"/>
      <c r="BK84" s="1835"/>
      <c r="BL84" s="1835"/>
      <c r="BM84" s="1835"/>
      <c r="BN84" s="1835"/>
      <c r="BO84" s="1835"/>
      <c r="BP84" s="1835"/>
      <c r="BQ84" s="1835"/>
      <c r="BR84" s="1835"/>
      <c r="BS84" s="1835"/>
      <c r="BT84" s="1835"/>
      <c r="BU84" s="1835"/>
    </row>
    <row r="85" spans="1:73" s="1386" customFormat="1" ht="15" hidden="1" customHeight="1" x14ac:dyDescent="0.25">
      <c r="A85" s="332"/>
      <c r="B85" s="2562" t="s">
        <v>1248</v>
      </c>
      <c r="C85" s="2563" t="s">
        <v>53</v>
      </c>
      <c r="D85" s="2357"/>
      <c r="E85" s="2357"/>
      <c r="F85" s="238">
        <f>+F27</f>
        <v>41789</v>
      </c>
      <c r="G85" s="3551"/>
      <c r="H85" s="238">
        <f>+H27</f>
        <v>40833.46</v>
      </c>
      <c r="I85" s="3547"/>
      <c r="J85" s="3547">
        <f t="shared" ref="J85:J101" si="430">+F85+H85</f>
        <v>82622.459999999992</v>
      </c>
      <c r="K85" s="483"/>
      <c r="L85" s="238">
        <f>+L27</f>
        <v>77188</v>
      </c>
      <c r="M85" s="952"/>
      <c r="N85" s="3549">
        <f>+J85+L85</f>
        <v>159810.46</v>
      </c>
      <c r="O85" s="483"/>
      <c r="P85" s="3551">
        <f>+P27</f>
        <v>80971</v>
      </c>
      <c r="Q85" s="3547"/>
      <c r="R85" s="3547">
        <f>+N85+P85</f>
        <v>240781.46</v>
      </c>
      <c r="S85" s="483"/>
      <c r="T85" s="3551">
        <f>+T27</f>
        <v>81818</v>
      </c>
      <c r="U85" s="3547"/>
      <c r="V85" s="3547">
        <f>+R85+T85</f>
        <v>322599.45999999996</v>
      </c>
      <c r="W85" s="483"/>
      <c r="X85" s="3551">
        <f>+X27</f>
        <v>87347</v>
      </c>
      <c r="Y85" s="952"/>
      <c r="Z85" s="3549">
        <f>+X85+T85+P85</f>
        <v>250136</v>
      </c>
      <c r="AA85" s="1134"/>
      <c r="AB85" s="1134">
        <f>+Z85+N85</f>
        <v>409946.45999999996</v>
      </c>
      <c r="AC85" s="483"/>
      <c r="AD85" s="3551">
        <f>+AD27</f>
        <v>117026</v>
      </c>
      <c r="AE85" s="3547"/>
      <c r="AF85" s="3547">
        <f>+AB85+AD85</f>
        <v>526972.46</v>
      </c>
      <c r="AG85" s="483"/>
      <c r="AH85" s="3551">
        <f>+AH27</f>
        <v>95472</v>
      </c>
      <c r="AI85" s="3547"/>
      <c r="AJ85" s="3547">
        <f>+AF85+AH85</f>
        <v>622444.46</v>
      </c>
      <c r="AK85" s="483"/>
      <c r="AL85" s="3551">
        <f>+AL27</f>
        <v>91855</v>
      </c>
      <c r="AM85" s="3549"/>
      <c r="AN85" s="1326">
        <f>+AL85+AH85+AD85</f>
        <v>304353</v>
      </c>
      <c r="AO85" s="3547"/>
      <c r="AP85" s="3547">
        <f>+AJ85+AL85</f>
        <v>714299.46</v>
      </c>
      <c r="AQ85" s="483"/>
      <c r="AR85" s="3873">
        <f>+AR27</f>
        <v>90030.182400000005</v>
      </c>
      <c r="AS85" s="3874"/>
      <c r="AT85" s="3874">
        <f>+AP85+AR85</f>
        <v>804329.64240000001</v>
      </c>
      <c r="AU85" s="483"/>
      <c r="AV85" s="3990">
        <f>+AV27</f>
        <v>87851.088000000003</v>
      </c>
      <c r="AW85" s="3991"/>
      <c r="AX85" s="3991">
        <f>+AT85+AV85</f>
        <v>892180.7304</v>
      </c>
      <c r="AY85" s="483"/>
      <c r="AZ85" s="4224">
        <f>+AZ27</f>
        <v>99338.616000000009</v>
      </c>
      <c r="BA85" s="4225"/>
      <c r="BB85" s="1326">
        <f>+AZ85+AV85+AR85</f>
        <v>277219.88640000002</v>
      </c>
      <c r="BC85" s="4227"/>
      <c r="BD85" s="4227">
        <f>+AN85+BB85</f>
        <v>581572.88639999996</v>
      </c>
      <c r="BE85" s="4226"/>
      <c r="BF85" s="4226">
        <f>+BB85+AP85</f>
        <v>991519.34639999992</v>
      </c>
      <c r="BG85" s="1324"/>
      <c r="BH85" s="1433"/>
      <c r="BI85" s="1433"/>
      <c r="BJ85" s="1433"/>
      <c r="BK85" s="1433"/>
      <c r="BL85" s="1433"/>
      <c r="BM85" s="1433"/>
      <c r="BN85" s="1433"/>
      <c r="BO85" s="1433"/>
      <c r="BP85" s="1433"/>
      <c r="BQ85" s="1433"/>
      <c r="BR85" s="1433"/>
      <c r="BS85" s="1433"/>
      <c r="BT85" s="1433"/>
      <c r="BU85" s="1433"/>
    </row>
    <row r="86" spans="1:73" ht="15" hidden="1" customHeight="1" x14ac:dyDescent="0.25">
      <c r="B86" s="2562" t="s">
        <v>1247</v>
      </c>
      <c r="C86" s="2563" t="s">
        <v>52</v>
      </c>
      <c r="D86" s="2357"/>
      <c r="E86" s="2357"/>
      <c r="F86" s="238">
        <v>25</v>
      </c>
      <c r="G86" s="3551"/>
      <c r="H86" s="238">
        <v>25</v>
      </c>
      <c r="I86" s="3547"/>
      <c r="J86" s="3547">
        <v>25</v>
      </c>
      <c r="K86" s="483"/>
      <c r="L86" s="238">
        <v>25</v>
      </c>
      <c r="M86" s="952"/>
      <c r="N86" s="3549">
        <v>25</v>
      </c>
      <c r="O86" s="483"/>
      <c r="P86" s="3551">
        <v>25</v>
      </c>
      <c r="Q86" s="3547"/>
      <c r="R86" s="3547">
        <v>25</v>
      </c>
      <c r="S86" s="483"/>
      <c r="T86" s="3551">
        <v>25</v>
      </c>
      <c r="U86" s="3547"/>
      <c r="V86" s="3547">
        <v>25</v>
      </c>
      <c r="W86" s="483"/>
      <c r="X86" s="3551">
        <v>25</v>
      </c>
      <c r="Y86" s="952"/>
      <c r="Z86" s="3549">
        <v>25</v>
      </c>
      <c r="AA86" s="1134"/>
      <c r="AB86" s="1134">
        <v>25</v>
      </c>
      <c r="AC86" s="483"/>
      <c r="AD86" s="3551">
        <v>25</v>
      </c>
      <c r="AE86" s="3547"/>
      <c r="AF86" s="3547">
        <v>25</v>
      </c>
      <c r="AG86" s="483"/>
      <c r="AH86" s="3551">
        <v>25</v>
      </c>
      <c r="AI86" s="3547"/>
      <c r="AJ86" s="3547">
        <v>25</v>
      </c>
      <c r="AK86" s="483"/>
      <c r="AL86" s="3551">
        <v>25</v>
      </c>
      <c r="AM86" s="3549"/>
      <c r="AN86" s="1326">
        <v>25</v>
      </c>
      <c r="AO86" s="3547"/>
      <c r="AP86" s="3547">
        <v>25</v>
      </c>
      <c r="AQ86" s="483"/>
      <c r="AR86" s="3873">
        <v>25</v>
      </c>
      <c r="AS86" s="3874"/>
      <c r="AT86" s="3874">
        <v>25</v>
      </c>
      <c r="AU86" s="483"/>
      <c r="AV86" s="3990">
        <v>25</v>
      </c>
      <c r="AW86" s="3991"/>
      <c r="AX86" s="3991">
        <v>25</v>
      </c>
      <c r="AY86" s="483"/>
      <c r="AZ86" s="4224">
        <v>25</v>
      </c>
      <c r="BA86" s="4225"/>
      <c r="BB86" s="1326">
        <v>25</v>
      </c>
      <c r="BC86" s="4227"/>
      <c r="BD86" s="4227">
        <v>25</v>
      </c>
      <c r="BE86" s="4226"/>
      <c r="BF86" s="4226">
        <v>25</v>
      </c>
    </row>
    <row r="87" spans="1:73" ht="15" hidden="1" customHeight="1" x14ac:dyDescent="0.25">
      <c r="B87" s="2562" t="s">
        <v>1243</v>
      </c>
      <c r="C87" s="2563" t="s">
        <v>53</v>
      </c>
      <c r="D87" s="2357"/>
      <c r="E87" s="2357"/>
      <c r="F87" s="238">
        <f>+F85/(100-F86)*F86</f>
        <v>13929.666666666666</v>
      </c>
      <c r="G87" s="3551"/>
      <c r="H87" s="238">
        <f>+H85/(100-H86)*H86</f>
        <v>13611.153333333334</v>
      </c>
      <c r="I87" s="3547"/>
      <c r="J87" s="3547">
        <f t="shared" si="430"/>
        <v>27540.82</v>
      </c>
      <c r="K87" s="483"/>
      <c r="L87" s="238">
        <f>+L85/(100-L86)*L86</f>
        <v>25729.333333333336</v>
      </c>
      <c r="M87" s="952"/>
      <c r="N87" s="3549">
        <f t="shared" ref="N87:N88" si="431">+J87+L87</f>
        <v>53270.153333333335</v>
      </c>
      <c r="O87" s="483"/>
      <c r="P87" s="3551">
        <f>+P85/(100-P86)*P86</f>
        <v>26990.333333333332</v>
      </c>
      <c r="Q87" s="3547"/>
      <c r="R87" s="3547">
        <f t="shared" ref="R87:R88" si="432">+N87+P87</f>
        <v>80260.486666666664</v>
      </c>
      <c r="S87" s="483"/>
      <c r="T87" s="3551">
        <f>+T85/(100-T86)*T86</f>
        <v>27272.666666666668</v>
      </c>
      <c r="U87" s="3547"/>
      <c r="V87" s="3547">
        <f t="shared" ref="V87:V88" si="433">+R87+T87</f>
        <v>107533.15333333334</v>
      </c>
      <c r="W87" s="483"/>
      <c r="X87" s="3551">
        <f>+X85/(100-X86)*X86</f>
        <v>29115.666666666668</v>
      </c>
      <c r="Y87" s="952"/>
      <c r="Z87" s="3549">
        <f t="shared" ref="Z87:Z88" si="434">+X87+T87+P87</f>
        <v>83378.666666666672</v>
      </c>
      <c r="AA87" s="1134"/>
      <c r="AB87" s="1134">
        <f t="shared" ref="AB87:AB88" si="435">+Z87+N87</f>
        <v>136648.82</v>
      </c>
      <c r="AC87" s="483"/>
      <c r="AD87" s="3551">
        <f>+AD85/(100-AD86)*AD86</f>
        <v>39008.666666666664</v>
      </c>
      <c r="AE87" s="3547"/>
      <c r="AF87" s="3547">
        <f t="shared" ref="AF87:AF88" si="436">+AB87+AD87</f>
        <v>175657.48666666666</v>
      </c>
      <c r="AG87" s="483"/>
      <c r="AH87" s="3551">
        <f>+AH85/(100-AH86)*AH86</f>
        <v>31824</v>
      </c>
      <c r="AI87" s="3547"/>
      <c r="AJ87" s="3547">
        <f t="shared" ref="AJ87:AJ88" si="437">+AF87+AH87</f>
        <v>207481.48666666666</v>
      </c>
      <c r="AK87" s="483"/>
      <c r="AL87" s="3551">
        <f>+AL85/(100-AL86)*AL86</f>
        <v>30618.333333333332</v>
      </c>
      <c r="AM87" s="3549"/>
      <c r="AN87" s="1326">
        <f t="shared" ref="AN87:AN88" si="438">+AL87+AH87+AD87</f>
        <v>101451</v>
      </c>
      <c r="AO87" s="3547"/>
      <c r="AP87" s="3547">
        <f t="shared" ref="AP87:AP88" si="439">+AJ87+AL87</f>
        <v>238099.82</v>
      </c>
      <c r="AQ87" s="483"/>
      <c r="AR87" s="3873">
        <f>+AR85/(100-AR86)*AR86</f>
        <v>30010.060800000003</v>
      </c>
      <c r="AS87" s="3874"/>
      <c r="AT87" s="3874">
        <f t="shared" ref="AT87:AT88" si="440">+AP87+AR87</f>
        <v>268109.88079999998</v>
      </c>
      <c r="AU87" s="483"/>
      <c r="AV87" s="3990">
        <f>+AV85/(100-AV86)*AV86</f>
        <v>29283.696000000004</v>
      </c>
      <c r="AW87" s="3991"/>
      <c r="AX87" s="3991">
        <f t="shared" ref="AX87:AX88" si="441">+AT87+AV87</f>
        <v>297393.57679999998</v>
      </c>
      <c r="AY87" s="483"/>
      <c r="AZ87" s="4224">
        <f>+AZ85/(100-AZ86)*AZ86</f>
        <v>33112.872000000003</v>
      </c>
      <c r="BA87" s="4225"/>
      <c r="BB87" s="1326">
        <f t="shared" ref="BB87:BB88" si="442">+AZ87+AV87+AR87</f>
        <v>92406.628800000006</v>
      </c>
      <c r="BC87" s="4227"/>
      <c r="BD87" s="4227">
        <f>+AN87+BB87</f>
        <v>193857.62880000001</v>
      </c>
      <c r="BE87" s="4226"/>
      <c r="BF87" s="4226">
        <f t="shared" ref="BF87:BF88" si="443">+BB87+AP87</f>
        <v>330506.44880000001</v>
      </c>
    </row>
    <row r="88" spans="1:73" ht="15" hidden="1" customHeight="1" x14ac:dyDescent="0.25">
      <c r="B88" s="2562" t="s">
        <v>23</v>
      </c>
      <c r="C88" s="2563" t="s">
        <v>53</v>
      </c>
      <c r="D88" s="2357"/>
      <c r="E88" s="2357"/>
      <c r="F88" s="238">
        <f>+F85+F87</f>
        <v>55718.666666666664</v>
      </c>
      <c r="G88" s="3551"/>
      <c r="H88" s="238">
        <f>+H85+H87</f>
        <v>54444.613333333335</v>
      </c>
      <c r="I88" s="3547"/>
      <c r="J88" s="3547">
        <f t="shared" si="430"/>
        <v>110163.28</v>
      </c>
      <c r="K88" s="483"/>
      <c r="L88" s="238">
        <f>+L85+L87</f>
        <v>102917.33333333334</v>
      </c>
      <c r="M88" s="952"/>
      <c r="N88" s="3549">
        <f t="shared" si="431"/>
        <v>213080.61333333334</v>
      </c>
      <c r="O88" s="483"/>
      <c r="P88" s="3551">
        <f>+P85+P87</f>
        <v>107961.33333333333</v>
      </c>
      <c r="Q88" s="3547"/>
      <c r="R88" s="3547">
        <f t="shared" si="432"/>
        <v>321041.94666666666</v>
      </c>
      <c r="S88" s="483"/>
      <c r="T88" s="3551">
        <f>+T85+T87</f>
        <v>109090.66666666667</v>
      </c>
      <c r="U88" s="3547"/>
      <c r="V88" s="3547">
        <f t="shared" si="433"/>
        <v>430132.61333333334</v>
      </c>
      <c r="W88" s="483"/>
      <c r="X88" s="3551">
        <f>+X85+X87</f>
        <v>116462.66666666667</v>
      </c>
      <c r="Y88" s="952"/>
      <c r="Z88" s="3549">
        <f t="shared" si="434"/>
        <v>333514.66666666669</v>
      </c>
      <c r="AA88" s="1134"/>
      <c r="AB88" s="1134">
        <f t="shared" si="435"/>
        <v>546595.28</v>
      </c>
      <c r="AC88" s="483"/>
      <c r="AD88" s="3551">
        <f>+AD85+AD87</f>
        <v>156034.66666666666</v>
      </c>
      <c r="AE88" s="3547"/>
      <c r="AF88" s="3547">
        <f t="shared" si="436"/>
        <v>702629.94666666666</v>
      </c>
      <c r="AG88" s="483"/>
      <c r="AH88" s="3551">
        <f>+AH85+AH87</f>
        <v>127296</v>
      </c>
      <c r="AI88" s="3547"/>
      <c r="AJ88" s="3547">
        <f t="shared" si="437"/>
        <v>829925.94666666666</v>
      </c>
      <c r="AK88" s="483"/>
      <c r="AL88" s="3551">
        <f>+AL85+AL87</f>
        <v>122473.33333333333</v>
      </c>
      <c r="AM88" s="3549"/>
      <c r="AN88" s="1326">
        <f t="shared" si="438"/>
        <v>405804</v>
      </c>
      <c r="AO88" s="3547"/>
      <c r="AP88" s="3547">
        <f t="shared" si="439"/>
        <v>952399.28</v>
      </c>
      <c r="AQ88" s="483"/>
      <c r="AR88" s="3873">
        <f>+AR85+AR87</f>
        <v>120040.24320000001</v>
      </c>
      <c r="AS88" s="3874"/>
      <c r="AT88" s="3874">
        <f t="shared" si="440"/>
        <v>1072439.5231999999</v>
      </c>
      <c r="AU88" s="483"/>
      <c r="AV88" s="3990">
        <f>+AV85+AV87</f>
        <v>117134.78400000001</v>
      </c>
      <c r="AW88" s="3991"/>
      <c r="AX88" s="3991">
        <f t="shared" si="441"/>
        <v>1189574.3071999999</v>
      </c>
      <c r="AY88" s="483"/>
      <c r="AZ88" s="4224">
        <f>+AZ85+AZ87</f>
        <v>132451.48800000001</v>
      </c>
      <c r="BA88" s="4225"/>
      <c r="BB88" s="1326">
        <f t="shared" si="442"/>
        <v>369626.51520000002</v>
      </c>
      <c r="BC88" s="4227"/>
      <c r="BD88" s="4227">
        <f>+AN88+BB88</f>
        <v>775430.51520000002</v>
      </c>
      <c r="BE88" s="4226"/>
      <c r="BF88" s="4226">
        <f t="shared" si="443"/>
        <v>1322025.7952000001</v>
      </c>
    </row>
    <row r="89" spans="1:73" s="1386" customFormat="1" ht="15" hidden="1" customHeight="1" x14ac:dyDescent="0.25">
      <c r="A89" s="332"/>
      <c r="B89" s="2562" t="s">
        <v>238</v>
      </c>
      <c r="C89" s="2563" t="s">
        <v>52</v>
      </c>
      <c r="D89" s="2357"/>
      <c r="E89" s="2357"/>
      <c r="F89" s="230">
        <f>+((F84-F85)/F84)*100</f>
        <v>3.9995405467493681</v>
      </c>
      <c r="G89" s="449"/>
      <c r="H89" s="230">
        <f t="shared" ref="H89:AP89" si="444">+((H84-H85)/H84)*100</f>
        <v>4.0003291407076542</v>
      </c>
      <c r="I89" s="687"/>
      <c r="J89" s="687">
        <f t="shared" si="444"/>
        <v>3.9999302852495302</v>
      </c>
      <c r="K89" s="449"/>
      <c r="L89" s="230">
        <f t="shared" si="444"/>
        <v>3.9998010049251285</v>
      </c>
      <c r="M89" s="1719"/>
      <c r="N89" s="869">
        <f t="shared" si="444"/>
        <v>3.9998678432621135</v>
      </c>
      <c r="O89" s="449"/>
      <c r="P89" s="449">
        <f t="shared" si="444"/>
        <v>4.0002371213468493</v>
      </c>
      <c r="Q89" s="687"/>
      <c r="R89" s="687">
        <f t="shared" si="444"/>
        <v>3.9999920259634663</v>
      </c>
      <c r="S89" s="449"/>
      <c r="T89" s="449">
        <f t="shared" ref="T89" si="445">+((T84-T85)/T84)*100</f>
        <v>3.9999061330329591</v>
      </c>
      <c r="U89" s="687"/>
      <c r="V89" s="687">
        <f t="shared" ref="V89" si="446">+((V84-V85)/V84)*100</f>
        <v>3.9999702417264671</v>
      </c>
      <c r="W89" s="449"/>
      <c r="X89" s="449">
        <f t="shared" ref="X89" si="447">+((X84-X85)/X84)*100</f>
        <v>4.0005715102157451</v>
      </c>
      <c r="Y89" s="1719"/>
      <c r="Z89" s="869">
        <f t="shared" si="444"/>
        <v>4.0002456257507895</v>
      </c>
      <c r="AA89" s="1135"/>
      <c r="AB89" s="1135">
        <f t="shared" si="444"/>
        <v>4.0000983542062905</v>
      </c>
      <c r="AC89" s="449"/>
      <c r="AD89" s="449">
        <f t="shared" ref="AD89" si="448">+((AD84-AD85)/AD84)*100</f>
        <v>3.9999343735131498</v>
      </c>
      <c r="AE89" s="687"/>
      <c r="AF89" s="687">
        <f t="shared" ref="AF89" si="449">+((AF84-AF85)/AF84)*100</f>
        <v>4.0000619386807132</v>
      </c>
      <c r="AG89" s="449"/>
      <c r="AH89" s="449">
        <f t="shared" ref="AH89" si="450">+((AH84-AH85)/AH84)*100</f>
        <v>4</v>
      </c>
      <c r="AI89" s="687"/>
      <c r="AJ89" s="687">
        <f t="shared" ref="AJ89" si="451">+((AJ84-AJ85)/AJ84)*100</f>
        <v>4.0000524383849028</v>
      </c>
      <c r="AK89" s="449"/>
      <c r="AL89" s="449">
        <f t="shared" ref="AL89" si="452">+((AL84-AL85)/AL84)*100</f>
        <v>4.0003093561420835</v>
      </c>
      <c r="AM89" s="869"/>
      <c r="AN89" s="881">
        <f t="shared" si="444"/>
        <v>4.0000681313648343</v>
      </c>
      <c r="AO89" s="687"/>
      <c r="AP89" s="687">
        <f t="shared" si="444"/>
        <v>4.0000854766789802</v>
      </c>
      <c r="AQ89" s="449"/>
      <c r="AR89" s="449">
        <f t="shared" ref="AR89" si="453">+((AR84-AR85)/AR84)*100</f>
        <v>3.9999999999999964</v>
      </c>
      <c r="AS89" s="687"/>
      <c r="AT89" s="687">
        <f t="shared" ref="AT89" si="454">+((AT84-AT85)/AT84)*100</f>
        <v>4.0000759091154992</v>
      </c>
      <c r="AU89" s="449"/>
      <c r="AV89" s="449">
        <f t="shared" ref="AV89" si="455">+((AV84-AV85)/AV84)*100</f>
        <v>3.9999999999999996</v>
      </c>
      <c r="AW89" s="687"/>
      <c r="AX89" s="687">
        <f t="shared" ref="AX89" si="456">+((AX84-AX85)/AX84)*100</f>
        <v>4.0000684345160158</v>
      </c>
      <c r="AY89" s="449"/>
      <c r="AZ89" s="449">
        <f t="shared" ref="AZ89" si="457">+((AZ84-AZ85)/AZ84)*100</f>
        <v>4.0000000000000098</v>
      </c>
      <c r="BA89" s="869"/>
      <c r="BB89" s="881">
        <f t="shared" ref="BB89" si="458">+((BB84-BB85)/BB84)*100</f>
        <v>4.0000000000000018</v>
      </c>
      <c r="BC89" s="1135"/>
      <c r="BD89" s="1135">
        <f t="shared" ref="BD89" si="459">+((BD84-BD85)/BD84)*100</f>
        <v>4.0000356550189711</v>
      </c>
      <c r="BE89" s="687"/>
      <c r="BF89" s="687">
        <f t="shared" ref="BF89" si="460">+((BF84-BF85)/BF84)*100</f>
        <v>4.0000615781840976</v>
      </c>
      <c r="BG89" s="1324"/>
      <c r="BH89" s="1433"/>
      <c r="BI89" s="1433"/>
      <c r="BJ89" s="1433"/>
      <c r="BK89" s="1433"/>
      <c r="BL89" s="1433"/>
      <c r="BM89" s="1433"/>
      <c r="BN89" s="1433"/>
      <c r="BO89" s="1433"/>
      <c r="BP89" s="1433"/>
      <c r="BQ89" s="1433"/>
      <c r="BR89" s="1433"/>
      <c r="BS89" s="1433"/>
      <c r="BT89" s="1433"/>
      <c r="BU89" s="1433"/>
    </row>
    <row r="90" spans="1:73" ht="15" hidden="1" customHeight="1" x14ac:dyDescent="0.25">
      <c r="B90" s="2562" t="s">
        <v>238</v>
      </c>
      <c r="C90" s="2563" t="s">
        <v>53</v>
      </c>
      <c r="D90" s="2357"/>
      <c r="E90" s="2357"/>
      <c r="F90" s="238">
        <f>+(F88*F89)/(100-F89)</f>
        <v>2321.333333333333</v>
      </c>
      <c r="G90" s="3551"/>
      <c r="H90" s="238">
        <f>+(H88*H89)/(100-H89)</f>
        <v>2268.7200000000007</v>
      </c>
      <c r="I90" s="3547"/>
      <c r="J90" s="3547">
        <f t="shared" si="430"/>
        <v>4590.0533333333333</v>
      </c>
      <c r="K90" s="483"/>
      <c r="L90" s="238">
        <f>+(L88*L89)/(100-L89)</f>
        <v>4288.0000000000009</v>
      </c>
      <c r="M90" s="952"/>
      <c r="N90" s="3549">
        <f>+J90+L90</f>
        <v>8878.0533333333333</v>
      </c>
      <c r="O90" s="483"/>
      <c r="P90" s="3551">
        <f>+(P88*P89)/(100-P89)</f>
        <v>4498.666666666667</v>
      </c>
      <c r="Q90" s="3547"/>
      <c r="R90" s="3547">
        <f>+N90+P90</f>
        <v>13376.720000000001</v>
      </c>
      <c r="S90" s="483"/>
      <c r="T90" s="3551">
        <f>+(T88*T89)/(100-T89)</f>
        <v>4545.3333333333339</v>
      </c>
      <c r="U90" s="3547"/>
      <c r="V90" s="3547">
        <f>+R90+T90</f>
        <v>17922.053333333337</v>
      </c>
      <c r="W90" s="483"/>
      <c r="X90" s="3551">
        <f>+(X88*X89)/(100-X89)</f>
        <v>4853.3333333333339</v>
      </c>
      <c r="Y90" s="952"/>
      <c r="Z90" s="3549">
        <f>+X90+T90+P90</f>
        <v>13897.333333333336</v>
      </c>
      <c r="AA90" s="1134"/>
      <c r="AB90" s="1134">
        <f>+Z90+N90</f>
        <v>22775.386666666669</v>
      </c>
      <c r="AC90" s="483"/>
      <c r="AD90" s="3551">
        <f>+(AD88*AD89)/(100-AD89)</f>
        <v>6501.333333333333</v>
      </c>
      <c r="AE90" s="3547"/>
      <c r="AF90" s="3547">
        <f>+AB90+AD90</f>
        <v>29276.720000000001</v>
      </c>
      <c r="AG90" s="483"/>
      <c r="AH90" s="3551">
        <f>+(AH88*AH89)/(100-AH89)</f>
        <v>5304</v>
      </c>
      <c r="AI90" s="3547"/>
      <c r="AJ90" s="3547">
        <f>+AF90+AH90</f>
        <v>34580.720000000001</v>
      </c>
      <c r="AK90" s="483"/>
      <c r="AL90" s="3551">
        <f>+(AL88*AL89)/(100-AL89)</f>
        <v>5103.4666666666735</v>
      </c>
      <c r="AM90" s="3549"/>
      <c r="AN90" s="1326">
        <f>+AL90+AH90+AD90</f>
        <v>16908.800000000007</v>
      </c>
      <c r="AO90" s="3547"/>
      <c r="AP90" s="3547">
        <f>+AJ90+AL90</f>
        <v>39684.186666666676</v>
      </c>
      <c r="AQ90" s="483"/>
      <c r="AR90" s="3873">
        <f>+(AR88*AR89)/(100-AR89)</f>
        <v>5001.6767999999965</v>
      </c>
      <c r="AS90" s="3874"/>
      <c r="AT90" s="3874">
        <f>+AP90+AR90</f>
        <v>44685.863466666669</v>
      </c>
      <c r="AU90" s="483"/>
      <c r="AV90" s="3990">
        <f>+(AV88*AV89)/(100-AV89)</f>
        <v>4880.616</v>
      </c>
      <c r="AW90" s="3991"/>
      <c r="AX90" s="3991">
        <f>+AT90+AV90</f>
        <v>49566.479466666671</v>
      </c>
      <c r="AY90" s="483"/>
      <c r="AZ90" s="4224">
        <f>+(AZ88*AZ89)/(100-AZ89)</f>
        <v>5518.8120000000145</v>
      </c>
      <c r="BA90" s="4225"/>
      <c r="BB90" s="1326">
        <f>+AZ90+AV90+AR90</f>
        <v>15401.104800000012</v>
      </c>
      <c r="BC90" s="4227"/>
      <c r="BD90" s="4227">
        <f>+AN90+BB90</f>
        <v>32309.904800000018</v>
      </c>
      <c r="BE90" s="4226"/>
      <c r="BF90" s="4226">
        <f>+BB90+AP90</f>
        <v>55085.291466666691</v>
      </c>
    </row>
    <row r="91" spans="1:73" ht="15" hidden="1" customHeight="1" x14ac:dyDescent="0.25">
      <c r="B91" s="2562" t="s">
        <v>1108</v>
      </c>
      <c r="C91" s="2563" t="s">
        <v>52</v>
      </c>
      <c r="D91" s="2357"/>
      <c r="E91" s="2357"/>
      <c r="F91" s="230">
        <v>2.5</v>
      </c>
      <c r="G91" s="449"/>
      <c r="H91" s="230">
        <v>2.5</v>
      </c>
      <c r="I91" s="687"/>
      <c r="J91" s="687">
        <v>2.5</v>
      </c>
      <c r="K91" s="449"/>
      <c r="L91" s="230">
        <v>2.5</v>
      </c>
      <c r="M91" s="1719"/>
      <c r="N91" s="869">
        <v>2.5</v>
      </c>
      <c r="O91" s="449"/>
      <c r="P91" s="449">
        <v>2.5</v>
      </c>
      <c r="Q91" s="687"/>
      <c r="R91" s="687">
        <v>2.5</v>
      </c>
      <c r="S91" s="449"/>
      <c r="T91" s="449">
        <v>2.5</v>
      </c>
      <c r="U91" s="687"/>
      <c r="V91" s="687">
        <v>2.5</v>
      </c>
      <c r="W91" s="449"/>
      <c r="X91" s="449">
        <v>2.5</v>
      </c>
      <c r="Y91" s="1719"/>
      <c r="Z91" s="869">
        <v>2.5</v>
      </c>
      <c r="AA91" s="1135"/>
      <c r="AB91" s="1135">
        <v>2.5</v>
      </c>
      <c r="AC91" s="449"/>
      <c r="AD91" s="449">
        <v>2.5</v>
      </c>
      <c r="AE91" s="687"/>
      <c r="AF91" s="687">
        <v>2.5</v>
      </c>
      <c r="AG91" s="449"/>
      <c r="AH91" s="449">
        <v>2.5</v>
      </c>
      <c r="AI91" s="687"/>
      <c r="AJ91" s="687">
        <v>2.5</v>
      </c>
      <c r="AK91" s="449"/>
      <c r="AL91" s="449">
        <v>2.5</v>
      </c>
      <c r="AM91" s="869"/>
      <c r="AN91" s="881">
        <v>2.5</v>
      </c>
      <c r="AO91" s="687"/>
      <c r="AP91" s="687">
        <v>2.5</v>
      </c>
      <c r="AQ91" s="449"/>
      <c r="AR91" s="449">
        <v>2.5</v>
      </c>
      <c r="AS91" s="687"/>
      <c r="AT91" s="687">
        <v>2.5</v>
      </c>
      <c r="AU91" s="449"/>
      <c r="AV91" s="449">
        <v>2.5</v>
      </c>
      <c r="AW91" s="687"/>
      <c r="AX91" s="687">
        <v>2.5</v>
      </c>
      <c r="AY91" s="449"/>
      <c r="AZ91" s="449">
        <v>2.5</v>
      </c>
      <c r="BA91" s="869"/>
      <c r="BB91" s="881">
        <v>2.5</v>
      </c>
      <c r="BC91" s="1135"/>
      <c r="BD91" s="1135">
        <v>2.5</v>
      </c>
      <c r="BE91" s="687"/>
      <c r="BF91" s="687">
        <v>2.5</v>
      </c>
    </row>
    <row r="92" spans="1:73" s="1386" customFormat="1" ht="15" hidden="1" customHeight="1" x14ac:dyDescent="0.25">
      <c r="A92" s="332"/>
      <c r="B92" s="2562" t="s">
        <v>1108</v>
      </c>
      <c r="C92" s="2563" t="s">
        <v>53</v>
      </c>
      <c r="D92" s="2357"/>
      <c r="E92" s="2357"/>
      <c r="F92" s="238">
        <f>+((F85+F87)*F91)/(100-F91)</f>
        <v>1428.6837606837605</v>
      </c>
      <c r="G92" s="3551"/>
      <c r="H92" s="238">
        <f>+((H85+H87)*H91)/(100-H91)</f>
        <v>1396.0157264957263</v>
      </c>
      <c r="I92" s="3547"/>
      <c r="J92" s="3547">
        <f t="shared" si="430"/>
        <v>2824.6994871794868</v>
      </c>
      <c r="K92" s="483"/>
      <c r="L92" s="238">
        <f>+((L85+L87)*L91)/(100-L91)</f>
        <v>2638.9059829059834</v>
      </c>
      <c r="M92" s="952"/>
      <c r="N92" s="3549">
        <f t="shared" ref="N92:N94" si="461">+J92+L92</f>
        <v>5463.6054700854702</v>
      </c>
      <c r="O92" s="483"/>
      <c r="P92" s="3551">
        <f>+((P85+P87)*P91)/(100-P91)</f>
        <v>2768.2393162393159</v>
      </c>
      <c r="Q92" s="3547"/>
      <c r="R92" s="3547">
        <f t="shared" ref="R92:R93" si="462">+N92+P92</f>
        <v>8231.8447863247857</v>
      </c>
      <c r="S92" s="483"/>
      <c r="T92" s="3551">
        <f>+((T85+T87)*T91)/(100-T91)</f>
        <v>2797.1965811965815</v>
      </c>
      <c r="U92" s="3547"/>
      <c r="V92" s="3547">
        <f t="shared" ref="V92:V93" si="463">+R92+T92</f>
        <v>11029.041367521368</v>
      </c>
      <c r="W92" s="483"/>
      <c r="X92" s="3551">
        <f>+((X85+X87)*X91)/(100-X91)</f>
        <v>2986.2222222222226</v>
      </c>
      <c r="Y92" s="952"/>
      <c r="Z92" s="3549">
        <f t="shared" ref="Z92:Z94" si="464">+X92+T92+P92</f>
        <v>8551.658119658121</v>
      </c>
      <c r="AA92" s="1134"/>
      <c r="AB92" s="1134">
        <f t="shared" ref="AB92:AB94" si="465">+Z92+N92</f>
        <v>14015.26358974359</v>
      </c>
      <c r="AC92" s="483"/>
      <c r="AD92" s="3551">
        <f>+((AD85+AD87)*AD91)/(100-AD91)</f>
        <v>4000.8888888888887</v>
      </c>
      <c r="AE92" s="3547"/>
      <c r="AF92" s="3547">
        <f t="shared" ref="AF92:AF93" si="466">+AB92+AD92</f>
        <v>18016.152478632481</v>
      </c>
      <c r="AG92" s="483"/>
      <c r="AH92" s="3551">
        <f>+((AH85+AH87)*AH91)/(100-AH91)</f>
        <v>3264</v>
      </c>
      <c r="AI92" s="3547"/>
      <c r="AJ92" s="3547">
        <f t="shared" ref="AJ92:AJ93" si="467">+AF92+AH92</f>
        <v>21280.152478632481</v>
      </c>
      <c r="AK92" s="483"/>
      <c r="AL92" s="3551">
        <f>+((AL85+AL87)*AL91)/(100-AL91)</f>
        <v>3140.3418803418804</v>
      </c>
      <c r="AM92" s="3549"/>
      <c r="AN92" s="1326">
        <f t="shared" ref="AN92:AN94" si="468">+AL92+AH92+AD92</f>
        <v>10405.23076923077</v>
      </c>
      <c r="AO92" s="3547"/>
      <c r="AP92" s="3547">
        <f t="shared" ref="AP92:AP94" si="469">+AJ92+AL92</f>
        <v>24420.49435897436</v>
      </c>
      <c r="AQ92" s="483"/>
      <c r="AR92" s="3873">
        <f>+((AR85+AR87)*AR91)/(100-AR91)</f>
        <v>3077.9549538461538</v>
      </c>
      <c r="AS92" s="3874"/>
      <c r="AT92" s="3874">
        <f t="shared" ref="AT92:AT93" si="470">+AP92+AR92</f>
        <v>27498.449312820514</v>
      </c>
      <c r="AU92" s="483"/>
      <c r="AV92" s="3990">
        <f>+((AV85+AV87)*AV91)/(100-AV91)</f>
        <v>3003.4560000000001</v>
      </c>
      <c r="AW92" s="3991"/>
      <c r="AX92" s="3991">
        <f t="shared" ref="AX92:AX93" si="471">+AT92+AV92</f>
        <v>30501.905312820512</v>
      </c>
      <c r="AY92" s="483"/>
      <c r="AZ92" s="4224">
        <f>+((AZ85+AZ87)*AZ91)/(100-AZ91)</f>
        <v>3396.1920000000005</v>
      </c>
      <c r="BA92" s="4225"/>
      <c r="BB92" s="1326">
        <f t="shared" ref="BB92:BB94" si="472">+AZ92+AV92+AR92</f>
        <v>9477.6029538461553</v>
      </c>
      <c r="BC92" s="4227"/>
      <c r="BD92" s="4227">
        <f>+AN92+BB92</f>
        <v>19882.833723076925</v>
      </c>
      <c r="BE92" s="4226"/>
      <c r="BF92" s="4226">
        <f t="shared" ref="BF92:BF94" si="473">+BB92+AP92</f>
        <v>33898.097312820515</v>
      </c>
      <c r="BG92" s="1324"/>
      <c r="BH92" s="1433"/>
      <c r="BI92" s="1433"/>
      <c r="BJ92" s="1433"/>
      <c r="BK92" s="1433"/>
      <c r="BL92" s="1433"/>
      <c r="BM92" s="1433"/>
      <c r="BN92" s="1433"/>
      <c r="BO92" s="1433"/>
      <c r="BP92" s="1433"/>
      <c r="BQ92" s="1433"/>
      <c r="BR92" s="1433"/>
      <c r="BS92" s="1433"/>
      <c r="BT92" s="1433"/>
      <c r="BU92" s="1433"/>
    </row>
    <row r="93" spans="1:73" ht="15" hidden="1" customHeight="1" x14ac:dyDescent="0.25">
      <c r="B93" s="2562" t="s">
        <v>1232</v>
      </c>
      <c r="C93" s="2563" t="s">
        <v>53</v>
      </c>
      <c r="D93" s="2357"/>
      <c r="E93" s="2357"/>
      <c r="F93" s="238">
        <f>+(F92*F89)/(100-F89)</f>
        <v>59.521367521367516</v>
      </c>
      <c r="G93" s="3551"/>
      <c r="H93" s="238">
        <f>+(H92*H89)/(100-H89)</f>
        <v>58.172307692307704</v>
      </c>
      <c r="I93" s="3547"/>
      <c r="J93" s="3547">
        <f t="shared" si="430"/>
        <v>117.69367521367522</v>
      </c>
      <c r="K93" s="483"/>
      <c r="L93" s="238">
        <f>+(L92*L89)/(100-L89)</f>
        <v>109.94871794871797</v>
      </c>
      <c r="M93" s="952"/>
      <c r="N93" s="3549">
        <f t="shared" si="461"/>
        <v>227.6423931623932</v>
      </c>
      <c r="O93" s="483"/>
      <c r="P93" s="3551">
        <f>+(P92*P89)/(100-P89)</f>
        <v>115.35042735042735</v>
      </c>
      <c r="Q93" s="3547"/>
      <c r="R93" s="3547">
        <f t="shared" si="462"/>
        <v>342.99282051282057</v>
      </c>
      <c r="S93" s="483"/>
      <c r="T93" s="3551">
        <f>+(T92*T89)/(100-T89)</f>
        <v>116.54700854700856</v>
      </c>
      <c r="U93" s="3547"/>
      <c r="V93" s="3547">
        <f t="shared" si="463"/>
        <v>459.53982905982912</v>
      </c>
      <c r="W93" s="483"/>
      <c r="X93" s="3551">
        <f>+(X92*X89)/(100-X89)</f>
        <v>124.44444444444447</v>
      </c>
      <c r="Y93" s="952"/>
      <c r="Z93" s="3549">
        <f t="shared" si="464"/>
        <v>356.34188034188037</v>
      </c>
      <c r="AA93" s="1134"/>
      <c r="AB93" s="1134">
        <f t="shared" si="465"/>
        <v>583.98427350427357</v>
      </c>
      <c r="AC93" s="483"/>
      <c r="AD93" s="3551">
        <f>+(AD92*AD89)/(100-AD89)</f>
        <v>166.70085470085471</v>
      </c>
      <c r="AE93" s="3547"/>
      <c r="AF93" s="3547">
        <f t="shared" si="466"/>
        <v>750.68512820512831</v>
      </c>
      <c r="AG93" s="483"/>
      <c r="AH93" s="3551">
        <f>+(AH92*AH89)/(100-AH89)</f>
        <v>136</v>
      </c>
      <c r="AI93" s="3547"/>
      <c r="AJ93" s="3547">
        <f t="shared" si="467"/>
        <v>886.68512820512831</v>
      </c>
      <c r="AK93" s="483"/>
      <c r="AL93" s="3551">
        <f>+(AL92*AL89)/(100-AL89)</f>
        <v>130.85811965811985</v>
      </c>
      <c r="AM93" s="3549"/>
      <c r="AN93" s="1326">
        <f t="shared" si="468"/>
        <v>433.55897435897452</v>
      </c>
      <c r="AO93" s="3547"/>
      <c r="AP93" s="3547">
        <f t="shared" si="469"/>
        <v>1017.5432478632481</v>
      </c>
      <c r="AQ93" s="483"/>
      <c r="AR93" s="3873">
        <f>+(AR92*AR89)/(100-AR89)</f>
        <v>128.24812307692295</v>
      </c>
      <c r="AS93" s="3874"/>
      <c r="AT93" s="3874">
        <f t="shared" si="470"/>
        <v>1145.791370940171</v>
      </c>
      <c r="AU93" s="483"/>
      <c r="AV93" s="3990">
        <f>+(AV92*AV89)/(100-AV89)</f>
        <v>125.14399999999999</v>
      </c>
      <c r="AW93" s="3991"/>
      <c r="AX93" s="3991">
        <f t="shared" si="471"/>
        <v>1270.935370940171</v>
      </c>
      <c r="AY93" s="483"/>
      <c r="AZ93" s="4224">
        <f>+(AZ92*AZ89)/(100-AZ89)</f>
        <v>141.50800000000038</v>
      </c>
      <c r="BA93" s="4225"/>
      <c r="BB93" s="1326">
        <f t="shared" si="472"/>
        <v>394.90012307692336</v>
      </c>
      <c r="BC93" s="4227"/>
      <c r="BD93" s="4227">
        <f>+AN93+BB93</f>
        <v>828.45909743589789</v>
      </c>
      <c r="BE93" s="4226"/>
      <c r="BF93" s="4226">
        <f t="shared" si="473"/>
        <v>1412.4433709401715</v>
      </c>
    </row>
    <row r="94" spans="1:73" ht="15" hidden="1" customHeight="1" x14ac:dyDescent="0.25">
      <c r="B94" s="2562" t="s">
        <v>549</v>
      </c>
      <c r="C94" s="2563" t="s">
        <v>53</v>
      </c>
      <c r="D94" s="2357"/>
      <c r="E94" s="2357"/>
      <c r="F94" s="238">
        <f>+F88+F90+F92+F93</f>
        <v>59528.205128205125</v>
      </c>
      <c r="G94" s="3551"/>
      <c r="H94" s="238">
        <f>+H88+H90+H92+H93</f>
        <v>58167.521367521367</v>
      </c>
      <c r="I94" s="3547"/>
      <c r="J94" s="3547">
        <f t="shared" si="430"/>
        <v>117695.7264957265</v>
      </c>
      <c r="K94" s="483"/>
      <c r="L94" s="238">
        <f>+L88+L90+L92+L93</f>
        <v>109954.18803418805</v>
      </c>
      <c r="M94" s="952"/>
      <c r="N94" s="3549">
        <f t="shared" si="461"/>
        <v>227649.91452991456</v>
      </c>
      <c r="O94" s="483"/>
      <c r="P94" s="3551">
        <f>+P88+P90+P92+P93</f>
        <v>115343.58974358974</v>
      </c>
      <c r="Q94" s="3547"/>
      <c r="R94" s="3547">
        <f>+N94+P94</f>
        <v>342993.50427350431</v>
      </c>
      <c r="S94" s="483"/>
      <c r="T94" s="3551">
        <f>+T88+T90+T92+T93</f>
        <v>116549.74358974359</v>
      </c>
      <c r="U94" s="3547"/>
      <c r="V94" s="3547">
        <f>+R94+T94</f>
        <v>459543.24786324787</v>
      </c>
      <c r="W94" s="483"/>
      <c r="X94" s="3551">
        <f>+X88+X90+X92+X93</f>
        <v>124426.66666666666</v>
      </c>
      <c r="Y94" s="952"/>
      <c r="Z94" s="3549">
        <f t="shared" si="464"/>
        <v>356320</v>
      </c>
      <c r="AA94" s="1134"/>
      <c r="AB94" s="1134">
        <f t="shared" si="465"/>
        <v>583969.9145299145</v>
      </c>
      <c r="AC94" s="483"/>
      <c r="AD94" s="3551">
        <f>+AD88+AD90+AD92+AD93</f>
        <v>166703.58974358972</v>
      </c>
      <c r="AE94" s="3547"/>
      <c r="AF94" s="3547">
        <f>+AB94+AD94</f>
        <v>750673.50427350425</v>
      </c>
      <c r="AG94" s="483"/>
      <c r="AH94" s="3551">
        <f>+AH88+AH90+AH92+AH93</f>
        <v>136000</v>
      </c>
      <c r="AI94" s="3547"/>
      <c r="AJ94" s="3547">
        <f>+AF94+AH94</f>
        <v>886673.50427350425</v>
      </c>
      <c r="AK94" s="483"/>
      <c r="AL94" s="3551">
        <f>+AL88+AL90+AL92+AL93</f>
        <v>130848</v>
      </c>
      <c r="AM94" s="3549"/>
      <c r="AN94" s="1326">
        <f t="shared" si="468"/>
        <v>433551.58974358975</v>
      </c>
      <c r="AO94" s="3547"/>
      <c r="AP94" s="3547">
        <f t="shared" si="469"/>
        <v>1017521.5042735043</v>
      </c>
      <c r="AQ94" s="483"/>
      <c r="AR94" s="3873">
        <f>+AR88+AR90+AR92+AR93</f>
        <v>128248.12307692309</v>
      </c>
      <c r="AS94" s="3874"/>
      <c r="AT94" s="3874">
        <f>+AP94+AR94</f>
        <v>1145769.6273504274</v>
      </c>
      <c r="AU94" s="483"/>
      <c r="AV94" s="3990">
        <f>+AV88+AV90+AV92+AV93</f>
        <v>125144.00000000001</v>
      </c>
      <c r="AW94" s="3991"/>
      <c r="AX94" s="3991">
        <f>+AT94+AV94</f>
        <v>1270913.6273504274</v>
      </c>
      <c r="AY94" s="483"/>
      <c r="AZ94" s="4224">
        <f>+AZ88+AZ90+AZ92+AZ93</f>
        <v>141508.00000000003</v>
      </c>
      <c r="BA94" s="4225"/>
      <c r="BB94" s="1326">
        <f t="shared" si="472"/>
        <v>394900.12307692313</v>
      </c>
      <c r="BC94" s="4227"/>
      <c r="BD94" s="4227">
        <f>+AN94+BB94</f>
        <v>828451.71282051294</v>
      </c>
      <c r="BE94" s="4226"/>
      <c r="BF94" s="4226">
        <f t="shared" si="473"/>
        <v>1412421.6273504274</v>
      </c>
    </row>
    <row r="95" spans="1:73" ht="15" hidden="1" customHeight="1" x14ac:dyDescent="0.25">
      <c r="B95" s="700"/>
      <c r="C95" s="2563"/>
      <c r="D95" s="2564"/>
      <c r="E95" s="2564"/>
      <c r="F95" s="3164"/>
      <c r="G95" s="3164"/>
      <c r="H95" s="3164"/>
      <c r="I95" s="1828"/>
      <c r="J95" s="3547">
        <f t="shared" si="430"/>
        <v>0</v>
      </c>
      <c r="K95" s="3164"/>
      <c r="L95" s="3164"/>
      <c r="M95" s="1827"/>
      <c r="N95" s="1827"/>
      <c r="O95" s="3164"/>
      <c r="P95" s="3164"/>
      <c r="Q95" s="1828"/>
      <c r="R95" s="1828"/>
      <c r="S95" s="3164"/>
      <c r="T95" s="3164"/>
      <c r="U95" s="1828"/>
      <c r="V95" s="1828"/>
      <c r="W95" s="3164"/>
      <c r="X95" s="3164"/>
      <c r="Y95" s="1827"/>
      <c r="Z95" s="1827"/>
      <c r="AA95" s="2558"/>
      <c r="AB95" s="2558"/>
      <c r="AC95" s="3164"/>
      <c r="AD95" s="3164"/>
      <c r="AE95" s="1828"/>
      <c r="AF95" s="1828"/>
      <c r="AG95" s="3164"/>
      <c r="AH95" s="3164"/>
      <c r="AI95" s="1828"/>
      <c r="AJ95" s="1828"/>
      <c r="AK95" s="3164"/>
      <c r="AL95" s="3164"/>
      <c r="AM95" s="1092"/>
      <c r="AN95" s="1092"/>
      <c r="AO95" s="1828"/>
      <c r="AP95" s="1828"/>
      <c r="AQ95" s="3164"/>
      <c r="AR95" s="3164"/>
      <c r="AS95" s="1828"/>
      <c r="AT95" s="1828"/>
      <c r="AU95" s="3164"/>
      <c r="AV95" s="3164"/>
      <c r="AW95" s="1828"/>
      <c r="AX95" s="1828"/>
      <c r="AY95" s="3164"/>
      <c r="AZ95" s="3164"/>
      <c r="BA95" s="1092"/>
      <c r="BB95" s="1092"/>
      <c r="BC95" s="2558"/>
      <c r="BD95" s="2558"/>
      <c r="BE95" s="1828"/>
      <c r="BF95" s="1828"/>
    </row>
    <row r="96" spans="1:73" ht="15" hidden="1" customHeight="1" x14ac:dyDescent="0.25">
      <c r="B96" s="2565"/>
      <c r="C96" s="2563"/>
      <c r="D96" s="2564"/>
      <c r="E96" s="2564"/>
      <c r="F96" s="3164"/>
      <c r="G96" s="3164"/>
      <c r="H96" s="3164"/>
      <c r="I96" s="1828"/>
      <c r="J96" s="3547">
        <f t="shared" si="430"/>
        <v>0</v>
      </c>
      <c r="K96" s="3164"/>
      <c r="L96" s="3164"/>
      <c r="M96" s="1827"/>
      <c r="N96" s="1827"/>
      <c r="O96" s="3164"/>
      <c r="P96" s="3164"/>
      <c r="Q96" s="1828"/>
      <c r="R96" s="1828"/>
      <c r="S96" s="3164"/>
      <c r="T96" s="3164"/>
      <c r="U96" s="1828"/>
      <c r="V96" s="1828"/>
      <c r="W96" s="3164"/>
      <c r="X96" s="3164"/>
      <c r="Y96" s="1827"/>
      <c r="Z96" s="1827"/>
      <c r="AA96" s="2558"/>
      <c r="AB96" s="2558"/>
      <c r="AC96" s="3164"/>
      <c r="AD96" s="3164"/>
      <c r="AE96" s="1828"/>
      <c r="AF96" s="1828"/>
      <c r="AG96" s="3164"/>
      <c r="AH96" s="3164"/>
      <c r="AI96" s="1828"/>
      <c r="AJ96" s="1828"/>
      <c r="AK96" s="3164"/>
      <c r="AL96" s="3164"/>
      <c r="AM96" s="1092"/>
      <c r="AN96" s="1092"/>
      <c r="AO96" s="1828"/>
      <c r="AP96" s="1828"/>
      <c r="AQ96" s="3164"/>
      <c r="AR96" s="3164"/>
      <c r="AS96" s="1828"/>
      <c r="AT96" s="1828"/>
      <c r="AU96" s="3164"/>
      <c r="AV96" s="3164"/>
      <c r="AW96" s="1828"/>
      <c r="AX96" s="1828"/>
      <c r="AY96" s="3164"/>
      <c r="AZ96" s="3164"/>
      <c r="BA96" s="1092"/>
      <c r="BB96" s="1092"/>
      <c r="BC96" s="2558"/>
      <c r="BD96" s="2558"/>
      <c r="BE96" s="1828"/>
      <c r="BF96" s="1828"/>
    </row>
    <row r="97" spans="1:73" s="1421" customFormat="1" ht="18.75" x14ac:dyDescent="0.3">
      <c r="A97" s="1829"/>
      <c r="B97" s="2565" t="s">
        <v>27</v>
      </c>
      <c r="C97" s="2560"/>
      <c r="D97" s="3532"/>
      <c r="E97" s="3532"/>
      <c r="F97" s="3523">
        <v>44750</v>
      </c>
      <c r="G97" s="3523"/>
      <c r="H97" s="3523">
        <v>45065</v>
      </c>
      <c r="I97" s="3524"/>
      <c r="J97" s="1831">
        <f t="shared" si="430"/>
        <v>89815</v>
      </c>
      <c r="K97" s="3523"/>
      <c r="L97" s="3523">
        <v>86356</v>
      </c>
      <c r="M97" s="1832"/>
      <c r="N97" s="1832">
        <f>+F97+H97+L97</f>
        <v>176171</v>
      </c>
      <c r="O97" s="3523"/>
      <c r="P97" s="3523">
        <v>87624</v>
      </c>
      <c r="Q97" s="3524"/>
      <c r="R97" s="1831">
        <f>+F97+H97+L97+P97</f>
        <v>263795</v>
      </c>
      <c r="S97" s="3523"/>
      <c r="T97" s="3523">
        <v>88062</v>
      </c>
      <c r="U97" s="3524"/>
      <c r="V97" s="1831">
        <f>+J97+L97+P97+T97</f>
        <v>351857</v>
      </c>
      <c r="W97" s="3523"/>
      <c r="X97" s="3523">
        <v>84321</v>
      </c>
      <c r="Y97" s="1832"/>
      <c r="Z97" s="1832">
        <f>+X97+T97+P97</f>
        <v>260007</v>
      </c>
      <c r="AA97" s="3539"/>
      <c r="AB97" s="1833">
        <f>+Z97+N97</f>
        <v>436178</v>
      </c>
      <c r="AC97" s="3523"/>
      <c r="AD97" s="3523">
        <v>93505</v>
      </c>
      <c r="AE97" s="3524"/>
      <c r="AF97" s="1831">
        <f>+AD97+AB97</f>
        <v>529683</v>
      </c>
      <c r="AG97" s="3523"/>
      <c r="AH97" s="3523">
        <v>85701</v>
      </c>
      <c r="AI97" s="3524"/>
      <c r="AJ97" s="1831">
        <f>+AH97+AF97</f>
        <v>615384</v>
      </c>
      <c r="AK97" s="3523"/>
      <c r="AL97" s="3523">
        <v>93721.209278350507</v>
      </c>
      <c r="AM97" s="1832"/>
      <c r="AN97" s="3693">
        <f>+AL97+AH97+AD97</f>
        <v>272927.20927835052</v>
      </c>
      <c r="AO97" s="3524"/>
      <c r="AP97" s="1831">
        <f>+AJ97+AL97</f>
        <v>709105.20927835046</v>
      </c>
      <c r="AQ97" s="3881"/>
      <c r="AR97" s="1730">
        <v>94766.184020618588</v>
      </c>
      <c r="AS97" s="3882"/>
      <c r="AT97" s="1831">
        <f>+AR97+AP97</f>
        <v>803871.39329896902</v>
      </c>
      <c r="AU97" s="4002"/>
      <c r="AV97" s="1730">
        <v>84915.788556701038</v>
      </c>
      <c r="AW97" s="3996"/>
      <c r="AX97" s="1831">
        <f>+AV97+AT97</f>
        <v>888787.18185567006</v>
      </c>
      <c r="AY97" s="4244"/>
      <c r="AZ97" s="1730">
        <v>95549.1</v>
      </c>
      <c r="BA97" s="1832"/>
      <c r="BB97" s="3693">
        <f>+AZ97+AV97+AR97</f>
        <v>275231.07257731963</v>
      </c>
      <c r="BC97" s="4256"/>
      <c r="BD97" s="1833">
        <f>+BB97+AN97</f>
        <v>548158.28185567015</v>
      </c>
      <c r="BE97" s="4241"/>
      <c r="BF97" s="1831">
        <f>+AX97+AZ97</f>
        <v>984336.28185567004</v>
      </c>
      <c r="BG97" s="1834"/>
      <c r="BH97" s="1726"/>
      <c r="BI97" s="1726"/>
      <c r="BJ97" s="1835"/>
      <c r="BK97" s="1835"/>
      <c r="BL97" s="1835"/>
      <c r="BM97" s="1835"/>
      <c r="BN97" s="1835"/>
      <c r="BO97" s="1835"/>
      <c r="BP97" s="1835"/>
      <c r="BQ97" s="1835"/>
      <c r="BR97" s="1835"/>
      <c r="BS97" s="1835"/>
      <c r="BT97" s="1835"/>
      <c r="BU97" s="1835"/>
    </row>
    <row r="98" spans="1:73" ht="15" hidden="1" customHeight="1" x14ac:dyDescent="0.25">
      <c r="B98" s="700"/>
      <c r="C98" s="2563"/>
      <c r="D98" s="2564"/>
      <c r="E98" s="2564"/>
      <c r="F98" s="3164"/>
      <c r="G98" s="3164"/>
      <c r="H98" s="3164"/>
      <c r="I98" s="1828"/>
      <c r="J98" s="3547">
        <f t="shared" si="430"/>
        <v>0</v>
      </c>
      <c r="K98" s="3164"/>
      <c r="L98" s="3164"/>
      <c r="M98" s="1827"/>
      <c r="N98" s="1827"/>
      <c r="O98" s="3164"/>
      <c r="P98" s="3164"/>
      <c r="Q98" s="1828"/>
      <c r="R98" s="1828"/>
      <c r="S98" s="3164"/>
      <c r="T98" s="3164"/>
      <c r="U98" s="1828"/>
      <c r="V98" s="1828"/>
      <c r="W98" s="3164"/>
      <c r="X98" s="3164"/>
      <c r="Y98" s="1827"/>
      <c r="Z98" s="1827"/>
      <c r="AA98" s="2558"/>
      <c r="AB98" s="2558"/>
      <c r="AC98" s="3164"/>
      <c r="AD98" s="3164"/>
      <c r="AE98" s="1828"/>
      <c r="AF98" s="1828"/>
      <c r="AG98" s="3164"/>
      <c r="AH98" s="3164"/>
      <c r="AI98" s="1828"/>
      <c r="AJ98" s="1828"/>
      <c r="AK98" s="3164"/>
      <c r="AL98" s="3164"/>
      <c r="AM98" s="1092"/>
      <c r="AN98" s="1092"/>
      <c r="AO98" s="1828"/>
      <c r="AP98" s="1828"/>
      <c r="AQ98" s="3164"/>
      <c r="AR98" s="3164"/>
      <c r="AS98" s="1828"/>
      <c r="AT98" s="1828"/>
      <c r="AU98" s="3164"/>
      <c r="AV98" s="3164"/>
      <c r="AW98" s="1828"/>
      <c r="AX98" s="1828"/>
      <c r="AY98" s="3164"/>
      <c r="AZ98" s="3164"/>
      <c r="BA98" s="1092"/>
      <c r="BB98" s="1092"/>
      <c r="BC98" s="2558"/>
      <c r="BD98" s="2558"/>
      <c r="BE98" s="1828"/>
      <c r="BF98" s="1828"/>
      <c r="BH98" s="1726"/>
      <c r="BI98" s="1726"/>
    </row>
    <row r="99" spans="1:73" ht="15" hidden="1" customHeight="1" x14ac:dyDescent="0.25">
      <c r="B99" s="2565"/>
      <c r="C99" s="2563"/>
      <c r="D99" s="2564"/>
      <c r="E99" s="2564"/>
      <c r="F99" s="3164"/>
      <c r="G99" s="3164"/>
      <c r="H99" s="3164"/>
      <c r="I99" s="1828"/>
      <c r="J99" s="3547">
        <f t="shared" si="430"/>
        <v>0</v>
      </c>
      <c r="K99" s="3164"/>
      <c r="L99" s="3164"/>
      <c r="M99" s="1827"/>
      <c r="N99" s="1827"/>
      <c r="O99" s="3164"/>
      <c r="P99" s="3164"/>
      <c r="Q99" s="1828"/>
      <c r="R99" s="1828"/>
      <c r="S99" s="3164"/>
      <c r="T99" s="3164"/>
      <c r="U99" s="1828"/>
      <c r="V99" s="1828"/>
      <c r="W99" s="3164"/>
      <c r="X99" s="3164"/>
      <c r="Y99" s="1827"/>
      <c r="Z99" s="1827"/>
      <c r="AA99" s="2558"/>
      <c r="AB99" s="2558"/>
      <c r="AC99" s="3164"/>
      <c r="AD99" s="3164"/>
      <c r="AE99" s="1828"/>
      <c r="AF99" s="1828"/>
      <c r="AG99" s="3164"/>
      <c r="AH99" s="3164"/>
      <c r="AI99" s="1828"/>
      <c r="AJ99" s="1828"/>
      <c r="AK99" s="3164"/>
      <c r="AL99" s="3164"/>
      <c r="AM99" s="1092"/>
      <c r="AN99" s="1092"/>
      <c r="AO99" s="1828"/>
      <c r="AP99" s="1828"/>
      <c r="AQ99" s="3164"/>
      <c r="AR99" s="3164"/>
      <c r="AS99" s="1828"/>
      <c r="AT99" s="1828"/>
      <c r="AU99" s="3164"/>
      <c r="AV99" s="3164"/>
      <c r="AW99" s="1828"/>
      <c r="AX99" s="1828"/>
      <c r="AY99" s="3164"/>
      <c r="AZ99" s="3164"/>
      <c r="BA99" s="1092"/>
      <c r="BB99" s="1092"/>
      <c r="BC99" s="2558"/>
      <c r="BD99" s="2558"/>
      <c r="BE99" s="1828"/>
      <c r="BF99" s="1828"/>
      <c r="BH99" s="1726"/>
      <c r="BI99" s="1726"/>
    </row>
    <row r="100" spans="1:73" s="1421" customFormat="1" ht="18.75" x14ac:dyDescent="0.3">
      <c r="A100" s="1829"/>
      <c r="B100" s="2565" t="s">
        <v>1245</v>
      </c>
      <c r="C100" s="2560"/>
      <c r="D100" s="3532"/>
      <c r="E100" s="3532"/>
      <c r="F100" s="3523">
        <v>5281</v>
      </c>
      <c r="G100" s="3523"/>
      <c r="H100" s="3523">
        <v>3591</v>
      </c>
      <c r="I100" s="3524"/>
      <c r="J100" s="1831">
        <f t="shared" si="430"/>
        <v>8872</v>
      </c>
      <c r="K100" s="3523"/>
      <c r="L100" s="3523">
        <v>9594</v>
      </c>
      <c r="M100" s="1832"/>
      <c r="N100" s="1832">
        <f>+F100+H100+L100</f>
        <v>18466</v>
      </c>
      <c r="O100" s="3523"/>
      <c r="P100" s="3523">
        <v>7736</v>
      </c>
      <c r="Q100" s="3524"/>
      <c r="R100" s="1831">
        <f>+F100+H100+L100+P100</f>
        <v>26202</v>
      </c>
      <c r="S100" s="3523"/>
      <c r="T100" s="3523">
        <v>10650</v>
      </c>
      <c r="U100" s="3524"/>
      <c r="V100" s="1831">
        <f>+J100+L100+P100+T100</f>
        <v>36852</v>
      </c>
      <c r="W100" s="3523"/>
      <c r="X100" s="3523">
        <v>8807</v>
      </c>
      <c r="Y100" s="1832"/>
      <c r="Z100" s="1832">
        <f>+X100+T100+P100</f>
        <v>27193</v>
      </c>
      <c r="AA100" s="3539"/>
      <c r="AB100" s="1833">
        <f>+Z100+N100</f>
        <v>45659</v>
      </c>
      <c r="AC100" s="3523"/>
      <c r="AD100" s="3523">
        <v>8674</v>
      </c>
      <c r="AE100" s="3524"/>
      <c r="AF100" s="1831">
        <f>+AD100+AB100</f>
        <v>54333</v>
      </c>
      <c r="AG100" s="3523"/>
      <c r="AH100" s="3523">
        <v>8268</v>
      </c>
      <c r="AI100" s="3524"/>
      <c r="AJ100" s="1831">
        <f>+AH100+AF100</f>
        <v>62601</v>
      </c>
      <c r="AK100" s="3523"/>
      <c r="AL100" s="1400">
        <v>7487.2731958762888</v>
      </c>
      <c r="AM100" s="1832"/>
      <c r="AN100" s="3693">
        <f>+AL100+AH100+AD100</f>
        <v>24429.273195876289</v>
      </c>
      <c r="AO100" s="3524"/>
      <c r="AP100" s="1831">
        <f>+AJ100+AL100</f>
        <v>70088.273195876289</v>
      </c>
      <c r="AQ100" s="3881"/>
      <c r="AR100" s="1400">
        <v>8318.1113402061856</v>
      </c>
      <c r="AS100" s="3882"/>
      <c r="AT100" s="1831">
        <f>+AR100+AP100</f>
        <v>78406.384536082478</v>
      </c>
      <c r="AU100" s="4002"/>
      <c r="AV100" s="1400">
        <v>6916.8359793814434</v>
      </c>
      <c r="AW100" s="3996"/>
      <c r="AX100" s="1831">
        <f>+AV100+AT100</f>
        <v>85323.220515463923</v>
      </c>
      <c r="AY100" s="4244"/>
      <c r="AZ100" s="1400">
        <v>7901.3099999999986</v>
      </c>
      <c r="BA100" s="1832"/>
      <c r="BB100" s="3693">
        <f>+AZ100+AV100+AR100</f>
        <v>23136.257319587628</v>
      </c>
      <c r="BC100" s="4256"/>
      <c r="BD100" s="1833">
        <f>+BB100+AN100</f>
        <v>47565.530515463921</v>
      </c>
      <c r="BE100" s="4241"/>
      <c r="BF100" s="1831">
        <f>+AX100+AZ100</f>
        <v>93224.530515463921</v>
      </c>
      <c r="BG100" s="1834"/>
      <c r="BH100" s="1726"/>
      <c r="BI100" s="1726"/>
      <c r="BJ100" s="1835"/>
      <c r="BK100" s="1835"/>
      <c r="BL100" s="1835"/>
      <c r="BM100" s="1835"/>
      <c r="BN100" s="1835"/>
      <c r="BO100" s="1835"/>
      <c r="BP100" s="1835"/>
      <c r="BQ100" s="1835"/>
      <c r="BR100" s="1835"/>
      <c r="BS100" s="1835"/>
      <c r="BT100" s="1835"/>
      <c r="BU100" s="1835"/>
    </row>
    <row r="101" spans="1:73" ht="15" hidden="1" customHeight="1" x14ac:dyDescent="0.25">
      <c r="B101" s="700"/>
      <c r="C101" s="2563"/>
      <c r="D101" s="2564"/>
      <c r="E101" s="2564"/>
      <c r="F101" s="3164"/>
      <c r="G101" s="3164"/>
      <c r="H101" s="3164"/>
      <c r="I101" s="1828"/>
      <c r="J101" s="3547">
        <f t="shared" si="430"/>
        <v>0</v>
      </c>
      <c r="K101" s="3164"/>
      <c r="L101" s="3164"/>
      <c r="M101" s="1827"/>
      <c r="N101" s="1827"/>
      <c r="O101" s="3164"/>
      <c r="P101" s="3164"/>
      <c r="Q101" s="1828"/>
      <c r="R101" s="1828"/>
      <c r="S101" s="3164"/>
      <c r="T101" s="3164"/>
      <c r="U101" s="1828"/>
      <c r="V101" s="1828"/>
      <c r="W101" s="3164"/>
      <c r="X101" s="3164"/>
      <c r="Y101" s="1827"/>
      <c r="Z101" s="1827"/>
      <c r="AA101" s="2558"/>
      <c r="AB101" s="2558"/>
      <c r="AC101" s="3164"/>
      <c r="AD101" s="3164"/>
      <c r="AE101" s="1828"/>
      <c r="AF101" s="1828"/>
      <c r="AG101" s="3164"/>
      <c r="AH101" s="3164"/>
      <c r="AI101" s="1828"/>
      <c r="AJ101" s="1828"/>
      <c r="AK101" s="3164"/>
      <c r="AL101" s="3164"/>
      <c r="AM101" s="1092"/>
      <c r="AN101" s="1092"/>
      <c r="AO101" s="1828"/>
      <c r="AP101" s="1828"/>
      <c r="AQ101" s="3164"/>
      <c r="AR101" s="3164"/>
      <c r="AS101" s="1828"/>
      <c r="AT101" s="1828"/>
      <c r="AU101" s="3164"/>
      <c r="AV101" s="3164"/>
      <c r="AW101" s="1828"/>
      <c r="AX101" s="1828"/>
      <c r="AY101" s="3164"/>
      <c r="AZ101" s="3164"/>
      <c r="BA101" s="1092"/>
      <c r="BB101" s="1092"/>
      <c r="BC101" s="2558"/>
      <c r="BD101" s="2558"/>
      <c r="BE101" s="1828"/>
      <c r="BF101" s="1828"/>
      <c r="BH101" s="1726"/>
      <c r="BI101" s="1726"/>
    </row>
    <row r="102" spans="1:73" ht="15" hidden="1" customHeight="1" x14ac:dyDescent="0.25">
      <c r="B102" s="2565"/>
      <c r="C102" s="2563"/>
      <c r="D102" s="2564"/>
      <c r="E102" s="2564"/>
      <c r="F102" s="3164"/>
      <c r="G102" s="3164"/>
      <c r="H102" s="3164"/>
      <c r="I102" s="1828"/>
      <c r="J102" s="1828"/>
      <c r="K102" s="3164"/>
      <c r="L102" s="3164"/>
      <c r="M102" s="1827"/>
      <c r="N102" s="1827"/>
      <c r="O102" s="3164"/>
      <c r="P102" s="3164"/>
      <c r="Q102" s="1828"/>
      <c r="R102" s="1828"/>
      <c r="S102" s="3164"/>
      <c r="T102" s="3164"/>
      <c r="U102" s="1828"/>
      <c r="V102" s="1828"/>
      <c r="W102" s="3164"/>
      <c r="X102" s="3164"/>
      <c r="Y102" s="1827"/>
      <c r="Z102" s="1827"/>
      <c r="AA102" s="2558"/>
      <c r="AB102" s="2558"/>
      <c r="AC102" s="3164"/>
      <c r="AD102" s="3164"/>
      <c r="AE102" s="1828"/>
      <c r="AF102" s="1828"/>
      <c r="AG102" s="3164"/>
      <c r="AH102" s="3164"/>
      <c r="AI102" s="1828"/>
      <c r="AJ102" s="1828"/>
      <c r="AK102" s="3164"/>
      <c r="AL102" s="3164"/>
      <c r="AM102" s="3164"/>
      <c r="AN102" s="2563"/>
      <c r="AO102" s="1828"/>
      <c r="AP102" s="1828"/>
      <c r="AQ102" s="3164"/>
      <c r="AR102" s="3164"/>
      <c r="AS102" s="1828"/>
      <c r="AT102" s="1828"/>
      <c r="AU102" s="3164"/>
      <c r="AV102" s="3164"/>
      <c r="AW102" s="1828"/>
      <c r="AX102" s="1828"/>
      <c r="AY102" s="3164"/>
      <c r="AZ102" s="3164"/>
      <c r="BA102" s="3164"/>
      <c r="BB102" s="2563"/>
      <c r="BC102" s="2558"/>
      <c r="BD102" s="2558"/>
      <c r="BE102" s="1828"/>
      <c r="BF102" s="1828"/>
      <c r="BH102" s="1726"/>
      <c r="BI102" s="1726"/>
    </row>
    <row r="103" spans="1:73" s="1421" customFormat="1" ht="18.75" x14ac:dyDescent="0.3">
      <c r="A103" s="1829"/>
      <c r="B103" s="2565" t="s">
        <v>139</v>
      </c>
      <c r="C103" s="2560"/>
      <c r="D103" s="3532"/>
      <c r="E103" s="3532"/>
      <c r="F103" s="1830">
        <v>14249</v>
      </c>
      <c r="G103" s="1730"/>
      <c r="H103" s="1830">
        <v>12059</v>
      </c>
      <c r="I103" s="1831"/>
      <c r="J103" s="1831">
        <f>+F103+H103</f>
        <v>26308</v>
      </c>
      <c r="K103" s="699"/>
      <c r="L103" s="1830">
        <v>26831</v>
      </c>
      <c r="M103" s="1832"/>
      <c r="N103" s="1832">
        <f>+F103+H103+L103</f>
        <v>53139</v>
      </c>
      <c r="O103" s="699"/>
      <c r="P103" s="1730">
        <v>22759</v>
      </c>
      <c r="Q103" s="1831"/>
      <c r="R103" s="1831">
        <f>+F103+H103+L103+P103</f>
        <v>75898</v>
      </c>
      <c r="S103" s="699"/>
      <c r="T103" s="1730">
        <v>29343</v>
      </c>
      <c r="U103" s="1831"/>
      <c r="V103" s="1831">
        <f>+J103+L103+P103+T103</f>
        <v>105241</v>
      </c>
      <c r="W103" s="699"/>
      <c r="X103" s="1730">
        <v>29891</v>
      </c>
      <c r="Y103" s="1832"/>
      <c r="Z103" s="1832">
        <f>+X103+T103+P103</f>
        <v>81993</v>
      </c>
      <c r="AA103" s="1833"/>
      <c r="AB103" s="1833">
        <f>+Z103+N103</f>
        <v>135132</v>
      </c>
      <c r="AC103" s="699"/>
      <c r="AD103" s="1730">
        <v>32183</v>
      </c>
      <c r="AE103" s="1831"/>
      <c r="AF103" s="1831">
        <f>+AD103+AB103</f>
        <v>167315</v>
      </c>
      <c r="AG103" s="699"/>
      <c r="AH103" s="1730">
        <v>25266</v>
      </c>
      <c r="AI103" s="1831"/>
      <c r="AJ103" s="1831">
        <f>+AH103+AF103</f>
        <v>192581</v>
      </c>
      <c r="AK103" s="699"/>
      <c r="AL103" s="1730">
        <v>30877.719137319786</v>
      </c>
      <c r="AM103" s="1832"/>
      <c r="AN103" s="3693">
        <f>+AL103+AH103+AD103</f>
        <v>88326.719137319786</v>
      </c>
      <c r="AO103" s="1831"/>
      <c r="AP103" s="1831">
        <f>+AJ103+AL103</f>
        <v>223458.71913731977</v>
      </c>
      <c r="AQ103" s="699"/>
      <c r="AR103" s="1730">
        <v>32697.961129130606</v>
      </c>
      <c r="AS103" s="1831"/>
      <c r="AT103" s="1831">
        <f>+AR103+AP103</f>
        <v>256156.68026645039</v>
      </c>
      <c r="AU103" s="699"/>
      <c r="AV103" s="1730">
        <v>28720.422811445642</v>
      </c>
      <c r="AW103" s="1831"/>
      <c r="AX103" s="1831">
        <f>+AV103+AT103</f>
        <v>284877.10307789606</v>
      </c>
      <c r="AY103" s="699"/>
      <c r="AZ103" s="1730">
        <v>34169.169985941895</v>
      </c>
      <c r="BA103" s="1832"/>
      <c r="BB103" s="3693">
        <f>+AZ103+AV103+AR103</f>
        <v>95587.553926518143</v>
      </c>
      <c r="BC103" s="1833"/>
      <c r="BD103" s="1833">
        <f>+BB103+AN103</f>
        <v>183914.27306383793</v>
      </c>
      <c r="BE103" s="1831"/>
      <c r="BF103" s="1831">
        <f>+AX103+AZ103</f>
        <v>319046.27306383796</v>
      </c>
      <c r="BG103" s="1834"/>
      <c r="BH103" s="1726"/>
      <c r="BI103" s="1726"/>
      <c r="BJ103" s="1835"/>
      <c r="BK103" s="1835"/>
      <c r="BL103" s="1835"/>
      <c r="BM103" s="1835"/>
      <c r="BN103" s="1835"/>
      <c r="BO103" s="1835"/>
      <c r="BP103" s="1835"/>
      <c r="BQ103" s="1835"/>
      <c r="BR103" s="1835"/>
      <c r="BS103" s="1835"/>
      <c r="BT103" s="1835"/>
      <c r="BU103" s="1835"/>
    </row>
    <row r="104" spans="1:73" s="1386" customFormat="1" ht="15" hidden="1" customHeight="1" x14ac:dyDescent="0.25">
      <c r="A104" s="332"/>
      <c r="B104" s="2562" t="s">
        <v>1108</v>
      </c>
      <c r="C104" s="2563" t="s">
        <v>52</v>
      </c>
      <c r="D104" s="2564"/>
      <c r="E104" s="2564"/>
      <c r="F104" s="3578">
        <v>3</v>
      </c>
      <c r="G104" s="3577"/>
      <c r="H104" s="3578">
        <v>3</v>
      </c>
      <c r="I104" s="3579"/>
      <c r="J104" s="3579">
        <v>3</v>
      </c>
      <c r="K104" s="3577"/>
      <c r="L104" s="3578">
        <v>3</v>
      </c>
      <c r="M104" s="2566"/>
      <c r="N104" s="3580">
        <v>3</v>
      </c>
      <c r="O104" s="3577"/>
      <c r="P104" s="3577">
        <v>3</v>
      </c>
      <c r="Q104" s="3579"/>
      <c r="R104" s="3579">
        <v>3</v>
      </c>
      <c r="S104" s="3577"/>
      <c r="T104" s="3577">
        <v>3</v>
      </c>
      <c r="U104" s="3579"/>
      <c r="V104" s="3579">
        <v>3</v>
      </c>
      <c r="W104" s="3577"/>
      <c r="X104" s="3577">
        <v>3</v>
      </c>
      <c r="Y104" s="2566"/>
      <c r="Z104" s="3580">
        <v>3</v>
      </c>
      <c r="AA104" s="3581"/>
      <c r="AB104" s="3581">
        <v>3</v>
      </c>
      <c r="AC104" s="3577"/>
      <c r="AD104" s="3577">
        <v>3</v>
      </c>
      <c r="AE104" s="3579"/>
      <c r="AF104" s="3579">
        <v>3</v>
      </c>
      <c r="AG104" s="3577"/>
      <c r="AH104" s="3577">
        <v>3</v>
      </c>
      <c r="AI104" s="3579"/>
      <c r="AJ104" s="3579">
        <v>3</v>
      </c>
      <c r="AK104" s="3577"/>
      <c r="AL104" s="3577">
        <v>3</v>
      </c>
      <c r="AM104" s="3580"/>
      <c r="AN104" s="1843">
        <v>3</v>
      </c>
      <c r="AO104" s="3579"/>
      <c r="AP104" s="3579">
        <v>3</v>
      </c>
      <c r="AQ104" s="3898"/>
      <c r="AR104" s="3898">
        <v>3</v>
      </c>
      <c r="AS104" s="3896"/>
      <c r="AT104" s="3896">
        <v>3</v>
      </c>
      <c r="AU104" s="4024"/>
      <c r="AV104" s="4024">
        <v>3</v>
      </c>
      <c r="AW104" s="4023"/>
      <c r="AX104" s="4023">
        <v>3</v>
      </c>
      <c r="AY104" s="4272"/>
      <c r="AZ104" s="4272">
        <v>3</v>
      </c>
      <c r="BA104" s="4271"/>
      <c r="BB104" s="1843">
        <v>3</v>
      </c>
      <c r="BC104" s="4274"/>
      <c r="BD104" s="4274">
        <v>3</v>
      </c>
      <c r="BE104" s="4273"/>
      <c r="BF104" s="4273">
        <v>3</v>
      </c>
      <c r="BG104" s="1324"/>
      <c r="BH104" s="1726"/>
      <c r="BI104" s="1726"/>
      <c r="BJ104" s="1433"/>
      <c r="BK104" s="1433"/>
      <c r="BL104" s="1433"/>
      <c r="BM104" s="1433"/>
      <c r="BN104" s="1433"/>
      <c r="BO104" s="1433"/>
      <c r="BP104" s="1433"/>
      <c r="BQ104" s="1433"/>
      <c r="BR104" s="1433"/>
      <c r="BS104" s="1433"/>
      <c r="BT104" s="1433"/>
      <c r="BU104" s="1433"/>
    </row>
    <row r="105" spans="1:73" s="1386" customFormat="1" ht="15" hidden="1" customHeight="1" x14ac:dyDescent="0.25">
      <c r="A105" s="332"/>
      <c r="B105" s="2562" t="s">
        <v>1108</v>
      </c>
      <c r="C105" s="2563" t="s">
        <v>53</v>
      </c>
      <c r="D105" s="2564"/>
      <c r="E105" s="2564"/>
      <c r="F105" s="238">
        <f>+F104*F103/(100-F104)</f>
        <v>440.69072164948454</v>
      </c>
      <c r="G105" s="3551"/>
      <c r="H105" s="238">
        <f>+H104*H103/(100-H104)</f>
        <v>372.95876288659792</v>
      </c>
      <c r="I105" s="3547"/>
      <c r="J105" s="3547">
        <f>+J104*J103/(100-J104)</f>
        <v>813.64948453608247</v>
      </c>
      <c r="K105" s="483"/>
      <c r="L105" s="238">
        <f>+L104*L103/(100-L104)</f>
        <v>829.82474226804129</v>
      </c>
      <c r="M105" s="952"/>
      <c r="N105" s="3549">
        <f>+N104*N103/(100-N104)</f>
        <v>1643.4742268041236</v>
      </c>
      <c r="O105" s="483"/>
      <c r="P105" s="3551">
        <f>+P104*P103/(100-P104)</f>
        <v>703.88659793814429</v>
      </c>
      <c r="Q105" s="3547"/>
      <c r="R105" s="3547">
        <f>+R104*R103/(100-R104)</f>
        <v>2347.3608247422681</v>
      </c>
      <c r="S105" s="483"/>
      <c r="T105" s="3551">
        <f>+T104*T103/(100-T104)</f>
        <v>907.51546391752572</v>
      </c>
      <c r="U105" s="3547"/>
      <c r="V105" s="3547">
        <f>+V104*V103/(100-V104)</f>
        <v>3254.8762886597938</v>
      </c>
      <c r="W105" s="483"/>
      <c r="X105" s="3551">
        <f>+X104*X103/(100-X104)</f>
        <v>924.46391752577324</v>
      </c>
      <c r="Y105" s="952"/>
      <c r="Z105" s="3549">
        <f>+Z104*Z103/(100-Z104)</f>
        <v>2535.8659793814431</v>
      </c>
      <c r="AA105" s="1134"/>
      <c r="AB105" s="1134">
        <f>+AB104*AB103/(100-AB104)</f>
        <v>4179.3402061855668</v>
      </c>
      <c r="AC105" s="483"/>
      <c r="AD105" s="3551">
        <f>+AD104*AD103/(100-AD104)</f>
        <v>995.35051546391753</v>
      </c>
      <c r="AE105" s="3547"/>
      <c r="AF105" s="3547">
        <f>+AF104*AF103/(100-AF104)</f>
        <v>5174.6907216494847</v>
      </c>
      <c r="AG105" s="483"/>
      <c r="AH105" s="3551">
        <f>+AH104*AH103/(100-AH104)</f>
        <v>781.42268041237116</v>
      </c>
      <c r="AI105" s="3547"/>
      <c r="AJ105" s="3547">
        <f>+AJ104*AJ103/(100-AJ104)</f>
        <v>5956.1134020618556</v>
      </c>
      <c r="AK105" s="483"/>
      <c r="AL105" s="3551">
        <f>+AL104*AL103/(100-AL104)</f>
        <v>954.98100424700363</v>
      </c>
      <c r="AM105" s="3549"/>
      <c r="AN105" s="1326">
        <f>+AN104*AN103/(100-AN104)</f>
        <v>2731.7542001232923</v>
      </c>
      <c r="AO105" s="3547"/>
      <c r="AP105" s="3547">
        <f>+AP104*AP103/(100-AP104)</f>
        <v>6911.0944063088582</v>
      </c>
      <c r="AQ105" s="483"/>
      <c r="AR105" s="3873">
        <f>+AR104*AR103/(100-AR104)</f>
        <v>1011.277148323627</v>
      </c>
      <c r="AS105" s="3874"/>
      <c r="AT105" s="3874">
        <f>+AT104*AT103/(100-AT104)</f>
        <v>7922.3715546324865</v>
      </c>
      <c r="AU105" s="483"/>
      <c r="AV105" s="3990">
        <f>+AV104*AV103/(100-AV104)</f>
        <v>888.26049932306114</v>
      </c>
      <c r="AW105" s="3991"/>
      <c r="AX105" s="3991">
        <f>+AX104*AX103/(100-AX104)</f>
        <v>8810.6320539555472</v>
      </c>
      <c r="AY105" s="483"/>
      <c r="AZ105" s="4224">
        <f>+AZ104*AZ103/(100-AZ104)</f>
        <v>1056.7784531734605</v>
      </c>
      <c r="BA105" s="4225"/>
      <c r="BB105" s="1326">
        <f>+BB104*BB103/(100-BB104)</f>
        <v>2956.3161008201491</v>
      </c>
      <c r="BC105" s="4227"/>
      <c r="BD105" s="4227">
        <f>+BD104*BD103/(100-BD104)</f>
        <v>5688.070300943441</v>
      </c>
      <c r="BE105" s="4226"/>
      <c r="BF105" s="4226">
        <f>+BF104*BF103/(100-BF104)</f>
        <v>9867.4105071290087</v>
      </c>
      <c r="BG105" s="1324"/>
      <c r="BH105" s="1726"/>
      <c r="BI105" s="1726"/>
      <c r="BJ105" s="1433"/>
      <c r="BK105" s="1433"/>
      <c r="BL105" s="1433"/>
      <c r="BM105" s="1433"/>
      <c r="BN105" s="1433"/>
      <c r="BO105" s="1433"/>
      <c r="BP105" s="1433"/>
      <c r="BQ105" s="1433"/>
      <c r="BR105" s="1433"/>
      <c r="BS105" s="1433"/>
      <c r="BT105" s="1433"/>
      <c r="BU105" s="1433"/>
    </row>
    <row r="106" spans="1:73" s="1386" customFormat="1" ht="15" hidden="1" customHeight="1" x14ac:dyDescent="0.25">
      <c r="A106" s="332"/>
      <c r="B106" s="2562" t="s">
        <v>549</v>
      </c>
      <c r="C106" s="2563" t="s">
        <v>53</v>
      </c>
      <c r="D106" s="2564"/>
      <c r="E106" s="2564"/>
      <c r="F106" s="238">
        <f>+F103+F105</f>
        <v>14689.690721649484</v>
      </c>
      <c r="G106" s="3551"/>
      <c r="H106" s="238">
        <f>+H103+H105</f>
        <v>12431.958762886597</v>
      </c>
      <c r="I106" s="3547"/>
      <c r="J106" s="3547">
        <f>+J103+J105</f>
        <v>27121.649484536083</v>
      </c>
      <c r="K106" s="483"/>
      <c r="L106" s="238">
        <f>+L103+L105</f>
        <v>27660.82474226804</v>
      </c>
      <c r="M106" s="952"/>
      <c r="N106" s="3549">
        <f>+N103+N105</f>
        <v>54782.474226804123</v>
      </c>
      <c r="O106" s="483"/>
      <c r="P106" s="3551">
        <f>+P103+P105</f>
        <v>23462.886597938144</v>
      </c>
      <c r="Q106" s="3547"/>
      <c r="R106" s="3547">
        <f>+F106+H106+L106+P106</f>
        <v>78245.360824742267</v>
      </c>
      <c r="S106" s="483"/>
      <c r="T106" s="3551">
        <f>+T103+T105</f>
        <v>30250.515463917527</v>
      </c>
      <c r="U106" s="3547"/>
      <c r="V106" s="3547">
        <f>+J106+L106+P106+T106</f>
        <v>108495.8762886598</v>
      </c>
      <c r="W106" s="483"/>
      <c r="X106" s="3551">
        <f>+X103+X105</f>
        <v>30815.463917525773</v>
      </c>
      <c r="Y106" s="952"/>
      <c r="Z106" s="3549">
        <f>+Z103+Z105</f>
        <v>84528.865979381444</v>
      </c>
      <c r="AA106" s="1134"/>
      <c r="AB106" s="1134">
        <f>+AB103+AB105</f>
        <v>139311.34020618556</v>
      </c>
      <c r="AC106" s="483"/>
      <c r="AD106" s="3551">
        <f>+AD103+AD105</f>
        <v>33178.350515463921</v>
      </c>
      <c r="AE106" s="3547"/>
      <c r="AF106" s="3547">
        <f>+T106+V106+Z106+AD106</f>
        <v>256453.60824742267</v>
      </c>
      <c r="AG106" s="483"/>
      <c r="AH106" s="3551">
        <f>+AH103+AH105</f>
        <v>26047.422680412372</v>
      </c>
      <c r="AI106" s="3547"/>
      <c r="AJ106" s="3547">
        <f>+X106+Z106+AD106+AH106</f>
        <v>174570.10309278351</v>
      </c>
      <c r="AK106" s="483"/>
      <c r="AL106" s="3551">
        <f>+AL103+AL105</f>
        <v>31832.700141566791</v>
      </c>
      <c r="AM106" s="3549"/>
      <c r="AN106" s="1326">
        <f>+AN103+AN105</f>
        <v>91058.47333744308</v>
      </c>
      <c r="AO106" s="3547"/>
      <c r="AP106" s="3547">
        <f>+AP103+AP105</f>
        <v>230369.81354362864</v>
      </c>
      <c r="AQ106" s="483"/>
      <c r="AR106" s="3873">
        <f>+AR103+AR105</f>
        <v>33709.238277454235</v>
      </c>
      <c r="AS106" s="3874"/>
      <c r="AT106" s="3874">
        <f>+AH106+AJ106+AN106+AR106</f>
        <v>325385.2373880932</v>
      </c>
      <c r="AU106" s="483"/>
      <c r="AV106" s="3990">
        <f>+AV103+AV105</f>
        <v>29608.683310768702</v>
      </c>
      <c r="AW106" s="3991"/>
      <c r="AX106" s="3991">
        <f>+AL106+AN106+AR106+AV106</f>
        <v>186209.09506723282</v>
      </c>
      <c r="AY106" s="483"/>
      <c r="AZ106" s="4224">
        <f>+AZ103+AZ105</f>
        <v>35225.948439115353</v>
      </c>
      <c r="BA106" s="4225"/>
      <c r="BB106" s="1326">
        <f>+BB103+BB105</f>
        <v>98543.870027338286</v>
      </c>
      <c r="BC106" s="4227"/>
      <c r="BD106" s="4227">
        <f>+AR106+AT106+AX106+BB106</f>
        <v>643847.44076011854</v>
      </c>
      <c r="BE106" s="4226"/>
      <c r="BF106" s="4226">
        <f>+BF103+BF105</f>
        <v>328913.68357096694</v>
      </c>
      <c r="BG106" s="1324"/>
      <c r="BH106" s="1726"/>
      <c r="BI106" s="1726"/>
      <c r="BJ106" s="1433"/>
      <c r="BK106" s="1433"/>
      <c r="BL106" s="1433"/>
      <c r="BM106" s="1433"/>
      <c r="BN106" s="1433"/>
      <c r="BO106" s="1433"/>
      <c r="BP106" s="1433"/>
      <c r="BQ106" s="1433"/>
      <c r="BR106" s="1433"/>
      <c r="BS106" s="1433"/>
      <c r="BT106" s="1433"/>
      <c r="BU106" s="1433"/>
    </row>
    <row r="107" spans="1:73" ht="15" hidden="1" customHeight="1" x14ac:dyDescent="0.25">
      <c r="B107" s="700"/>
      <c r="C107" s="2563"/>
      <c r="D107" s="2564"/>
      <c r="E107" s="2564"/>
      <c r="F107" s="3164"/>
      <c r="G107" s="3164"/>
      <c r="H107" s="3164"/>
      <c r="I107" s="1828"/>
      <c r="J107" s="1828"/>
      <c r="K107" s="3164"/>
      <c r="L107" s="3164"/>
      <c r="M107" s="1827"/>
      <c r="N107" s="1827"/>
      <c r="O107" s="3164"/>
      <c r="P107" s="3164"/>
      <c r="Q107" s="1828"/>
      <c r="R107" s="1828"/>
      <c r="S107" s="3164"/>
      <c r="T107" s="3164"/>
      <c r="U107" s="1828"/>
      <c r="V107" s="1828"/>
      <c r="W107" s="3164"/>
      <c r="X107" s="3164"/>
      <c r="Y107" s="1827"/>
      <c r="Z107" s="1827"/>
      <c r="AA107" s="2558"/>
      <c r="AB107" s="2558"/>
      <c r="AC107" s="3164"/>
      <c r="AD107" s="3164"/>
      <c r="AE107" s="1828"/>
      <c r="AF107" s="1828"/>
      <c r="AG107" s="3164"/>
      <c r="AH107" s="3164"/>
      <c r="AI107" s="1828"/>
      <c r="AJ107" s="1828"/>
      <c r="AK107" s="3164"/>
      <c r="AL107" s="3164"/>
      <c r="AM107" s="3164"/>
      <c r="AN107" s="2563"/>
      <c r="AO107" s="1828"/>
      <c r="AP107" s="1828"/>
      <c r="AQ107" s="3164"/>
      <c r="AR107" s="3164"/>
      <c r="AS107" s="1828"/>
      <c r="AT107" s="1828"/>
      <c r="AU107" s="3164"/>
      <c r="AV107" s="3164"/>
      <c r="AW107" s="1828"/>
      <c r="AX107" s="1828"/>
      <c r="AY107" s="3164"/>
      <c r="AZ107" s="3164"/>
      <c r="BA107" s="3164"/>
      <c r="BB107" s="2563"/>
      <c r="BC107" s="2558"/>
      <c r="BD107" s="2558"/>
      <c r="BE107" s="1828"/>
      <c r="BF107" s="1828"/>
      <c r="BH107" s="1726"/>
      <c r="BI107" s="1726"/>
    </row>
    <row r="108" spans="1:73" ht="15" hidden="1" customHeight="1" x14ac:dyDescent="0.25">
      <c r="B108" s="2565"/>
      <c r="C108" s="2563"/>
      <c r="D108" s="2564"/>
      <c r="E108" s="2564"/>
      <c r="F108" s="3164"/>
      <c r="G108" s="3164"/>
      <c r="H108" s="3164"/>
      <c r="I108" s="1828"/>
      <c r="J108" s="1828"/>
      <c r="K108" s="3164"/>
      <c r="L108" s="3164"/>
      <c r="M108" s="1827"/>
      <c r="N108" s="1827"/>
      <c r="O108" s="3164"/>
      <c r="P108" s="3164"/>
      <c r="Q108" s="1828"/>
      <c r="R108" s="1828"/>
      <c r="S108" s="3164"/>
      <c r="T108" s="3164"/>
      <c r="U108" s="1828"/>
      <c r="V108" s="1828"/>
      <c r="W108" s="3164"/>
      <c r="X108" s="3164"/>
      <c r="Y108" s="1827"/>
      <c r="Z108" s="1827"/>
      <c r="AA108" s="2558"/>
      <c r="AB108" s="2558"/>
      <c r="AC108" s="3164"/>
      <c r="AD108" s="3164"/>
      <c r="AE108" s="1828"/>
      <c r="AF108" s="1828"/>
      <c r="AG108" s="3164"/>
      <c r="AH108" s="3164"/>
      <c r="AI108" s="1828"/>
      <c r="AJ108" s="1828"/>
      <c r="AK108" s="3164"/>
      <c r="AL108" s="3164"/>
      <c r="AM108" s="1092"/>
      <c r="AN108" s="1092"/>
      <c r="AO108" s="1828"/>
      <c r="AP108" s="1828"/>
      <c r="AQ108" s="3164"/>
      <c r="AR108" s="3164"/>
      <c r="AS108" s="1828"/>
      <c r="AT108" s="1828"/>
      <c r="AU108" s="3164"/>
      <c r="AV108" s="3164"/>
      <c r="AW108" s="1828"/>
      <c r="AX108" s="1828"/>
      <c r="AY108" s="3164"/>
      <c r="AZ108" s="3164"/>
      <c r="BA108" s="1092"/>
      <c r="BB108" s="1092"/>
      <c r="BC108" s="2558"/>
      <c r="BD108" s="2558"/>
      <c r="BE108" s="1828"/>
      <c r="BF108" s="1828"/>
      <c r="BH108" s="1726"/>
      <c r="BI108" s="1726"/>
    </row>
    <row r="109" spans="1:73" s="1421" customFormat="1" ht="18.75" x14ac:dyDescent="0.3">
      <c r="A109" s="1829"/>
      <c r="B109" s="2565" t="s">
        <v>20</v>
      </c>
      <c r="C109" s="2560"/>
      <c r="D109" s="3532"/>
      <c r="E109" s="3532"/>
      <c r="F109" s="3523">
        <v>142652</v>
      </c>
      <c r="G109" s="3523"/>
      <c r="H109" s="3523">
        <v>138251</v>
      </c>
      <c r="I109" s="3524"/>
      <c r="J109" s="1831">
        <f>+J106+J108</f>
        <v>27121.649484536083</v>
      </c>
      <c r="K109" s="3523"/>
      <c r="L109" s="3523">
        <v>273380</v>
      </c>
      <c r="M109" s="1832"/>
      <c r="N109" s="1832">
        <f>+F109+H109+L109</f>
        <v>554283</v>
      </c>
      <c r="O109" s="3523"/>
      <c r="P109" s="3523">
        <v>259739</v>
      </c>
      <c r="Q109" s="3524"/>
      <c r="R109" s="1831">
        <f>+F109+H109+L109+P109</f>
        <v>814022</v>
      </c>
      <c r="S109" s="3523"/>
      <c r="T109" s="3523">
        <v>280003</v>
      </c>
      <c r="U109" s="3524"/>
      <c r="V109" s="1831">
        <f>+J109+L109+P109+T109</f>
        <v>840243.64948453614</v>
      </c>
      <c r="W109" s="3523"/>
      <c r="X109" s="3523">
        <v>276199</v>
      </c>
      <c r="Y109" s="1832"/>
      <c r="Z109" s="1832">
        <f>+X109+T109+P109</f>
        <v>815941</v>
      </c>
      <c r="AA109" s="3539"/>
      <c r="AB109" s="1833">
        <f>+Z109+N109</f>
        <v>1370224</v>
      </c>
      <c r="AC109" s="3523"/>
      <c r="AD109" s="3523">
        <v>302341</v>
      </c>
      <c r="AE109" s="3524"/>
      <c r="AF109" s="1831">
        <f>+AD109+AB109</f>
        <v>1672565</v>
      </c>
      <c r="AG109" s="3523"/>
      <c r="AH109" s="3523">
        <v>279254</v>
      </c>
      <c r="AI109" s="3524"/>
      <c r="AJ109" s="1831">
        <f>+AH109+AF109</f>
        <v>1951819</v>
      </c>
      <c r="AK109" s="3523"/>
      <c r="AL109" s="3523">
        <v>323569</v>
      </c>
      <c r="AM109" s="1832"/>
      <c r="AN109" s="3693">
        <f>+AL109+AH109+AD109</f>
        <v>905164</v>
      </c>
      <c r="AO109" s="3524"/>
      <c r="AP109" s="1831">
        <f>+AJ109+AL109</f>
        <v>2275388</v>
      </c>
      <c r="AQ109" s="3881"/>
      <c r="AR109" s="1400">
        <v>321459.61</v>
      </c>
      <c r="AS109" s="3882"/>
      <c r="AT109" s="1831">
        <f>+AR109+AP109</f>
        <v>2596847.61</v>
      </c>
      <c r="AU109" s="4002"/>
      <c r="AV109" s="1400">
        <v>292676.08</v>
      </c>
      <c r="AW109" s="3996"/>
      <c r="AX109" s="1831">
        <f>+AV109+AT109</f>
        <v>2889523.69</v>
      </c>
      <c r="AY109" s="4244"/>
      <c r="AZ109" s="1400">
        <v>340631</v>
      </c>
      <c r="BA109" s="1832"/>
      <c r="BB109" s="3693">
        <f>+AZ109+AV109+AR109</f>
        <v>954766.69000000006</v>
      </c>
      <c r="BC109" s="4256"/>
      <c r="BD109" s="1833">
        <f>+BB109+AN109</f>
        <v>1859930.69</v>
      </c>
      <c r="BE109" s="4241"/>
      <c r="BF109" s="1831">
        <f>+AX109+AZ109</f>
        <v>3230154.69</v>
      </c>
      <c r="BG109" s="1834"/>
      <c r="BH109" s="1726"/>
      <c r="BI109" s="1726"/>
      <c r="BJ109" s="1835"/>
      <c r="BK109" s="1835"/>
      <c r="BL109" s="1835"/>
      <c r="BM109" s="1835"/>
      <c r="BN109" s="1835"/>
      <c r="BO109" s="1835"/>
      <c r="BP109" s="1835"/>
      <c r="BQ109" s="1835"/>
      <c r="BR109" s="1835"/>
      <c r="BS109" s="1835"/>
      <c r="BT109" s="1835"/>
      <c r="BU109" s="1835"/>
    </row>
    <row r="110" spans="1:73" ht="15" hidden="1" customHeight="1" x14ac:dyDescent="0.25">
      <c r="B110" s="700"/>
      <c r="C110" s="2563"/>
      <c r="D110" s="2564"/>
      <c r="E110" s="2564"/>
      <c r="F110" s="3164"/>
      <c r="G110" s="3164"/>
      <c r="H110" s="3164"/>
      <c r="I110" s="1828"/>
      <c r="J110" s="1828"/>
      <c r="K110" s="3164"/>
      <c r="L110" s="3164"/>
      <c r="M110" s="1827"/>
      <c r="N110" s="1827"/>
      <c r="O110" s="3164"/>
      <c r="P110" s="3164"/>
      <c r="Q110" s="1828"/>
      <c r="R110" s="1828"/>
      <c r="S110" s="3164"/>
      <c r="T110" s="3164"/>
      <c r="U110" s="1828"/>
      <c r="V110" s="1828"/>
      <c r="W110" s="3164"/>
      <c r="X110" s="3164"/>
      <c r="Y110" s="1827"/>
      <c r="Z110" s="1827"/>
      <c r="AA110" s="2558"/>
      <c r="AB110" s="2558"/>
      <c r="AC110" s="3164"/>
      <c r="AD110" s="3164"/>
      <c r="AE110" s="1828"/>
      <c r="AF110" s="1828"/>
      <c r="AG110" s="3164"/>
      <c r="AH110" s="3164"/>
      <c r="AI110" s="1828"/>
      <c r="AJ110" s="1828"/>
      <c r="AK110" s="3164"/>
      <c r="AL110" s="3164"/>
      <c r="AM110" s="1092"/>
      <c r="AN110" s="1092"/>
      <c r="AO110" s="1828"/>
      <c r="AP110" s="1828"/>
      <c r="AQ110" s="3164"/>
      <c r="AR110" s="3164"/>
      <c r="AS110" s="1828"/>
      <c r="AT110" s="1828"/>
      <c r="AU110" s="3164"/>
      <c r="AV110" s="3164"/>
      <c r="AW110" s="1828"/>
      <c r="AX110" s="1828"/>
      <c r="AY110" s="3164"/>
      <c r="AZ110" s="3164"/>
      <c r="BA110" s="1092"/>
      <c r="BB110" s="1092"/>
      <c r="BC110" s="2558"/>
      <c r="BD110" s="2558"/>
      <c r="BE110" s="1828"/>
      <c r="BF110" s="1828"/>
      <c r="BH110" s="1726"/>
      <c r="BI110" s="1726"/>
    </row>
    <row r="111" spans="1:73" ht="15" hidden="1" customHeight="1" x14ac:dyDescent="0.25">
      <c r="B111" s="2565"/>
      <c r="C111" s="2563"/>
      <c r="D111" s="2564"/>
      <c r="E111" s="2564"/>
      <c r="F111" s="3164"/>
      <c r="G111" s="3164"/>
      <c r="H111" s="3164"/>
      <c r="I111" s="1828"/>
      <c r="J111" s="1828"/>
      <c r="K111" s="3164"/>
      <c r="L111" s="3164"/>
      <c r="M111" s="1827"/>
      <c r="N111" s="1827"/>
      <c r="O111" s="3164"/>
      <c r="P111" s="3164"/>
      <c r="Q111" s="1828"/>
      <c r="R111" s="1828"/>
      <c r="S111" s="3164"/>
      <c r="T111" s="3164"/>
      <c r="U111" s="1828"/>
      <c r="V111" s="1828"/>
      <c r="W111" s="3164"/>
      <c r="X111" s="3164"/>
      <c r="Y111" s="1827"/>
      <c r="Z111" s="1827"/>
      <c r="AA111" s="2558"/>
      <c r="AB111" s="2558"/>
      <c r="AC111" s="3164"/>
      <c r="AD111" s="3164"/>
      <c r="AE111" s="1828"/>
      <c r="AF111" s="1828"/>
      <c r="AG111" s="3164"/>
      <c r="AH111" s="3164"/>
      <c r="AI111" s="1828"/>
      <c r="AJ111" s="1828"/>
      <c r="AK111" s="3164"/>
      <c r="AL111" s="3164"/>
      <c r="AM111" s="1092"/>
      <c r="AN111" s="1092"/>
      <c r="AO111" s="1828"/>
      <c r="AP111" s="1828"/>
      <c r="AQ111" s="3164"/>
      <c r="AR111" s="3164"/>
      <c r="AS111" s="1828"/>
      <c r="AT111" s="1828"/>
      <c r="AU111" s="3164"/>
      <c r="AV111" s="3164"/>
      <c r="AW111" s="1828"/>
      <c r="AX111" s="1828"/>
      <c r="AY111" s="3164"/>
      <c r="AZ111" s="3164"/>
      <c r="BA111" s="1092"/>
      <c r="BB111" s="1092"/>
      <c r="BC111" s="2558"/>
      <c r="BD111" s="2558"/>
      <c r="BE111" s="1828"/>
      <c r="BF111" s="1828"/>
      <c r="BH111" s="1726"/>
      <c r="BI111" s="1726"/>
    </row>
    <row r="112" spans="1:73" s="1421" customFormat="1" ht="18.75" x14ac:dyDescent="0.3">
      <c r="A112" s="1829"/>
      <c r="B112" s="2565" t="s">
        <v>1246</v>
      </c>
      <c r="C112" s="2560"/>
      <c r="D112" s="3532"/>
      <c r="E112" s="3532"/>
      <c r="F112" s="3523">
        <v>2050</v>
      </c>
      <c r="G112" s="3523"/>
      <c r="H112" s="3523">
        <v>1092</v>
      </c>
      <c r="I112" s="3524"/>
      <c r="J112" s="1831">
        <f>+J109+J111</f>
        <v>27121.649484536083</v>
      </c>
      <c r="K112" s="3523"/>
      <c r="L112" s="3523">
        <v>86</v>
      </c>
      <c r="M112" s="1832"/>
      <c r="N112" s="1832">
        <f>+F112+H112+L112</f>
        <v>3228</v>
      </c>
      <c r="O112" s="3523"/>
      <c r="P112" s="3523">
        <v>18</v>
      </c>
      <c r="Q112" s="3524"/>
      <c r="R112" s="1831">
        <f>+F112+H112+L112+P112</f>
        <v>3246</v>
      </c>
      <c r="S112" s="3523"/>
      <c r="T112" s="3523">
        <v>39</v>
      </c>
      <c r="U112" s="3524"/>
      <c r="V112" s="1831">
        <f>+J112+L112+P112+T112</f>
        <v>27264.649484536083</v>
      </c>
      <c r="W112" s="3523"/>
      <c r="X112" s="3523">
        <v>36</v>
      </c>
      <c r="Y112" s="1832"/>
      <c r="Z112" s="1832">
        <f>+X112+T112+P112</f>
        <v>93</v>
      </c>
      <c r="AA112" s="3539"/>
      <c r="AB112" s="1833">
        <f>+Z112+N112</f>
        <v>3321</v>
      </c>
      <c r="AC112" s="3523"/>
      <c r="AD112" s="3523">
        <v>1701</v>
      </c>
      <c r="AE112" s="3524"/>
      <c r="AF112" s="1831">
        <f>+AD112+AB112</f>
        <v>5022</v>
      </c>
      <c r="AG112" s="3523"/>
      <c r="AH112" s="3523">
        <v>57</v>
      </c>
      <c r="AI112" s="3524"/>
      <c r="AJ112" s="1831">
        <f>+AH112+AF112</f>
        <v>5079</v>
      </c>
      <c r="AK112" s="3523"/>
      <c r="AL112" s="3523">
        <v>536</v>
      </c>
      <c r="AM112" s="1832"/>
      <c r="AN112" s="3693">
        <f>+AL112+AH112+AD112</f>
        <v>2294</v>
      </c>
      <c r="AO112" s="3524"/>
      <c r="AP112" s="1831">
        <f>+AJ112+AL112</f>
        <v>5615</v>
      </c>
      <c r="AQ112" s="3881"/>
      <c r="AR112" s="3881">
        <v>108</v>
      </c>
      <c r="AS112" s="3882"/>
      <c r="AT112" s="1831">
        <f>+AR112+AP112</f>
        <v>5723</v>
      </c>
      <c r="AU112" s="4002"/>
      <c r="AV112" s="4002">
        <v>0</v>
      </c>
      <c r="AW112" s="3996"/>
      <c r="AX112" s="1831">
        <f>+AV112+AT112</f>
        <v>5723</v>
      </c>
      <c r="AY112" s="4244"/>
      <c r="AZ112" s="4244">
        <v>64</v>
      </c>
      <c r="BA112" s="1832"/>
      <c r="BB112" s="3693">
        <f>+AZ112+AV112+AR112</f>
        <v>172</v>
      </c>
      <c r="BC112" s="4256"/>
      <c r="BD112" s="1833">
        <f>+BB112+AN112</f>
        <v>2466</v>
      </c>
      <c r="BE112" s="4241"/>
      <c r="BF112" s="1831">
        <f>+AX112+AZ112</f>
        <v>5787</v>
      </c>
      <c r="BG112" s="1834"/>
      <c r="BH112" s="1726"/>
      <c r="BI112" s="1726"/>
      <c r="BJ112" s="1835"/>
      <c r="BK112" s="1835"/>
      <c r="BL112" s="1835"/>
      <c r="BM112" s="1835"/>
      <c r="BN112" s="1835"/>
      <c r="BO112" s="1835"/>
      <c r="BP112" s="1835"/>
      <c r="BQ112" s="1835"/>
      <c r="BR112" s="1835"/>
      <c r="BS112" s="1835"/>
      <c r="BT112" s="1835"/>
      <c r="BU112" s="1835"/>
    </row>
    <row r="113" spans="1:73" ht="15" hidden="1" customHeight="1" x14ac:dyDescent="0.25">
      <c r="B113" s="700"/>
      <c r="C113" s="2563"/>
      <c r="D113" s="2564"/>
      <c r="E113" s="2564"/>
      <c r="F113" s="3164"/>
      <c r="G113" s="3164"/>
      <c r="H113" s="3164"/>
      <c r="I113" s="1828"/>
      <c r="J113" s="1828"/>
      <c r="K113" s="3164"/>
      <c r="L113" s="3164"/>
      <c r="M113" s="1827"/>
      <c r="N113" s="1827"/>
      <c r="O113" s="3164"/>
      <c r="P113" s="3164"/>
      <c r="Q113" s="1828"/>
      <c r="R113" s="1828"/>
      <c r="S113" s="3164"/>
      <c r="T113" s="3164"/>
      <c r="U113" s="1828"/>
      <c r="V113" s="1828"/>
      <c r="W113" s="3164"/>
      <c r="X113" s="3164"/>
      <c r="Y113" s="1827"/>
      <c r="Z113" s="1827"/>
      <c r="AA113" s="2558"/>
      <c r="AB113" s="2558"/>
      <c r="AC113" s="3164"/>
      <c r="AD113" s="3164"/>
      <c r="AE113" s="1828"/>
      <c r="AF113" s="1828"/>
      <c r="AG113" s="3164"/>
      <c r="AH113" s="3164"/>
      <c r="AI113" s="1828"/>
      <c r="AJ113" s="1828"/>
      <c r="AK113" s="3164"/>
      <c r="AL113" s="3164"/>
      <c r="AM113" s="1092"/>
      <c r="AN113" s="1092"/>
      <c r="AO113" s="1828"/>
      <c r="AP113" s="1828"/>
      <c r="AQ113" s="3164"/>
      <c r="AR113" s="3164"/>
      <c r="AS113" s="1828"/>
      <c r="AT113" s="1828"/>
      <c r="AU113" s="3164"/>
      <c r="AV113" s="3164"/>
      <c r="AW113" s="1828"/>
      <c r="AX113" s="1828"/>
      <c r="AY113" s="3164"/>
      <c r="AZ113" s="3164"/>
      <c r="BA113" s="1092"/>
      <c r="BB113" s="1092"/>
      <c r="BC113" s="2558"/>
      <c r="BD113" s="2558"/>
      <c r="BE113" s="1828"/>
      <c r="BF113" s="1828"/>
      <c r="BH113" s="1726"/>
      <c r="BI113" s="1726"/>
    </row>
    <row r="114" spans="1:73" ht="15" hidden="1" customHeight="1" x14ac:dyDescent="0.25">
      <c r="B114" s="2565"/>
      <c r="C114" s="2563"/>
      <c r="D114" s="2564"/>
      <c r="E114" s="2564"/>
      <c r="F114" s="3164"/>
      <c r="G114" s="3164"/>
      <c r="H114" s="3164"/>
      <c r="I114" s="1828"/>
      <c r="J114" s="1828"/>
      <c r="K114" s="3164"/>
      <c r="L114" s="3164"/>
      <c r="M114" s="1827"/>
      <c r="N114" s="1827"/>
      <c r="O114" s="3164"/>
      <c r="P114" s="3164"/>
      <c r="Q114" s="1828"/>
      <c r="R114" s="1828"/>
      <c r="S114" s="3164"/>
      <c r="T114" s="3164"/>
      <c r="U114" s="1828"/>
      <c r="V114" s="1828"/>
      <c r="W114" s="3164"/>
      <c r="X114" s="3164"/>
      <c r="Y114" s="1827"/>
      <c r="Z114" s="1827"/>
      <c r="AA114" s="2558"/>
      <c r="AB114" s="2558"/>
      <c r="AC114" s="3164"/>
      <c r="AD114" s="3164"/>
      <c r="AE114" s="1828"/>
      <c r="AF114" s="1828"/>
      <c r="AG114" s="3164"/>
      <c r="AH114" s="3164"/>
      <c r="AI114" s="1828"/>
      <c r="AJ114" s="1828"/>
      <c r="AK114" s="3164"/>
      <c r="AL114" s="3164"/>
      <c r="AM114" s="1092"/>
      <c r="AN114" s="1092"/>
      <c r="AO114" s="1828"/>
      <c r="AP114" s="1828"/>
      <c r="AQ114" s="3164"/>
      <c r="AR114" s="3164"/>
      <c r="AS114" s="1828"/>
      <c r="AT114" s="1828"/>
      <c r="AU114" s="3164"/>
      <c r="AV114" s="3164"/>
      <c r="AW114" s="1828"/>
      <c r="AX114" s="1828"/>
      <c r="AY114" s="3164"/>
      <c r="AZ114" s="3164"/>
      <c r="BA114" s="1092"/>
      <c r="BB114" s="1092"/>
      <c r="BC114" s="2558"/>
      <c r="BD114" s="2558"/>
      <c r="BE114" s="1828"/>
      <c r="BF114" s="1828"/>
      <c r="BH114" s="1726"/>
      <c r="BI114" s="1726"/>
    </row>
    <row r="115" spans="1:73" s="1421" customFormat="1" ht="18.75" x14ac:dyDescent="0.3">
      <c r="A115" s="1829"/>
      <c r="B115" s="2565" t="s">
        <v>6</v>
      </c>
      <c r="C115" s="2560"/>
      <c r="D115" s="3532"/>
      <c r="E115" s="3532"/>
      <c r="F115" s="1830">
        <v>3762</v>
      </c>
      <c r="G115" s="1730"/>
      <c r="H115" s="1830">
        <v>4120</v>
      </c>
      <c r="I115" s="1831"/>
      <c r="J115" s="1831">
        <f>+F115+H115</f>
        <v>7882</v>
      </c>
      <c r="K115" s="699"/>
      <c r="L115" s="1830">
        <v>2363</v>
      </c>
      <c r="M115" s="1832"/>
      <c r="N115" s="1832">
        <f>+F115+H115+L115</f>
        <v>10245</v>
      </c>
      <c r="O115" s="699"/>
      <c r="P115" s="1730">
        <v>3618</v>
      </c>
      <c r="Q115" s="1831"/>
      <c r="R115" s="1831">
        <f>+F115+H115+L115+P115</f>
        <v>13863</v>
      </c>
      <c r="S115" s="699"/>
      <c r="T115" s="1730">
        <v>3117</v>
      </c>
      <c r="U115" s="1831"/>
      <c r="V115" s="1831">
        <f>+J115+L115+P115+T115</f>
        <v>16980</v>
      </c>
      <c r="W115" s="699"/>
      <c r="X115" s="1730">
        <v>3006</v>
      </c>
      <c r="Y115" s="1832"/>
      <c r="Z115" s="1832">
        <f>+X115+T115+P115</f>
        <v>9741</v>
      </c>
      <c r="AA115" s="1833"/>
      <c r="AB115" s="1833">
        <f>+Z115+N115</f>
        <v>19986</v>
      </c>
      <c r="AC115" s="699"/>
      <c r="AD115" s="1730">
        <v>149</v>
      </c>
      <c r="AE115" s="1831"/>
      <c r="AF115" s="1831">
        <f>+AD115+AB115</f>
        <v>20135</v>
      </c>
      <c r="AG115" s="699"/>
      <c r="AH115" s="1730">
        <v>1674</v>
      </c>
      <c r="AI115" s="1831"/>
      <c r="AJ115" s="1831">
        <f>+AH115+AF115</f>
        <v>21809</v>
      </c>
      <c r="AK115" s="699"/>
      <c r="AL115" s="1730">
        <v>846.42375000000015</v>
      </c>
      <c r="AM115" s="1832"/>
      <c r="AN115" s="3693">
        <f>+AL115+AH115+AD115</f>
        <v>2669.4237499999999</v>
      </c>
      <c r="AO115" s="1831"/>
      <c r="AP115" s="1831">
        <f>+AJ115+AL115</f>
        <v>22655.423750000002</v>
      </c>
      <c r="AQ115" s="699"/>
      <c r="AR115" s="1730">
        <v>634.54762500000004</v>
      </c>
      <c r="AS115" s="1831"/>
      <c r="AT115" s="1831">
        <f>+AR115+AP115</f>
        <v>23289.971375000001</v>
      </c>
      <c r="AU115" s="699"/>
      <c r="AV115" s="1730">
        <v>359.988</v>
      </c>
      <c r="AW115" s="1831"/>
      <c r="AX115" s="1831">
        <f>+AV115+AT115</f>
        <v>23649.959375000002</v>
      </c>
      <c r="AY115" s="699"/>
      <c r="AZ115" s="1730">
        <v>536.44500000000005</v>
      </c>
      <c r="BA115" s="1832"/>
      <c r="BB115" s="3693">
        <f>+AZ115+AV115+AR115</f>
        <v>1530.9806250000001</v>
      </c>
      <c r="BC115" s="1833"/>
      <c r="BD115" s="1833">
        <f>+BB115+AN115</f>
        <v>4200.4043750000001</v>
      </c>
      <c r="BE115" s="1831"/>
      <c r="BF115" s="1831">
        <f>+AX115+AZ115</f>
        <v>24186.404375000002</v>
      </c>
      <c r="BG115" s="1834"/>
      <c r="BH115" s="1726"/>
      <c r="BI115" s="1726"/>
      <c r="BJ115" s="1835"/>
      <c r="BK115" s="1835"/>
      <c r="BL115" s="1835"/>
      <c r="BM115" s="1835"/>
      <c r="BN115" s="1835"/>
      <c r="BO115" s="1835"/>
      <c r="BP115" s="1835"/>
      <c r="BQ115" s="1835"/>
      <c r="BR115" s="1835"/>
      <c r="BS115" s="1835"/>
      <c r="BT115" s="1835"/>
      <c r="BU115" s="1835"/>
    </row>
    <row r="116" spans="1:73" ht="15" hidden="1" customHeight="1" x14ac:dyDescent="0.25">
      <c r="B116" s="2562" t="s">
        <v>1108</v>
      </c>
      <c r="C116" s="2563" t="s">
        <v>52</v>
      </c>
      <c r="D116" s="2564"/>
      <c r="E116" s="2564"/>
      <c r="F116" s="3578">
        <v>1.25</v>
      </c>
      <c r="G116" s="3577"/>
      <c r="H116" s="3578">
        <v>1.25</v>
      </c>
      <c r="I116" s="3579"/>
      <c r="J116" s="3579">
        <v>1.25</v>
      </c>
      <c r="K116" s="3577"/>
      <c r="L116" s="3578">
        <v>1.25</v>
      </c>
      <c r="M116" s="2566"/>
      <c r="N116" s="3580">
        <v>1.25</v>
      </c>
      <c r="O116" s="3577"/>
      <c r="P116" s="3577">
        <v>1.25</v>
      </c>
      <c r="Q116" s="3579"/>
      <c r="R116" s="3579">
        <v>1.25</v>
      </c>
      <c r="S116" s="3577"/>
      <c r="T116" s="3577">
        <v>1.25</v>
      </c>
      <c r="U116" s="3579"/>
      <c r="V116" s="3579">
        <v>1.25</v>
      </c>
      <c r="W116" s="3577"/>
      <c r="X116" s="3577">
        <v>1.25</v>
      </c>
      <c r="Y116" s="2566"/>
      <c r="Z116" s="3580">
        <v>1.25</v>
      </c>
      <c r="AA116" s="3581"/>
      <c r="AB116" s="3581">
        <v>1.25</v>
      </c>
      <c r="AC116" s="3577"/>
      <c r="AD116" s="3577">
        <v>1.25</v>
      </c>
      <c r="AE116" s="3579"/>
      <c r="AF116" s="3579">
        <v>1.25</v>
      </c>
      <c r="AG116" s="3577"/>
      <c r="AH116" s="3577">
        <v>1.25</v>
      </c>
      <c r="AI116" s="3579"/>
      <c r="AJ116" s="3579">
        <v>1.25</v>
      </c>
      <c r="AK116" s="3577"/>
      <c r="AL116" s="3577">
        <v>1.25</v>
      </c>
      <c r="AM116" s="2566"/>
      <c r="AN116" s="3580">
        <v>1.25</v>
      </c>
      <c r="AO116" s="3579"/>
      <c r="AP116" s="3579">
        <v>1.25</v>
      </c>
      <c r="AQ116" s="3898"/>
      <c r="AR116" s="3898">
        <v>1.25</v>
      </c>
      <c r="AS116" s="3896"/>
      <c r="AT116" s="3896">
        <v>1.25</v>
      </c>
      <c r="AU116" s="4024"/>
      <c r="AV116" s="4024">
        <v>1.25</v>
      </c>
      <c r="AW116" s="4023"/>
      <c r="AX116" s="4023">
        <v>1.25</v>
      </c>
      <c r="AY116" s="4272"/>
      <c r="AZ116" s="4272">
        <v>1.25</v>
      </c>
      <c r="BA116" s="2566"/>
      <c r="BB116" s="4271">
        <v>1.25</v>
      </c>
      <c r="BC116" s="4273"/>
      <c r="BD116" s="4273">
        <v>1.25</v>
      </c>
      <c r="BE116" s="4273"/>
      <c r="BF116" s="4273">
        <v>1.25</v>
      </c>
      <c r="BH116" s="1726"/>
      <c r="BI116" s="1726"/>
    </row>
    <row r="117" spans="1:73" ht="15" hidden="1" customHeight="1" x14ac:dyDescent="0.25">
      <c r="B117" s="2562" t="s">
        <v>1108</v>
      </c>
      <c r="C117" s="2563" t="s">
        <v>53</v>
      </c>
      <c r="D117" s="2564"/>
      <c r="E117" s="2564"/>
      <c r="F117" s="238">
        <f>+F116*F115/(100-F116)</f>
        <v>47.620253164556964</v>
      </c>
      <c r="G117" s="3551"/>
      <c r="H117" s="238">
        <f>+H116*H115/(100-H116)</f>
        <v>52.151898734177216</v>
      </c>
      <c r="I117" s="3547"/>
      <c r="J117" s="3547">
        <f>+J116*J115/(100-J116)</f>
        <v>99.77215189873418</v>
      </c>
      <c r="K117" s="483"/>
      <c r="L117" s="238">
        <f>+L116*L115/(100-L116)</f>
        <v>29.911392405063292</v>
      </c>
      <c r="M117" s="952"/>
      <c r="N117" s="3549">
        <f>+N116*N115/(100-N116)</f>
        <v>129.68354430379748</v>
      </c>
      <c r="O117" s="483"/>
      <c r="P117" s="3551">
        <f>+P116*P115/(100-P116)</f>
        <v>45.797468354430379</v>
      </c>
      <c r="Q117" s="3547"/>
      <c r="R117" s="3547">
        <f>+R116*R115/(100-R116)</f>
        <v>175.48101265822785</v>
      </c>
      <c r="S117" s="483"/>
      <c r="T117" s="3551">
        <f>+T116*T115/(100-T116)</f>
        <v>39.455696202531648</v>
      </c>
      <c r="U117" s="3547"/>
      <c r="V117" s="3547">
        <f>+V116*V115/(100-V116)</f>
        <v>214.9367088607595</v>
      </c>
      <c r="W117" s="483"/>
      <c r="X117" s="3551">
        <f>+X116*X115/(100-X116)</f>
        <v>38.050632911392405</v>
      </c>
      <c r="Y117" s="952"/>
      <c r="Z117" s="3549">
        <f>+Z116*Z115/(100-Z116)</f>
        <v>123.30379746835443</v>
      </c>
      <c r="AA117" s="1134"/>
      <c r="AB117" s="1134">
        <f>+AB116*AB115/(100-AB116)</f>
        <v>252.98734177215189</v>
      </c>
      <c r="AC117" s="483"/>
      <c r="AD117" s="3551">
        <f>+AD116*AD115/(100-AD116)</f>
        <v>1.8860759493670887</v>
      </c>
      <c r="AE117" s="3547"/>
      <c r="AF117" s="3547">
        <f>+AF116*AF115/(100-AF116)</f>
        <v>254.87341772151899</v>
      </c>
      <c r="AG117" s="483"/>
      <c r="AH117" s="3551">
        <f>+AH116*AH115/(100-AH116)</f>
        <v>21.189873417721518</v>
      </c>
      <c r="AI117" s="3547"/>
      <c r="AJ117" s="3547">
        <f>+AJ116*AJ115/(100-AJ116)</f>
        <v>276.0632911392405</v>
      </c>
      <c r="AK117" s="483"/>
      <c r="AL117" s="3551">
        <f>+AL116*AL115/(100-AL116)</f>
        <v>10.714224683544305</v>
      </c>
      <c r="AM117" s="952"/>
      <c r="AN117" s="3549">
        <f>+AN116*AN115/(100-AN116)</f>
        <v>33.790174050632913</v>
      </c>
      <c r="AO117" s="3547"/>
      <c r="AP117" s="3547">
        <f>+AP116*AP115/(100-AP116)</f>
        <v>286.77751582278484</v>
      </c>
      <c r="AQ117" s="483"/>
      <c r="AR117" s="3873">
        <f>+AR116*AR115/(100-AR116)</f>
        <v>8.0322484177215205</v>
      </c>
      <c r="AS117" s="3874"/>
      <c r="AT117" s="3874">
        <f>+AT116*AT115/(100-AT116)</f>
        <v>294.8097642405063</v>
      </c>
      <c r="AU117" s="483"/>
      <c r="AV117" s="3990">
        <f>+AV116*AV115/(100-AV116)</f>
        <v>4.5568101265822785</v>
      </c>
      <c r="AW117" s="3991"/>
      <c r="AX117" s="3991">
        <f>+AX116*AX115/(100-AX116)</f>
        <v>299.36657436708862</v>
      </c>
      <c r="AY117" s="483"/>
      <c r="AZ117" s="4224">
        <f>+AZ116*AZ115/(100-AZ116)</f>
        <v>6.7904430379746845</v>
      </c>
      <c r="BA117" s="952"/>
      <c r="BB117" s="4225">
        <f>+BB116*BB115/(100-BB116)</f>
        <v>19.379501582278483</v>
      </c>
      <c r="BC117" s="4226"/>
      <c r="BD117" s="4226">
        <f>+BD116*BD115/(100-BD116)</f>
        <v>53.169675632911385</v>
      </c>
      <c r="BE117" s="4226"/>
      <c r="BF117" s="4226">
        <f>+BF116*BF115/(100-BF116)</f>
        <v>306.1570174050633</v>
      </c>
      <c r="BH117" s="1726"/>
      <c r="BI117" s="1726"/>
    </row>
    <row r="118" spans="1:73" ht="15" hidden="1" customHeight="1" x14ac:dyDescent="0.25">
      <c r="B118" s="2562" t="s">
        <v>549</v>
      </c>
      <c r="C118" s="2563" t="s">
        <v>53</v>
      </c>
      <c r="D118" s="2564"/>
      <c r="E118" s="2564"/>
      <c r="F118" s="238">
        <f>+F115+F117</f>
        <v>3809.6202531645567</v>
      </c>
      <c r="G118" s="3551"/>
      <c r="H118" s="238">
        <f>+H115+H117</f>
        <v>4172.1518987341769</v>
      </c>
      <c r="I118" s="3547"/>
      <c r="J118" s="3547">
        <f>+J115+J117</f>
        <v>7981.7721518987346</v>
      </c>
      <c r="K118" s="483"/>
      <c r="L118" s="238">
        <f>+L115+L117</f>
        <v>2392.9113924050635</v>
      </c>
      <c r="M118" s="952"/>
      <c r="N118" s="3549">
        <f>+N115+N117</f>
        <v>10374.683544303798</v>
      </c>
      <c r="O118" s="483"/>
      <c r="P118" s="3551">
        <f>+P115+P117</f>
        <v>3663.7974683544303</v>
      </c>
      <c r="Q118" s="3547"/>
      <c r="R118" s="3547">
        <f>+F118+H118+L118+P118</f>
        <v>14038.481012658227</v>
      </c>
      <c r="S118" s="483"/>
      <c r="T118" s="3551">
        <f>+T115+T117</f>
        <v>3156.4556962025317</v>
      </c>
      <c r="U118" s="3547"/>
      <c r="V118" s="3547">
        <f>+J118+L118+P118+T118</f>
        <v>17194.936708860761</v>
      </c>
      <c r="W118" s="483"/>
      <c r="X118" s="3551">
        <f>+X115+X117</f>
        <v>3044.0506329113923</v>
      </c>
      <c r="Y118" s="952"/>
      <c r="Z118" s="3549">
        <f>+Z115+Z117</f>
        <v>9864.3037974683539</v>
      </c>
      <c r="AA118" s="1134"/>
      <c r="AB118" s="1134">
        <f>+AB115+AB117</f>
        <v>20238.98734177215</v>
      </c>
      <c r="AC118" s="483"/>
      <c r="AD118" s="3551">
        <f>+AD115+AD117</f>
        <v>150.8860759493671</v>
      </c>
      <c r="AE118" s="3547"/>
      <c r="AF118" s="3547">
        <f>+T118+V118+Z118+AD118</f>
        <v>30366.582278481012</v>
      </c>
      <c r="AG118" s="483"/>
      <c r="AH118" s="3551">
        <f>+AH115+AH117</f>
        <v>1695.1898734177216</v>
      </c>
      <c r="AI118" s="3547"/>
      <c r="AJ118" s="3547">
        <f>+X118+Z118+AD118+AH118</f>
        <v>14754.430379746835</v>
      </c>
      <c r="AK118" s="483"/>
      <c r="AL118" s="3551">
        <f>+AL115+AL117</f>
        <v>857.13797468354448</v>
      </c>
      <c r="AM118" s="952"/>
      <c r="AN118" s="3549">
        <f>+AN115+AN117</f>
        <v>2703.2139240506331</v>
      </c>
      <c r="AO118" s="3547"/>
      <c r="AP118" s="3547">
        <f>+AP115+AP117</f>
        <v>22942.201265822787</v>
      </c>
      <c r="AQ118" s="483"/>
      <c r="AR118" s="3873">
        <f>+AR115+AR117</f>
        <v>642.57987341772161</v>
      </c>
      <c r="AS118" s="3874"/>
      <c r="AT118" s="3874">
        <f>+AH118+AJ118+AN118+AR118</f>
        <v>19795.414050632913</v>
      </c>
      <c r="AU118" s="483"/>
      <c r="AV118" s="3990">
        <f>+AV115+AV117</f>
        <v>364.54481012658226</v>
      </c>
      <c r="AW118" s="3991"/>
      <c r="AX118" s="3991">
        <f>+AL118+AN118+AR118+AV118</f>
        <v>4567.4765822784811</v>
      </c>
      <c r="AY118" s="483"/>
      <c r="AZ118" s="4224">
        <f>+AZ115+AZ117</f>
        <v>543.23544303797473</v>
      </c>
      <c r="BA118" s="952"/>
      <c r="BB118" s="4225">
        <f>+BB115+BB117</f>
        <v>1550.3601265822786</v>
      </c>
      <c r="BC118" s="4226"/>
      <c r="BD118" s="4226">
        <f>+AR118+AT118+AX118+BB118</f>
        <v>26555.830632911398</v>
      </c>
      <c r="BE118" s="4226"/>
      <c r="BF118" s="4226">
        <f>+BF115+BF117</f>
        <v>24492.561392405067</v>
      </c>
      <c r="BH118" s="1726"/>
      <c r="BI118" s="1726"/>
    </row>
    <row r="119" spans="1:73" x14ac:dyDescent="0.25">
      <c r="B119" s="200"/>
      <c r="C119" s="1092"/>
      <c r="D119" s="1092"/>
      <c r="E119" s="1092"/>
      <c r="G119" s="1092"/>
      <c r="I119" s="1092"/>
      <c r="K119" s="1092"/>
      <c r="M119" s="1092"/>
      <c r="O119" s="1092"/>
      <c r="P119" s="1092"/>
      <c r="Q119" s="1092"/>
      <c r="S119" s="1092"/>
      <c r="T119" s="1092"/>
      <c r="U119" s="1092"/>
      <c r="V119" s="1092"/>
      <c r="W119" s="1092"/>
      <c r="X119" s="1092"/>
      <c r="Y119" s="1092"/>
      <c r="Z119" s="1092"/>
      <c r="AA119" s="1092"/>
      <c r="AB119" s="1092"/>
      <c r="AC119" s="1092"/>
      <c r="AD119" s="1092"/>
      <c r="AE119" s="1092"/>
      <c r="AF119" s="1092"/>
      <c r="AG119" s="1092"/>
      <c r="AH119" s="1092"/>
      <c r="AI119" s="1092"/>
      <c r="AJ119" s="1092"/>
      <c r="AK119" s="1092"/>
      <c r="AL119" s="1092"/>
      <c r="AM119" s="1092"/>
      <c r="AN119" s="1092"/>
      <c r="AO119" s="1092"/>
      <c r="AP119" s="1092"/>
      <c r="AQ119" s="1092"/>
      <c r="AR119" s="1092"/>
      <c r="AS119" s="1092"/>
      <c r="AT119" s="1092"/>
      <c r="AU119" s="1092"/>
      <c r="AV119" s="1092"/>
      <c r="AW119" s="1092"/>
      <c r="AX119" s="1092"/>
      <c r="AY119" s="1092"/>
      <c r="AZ119" s="1092"/>
      <c r="BA119" s="1092"/>
      <c r="BB119" s="1092"/>
      <c r="BC119" s="1092"/>
      <c r="BD119" s="1092"/>
      <c r="BE119" s="1092"/>
      <c r="BF119" s="1092"/>
      <c r="BH119" s="1726"/>
      <c r="BI119" s="1726"/>
    </row>
    <row r="120" spans="1:73" x14ac:dyDescent="0.25">
      <c r="B120" s="200"/>
      <c r="C120" s="1092"/>
      <c r="D120" s="1092"/>
      <c r="E120" s="1092"/>
      <c r="G120" s="1092"/>
      <c r="I120" s="1092"/>
      <c r="K120" s="1092"/>
      <c r="M120" s="1092"/>
      <c r="O120" s="1092"/>
      <c r="P120" s="1092"/>
      <c r="Q120" s="1092"/>
      <c r="S120" s="1092"/>
      <c r="T120" s="1092"/>
      <c r="U120" s="1092"/>
      <c r="V120" s="1092"/>
      <c r="W120" s="1092"/>
      <c r="X120" s="1092"/>
      <c r="Y120" s="1092"/>
      <c r="Z120" s="1092"/>
      <c r="AA120" s="1092"/>
      <c r="AB120" s="1092"/>
      <c r="AC120" s="1092"/>
      <c r="AD120" s="1092"/>
      <c r="AE120" s="1092"/>
      <c r="AF120" s="1092"/>
      <c r="AG120" s="1092"/>
      <c r="AH120" s="1092"/>
      <c r="AI120" s="1092"/>
      <c r="AJ120" s="1092"/>
      <c r="AK120" s="1092"/>
      <c r="AL120" s="1092"/>
      <c r="AM120" s="1092"/>
      <c r="AN120" s="1092"/>
      <c r="AO120" s="1092"/>
      <c r="AP120" s="1092"/>
      <c r="AQ120" s="1092"/>
      <c r="AR120" s="1092"/>
      <c r="AS120" s="1092"/>
      <c r="AT120" s="1092"/>
      <c r="AU120" s="1092"/>
      <c r="AV120" s="1092"/>
      <c r="AW120" s="1092"/>
      <c r="AX120" s="1092"/>
      <c r="AY120" s="1092"/>
      <c r="AZ120" s="1092"/>
      <c r="BA120" s="1092"/>
      <c r="BB120" s="1092"/>
      <c r="BC120" s="1092"/>
      <c r="BD120" s="1092"/>
      <c r="BE120" s="1092"/>
      <c r="BF120" s="1092"/>
      <c r="BH120" s="1726"/>
      <c r="BI120" s="1726"/>
    </row>
    <row r="121" spans="1:73" x14ac:dyDescent="0.25">
      <c r="B121" s="200"/>
      <c r="C121" s="1092"/>
      <c r="D121" s="1092"/>
      <c r="E121" s="1092"/>
      <c r="G121" s="1092"/>
      <c r="I121" s="1092"/>
      <c r="K121" s="1092"/>
      <c r="M121" s="1092"/>
      <c r="O121" s="1092"/>
      <c r="P121" s="1092"/>
      <c r="Q121" s="1092"/>
      <c r="S121" s="1092"/>
      <c r="T121" s="1092"/>
      <c r="U121" s="1092"/>
      <c r="V121" s="1092"/>
      <c r="W121" s="1092"/>
      <c r="X121" s="1092"/>
      <c r="Y121" s="1092"/>
      <c r="Z121" s="1092"/>
      <c r="AA121" s="1092"/>
      <c r="AB121" s="1092"/>
      <c r="AC121" s="1092"/>
      <c r="AD121" s="1092"/>
      <c r="AE121" s="1092"/>
      <c r="AF121" s="1092"/>
      <c r="AG121" s="1092"/>
      <c r="AH121" s="1092"/>
      <c r="AI121" s="1092"/>
      <c r="AJ121" s="1092"/>
      <c r="AK121" s="1092"/>
      <c r="AL121" s="1092"/>
      <c r="AM121" s="1092"/>
      <c r="AN121" s="1092"/>
      <c r="AO121" s="1092"/>
      <c r="AP121" s="1092"/>
      <c r="AQ121" s="1092"/>
      <c r="AR121" s="1092"/>
      <c r="AS121" s="1092"/>
      <c r="AT121" s="1092"/>
      <c r="AU121" s="1092"/>
      <c r="AV121" s="1092"/>
      <c r="AW121" s="1092"/>
      <c r="AX121" s="1092"/>
      <c r="AY121" s="1092"/>
      <c r="AZ121" s="1092"/>
      <c r="BA121" s="1092"/>
      <c r="BB121" s="1092"/>
      <c r="BC121" s="1092"/>
      <c r="BD121" s="1092"/>
      <c r="BE121" s="1092"/>
      <c r="BF121" s="1092"/>
      <c r="BH121" s="1726"/>
      <c r="BI121" s="1726"/>
    </row>
    <row r="122" spans="1:73" x14ac:dyDescent="0.25">
      <c r="B122" s="200"/>
      <c r="C122" s="1092"/>
      <c r="D122" s="1092"/>
      <c r="E122" s="1092"/>
      <c r="G122" s="1092"/>
      <c r="I122" s="1092"/>
      <c r="K122" s="1092"/>
      <c r="M122" s="1092"/>
      <c r="O122" s="1092"/>
      <c r="P122" s="1092"/>
      <c r="Q122" s="1092"/>
      <c r="S122" s="1092"/>
      <c r="T122" s="1092"/>
      <c r="U122" s="1092"/>
      <c r="V122" s="1092"/>
      <c r="W122" s="1092"/>
      <c r="X122" s="1092"/>
      <c r="Y122" s="1092"/>
      <c r="Z122" s="1092"/>
      <c r="AA122" s="1092"/>
      <c r="AB122" s="1092"/>
      <c r="AC122" s="1092"/>
      <c r="AD122" s="1092"/>
      <c r="AE122" s="1092"/>
      <c r="AF122" s="1092"/>
      <c r="AG122" s="1092"/>
      <c r="AH122" s="1092"/>
      <c r="AI122" s="1092"/>
      <c r="AJ122" s="1092"/>
      <c r="AK122" s="1092"/>
      <c r="AL122" s="1092"/>
      <c r="AM122" s="1092"/>
      <c r="AN122" s="1092"/>
      <c r="AO122" s="1092"/>
      <c r="AP122" s="1092"/>
      <c r="AQ122" s="1092"/>
      <c r="AR122" s="1092"/>
      <c r="AS122" s="1092"/>
      <c r="AT122" s="1092"/>
      <c r="AU122" s="1092"/>
      <c r="AV122" s="1092"/>
      <c r="AW122" s="1092"/>
      <c r="AX122" s="1092"/>
      <c r="AY122" s="1092"/>
      <c r="AZ122" s="1092"/>
      <c r="BA122" s="1092"/>
      <c r="BB122" s="1092"/>
      <c r="BC122" s="1092"/>
      <c r="BD122" s="1092"/>
      <c r="BE122" s="1092"/>
      <c r="BF122" s="1092"/>
      <c r="BH122" s="1726"/>
      <c r="BI122" s="1726"/>
    </row>
    <row r="123" spans="1:73" x14ac:dyDescent="0.25">
      <c r="B123" s="200"/>
      <c r="C123" s="1092"/>
      <c r="D123" s="1092"/>
      <c r="E123" s="1092"/>
      <c r="G123" s="1092"/>
      <c r="I123" s="1092"/>
      <c r="K123" s="1092"/>
      <c r="M123" s="1092"/>
      <c r="O123" s="1092"/>
      <c r="P123" s="1092"/>
      <c r="Q123" s="1092"/>
      <c r="S123" s="1092"/>
      <c r="T123" s="1092"/>
      <c r="U123" s="1092"/>
      <c r="V123" s="1092"/>
      <c r="W123" s="1092"/>
      <c r="X123" s="1092"/>
      <c r="Y123" s="1092"/>
      <c r="Z123" s="1092"/>
      <c r="AA123" s="1092"/>
      <c r="AB123" s="1092"/>
      <c r="AC123" s="1092"/>
      <c r="AD123" s="1092"/>
      <c r="AE123" s="1092"/>
      <c r="AF123" s="1092"/>
      <c r="AG123" s="1092"/>
      <c r="AH123" s="1092"/>
      <c r="AI123" s="1092"/>
      <c r="AJ123" s="1092"/>
      <c r="AK123" s="1092"/>
      <c r="AL123" s="1092"/>
      <c r="AM123" s="1092"/>
      <c r="AN123" s="1092"/>
      <c r="AO123" s="1092"/>
      <c r="AP123" s="1092"/>
      <c r="AQ123" s="1092"/>
      <c r="AR123" s="1092"/>
      <c r="AS123" s="1092"/>
      <c r="AT123" s="1092"/>
      <c r="AU123" s="1092"/>
      <c r="AV123" s="1092"/>
      <c r="AW123" s="1092"/>
      <c r="AX123" s="1092"/>
      <c r="AY123" s="1092"/>
      <c r="AZ123" s="1092"/>
      <c r="BA123" s="1092"/>
      <c r="BB123" s="1092"/>
      <c r="BC123" s="1092"/>
      <c r="BD123" s="1092"/>
      <c r="BE123" s="1092"/>
      <c r="BF123" s="1092"/>
    </row>
    <row r="124" spans="1:73" x14ac:dyDescent="0.25">
      <c r="B124" s="200"/>
      <c r="C124" s="1092"/>
      <c r="D124" s="1092"/>
      <c r="E124" s="1092"/>
      <c r="G124" s="1092"/>
      <c r="I124" s="1092"/>
      <c r="K124" s="1092">
        <f>+F109+H109+L109+P109</f>
        <v>814022</v>
      </c>
      <c r="M124" s="1092"/>
      <c r="O124" s="1092"/>
      <c r="P124" s="1092"/>
      <c r="Q124" s="1092"/>
      <c r="S124" s="1092"/>
      <c r="T124" s="1092"/>
      <c r="U124" s="1092"/>
      <c r="V124" s="1092"/>
      <c r="W124" s="1092"/>
      <c r="X124" s="1092"/>
      <c r="Y124" s="1092"/>
      <c r="Z124" s="1092"/>
      <c r="AA124" s="1092"/>
      <c r="AB124" s="1092"/>
      <c r="AC124" s="1092"/>
      <c r="AD124" s="1092"/>
      <c r="AE124" s="1092"/>
      <c r="AF124" s="1092"/>
      <c r="AG124" s="1092"/>
      <c r="AH124" s="1092"/>
      <c r="AI124" s="1092"/>
      <c r="AJ124" s="1092"/>
      <c r="AK124" s="1092"/>
      <c r="AL124" s="1092"/>
      <c r="AM124" s="1092"/>
      <c r="AN124" s="1092"/>
      <c r="AO124" s="1092"/>
      <c r="AP124" s="1092"/>
      <c r="AQ124" s="1092"/>
      <c r="AR124" s="1092"/>
      <c r="AS124" s="1092"/>
      <c r="AT124" s="1092"/>
      <c r="AU124" s="1092"/>
      <c r="AV124" s="1092"/>
      <c r="AW124" s="1092"/>
      <c r="AX124" s="1092"/>
      <c r="AY124" s="1092"/>
      <c r="AZ124" s="1092"/>
      <c r="BA124" s="1092"/>
      <c r="BB124" s="1092"/>
      <c r="BC124" s="1092"/>
      <c r="BD124" s="1092"/>
      <c r="BE124" s="1092"/>
      <c r="BF124" s="1092"/>
    </row>
    <row r="125" spans="1:73" x14ac:dyDescent="0.25">
      <c r="B125" s="200"/>
      <c r="C125" s="1092"/>
      <c r="D125" s="1092"/>
      <c r="E125" s="1092"/>
      <c r="G125" s="1092"/>
      <c r="I125" s="1092"/>
      <c r="K125" s="1092"/>
      <c r="M125" s="1092"/>
      <c r="O125" s="1092"/>
      <c r="Q125" s="1092"/>
      <c r="S125" s="1092"/>
      <c r="T125" s="1576"/>
      <c r="U125" s="1092"/>
      <c r="V125" s="1092"/>
      <c r="W125" s="1092"/>
      <c r="X125" s="1576"/>
      <c r="Y125" s="1092"/>
      <c r="Z125" s="1092"/>
      <c r="AA125" s="1092"/>
      <c r="AB125" s="1092"/>
      <c r="AC125" s="1092"/>
      <c r="AD125" s="1576"/>
      <c r="AE125" s="1092"/>
      <c r="AF125" s="1092"/>
      <c r="AG125" s="1092"/>
      <c r="AH125" s="1576"/>
      <c r="AI125" s="1092"/>
      <c r="AJ125" s="1092"/>
      <c r="AK125" s="1092"/>
      <c r="AL125" s="1576"/>
      <c r="AM125" s="1092"/>
      <c r="AN125" s="1092"/>
      <c r="AO125" s="1092"/>
      <c r="AP125" s="1092"/>
      <c r="AQ125" s="1092"/>
      <c r="AR125" s="1576"/>
      <c r="AS125" s="1092"/>
      <c r="AT125" s="1092"/>
      <c r="AU125" s="1092"/>
      <c r="AV125" s="1576"/>
      <c r="AW125" s="1092"/>
      <c r="AX125" s="1092"/>
      <c r="AY125" s="1092"/>
      <c r="AZ125" s="1576"/>
      <c r="BA125" s="1092"/>
      <c r="BB125" s="1092"/>
      <c r="BC125" s="1092"/>
      <c r="BD125" s="1092"/>
      <c r="BE125" s="1092"/>
      <c r="BF125" s="1092"/>
    </row>
    <row r="126" spans="1:73" x14ac:dyDescent="0.25">
      <c r="S126" s="1824"/>
      <c r="T126" s="1576"/>
      <c r="U126" s="1824"/>
      <c r="V126" s="1092"/>
      <c r="W126" s="1824"/>
      <c r="X126" s="1576"/>
      <c r="AC126" s="1824"/>
      <c r="AD126" s="1576"/>
      <c r="AE126" s="1824"/>
      <c r="AF126" s="1092"/>
      <c r="AG126" s="1824"/>
      <c r="AH126" s="1576"/>
      <c r="AI126" s="1824"/>
      <c r="AJ126" s="1092"/>
      <c r="AK126" s="1824"/>
      <c r="AL126" s="1576"/>
      <c r="AQ126" s="1824"/>
      <c r="AR126" s="1576"/>
      <c r="AS126" s="1824"/>
      <c r="AT126" s="1092"/>
      <c r="AU126" s="1824"/>
      <c r="AV126" s="1576"/>
      <c r="AW126" s="1824"/>
      <c r="AX126" s="1092"/>
      <c r="AY126" s="1824"/>
      <c r="AZ126" s="1576"/>
      <c r="BE126" s="1824"/>
      <c r="BF126" s="1092"/>
    </row>
    <row r="127" spans="1:73" x14ac:dyDescent="0.25">
      <c r="S127" s="1824"/>
      <c r="T127" s="1576"/>
      <c r="U127" s="1824"/>
      <c r="V127" s="1092"/>
      <c r="W127" s="1824"/>
      <c r="X127" s="1576"/>
      <c r="AC127" s="1824"/>
      <c r="AD127" s="1576"/>
      <c r="AE127" s="1824"/>
      <c r="AF127" s="1092"/>
      <c r="AG127" s="1824"/>
      <c r="AH127" s="1576"/>
      <c r="AI127" s="1824"/>
      <c r="AJ127" s="1092"/>
      <c r="AK127" s="1824"/>
      <c r="AL127" s="1576"/>
      <c r="AQ127" s="1824"/>
      <c r="AR127" s="1576"/>
      <c r="AS127" s="1824"/>
      <c r="AT127" s="1092"/>
      <c r="AU127" s="1824"/>
      <c r="AV127" s="1576"/>
      <c r="AW127" s="1824"/>
      <c r="AX127" s="1092"/>
      <c r="AY127" s="1824"/>
      <c r="AZ127" s="1576"/>
      <c r="BE127" s="1824"/>
      <c r="BF127" s="1092"/>
    </row>
    <row r="128" spans="1:73" x14ac:dyDescent="0.25">
      <c r="S128" s="1824"/>
      <c r="T128" s="1576"/>
      <c r="U128" s="1824"/>
      <c r="V128" s="1092"/>
      <c r="W128" s="1824"/>
      <c r="X128" s="1576"/>
      <c r="AC128" s="1824"/>
      <c r="AD128" s="1576"/>
      <c r="AE128" s="1824"/>
      <c r="AF128" s="1092"/>
      <c r="AG128" s="1824"/>
      <c r="AH128" s="1576"/>
      <c r="AI128" s="1824"/>
      <c r="AJ128" s="1092"/>
      <c r="AK128" s="1824"/>
      <c r="AL128" s="1576"/>
      <c r="AQ128" s="1824"/>
      <c r="AR128" s="1576"/>
      <c r="AS128" s="1824"/>
      <c r="AT128" s="1092"/>
      <c r="AU128" s="1824"/>
      <c r="AV128" s="1576"/>
      <c r="AW128" s="1824"/>
      <c r="AX128" s="1092"/>
      <c r="AY128" s="1824"/>
      <c r="AZ128" s="1576"/>
      <c r="BE128" s="1824"/>
      <c r="BF128" s="1092"/>
    </row>
    <row r="129" spans="19:58" x14ac:dyDescent="0.25">
      <c r="S129" s="1824"/>
      <c r="T129" s="1576"/>
      <c r="U129" s="1824"/>
      <c r="V129" s="1092"/>
      <c r="W129" s="1824"/>
      <c r="X129" s="1576"/>
      <c r="AC129" s="1824"/>
      <c r="AD129" s="1576"/>
      <c r="AE129" s="1824"/>
      <c r="AF129" s="1092"/>
      <c r="AG129" s="1824"/>
      <c r="AH129" s="1576"/>
      <c r="AI129" s="1824"/>
      <c r="AJ129" s="1092"/>
      <c r="AK129" s="1824"/>
      <c r="AL129" s="1576"/>
      <c r="AQ129" s="1824"/>
      <c r="AR129" s="1576"/>
      <c r="AS129" s="1824"/>
      <c r="AT129" s="1092"/>
      <c r="AU129" s="1824"/>
      <c r="AV129" s="1576"/>
      <c r="AW129" s="1824"/>
      <c r="AX129" s="1092"/>
      <c r="AY129" s="1824"/>
      <c r="AZ129" s="1576"/>
      <c r="BE129" s="1824"/>
      <c r="BF129" s="1092"/>
    </row>
    <row r="130" spans="19:58" x14ac:dyDescent="0.25">
      <c r="S130" s="1824"/>
      <c r="T130" s="1576"/>
      <c r="U130" s="1824"/>
      <c r="V130" s="1092"/>
      <c r="W130" s="1824"/>
      <c r="X130" s="1576"/>
      <c r="AC130" s="1824"/>
      <c r="AD130" s="1576"/>
      <c r="AE130" s="1824"/>
      <c r="AF130" s="1092"/>
      <c r="AG130" s="1824"/>
      <c r="AH130" s="1576"/>
      <c r="AI130" s="1824"/>
      <c r="AJ130" s="1092"/>
      <c r="AK130" s="1824"/>
      <c r="AL130" s="1576"/>
      <c r="AQ130" s="1824"/>
      <c r="AR130" s="1576"/>
      <c r="AS130" s="1824"/>
      <c r="AT130" s="1092"/>
      <c r="AU130" s="1824"/>
      <c r="AV130" s="1576"/>
      <c r="AW130" s="1824"/>
      <c r="AX130" s="1092"/>
      <c r="AY130" s="1824"/>
      <c r="AZ130" s="1576"/>
      <c r="BE130" s="1824"/>
      <c r="BF130" s="1092"/>
    </row>
    <row r="131" spans="19:58" x14ac:dyDescent="0.25">
      <c r="S131" s="1824"/>
      <c r="T131" s="1576"/>
      <c r="U131" s="1824"/>
      <c r="V131" s="1092"/>
      <c r="W131" s="1824"/>
      <c r="X131" s="1576"/>
      <c r="AC131" s="1824"/>
      <c r="AD131" s="1576"/>
      <c r="AE131" s="1824"/>
      <c r="AF131" s="1092"/>
      <c r="AG131" s="1824"/>
      <c r="AH131" s="1576"/>
      <c r="AI131" s="1824"/>
      <c r="AJ131" s="1092"/>
      <c r="AK131" s="1824"/>
      <c r="AL131" s="1576"/>
      <c r="AQ131" s="1824"/>
      <c r="AR131" s="1576"/>
      <c r="AS131" s="1824"/>
      <c r="AT131" s="1092"/>
      <c r="AU131" s="1824"/>
      <c r="AV131" s="1576"/>
      <c r="AW131" s="1824"/>
      <c r="AX131" s="1092"/>
      <c r="AY131" s="1824"/>
      <c r="AZ131" s="1576"/>
      <c r="BE131" s="1824"/>
      <c r="BF131" s="1092"/>
    </row>
    <row r="132" spans="19:58" x14ac:dyDescent="0.25">
      <c r="S132" s="1824"/>
      <c r="T132" s="1576"/>
      <c r="U132" s="1824"/>
      <c r="V132" s="1092"/>
      <c r="W132" s="1824"/>
      <c r="X132" s="1576"/>
      <c r="AC132" s="1824"/>
      <c r="AD132" s="1576"/>
      <c r="AE132" s="1824"/>
      <c r="AF132" s="1092"/>
      <c r="AG132" s="1824"/>
      <c r="AH132" s="1576"/>
      <c r="AI132" s="1824"/>
      <c r="AJ132" s="1092"/>
      <c r="AK132" s="1824"/>
      <c r="AL132" s="1576"/>
      <c r="AQ132" s="1824"/>
      <c r="AR132" s="1576"/>
      <c r="AS132" s="1824"/>
      <c r="AT132" s="1092"/>
      <c r="AU132" s="1824"/>
      <c r="AV132" s="1576"/>
      <c r="AW132" s="1824"/>
      <c r="AX132" s="1092"/>
      <c r="AY132" s="1824"/>
      <c r="AZ132" s="1576"/>
      <c r="BE132" s="1824"/>
      <c r="BF132" s="1092"/>
    </row>
    <row r="133" spans="19:58" x14ac:dyDescent="0.25">
      <c r="S133" s="1824"/>
      <c r="T133" s="1576"/>
      <c r="U133" s="1824"/>
      <c r="V133" s="1092"/>
      <c r="W133" s="1824"/>
      <c r="X133" s="1576"/>
      <c r="AC133" s="1824"/>
      <c r="AD133" s="1576"/>
      <c r="AE133" s="1824"/>
      <c r="AF133" s="1092"/>
      <c r="AG133" s="1824"/>
      <c r="AH133" s="1576"/>
      <c r="AI133" s="1824"/>
      <c r="AJ133" s="1092"/>
      <c r="AK133" s="1824"/>
      <c r="AL133" s="1576"/>
      <c r="AQ133" s="1824"/>
      <c r="AR133" s="1576"/>
      <c r="AS133" s="1824"/>
      <c r="AT133" s="1092"/>
      <c r="AU133" s="1824"/>
      <c r="AV133" s="1576"/>
      <c r="AW133" s="1824"/>
      <c r="AX133" s="1092"/>
      <c r="AY133" s="1824"/>
      <c r="AZ133" s="1576"/>
      <c r="BE133" s="1824"/>
      <c r="BF133" s="1092"/>
    </row>
    <row r="134" spans="19:58" x14ac:dyDescent="0.25">
      <c r="S134" s="1824"/>
      <c r="T134" s="1576"/>
      <c r="U134" s="1824"/>
      <c r="V134" s="1092"/>
      <c r="W134" s="1824"/>
      <c r="X134" s="1576"/>
      <c r="AC134" s="1824"/>
      <c r="AD134" s="1576"/>
      <c r="AE134" s="1824"/>
      <c r="AF134" s="1092"/>
      <c r="AG134" s="1824"/>
      <c r="AH134" s="1576"/>
      <c r="AI134" s="1824"/>
      <c r="AJ134" s="1092"/>
      <c r="AK134" s="1824"/>
      <c r="AL134" s="1576"/>
      <c r="AQ134" s="1824"/>
      <c r="AR134" s="1576"/>
      <c r="AS134" s="1824"/>
      <c r="AT134" s="1092"/>
      <c r="AU134" s="1824"/>
      <c r="AV134" s="1576"/>
      <c r="AW134" s="1824"/>
      <c r="AX134" s="1092"/>
      <c r="AY134" s="1824"/>
      <c r="AZ134" s="1576"/>
      <c r="BE134" s="1824"/>
      <c r="BF134" s="1092"/>
    </row>
    <row r="135" spans="19:58" x14ac:dyDescent="0.25">
      <c r="S135" s="1824"/>
      <c r="T135" s="1576"/>
      <c r="U135" s="1824"/>
      <c r="V135" s="1092"/>
      <c r="W135" s="1824"/>
      <c r="X135" s="1576"/>
      <c r="AC135" s="1824"/>
      <c r="AD135" s="1576"/>
      <c r="AE135" s="1824"/>
      <c r="AF135" s="1092"/>
      <c r="AG135" s="1824"/>
      <c r="AH135" s="1576"/>
      <c r="AI135" s="1824"/>
      <c r="AJ135" s="1092"/>
      <c r="AK135" s="1824"/>
      <c r="AL135" s="1576"/>
      <c r="AS135" s="1824"/>
      <c r="AT135" s="1092"/>
      <c r="AW135" s="1824"/>
      <c r="AX135" s="1092"/>
    </row>
    <row r="136" spans="19:58" x14ac:dyDescent="0.25">
      <c r="S136" s="1824"/>
      <c r="T136" s="1576"/>
      <c r="U136" s="1824"/>
      <c r="V136" s="1092"/>
      <c r="W136" s="1824"/>
      <c r="X136" s="1576"/>
      <c r="AC136" s="1824"/>
      <c r="AD136" s="1576"/>
      <c r="AE136" s="1824"/>
      <c r="AF136" s="1092"/>
      <c r="AG136" s="1824"/>
      <c r="AH136" s="1576"/>
      <c r="AI136" s="1824"/>
      <c r="AJ136" s="1092"/>
      <c r="AK136" s="1824"/>
      <c r="AL136" s="1576"/>
      <c r="AS136" s="1824"/>
      <c r="AT136" s="1092"/>
      <c r="AW136" s="1824"/>
      <c r="AX136" s="1092"/>
    </row>
    <row r="137" spans="19:58" x14ac:dyDescent="0.25">
      <c r="S137" s="1824"/>
      <c r="T137" s="1576"/>
      <c r="U137" s="1824"/>
      <c r="V137" s="1092"/>
      <c r="W137" s="1824"/>
      <c r="X137" s="1576"/>
      <c r="AC137" s="1824"/>
      <c r="AD137" s="1576"/>
      <c r="AE137" s="1824"/>
      <c r="AF137" s="1092"/>
      <c r="AG137" s="1824"/>
      <c r="AH137" s="1576"/>
      <c r="AI137" s="1824"/>
      <c r="AJ137" s="1092"/>
      <c r="AK137" s="1824"/>
      <c r="AL137" s="1576"/>
      <c r="AS137" s="1824"/>
      <c r="AT137" s="1092"/>
      <c r="AW137" s="1824"/>
      <c r="AX137" s="1092"/>
    </row>
    <row r="138" spans="19:58" x14ac:dyDescent="0.25">
      <c r="S138" s="1824"/>
      <c r="T138" s="1576"/>
      <c r="U138" s="1824"/>
      <c r="V138" s="1092"/>
      <c r="W138" s="1824"/>
      <c r="X138" s="1576"/>
      <c r="AC138" s="1824"/>
      <c r="AD138" s="1576"/>
      <c r="AE138" s="1824"/>
      <c r="AF138" s="1092"/>
      <c r="AG138" s="1824"/>
      <c r="AH138" s="1576"/>
      <c r="AI138" s="1824"/>
      <c r="AJ138" s="1092"/>
      <c r="AK138" s="1824"/>
      <c r="AL138" s="1576"/>
      <c r="AS138" s="1824"/>
      <c r="AT138" s="1092"/>
      <c r="AW138" s="1824"/>
      <c r="AX138" s="1092"/>
    </row>
    <row r="139" spans="19:58" x14ac:dyDescent="0.25">
      <c r="S139" s="1824"/>
      <c r="T139" s="1576"/>
      <c r="U139" s="1824"/>
      <c r="V139" s="1092"/>
      <c r="W139" s="1824"/>
      <c r="X139" s="1576"/>
      <c r="AC139" s="1824"/>
      <c r="AD139" s="1576"/>
      <c r="AE139" s="1824"/>
      <c r="AF139" s="1092"/>
      <c r="AG139" s="1824"/>
      <c r="AH139" s="1576"/>
      <c r="AI139" s="1824"/>
      <c r="AJ139" s="1092"/>
      <c r="AK139" s="1824"/>
      <c r="AL139" s="1576"/>
      <c r="AS139" s="1824"/>
      <c r="AT139" s="1092"/>
      <c r="AW139" s="1824"/>
      <c r="AX139" s="1092"/>
    </row>
    <row r="140" spans="19:58" x14ac:dyDescent="0.25">
      <c r="S140" s="1824"/>
      <c r="T140" s="1576"/>
      <c r="U140" s="1824"/>
      <c r="V140" s="1092"/>
      <c r="W140" s="1824"/>
      <c r="X140" s="1576"/>
      <c r="AC140" s="1824"/>
      <c r="AD140" s="1576"/>
      <c r="AE140" s="1824"/>
      <c r="AF140" s="1092"/>
      <c r="AG140" s="1824"/>
      <c r="AH140" s="1576"/>
      <c r="AI140" s="1824"/>
      <c r="AJ140" s="1092"/>
      <c r="AK140" s="1824"/>
      <c r="AL140" s="1576"/>
      <c r="AS140" s="1824"/>
      <c r="AT140" s="1092"/>
    </row>
    <row r="141" spans="19:58" x14ac:dyDescent="0.25">
      <c r="S141" s="1824"/>
      <c r="T141" s="1576"/>
      <c r="U141" s="1824"/>
      <c r="V141" s="1092"/>
      <c r="W141" s="1824"/>
      <c r="X141" s="1576"/>
      <c r="AC141" s="1824"/>
      <c r="AD141" s="1576"/>
      <c r="AE141" s="1824"/>
      <c r="AF141" s="1092"/>
      <c r="AG141" s="1824"/>
      <c r="AH141" s="1576"/>
      <c r="AI141" s="1824"/>
      <c r="AJ141" s="1092"/>
      <c r="AK141" s="1824"/>
      <c r="AL141" s="1576"/>
      <c r="AS141" s="1824"/>
      <c r="AT141" s="1092"/>
    </row>
    <row r="142" spans="19:58" x14ac:dyDescent="0.25">
      <c r="S142" s="1824"/>
      <c r="T142" s="1576"/>
      <c r="U142" s="1824"/>
      <c r="V142" s="1092"/>
      <c r="W142" s="1824"/>
      <c r="X142" s="1576"/>
      <c r="AC142" s="1824"/>
      <c r="AD142" s="1576"/>
      <c r="AE142" s="1824"/>
      <c r="AF142" s="1092"/>
      <c r="AG142" s="1824"/>
      <c r="AH142" s="1576"/>
      <c r="AI142" s="1824"/>
      <c r="AJ142" s="1092"/>
    </row>
    <row r="143" spans="19:58" x14ac:dyDescent="0.25">
      <c r="S143" s="1824"/>
      <c r="T143" s="1576"/>
      <c r="U143" s="1824"/>
      <c r="V143" s="1092"/>
      <c r="W143" s="1824"/>
      <c r="X143" s="1576"/>
      <c r="AC143" s="1824"/>
      <c r="AD143" s="1576"/>
      <c r="AE143" s="1824"/>
      <c r="AF143" s="1092"/>
      <c r="AG143" s="1824"/>
      <c r="AH143" s="1576"/>
      <c r="AI143" s="1824"/>
      <c r="AJ143" s="1092"/>
    </row>
    <row r="144" spans="19:58" x14ac:dyDescent="0.25">
      <c r="S144" s="1824"/>
      <c r="T144" s="1576"/>
      <c r="U144" s="1824"/>
      <c r="V144" s="1092"/>
      <c r="W144" s="1824"/>
      <c r="X144" s="1576"/>
      <c r="AC144" s="1824"/>
      <c r="AD144" s="1576"/>
      <c r="AE144" s="1824"/>
      <c r="AF144" s="1092"/>
      <c r="AG144" s="1824"/>
      <c r="AH144" s="1576"/>
      <c r="AI144" s="1824"/>
      <c r="AJ144" s="1092"/>
    </row>
    <row r="145" spans="19:36" x14ac:dyDescent="0.25">
      <c r="S145" s="1824"/>
      <c r="T145" s="1576"/>
      <c r="U145" s="1824"/>
      <c r="V145" s="1092"/>
      <c r="W145" s="1824"/>
      <c r="X145" s="1576"/>
      <c r="AC145" s="1824"/>
      <c r="AD145" s="1576"/>
      <c r="AE145" s="1824"/>
      <c r="AF145" s="1092"/>
      <c r="AG145" s="1824"/>
      <c r="AH145" s="1576"/>
      <c r="AI145" s="1824"/>
      <c r="AJ145" s="1092"/>
    </row>
    <row r="146" spans="19:36" x14ac:dyDescent="0.25">
      <c r="S146" s="1824"/>
      <c r="T146" s="1576"/>
      <c r="U146" s="1824"/>
      <c r="V146" s="1092"/>
      <c r="W146" s="1824"/>
      <c r="X146" s="1576"/>
      <c r="AC146" s="1824"/>
      <c r="AD146" s="1576"/>
      <c r="AE146" s="1824"/>
      <c r="AF146" s="1092"/>
      <c r="AG146" s="1824"/>
      <c r="AH146" s="1576"/>
      <c r="AI146" s="1824"/>
      <c r="AJ146" s="1092"/>
    </row>
    <row r="147" spans="19:36" x14ac:dyDescent="0.25">
      <c r="S147" s="1824"/>
      <c r="T147" s="1576"/>
      <c r="U147" s="1824"/>
      <c r="V147" s="1092"/>
      <c r="W147" s="1824"/>
      <c r="X147" s="1576"/>
      <c r="AC147" s="1824"/>
      <c r="AD147" s="1576"/>
      <c r="AE147" s="1824"/>
      <c r="AF147" s="1092"/>
    </row>
    <row r="148" spans="19:36" x14ac:dyDescent="0.25">
      <c r="S148" s="1824"/>
      <c r="T148" s="1576"/>
      <c r="U148" s="1824"/>
      <c r="V148" s="1092"/>
      <c r="W148" s="1824"/>
      <c r="X148" s="1576"/>
      <c r="AC148" s="1824"/>
      <c r="AD148" s="1576"/>
      <c r="AE148" s="1824"/>
      <c r="AF148" s="1092"/>
    </row>
    <row r="149" spans="19:36" x14ac:dyDescent="0.25">
      <c r="S149" s="1824"/>
      <c r="T149" s="1576"/>
      <c r="U149" s="1824"/>
      <c r="V149" s="1092"/>
      <c r="W149" s="1824"/>
      <c r="X149" s="1576"/>
      <c r="AC149" s="1824"/>
      <c r="AD149" s="1576"/>
      <c r="AE149" s="1824"/>
      <c r="AF149" s="1092"/>
    </row>
  </sheetData>
  <mergeCells count="30">
    <mergeCell ref="AQ3:AR3"/>
    <mergeCell ref="AS3:AT3"/>
    <mergeCell ref="S3:T3"/>
    <mergeCell ref="U3:V3"/>
    <mergeCell ref="K3:L3"/>
    <mergeCell ref="M3:N3"/>
    <mergeCell ref="O3:P3"/>
    <mergeCell ref="Q3:R3"/>
    <mergeCell ref="AK3:AL3"/>
    <mergeCell ref="AM3:AN3"/>
    <mergeCell ref="AO3:AP3"/>
    <mergeCell ref="W3:X3"/>
    <mergeCell ref="AA3:AB3"/>
    <mergeCell ref="Y3:Z3"/>
    <mergeCell ref="AG3:AH3"/>
    <mergeCell ref="AI3:AJ3"/>
    <mergeCell ref="AC3:AD3"/>
    <mergeCell ref="AE3:AF3"/>
    <mergeCell ref="B3:B4"/>
    <mergeCell ref="C3:C4"/>
    <mergeCell ref="E3:F3"/>
    <mergeCell ref="G3:H3"/>
    <mergeCell ref="I3:J3"/>
    <mergeCell ref="D3:D4"/>
    <mergeCell ref="AY3:AZ3"/>
    <mergeCell ref="BA3:BB3"/>
    <mergeCell ref="BE3:BF3"/>
    <mergeCell ref="BC3:BD3"/>
    <mergeCell ref="AU3:AV3"/>
    <mergeCell ref="AW3:AX3"/>
  </mergeCells>
  <printOptions horizontalCentered="1" verticalCentered="1"/>
  <pageMargins left="0" right="0" top="0" bottom="0" header="0" footer="0"/>
  <pageSetup scale="48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</sheetPr>
  <dimension ref="A1:BJ496"/>
  <sheetViews>
    <sheetView topLeftCell="A19" zoomScale="77" zoomScaleNormal="77" workbookViewId="0">
      <pane xSplit="4" topLeftCell="E1" activePane="topRight" state="frozen"/>
      <selection pane="topRight" activeCell="F48" sqref="F48"/>
    </sheetView>
  </sheetViews>
  <sheetFormatPr defaultColWidth="8.85546875" defaultRowHeight="15" x14ac:dyDescent="0.25"/>
  <cols>
    <col min="2" max="2" width="51.140625" customWidth="1"/>
    <col min="3" max="3" width="15.42578125" customWidth="1"/>
    <col min="4" max="4" width="19.42578125" style="1803" bestFit="1" customWidth="1"/>
    <col min="5" max="5" width="11.7109375" style="189" bestFit="1" customWidth="1"/>
    <col min="6" max="6" width="35.7109375" style="200" customWidth="1"/>
    <col min="7" max="7" width="11.7109375" style="189" bestFit="1" customWidth="1"/>
    <col min="8" max="8" width="35.7109375" style="200" customWidth="1"/>
    <col min="9" max="9" width="11.85546875" style="189" hidden="1" customWidth="1"/>
    <col min="10" max="10" width="46.42578125" style="200" hidden="1" customWidth="1"/>
    <col min="11" max="11" width="11.7109375" style="189" bestFit="1" customWidth="1"/>
    <col min="12" max="12" width="35.7109375" customWidth="1"/>
    <col min="13" max="13" width="11.7109375" style="189" bestFit="1" customWidth="1"/>
    <col min="14" max="14" width="35.7109375" customWidth="1"/>
    <col min="15" max="15" width="11.7109375" style="189" bestFit="1" customWidth="1"/>
    <col min="16" max="16" width="35.7109375" customWidth="1"/>
    <col min="17" max="17" width="13" style="189" hidden="1" customWidth="1"/>
    <col min="18" max="18" width="38.140625" hidden="1" customWidth="1"/>
    <col min="19" max="19" width="11.7109375" bestFit="1" customWidth="1"/>
    <col min="20" max="20" width="35.7109375" customWidth="1"/>
    <col min="21" max="21" width="11.5703125" hidden="1" customWidth="1"/>
    <col min="22" max="22" width="35" hidden="1" customWidth="1"/>
    <col min="23" max="23" width="11.7109375" bestFit="1" customWidth="1"/>
    <col min="24" max="24" width="35.7109375" customWidth="1"/>
    <col min="25" max="25" width="11.7109375" style="1191" bestFit="1" customWidth="1"/>
    <col min="26" max="26" width="35.7109375" style="1191" customWidth="1"/>
    <col min="27" max="27" width="13" bestFit="1" customWidth="1"/>
    <col min="28" max="28" width="35.7109375" customWidth="1"/>
    <col min="29" max="29" width="11.85546875" customWidth="1"/>
    <col min="30" max="30" width="35.7109375" customWidth="1"/>
    <col min="31" max="31" width="13.42578125" hidden="1" customWidth="1"/>
    <col min="32" max="32" width="51.7109375" hidden="1" customWidth="1"/>
    <col min="33" max="33" width="11.7109375" bestFit="1" customWidth="1"/>
    <col min="34" max="34" width="35.7109375" customWidth="1"/>
    <col min="35" max="35" width="13.42578125" hidden="1" customWidth="1"/>
    <col min="36" max="36" width="51.7109375" hidden="1" customWidth="1"/>
    <col min="37" max="37" width="11.7109375" bestFit="1" customWidth="1"/>
    <col min="38" max="38" width="35.7109375" customWidth="1"/>
    <col min="39" max="39" width="11.85546875" customWidth="1"/>
    <col min="40" max="40" width="35.7109375" customWidth="1"/>
    <col min="41" max="41" width="13.42578125" hidden="1" customWidth="1"/>
    <col min="42" max="42" width="51.7109375" hidden="1" customWidth="1"/>
    <col min="43" max="43" width="11.7109375" bestFit="1" customWidth="1"/>
    <col min="44" max="44" width="35.7109375" customWidth="1"/>
    <col min="45" max="45" width="13.42578125" hidden="1" customWidth="1"/>
    <col min="46" max="46" width="51.7109375" hidden="1" customWidth="1"/>
    <col min="47" max="47" width="11.7109375" bestFit="1" customWidth="1"/>
    <col min="48" max="48" width="35.7109375" customWidth="1"/>
    <col min="49" max="49" width="13" hidden="1" customWidth="1"/>
    <col min="50" max="50" width="35.7109375" hidden="1" customWidth="1"/>
    <col min="51" max="51" width="11.7109375" style="1497" bestFit="1" customWidth="1"/>
    <col min="52" max="52" width="35.7109375" style="1497" customWidth="1"/>
    <col min="53" max="53" width="11.7109375" style="4240" bestFit="1" customWidth="1"/>
    <col min="54" max="54" width="35.7109375" style="4240" customWidth="1"/>
    <col min="55" max="55" width="13" style="4240" bestFit="1" customWidth="1"/>
    <col min="56" max="56" width="35.7109375" style="4240" customWidth="1"/>
    <col min="57" max="57" width="13" bestFit="1" customWidth="1"/>
    <col min="58" max="58" width="35.7109375" customWidth="1"/>
  </cols>
  <sheetData>
    <row r="1" spans="1:60" ht="22.5" x14ac:dyDescent="0.3">
      <c r="B1" s="971" t="s">
        <v>294</v>
      </c>
      <c r="C1" s="2567" t="s">
        <v>651</v>
      </c>
      <c r="D1" s="2567"/>
      <c r="E1" s="984"/>
      <c r="F1" s="207"/>
      <c r="G1" s="207"/>
      <c r="H1" s="207"/>
      <c r="I1" s="207"/>
      <c r="J1" s="207"/>
      <c r="K1" s="1136"/>
      <c r="L1" s="1136"/>
      <c r="M1" s="207"/>
      <c r="N1" s="207"/>
      <c r="O1" s="1136"/>
      <c r="P1" s="200"/>
      <c r="Q1" s="207"/>
      <c r="R1" s="207"/>
      <c r="S1" s="27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0"/>
      <c r="AE1" s="200"/>
      <c r="AF1" s="200"/>
      <c r="AG1" s="200"/>
      <c r="AH1" s="200"/>
      <c r="AI1" s="200"/>
      <c r="AJ1" s="200"/>
      <c r="AK1" s="200"/>
      <c r="AL1" s="200"/>
      <c r="AM1" s="200"/>
      <c r="AN1" s="200"/>
      <c r="AO1" s="200"/>
      <c r="AP1" s="200"/>
      <c r="AV1" s="48"/>
      <c r="AZ1" s="48"/>
      <c r="BA1" s="4090"/>
      <c r="BB1" s="4090"/>
      <c r="BC1" s="4090"/>
      <c r="BD1" s="4090"/>
    </row>
    <row r="2" spans="1:60" ht="15.75" thickBot="1" x14ac:dyDescent="0.3">
      <c r="B2" s="106"/>
      <c r="C2" s="2568" t="s">
        <v>652</v>
      </c>
      <c r="D2" s="2569">
        <v>365</v>
      </c>
      <c r="E2" s="207">
        <v>30</v>
      </c>
      <c r="F2" s="207">
        <v>30</v>
      </c>
      <c r="G2" s="207">
        <v>31</v>
      </c>
      <c r="H2" s="207">
        <v>31</v>
      </c>
      <c r="I2" s="207">
        <f>+E2+G2</f>
        <v>61</v>
      </c>
      <c r="J2" s="207">
        <f>+F2+H2</f>
        <v>61</v>
      </c>
      <c r="K2" s="207">
        <v>30</v>
      </c>
      <c r="L2" s="207">
        <v>30</v>
      </c>
      <c r="M2" s="207">
        <f>+I2+K2</f>
        <v>91</v>
      </c>
      <c r="N2" s="207">
        <f>+J2+L2</f>
        <v>91</v>
      </c>
      <c r="O2" s="207">
        <v>31</v>
      </c>
      <c r="P2" s="207">
        <v>31</v>
      </c>
      <c r="Q2" s="207">
        <f>+M2+O2</f>
        <v>122</v>
      </c>
      <c r="R2" s="207">
        <f>+N2+P2</f>
        <v>122</v>
      </c>
      <c r="S2" s="207">
        <v>31</v>
      </c>
      <c r="T2" s="207">
        <v>31</v>
      </c>
      <c r="U2" s="207">
        <f>+Q2+S2</f>
        <v>153</v>
      </c>
      <c r="V2" s="207">
        <f>+R2+T2</f>
        <v>153</v>
      </c>
      <c r="W2" s="207">
        <v>30</v>
      </c>
      <c r="X2" s="207">
        <v>30</v>
      </c>
      <c r="Y2" s="207">
        <f>+U2+W2</f>
        <v>183</v>
      </c>
      <c r="Z2" s="207">
        <f>+V2+X2</f>
        <v>183</v>
      </c>
      <c r="AA2" s="207">
        <f>+U2+W2</f>
        <v>183</v>
      </c>
      <c r="AB2" s="207">
        <f>+V2+X2</f>
        <v>183</v>
      </c>
      <c r="AC2" s="207">
        <v>31</v>
      </c>
      <c r="AD2" s="207">
        <v>31</v>
      </c>
      <c r="AE2" s="207">
        <f>+AA2+AC2</f>
        <v>214</v>
      </c>
      <c r="AF2" s="207">
        <f>+AB2+AD2</f>
        <v>214</v>
      </c>
      <c r="AG2" s="207">
        <v>30</v>
      </c>
      <c r="AH2" s="207">
        <v>30</v>
      </c>
      <c r="AI2" s="207">
        <f>+AE2+AG2</f>
        <v>244</v>
      </c>
      <c r="AJ2" s="207">
        <f>+AF2+AH2</f>
        <v>244</v>
      </c>
      <c r="AK2" s="207">
        <v>31</v>
      </c>
      <c r="AL2" s="207">
        <v>31</v>
      </c>
      <c r="AM2" s="207">
        <f>+AC2+AG2+AK2</f>
        <v>92</v>
      </c>
      <c r="AN2" s="207">
        <f>+AD2+AH2+AL2</f>
        <v>92</v>
      </c>
      <c r="AO2" s="207">
        <f>+AI2+AK2</f>
        <v>275</v>
      </c>
      <c r="AP2" s="207">
        <f>+AJ2+AL2</f>
        <v>275</v>
      </c>
      <c r="AQ2" s="252">
        <v>31</v>
      </c>
      <c r="AR2" s="69">
        <v>31</v>
      </c>
      <c r="AS2" s="252">
        <f>+AO2+AQ2</f>
        <v>306</v>
      </c>
      <c r="AT2" s="69">
        <f>+AP2+AR2</f>
        <v>306</v>
      </c>
      <c r="AU2">
        <v>28</v>
      </c>
      <c r="AV2">
        <v>28</v>
      </c>
      <c r="AW2">
        <f>+AS2+AU2</f>
        <v>334</v>
      </c>
      <c r="AX2">
        <f>+AT2+AV2</f>
        <v>334</v>
      </c>
      <c r="AY2" s="1497">
        <v>31</v>
      </c>
      <c r="AZ2" s="1497">
        <v>31</v>
      </c>
      <c r="BA2" s="207">
        <f>+AQ2+AU2+AY2</f>
        <v>90</v>
      </c>
      <c r="BB2" s="207">
        <f>+AR2+AV2+AZ2</f>
        <v>90</v>
      </c>
      <c r="BC2" s="4240">
        <f>+AM2+BA2</f>
        <v>182</v>
      </c>
      <c r="BD2" s="4240">
        <f>+AN2+BB2</f>
        <v>182</v>
      </c>
      <c r="BE2" s="4240">
        <f>+AW2+AY2</f>
        <v>365</v>
      </c>
      <c r="BF2" s="4240">
        <f>+AX2+AZ2</f>
        <v>365</v>
      </c>
    </row>
    <row r="3" spans="1:60" ht="20.100000000000001" customHeight="1" thickBot="1" x14ac:dyDescent="0.3">
      <c r="B3" s="4937" t="s">
        <v>197</v>
      </c>
      <c r="C3" s="4939" t="s">
        <v>198</v>
      </c>
      <c r="D3" s="4949" t="s">
        <v>1572</v>
      </c>
      <c r="E3" s="4929" t="s">
        <v>1323</v>
      </c>
      <c r="F3" s="4930"/>
      <c r="G3" s="4929" t="s">
        <v>1384</v>
      </c>
      <c r="H3" s="4929"/>
      <c r="I3" s="5015" t="s">
        <v>15</v>
      </c>
      <c r="J3" s="5016"/>
      <c r="K3" s="5060" t="s">
        <v>1397</v>
      </c>
      <c r="L3" s="5061"/>
      <c r="M3" s="4924" t="s">
        <v>741</v>
      </c>
      <c r="N3" s="5014"/>
      <c r="O3" s="5194" t="s">
        <v>1436</v>
      </c>
      <c r="P3" s="5194"/>
      <c r="Q3" s="5015" t="s">
        <v>18</v>
      </c>
      <c r="R3" s="5016"/>
      <c r="S3" s="5194" t="s">
        <v>1496</v>
      </c>
      <c r="T3" s="5194"/>
      <c r="U3" s="5015" t="s">
        <v>19</v>
      </c>
      <c r="V3" s="5016"/>
      <c r="W3" s="5194" t="s">
        <v>1573</v>
      </c>
      <c r="X3" s="5194"/>
      <c r="Y3" s="5013" t="s">
        <v>788</v>
      </c>
      <c r="Z3" s="5014"/>
      <c r="AA3" s="4926" t="s">
        <v>784</v>
      </c>
      <c r="AB3" s="4981"/>
      <c r="AC3" s="4929" t="s">
        <v>1634</v>
      </c>
      <c r="AD3" s="4929"/>
      <c r="AE3" s="5015" t="s">
        <v>26</v>
      </c>
      <c r="AF3" s="5016"/>
      <c r="AG3" s="5194" t="s">
        <v>1671</v>
      </c>
      <c r="AH3" s="5194"/>
      <c r="AI3" s="5015" t="s">
        <v>29</v>
      </c>
      <c r="AJ3" s="5016"/>
      <c r="AK3" s="5194" t="s">
        <v>1696</v>
      </c>
      <c r="AL3" s="5194"/>
      <c r="AM3" s="5013" t="s">
        <v>799</v>
      </c>
      <c r="AN3" s="5014"/>
      <c r="AO3" s="5015" t="s">
        <v>30</v>
      </c>
      <c r="AP3" s="5016"/>
      <c r="AQ3" s="5194" t="s">
        <v>1760</v>
      </c>
      <c r="AR3" s="5194"/>
      <c r="AS3" s="5015" t="s">
        <v>31</v>
      </c>
      <c r="AT3" s="5016"/>
      <c r="AU3" s="5194" t="s">
        <v>1812</v>
      </c>
      <c r="AV3" s="5194"/>
      <c r="AW3" s="5015" t="s">
        <v>33</v>
      </c>
      <c r="AX3" s="5016"/>
      <c r="AY3" s="5194" t="s">
        <v>1844</v>
      </c>
      <c r="AZ3" s="5194"/>
      <c r="BA3" s="5013" t="s">
        <v>800</v>
      </c>
      <c r="BB3" s="5014"/>
      <c r="BC3" s="4926" t="s">
        <v>817</v>
      </c>
      <c r="BD3" s="4981"/>
      <c r="BE3" s="5015" t="s">
        <v>1314</v>
      </c>
      <c r="BF3" s="5016"/>
    </row>
    <row r="4" spans="1:60" ht="20.100000000000001" customHeight="1" thickBot="1" x14ac:dyDescent="0.3">
      <c r="B4" s="5057"/>
      <c r="C4" s="5216"/>
      <c r="D4" s="4950"/>
      <c r="E4" s="3518" t="s">
        <v>199</v>
      </c>
      <c r="F4" s="485" t="s">
        <v>200</v>
      </c>
      <c r="G4" s="3518" t="s">
        <v>199</v>
      </c>
      <c r="H4" s="506" t="s">
        <v>200</v>
      </c>
      <c r="I4" s="3554" t="s">
        <v>199</v>
      </c>
      <c r="J4" s="513" t="s">
        <v>200</v>
      </c>
      <c r="K4" s="3518" t="s">
        <v>199</v>
      </c>
      <c r="L4" s="506" t="s">
        <v>200</v>
      </c>
      <c r="M4" s="3531" t="s">
        <v>199</v>
      </c>
      <c r="N4" s="1303" t="s">
        <v>200</v>
      </c>
      <c r="O4" s="993" t="s">
        <v>199</v>
      </c>
      <c r="P4" s="994" t="s">
        <v>200</v>
      </c>
      <c r="Q4" s="3554" t="s">
        <v>199</v>
      </c>
      <c r="R4" s="513" t="s">
        <v>200</v>
      </c>
      <c r="S4" s="993" t="s">
        <v>199</v>
      </c>
      <c r="T4" s="994" t="s">
        <v>200</v>
      </c>
      <c r="U4" s="3554" t="s">
        <v>199</v>
      </c>
      <c r="V4" s="513" t="s">
        <v>200</v>
      </c>
      <c r="W4" s="993" t="s">
        <v>199</v>
      </c>
      <c r="X4" s="1229" t="s">
        <v>200</v>
      </c>
      <c r="Y4" s="3535" t="s">
        <v>199</v>
      </c>
      <c r="Z4" s="1303" t="s">
        <v>200</v>
      </c>
      <c r="AA4" s="3556" t="s">
        <v>199</v>
      </c>
      <c r="AB4" s="1197" t="s">
        <v>200</v>
      </c>
      <c r="AC4" s="993" t="s">
        <v>199</v>
      </c>
      <c r="AD4" s="994" t="s">
        <v>200</v>
      </c>
      <c r="AE4" s="3554" t="s">
        <v>199</v>
      </c>
      <c r="AF4" s="513" t="s">
        <v>200</v>
      </c>
      <c r="AG4" s="993" t="s">
        <v>199</v>
      </c>
      <c r="AH4" s="994" t="s">
        <v>200</v>
      </c>
      <c r="AI4" s="3554" t="s">
        <v>199</v>
      </c>
      <c r="AJ4" s="513" t="s">
        <v>200</v>
      </c>
      <c r="AK4" s="993" t="s">
        <v>199</v>
      </c>
      <c r="AL4" s="1229" t="s">
        <v>200</v>
      </c>
      <c r="AM4" s="3535" t="s">
        <v>199</v>
      </c>
      <c r="AN4" s="1303" t="s">
        <v>200</v>
      </c>
      <c r="AO4" s="3554" t="s">
        <v>199</v>
      </c>
      <c r="AP4" s="513" t="s">
        <v>200</v>
      </c>
      <c r="AQ4" s="993" t="s">
        <v>199</v>
      </c>
      <c r="AR4" s="1229" t="s">
        <v>200</v>
      </c>
      <c r="AS4" s="3554" t="s">
        <v>199</v>
      </c>
      <c r="AT4" s="513" t="s">
        <v>200</v>
      </c>
      <c r="AU4" s="993" t="s">
        <v>199</v>
      </c>
      <c r="AV4" s="1229" t="s">
        <v>200</v>
      </c>
      <c r="AW4" s="1491" t="s">
        <v>199</v>
      </c>
      <c r="AX4" s="513" t="s">
        <v>200</v>
      </c>
      <c r="AY4" s="993" t="s">
        <v>199</v>
      </c>
      <c r="AZ4" s="1229" t="s">
        <v>200</v>
      </c>
      <c r="BA4" s="4252" t="s">
        <v>199</v>
      </c>
      <c r="BB4" s="1303" t="s">
        <v>200</v>
      </c>
      <c r="BC4" s="4239" t="s">
        <v>199</v>
      </c>
      <c r="BD4" s="1197" t="s">
        <v>200</v>
      </c>
      <c r="BE4" s="3554" t="s">
        <v>199</v>
      </c>
      <c r="BF4" s="513" t="s">
        <v>200</v>
      </c>
    </row>
    <row r="5" spans="1:60" s="334" customFormat="1" ht="20.100000000000001" customHeight="1" thickBot="1" x14ac:dyDescent="0.3">
      <c r="B5" s="2146" t="s">
        <v>300</v>
      </c>
      <c r="C5" s="3695" t="s">
        <v>53</v>
      </c>
      <c r="D5" s="649">
        <v>2451737.5305164321</v>
      </c>
      <c r="E5" s="2118">
        <f>+'Maj Production Summ'!E18</f>
        <v>93897</v>
      </c>
      <c r="F5" s="2118">
        <f>+'Maj Production Summ'!F18</f>
        <v>99859</v>
      </c>
      <c r="G5" s="2118">
        <f>+'Maj Production Summ'!G18</f>
        <v>97183</v>
      </c>
      <c r="H5" s="2118">
        <f>+'Maj Production Summ'!H18</f>
        <v>79982</v>
      </c>
      <c r="I5" s="2118">
        <f>+'Maj Production Summ'!I18</f>
        <v>191080</v>
      </c>
      <c r="J5" s="2118">
        <f>+'Maj Production Summ'!J18</f>
        <v>179841</v>
      </c>
      <c r="K5" s="2118">
        <f>+'Maj Production Summ'!K18</f>
        <v>222369</v>
      </c>
      <c r="L5" s="2118">
        <f>+'Maj Production Summ'!L18</f>
        <v>195203</v>
      </c>
      <c r="M5" s="2118">
        <f>+'Maj Production Summ'!M18</f>
        <v>413449</v>
      </c>
      <c r="N5" s="2118">
        <f>+'Maj Production Summ'!N18</f>
        <v>375044</v>
      </c>
      <c r="O5" s="2118">
        <f>+'Maj Production Summ'!O18</f>
        <v>229931.92488262913</v>
      </c>
      <c r="P5" s="2118">
        <f>+'Maj Production Summ'!P18</f>
        <v>188123</v>
      </c>
      <c r="Q5" s="2118">
        <f>+'Maj Production Summ'!Q18</f>
        <v>643380.92488262919</v>
      </c>
      <c r="R5" s="2118">
        <f>+'Maj Production Summ'!R18</f>
        <v>563167</v>
      </c>
      <c r="S5" s="2118">
        <f>+'Maj Production Summ'!S18</f>
        <v>230119.71830985916</v>
      </c>
      <c r="T5" s="2118">
        <f>+'Maj Production Summ'!T18</f>
        <v>204220</v>
      </c>
      <c r="U5" s="2118">
        <f>+'Maj Production Summ'!U18</f>
        <v>873500.64319248835</v>
      </c>
      <c r="V5" s="2118">
        <f>+'Maj Production Summ'!V18</f>
        <v>767387</v>
      </c>
      <c r="W5" s="2118">
        <f>+'Maj Production Summ'!W18</f>
        <v>223802.81690140846</v>
      </c>
      <c r="X5" s="2118">
        <f>+'Maj Production Summ'!X18</f>
        <v>198425</v>
      </c>
      <c r="Y5" s="2118">
        <f>+'Maj Production Summ'!Y18</f>
        <v>683854.46009389672</v>
      </c>
      <c r="Z5" s="2118">
        <f>+'Maj Production Summ'!Z18</f>
        <v>590768</v>
      </c>
      <c r="AA5" s="2118">
        <f>+'Maj Production Summ'!AA18</f>
        <v>1097303.4600938968</v>
      </c>
      <c r="AB5" s="2118">
        <f>+'Maj Production Summ'!AB18</f>
        <v>965812</v>
      </c>
      <c r="AC5" s="2118">
        <f>+'Maj Production Summ'!AC18</f>
        <v>231408.45070422534</v>
      </c>
      <c r="AD5" s="2118">
        <f>+'Maj Production Summ'!AD18</f>
        <v>211320</v>
      </c>
      <c r="AE5" s="2118">
        <f>+'Maj Production Summ'!AE18</f>
        <v>1328711.9107981222</v>
      </c>
      <c r="AF5" s="2118">
        <f>+'Maj Production Summ'!AF18</f>
        <v>1177132</v>
      </c>
      <c r="AG5" s="2118">
        <f>+'Maj Production Summ'!AG18</f>
        <v>223802.81690140846</v>
      </c>
      <c r="AH5" s="2118">
        <f>+'Maj Production Summ'!AH18</f>
        <v>194791</v>
      </c>
      <c r="AI5" s="2118">
        <f>+'Maj Production Summ'!AI18</f>
        <v>1552514.7276995305</v>
      </c>
      <c r="AJ5" s="2118">
        <f>+'Maj Production Summ'!AJ18</f>
        <v>1371923</v>
      </c>
      <c r="AK5" s="2118">
        <f>+'Maj Production Summ'!AK18</f>
        <v>231408</v>
      </c>
      <c r="AL5" s="2118">
        <f>+'Maj Production Summ'!AL18</f>
        <v>216681</v>
      </c>
      <c r="AM5" s="2118">
        <f>+'Maj Production Summ'!AM18</f>
        <v>686619.26760563382</v>
      </c>
      <c r="AN5" s="2118">
        <f>+'Maj Production Summ'!AN18</f>
        <v>622792</v>
      </c>
      <c r="AO5" s="2118">
        <f>+'Maj Production Summ'!AO18</f>
        <v>1783922.7276995305</v>
      </c>
      <c r="AP5" s="2118">
        <f>+'Maj Production Summ'!AP18</f>
        <v>1588604</v>
      </c>
      <c r="AQ5" s="2118">
        <f>+'Maj Production Summ'!AQ18</f>
        <v>231408.45070422534</v>
      </c>
      <c r="AR5" s="2118">
        <f>+'Maj Production Summ'!AR18</f>
        <v>221653</v>
      </c>
      <c r="AS5" s="2118">
        <f>+'Maj Production Summ'!AS18</f>
        <v>2015331.1784037559</v>
      </c>
      <c r="AT5" s="2118">
        <f>+'Maj Production Summ'!AT18</f>
        <v>1810257</v>
      </c>
      <c r="AU5" s="2118">
        <f>+'Maj Production Summ'!AU18</f>
        <v>204998.0938967136</v>
      </c>
      <c r="AV5" s="2118">
        <f>+'Maj Production Summ'!AV18</f>
        <v>197600</v>
      </c>
      <c r="AW5" s="2118">
        <f>+'Maj Production Summ'!AW18</f>
        <v>2220329.2723004697</v>
      </c>
      <c r="AX5" s="2118">
        <f>+'Maj Production Summ'!AX18</f>
        <v>2007857</v>
      </c>
      <c r="AY5" s="2118">
        <f>+'Maj Production Summ'!AY18</f>
        <v>231408.45070422534</v>
      </c>
      <c r="AZ5" s="2118">
        <f>+'Maj Production Summ'!AZ18</f>
        <v>220010</v>
      </c>
      <c r="BA5" s="2118">
        <f>+'Maj Production Summ'!BA18</f>
        <v>667814.99530516425</v>
      </c>
      <c r="BB5" s="2118">
        <f>+'Maj Production Summ'!BB18</f>
        <v>639263</v>
      </c>
      <c r="BC5" s="2118">
        <f>+'Maj Production Summ'!BC18</f>
        <v>1354434.2629107982</v>
      </c>
      <c r="BD5" s="2118">
        <f>+'Maj Production Summ'!BD18</f>
        <v>1262055</v>
      </c>
      <c r="BE5" s="2118">
        <f>+'Maj Production Summ'!BE18</f>
        <v>2451737.723004695</v>
      </c>
      <c r="BF5" s="2118">
        <f>+'Maj Production Summ'!BF18</f>
        <v>2227867</v>
      </c>
    </row>
    <row r="6" spans="1:60" s="334" customFormat="1" ht="20.100000000000001" customHeight="1" x14ac:dyDescent="0.25">
      <c r="B6" s="688" t="s">
        <v>544</v>
      </c>
      <c r="C6" s="693"/>
      <c r="D6" s="693"/>
      <c r="E6" s="693"/>
      <c r="F6" s="622"/>
      <c r="G6" s="693"/>
      <c r="H6" s="622"/>
      <c r="I6" s="693"/>
      <c r="J6" s="622"/>
      <c r="K6" s="693"/>
      <c r="L6" s="622"/>
      <c r="M6" s="693"/>
      <c r="N6" s="622"/>
      <c r="O6" s="693"/>
      <c r="P6" s="622"/>
      <c r="Q6" s="693"/>
      <c r="R6" s="622"/>
      <c r="S6" s="693"/>
      <c r="T6" s="622"/>
      <c r="U6" s="693"/>
      <c r="V6" s="622"/>
      <c r="W6" s="693"/>
      <c r="X6" s="622"/>
      <c r="Y6" s="693"/>
      <c r="Z6" s="622"/>
      <c r="AA6" s="693"/>
      <c r="AB6" s="622"/>
      <c r="AC6" s="693"/>
      <c r="AD6" s="622"/>
      <c r="AE6" s="693"/>
      <c r="AF6" s="622"/>
      <c r="AG6" s="693"/>
      <c r="AH6" s="622"/>
      <c r="AI6" s="693"/>
      <c r="AJ6" s="622"/>
      <c r="AK6" s="693"/>
      <c r="AL6" s="622"/>
      <c r="AM6" s="693"/>
      <c r="AN6" s="622"/>
      <c r="AO6" s="693"/>
      <c r="AP6" s="622"/>
      <c r="AQ6" s="693"/>
      <c r="AR6" s="622"/>
      <c r="AS6" s="693"/>
      <c r="AT6" s="622"/>
      <c r="AU6" s="693"/>
      <c r="AV6" s="622"/>
      <c r="AW6" s="693"/>
      <c r="AX6" s="622"/>
      <c r="AY6" s="693"/>
      <c r="AZ6" s="622"/>
      <c r="BA6" s="693"/>
      <c r="BB6" s="622"/>
      <c r="BC6" s="693"/>
      <c r="BD6" s="622"/>
      <c r="BE6" s="693"/>
      <c r="BF6" s="622"/>
    </row>
    <row r="7" spans="1:60" ht="20.100000000000001" customHeight="1" x14ac:dyDescent="0.25">
      <c r="A7" s="5211" t="s">
        <v>515</v>
      </c>
      <c r="B7" s="597" t="s">
        <v>295</v>
      </c>
      <c r="C7" s="2572" t="s">
        <v>201</v>
      </c>
      <c r="D7" s="5195">
        <f>+(D5/D51)</f>
        <v>16344.916870109548</v>
      </c>
      <c r="E7" s="5195">
        <f>+(E5/E51)</f>
        <v>625.98</v>
      </c>
      <c r="F7" s="486">
        <v>330</v>
      </c>
      <c r="G7" s="5195">
        <f>+(G5/G51)</f>
        <v>647.88666666666666</v>
      </c>
      <c r="H7" s="996">
        <v>231</v>
      </c>
      <c r="I7" s="5020">
        <f>+(I5/I51)</f>
        <v>1273.8666666666666</v>
      </c>
      <c r="J7" s="827">
        <f>+F7+H7</f>
        <v>561</v>
      </c>
      <c r="K7" s="5195">
        <f>+(K5/K51)</f>
        <v>1482.46</v>
      </c>
      <c r="L7" s="486">
        <v>318</v>
      </c>
      <c r="M7" s="5017">
        <f>+(M5/M51)</f>
        <v>2756.3266666666664</v>
      </c>
      <c r="N7" s="1006">
        <f>+J7+L7</f>
        <v>879</v>
      </c>
      <c r="O7" s="5195">
        <f>+(O5/O51)</f>
        <v>1532.8794992175276</v>
      </c>
      <c r="P7" s="996">
        <v>352</v>
      </c>
      <c r="Q7" s="5020">
        <f>+(Q5/Q51)</f>
        <v>4289.206165884194</v>
      </c>
      <c r="R7" s="827">
        <f>+N7+P7</f>
        <v>1231</v>
      </c>
      <c r="S7" s="5195">
        <f>+(S5/S51)</f>
        <v>1534.131455399061</v>
      </c>
      <c r="T7" s="996">
        <v>553</v>
      </c>
      <c r="U7" s="5020">
        <f>+(U5/U51)</f>
        <v>5823.3376212832554</v>
      </c>
      <c r="V7" s="827">
        <f>+R7+T7</f>
        <v>1784</v>
      </c>
      <c r="W7" s="5195">
        <f>+(W5/W51)</f>
        <v>1492.0187793427231</v>
      </c>
      <c r="X7" s="996">
        <v>370</v>
      </c>
      <c r="Y7" s="5017">
        <f>+(Y5/Y51)</f>
        <v>4559.0297339593108</v>
      </c>
      <c r="Z7" s="1006">
        <f>+P7+T7+X7</f>
        <v>1275</v>
      </c>
      <c r="AA7" s="4982">
        <f>+(AA5/AA51)</f>
        <v>7315.3564006259785</v>
      </c>
      <c r="AB7" s="1199">
        <f>+V7+X7</f>
        <v>2154</v>
      </c>
      <c r="AC7" s="5195">
        <f>+(AC5/AC51)</f>
        <v>1542.7230046948355</v>
      </c>
      <c r="AD7" s="996">
        <v>314</v>
      </c>
      <c r="AE7" s="5020">
        <f>+(AE5/AE51)</f>
        <v>8858.0794053208137</v>
      </c>
      <c r="AF7" s="827">
        <f>+AB7+AD7</f>
        <v>2468</v>
      </c>
      <c r="AG7" s="5195">
        <f>+(AG5/AG51)</f>
        <v>1492.0187793427231</v>
      </c>
      <c r="AH7" s="996">
        <v>474</v>
      </c>
      <c r="AI7" s="5020">
        <f>+(AI5/AI51)</f>
        <v>10350.098184663537</v>
      </c>
      <c r="AJ7" s="827">
        <f>+AF7+AH7</f>
        <v>2942</v>
      </c>
      <c r="AK7" s="5195">
        <f>+(AK5/AK51)</f>
        <v>1542.72</v>
      </c>
      <c r="AL7" s="996">
        <v>512</v>
      </c>
      <c r="AM7" s="5017">
        <f>+(AM5/AM51)</f>
        <v>4577.4617840375586</v>
      </c>
      <c r="AN7" s="1006">
        <f>+AD7+AH7+AL7</f>
        <v>1300</v>
      </c>
      <c r="AO7" s="5020">
        <f>+(AO5/AO51)</f>
        <v>11892.818184663536</v>
      </c>
      <c r="AP7" s="827">
        <f>+AJ7+AL7</f>
        <v>3454</v>
      </c>
      <c r="AQ7" s="5195">
        <f>+(AQ5/AQ51)</f>
        <v>1542.7230046948355</v>
      </c>
      <c r="AR7" s="996">
        <v>578</v>
      </c>
      <c r="AS7" s="5020">
        <f>+(AS5/AS51)</f>
        <v>13435.541189358373</v>
      </c>
      <c r="AT7" s="827">
        <f>+AP7+AR7</f>
        <v>4032</v>
      </c>
      <c r="AU7" s="5195">
        <f>+(AU5/AU51)</f>
        <v>1366.6539593114239</v>
      </c>
      <c r="AV7" s="996">
        <v>486</v>
      </c>
      <c r="AW7" s="5020">
        <f>+(AW5/AW51)</f>
        <v>14802.195148669798</v>
      </c>
      <c r="AX7" s="827">
        <f>+AT7+AV7</f>
        <v>4518</v>
      </c>
      <c r="AY7" s="5195">
        <f>+(AY5/AY51)</f>
        <v>1542.7230046948355</v>
      </c>
      <c r="AZ7" s="996">
        <v>467</v>
      </c>
      <c r="BA7" s="5017">
        <f>+(BA5/BA51)</f>
        <v>4452.0999687010953</v>
      </c>
      <c r="BB7" s="1006">
        <f>+AR7+AV7+AZ7</f>
        <v>1531</v>
      </c>
      <c r="BC7" s="4982">
        <f>+(BC5/BC51)</f>
        <v>9029.5617527386548</v>
      </c>
      <c r="BD7" s="1199">
        <f>+AN7+BB7</f>
        <v>2831</v>
      </c>
      <c r="BE7" s="5020">
        <f>+(BE5/BE51)</f>
        <v>16344.918153364633</v>
      </c>
      <c r="BF7" s="827">
        <f>+AX7+AZ7</f>
        <v>4985</v>
      </c>
    </row>
    <row r="8" spans="1:60" ht="20.100000000000001" customHeight="1" x14ac:dyDescent="0.25">
      <c r="A8" s="5211"/>
      <c r="B8" s="597" t="s">
        <v>296</v>
      </c>
      <c r="C8" s="2572" t="s">
        <v>201</v>
      </c>
      <c r="D8" s="5196"/>
      <c r="E8" s="5196"/>
      <c r="F8" s="486">
        <v>47</v>
      </c>
      <c r="G8" s="5196"/>
      <c r="H8" s="486">
        <v>150</v>
      </c>
      <c r="I8" s="5021"/>
      <c r="J8" s="827">
        <f t="shared" ref="J8:J9" si="0">+F8+H8</f>
        <v>197</v>
      </c>
      <c r="K8" s="5196"/>
      <c r="L8" s="486">
        <v>449</v>
      </c>
      <c r="M8" s="5018"/>
      <c r="N8" s="1006">
        <f t="shared" ref="N8:N9" si="1">+J8+L8</f>
        <v>646</v>
      </c>
      <c r="O8" s="5196"/>
      <c r="P8" s="996">
        <v>418</v>
      </c>
      <c r="Q8" s="5021"/>
      <c r="R8" s="827">
        <f t="shared" ref="R8:R9" si="2">+N8+P8</f>
        <v>1064</v>
      </c>
      <c r="S8" s="5196"/>
      <c r="T8" s="996">
        <v>300</v>
      </c>
      <c r="U8" s="5021"/>
      <c r="V8" s="827">
        <f t="shared" ref="V8:V9" si="3">+R8+T8</f>
        <v>1364</v>
      </c>
      <c r="W8" s="5196"/>
      <c r="X8" s="996">
        <v>514</v>
      </c>
      <c r="Y8" s="5018"/>
      <c r="Z8" s="1006">
        <f>+P8+T8+X8</f>
        <v>1232</v>
      </c>
      <c r="AA8" s="4983"/>
      <c r="AB8" s="1199">
        <f>+V8+X8</f>
        <v>1878</v>
      </c>
      <c r="AC8" s="5196"/>
      <c r="AD8" s="996">
        <v>605</v>
      </c>
      <c r="AE8" s="5021"/>
      <c r="AF8" s="827">
        <f t="shared" ref="AF8:AF9" si="4">+AB8+AD8</f>
        <v>2483</v>
      </c>
      <c r="AG8" s="5196"/>
      <c r="AH8" s="996">
        <v>416</v>
      </c>
      <c r="AI8" s="5021"/>
      <c r="AJ8" s="827">
        <f t="shared" ref="AJ8:AJ9" si="5">+AF8+AH8</f>
        <v>2899</v>
      </c>
      <c r="AK8" s="5196"/>
      <c r="AL8" s="996">
        <v>478</v>
      </c>
      <c r="AM8" s="5018"/>
      <c r="AN8" s="1006">
        <f>+AD8+AH8+AL8</f>
        <v>1499</v>
      </c>
      <c r="AO8" s="5021"/>
      <c r="AP8" s="827">
        <f t="shared" ref="AP8:AP9" si="6">+AJ8+AL8</f>
        <v>3377</v>
      </c>
      <c r="AQ8" s="5196"/>
      <c r="AR8" s="996">
        <v>538</v>
      </c>
      <c r="AS8" s="5021"/>
      <c r="AT8" s="827">
        <f t="shared" ref="AT8:AT9" si="7">+AP8+AR8</f>
        <v>3915</v>
      </c>
      <c r="AU8" s="5196"/>
      <c r="AV8" s="996">
        <v>478</v>
      </c>
      <c r="AW8" s="5021"/>
      <c r="AX8" s="827">
        <f t="shared" ref="AX8:AX9" si="8">+AT8+AV8</f>
        <v>4393</v>
      </c>
      <c r="AY8" s="5196"/>
      <c r="AZ8" s="996">
        <v>457</v>
      </c>
      <c r="BA8" s="5018"/>
      <c r="BB8" s="1006">
        <f>+AR8+AV8+AZ8</f>
        <v>1473</v>
      </c>
      <c r="BC8" s="4983"/>
      <c r="BD8" s="1199">
        <f>+AN8+BB8</f>
        <v>2972</v>
      </c>
      <c r="BE8" s="5021"/>
      <c r="BF8" s="827">
        <f t="shared" ref="BF8:BF9" si="9">+AX8+AZ8</f>
        <v>4850</v>
      </c>
    </row>
    <row r="9" spans="1:60" ht="20.100000000000001" customHeight="1" thickBot="1" x14ac:dyDescent="0.3">
      <c r="A9" s="5211"/>
      <c r="B9" s="598" t="s">
        <v>297</v>
      </c>
      <c r="C9" s="2573" t="s">
        <v>201</v>
      </c>
      <c r="D9" s="5196"/>
      <c r="E9" s="5196"/>
      <c r="F9" s="486">
        <v>277</v>
      </c>
      <c r="G9" s="5196"/>
      <c r="H9" s="486">
        <v>150</v>
      </c>
      <c r="I9" s="5021"/>
      <c r="J9" s="827">
        <f t="shared" si="0"/>
        <v>427</v>
      </c>
      <c r="K9" s="5196"/>
      <c r="L9" s="486">
        <v>507</v>
      </c>
      <c r="M9" s="5018"/>
      <c r="N9" s="1006">
        <f t="shared" si="1"/>
        <v>934</v>
      </c>
      <c r="O9" s="5196"/>
      <c r="P9" s="996">
        <v>470</v>
      </c>
      <c r="Q9" s="5021"/>
      <c r="R9" s="827">
        <f t="shared" si="2"/>
        <v>1404</v>
      </c>
      <c r="S9" s="5196"/>
      <c r="T9" s="996">
        <v>498</v>
      </c>
      <c r="U9" s="5021"/>
      <c r="V9" s="827">
        <f t="shared" si="3"/>
        <v>1902</v>
      </c>
      <c r="W9" s="5196"/>
      <c r="X9" s="996">
        <v>426</v>
      </c>
      <c r="Y9" s="5018"/>
      <c r="Z9" s="1006">
        <f t="shared" ref="Z9:Z14" si="10">+P9+T9+X9</f>
        <v>1394</v>
      </c>
      <c r="AA9" s="4983"/>
      <c r="AB9" s="1199">
        <f t="shared" ref="AB9" si="11">+V9+X9</f>
        <v>2328</v>
      </c>
      <c r="AC9" s="5196"/>
      <c r="AD9" s="996">
        <v>478</v>
      </c>
      <c r="AE9" s="5021"/>
      <c r="AF9" s="827">
        <f t="shared" si="4"/>
        <v>2806</v>
      </c>
      <c r="AG9" s="5196"/>
      <c r="AH9" s="996">
        <v>403</v>
      </c>
      <c r="AI9" s="5021"/>
      <c r="AJ9" s="827">
        <f t="shared" si="5"/>
        <v>3209</v>
      </c>
      <c r="AK9" s="5196"/>
      <c r="AL9" s="996">
        <v>453</v>
      </c>
      <c r="AM9" s="5018"/>
      <c r="AN9" s="1006">
        <f t="shared" ref="AN9" si="12">+AD9+AH9+AL9</f>
        <v>1334</v>
      </c>
      <c r="AO9" s="5021"/>
      <c r="AP9" s="827">
        <f t="shared" si="6"/>
        <v>3662</v>
      </c>
      <c r="AQ9" s="5196"/>
      <c r="AR9" s="996">
        <v>341</v>
      </c>
      <c r="AS9" s="5021"/>
      <c r="AT9" s="827">
        <f t="shared" si="7"/>
        <v>4003</v>
      </c>
      <c r="AU9" s="5196"/>
      <c r="AV9" s="996">
        <v>327</v>
      </c>
      <c r="AW9" s="5021"/>
      <c r="AX9" s="827">
        <f t="shared" si="8"/>
        <v>4330</v>
      </c>
      <c r="AY9" s="5196"/>
      <c r="AZ9" s="996">
        <v>539</v>
      </c>
      <c r="BA9" s="5018"/>
      <c r="BB9" s="1006">
        <f t="shared" ref="BB9" si="13">+AR9+AV9+AZ9</f>
        <v>1207</v>
      </c>
      <c r="BC9" s="4983"/>
      <c r="BD9" s="1199">
        <f>+AN9+BB9</f>
        <v>2541</v>
      </c>
      <c r="BE9" s="5021"/>
      <c r="BF9" s="827">
        <f t="shared" si="9"/>
        <v>4869</v>
      </c>
    </row>
    <row r="10" spans="1:60" ht="20.100000000000001" customHeight="1" thickBot="1" x14ac:dyDescent="0.3">
      <c r="A10" s="5211"/>
      <c r="B10" s="599" t="s">
        <v>298</v>
      </c>
      <c r="C10" s="2571" t="s">
        <v>201</v>
      </c>
      <c r="D10" s="5197"/>
      <c r="E10" s="5197"/>
      <c r="F10" s="487">
        <f>SUM(F7:F9)</f>
        <v>654</v>
      </c>
      <c r="G10" s="5197"/>
      <c r="H10" s="487">
        <f>SUM(H7:H9)</f>
        <v>531</v>
      </c>
      <c r="I10" s="5022"/>
      <c r="J10" s="828">
        <f>SUM(J7:J9)</f>
        <v>1185</v>
      </c>
      <c r="K10" s="5197"/>
      <c r="L10" s="487">
        <f>SUM(L7:L9)</f>
        <v>1274</v>
      </c>
      <c r="M10" s="5019"/>
      <c r="N10" s="1007">
        <f>SUM(N7:N9)</f>
        <v>2459</v>
      </c>
      <c r="O10" s="5197"/>
      <c r="P10" s="997">
        <f>SUM(P7:P9)</f>
        <v>1240</v>
      </c>
      <c r="Q10" s="5022"/>
      <c r="R10" s="828">
        <f>SUM(R7:R9)</f>
        <v>3699</v>
      </c>
      <c r="S10" s="5197"/>
      <c r="T10" s="997">
        <f>SUM(T7:T9)</f>
        <v>1351</v>
      </c>
      <c r="U10" s="5022"/>
      <c r="V10" s="828">
        <f>SUM(V7:V9)</f>
        <v>5050</v>
      </c>
      <c r="W10" s="5197"/>
      <c r="X10" s="997">
        <f>SUM(X7:X9)</f>
        <v>1310</v>
      </c>
      <c r="Y10" s="5019"/>
      <c r="Z10" s="1007">
        <f>SUM(Z7:Z9)</f>
        <v>3901</v>
      </c>
      <c r="AA10" s="4984"/>
      <c r="AB10" s="1200">
        <f>SUM(AB7:AB9)</f>
        <v>6360</v>
      </c>
      <c r="AC10" s="5197"/>
      <c r="AD10" s="997">
        <f>SUM(AD7:AD9)</f>
        <v>1397</v>
      </c>
      <c r="AE10" s="5022"/>
      <c r="AF10" s="828">
        <f>SUM(AF7:AF9)</f>
        <v>7757</v>
      </c>
      <c r="AG10" s="5197"/>
      <c r="AH10" s="997">
        <f>SUM(AH7:AH9)</f>
        <v>1293</v>
      </c>
      <c r="AI10" s="5022"/>
      <c r="AJ10" s="828">
        <f>SUM(AJ7:AJ9)</f>
        <v>9050</v>
      </c>
      <c r="AK10" s="5197"/>
      <c r="AL10" s="997">
        <f>SUM(AL7:AL9)</f>
        <v>1443</v>
      </c>
      <c r="AM10" s="5019"/>
      <c r="AN10" s="1007">
        <f>SUM(AN7:AN9)</f>
        <v>4133</v>
      </c>
      <c r="AO10" s="5022"/>
      <c r="AP10" s="828">
        <f>SUM(AP7:AP9)</f>
        <v>10493</v>
      </c>
      <c r="AQ10" s="5197"/>
      <c r="AR10" s="997">
        <f>SUM(AR7:AR9)</f>
        <v>1457</v>
      </c>
      <c r="AS10" s="5022"/>
      <c r="AT10" s="828">
        <f>SUM(AT7:AT9)</f>
        <v>11950</v>
      </c>
      <c r="AU10" s="5197"/>
      <c r="AV10" s="997">
        <f>SUM(AV7:AV9)</f>
        <v>1291</v>
      </c>
      <c r="AW10" s="5022"/>
      <c r="AX10" s="828">
        <f>SUM(AX7:AX9)</f>
        <v>13241</v>
      </c>
      <c r="AY10" s="5197"/>
      <c r="AZ10" s="997">
        <f>SUM(AZ7:AZ9)</f>
        <v>1463</v>
      </c>
      <c r="BA10" s="5019"/>
      <c r="BB10" s="1007">
        <f>SUM(BB7:BB9)</f>
        <v>4211</v>
      </c>
      <c r="BC10" s="4984"/>
      <c r="BD10" s="1200">
        <f>SUM(BD7:BD9)</f>
        <v>8344</v>
      </c>
      <c r="BE10" s="5022"/>
      <c r="BF10" s="828">
        <f>SUM(BF7:BF9)</f>
        <v>14704</v>
      </c>
      <c r="BH10">
        <f>+BF10/2</f>
        <v>7352</v>
      </c>
    </row>
    <row r="11" spans="1:60" ht="20.100000000000001" customHeight="1" x14ac:dyDescent="0.25">
      <c r="B11" s="424" t="s">
        <v>690</v>
      </c>
      <c r="C11" s="2574" t="s">
        <v>201</v>
      </c>
      <c r="D11" s="2575" t="s">
        <v>35</v>
      </c>
      <c r="E11" s="2575" t="s">
        <v>35</v>
      </c>
      <c r="F11" s="488">
        <v>6</v>
      </c>
      <c r="G11" s="2575" t="s">
        <v>35</v>
      </c>
      <c r="H11" s="488">
        <v>6</v>
      </c>
      <c r="I11" s="2576" t="s">
        <v>35</v>
      </c>
      <c r="J11" s="829">
        <f>+F11+H11</f>
        <v>12</v>
      </c>
      <c r="K11" s="2575" t="s">
        <v>35</v>
      </c>
      <c r="L11" s="488">
        <v>7</v>
      </c>
      <c r="M11" s="2577" t="s">
        <v>35</v>
      </c>
      <c r="N11" s="1008">
        <f>+J11+L11</f>
        <v>19</v>
      </c>
      <c r="O11" s="2575" t="s">
        <v>35</v>
      </c>
      <c r="P11" s="998">
        <v>8</v>
      </c>
      <c r="Q11" s="2576" t="s">
        <v>35</v>
      </c>
      <c r="R11" s="829">
        <f>+N11+P11</f>
        <v>27</v>
      </c>
      <c r="S11" s="2575" t="s">
        <v>35</v>
      </c>
      <c r="T11" s="998">
        <v>6</v>
      </c>
      <c r="U11" s="2576" t="s">
        <v>35</v>
      </c>
      <c r="V11" s="829">
        <f>+R11+T11</f>
        <v>33</v>
      </c>
      <c r="W11" s="2575" t="s">
        <v>35</v>
      </c>
      <c r="X11" s="998">
        <v>10</v>
      </c>
      <c r="Y11" s="2577" t="s">
        <v>35</v>
      </c>
      <c r="Z11" s="1006">
        <f t="shared" si="10"/>
        <v>24</v>
      </c>
      <c r="AA11" s="2578" t="s">
        <v>35</v>
      </c>
      <c r="AB11" s="1201">
        <f>+V11+X11</f>
        <v>43</v>
      </c>
      <c r="AC11" s="2575" t="s">
        <v>35</v>
      </c>
      <c r="AD11" s="998">
        <v>6</v>
      </c>
      <c r="AE11" s="2576" t="s">
        <v>35</v>
      </c>
      <c r="AF11" s="829">
        <f>+AB11+AD11</f>
        <v>49</v>
      </c>
      <c r="AG11" s="2575" t="s">
        <v>35</v>
      </c>
      <c r="AH11" s="998">
        <v>7</v>
      </c>
      <c r="AI11" s="2576" t="s">
        <v>35</v>
      </c>
      <c r="AJ11" s="829">
        <f>+AF11+AH11</f>
        <v>56</v>
      </c>
      <c r="AK11" s="2575" t="s">
        <v>35</v>
      </c>
      <c r="AL11" s="998">
        <v>6</v>
      </c>
      <c r="AM11" s="2577" t="s">
        <v>35</v>
      </c>
      <c r="AN11" s="1006">
        <f t="shared" ref="AN11:AN14" si="14">+AD11+AH11+AL11</f>
        <v>19</v>
      </c>
      <c r="AO11" s="2576" t="s">
        <v>35</v>
      </c>
      <c r="AP11" s="829">
        <f>+AJ11+AL11</f>
        <v>62</v>
      </c>
      <c r="AQ11" s="2575" t="s">
        <v>35</v>
      </c>
      <c r="AR11" s="998">
        <v>5</v>
      </c>
      <c r="AS11" s="2576" t="s">
        <v>35</v>
      </c>
      <c r="AT11" s="829">
        <f>+AP11+AR11</f>
        <v>67</v>
      </c>
      <c r="AU11" s="2575" t="s">
        <v>35</v>
      </c>
      <c r="AV11" s="998">
        <v>4</v>
      </c>
      <c r="AW11" s="2576" t="s">
        <v>35</v>
      </c>
      <c r="AX11" s="829">
        <f>+AT11+AV11</f>
        <v>71</v>
      </c>
      <c r="AY11" s="2575" t="s">
        <v>35</v>
      </c>
      <c r="AZ11" s="998">
        <v>8</v>
      </c>
      <c r="BA11" s="2577" t="s">
        <v>35</v>
      </c>
      <c r="BB11" s="1006">
        <f t="shared" ref="BB11:BB14" si="15">+AR11+AV11+AZ11</f>
        <v>17</v>
      </c>
      <c r="BC11" s="2578" t="s">
        <v>35</v>
      </c>
      <c r="BD11" s="1201">
        <f>+AN11+BB11</f>
        <v>36</v>
      </c>
      <c r="BE11" s="2576" t="s">
        <v>35</v>
      </c>
      <c r="BF11" s="829">
        <f>+AX11+AZ11</f>
        <v>79</v>
      </c>
    </row>
    <row r="12" spans="1:60" ht="20.100000000000001" customHeight="1" x14ac:dyDescent="0.25">
      <c r="B12" s="425" t="s">
        <v>102</v>
      </c>
      <c r="C12" s="2572" t="s">
        <v>201</v>
      </c>
      <c r="D12" s="2579" t="s">
        <v>35</v>
      </c>
      <c r="E12" s="2579" t="s">
        <v>35</v>
      </c>
      <c r="F12" s="486">
        <v>2</v>
      </c>
      <c r="G12" s="2579" t="s">
        <v>35</v>
      </c>
      <c r="H12" s="486">
        <v>3</v>
      </c>
      <c r="I12" s="2580" t="s">
        <v>35</v>
      </c>
      <c r="J12" s="827">
        <f t="shared" ref="J12:J14" si="16">+F12+H12</f>
        <v>5</v>
      </c>
      <c r="K12" s="2579" t="s">
        <v>35</v>
      </c>
      <c r="L12" s="486">
        <v>6</v>
      </c>
      <c r="M12" s="2581" t="s">
        <v>35</v>
      </c>
      <c r="N12" s="1006">
        <f t="shared" ref="N12:N14" si="17">+J12+L12</f>
        <v>11</v>
      </c>
      <c r="O12" s="2579" t="s">
        <v>35</v>
      </c>
      <c r="P12" s="996">
        <v>4</v>
      </c>
      <c r="Q12" s="2580" t="s">
        <v>35</v>
      </c>
      <c r="R12" s="827">
        <f t="shared" ref="R12:R14" si="18">+N12+P12</f>
        <v>15</v>
      </c>
      <c r="S12" s="2579" t="s">
        <v>35</v>
      </c>
      <c r="T12" s="996">
        <v>6</v>
      </c>
      <c r="U12" s="2580" t="s">
        <v>35</v>
      </c>
      <c r="V12" s="827">
        <f t="shared" ref="V12:V14" si="19">+R12+T12</f>
        <v>21</v>
      </c>
      <c r="W12" s="2579" t="s">
        <v>35</v>
      </c>
      <c r="X12" s="996">
        <v>9</v>
      </c>
      <c r="Y12" s="2581" t="s">
        <v>35</v>
      </c>
      <c r="Z12" s="1006">
        <f t="shared" si="10"/>
        <v>19</v>
      </c>
      <c r="AA12" s="2582" t="s">
        <v>35</v>
      </c>
      <c r="AB12" s="1199">
        <f t="shared" ref="AB12:AB14" si="20">+V12+X12</f>
        <v>30</v>
      </c>
      <c r="AC12" s="2579" t="s">
        <v>35</v>
      </c>
      <c r="AD12" s="996">
        <v>10</v>
      </c>
      <c r="AE12" s="2580" t="s">
        <v>35</v>
      </c>
      <c r="AF12" s="827">
        <f t="shared" ref="AF12:AF14" si="21">+AB12+AD12</f>
        <v>40</v>
      </c>
      <c r="AG12" s="2579" t="s">
        <v>35</v>
      </c>
      <c r="AH12" s="996">
        <v>2</v>
      </c>
      <c r="AI12" s="2580" t="s">
        <v>35</v>
      </c>
      <c r="AJ12" s="827">
        <f t="shared" ref="AJ12:AJ14" si="22">+AF12+AH12</f>
        <v>42</v>
      </c>
      <c r="AK12" s="2579" t="s">
        <v>35</v>
      </c>
      <c r="AL12" s="996">
        <v>5</v>
      </c>
      <c r="AM12" s="2581" t="s">
        <v>35</v>
      </c>
      <c r="AN12" s="1006">
        <f t="shared" si="14"/>
        <v>17</v>
      </c>
      <c r="AO12" s="2580" t="s">
        <v>35</v>
      </c>
      <c r="AP12" s="827">
        <f t="shared" ref="AP12:AP14" si="23">+AJ12+AL12</f>
        <v>47</v>
      </c>
      <c r="AQ12" s="2579" t="s">
        <v>35</v>
      </c>
      <c r="AR12" s="996">
        <v>4</v>
      </c>
      <c r="AS12" s="2580" t="s">
        <v>35</v>
      </c>
      <c r="AT12" s="827">
        <f t="shared" ref="AT12:AT14" si="24">+AP12+AR12</f>
        <v>51</v>
      </c>
      <c r="AU12" s="2579" t="s">
        <v>35</v>
      </c>
      <c r="AV12" s="996">
        <v>4</v>
      </c>
      <c r="AW12" s="2580" t="s">
        <v>35</v>
      </c>
      <c r="AX12" s="827">
        <f t="shared" ref="AX12:AX14" si="25">+AT12+AV12</f>
        <v>55</v>
      </c>
      <c r="AY12" s="2579" t="s">
        <v>35</v>
      </c>
      <c r="AZ12" s="996">
        <v>2</v>
      </c>
      <c r="BA12" s="2581" t="s">
        <v>35</v>
      </c>
      <c r="BB12" s="1006">
        <f t="shared" si="15"/>
        <v>10</v>
      </c>
      <c r="BC12" s="2582" t="s">
        <v>35</v>
      </c>
      <c r="BD12" s="1199">
        <f>+AN12+BB12</f>
        <v>27</v>
      </c>
      <c r="BE12" s="2580" t="s">
        <v>35</v>
      </c>
      <c r="BF12" s="827">
        <f t="shared" ref="BF12:BF14" si="26">+AX12+AZ12</f>
        <v>57</v>
      </c>
    </row>
    <row r="13" spans="1:60" ht="33" customHeight="1" x14ac:dyDescent="0.25">
      <c r="B13" s="425" t="s">
        <v>174</v>
      </c>
      <c r="C13" s="2572" t="s">
        <v>201</v>
      </c>
      <c r="D13" s="2579" t="s">
        <v>35</v>
      </c>
      <c r="E13" s="2579" t="s">
        <v>35</v>
      </c>
      <c r="F13" s="486">
        <v>0</v>
      </c>
      <c r="G13" s="2579" t="s">
        <v>35</v>
      </c>
      <c r="H13" s="486">
        <v>0</v>
      </c>
      <c r="I13" s="2580" t="s">
        <v>35</v>
      </c>
      <c r="J13" s="827">
        <f t="shared" si="16"/>
        <v>0</v>
      </c>
      <c r="K13" s="2579" t="s">
        <v>35</v>
      </c>
      <c r="L13" s="486">
        <v>0</v>
      </c>
      <c r="M13" s="2581" t="s">
        <v>35</v>
      </c>
      <c r="N13" s="1006">
        <f t="shared" si="17"/>
        <v>0</v>
      </c>
      <c r="O13" s="2579" t="s">
        <v>35</v>
      </c>
      <c r="P13" s="996">
        <v>0</v>
      </c>
      <c r="Q13" s="2580" t="s">
        <v>35</v>
      </c>
      <c r="R13" s="827">
        <f t="shared" si="18"/>
        <v>0</v>
      </c>
      <c r="S13" s="2579" t="s">
        <v>35</v>
      </c>
      <c r="T13" s="996">
        <v>0</v>
      </c>
      <c r="U13" s="2580" t="s">
        <v>35</v>
      </c>
      <c r="V13" s="827">
        <f t="shared" si="19"/>
        <v>0</v>
      </c>
      <c r="W13" s="2579" t="s">
        <v>35</v>
      </c>
      <c r="X13" s="996">
        <v>0</v>
      </c>
      <c r="Y13" s="2581" t="s">
        <v>35</v>
      </c>
      <c r="Z13" s="1006">
        <f t="shared" si="10"/>
        <v>0</v>
      </c>
      <c r="AA13" s="2582" t="s">
        <v>35</v>
      </c>
      <c r="AB13" s="1199">
        <f>+V13+X13</f>
        <v>0</v>
      </c>
      <c r="AC13" s="2579" t="s">
        <v>35</v>
      </c>
      <c r="AD13" s="996">
        <v>0</v>
      </c>
      <c r="AE13" s="2580" t="s">
        <v>35</v>
      </c>
      <c r="AF13" s="827">
        <f t="shared" si="21"/>
        <v>0</v>
      </c>
      <c r="AG13" s="2579" t="s">
        <v>35</v>
      </c>
      <c r="AH13" s="996">
        <v>0</v>
      </c>
      <c r="AI13" s="2580" t="s">
        <v>35</v>
      </c>
      <c r="AJ13" s="827">
        <f t="shared" si="22"/>
        <v>0</v>
      </c>
      <c r="AK13" s="2579" t="s">
        <v>35</v>
      </c>
      <c r="AL13" s="996">
        <v>0</v>
      </c>
      <c r="AM13" s="2581" t="s">
        <v>35</v>
      </c>
      <c r="AN13" s="1006">
        <f t="shared" si="14"/>
        <v>0</v>
      </c>
      <c r="AO13" s="2580" t="s">
        <v>35</v>
      </c>
      <c r="AP13" s="827">
        <f t="shared" si="23"/>
        <v>0</v>
      </c>
      <c r="AQ13" s="2579" t="s">
        <v>35</v>
      </c>
      <c r="AR13" s="996">
        <v>0</v>
      </c>
      <c r="AS13" s="2580" t="s">
        <v>35</v>
      </c>
      <c r="AT13" s="827">
        <f t="shared" si="24"/>
        <v>0</v>
      </c>
      <c r="AU13" s="2579" t="s">
        <v>35</v>
      </c>
      <c r="AV13" s="996">
        <v>0</v>
      </c>
      <c r="AW13" s="2580" t="s">
        <v>35</v>
      </c>
      <c r="AX13" s="827">
        <f t="shared" si="25"/>
        <v>0</v>
      </c>
      <c r="AY13" s="2579" t="s">
        <v>35</v>
      </c>
      <c r="AZ13" s="996">
        <v>0</v>
      </c>
      <c r="BA13" s="2581" t="s">
        <v>35</v>
      </c>
      <c r="BB13" s="1006">
        <f t="shared" si="15"/>
        <v>0</v>
      </c>
      <c r="BC13" s="2582" t="s">
        <v>35</v>
      </c>
      <c r="BD13" s="1199">
        <f>+AN13+BB13</f>
        <v>0</v>
      </c>
      <c r="BE13" s="2580" t="s">
        <v>35</v>
      </c>
      <c r="BF13" s="827">
        <f t="shared" si="26"/>
        <v>0</v>
      </c>
    </row>
    <row r="14" spans="1:60" ht="30" customHeight="1" thickBot="1" x14ac:dyDescent="0.3">
      <c r="B14" s="426" t="s">
        <v>129</v>
      </c>
      <c r="C14" s="2583" t="s">
        <v>201</v>
      </c>
      <c r="D14" s="2584" t="s">
        <v>35</v>
      </c>
      <c r="E14" s="2584" t="s">
        <v>35</v>
      </c>
      <c r="F14" s="489">
        <f>+F10+F13-F28</f>
        <v>1</v>
      </c>
      <c r="G14" s="2584" t="s">
        <v>35</v>
      </c>
      <c r="H14" s="489">
        <f>+H10+H13-H28</f>
        <v>10</v>
      </c>
      <c r="I14" s="2585" t="s">
        <v>35</v>
      </c>
      <c r="J14" s="830">
        <f t="shared" si="16"/>
        <v>11</v>
      </c>
      <c r="K14" s="2584" t="s">
        <v>35</v>
      </c>
      <c r="L14" s="489">
        <f>+L10+L13-L11-L28</f>
        <v>1</v>
      </c>
      <c r="M14" s="2586" t="s">
        <v>35</v>
      </c>
      <c r="N14" s="1009">
        <f t="shared" si="17"/>
        <v>12</v>
      </c>
      <c r="O14" s="2584" t="s">
        <v>35</v>
      </c>
      <c r="P14" s="999">
        <f>+P10+P13-P11-P28</f>
        <v>-2</v>
      </c>
      <c r="Q14" s="2585" t="s">
        <v>35</v>
      </c>
      <c r="R14" s="830">
        <f t="shared" si="18"/>
        <v>10</v>
      </c>
      <c r="S14" s="2584" t="s">
        <v>35</v>
      </c>
      <c r="T14" s="999">
        <f>+T10+T13-T11-T28</f>
        <v>-1</v>
      </c>
      <c r="U14" s="2585" t="s">
        <v>35</v>
      </c>
      <c r="V14" s="830">
        <f t="shared" si="19"/>
        <v>9</v>
      </c>
      <c r="W14" s="2584" t="s">
        <v>35</v>
      </c>
      <c r="X14" s="999">
        <f>+X10+X13-X11-X28</f>
        <v>-1</v>
      </c>
      <c r="Y14" s="2586" t="s">
        <v>35</v>
      </c>
      <c r="Z14" s="1006">
        <f t="shared" si="10"/>
        <v>-4</v>
      </c>
      <c r="AA14" s="2587" t="s">
        <v>35</v>
      </c>
      <c r="AB14" s="1202">
        <f t="shared" si="20"/>
        <v>8</v>
      </c>
      <c r="AC14" s="2584" t="s">
        <v>35</v>
      </c>
      <c r="AD14" s="999">
        <f>+AD10+AD13-AD11-AD28</f>
        <v>6</v>
      </c>
      <c r="AE14" s="2585" t="s">
        <v>35</v>
      </c>
      <c r="AF14" s="830">
        <f t="shared" si="21"/>
        <v>14</v>
      </c>
      <c r="AG14" s="2584" t="s">
        <v>35</v>
      </c>
      <c r="AH14" s="999">
        <f>+AH10+AH13-AH11-AH28</f>
        <v>-1</v>
      </c>
      <c r="AI14" s="2585" t="s">
        <v>35</v>
      </c>
      <c r="AJ14" s="830">
        <f t="shared" si="22"/>
        <v>13</v>
      </c>
      <c r="AK14" s="2584" t="s">
        <v>35</v>
      </c>
      <c r="AL14" s="999">
        <f>+AL10+AL13-AL11-AL28</f>
        <v>2</v>
      </c>
      <c r="AM14" s="2586" t="s">
        <v>35</v>
      </c>
      <c r="AN14" s="1006">
        <f t="shared" si="14"/>
        <v>7</v>
      </c>
      <c r="AO14" s="2585" t="s">
        <v>35</v>
      </c>
      <c r="AP14" s="830">
        <f t="shared" si="23"/>
        <v>15</v>
      </c>
      <c r="AQ14" s="2584" t="s">
        <v>35</v>
      </c>
      <c r="AR14" s="999">
        <f>+AR10+AR13-AR11-AR28</f>
        <v>-1</v>
      </c>
      <c r="AS14" s="2585" t="s">
        <v>35</v>
      </c>
      <c r="AT14" s="830">
        <f t="shared" si="24"/>
        <v>14</v>
      </c>
      <c r="AU14" s="2584" t="s">
        <v>35</v>
      </c>
      <c r="AV14" s="999">
        <f>+AV10+AV13-AV11-AV28</f>
        <v>-3</v>
      </c>
      <c r="AW14" s="2585" t="s">
        <v>35</v>
      </c>
      <c r="AX14" s="830">
        <f t="shared" si="25"/>
        <v>11</v>
      </c>
      <c r="AY14" s="2584" t="s">
        <v>35</v>
      </c>
      <c r="AZ14" s="999">
        <f>+AZ10+AZ13-AZ11-AZ28</f>
        <v>2</v>
      </c>
      <c r="BA14" s="2586" t="s">
        <v>35</v>
      </c>
      <c r="BB14" s="1006">
        <f t="shared" si="15"/>
        <v>-2</v>
      </c>
      <c r="BC14" s="2587" t="s">
        <v>35</v>
      </c>
      <c r="BD14" s="1202">
        <f>+AN14+BB14</f>
        <v>5</v>
      </c>
      <c r="BE14" s="2585" t="s">
        <v>35</v>
      </c>
      <c r="BF14" s="830">
        <f t="shared" si="26"/>
        <v>13</v>
      </c>
    </row>
    <row r="15" spans="1:60" ht="132.75" customHeight="1" x14ac:dyDescent="0.25">
      <c r="B15" s="424" t="s">
        <v>309</v>
      </c>
      <c r="C15" s="2468" t="s">
        <v>201</v>
      </c>
      <c r="D15" s="2588"/>
      <c r="E15" s="2589"/>
      <c r="F15" s="2590" t="s">
        <v>1381</v>
      </c>
      <c r="G15" s="2589"/>
      <c r="H15" s="2590" t="s">
        <v>1393</v>
      </c>
      <c r="I15" s="2591"/>
      <c r="J15" s="2592" t="s">
        <v>1393</v>
      </c>
      <c r="K15" s="2589"/>
      <c r="L15" s="2590" t="s">
        <v>1416</v>
      </c>
      <c r="M15" s="2593"/>
      <c r="N15" s="921" t="s">
        <v>1416</v>
      </c>
      <c r="O15" s="2589"/>
      <c r="P15" s="2590" t="s">
        <v>1446</v>
      </c>
      <c r="Q15" s="2591"/>
      <c r="R15" s="2592" t="s">
        <v>1446</v>
      </c>
      <c r="S15" s="2589"/>
      <c r="T15" s="2590" t="s">
        <v>1513</v>
      </c>
      <c r="U15" s="2591"/>
      <c r="V15" s="2592" t="s">
        <v>1513</v>
      </c>
      <c r="W15" s="2589"/>
      <c r="X15" s="2590" t="s">
        <v>1619</v>
      </c>
      <c r="Y15" s="2593"/>
      <c r="Z15" s="921" t="s">
        <v>1619</v>
      </c>
      <c r="AA15" s="2594"/>
      <c r="AB15" s="2595" t="s">
        <v>1619</v>
      </c>
      <c r="AC15" s="2589"/>
      <c r="AD15" s="2590" t="s">
        <v>1663</v>
      </c>
      <c r="AE15" s="2591"/>
      <c r="AF15" s="2592" t="s">
        <v>1663</v>
      </c>
      <c r="AG15" s="2589"/>
      <c r="AH15" s="2590" t="s">
        <v>1674</v>
      </c>
      <c r="AI15" s="2591"/>
      <c r="AJ15" s="2592" t="s">
        <v>1674</v>
      </c>
      <c r="AK15" s="2589"/>
      <c r="AL15" s="2590" t="s">
        <v>1733</v>
      </c>
      <c r="AM15" s="2593"/>
      <c r="AN15" s="921" t="s">
        <v>1733</v>
      </c>
      <c r="AO15" s="2591"/>
      <c r="AP15" s="2592" t="s">
        <v>1733</v>
      </c>
      <c r="AQ15" s="2589"/>
      <c r="AR15" s="2590" t="s">
        <v>1799</v>
      </c>
      <c r="AS15" s="2591"/>
      <c r="AT15" s="2592" t="s">
        <v>1799</v>
      </c>
      <c r="AU15" s="2589"/>
      <c r="AV15" s="2590" t="s">
        <v>1833</v>
      </c>
      <c r="AW15" s="2591"/>
      <c r="AX15" s="2592" t="s">
        <v>1833</v>
      </c>
      <c r="AY15" s="2589"/>
      <c r="AZ15" s="2590" t="s">
        <v>1856</v>
      </c>
      <c r="BA15" s="2593"/>
      <c r="BB15" s="921" t="s">
        <v>1856</v>
      </c>
      <c r="BC15" s="2594"/>
      <c r="BD15" s="2595" t="s">
        <v>1856</v>
      </c>
      <c r="BE15" s="2591"/>
      <c r="BF15" s="2592" t="s">
        <v>1856</v>
      </c>
    </row>
    <row r="16" spans="1:60" ht="110.25" customHeight="1" x14ac:dyDescent="0.25">
      <c r="B16" s="425" t="s">
        <v>310</v>
      </c>
      <c r="C16" s="2058" t="s">
        <v>201</v>
      </c>
      <c r="D16" s="2596"/>
      <c r="E16" s="2597"/>
      <c r="F16" s="2598" t="s">
        <v>1382</v>
      </c>
      <c r="G16" s="2597" t="s">
        <v>35</v>
      </c>
      <c r="H16" s="2598" t="s">
        <v>1394</v>
      </c>
      <c r="I16" s="2599"/>
      <c r="J16" s="2600" t="s">
        <v>1394</v>
      </c>
      <c r="K16" s="2597" t="s">
        <v>35</v>
      </c>
      <c r="L16" s="2598" t="s">
        <v>1417</v>
      </c>
      <c r="M16" s="2601"/>
      <c r="N16" s="922" t="s">
        <v>1417</v>
      </c>
      <c r="O16" s="2597"/>
      <c r="P16" s="2598" t="s">
        <v>1447</v>
      </c>
      <c r="Q16" s="2599"/>
      <c r="R16" s="2600" t="s">
        <v>1447</v>
      </c>
      <c r="S16" s="2597"/>
      <c r="T16" s="2598" t="s">
        <v>1514</v>
      </c>
      <c r="U16" s="2599"/>
      <c r="V16" s="2600" t="s">
        <v>1514</v>
      </c>
      <c r="W16" s="2597"/>
      <c r="X16" s="2598" t="s">
        <v>1620</v>
      </c>
      <c r="Y16" s="2601"/>
      <c r="Z16" s="922" t="s">
        <v>1620</v>
      </c>
      <c r="AA16" s="2602"/>
      <c r="AB16" s="2603" t="s">
        <v>1620</v>
      </c>
      <c r="AC16" s="2597"/>
      <c r="AD16" s="2598" t="s">
        <v>1664</v>
      </c>
      <c r="AE16" s="2599"/>
      <c r="AF16" s="2600" t="s">
        <v>1664</v>
      </c>
      <c r="AG16" s="2597"/>
      <c r="AH16" s="2598" t="s">
        <v>1675</v>
      </c>
      <c r="AI16" s="2599"/>
      <c r="AJ16" s="2600" t="s">
        <v>1675</v>
      </c>
      <c r="AK16" s="2597"/>
      <c r="AL16" s="2598" t="s">
        <v>1734</v>
      </c>
      <c r="AM16" s="2601"/>
      <c r="AN16" s="922" t="s">
        <v>1734</v>
      </c>
      <c r="AO16" s="2599"/>
      <c r="AP16" s="2600" t="s">
        <v>1734</v>
      </c>
      <c r="AQ16" s="2597"/>
      <c r="AR16" s="2598" t="s">
        <v>1800</v>
      </c>
      <c r="AS16" s="2599"/>
      <c r="AT16" s="2600" t="s">
        <v>1800</v>
      </c>
      <c r="AU16" s="2597"/>
      <c r="AV16" s="2598" t="s">
        <v>1834</v>
      </c>
      <c r="AW16" s="2599"/>
      <c r="AX16" s="2600" t="s">
        <v>1834</v>
      </c>
      <c r="AY16" s="2597"/>
      <c r="AZ16" s="2598" t="s">
        <v>1857</v>
      </c>
      <c r="BA16" s="2601"/>
      <c r="BB16" s="922" t="s">
        <v>1857</v>
      </c>
      <c r="BC16" s="2602"/>
      <c r="BD16" s="2603" t="s">
        <v>1857</v>
      </c>
      <c r="BE16" s="2599"/>
      <c r="BF16" s="2600" t="s">
        <v>1857</v>
      </c>
    </row>
    <row r="17" spans="1:58" ht="133.5" customHeight="1" thickBot="1" x14ac:dyDescent="0.3">
      <c r="B17" s="426" t="s">
        <v>311</v>
      </c>
      <c r="C17" s="2476" t="s">
        <v>201</v>
      </c>
      <c r="D17" s="2604"/>
      <c r="E17" s="2605"/>
      <c r="F17" s="2606" t="s">
        <v>1395</v>
      </c>
      <c r="G17" s="2605" t="s">
        <v>35</v>
      </c>
      <c r="H17" s="2606" t="s">
        <v>1396</v>
      </c>
      <c r="I17" s="2607"/>
      <c r="J17" s="2608" t="s">
        <v>1396</v>
      </c>
      <c r="K17" s="2605" t="s">
        <v>35</v>
      </c>
      <c r="L17" s="2606" t="s">
        <v>1418</v>
      </c>
      <c r="M17" s="2609"/>
      <c r="N17" s="923" t="s">
        <v>1418</v>
      </c>
      <c r="O17" s="2605"/>
      <c r="P17" s="2606" t="s">
        <v>1448</v>
      </c>
      <c r="Q17" s="2607"/>
      <c r="R17" s="2608" t="s">
        <v>1448</v>
      </c>
      <c r="S17" s="2605"/>
      <c r="T17" s="2606" t="s">
        <v>1515</v>
      </c>
      <c r="U17" s="2607"/>
      <c r="V17" s="2608" t="s">
        <v>1515</v>
      </c>
      <c r="W17" s="2605"/>
      <c r="X17" s="2606" t="s">
        <v>1621</v>
      </c>
      <c r="Y17" s="2609"/>
      <c r="Z17" s="923" t="s">
        <v>1621</v>
      </c>
      <c r="AA17" s="2610"/>
      <c r="AB17" s="2611" t="s">
        <v>1621</v>
      </c>
      <c r="AC17" s="2605"/>
      <c r="AD17" s="2606" t="s">
        <v>1665</v>
      </c>
      <c r="AE17" s="2607"/>
      <c r="AF17" s="2608" t="s">
        <v>1665</v>
      </c>
      <c r="AG17" s="2605"/>
      <c r="AH17" s="2598" t="s">
        <v>1676</v>
      </c>
      <c r="AI17" s="2607"/>
      <c r="AJ17" s="2608" t="s">
        <v>1676</v>
      </c>
      <c r="AK17" s="2605"/>
      <c r="AL17" s="2598" t="s">
        <v>1735</v>
      </c>
      <c r="AM17" s="2609"/>
      <c r="AN17" s="923" t="s">
        <v>1735</v>
      </c>
      <c r="AO17" s="2607"/>
      <c r="AP17" s="2608" t="s">
        <v>1735</v>
      </c>
      <c r="AQ17" s="2605"/>
      <c r="AR17" s="2598" t="s">
        <v>1801</v>
      </c>
      <c r="AS17" s="2607"/>
      <c r="AT17" s="2608" t="s">
        <v>1801</v>
      </c>
      <c r="AU17" s="2605"/>
      <c r="AV17" s="2598" t="s">
        <v>1835</v>
      </c>
      <c r="AW17" s="2607"/>
      <c r="AX17" s="2600" t="s">
        <v>1835</v>
      </c>
      <c r="AY17" s="2605"/>
      <c r="AZ17" s="2598" t="s">
        <v>1858</v>
      </c>
      <c r="BA17" s="2609"/>
      <c r="BB17" s="923" t="s">
        <v>1858</v>
      </c>
      <c r="BC17" s="2610"/>
      <c r="BD17" s="2611" t="s">
        <v>1858</v>
      </c>
      <c r="BE17" s="2607"/>
      <c r="BF17" s="2600" t="s">
        <v>1858</v>
      </c>
    </row>
    <row r="18" spans="1:58" ht="20.100000000000001" customHeight="1" x14ac:dyDescent="0.25">
      <c r="B18" s="2612" t="s">
        <v>1051</v>
      </c>
      <c r="C18" s="2613" t="s">
        <v>53</v>
      </c>
      <c r="D18" s="2614">
        <v>2611100.4700000002</v>
      </c>
      <c r="E18" s="2084">
        <v>100000</v>
      </c>
      <c r="F18" s="492">
        <f>104961/0.99</f>
        <v>106021.21212121213</v>
      </c>
      <c r="G18" s="2084">
        <v>103500</v>
      </c>
      <c r="H18" s="1000">
        <v>83952</v>
      </c>
      <c r="I18" s="3522">
        <f>+E18+G18</f>
        <v>203500</v>
      </c>
      <c r="J18" s="3526">
        <f>+F18+H18</f>
        <v>189973.21212121213</v>
      </c>
      <c r="K18" s="2084">
        <v>236822.5</v>
      </c>
      <c r="L18" s="490">
        <v>205955</v>
      </c>
      <c r="M18" s="3534">
        <f>+I18+K18</f>
        <v>440322.5</v>
      </c>
      <c r="N18" s="3528">
        <f>+J18+L18</f>
        <v>395928.21212121216</v>
      </c>
      <c r="O18" s="2084">
        <v>244877.5</v>
      </c>
      <c r="P18" s="1000">
        <v>199304</v>
      </c>
      <c r="Q18" s="3522">
        <f>+M18+O18</f>
        <v>685200</v>
      </c>
      <c r="R18" s="3526">
        <f>+N18+P18</f>
        <v>595232.21212121216</v>
      </c>
      <c r="S18" s="2084">
        <v>245077.5</v>
      </c>
      <c r="T18" s="1000">
        <v>218207</v>
      </c>
      <c r="U18" s="3522">
        <f>+Q18+S18</f>
        <v>930277.5</v>
      </c>
      <c r="V18" s="3526">
        <f>+R18+T18</f>
        <v>813439.21212121216</v>
      </c>
      <c r="W18" s="2084">
        <v>238350</v>
      </c>
      <c r="X18" s="1000">
        <v>211502</v>
      </c>
      <c r="Y18" s="3528">
        <f>+W18+S18+O18</f>
        <v>728305</v>
      </c>
      <c r="Z18" s="3528">
        <f>+X18+T18+P18</f>
        <v>629013</v>
      </c>
      <c r="AA18" s="3538">
        <f>+U18+W18</f>
        <v>1168627.5</v>
      </c>
      <c r="AB18" s="3537">
        <f>+V18+X18</f>
        <v>1024941.2121212122</v>
      </c>
      <c r="AC18" s="2084">
        <v>246450</v>
      </c>
      <c r="AD18" s="1000">
        <v>226644</v>
      </c>
      <c r="AE18" s="3522">
        <f>+AA18+AC18</f>
        <v>1415077.5</v>
      </c>
      <c r="AF18" s="3526">
        <f>+AB18+AD18</f>
        <v>1251585.2121212122</v>
      </c>
      <c r="AG18" s="2084">
        <v>238350</v>
      </c>
      <c r="AH18" s="1000">
        <v>206015</v>
      </c>
      <c r="AI18" s="3522">
        <f>+AE18+AG18</f>
        <v>1653427.5</v>
      </c>
      <c r="AJ18" s="3526">
        <f>+AF18+AH18</f>
        <v>1457600.2121212122</v>
      </c>
      <c r="AK18" s="2084">
        <v>246450</v>
      </c>
      <c r="AL18" s="1000">
        <v>228959</v>
      </c>
      <c r="AM18" s="3528">
        <f>+AK18+AG18+AC18</f>
        <v>731250</v>
      </c>
      <c r="AN18" s="3528">
        <f>+AL18+AH18+AD18</f>
        <v>661618</v>
      </c>
      <c r="AO18" s="3522">
        <f>+AI18+AK18</f>
        <v>1899877.5</v>
      </c>
      <c r="AP18" s="3526">
        <f>+AJ18+AL18</f>
        <v>1686559.2121212122</v>
      </c>
      <c r="AQ18" s="2084">
        <v>246450</v>
      </c>
      <c r="AR18" s="1000">
        <v>235145</v>
      </c>
      <c r="AS18" s="3904">
        <f>+AO18+AQ18</f>
        <v>2146327.5</v>
      </c>
      <c r="AT18" s="3906">
        <f>+AP18+AR18</f>
        <v>1921704.2121212122</v>
      </c>
      <c r="AU18" s="2084">
        <v>218322.97</v>
      </c>
      <c r="AV18" s="1000">
        <v>210316</v>
      </c>
      <c r="AW18" s="4069">
        <f>+AS18+AU18</f>
        <v>2364650.4700000002</v>
      </c>
      <c r="AX18" s="4071">
        <f>+AT18+AV18</f>
        <v>2132020.2121212119</v>
      </c>
      <c r="AY18" s="2084">
        <v>246450</v>
      </c>
      <c r="AZ18" s="1000">
        <v>234103</v>
      </c>
      <c r="BA18" s="4249">
        <f>+AY18+AU18+AQ18</f>
        <v>711222.97</v>
      </c>
      <c r="BB18" s="4249">
        <f>+AZ18+AV18+AR18</f>
        <v>679564</v>
      </c>
      <c r="BC18" s="4255">
        <f>+AM18+BA18</f>
        <v>1442472.97</v>
      </c>
      <c r="BD18" s="4254">
        <f>+AN18+BB18</f>
        <v>1341182</v>
      </c>
      <c r="BE18" s="4242">
        <f>+AW18+AY18</f>
        <v>2611100.4700000002</v>
      </c>
      <c r="BF18" s="4246">
        <f>+AX18+AZ18</f>
        <v>2366123.2121212119</v>
      </c>
    </row>
    <row r="19" spans="1:58" s="942" customFormat="1" ht="20.100000000000001" customHeight="1" x14ac:dyDescent="0.25">
      <c r="B19" s="2612" t="s">
        <v>1029</v>
      </c>
      <c r="C19" s="2613" t="s">
        <v>53</v>
      </c>
      <c r="D19" s="2615"/>
      <c r="E19" s="2084"/>
      <c r="F19" s="492">
        <v>1621</v>
      </c>
      <c r="G19" s="2084"/>
      <c r="H19" s="492">
        <v>1369</v>
      </c>
      <c r="I19" s="3522"/>
      <c r="J19" s="831">
        <f t="shared" ref="J19:J21" si="27">+F19+H19</f>
        <v>2990</v>
      </c>
      <c r="K19" s="2084"/>
      <c r="L19" s="492">
        <v>2788</v>
      </c>
      <c r="M19" s="3534"/>
      <c r="N19" s="1010">
        <f t="shared" ref="N19:N21" si="28">+J19+L19</f>
        <v>5778</v>
      </c>
      <c r="O19" s="2084"/>
      <c r="P19" s="1001">
        <v>3732</v>
      </c>
      <c r="Q19" s="3522"/>
      <c r="R19" s="831">
        <f t="shared" ref="R19:R20" si="29">+N19+P19</f>
        <v>9510</v>
      </c>
      <c r="S19" s="2084"/>
      <c r="T19" s="1001">
        <v>2785</v>
      </c>
      <c r="U19" s="3522"/>
      <c r="V19" s="831">
        <f t="shared" ref="V19:V21" si="30">+R19+T19</f>
        <v>12295</v>
      </c>
      <c r="W19" s="2084"/>
      <c r="X19" s="1001">
        <v>3378</v>
      </c>
      <c r="Y19" s="3528"/>
      <c r="Z19" s="3528">
        <f t="shared" ref="Y19:Z27" si="31">+X19+T19+P19</f>
        <v>9895</v>
      </c>
      <c r="AA19" s="3538"/>
      <c r="AB19" s="3537">
        <f t="shared" ref="AB19:AB21" si="32">+V19+X19</f>
        <v>15673</v>
      </c>
      <c r="AC19" s="2084"/>
      <c r="AD19" s="1001">
        <v>3305</v>
      </c>
      <c r="AE19" s="3522"/>
      <c r="AF19" s="831">
        <f t="shared" ref="AF19:AF21" si="33">+AB19+AD19</f>
        <v>18978</v>
      </c>
      <c r="AG19" s="2084"/>
      <c r="AH19" s="1001">
        <v>4196</v>
      </c>
      <c r="AI19" s="3522"/>
      <c r="AJ19" s="831">
        <f t="shared" ref="AJ19:AJ21" si="34">+AF19+AH19</f>
        <v>23174</v>
      </c>
      <c r="AK19" s="2084"/>
      <c r="AL19" s="1001">
        <v>5030</v>
      </c>
      <c r="AM19" s="3528"/>
      <c r="AN19" s="3528">
        <f t="shared" ref="AN19:AN23" si="35">+AL19+AH19+AD19</f>
        <v>12531</v>
      </c>
      <c r="AO19" s="3522"/>
      <c r="AP19" s="831">
        <f t="shared" ref="AP19:AP21" si="36">+AJ19+AL19</f>
        <v>28204</v>
      </c>
      <c r="AQ19" s="2084"/>
      <c r="AR19" s="1001">
        <v>5084.8</v>
      </c>
      <c r="AS19" s="3904"/>
      <c r="AT19" s="831">
        <f t="shared" ref="AT19:AT21" si="37">+AP19+AR19</f>
        <v>33288.800000000003</v>
      </c>
      <c r="AU19" s="2084"/>
      <c r="AV19" s="1001">
        <v>4472</v>
      </c>
      <c r="AW19" s="4069"/>
      <c r="AX19" s="831">
        <f t="shared" ref="AX19:AX21" si="38">+AT19+AV19</f>
        <v>37760.800000000003</v>
      </c>
      <c r="AY19" s="2084"/>
      <c r="AZ19" s="1001">
        <v>4466.3999999999996</v>
      </c>
      <c r="BA19" s="4249"/>
      <c r="BB19" s="4249">
        <f t="shared" ref="BB19:BB23" si="39">+AZ19+AV19+AR19</f>
        <v>14023.2</v>
      </c>
      <c r="BC19" s="4255"/>
      <c r="BD19" s="4254">
        <f>+AN19+BB19</f>
        <v>26554.2</v>
      </c>
      <c r="BE19" s="4242"/>
      <c r="BF19" s="831">
        <f t="shared" ref="BF19:BF21" si="40">+AX19+AZ19</f>
        <v>42227.200000000004</v>
      </c>
    </row>
    <row r="20" spans="1:58" s="942" customFormat="1" ht="20.100000000000001" customHeight="1" x14ac:dyDescent="0.25">
      <c r="B20" s="2612" t="s">
        <v>1030</v>
      </c>
      <c r="C20" s="2613" t="s">
        <v>53</v>
      </c>
      <c r="D20" s="2615"/>
      <c r="E20" s="2084"/>
      <c r="F20" s="492">
        <f>2341*0.8+2487*0.5</f>
        <v>3116.3</v>
      </c>
      <c r="G20" s="2084"/>
      <c r="H20" s="492">
        <f>2724*0.8+2040*0.5</f>
        <v>3199.2000000000003</v>
      </c>
      <c r="I20" s="3522"/>
      <c r="J20" s="831">
        <f t="shared" si="27"/>
        <v>6315.5</v>
      </c>
      <c r="K20" s="2084"/>
      <c r="L20" s="492">
        <f>(8219*0.8)+(1745*0.5)</f>
        <v>7447.7000000000007</v>
      </c>
      <c r="M20" s="3534"/>
      <c r="N20" s="3528">
        <f t="shared" si="28"/>
        <v>13763.2</v>
      </c>
      <c r="O20" s="2084"/>
      <c r="P20" s="1001">
        <f>4599.2+321</f>
        <v>4920.2</v>
      </c>
      <c r="Q20" s="3522"/>
      <c r="R20" s="3526">
        <f t="shared" si="29"/>
        <v>18683.400000000001</v>
      </c>
      <c r="S20" s="2084"/>
      <c r="T20" s="1001">
        <v>4979</v>
      </c>
      <c r="U20" s="3522"/>
      <c r="V20" s="3526">
        <f t="shared" si="30"/>
        <v>23662.400000000001</v>
      </c>
      <c r="W20" s="2084"/>
      <c r="X20" s="1001">
        <v>4530</v>
      </c>
      <c r="Y20" s="3528"/>
      <c r="Z20" s="3528">
        <f t="shared" si="31"/>
        <v>14429.2</v>
      </c>
      <c r="AA20" s="3538"/>
      <c r="AB20" s="3537">
        <f t="shared" si="32"/>
        <v>28192.400000000001</v>
      </c>
      <c r="AC20" s="2084"/>
      <c r="AD20" s="1001">
        <v>3562</v>
      </c>
      <c r="AE20" s="3522"/>
      <c r="AF20" s="3526">
        <f t="shared" si="33"/>
        <v>31754.400000000001</v>
      </c>
      <c r="AG20" s="2084"/>
      <c r="AH20" s="1001">
        <v>4856</v>
      </c>
      <c r="AI20" s="3522"/>
      <c r="AJ20" s="3526">
        <f t="shared" si="34"/>
        <v>36610.400000000001</v>
      </c>
      <c r="AK20" s="2084"/>
      <c r="AL20" s="1001">
        <v>5344</v>
      </c>
      <c r="AM20" s="3528"/>
      <c r="AN20" s="3528">
        <f t="shared" si="35"/>
        <v>13762</v>
      </c>
      <c r="AO20" s="3522"/>
      <c r="AP20" s="3526">
        <f t="shared" si="36"/>
        <v>41954.400000000001</v>
      </c>
      <c r="AQ20" s="2084"/>
      <c r="AR20" s="1001">
        <v>4701.92</v>
      </c>
      <c r="AS20" s="3904"/>
      <c r="AT20" s="3906">
        <f t="shared" si="37"/>
        <v>46656.32</v>
      </c>
      <c r="AU20" s="2084"/>
      <c r="AV20" s="1001">
        <v>3384</v>
      </c>
      <c r="AW20" s="4069"/>
      <c r="AX20" s="4071">
        <f t="shared" si="38"/>
        <v>50040.32</v>
      </c>
      <c r="AY20" s="2084"/>
      <c r="AZ20" s="1001">
        <v>4266.6400000000003</v>
      </c>
      <c r="BA20" s="4249"/>
      <c r="BB20" s="4249">
        <f t="shared" si="39"/>
        <v>12352.560000000001</v>
      </c>
      <c r="BC20" s="4255"/>
      <c r="BD20" s="4254">
        <f>+AN20+BB20</f>
        <v>26114.560000000001</v>
      </c>
      <c r="BE20" s="4242"/>
      <c r="BF20" s="4246">
        <f t="shared" si="40"/>
        <v>54306.96</v>
      </c>
    </row>
    <row r="21" spans="1:58" s="1726" customFormat="1" ht="20.100000000000001" customHeight="1" x14ac:dyDescent="0.25">
      <c r="B21" s="2612" t="s">
        <v>1511</v>
      </c>
      <c r="C21" s="2613" t="s">
        <v>53</v>
      </c>
      <c r="D21" s="2615"/>
      <c r="E21" s="2084"/>
      <c r="F21" s="492"/>
      <c r="G21" s="2084"/>
      <c r="H21" s="492"/>
      <c r="I21" s="3522"/>
      <c r="J21" s="831">
        <f t="shared" si="27"/>
        <v>0</v>
      </c>
      <c r="K21" s="2084"/>
      <c r="L21" s="492"/>
      <c r="M21" s="3534"/>
      <c r="N21" s="3528">
        <f t="shared" si="28"/>
        <v>0</v>
      </c>
      <c r="O21" s="2084"/>
      <c r="P21" s="1001"/>
      <c r="Q21" s="3522"/>
      <c r="R21" s="3526"/>
      <c r="S21" s="2084"/>
      <c r="T21" s="1001">
        <v>1120</v>
      </c>
      <c r="U21" s="3522"/>
      <c r="V21" s="3526">
        <f t="shared" si="30"/>
        <v>1120</v>
      </c>
      <c r="W21" s="2084"/>
      <c r="X21" s="1001">
        <v>362</v>
      </c>
      <c r="Y21" s="3528"/>
      <c r="Z21" s="3528">
        <f t="shared" si="31"/>
        <v>1482</v>
      </c>
      <c r="AA21" s="3538"/>
      <c r="AB21" s="3537">
        <f t="shared" si="32"/>
        <v>1482</v>
      </c>
      <c r="AC21" s="2084"/>
      <c r="AD21" s="1001">
        <v>457</v>
      </c>
      <c r="AE21" s="3522"/>
      <c r="AF21" s="3526">
        <f t="shared" si="33"/>
        <v>1939</v>
      </c>
      <c r="AG21" s="2084"/>
      <c r="AH21" s="1001">
        <v>706</v>
      </c>
      <c r="AI21" s="3522"/>
      <c r="AJ21" s="3526">
        <f t="shared" si="34"/>
        <v>2645</v>
      </c>
      <c r="AK21" s="2084"/>
      <c r="AL21" s="1001">
        <v>724</v>
      </c>
      <c r="AM21" s="3528"/>
      <c r="AN21" s="3528">
        <f t="shared" si="35"/>
        <v>1887</v>
      </c>
      <c r="AO21" s="3522"/>
      <c r="AP21" s="3526">
        <f t="shared" si="36"/>
        <v>3369</v>
      </c>
      <c r="AQ21" s="2084"/>
      <c r="AR21" s="1001">
        <v>572</v>
      </c>
      <c r="AS21" s="3904"/>
      <c r="AT21" s="3906">
        <f t="shared" si="37"/>
        <v>3941</v>
      </c>
      <c r="AU21" s="2084"/>
      <c r="AV21" s="1001">
        <v>550</v>
      </c>
      <c r="AW21" s="4069"/>
      <c r="AX21" s="4071">
        <f t="shared" si="38"/>
        <v>4491</v>
      </c>
      <c r="AY21" s="2084"/>
      <c r="AZ21" s="1001">
        <v>592.5</v>
      </c>
      <c r="BA21" s="4249"/>
      <c r="BB21" s="4249">
        <f t="shared" si="39"/>
        <v>1714.5</v>
      </c>
      <c r="BC21" s="4255"/>
      <c r="BD21" s="4254">
        <f>+AN21+BB21</f>
        <v>3601.5</v>
      </c>
      <c r="BE21" s="4242"/>
      <c r="BF21" s="4246">
        <f t="shared" si="40"/>
        <v>5083.5</v>
      </c>
    </row>
    <row r="22" spans="1:58" ht="20.100000000000001" customHeight="1" x14ac:dyDescent="0.25">
      <c r="A22" s="339" t="s">
        <v>515</v>
      </c>
      <c r="B22" s="425" t="s">
        <v>312</v>
      </c>
      <c r="C22" s="2572" t="s">
        <v>53</v>
      </c>
      <c r="D22" s="2211">
        <f>+D5*D85/1000</f>
        <v>122586.87652582162</v>
      </c>
      <c r="E22" s="2211">
        <f>+E5*E85/1000</f>
        <v>4694.8500000000004</v>
      </c>
      <c r="F22" s="617">
        <f>SUM(F19:F21)</f>
        <v>4737.3</v>
      </c>
      <c r="G22" s="2211">
        <f>+G5*G85/1000</f>
        <v>4859.1499999999996</v>
      </c>
      <c r="H22" s="617">
        <f>SUM(H19:H21)</f>
        <v>4568.2000000000007</v>
      </c>
      <c r="I22" s="3521">
        <f t="shared" ref="I22:I23" si="41">+E22+G22</f>
        <v>9554</v>
      </c>
      <c r="J22" s="827">
        <f>+F22+H22</f>
        <v>9305.5</v>
      </c>
      <c r="K22" s="2211">
        <f>+K5*K85/1000</f>
        <v>11118.45</v>
      </c>
      <c r="L22" s="617">
        <f>SUM(L19:L21)</f>
        <v>10235.700000000001</v>
      </c>
      <c r="M22" s="3533">
        <f t="shared" ref="M22:M23" si="42">+I22+K22</f>
        <v>20672.45</v>
      </c>
      <c r="N22" s="1006">
        <f>+J22+L22</f>
        <v>19541.2</v>
      </c>
      <c r="O22" s="2211">
        <f>+O5*O85/1000</f>
        <v>11496.596244131457</v>
      </c>
      <c r="P22" s="617">
        <f>SUM(P19:P21)</f>
        <v>8652.2000000000007</v>
      </c>
      <c r="Q22" s="3521">
        <f t="shared" ref="Q22:Q23" si="43">+M22+O22</f>
        <v>32169.046244131459</v>
      </c>
      <c r="R22" s="827">
        <f>+N22+P22</f>
        <v>28193.4</v>
      </c>
      <c r="S22" s="2211">
        <f>+S5*S85/1000</f>
        <v>11505.985915492958</v>
      </c>
      <c r="T22" s="617">
        <f>SUM(T19:T21)</f>
        <v>8884</v>
      </c>
      <c r="U22" s="3521">
        <f t="shared" ref="U22:U23" si="44">+Q22+S22</f>
        <v>43675.032159624418</v>
      </c>
      <c r="V22" s="606">
        <f>+R22+T22</f>
        <v>37077.4</v>
      </c>
      <c r="W22" s="2211">
        <f>+W5*W85/1000</f>
        <v>11190.140845070424</v>
      </c>
      <c r="X22" s="617">
        <f>SUM(X19:X21)</f>
        <v>8270</v>
      </c>
      <c r="Y22" s="3528">
        <f t="shared" si="31"/>
        <v>34192.723004694839</v>
      </c>
      <c r="Z22" s="3528">
        <f t="shared" si="31"/>
        <v>25806.2</v>
      </c>
      <c r="AA22" s="3540">
        <f t="shared" ref="AA22:AA23" si="45">+U22+W22</f>
        <v>54865.173004694843</v>
      </c>
      <c r="AB22" s="1208">
        <f>+V22+X22</f>
        <v>45347.4</v>
      </c>
      <c r="AC22" s="2211">
        <f>+AC5*AC85/1000</f>
        <v>11570.422535211266</v>
      </c>
      <c r="AD22" s="617">
        <f>SUM(AD19:AD21)</f>
        <v>7324</v>
      </c>
      <c r="AE22" s="3521">
        <f t="shared" ref="AE22:AE23" si="46">+AA22+AC22</f>
        <v>66435.595539906106</v>
      </c>
      <c r="AF22" s="606">
        <f>+AB22+AD22</f>
        <v>52671.4</v>
      </c>
      <c r="AG22" s="2211">
        <f>+AG5*AG85/1000</f>
        <v>11190.140845070424</v>
      </c>
      <c r="AH22" s="617">
        <f>SUM(AH19:AH21)</f>
        <v>9758</v>
      </c>
      <c r="AI22" s="3521">
        <f t="shared" ref="AI22:AI23" si="47">+AE22+AG22</f>
        <v>77625.736384976524</v>
      </c>
      <c r="AJ22" s="606">
        <f>+AF22+AH22</f>
        <v>62429.4</v>
      </c>
      <c r="AK22" s="2211">
        <f>+AK5*AK85/1000</f>
        <v>11570.4</v>
      </c>
      <c r="AL22" s="617">
        <f>SUM(AL19:AL21)</f>
        <v>11098</v>
      </c>
      <c r="AM22" s="3528">
        <f t="shared" ref="AM22:AM23" si="48">+AK22+AG22+AC22</f>
        <v>34330.96338028169</v>
      </c>
      <c r="AN22" s="3528">
        <f t="shared" si="35"/>
        <v>28180</v>
      </c>
      <c r="AO22" s="3521">
        <f t="shared" ref="AO22:AO23" si="49">+AI22+AK22</f>
        <v>89196.136384976518</v>
      </c>
      <c r="AP22" s="606">
        <f>+AJ22+AL22</f>
        <v>73527.399999999994</v>
      </c>
      <c r="AQ22" s="2211">
        <f>+AQ5*AQ85/1000</f>
        <v>11570.422535211266</v>
      </c>
      <c r="AR22" s="617">
        <f>SUM(AR19:AR21)</f>
        <v>10358.720000000001</v>
      </c>
      <c r="AS22" s="3903">
        <f t="shared" ref="AS22:AS23" si="50">+AO22+AQ22</f>
        <v>100766.55892018779</v>
      </c>
      <c r="AT22" s="606">
        <f>+AP22+AR22</f>
        <v>83886.12</v>
      </c>
      <c r="AU22" s="2211">
        <f>+AU5*AU85/1000</f>
        <v>10249.904694835679</v>
      </c>
      <c r="AV22" s="617">
        <f>SUM(AV19:AV21)</f>
        <v>8406</v>
      </c>
      <c r="AW22" s="4068">
        <f t="shared" ref="AW22:AW23" si="51">+AS22+AU22</f>
        <v>111016.46361502347</v>
      </c>
      <c r="AX22" s="606">
        <f>+AT22+AV22</f>
        <v>92292.12</v>
      </c>
      <c r="AY22" s="2211">
        <f>+AY5*AY85/1000</f>
        <v>11570.422535211266</v>
      </c>
      <c r="AZ22" s="617">
        <f>SUM(AZ19:AZ21)</f>
        <v>9325.5400000000009</v>
      </c>
      <c r="BA22" s="4249">
        <f t="shared" ref="BA22:BA23" si="52">+AY22+AU22+AQ22</f>
        <v>33390.74976525821</v>
      </c>
      <c r="BB22" s="4249">
        <f t="shared" si="39"/>
        <v>28090.260000000002</v>
      </c>
      <c r="BC22" s="4257">
        <f>+AM22+BA22</f>
        <v>67721.713145539892</v>
      </c>
      <c r="BD22" s="1208">
        <f>+AN22+BB22</f>
        <v>56270.26</v>
      </c>
      <c r="BE22" s="4243">
        <f t="shared" ref="BE22:BE23" si="53">+AW22+AY22</f>
        <v>122586.88615023474</v>
      </c>
      <c r="BF22" s="606">
        <f>+AX22+AZ22</f>
        <v>101617.66</v>
      </c>
    </row>
    <row r="23" spans="1:58" ht="20.100000000000001" customHeight="1" thickBot="1" x14ac:dyDescent="0.3">
      <c r="A23" s="339" t="s">
        <v>515</v>
      </c>
      <c r="B23" s="2616" t="s">
        <v>313</v>
      </c>
      <c r="C23" s="2573" t="s">
        <v>53</v>
      </c>
      <c r="D23" s="2617">
        <v>2527564.4644499295</v>
      </c>
      <c r="E23" s="2618">
        <v>96801</v>
      </c>
      <c r="F23" s="489">
        <v>101571</v>
      </c>
      <c r="G23" s="2618">
        <v>100189</v>
      </c>
      <c r="H23" s="489">
        <v>81315</v>
      </c>
      <c r="I23" s="2619">
        <f t="shared" si="41"/>
        <v>196990</v>
      </c>
      <c r="J23" s="830">
        <f>+F23+H23</f>
        <v>182886</v>
      </c>
      <c r="K23" s="2618">
        <v>229245.92226900926</v>
      </c>
      <c r="L23" s="489">
        <v>197515</v>
      </c>
      <c r="M23" s="2620">
        <f t="shared" si="42"/>
        <v>426235.92226900929</v>
      </c>
      <c r="N23" s="1009">
        <f>+J23+L23</f>
        <v>380401</v>
      </c>
      <c r="O23" s="2618">
        <v>237043.22152848364</v>
      </c>
      <c r="P23" s="999">
        <v>190458</v>
      </c>
      <c r="Q23" s="2619">
        <f t="shared" si="43"/>
        <v>663279.14379749296</v>
      </c>
      <c r="R23" s="830">
        <f>+N23+P23</f>
        <v>570859</v>
      </c>
      <c r="S23" s="2618">
        <v>237236.8229998548</v>
      </c>
      <c r="T23" s="999">
        <v>207212</v>
      </c>
      <c r="U23" s="2619">
        <f t="shared" si="44"/>
        <v>900515.96679734776</v>
      </c>
      <c r="V23" s="830">
        <f>+R23+T23</f>
        <v>778071</v>
      </c>
      <c r="W23" s="2618">
        <v>230724.55350660667</v>
      </c>
      <c r="X23" s="999">
        <v>201504</v>
      </c>
      <c r="Y23" s="3528">
        <f t="shared" si="31"/>
        <v>705004.59803494508</v>
      </c>
      <c r="Z23" s="3528">
        <f t="shared" si="31"/>
        <v>599174</v>
      </c>
      <c r="AA23" s="2621">
        <f t="shared" si="45"/>
        <v>1131240.5203039544</v>
      </c>
      <c r="AB23" s="1202">
        <f>+V23+X23</f>
        <v>979575</v>
      </c>
      <c r="AC23" s="2618">
        <v>238565.41309713954</v>
      </c>
      <c r="AD23" s="999">
        <v>214435</v>
      </c>
      <c r="AE23" s="2619">
        <f t="shared" si="46"/>
        <v>1369805.9334010938</v>
      </c>
      <c r="AF23" s="830">
        <f>+AB23+AD23</f>
        <v>1194010</v>
      </c>
      <c r="AG23" s="2618">
        <v>230724.55350660667</v>
      </c>
      <c r="AH23" s="999">
        <v>197611</v>
      </c>
      <c r="AI23" s="2619">
        <f t="shared" si="47"/>
        <v>1600530.4869077005</v>
      </c>
      <c r="AJ23" s="830">
        <f>+AF23+AH23</f>
        <v>1391621</v>
      </c>
      <c r="AK23" s="2618">
        <v>238565.41309713954</v>
      </c>
      <c r="AL23" s="999">
        <v>220097</v>
      </c>
      <c r="AM23" s="3528">
        <f t="shared" si="48"/>
        <v>707855.37970088574</v>
      </c>
      <c r="AN23" s="3528">
        <f t="shared" si="35"/>
        <v>632143</v>
      </c>
      <c r="AO23" s="2619">
        <f t="shared" si="49"/>
        <v>1839095.90000484</v>
      </c>
      <c r="AP23" s="830">
        <f>+AJ23+AL23</f>
        <v>1611718</v>
      </c>
      <c r="AQ23" s="2618">
        <v>238565.41309713954</v>
      </c>
      <c r="AR23" s="999">
        <v>224640</v>
      </c>
      <c r="AS23" s="2619">
        <f t="shared" si="50"/>
        <v>2077661.3131019794</v>
      </c>
      <c r="AT23" s="830">
        <f>+AP23+AR23</f>
        <v>1836358</v>
      </c>
      <c r="AU23" s="2618">
        <v>211338.24113063258</v>
      </c>
      <c r="AV23" s="999">
        <v>200321</v>
      </c>
      <c r="AW23" s="2619">
        <f t="shared" si="51"/>
        <v>2288999.5542326123</v>
      </c>
      <c r="AX23" s="830">
        <f>+AT23+AV23</f>
        <v>2036679</v>
      </c>
      <c r="AY23" s="2618">
        <v>238565.41309713954</v>
      </c>
      <c r="AZ23" s="999">
        <v>222729</v>
      </c>
      <c r="BA23" s="4249">
        <f t="shared" si="52"/>
        <v>688469.06732491171</v>
      </c>
      <c r="BB23" s="4249">
        <f t="shared" si="39"/>
        <v>647690</v>
      </c>
      <c r="BC23" s="2621">
        <f>+AM23+BA23</f>
        <v>1396324.4470257973</v>
      </c>
      <c r="BD23" s="4377">
        <f>+AN23+BB23</f>
        <v>1279833</v>
      </c>
      <c r="BE23" s="2619">
        <f t="shared" si="53"/>
        <v>2527564.9673297517</v>
      </c>
      <c r="BF23" s="830">
        <f>+AX23+AZ23</f>
        <v>2259408</v>
      </c>
    </row>
    <row r="24" spans="1:58" s="334" customFormat="1" ht="20.100000000000001" customHeight="1" x14ac:dyDescent="0.25">
      <c r="A24" s="851" t="s">
        <v>515</v>
      </c>
      <c r="B24" s="690" t="s">
        <v>329</v>
      </c>
      <c r="C24" s="622"/>
      <c r="D24" s="622"/>
      <c r="E24" s="622"/>
      <c r="F24" s="622"/>
      <c r="G24" s="622"/>
      <c r="H24" s="622"/>
      <c r="I24" s="622"/>
      <c r="J24" s="622"/>
      <c r="K24" s="622"/>
      <c r="L24" s="622"/>
      <c r="M24" s="622"/>
      <c r="N24" s="622"/>
      <c r="O24" s="622"/>
      <c r="P24" s="622"/>
      <c r="Q24" s="622"/>
      <c r="R24" s="622"/>
      <c r="S24" s="622"/>
      <c r="T24" s="622"/>
      <c r="U24" s="622"/>
      <c r="V24" s="622"/>
      <c r="W24" s="622"/>
      <c r="X24" s="622"/>
      <c r="Y24" s="622"/>
      <c r="Z24" s="622"/>
      <c r="AA24" s="622"/>
      <c r="AB24" s="622"/>
      <c r="AC24" s="622"/>
      <c r="AD24" s="622"/>
      <c r="AE24" s="622"/>
      <c r="AF24" s="622"/>
      <c r="AG24" s="622"/>
      <c r="AH24" s="622"/>
      <c r="AI24" s="622"/>
      <c r="AJ24" s="622"/>
      <c r="AK24" s="622"/>
      <c r="AL24" s="622"/>
      <c r="AM24" s="622"/>
      <c r="AN24" s="622"/>
      <c r="AO24" s="622"/>
      <c r="AP24" s="622"/>
      <c r="AQ24" s="622"/>
      <c r="AR24" s="622"/>
      <c r="AS24" s="622"/>
      <c r="AT24" s="622"/>
      <c r="AU24" s="622"/>
      <c r="AV24" s="622"/>
      <c r="AW24" s="622"/>
      <c r="AX24" s="622"/>
      <c r="AY24" s="622"/>
      <c r="AZ24" s="622"/>
      <c r="BA24" s="622"/>
      <c r="BB24" s="622"/>
      <c r="BC24" s="622"/>
      <c r="BD24" s="622"/>
      <c r="BE24" s="622"/>
      <c r="BF24" s="622"/>
    </row>
    <row r="25" spans="1:58" ht="20.100000000000001" customHeight="1" x14ac:dyDescent="0.25">
      <c r="A25" s="339" t="s">
        <v>515</v>
      </c>
      <c r="B25" s="2612" t="s">
        <v>314</v>
      </c>
      <c r="C25" s="2613" t="s">
        <v>201</v>
      </c>
      <c r="D25" s="5039">
        <f>+D32/150</f>
        <v>12133.42</v>
      </c>
      <c r="E25" s="5039">
        <f>+E32/150</f>
        <v>534.48</v>
      </c>
      <c r="F25" s="1001">
        <v>291.00286276467853</v>
      </c>
      <c r="G25" s="5039">
        <f>+G32/150</f>
        <v>634.79999999999995</v>
      </c>
      <c r="H25" s="1001">
        <v>229.01443241395981</v>
      </c>
      <c r="I25" s="4957">
        <f>+E25+G25</f>
        <v>1169.28</v>
      </c>
      <c r="J25" s="831">
        <f t="shared" ref="J25:J27" si="54">+F25+H25</f>
        <v>520.01729517863828</v>
      </c>
      <c r="K25" s="5039">
        <f>+K32/150</f>
        <v>1083</v>
      </c>
      <c r="L25" s="1001">
        <v>478.02745347151426</v>
      </c>
      <c r="M25" s="4953">
        <f>+I25+K25</f>
        <v>2252.2799999999997</v>
      </c>
      <c r="N25" s="4540">
        <f t="shared" ref="N25:N27" si="55">+J25+L25</f>
        <v>998.04474865015254</v>
      </c>
      <c r="O25" s="5039">
        <f>+O32/150</f>
        <v>1121</v>
      </c>
      <c r="P25" s="1001">
        <v>482.99354787999368</v>
      </c>
      <c r="Q25" s="4957">
        <f>+M25+O25</f>
        <v>3373.2799999999997</v>
      </c>
      <c r="R25" s="831">
        <f t="shared" ref="R25:R27" si="56">+N25+P25</f>
        <v>1481.0382965301462</v>
      </c>
      <c r="S25" s="5039">
        <f>+S32/150</f>
        <v>1121</v>
      </c>
      <c r="T25" s="1001">
        <v>506.97916001535077</v>
      </c>
      <c r="U25" s="4957">
        <f>+Q25+S25</f>
        <v>4494.28</v>
      </c>
      <c r="V25" s="831">
        <f t="shared" ref="V25:V27" si="57">+R25+T25</f>
        <v>1988.017456545497</v>
      </c>
      <c r="W25" s="5039">
        <f>+W32/150</f>
        <v>1083</v>
      </c>
      <c r="X25" s="1001">
        <v>517.99487677201478</v>
      </c>
      <c r="Y25" s="4953">
        <f>+W25+S25+O25</f>
        <v>3325</v>
      </c>
      <c r="Z25" s="3528">
        <f t="shared" si="31"/>
        <v>1507.9675846673592</v>
      </c>
      <c r="AA25" s="4972">
        <f>+U25+W25</f>
        <v>5577.28</v>
      </c>
      <c r="AB25" s="4543">
        <f t="shared" ref="AB25:AB27" si="58">+V25+X25</f>
        <v>2506.0123333175115</v>
      </c>
      <c r="AC25" s="5039">
        <f>+AC32/150</f>
        <v>1121</v>
      </c>
      <c r="AD25" s="1001">
        <v>526.99605773935491</v>
      </c>
      <c r="AE25" s="4957">
        <f>+AA25+AC25</f>
        <v>6698.28</v>
      </c>
      <c r="AF25" s="831">
        <f t="shared" ref="AF25:AF27" si="59">+AB25+AD25</f>
        <v>3033.0083910568665</v>
      </c>
      <c r="AG25" s="5039">
        <f>+AG32/150</f>
        <v>1083</v>
      </c>
      <c r="AH25" s="1001">
        <v>461.97175045529627</v>
      </c>
      <c r="AI25" s="4957">
        <f>+AE25+AG25</f>
        <v>7781.28</v>
      </c>
      <c r="AJ25" s="831">
        <f t="shared" ref="AJ25:AJ27" si="60">+AF25+AH25</f>
        <v>3494.9801415121628</v>
      </c>
      <c r="AK25" s="5039">
        <f>+AK32/150</f>
        <v>1121</v>
      </c>
      <c r="AL25" s="1001">
        <v>590.96462654034099</v>
      </c>
      <c r="AM25" s="4953">
        <f>+AK25+AG25+AC25</f>
        <v>3325</v>
      </c>
      <c r="AN25" s="3528">
        <f t="shared" ref="AN25:AN27" si="61">+AL25+AH25+AD25</f>
        <v>1579.9324347349921</v>
      </c>
      <c r="AO25" s="4957">
        <f>+AI25+AK25</f>
        <v>8902.2799999999988</v>
      </c>
      <c r="AP25" s="831">
        <f t="shared" ref="AP25:AP27" si="62">+AJ25+AL25</f>
        <v>4085.9447680525036</v>
      </c>
      <c r="AQ25" s="5039">
        <f>+AQ32/150</f>
        <v>1121</v>
      </c>
      <c r="AR25" s="1001">
        <v>549.99549538230031</v>
      </c>
      <c r="AS25" s="4957">
        <f>+AO25+AQ25</f>
        <v>10023.279999999999</v>
      </c>
      <c r="AT25" s="831">
        <f t="shared" ref="AT25:AT27" si="63">+AP25+AR25</f>
        <v>4635.9402634348044</v>
      </c>
      <c r="AU25" s="5039">
        <f>+AU32/150</f>
        <v>989.14</v>
      </c>
      <c r="AV25" s="1001">
        <v>511.00784776374763</v>
      </c>
      <c r="AW25" s="4957">
        <f>+AS25+AU25</f>
        <v>11012.419999999998</v>
      </c>
      <c r="AX25" s="831">
        <f t="shared" ref="AX25:AX27" si="64">+AT25+AV25</f>
        <v>5146.9481111985524</v>
      </c>
      <c r="AY25" s="5039">
        <f>+AY32/150</f>
        <v>1121</v>
      </c>
      <c r="AZ25" s="1001">
        <v>581.97305425510967</v>
      </c>
      <c r="BA25" s="4953">
        <f>+AY25+AU25+AQ25</f>
        <v>3231.14</v>
      </c>
      <c r="BB25" s="4249">
        <f t="shared" ref="BB25:BB27" si="65">+AZ25+AV25+AR25</f>
        <v>1642.9763974011576</v>
      </c>
      <c r="BC25" s="4972">
        <f>+AM25+BA25</f>
        <v>6556.1399999999994</v>
      </c>
      <c r="BD25" s="4254">
        <f>+AN25+BB25</f>
        <v>3222.9088321361496</v>
      </c>
      <c r="BE25" s="4957">
        <f>+AW25+AY25</f>
        <v>12133.419999999998</v>
      </c>
      <c r="BF25" s="4518">
        <f t="shared" ref="BF25:BF27" si="66">+AX25+AZ25</f>
        <v>5728.9211654536621</v>
      </c>
    </row>
    <row r="26" spans="1:58" ht="20.100000000000001" customHeight="1" x14ac:dyDescent="0.25">
      <c r="A26" s="339" t="s">
        <v>515</v>
      </c>
      <c r="B26" s="2622" t="s">
        <v>315</v>
      </c>
      <c r="C26" s="2572" t="s">
        <v>201</v>
      </c>
      <c r="D26" s="5041"/>
      <c r="E26" s="5041"/>
      <c r="F26" s="1001">
        <v>265.00286276467853</v>
      </c>
      <c r="G26" s="5041"/>
      <c r="H26" s="1001">
        <v>229.01443241395981</v>
      </c>
      <c r="I26" s="4968"/>
      <c r="J26" s="831">
        <f t="shared" si="54"/>
        <v>494.01729517863834</v>
      </c>
      <c r="K26" s="5041"/>
      <c r="L26" s="1001">
        <v>495.02745347151426</v>
      </c>
      <c r="M26" s="4978"/>
      <c r="N26" s="4540">
        <f t="shared" si="55"/>
        <v>989.04474865015254</v>
      </c>
      <c r="O26" s="5041"/>
      <c r="P26" s="1001">
        <v>548.99354787999368</v>
      </c>
      <c r="Q26" s="4968"/>
      <c r="R26" s="831">
        <f t="shared" si="56"/>
        <v>1538.0382965301462</v>
      </c>
      <c r="S26" s="5041"/>
      <c r="T26" s="1001">
        <v>518.97916001535077</v>
      </c>
      <c r="U26" s="4968"/>
      <c r="V26" s="831">
        <f t="shared" si="57"/>
        <v>2057.0174565454972</v>
      </c>
      <c r="W26" s="5041"/>
      <c r="X26" s="1001">
        <v>537.99487677201478</v>
      </c>
      <c r="Y26" s="4978"/>
      <c r="Z26" s="3528">
        <f t="shared" si="31"/>
        <v>1605.9675846673592</v>
      </c>
      <c r="AA26" s="4973"/>
      <c r="AB26" s="4543">
        <f t="shared" si="58"/>
        <v>2595.012333317512</v>
      </c>
      <c r="AC26" s="5041"/>
      <c r="AD26" s="1001">
        <v>605.99605773935491</v>
      </c>
      <c r="AE26" s="4968"/>
      <c r="AF26" s="831">
        <f t="shared" si="59"/>
        <v>3201.0083910568669</v>
      </c>
      <c r="AG26" s="5041"/>
      <c r="AH26" s="1001">
        <v>545.97175045529627</v>
      </c>
      <c r="AI26" s="4968"/>
      <c r="AJ26" s="831">
        <f t="shared" si="60"/>
        <v>3746.9801415121633</v>
      </c>
      <c r="AK26" s="5041"/>
      <c r="AL26" s="1001">
        <v>530.96462654034099</v>
      </c>
      <c r="AM26" s="4978"/>
      <c r="AN26" s="3528">
        <f t="shared" si="61"/>
        <v>1682.9324347349921</v>
      </c>
      <c r="AO26" s="4968"/>
      <c r="AP26" s="831">
        <f t="shared" si="62"/>
        <v>4277.9447680525045</v>
      </c>
      <c r="AQ26" s="5041"/>
      <c r="AR26" s="1001">
        <v>554.99549538230031</v>
      </c>
      <c r="AS26" s="4968"/>
      <c r="AT26" s="831">
        <f t="shared" si="63"/>
        <v>4832.9402634348044</v>
      </c>
      <c r="AU26" s="5041"/>
      <c r="AV26" s="1001">
        <v>507.00784776374763</v>
      </c>
      <c r="AW26" s="4968"/>
      <c r="AX26" s="831">
        <f t="shared" si="64"/>
        <v>5339.9481111985524</v>
      </c>
      <c r="AY26" s="5041"/>
      <c r="AZ26" s="1001">
        <v>578.97305425510967</v>
      </c>
      <c r="BA26" s="4978"/>
      <c r="BB26" s="4249">
        <f t="shared" si="65"/>
        <v>1640.9763974011576</v>
      </c>
      <c r="BC26" s="4973"/>
      <c r="BD26" s="4254">
        <f>+AN26+BB26</f>
        <v>3323.9088321361496</v>
      </c>
      <c r="BE26" s="4968"/>
      <c r="BF26" s="4518">
        <f t="shared" si="66"/>
        <v>5918.9211654536621</v>
      </c>
    </row>
    <row r="27" spans="1:58" ht="20.100000000000001" customHeight="1" thickBot="1" x14ac:dyDescent="0.3">
      <c r="A27" s="339" t="s">
        <v>515</v>
      </c>
      <c r="B27" s="2623" t="s">
        <v>316</v>
      </c>
      <c r="C27" s="2583" t="s">
        <v>201</v>
      </c>
      <c r="D27" s="2624">
        <f>+D41/150</f>
        <v>4211.5</v>
      </c>
      <c r="E27" s="2624">
        <f>+E41/150</f>
        <v>91.5</v>
      </c>
      <c r="F27" s="1001">
        <v>96.994274470642893</v>
      </c>
      <c r="G27" s="2624">
        <f>+G41/150</f>
        <v>13.086666666666666</v>
      </c>
      <c r="H27" s="1001">
        <v>62.971135172080388</v>
      </c>
      <c r="I27" s="2619">
        <f>+E27+G27</f>
        <v>104.58666666666667</v>
      </c>
      <c r="J27" s="831">
        <f t="shared" si="54"/>
        <v>159.96540964272327</v>
      </c>
      <c r="K27" s="2624">
        <f>+K41/150</f>
        <v>399.46</v>
      </c>
      <c r="L27" s="1001">
        <v>292.94509305697147</v>
      </c>
      <c r="M27" s="2620">
        <f>+I27+K27</f>
        <v>504.04666666666662</v>
      </c>
      <c r="N27" s="4540">
        <f t="shared" si="55"/>
        <v>452.91050269969475</v>
      </c>
      <c r="O27" s="2624">
        <f>+O41/150</f>
        <v>411.88</v>
      </c>
      <c r="P27" s="1001">
        <v>202.01290424001266</v>
      </c>
      <c r="Q27" s="2619">
        <f>+M27+O27</f>
        <v>915.92666666666662</v>
      </c>
      <c r="R27" s="831">
        <f t="shared" si="56"/>
        <v>654.92340693970743</v>
      </c>
      <c r="S27" s="2624">
        <f>+S41/150</f>
        <v>413.13333333333333</v>
      </c>
      <c r="T27" s="1001">
        <v>320.04167996929851</v>
      </c>
      <c r="U27" s="2619">
        <f>+Q27+S27</f>
        <v>1329.06</v>
      </c>
      <c r="V27" s="831">
        <f t="shared" si="57"/>
        <v>974.965086909006</v>
      </c>
      <c r="W27" s="2624">
        <f>+W41/150</f>
        <v>409.02</v>
      </c>
      <c r="X27" s="1001">
        <v>245.01024645597047</v>
      </c>
      <c r="Y27" s="3528">
        <f t="shared" si="31"/>
        <v>1234.0333333333333</v>
      </c>
      <c r="Z27" s="3528">
        <f t="shared" si="31"/>
        <v>767.06483066528165</v>
      </c>
      <c r="AA27" s="2621">
        <f>+U27+W27</f>
        <v>1738.08</v>
      </c>
      <c r="AB27" s="4543">
        <f t="shared" si="58"/>
        <v>1219.9753333649764</v>
      </c>
      <c r="AC27" s="2624">
        <f>+AC41/150</f>
        <v>421.72</v>
      </c>
      <c r="AD27" s="1001">
        <v>252.00788452129026</v>
      </c>
      <c r="AE27" s="2619">
        <f>+AA27+AC27</f>
        <v>2159.8000000000002</v>
      </c>
      <c r="AF27" s="831">
        <f t="shared" si="59"/>
        <v>1471.9832178862666</v>
      </c>
      <c r="AG27" s="2624">
        <f>+AG41/150</f>
        <v>409.02</v>
      </c>
      <c r="AH27" s="1001">
        <v>279.05649908940745</v>
      </c>
      <c r="AI27" s="2619">
        <f>+AE27+AG27</f>
        <v>2568.8200000000002</v>
      </c>
      <c r="AJ27" s="831">
        <f t="shared" si="60"/>
        <v>1751.0397169756741</v>
      </c>
      <c r="AK27" s="2624">
        <f>+AK41/150</f>
        <v>421.72</v>
      </c>
      <c r="AL27" s="1001">
        <v>313.07074691931803</v>
      </c>
      <c r="AM27" s="3528">
        <f t="shared" ref="AM27" si="67">+AK27+AG27+AC27</f>
        <v>1252.46</v>
      </c>
      <c r="AN27" s="3528">
        <f t="shared" si="61"/>
        <v>844.13513053001577</v>
      </c>
      <c r="AO27" s="2619">
        <f>+AI27+AK27</f>
        <v>2990.54</v>
      </c>
      <c r="AP27" s="831">
        <f t="shared" si="62"/>
        <v>2064.1104638949919</v>
      </c>
      <c r="AQ27" s="2624">
        <f>+AQ41/150</f>
        <v>421.72</v>
      </c>
      <c r="AR27" s="1001">
        <v>348.00900923539945</v>
      </c>
      <c r="AS27" s="2619">
        <f>+AO27+AQ27</f>
        <v>3412.26</v>
      </c>
      <c r="AT27" s="831">
        <f t="shared" si="63"/>
        <v>2412.1194731303913</v>
      </c>
      <c r="AU27" s="2624">
        <f>+AU41/150</f>
        <v>377.51333333333332</v>
      </c>
      <c r="AV27" s="1001">
        <v>271.98430447250468</v>
      </c>
      <c r="AW27" s="2619">
        <f>+AS27+AU27</f>
        <v>3789.7733333333335</v>
      </c>
      <c r="AX27" s="831">
        <f t="shared" si="64"/>
        <v>2684.1037776028961</v>
      </c>
      <c r="AY27" s="2624">
        <f>+AY41/150</f>
        <v>421.72</v>
      </c>
      <c r="AZ27" s="1001">
        <v>292.05389148978077</v>
      </c>
      <c r="BA27" s="4249">
        <f t="shared" ref="BA27" si="68">+AY27+AU27+AQ27</f>
        <v>1220.9533333333334</v>
      </c>
      <c r="BB27" s="4249">
        <f t="shared" si="65"/>
        <v>912.04720519768489</v>
      </c>
      <c r="BC27" s="2621">
        <f>+AM27+BA27</f>
        <v>2473.4133333333334</v>
      </c>
      <c r="BD27" s="4254">
        <f>+AN27+BB27</f>
        <v>1756.1823357277008</v>
      </c>
      <c r="BE27" s="2619">
        <f>+AW27+AY27</f>
        <v>4211.4933333333338</v>
      </c>
      <c r="BF27" s="4518">
        <f t="shared" si="66"/>
        <v>2976.1576690926768</v>
      </c>
    </row>
    <row r="28" spans="1:58" ht="20.100000000000001" customHeight="1" thickBot="1" x14ac:dyDescent="0.3">
      <c r="A28" s="339"/>
      <c r="B28" s="2381" t="s">
        <v>317</v>
      </c>
      <c r="C28" s="2571" t="s">
        <v>201</v>
      </c>
      <c r="D28" s="2069">
        <f t="shared" ref="D28:J28" si="69">SUM(D25:D27)</f>
        <v>16344.92</v>
      </c>
      <c r="E28" s="2069">
        <f t="shared" si="69"/>
        <v>625.98</v>
      </c>
      <c r="F28" s="487">
        <f t="shared" si="69"/>
        <v>653</v>
      </c>
      <c r="G28" s="2069">
        <f t="shared" ref="G28:H28" si="70">SUM(G25:G27)</f>
        <v>647.88666666666666</v>
      </c>
      <c r="H28" s="487">
        <f t="shared" si="70"/>
        <v>521</v>
      </c>
      <c r="I28" s="1577">
        <f t="shared" si="69"/>
        <v>1273.8666666666666</v>
      </c>
      <c r="J28" s="828">
        <f t="shared" si="69"/>
        <v>1173.9999999999998</v>
      </c>
      <c r="K28" s="2069">
        <f t="shared" ref="K28:N28" si="71">SUM(K25:K27)</f>
        <v>1482.46</v>
      </c>
      <c r="L28" s="487">
        <f t="shared" si="71"/>
        <v>1266</v>
      </c>
      <c r="M28" s="2005">
        <f t="shared" si="71"/>
        <v>2756.3266666666664</v>
      </c>
      <c r="N28" s="1007">
        <f t="shared" si="71"/>
        <v>2440</v>
      </c>
      <c r="O28" s="2069">
        <f t="shared" ref="O28" si="72">SUM(O25:O27)</f>
        <v>1532.88</v>
      </c>
      <c r="P28" s="997">
        <f t="shared" ref="P28:S28" si="73">SUM(P25:P27)</f>
        <v>1234</v>
      </c>
      <c r="Q28" s="1577">
        <f t="shared" si="73"/>
        <v>4289.206666666666</v>
      </c>
      <c r="R28" s="828">
        <f t="shared" si="73"/>
        <v>3674</v>
      </c>
      <c r="S28" s="2069">
        <f t="shared" si="73"/>
        <v>1534.1333333333332</v>
      </c>
      <c r="T28" s="997">
        <f t="shared" ref="T28:W28" si="74">SUM(T25:T27)</f>
        <v>1346</v>
      </c>
      <c r="U28" s="1577">
        <f t="shared" si="74"/>
        <v>5823.34</v>
      </c>
      <c r="V28" s="828">
        <f t="shared" si="74"/>
        <v>5020</v>
      </c>
      <c r="W28" s="2069">
        <f t="shared" si="74"/>
        <v>1492.02</v>
      </c>
      <c r="X28" s="997">
        <f t="shared" ref="X28" si="75">SUM(X25:X27)</f>
        <v>1301</v>
      </c>
      <c r="Y28" s="2005">
        <f t="shared" ref="Y28:AF28" si="76">SUM(Y25:Y27)</f>
        <v>4559.0333333333328</v>
      </c>
      <c r="Z28" s="1007">
        <f t="shared" si="76"/>
        <v>3881</v>
      </c>
      <c r="AA28" s="2006">
        <f t="shared" si="76"/>
        <v>7315.36</v>
      </c>
      <c r="AB28" s="1200">
        <f t="shared" si="76"/>
        <v>6321</v>
      </c>
      <c r="AC28" s="2069">
        <f t="shared" si="76"/>
        <v>1542.72</v>
      </c>
      <c r="AD28" s="997">
        <f t="shared" si="76"/>
        <v>1385</v>
      </c>
      <c r="AE28" s="1577">
        <f t="shared" si="76"/>
        <v>8858.08</v>
      </c>
      <c r="AF28" s="828">
        <f t="shared" si="76"/>
        <v>7706</v>
      </c>
      <c r="AG28" s="2069">
        <f t="shared" ref="AG28:AJ28" si="77">SUM(AG25:AG27)</f>
        <v>1492.02</v>
      </c>
      <c r="AH28" s="997">
        <f t="shared" si="77"/>
        <v>1287</v>
      </c>
      <c r="AI28" s="1577">
        <f t="shared" si="77"/>
        <v>10350.1</v>
      </c>
      <c r="AJ28" s="828">
        <f t="shared" si="77"/>
        <v>8993</v>
      </c>
      <c r="AK28" s="2069">
        <f t="shared" ref="AK28:AN28" si="78">SUM(AK25:AK27)</f>
        <v>1542.72</v>
      </c>
      <c r="AL28" s="997">
        <f t="shared" si="78"/>
        <v>1435</v>
      </c>
      <c r="AM28" s="2005">
        <f t="shared" si="78"/>
        <v>4577.46</v>
      </c>
      <c r="AN28" s="1007">
        <f t="shared" si="78"/>
        <v>4107</v>
      </c>
      <c r="AO28" s="1577">
        <f t="shared" ref="AO28:AT28" si="79">SUM(AO25:AO27)</f>
        <v>11892.82</v>
      </c>
      <c r="AP28" s="828">
        <f t="shared" si="79"/>
        <v>10428</v>
      </c>
      <c r="AQ28" s="2069">
        <f t="shared" si="79"/>
        <v>1542.72</v>
      </c>
      <c r="AR28" s="997">
        <f t="shared" si="79"/>
        <v>1453</v>
      </c>
      <c r="AS28" s="1577">
        <f t="shared" si="79"/>
        <v>13435.539999999999</v>
      </c>
      <c r="AT28" s="828">
        <f t="shared" si="79"/>
        <v>11881</v>
      </c>
      <c r="AU28" s="2069">
        <f t="shared" ref="AU28:AX28" si="80">SUM(AU25:AU27)</f>
        <v>1366.6533333333332</v>
      </c>
      <c r="AV28" s="997">
        <f t="shared" si="80"/>
        <v>1290</v>
      </c>
      <c r="AW28" s="1577">
        <f t="shared" si="80"/>
        <v>14802.193333333333</v>
      </c>
      <c r="AX28" s="828">
        <f t="shared" si="80"/>
        <v>13171</v>
      </c>
      <c r="AY28" s="2069">
        <f t="shared" ref="AY28:BF28" si="81">SUM(AY25:AY27)</f>
        <v>1542.72</v>
      </c>
      <c r="AZ28" s="997">
        <f t="shared" si="81"/>
        <v>1453</v>
      </c>
      <c r="BA28" s="2005">
        <f t="shared" si="81"/>
        <v>4452.0933333333332</v>
      </c>
      <c r="BB28" s="1007">
        <f t="shared" si="81"/>
        <v>4196</v>
      </c>
      <c r="BC28" s="2006">
        <f t="shared" si="81"/>
        <v>9029.5533333333333</v>
      </c>
      <c r="BD28" s="1200">
        <f t="shared" si="81"/>
        <v>8303</v>
      </c>
      <c r="BE28" s="1577">
        <f t="shared" si="81"/>
        <v>16344.913333333332</v>
      </c>
      <c r="BF28" s="828">
        <f t="shared" si="81"/>
        <v>14624</v>
      </c>
    </row>
    <row r="29" spans="1:58" ht="20.100000000000001" customHeight="1" thickBot="1" x14ac:dyDescent="0.3">
      <c r="A29" s="339"/>
      <c r="B29" s="2381" t="s">
        <v>618</v>
      </c>
      <c r="C29" s="3530" t="s">
        <v>392</v>
      </c>
      <c r="D29" s="469">
        <f t="shared" ref="D29" si="82">+D28/D2</f>
        <v>44.780602739726028</v>
      </c>
      <c r="E29" s="469">
        <f t="shared" ref="E29:AF29" si="83">+E28/E2</f>
        <v>20.866</v>
      </c>
      <c r="F29" s="469">
        <f t="shared" si="83"/>
        <v>21.766666666666666</v>
      </c>
      <c r="G29" s="469">
        <f t="shared" si="83"/>
        <v>20.899569892473117</v>
      </c>
      <c r="H29" s="469">
        <f t="shared" si="83"/>
        <v>16.806451612903224</v>
      </c>
      <c r="I29" s="826">
        <f t="shared" si="83"/>
        <v>20.883060109289616</v>
      </c>
      <c r="J29" s="826">
        <f t="shared" si="83"/>
        <v>19.245901639344257</v>
      </c>
      <c r="K29" s="469">
        <f t="shared" si="83"/>
        <v>49.415333333333336</v>
      </c>
      <c r="L29" s="469">
        <f t="shared" si="83"/>
        <v>42.2</v>
      </c>
      <c r="M29" s="1005">
        <f t="shared" si="83"/>
        <v>30.289304029304027</v>
      </c>
      <c r="N29" s="1005">
        <f t="shared" si="83"/>
        <v>26.813186813186814</v>
      </c>
      <c r="O29" s="469">
        <f t="shared" si="83"/>
        <v>49.447741935483876</v>
      </c>
      <c r="P29" s="995">
        <f t="shared" si="83"/>
        <v>39.806451612903224</v>
      </c>
      <c r="Q29" s="826">
        <f t="shared" si="83"/>
        <v>35.157431693989068</v>
      </c>
      <c r="R29" s="826">
        <f t="shared" si="83"/>
        <v>30.114754098360656</v>
      </c>
      <c r="S29" s="469">
        <f t="shared" ref="S29:V29" si="84">+S28/S2</f>
        <v>49.488172043010749</v>
      </c>
      <c r="T29" s="995">
        <f t="shared" si="84"/>
        <v>43.41935483870968</v>
      </c>
      <c r="U29" s="826">
        <f t="shared" si="84"/>
        <v>38.061045751633991</v>
      </c>
      <c r="V29" s="826">
        <f t="shared" si="84"/>
        <v>32.810457516339866</v>
      </c>
      <c r="W29" s="469">
        <f t="shared" ref="W29:X29" si="85">+W28/W2</f>
        <v>49.734000000000002</v>
      </c>
      <c r="X29" s="995">
        <f t="shared" si="85"/>
        <v>43.366666666666667</v>
      </c>
      <c r="Y29" s="1005">
        <f t="shared" si="83"/>
        <v>24.912750455373402</v>
      </c>
      <c r="Z29" s="1005">
        <f t="shared" si="83"/>
        <v>21.207650273224044</v>
      </c>
      <c r="AA29" s="1198">
        <f t="shared" si="83"/>
        <v>39.974644808743165</v>
      </c>
      <c r="AB29" s="1198">
        <f t="shared" si="83"/>
        <v>34.540983606557376</v>
      </c>
      <c r="AC29" s="469">
        <f t="shared" si="83"/>
        <v>49.765161290322581</v>
      </c>
      <c r="AD29" s="995">
        <f t="shared" si="83"/>
        <v>44.677419354838712</v>
      </c>
      <c r="AE29" s="826">
        <f t="shared" si="83"/>
        <v>41.392897196261679</v>
      </c>
      <c r="AF29" s="826">
        <f t="shared" si="83"/>
        <v>36.009345794392523</v>
      </c>
      <c r="AG29" s="469">
        <f t="shared" ref="AG29:AJ29" si="86">+AG28/AG2</f>
        <v>49.734000000000002</v>
      </c>
      <c r="AH29" s="995">
        <f t="shared" si="86"/>
        <v>42.9</v>
      </c>
      <c r="AI29" s="826">
        <f t="shared" si="86"/>
        <v>42.41844262295082</v>
      </c>
      <c r="AJ29" s="826">
        <f t="shared" si="86"/>
        <v>36.856557377049178</v>
      </c>
      <c r="AK29" s="469">
        <f t="shared" ref="AK29:AN29" si="87">+AK28/AK2</f>
        <v>49.765161290322581</v>
      </c>
      <c r="AL29" s="995">
        <f t="shared" si="87"/>
        <v>46.29032258064516</v>
      </c>
      <c r="AM29" s="1005">
        <f t="shared" si="87"/>
        <v>49.755000000000003</v>
      </c>
      <c r="AN29" s="1005">
        <f t="shared" si="87"/>
        <v>44.641304347826086</v>
      </c>
      <c r="AO29" s="826">
        <f t="shared" ref="AO29:AT29" si="88">+AO28/AO2</f>
        <v>43.246618181818178</v>
      </c>
      <c r="AP29" s="826">
        <f t="shared" si="88"/>
        <v>37.92</v>
      </c>
      <c r="AQ29" s="469">
        <f t="shared" si="88"/>
        <v>49.765161290322581</v>
      </c>
      <c r="AR29" s="995">
        <f t="shared" si="88"/>
        <v>46.87096774193548</v>
      </c>
      <c r="AS29" s="826">
        <f t="shared" si="88"/>
        <v>43.906993464052285</v>
      </c>
      <c r="AT29" s="826">
        <f t="shared" si="88"/>
        <v>38.826797385620914</v>
      </c>
      <c r="AU29" s="469">
        <f t="shared" ref="AU29:AX29" si="89">+AU28/AU2</f>
        <v>48.809047619047611</v>
      </c>
      <c r="AV29" s="995">
        <f t="shared" si="89"/>
        <v>46.071428571428569</v>
      </c>
      <c r="AW29" s="826">
        <f t="shared" si="89"/>
        <v>44.317944111776448</v>
      </c>
      <c r="AX29" s="826">
        <f t="shared" si="89"/>
        <v>39.434131736526943</v>
      </c>
      <c r="AY29" s="469">
        <f t="shared" ref="AY29:BF29" si="90">+AY28/AY2</f>
        <v>49.765161290322581</v>
      </c>
      <c r="AZ29" s="995">
        <f t="shared" si="90"/>
        <v>46.87096774193548</v>
      </c>
      <c r="BA29" s="1005">
        <f t="shared" si="90"/>
        <v>49.467703703703705</v>
      </c>
      <c r="BB29" s="1005">
        <f t="shared" si="90"/>
        <v>46.62222222222222</v>
      </c>
      <c r="BC29" s="1198">
        <f t="shared" si="90"/>
        <v>49.612930402930402</v>
      </c>
      <c r="BD29" s="1198">
        <f t="shared" si="90"/>
        <v>45.620879120879124</v>
      </c>
      <c r="BE29" s="826">
        <f t="shared" si="90"/>
        <v>44.780584474885842</v>
      </c>
      <c r="BF29" s="826">
        <f t="shared" si="90"/>
        <v>40.065753424657537</v>
      </c>
    </row>
    <row r="30" spans="1:58" ht="20.100000000000001" customHeight="1" thickBot="1" x14ac:dyDescent="0.3">
      <c r="A30" s="339"/>
      <c r="B30" s="2625" t="s">
        <v>492</v>
      </c>
      <c r="C30" s="3517" t="s">
        <v>53</v>
      </c>
      <c r="D30" s="2069">
        <f>+D23-D5</f>
        <v>75826.933933497407</v>
      </c>
      <c r="E30" s="2069">
        <f>+E23-E5</f>
        <v>2904</v>
      </c>
      <c r="F30" s="469">
        <f>+F23-F5</f>
        <v>1712</v>
      </c>
      <c r="G30" s="2069">
        <f>+G23-G5</f>
        <v>3006</v>
      </c>
      <c r="H30" s="995">
        <v>1333</v>
      </c>
      <c r="I30" s="1577">
        <f>+E30+G30</f>
        <v>5910</v>
      </c>
      <c r="J30" s="826">
        <f>+F30+H30</f>
        <v>3045</v>
      </c>
      <c r="K30" s="2069">
        <f>+K23-K5</f>
        <v>6876.9222690092574</v>
      </c>
      <c r="L30" s="469">
        <f>471+400+366+345+730</f>
        <v>2312</v>
      </c>
      <c r="M30" s="2005">
        <f>+I30+K30</f>
        <v>12786.922269009257</v>
      </c>
      <c r="N30" s="1005">
        <f>+J30+L30</f>
        <v>5357</v>
      </c>
      <c r="O30" s="2069">
        <f>+O23-O5</f>
        <v>7111.2966458545125</v>
      </c>
      <c r="P30" s="995">
        <f>780+188+296+301+770</f>
        <v>2335</v>
      </c>
      <c r="Q30" s="1577">
        <f>+M30+O30</f>
        <v>19898.21891486377</v>
      </c>
      <c r="R30" s="826">
        <f>+N30+P30</f>
        <v>7692</v>
      </c>
      <c r="S30" s="2069">
        <f>+S23-S5</f>
        <v>7117.1046899956418</v>
      </c>
      <c r="T30" s="995">
        <f>734+787+282+340+849</f>
        <v>2992</v>
      </c>
      <c r="U30" s="1577">
        <f>+Q30+S30</f>
        <v>27015.323604859412</v>
      </c>
      <c r="V30" s="826">
        <f>+R30+T30</f>
        <v>10684</v>
      </c>
      <c r="W30" s="2069">
        <f>+W23-W5</f>
        <v>6921.7366051982099</v>
      </c>
      <c r="X30" s="995">
        <f>896+745+312+337+789</f>
        <v>3079</v>
      </c>
      <c r="Y30" s="3528">
        <f t="shared" ref="Y30" si="91">+W30+S30+O30</f>
        <v>21150.137941048364</v>
      </c>
      <c r="Z30" s="3528">
        <f t="shared" ref="Z30" si="92">+X30+T30+P30</f>
        <v>8406</v>
      </c>
      <c r="AA30" s="2006">
        <f>+U30+W30</f>
        <v>33937.060210057622</v>
      </c>
      <c r="AB30" s="1198">
        <f>+V30+X30</f>
        <v>13763</v>
      </c>
      <c r="AC30" s="2069">
        <f>+AC23-AC5</f>
        <v>7156.9623929141962</v>
      </c>
      <c r="AD30" s="995">
        <f>894+785+302+340+794</f>
        <v>3115</v>
      </c>
      <c r="AE30" s="1577">
        <f>+AA30+AC30</f>
        <v>41094.022602971818</v>
      </c>
      <c r="AF30" s="826">
        <f>+AB30+AD30</f>
        <v>16878</v>
      </c>
      <c r="AG30" s="2069">
        <f>+AG23-AG5</f>
        <v>6921.7366051982099</v>
      </c>
      <c r="AH30" s="995">
        <v>2820</v>
      </c>
      <c r="AI30" s="1577">
        <f>+AE30+AG30</f>
        <v>48015.759208170028</v>
      </c>
      <c r="AJ30" s="826">
        <f>+AF30+AH30</f>
        <v>19698</v>
      </c>
      <c r="AK30" s="2069">
        <f>+AK23-AK5</f>
        <v>7157.4130971395352</v>
      </c>
      <c r="AL30" s="995">
        <v>3416</v>
      </c>
      <c r="AM30" s="3528">
        <f t="shared" ref="AM30" si="93">+AK30+AG30+AC30</f>
        <v>21236.112095251941</v>
      </c>
      <c r="AN30" s="3528">
        <f t="shared" ref="AN30" si="94">+AL30+AH30+AD30</f>
        <v>9351</v>
      </c>
      <c r="AO30" s="1577">
        <f>+AI30+AK30</f>
        <v>55173.172305309563</v>
      </c>
      <c r="AP30" s="826">
        <f>+AJ30+AL30</f>
        <v>23114</v>
      </c>
      <c r="AQ30" s="2069">
        <f>+AQ23-AQ5</f>
        <v>7156.9623929141962</v>
      </c>
      <c r="AR30" s="995">
        <v>2987</v>
      </c>
      <c r="AS30" s="1577">
        <f>+AO30+AQ30</f>
        <v>62330.134698223759</v>
      </c>
      <c r="AT30" s="826">
        <f>+AP30+AR30</f>
        <v>26101</v>
      </c>
      <c r="AU30" s="2069">
        <f>+AU23-AU5</f>
        <v>6340.1472339189786</v>
      </c>
      <c r="AV30" s="995">
        <v>2721</v>
      </c>
      <c r="AW30" s="1577">
        <f>+AS30+AU30</f>
        <v>68670.281932142738</v>
      </c>
      <c r="AX30" s="826">
        <f>+AT30+AV30</f>
        <v>28822</v>
      </c>
      <c r="AY30" s="2069">
        <f>+AY23-AY5</f>
        <v>7156.9623929141962</v>
      </c>
      <c r="AZ30" s="995">
        <v>2719</v>
      </c>
      <c r="BA30" s="4249">
        <f t="shared" ref="BA30" si="95">+AY30+AU30+AQ30</f>
        <v>20654.072019747371</v>
      </c>
      <c r="BB30" s="4249">
        <f t="shared" ref="BB30" si="96">+AZ30+AV30+AR30</f>
        <v>8427</v>
      </c>
      <c r="BC30" s="2006">
        <f>+AM30+BA30</f>
        <v>41890.184114999312</v>
      </c>
      <c r="BD30" s="1198">
        <f>+AN30+BB30</f>
        <v>17778</v>
      </c>
      <c r="BE30" s="1577">
        <f>+AW30+AY30</f>
        <v>75827.244325056934</v>
      </c>
      <c r="BF30" s="826">
        <f>+AX30+AZ30</f>
        <v>31541</v>
      </c>
    </row>
    <row r="31" spans="1:58" s="334" customFormat="1" ht="20.100000000000001" customHeight="1" thickBot="1" x14ac:dyDescent="0.3">
      <c r="B31" s="2626" t="s">
        <v>301</v>
      </c>
      <c r="C31" s="2627"/>
      <c r="D31" s="2627"/>
      <c r="E31" s="2627"/>
      <c r="F31" s="992"/>
      <c r="G31" s="2627"/>
      <c r="H31" s="992"/>
      <c r="I31" s="2627"/>
      <c r="J31" s="992"/>
      <c r="K31" s="2627"/>
      <c r="L31" s="992"/>
      <c r="M31" s="2627"/>
      <c r="N31" s="992"/>
      <c r="O31" s="2627"/>
      <c r="P31" s="992"/>
      <c r="Q31" s="2627"/>
      <c r="R31" s="992"/>
      <c r="S31" s="2627"/>
      <c r="T31" s="992"/>
      <c r="U31" s="2627"/>
      <c r="V31" s="992"/>
      <c r="W31" s="2627"/>
      <c r="X31" s="992"/>
      <c r="Y31" s="2627"/>
      <c r="Z31" s="992"/>
      <c r="AA31" s="2627"/>
      <c r="AB31" s="992"/>
      <c r="AC31" s="2627"/>
      <c r="AD31" s="992"/>
      <c r="AE31" s="2627"/>
      <c r="AF31" s="992"/>
      <c r="AG31" s="2627"/>
      <c r="AH31" s="992"/>
      <c r="AI31" s="2627"/>
      <c r="AJ31" s="992"/>
      <c r="AK31" s="2627"/>
      <c r="AL31" s="992"/>
      <c r="AM31" s="2627"/>
      <c r="AN31" s="992"/>
      <c r="AO31" s="2627"/>
      <c r="AP31" s="992"/>
      <c r="AQ31" s="2627"/>
      <c r="AR31" s="992"/>
      <c r="AS31" s="2627"/>
      <c r="AT31" s="992"/>
      <c r="AU31" s="2627"/>
      <c r="AV31" s="992"/>
      <c r="AW31" s="2627"/>
      <c r="AX31" s="992"/>
      <c r="AY31" s="2627"/>
      <c r="AZ31" s="992"/>
      <c r="BA31" s="2627"/>
      <c r="BB31" s="992"/>
      <c r="BC31" s="2627"/>
      <c r="BD31" s="992"/>
      <c r="BE31" s="2627"/>
      <c r="BF31" s="992"/>
    </row>
    <row r="32" spans="1:58" ht="20.100000000000001" customHeight="1" x14ac:dyDescent="0.25">
      <c r="B32" s="424" t="s">
        <v>183</v>
      </c>
      <c r="C32" s="2574" t="s">
        <v>53</v>
      </c>
      <c r="D32" s="5217">
        <v>1820013</v>
      </c>
      <c r="E32" s="5198">
        <v>80172</v>
      </c>
      <c r="F32" s="491">
        <v>44209.666666666664</v>
      </c>
      <c r="G32" s="5198">
        <v>95220</v>
      </c>
      <c r="H32" s="491">
        <v>35087.666666666664</v>
      </c>
      <c r="I32" s="5209">
        <f>+E32+G32</f>
        <v>175392</v>
      </c>
      <c r="J32" s="618">
        <f>+F32+H32</f>
        <v>79297.333333333328</v>
      </c>
      <c r="K32" s="5198">
        <v>162450</v>
      </c>
      <c r="L32" s="491">
        <v>73552.666666666672</v>
      </c>
      <c r="M32" s="5210">
        <f>+I32+K32</f>
        <v>337842</v>
      </c>
      <c r="N32" s="890">
        <f>+J32+L32</f>
        <v>152850</v>
      </c>
      <c r="O32" s="5198">
        <v>168150</v>
      </c>
      <c r="P32" s="1029">
        <v>73279.666666666672</v>
      </c>
      <c r="Q32" s="5209">
        <f>+M32+O32</f>
        <v>505992</v>
      </c>
      <c r="R32" s="618">
        <f>+N32+P32</f>
        <v>226129.66666666669</v>
      </c>
      <c r="S32" s="5198">
        <v>168150</v>
      </c>
      <c r="T32" s="1029">
        <v>76875.666666666672</v>
      </c>
      <c r="U32" s="5209">
        <f>+Q32+S32</f>
        <v>674142</v>
      </c>
      <c r="V32" s="618">
        <f>+R32+T32</f>
        <v>303005.33333333337</v>
      </c>
      <c r="W32" s="5198">
        <v>162450</v>
      </c>
      <c r="X32" s="1029">
        <v>78455.666666666672</v>
      </c>
      <c r="Y32" s="5210">
        <f>+W32+S32+O32</f>
        <v>498750</v>
      </c>
      <c r="Z32" s="3528">
        <f t="shared" ref="Z32:Z33" si="97">+X32+T32+P32</f>
        <v>228611</v>
      </c>
      <c r="AA32" s="5205">
        <f>+U32+W32</f>
        <v>836592</v>
      </c>
      <c r="AB32" s="1203">
        <f>+V32+X32</f>
        <v>381461.00000000006</v>
      </c>
      <c r="AC32" s="5198">
        <v>168150</v>
      </c>
      <c r="AD32" s="1029">
        <v>79740.666666666672</v>
      </c>
      <c r="AE32" s="5209">
        <f>+AA32+AC32</f>
        <v>1004742</v>
      </c>
      <c r="AF32" s="618">
        <f>+AB32+AD32</f>
        <v>461201.66666666674</v>
      </c>
      <c r="AG32" s="5198">
        <v>162450</v>
      </c>
      <c r="AH32" s="1029">
        <v>69492.666666666672</v>
      </c>
      <c r="AI32" s="5209">
        <f>+AE32+AG32</f>
        <v>1167192</v>
      </c>
      <c r="AJ32" s="618">
        <f>+AF32+AH32</f>
        <v>530694.33333333337</v>
      </c>
      <c r="AK32" s="5198">
        <v>168150</v>
      </c>
      <c r="AL32" s="1029">
        <v>88705.666666666672</v>
      </c>
      <c r="AM32" s="5210">
        <f>+AK32+AG32+AC32</f>
        <v>498750</v>
      </c>
      <c r="AN32" s="3528">
        <f t="shared" ref="AN32:AN33" si="98">+AL32+AH32+AD32</f>
        <v>237939</v>
      </c>
      <c r="AO32" s="5209">
        <f>+AI32+AK32</f>
        <v>1335342</v>
      </c>
      <c r="AP32" s="618">
        <f>+AJ32+AL32</f>
        <v>619400</v>
      </c>
      <c r="AQ32" s="5198">
        <v>168150</v>
      </c>
      <c r="AR32" s="1029">
        <v>83740.666666666672</v>
      </c>
      <c r="AS32" s="5209">
        <f>+AO32+AQ32</f>
        <v>1503492</v>
      </c>
      <c r="AT32" s="618">
        <f>+AP32+AR32</f>
        <v>703140.66666666663</v>
      </c>
      <c r="AU32" s="5198">
        <v>148371</v>
      </c>
      <c r="AV32" s="1029">
        <v>78017.666666666672</v>
      </c>
      <c r="AW32" s="5209">
        <f>+AS32+AU32</f>
        <v>1651863</v>
      </c>
      <c r="AX32" s="618">
        <f>+AT32+AV32</f>
        <v>781158.33333333326</v>
      </c>
      <c r="AY32" s="5198">
        <v>168150</v>
      </c>
      <c r="AZ32" s="1029">
        <v>87649.666666666672</v>
      </c>
      <c r="BA32" s="5210">
        <f>+AY32+AU32+AQ32</f>
        <v>484671</v>
      </c>
      <c r="BB32" s="4249">
        <f t="shared" ref="BB32:BB33" si="99">+AZ32+AV32+AR32</f>
        <v>249408</v>
      </c>
      <c r="BC32" s="5205">
        <f>+AM32+BA32</f>
        <v>983421</v>
      </c>
      <c r="BD32" s="1203">
        <f>+AN32+BB32</f>
        <v>487347</v>
      </c>
      <c r="BE32" s="5209">
        <f>+AW32+AY32</f>
        <v>1820013</v>
      </c>
      <c r="BF32" s="618">
        <f>+AX32+AZ32</f>
        <v>868807.99999999988</v>
      </c>
    </row>
    <row r="33" spans="1:61" ht="20.100000000000001" customHeight="1" thickBot="1" x14ac:dyDescent="0.3">
      <c r="B33" s="428" t="s">
        <v>184</v>
      </c>
      <c r="C33" s="2573" t="s">
        <v>53</v>
      </c>
      <c r="D33" s="5218"/>
      <c r="E33" s="5047"/>
      <c r="F33" s="492">
        <v>300</v>
      </c>
      <c r="G33" s="5047"/>
      <c r="H33" s="492">
        <v>63.5</v>
      </c>
      <c r="I33" s="4966"/>
      <c r="J33" s="3526">
        <f>+F33+H33</f>
        <v>363.5</v>
      </c>
      <c r="K33" s="5047"/>
      <c r="L33" s="492">
        <v>240.5</v>
      </c>
      <c r="M33" s="4970"/>
      <c r="N33" s="3528">
        <f>+J33+L33</f>
        <v>604</v>
      </c>
      <c r="O33" s="5047"/>
      <c r="P33" s="1001">
        <v>210.5</v>
      </c>
      <c r="Q33" s="4966"/>
      <c r="R33" s="3526">
        <f>+N33+P33</f>
        <v>814.5</v>
      </c>
      <c r="S33" s="5047"/>
      <c r="T33" s="1001">
        <f>709.25/2</f>
        <v>354.625</v>
      </c>
      <c r="U33" s="4966"/>
      <c r="V33" s="3526">
        <f>+R33+T33</f>
        <v>1169.125</v>
      </c>
      <c r="W33" s="5047"/>
      <c r="X33" s="1001">
        <v>284.68</v>
      </c>
      <c r="Y33" s="4970"/>
      <c r="Z33" s="3528">
        <f t="shared" si="97"/>
        <v>849.80500000000006</v>
      </c>
      <c r="AA33" s="4975"/>
      <c r="AB33" s="3537">
        <f>+V33+X33</f>
        <v>1453.8050000000001</v>
      </c>
      <c r="AC33" s="5047"/>
      <c r="AD33" s="1001">
        <v>166</v>
      </c>
      <c r="AE33" s="4966"/>
      <c r="AF33" s="3526">
        <f>+AB33+AD33</f>
        <v>1619.8050000000001</v>
      </c>
      <c r="AG33" s="5047"/>
      <c r="AH33" s="1001">
        <v>203.5</v>
      </c>
      <c r="AI33" s="4966"/>
      <c r="AJ33" s="3526">
        <f>+AF33+AH33</f>
        <v>1823.3050000000001</v>
      </c>
      <c r="AK33" s="5047"/>
      <c r="AL33" s="1001">
        <v>228.5</v>
      </c>
      <c r="AM33" s="4970"/>
      <c r="AN33" s="3528">
        <f t="shared" si="98"/>
        <v>598</v>
      </c>
      <c r="AO33" s="4966"/>
      <c r="AP33" s="3526">
        <f>+AJ33+AL33</f>
        <v>2051.8050000000003</v>
      </c>
      <c r="AQ33" s="5047"/>
      <c r="AR33" s="1001">
        <v>220.5</v>
      </c>
      <c r="AS33" s="4966"/>
      <c r="AT33" s="3906">
        <f>+AP33+AR33</f>
        <v>2272.3050000000003</v>
      </c>
      <c r="AU33" s="5047"/>
      <c r="AV33" s="1001">
        <v>159.5</v>
      </c>
      <c r="AW33" s="4966"/>
      <c r="AX33" s="4071">
        <f>+AT33+AV33</f>
        <v>2431.8050000000003</v>
      </c>
      <c r="AY33" s="5047"/>
      <c r="AZ33" s="1001">
        <v>323</v>
      </c>
      <c r="BA33" s="4970"/>
      <c r="BB33" s="4249">
        <f t="shared" si="99"/>
        <v>703</v>
      </c>
      <c r="BC33" s="4975"/>
      <c r="BD33" s="4254">
        <f>+AN33+BB33</f>
        <v>1301</v>
      </c>
      <c r="BE33" s="4966"/>
      <c r="BF33" s="4246">
        <f>+AX33+AZ33</f>
        <v>2754.8050000000003</v>
      </c>
    </row>
    <row r="34" spans="1:61" ht="20.100000000000001" customHeight="1" thickBot="1" x14ac:dyDescent="0.3">
      <c r="B34" s="429" t="s">
        <v>185</v>
      </c>
      <c r="C34" s="2571" t="s">
        <v>53</v>
      </c>
      <c r="D34" s="5218"/>
      <c r="E34" s="5047"/>
      <c r="F34" s="469">
        <f>SUM(F32:F33)</f>
        <v>44509.666666666664</v>
      </c>
      <c r="G34" s="5047"/>
      <c r="H34" s="469">
        <f>SUM(H32:H33)</f>
        <v>35151.166666666664</v>
      </c>
      <c r="I34" s="4966"/>
      <c r="J34" s="826">
        <f>SUM(J32:J33)</f>
        <v>79660.833333333328</v>
      </c>
      <c r="K34" s="5047"/>
      <c r="L34" s="469">
        <f>SUM(L32:L33)</f>
        <v>73793.166666666672</v>
      </c>
      <c r="M34" s="4970"/>
      <c r="N34" s="1005">
        <f>SUM(N32:N33)</f>
        <v>153454</v>
      </c>
      <c r="O34" s="5047"/>
      <c r="P34" s="995">
        <f>SUM(P32:P33)</f>
        <v>73490.166666666672</v>
      </c>
      <c r="Q34" s="4966"/>
      <c r="R34" s="826">
        <f>SUM(R32:R33)</f>
        <v>226944.16666666669</v>
      </c>
      <c r="S34" s="5047"/>
      <c r="T34" s="995">
        <f>SUM(T32:T33)</f>
        <v>77230.291666666672</v>
      </c>
      <c r="U34" s="4966"/>
      <c r="V34" s="826">
        <f>SUM(V32:V33)</f>
        <v>304174.45833333337</v>
      </c>
      <c r="W34" s="5047"/>
      <c r="X34" s="995">
        <f>SUM(X32:X33)</f>
        <v>78740.346666666665</v>
      </c>
      <c r="Y34" s="4970"/>
      <c r="Z34" s="1005">
        <f>SUM(Z32:Z33)</f>
        <v>229460.80499999999</v>
      </c>
      <c r="AA34" s="4975"/>
      <c r="AB34" s="1198">
        <f>SUM(AB32:AB33)</f>
        <v>382914.80500000005</v>
      </c>
      <c r="AC34" s="5047"/>
      <c r="AD34" s="995">
        <f>SUM(AD32:AD33)</f>
        <v>79906.666666666672</v>
      </c>
      <c r="AE34" s="4966"/>
      <c r="AF34" s="826">
        <f>SUM(AF32:AF33)</f>
        <v>462821.47166666674</v>
      </c>
      <c r="AG34" s="5047"/>
      <c r="AH34" s="995">
        <f>SUM(AH32:AH33)</f>
        <v>69696.166666666672</v>
      </c>
      <c r="AI34" s="4966"/>
      <c r="AJ34" s="826">
        <f>SUM(AJ32:AJ33)</f>
        <v>532517.63833333342</v>
      </c>
      <c r="AK34" s="5047"/>
      <c r="AL34" s="995">
        <f>SUM(AL32:AL33)</f>
        <v>88934.166666666672</v>
      </c>
      <c r="AM34" s="4970"/>
      <c r="AN34" s="1005">
        <f>SUM(AN32:AN33)</f>
        <v>238537</v>
      </c>
      <c r="AO34" s="4966"/>
      <c r="AP34" s="826">
        <f>SUM(AP32:AP33)</f>
        <v>621451.80500000005</v>
      </c>
      <c r="AQ34" s="5047"/>
      <c r="AR34" s="995">
        <f>SUM(AR32:AR33)</f>
        <v>83961.166666666672</v>
      </c>
      <c r="AS34" s="4966"/>
      <c r="AT34" s="826">
        <f>SUM(AT32:AT33)</f>
        <v>705412.97166666668</v>
      </c>
      <c r="AU34" s="5047"/>
      <c r="AV34" s="995">
        <f>SUM(AV32:AV33)</f>
        <v>78177.166666666672</v>
      </c>
      <c r="AW34" s="4966"/>
      <c r="AX34" s="826">
        <f>SUM(AX32:AX33)</f>
        <v>783590.13833333331</v>
      </c>
      <c r="AY34" s="5047"/>
      <c r="AZ34" s="995">
        <f>SUM(AZ32:AZ33)</f>
        <v>87972.666666666672</v>
      </c>
      <c r="BA34" s="4970"/>
      <c r="BB34" s="1005">
        <f>SUM(BB32:BB33)</f>
        <v>250111</v>
      </c>
      <c r="BC34" s="4975"/>
      <c r="BD34" s="1198">
        <f>SUM(BD32:BD33)</f>
        <v>488648</v>
      </c>
      <c r="BE34" s="4966"/>
      <c r="BF34" s="826">
        <f>SUM(BF32:BF33)</f>
        <v>871562.80499999993</v>
      </c>
    </row>
    <row r="35" spans="1:61" ht="20.100000000000001" customHeight="1" x14ac:dyDescent="0.25">
      <c r="B35" s="430" t="s">
        <v>186</v>
      </c>
      <c r="C35" s="2613" t="s">
        <v>53</v>
      </c>
      <c r="D35" s="5218"/>
      <c r="E35" s="5047"/>
      <c r="F35" s="492">
        <v>40450.666666666664</v>
      </c>
      <c r="G35" s="5047"/>
      <c r="H35" s="492">
        <v>35229.666666666664</v>
      </c>
      <c r="I35" s="4966"/>
      <c r="J35" s="3526">
        <f t="shared" ref="J35:J36" si="100">+F35+H35</f>
        <v>75680.333333333328</v>
      </c>
      <c r="K35" s="5047"/>
      <c r="L35" s="492">
        <v>76811.666666666672</v>
      </c>
      <c r="M35" s="4970"/>
      <c r="N35" s="3528">
        <f t="shared" ref="N35:N36" si="101">+J35+L35</f>
        <v>152492</v>
      </c>
      <c r="O35" s="5047"/>
      <c r="P35" s="1001">
        <v>83974.666666666672</v>
      </c>
      <c r="Q35" s="4966"/>
      <c r="R35" s="3526">
        <f t="shared" ref="R35:R36" si="102">+N35+P35</f>
        <v>236466.66666666669</v>
      </c>
      <c r="S35" s="5047"/>
      <c r="T35" s="1001">
        <v>78555.666666666672</v>
      </c>
      <c r="U35" s="4966"/>
      <c r="V35" s="3526">
        <f t="shared" ref="V35:V36" si="103">+R35+T35</f>
        <v>315022.33333333337</v>
      </c>
      <c r="W35" s="5047"/>
      <c r="X35" s="1001">
        <v>82658.666666666672</v>
      </c>
      <c r="Y35" s="4970"/>
      <c r="Z35" s="3528">
        <f t="shared" ref="Z35:Z36" si="104">+X35+T35+P35</f>
        <v>245189</v>
      </c>
      <c r="AA35" s="4975"/>
      <c r="AB35" s="3537">
        <f t="shared" ref="AB35:AB36" si="105">+V35+X35</f>
        <v>397681.00000000006</v>
      </c>
      <c r="AC35" s="5047"/>
      <c r="AD35" s="1001">
        <v>92850.666666666672</v>
      </c>
      <c r="AE35" s="4966"/>
      <c r="AF35" s="3526">
        <f t="shared" ref="AF35:AF36" si="106">+AB35+AD35</f>
        <v>490531.66666666674</v>
      </c>
      <c r="AG35" s="5047"/>
      <c r="AH35" s="1001">
        <v>82990.666666666672</v>
      </c>
      <c r="AI35" s="4966"/>
      <c r="AJ35" s="3526">
        <f t="shared" ref="AJ35:AJ36" si="107">+AF35+AH35</f>
        <v>573522.33333333337</v>
      </c>
      <c r="AK35" s="5047"/>
      <c r="AL35" s="1001">
        <v>80272.666666666672</v>
      </c>
      <c r="AM35" s="4970"/>
      <c r="AN35" s="3528">
        <f t="shared" ref="AN35:AN36" si="108">+AL35+AH35+AD35</f>
        <v>256114</v>
      </c>
      <c r="AO35" s="4966"/>
      <c r="AP35" s="3526">
        <f t="shared" ref="AP35:AP36" si="109">+AJ35+AL35</f>
        <v>653795</v>
      </c>
      <c r="AQ35" s="5047"/>
      <c r="AR35" s="1001">
        <v>84796.666666666672</v>
      </c>
      <c r="AS35" s="4966"/>
      <c r="AT35" s="3906">
        <f t="shared" ref="AT35:AT36" si="110">+AP35+AR35</f>
        <v>738591.66666666663</v>
      </c>
      <c r="AU35" s="5047"/>
      <c r="AV35" s="1001">
        <v>77706.666666666672</v>
      </c>
      <c r="AW35" s="4966"/>
      <c r="AX35" s="4071">
        <f t="shared" ref="AX35:AX36" si="111">+AT35+AV35</f>
        <v>816298.33333333326</v>
      </c>
      <c r="AY35" s="5047"/>
      <c r="AZ35" s="1001">
        <v>87561.666666666672</v>
      </c>
      <c r="BA35" s="4970"/>
      <c r="BB35" s="4249">
        <f t="shared" ref="BB35:BB36" si="112">+AZ35+AV35+AR35</f>
        <v>250065</v>
      </c>
      <c r="BC35" s="4975"/>
      <c r="BD35" s="4254">
        <f>+AN35+BB35</f>
        <v>506179</v>
      </c>
      <c r="BE35" s="4966"/>
      <c r="BF35" s="4246">
        <f t="shared" ref="BF35:BF36" si="113">+AX35+AZ35</f>
        <v>903859.99999999988</v>
      </c>
    </row>
    <row r="36" spans="1:61" ht="20.100000000000001" customHeight="1" thickBot="1" x14ac:dyDescent="0.3">
      <c r="B36" s="428" t="s">
        <v>187</v>
      </c>
      <c r="C36" s="2573" t="s">
        <v>53</v>
      </c>
      <c r="D36" s="5218"/>
      <c r="E36" s="5047"/>
      <c r="F36" s="492">
        <v>200</v>
      </c>
      <c r="G36" s="5047"/>
      <c r="H36" s="492">
        <v>63.5</v>
      </c>
      <c r="I36" s="4966"/>
      <c r="J36" s="3526">
        <f t="shared" si="100"/>
        <v>263.5</v>
      </c>
      <c r="K36" s="5047"/>
      <c r="L36" s="492">
        <v>240.5</v>
      </c>
      <c r="M36" s="4970"/>
      <c r="N36" s="3528">
        <f t="shared" si="101"/>
        <v>504</v>
      </c>
      <c r="O36" s="5047"/>
      <c r="P36" s="1001">
        <v>211</v>
      </c>
      <c r="Q36" s="4966"/>
      <c r="R36" s="3526">
        <f t="shared" si="102"/>
        <v>715</v>
      </c>
      <c r="S36" s="5047"/>
      <c r="T36" s="1001">
        <v>354.625</v>
      </c>
      <c r="U36" s="4966"/>
      <c r="V36" s="3526">
        <f t="shared" si="103"/>
        <v>1069.625</v>
      </c>
      <c r="W36" s="5047"/>
      <c r="X36" s="1001">
        <v>170.32</v>
      </c>
      <c r="Y36" s="4970"/>
      <c r="Z36" s="3528">
        <f t="shared" si="104"/>
        <v>735.94499999999994</v>
      </c>
      <c r="AA36" s="4975"/>
      <c r="AB36" s="3537">
        <f t="shared" si="105"/>
        <v>1239.9449999999999</v>
      </c>
      <c r="AC36" s="5047"/>
      <c r="AD36" s="1001">
        <v>166</v>
      </c>
      <c r="AE36" s="4966"/>
      <c r="AF36" s="3526">
        <f t="shared" si="106"/>
        <v>1405.9449999999999</v>
      </c>
      <c r="AG36" s="5047"/>
      <c r="AH36" s="1001">
        <v>203.5</v>
      </c>
      <c r="AI36" s="4966"/>
      <c r="AJ36" s="3526">
        <f t="shared" si="107"/>
        <v>1609.4449999999999</v>
      </c>
      <c r="AK36" s="5047"/>
      <c r="AL36" s="1001">
        <v>228.5</v>
      </c>
      <c r="AM36" s="4970"/>
      <c r="AN36" s="3528">
        <f t="shared" si="108"/>
        <v>598</v>
      </c>
      <c r="AO36" s="4966"/>
      <c r="AP36" s="3526">
        <f t="shared" si="109"/>
        <v>1837.9449999999999</v>
      </c>
      <c r="AQ36" s="5047"/>
      <c r="AR36" s="1001">
        <v>220.5</v>
      </c>
      <c r="AS36" s="4966"/>
      <c r="AT36" s="3906">
        <f t="shared" si="110"/>
        <v>2058.4449999999997</v>
      </c>
      <c r="AU36" s="5047"/>
      <c r="AV36" s="1001">
        <v>159.5</v>
      </c>
      <c r="AW36" s="4966"/>
      <c r="AX36" s="4071">
        <f t="shared" si="111"/>
        <v>2217.9449999999997</v>
      </c>
      <c r="AY36" s="5047"/>
      <c r="AZ36" s="1001">
        <v>323</v>
      </c>
      <c r="BA36" s="4970"/>
      <c r="BB36" s="4249">
        <f t="shared" si="112"/>
        <v>703</v>
      </c>
      <c r="BC36" s="4975"/>
      <c r="BD36" s="4254">
        <f>+AN36+BB36</f>
        <v>1301</v>
      </c>
      <c r="BE36" s="4966"/>
      <c r="BF36" s="4246">
        <f t="shared" si="113"/>
        <v>2540.9449999999997</v>
      </c>
    </row>
    <row r="37" spans="1:61" ht="20.100000000000001" customHeight="1" thickBot="1" x14ac:dyDescent="0.3">
      <c r="B37" s="429" t="s">
        <v>188</v>
      </c>
      <c r="C37" s="2571" t="s">
        <v>53</v>
      </c>
      <c r="D37" s="5218"/>
      <c r="E37" s="5047"/>
      <c r="F37" s="469">
        <f>SUM(F35:F36)</f>
        <v>40650.666666666664</v>
      </c>
      <c r="G37" s="5047"/>
      <c r="H37" s="469">
        <f>SUM(H35:H36)</f>
        <v>35293.166666666664</v>
      </c>
      <c r="I37" s="4966"/>
      <c r="J37" s="826">
        <f>SUM(J35:J36)</f>
        <v>75943.833333333328</v>
      </c>
      <c r="K37" s="5047"/>
      <c r="L37" s="469">
        <f>SUM(L35:L36)</f>
        <v>77052.166666666672</v>
      </c>
      <c r="M37" s="4970"/>
      <c r="N37" s="1005">
        <f>SUM(N35:N36)</f>
        <v>152996</v>
      </c>
      <c r="O37" s="5047"/>
      <c r="P37" s="995">
        <f>SUM(P35:P36)</f>
        <v>84185.666666666672</v>
      </c>
      <c r="Q37" s="4966"/>
      <c r="R37" s="826">
        <f>SUM(R35:R36)</f>
        <v>237181.66666666669</v>
      </c>
      <c r="S37" s="5047"/>
      <c r="T37" s="995">
        <f>SUM(T35:T36)</f>
        <v>78910.291666666672</v>
      </c>
      <c r="U37" s="4966"/>
      <c r="V37" s="826">
        <f>SUM(V35:V36)</f>
        <v>316091.95833333337</v>
      </c>
      <c r="W37" s="5047"/>
      <c r="X37" s="995">
        <f>SUM(X35:X36)</f>
        <v>82828.986666666679</v>
      </c>
      <c r="Y37" s="4970"/>
      <c r="Z37" s="1005">
        <f>SUM(Z35:Z36)</f>
        <v>245924.94500000001</v>
      </c>
      <c r="AA37" s="4975"/>
      <c r="AB37" s="1198">
        <f>SUM(AB35:AB36)</f>
        <v>398920.94500000007</v>
      </c>
      <c r="AC37" s="5047"/>
      <c r="AD37" s="995">
        <f>SUM(AD35:AD36)</f>
        <v>93016.666666666672</v>
      </c>
      <c r="AE37" s="4966"/>
      <c r="AF37" s="826">
        <f>SUM(AF35:AF36)</f>
        <v>491937.61166666675</v>
      </c>
      <c r="AG37" s="5047"/>
      <c r="AH37" s="995">
        <f>SUM(AH35:AH36)</f>
        <v>83194.166666666672</v>
      </c>
      <c r="AI37" s="4966"/>
      <c r="AJ37" s="826">
        <f>SUM(AJ35:AJ36)</f>
        <v>575131.77833333332</v>
      </c>
      <c r="AK37" s="5047"/>
      <c r="AL37" s="995">
        <f>SUM(AL35:AL36)</f>
        <v>80501.166666666672</v>
      </c>
      <c r="AM37" s="4970"/>
      <c r="AN37" s="1005">
        <f>SUM(AN35:AN36)</f>
        <v>256712</v>
      </c>
      <c r="AO37" s="4966"/>
      <c r="AP37" s="826">
        <f>SUM(AP35:AP36)</f>
        <v>655632.94499999995</v>
      </c>
      <c r="AQ37" s="5047"/>
      <c r="AR37" s="995">
        <f>SUM(AR35:AR36)</f>
        <v>85017.166666666672</v>
      </c>
      <c r="AS37" s="4966"/>
      <c r="AT37" s="826">
        <f>SUM(AT35:AT36)</f>
        <v>740650.11166666658</v>
      </c>
      <c r="AU37" s="5047"/>
      <c r="AV37" s="995">
        <f>SUM(AV35:AV36)</f>
        <v>77866.166666666672</v>
      </c>
      <c r="AW37" s="4966"/>
      <c r="AX37" s="826">
        <f>SUM(AX35:AX36)</f>
        <v>818516.2783333332</v>
      </c>
      <c r="AY37" s="5047"/>
      <c r="AZ37" s="995">
        <f>SUM(AZ35:AZ36)</f>
        <v>87884.666666666672</v>
      </c>
      <c r="BA37" s="4970"/>
      <c r="BB37" s="1005">
        <f>SUM(BB35:BB36)</f>
        <v>250768</v>
      </c>
      <c r="BC37" s="4975"/>
      <c r="BD37" s="1198">
        <f>SUM(BD35:BD36)</f>
        <v>507480</v>
      </c>
      <c r="BE37" s="4966"/>
      <c r="BF37" s="826">
        <f>SUM(BF35:BF36)</f>
        <v>906400.94499999983</v>
      </c>
      <c r="BH37" s="4090"/>
    </row>
    <row r="38" spans="1:61" ht="20.100000000000001" customHeight="1" x14ac:dyDescent="0.25">
      <c r="B38" s="2628" t="s">
        <v>494</v>
      </c>
      <c r="C38" s="2629" t="s">
        <v>53</v>
      </c>
      <c r="D38" s="5218"/>
      <c r="E38" s="5047"/>
      <c r="F38" s="493">
        <f>+F32+F35</f>
        <v>84660.333333333328</v>
      </c>
      <c r="G38" s="5047"/>
      <c r="H38" s="493">
        <f>+H32+H35</f>
        <v>70317.333333333328</v>
      </c>
      <c r="I38" s="4966"/>
      <c r="J38" s="832">
        <f>+J32+J35</f>
        <v>154977.66666666666</v>
      </c>
      <c r="K38" s="5047"/>
      <c r="L38" s="493">
        <f>+L32+L35</f>
        <v>150364.33333333334</v>
      </c>
      <c r="M38" s="4970"/>
      <c r="N38" s="1012">
        <f>+N32+N35</f>
        <v>305342</v>
      </c>
      <c r="O38" s="5047"/>
      <c r="P38" s="1033">
        <f>+P32+P35</f>
        <v>157254.33333333334</v>
      </c>
      <c r="Q38" s="4966"/>
      <c r="R38" s="832">
        <f>+R32+R35</f>
        <v>462596.33333333337</v>
      </c>
      <c r="S38" s="5047"/>
      <c r="T38" s="1033">
        <f>+T32+T35</f>
        <v>155431.33333333334</v>
      </c>
      <c r="U38" s="4966"/>
      <c r="V38" s="832">
        <f>+V32+V35</f>
        <v>618027.66666666674</v>
      </c>
      <c r="W38" s="5047"/>
      <c r="X38" s="1033">
        <f>+X32+X35</f>
        <v>161114.33333333334</v>
      </c>
      <c r="Y38" s="4970"/>
      <c r="Z38" s="1012">
        <f>+Z32+Z35</f>
        <v>473800</v>
      </c>
      <c r="AA38" s="4975"/>
      <c r="AB38" s="1204">
        <f>+AB32+AB35</f>
        <v>779142.00000000012</v>
      </c>
      <c r="AC38" s="5047"/>
      <c r="AD38" s="1033">
        <f>+AD32+AD35</f>
        <v>172591.33333333334</v>
      </c>
      <c r="AE38" s="4966"/>
      <c r="AF38" s="832">
        <f>+AF32+AF35</f>
        <v>951733.33333333349</v>
      </c>
      <c r="AG38" s="5047"/>
      <c r="AH38" s="1033">
        <f>+AH32+AH35</f>
        <v>152483.33333333334</v>
      </c>
      <c r="AI38" s="4966"/>
      <c r="AJ38" s="832">
        <f>+AJ32+AJ35</f>
        <v>1104216.6666666667</v>
      </c>
      <c r="AK38" s="5047"/>
      <c r="AL38" s="1033">
        <f>+AL32+AL35</f>
        <v>168978.33333333334</v>
      </c>
      <c r="AM38" s="4970"/>
      <c r="AN38" s="1012">
        <f>+AN32+AN35</f>
        <v>494053</v>
      </c>
      <c r="AO38" s="4966"/>
      <c r="AP38" s="832">
        <f>+AP32+AP35</f>
        <v>1273195</v>
      </c>
      <c r="AQ38" s="5047"/>
      <c r="AR38" s="1033">
        <f>+AR32+AR35</f>
        <v>168537.33333333334</v>
      </c>
      <c r="AS38" s="4966"/>
      <c r="AT38" s="832">
        <f>+AT32+AT35</f>
        <v>1441732.3333333333</v>
      </c>
      <c r="AU38" s="5047"/>
      <c r="AV38" s="1033">
        <f>+AV32+AV35</f>
        <v>155724.33333333334</v>
      </c>
      <c r="AW38" s="4966"/>
      <c r="AX38" s="832">
        <f>+AX32+AX35</f>
        <v>1597456.6666666665</v>
      </c>
      <c r="AY38" s="5047"/>
      <c r="AZ38" s="1033">
        <f>+AZ32+AZ35</f>
        <v>175211.33333333334</v>
      </c>
      <c r="BA38" s="4970"/>
      <c r="BB38" s="1012">
        <f>+BB32+BB35</f>
        <v>499473</v>
      </c>
      <c r="BC38" s="4975"/>
      <c r="BD38" s="1204">
        <f>+BD32+BD35</f>
        <v>993526</v>
      </c>
      <c r="BE38" s="4966"/>
      <c r="BF38" s="832">
        <f>+BF32+BF35</f>
        <v>1772667.9999999998</v>
      </c>
      <c r="BH38" s="4090" t="e">
        <f>+BF38-#REF!</f>
        <v>#REF!</v>
      </c>
    </row>
    <row r="39" spans="1:61" ht="20.100000000000001" customHeight="1" thickBot="1" x14ac:dyDescent="0.3">
      <c r="B39" s="2630" t="s">
        <v>495</v>
      </c>
      <c r="C39" s="2631" t="s">
        <v>53</v>
      </c>
      <c r="D39" s="5218"/>
      <c r="E39" s="5047"/>
      <c r="F39" s="494">
        <f>+F33+F36</f>
        <v>500</v>
      </c>
      <c r="G39" s="5047"/>
      <c r="H39" s="494">
        <f>+H33+H36</f>
        <v>127</v>
      </c>
      <c r="I39" s="4966"/>
      <c r="J39" s="833">
        <f>+J33+J36</f>
        <v>627</v>
      </c>
      <c r="K39" s="5047"/>
      <c r="L39" s="494">
        <f>+L33+L36</f>
        <v>481</v>
      </c>
      <c r="M39" s="4970"/>
      <c r="N39" s="1013">
        <f>+N33+N36</f>
        <v>1108</v>
      </c>
      <c r="O39" s="5047"/>
      <c r="P39" s="1034">
        <f>+P33+P36</f>
        <v>421.5</v>
      </c>
      <c r="Q39" s="4966"/>
      <c r="R39" s="833">
        <f>+R33+R36</f>
        <v>1529.5</v>
      </c>
      <c r="S39" s="5047"/>
      <c r="T39" s="1034">
        <f>+T33+T36</f>
        <v>709.25</v>
      </c>
      <c r="U39" s="4966"/>
      <c r="V39" s="833">
        <f>+V33+V36</f>
        <v>2238.75</v>
      </c>
      <c r="W39" s="5047"/>
      <c r="X39" s="1034">
        <f>+X33+X36</f>
        <v>455</v>
      </c>
      <c r="Y39" s="4970"/>
      <c r="Z39" s="1013">
        <f>+Z33+Z36</f>
        <v>1585.75</v>
      </c>
      <c r="AA39" s="4975"/>
      <c r="AB39" s="1205">
        <f>+AB33+AB36</f>
        <v>2693.75</v>
      </c>
      <c r="AC39" s="5047"/>
      <c r="AD39" s="1034">
        <f>+AD33+AD36</f>
        <v>332</v>
      </c>
      <c r="AE39" s="4966"/>
      <c r="AF39" s="833">
        <f>+AF33+AF36</f>
        <v>3025.75</v>
      </c>
      <c r="AG39" s="5047"/>
      <c r="AH39" s="1034">
        <f>+AH33+AH36</f>
        <v>407</v>
      </c>
      <c r="AI39" s="4966"/>
      <c r="AJ39" s="833">
        <f>+AJ33+AJ36</f>
        <v>3432.75</v>
      </c>
      <c r="AK39" s="5047"/>
      <c r="AL39" s="1034">
        <f>+AL33+AL36</f>
        <v>457</v>
      </c>
      <c r="AM39" s="4970"/>
      <c r="AN39" s="1013">
        <f>+AN33+AN36</f>
        <v>1196</v>
      </c>
      <c r="AO39" s="4966"/>
      <c r="AP39" s="833">
        <f>+AP33+AP36</f>
        <v>3889.75</v>
      </c>
      <c r="AQ39" s="5047"/>
      <c r="AR39" s="1034">
        <f>+AR33+AR36</f>
        <v>441</v>
      </c>
      <c r="AS39" s="4966"/>
      <c r="AT39" s="833">
        <f>+AT33+AT36</f>
        <v>4330.75</v>
      </c>
      <c r="AU39" s="5047"/>
      <c r="AV39" s="1034">
        <f>+AV33+AV36</f>
        <v>319</v>
      </c>
      <c r="AW39" s="4966"/>
      <c r="AX39" s="833">
        <f>+AX33+AX36</f>
        <v>4649.75</v>
      </c>
      <c r="AY39" s="5047"/>
      <c r="AZ39" s="1034">
        <f>+AZ33+AZ36</f>
        <v>646</v>
      </c>
      <c r="BA39" s="4970"/>
      <c r="BB39" s="1013">
        <f>+BB33+BB36</f>
        <v>1406</v>
      </c>
      <c r="BC39" s="4975"/>
      <c r="BD39" s="1205">
        <f>+BD33+BD36</f>
        <v>2602</v>
      </c>
      <c r="BE39" s="4966"/>
      <c r="BF39" s="833">
        <f>+BF33+BF36</f>
        <v>5295.75</v>
      </c>
    </row>
    <row r="40" spans="1:61" ht="20.100000000000001" customHeight="1" thickBot="1" x14ac:dyDescent="0.3">
      <c r="B40" s="429" t="s">
        <v>493</v>
      </c>
      <c r="C40" s="2571" t="s">
        <v>53</v>
      </c>
      <c r="D40" s="5219"/>
      <c r="E40" s="5055"/>
      <c r="F40" s="469">
        <f>+F34+F37</f>
        <v>85160.333333333328</v>
      </c>
      <c r="G40" s="5055"/>
      <c r="H40" s="469">
        <f>+H34+H37</f>
        <v>70444.333333333328</v>
      </c>
      <c r="I40" s="4965"/>
      <c r="J40" s="826">
        <f>+J34+J37</f>
        <v>155604.66666666666</v>
      </c>
      <c r="K40" s="5055"/>
      <c r="L40" s="469">
        <f>+L34+L37</f>
        <v>150845.33333333334</v>
      </c>
      <c r="M40" s="4963"/>
      <c r="N40" s="1005">
        <f>+N34+N37</f>
        <v>306450</v>
      </c>
      <c r="O40" s="5055"/>
      <c r="P40" s="995">
        <f>+P34+P37</f>
        <v>157675.83333333334</v>
      </c>
      <c r="Q40" s="4965"/>
      <c r="R40" s="826">
        <f>+R34+R37</f>
        <v>464125.83333333337</v>
      </c>
      <c r="S40" s="5055"/>
      <c r="T40" s="995">
        <f>+T34+T37</f>
        <v>156140.58333333334</v>
      </c>
      <c r="U40" s="4965"/>
      <c r="V40" s="826">
        <f>+V34+V37</f>
        <v>620266.41666666674</v>
      </c>
      <c r="W40" s="5055"/>
      <c r="X40" s="995">
        <f>+X34+X37</f>
        <v>161569.33333333334</v>
      </c>
      <c r="Y40" s="4963"/>
      <c r="Z40" s="1005">
        <f>+Z34+Z37</f>
        <v>475385.75</v>
      </c>
      <c r="AA40" s="4961"/>
      <c r="AB40" s="1198">
        <f>+AB34+AB37</f>
        <v>781835.75000000012</v>
      </c>
      <c r="AC40" s="5055"/>
      <c r="AD40" s="995">
        <f>+AD34+AD37</f>
        <v>172923.33333333334</v>
      </c>
      <c r="AE40" s="4965"/>
      <c r="AF40" s="826">
        <f>+AF34+AF37</f>
        <v>954759.08333333349</v>
      </c>
      <c r="AG40" s="5055"/>
      <c r="AH40" s="995">
        <f>+AH34+AH37</f>
        <v>152890.33333333334</v>
      </c>
      <c r="AI40" s="4965"/>
      <c r="AJ40" s="826">
        <f>+AJ34+AJ37</f>
        <v>1107649.4166666667</v>
      </c>
      <c r="AK40" s="5055"/>
      <c r="AL40" s="995">
        <f>+AL34+AL37</f>
        <v>169435.33333333334</v>
      </c>
      <c r="AM40" s="4963"/>
      <c r="AN40" s="1005">
        <f>+AN34+AN37</f>
        <v>495249</v>
      </c>
      <c r="AO40" s="4965"/>
      <c r="AP40" s="826">
        <f>+AP34+AP37</f>
        <v>1277084.75</v>
      </c>
      <c r="AQ40" s="5055"/>
      <c r="AR40" s="995">
        <f>+AR34+AR37</f>
        <v>168978.33333333334</v>
      </c>
      <c r="AS40" s="4965"/>
      <c r="AT40" s="826">
        <f>+AT34+AT37</f>
        <v>1446063.0833333333</v>
      </c>
      <c r="AU40" s="5055"/>
      <c r="AV40" s="995">
        <f>+AV34+AV37</f>
        <v>156043.33333333334</v>
      </c>
      <c r="AW40" s="4965"/>
      <c r="AX40" s="826">
        <f>+AX34+AX37</f>
        <v>1602106.4166666665</v>
      </c>
      <c r="AY40" s="5055"/>
      <c r="AZ40" s="995">
        <f>+AZ34+AZ37</f>
        <v>175857.33333333334</v>
      </c>
      <c r="BA40" s="4963"/>
      <c r="BB40" s="1005">
        <f>+BB34+BB37</f>
        <v>500879</v>
      </c>
      <c r="BC40" s="4961"/>
      <c r="BD40" s="1198">
        <f>+BD34+BD37</f>
        <v>996128</v>
      </c>
      <c r="BE40" s="4965"/>
      <c r="BF40" s="826">
        <f>+BF34+BF37</f>
        <v>1777963.7499999998</v>
      </c>
      <c r="BI40" s="4090"/>
    </row>
    <row r="41" spans="1:61" ht="20.100000000000001" customHeight="1" x14ac:dyDescent="0.25">
      <c r="B41" s="430" t="s">
        <v>565</v>
      </c>
      <c r="C41" s="2613" t="s">
        <v>53</v>
      </c>
      <c r="D41" s="5217">
        <v>631725</v>
      </c>
      <c r="E41" s="5198">
        <v>13725</v>
      </c>
      <c r="F41" s="492">
        <v>5521.18</v>
      </c>
      <c r="G41" s="5198">
        <v>1963</v>
      </c>
      <c r="H41" s="492">
        <v>9519.6666666666661</v>
      </c>
      <c r="I41" s="5209">
        <f>+E41+G41</f>
        <v>15688</v>
      </c>
      <c r="J41" s="3526">
        <f t="shared" ref="J41:J44" si="114">+F41+H41</f>
        <v>15040.846666666666</v>
      </c>
      <c r="K41" s="5198">
        <v>59919</v>
      </c>
      <c r="L41" s="492">
        <v>25176</v>
      </c>
      <c r="M41" s="5210">
        <f>+I41+K41</f>
        <v>75607</v>
      </c>
      <c r="N41" s="3528">
        <f>+J41+L41</f>
        <v>40216.846666666665</v>
      </c>
      <c r="O41" s="5198">
        <v>61782</v>
      </c>
      <c r="P41" s="1001">
        <v>12346</v>
      </c>
      <c r="Q41" s="5209">
        <f>+M41+O41</f>
        <v>137389</v>
      </c>
      <c r="R41" s="3526">
        <f t="shared" ref="R41:R44" si="115">+N41+P41</f>
        <v>52562.846666666665</v>
      </c>
      <c r="S41" s="5198">
        <v>61970</v>
      </c>
      <c r="T41" s="1001">
        <v>24009.01</v>
      </c>
      <c r="U41" s="5209">
        <f>+Q41+S41</f>
        <v>199359</v>
      </c>
      <c r="V41" s="3526">
        <f t="shared" ref="V41:V44" si="116">+R41+T41</f>
        <v>76571.856666666659</v>
      </c>
      <c r="W41" s="5198">
        <v>61353</v>
      </c>
      <c r="X41" s="1001">
        <v>26886.55</v>
      </c>
      <c r="Y41" s="5210">
        <f>+W41+S41+O41</f>
        <v>185105</v>
      </c>
      <c r="Z41" s="3528">
        <f t="shared" ref="Z41:Z47" si="117">+X41+T41+P41</f>
        <v>63241.56</v>
      </c>
      <c r="AA41" s="5205">
        <f>+U41+W41</f>
        <v>260712</v>
      </c>
      <c r="AB41" s="3537">
        <f t="shared" ref="AB41:AB44" si="118">+V41+X41</f>
        <v>103458.40666666666</v>
      </c>
      <c r="AC41" s="5198">
        <v>63258</v>
      </c>
      <c r="AD41" s="1001">
        <v>7558.86</v>
      </c>
      <c r="AE41" s="5209">
        <f>+AA41+AC41</f>
        <v>323970</v>
      </c>
      <c r="AF41" s="3526">
        <f t="shared" ref="AF41:AF44" si="119">+AB41+AD41</f>
        <v>111017.26666666666</v>
      </c>
      <c r="AG41" s="5198">
        <v>61353</v>
      </c>
      <c r="AH41" s="1001">
        <v>21653.9</v>
      </c>
      <c r="AI41" s="5209">
        <f>+AE41+AG41</f>
        <v>385323</v>
      </c>
      <c r="AJ41" s="3526">
        <f t="shared" ref="AJ41:AJ44" si="120">+AF41+AH41</f>
        <v>132671.16666666666</v>
      </c>
      <c r="AK41" s="5198">
        <v>63258</v>
      </c>
      <c r="AL41" s="1001">
        <v>15624.11</v>
      </c>
      <c r="AM41" s="5210">
        <f>+AK41+AG41+AC41</f>
        <v>187869</v>
      </c>
      <c r="AN41" s="3528">
        <f t="shared" ref="AN41:AN44" si="121">+AL41+AH41+AD41</f>
        <v>44836.87</v>
      </c>
      <c r="AO41" s="5209">
        <f>+AI41+AK41</f>
        <v>448581</v>
      </c>
      <c r="AP41" s="3526">
        <f t="shared" ref="AP41:AP44" si="122">+AJ41+AL41</f>
        <v>148295.27666666667</v>
      </c>
      <c r="AQ41" s="5198">
        <v>63258</v>
      </c>
      <c r="AR41" s="1001">
        <v>24287.61</v>
      </c>
      <c r="AS41" s="5209">
        <f>+AO41+AQ41</f>
        <v>511839</v>
      </c>
      <c r="AT41" s="3906">
        <f t="shared" ref="AT41:AT44" si="123">+AP41+AR41</f>
        <v>172582.88666666666</v>
      </c>
      <c r="AU41" s="5198">
        <v>56627</v>
      </c>
      <c r="AV41" s="1001">
        <v>17149.12</v>
      </c>
      <c r="AW41" s="5209">
        <f>+AS41+AU41</f>
        <v>568466</v>
      </c>
      <c r="AX41" s="4071">
        <f t="shared" ref="AX41:AX44" si="124">+AT41+AV41</f>
        <v>189732.00666666665</v>
      </c>
      <c r="AY41" s="5198">
        <v>63258</v>
      </c>
      <c r="AZ41" s="1001">
        <v>17335</v>
      </c>
      <c r="BA41" s="5210">
        <f>+AY41+AU41+AQ41</f>
        <v>183143</v>
      </c>
      <c r="BB41" s="4249">
        <f t="shared" ref="BB41:BB44" si="125">+AZ41+AV41+AR41</f>
        <v>58771.729999999996</v>
      </c>
      <c r="BC41" s="5205">
        <f>+AM41+BA41</f>
        <v>371012</v>
      </c>
      <c r="BD41" s="4254">
        <f>+AN41+BB41</f>
        <v>103608.6</v>
      </c>
      <c r="BE41" s="5209">
        <f>+AW41+AY41</f>
        <v>631724</v>
      </c>
      <c r="BF41" s="4246">
        <f t="shared" ref="BF41:BF44" si="126">+AX41+AZ41</f>
        <v>207067.00666666665</v>
      </c>
      <c r="BG41" s="4090"/>
      <c r="BI41" s="4090"/>
    </row>
    <row r="42" spans="1:61" ht="20.100000000000001" customHeight="1" x14ac:dyDescent="0.25">
      <c r="B42" s="431" t="s">
        <v>566</v>
      </c>
      <c r="C42" s="2632" t="s">
        <v>53</v>
      </c>
      <c r="D42" s="5218"/>
      <c r="E42" s="5047"/>
      <c r="F42" s="492">
        <v>9135.6666666666661</v>
      </c>
      <c r="G42" s="5047"/>
      <c r="H42" s="492">
        <v>0</v>
      </c>
      <c r="I42" s="4966"/>
      <c r="J42" s="3526">
        <f t="shared" si="114"/>
        <v>9135.6666666666661</v>
      </c>
      <c r="K42" s="5047"/>
      <c r="L42" s="492">
        <v>19024.666666666668</v>
      </c>
      <c r="M42" s="4970"/>
      <c r="N42" s="3528">
        <f t="shared" ref="N42:N44" si="127">+J42+L42</f>
        <v>28160.333333333336</v>
      </c>
      <c r="O42" s="5047"/>
      <c r="P42" s="1001">
        <v>17941.666666666668</v>
      </c>
      <c r="Q42" s="4966"/>
      <c r="R42" s="3526">
        <f t="shared" si="115"/>
        <v>46102</v>
      </c>
      <c r="S42" s="5047"/>
      <c r="T42" s="1001">
        <v>23838.896666666667</v>
      </c>
      <c r="U42" s="4966"/>
      <c r="V42" s="3526">
        <f t="shared" si="116"/>
        <v>69940.896666666667</v>
      </c>
      <c r="W42" s="5047"/>
      <c r="X42" s="1001">
        <v>9803.1466666666656</v>
      </c>
      <c r="Y42" s="4970"/>
      <c r="Z42" s="3528">
        <f t="shared" si="117"/>
        <v>51583.710000000006</v>
      </c>
      <c r="AA42" s="4975"/>
      <c r="AB42" s="3537">
        <f t="shared" si="118"/>
        <v>79744.043333333335</v>
      </c>
      <c r="AC42" s="5047"/>
      <c r="AD42" s="1001">
        <v>30671.337</v>
      </c>
      <c r="AE42" s="4966"/>
      <c r="AF42" s="3526">
        <f t="shared" si="119"/>
        <v>110415.38033333333</v>
      </c>
      <c r="AG42" s="5047"/>
      <c r="AH42" s="1001">
        <v>20004.51666666667</v>
      </c>
      <c r="AI42" s="4966"/>
      <c r="AJ42" s="3526">
        <f t="shared" si="120"/>
        <v>130419.897</v>
      </c>
      <c r="AK42" s="5047"/>
      <c r="AL42" s="1001">
        <v>31374.74666666667</v>
      </c>
      <c r="AM42" s="4970"/>
      <c r="AN42" s="3528">
        <f t="shared" si="121"/>
        <v>82050.600333333336</v>
      </c>
      <c r="AO42" s="4966"/>
      <c r="AP42" s="3526">
        <f t="shared" si="122"/>
        <v>161794.64366666667</v>
      </c>
      <c r="AQ42" s="5047"/>
      <c r="AR42" s="1001">
        <v>28152.346666666668</v>
      </c>
      <c r="AS42" s="4966"/>
      <c r="AT42" s="3906">
        <f t="shared" si="123"/>
        <v>189946.99033333335</v>
      </c>
      <c r="AU42" s="5047"/>
      <c r="AV42" s="1001">
        <v>24233.78666666667</v>
      </c>
      <c r="AW42" s="4966"/>
      <c r="AX42" s="4071">
        <f t="shared" si="124"/>
        <v>214180.77700000003</v>
      </c>
      <c r="AY42" s="5047"/>
      <c r="AZ42" s="1001">
        <v>26591.666666666668</v>
      </c>
      <c r="BA42" s="4970"/>
      <c r="BB42" s="4249">
        <f t="shared" si="125"/>
        <v>78977.8</v>
      </c>
      <c r="BC42" s="4975"/>
      <c r="BD42" s="4254">
        <f>+AN42+BB42</f>
        <v>161028.40033333335</v>
      </c>
      <c r="BE42" s="4966"/>
      <c r="BF42" s="4246">
        <f t="shared" si="126"/>
        <v>240772.44366666669</v>
      </c>
      <c r="BI42" s="4090"/>
    </row>
    <row r="43" spans="1:61" ht="20.100000000000001" customHeight="1" x14ac:dyDescent="0.25">
      <c r="B43" s="425" t="s">
        <v>567</v>
      </c>
      <c r="C43" s="2572" t="s">
        <v>53</v>
      </c>
      <c r="D43" s="5218"/>
      <c r="E43" s="5047"/>
      <c r="F43" s="492">
        <v>42</v>
      </c>
      <c r="G43" s="5047"/>
      <c r="H43" s="492">
        <v>18</v>
      </c>
      <c r="I43" s="4966"/>
      <c r="J43" s="3526">
        <f t="shared" si="114"/>
        <v>60</v>
      </c>
      <c r="K43" s="5047"/>
      <c r="L43" s="492">
        <f>157/2</f>
        <v>78.5</v>
      </c>
      <c r="M43" s="4970"/>
      <c r="N43" s="3528">
        <f t="shared" si="127"/>
        <v>138.5</v>
      </c>
      <c r="O43" s="5047"/>
      <c r="P43" s="1001">
        <f>159.68/2</f>
        <v>79.84</v>
      </c>
      <c r="Q43" s="4966"/>
      <c r="R43" s="3526">
        <f t="shared" si="115"/>
        <v>218.34</v>
      </c>
      <c r="S43" s="5047"/>
      <c r="T43" s="1001">
        <f>231.75/2</f>
        <v>115.875</v>
      </c>
      <c r="U43" s="4966"/>
      <c r="V43" s="3526">
        <f t="shared" si="116"/>
        <v>334.21500000000003</v>
      </c>
      <c r="W43" s="5047"/>
      <c r="X43" s="1001">
        <v>69.13</v>
      </c>
      <c r="Y43" s="4970"/>
      <c r="Z43" s="3528">
        <f t="shared" si="117"/>
        <v>264.84500000000003</v>
      </c>
      <c r="AA43" s="4975"/>
      <c r="AB43" s="3537">
        <f t="shared" si="118"/>
        <v>403.34500000000003</v>
      </c>
      <c r="AC43" s="5047"/>
      <c r="AD43" s="1001">
        <v>40</v>
      </c>
      <c r="AE43" s="4966"/>
      <c r="AF43" s="3526">
        <f t="shared" si="119"/>
        <v>443.34500000000003</v>
      </c>
      <c r="AG43" s="5047"/>
      <c r="AH43" s="1001">
        <v>107</v>
      </c>
      <c r="AI43" s="4966"/>
      <c r="AJ43" s="3526">
        <f t="shared" si="120"/>
        <v>550.34500000000003</v>
      </c>
      <c r="AK43" s="5047"/>
      <c r="AL43" s="1001">
        <v>85</v>
      </c>
      <c r="AM43" s="4970"/>
      <c r="AN43" s="3528">
        <f t="shared" si="121"/>
        <v>232</v>
      </c>
      <c r="AO43" s="4966"/>
      <c r="AP43" s="3526">
        <f t="shared" si="122"/>
        <v>635.34500000000003</v>
      </c>
      <c r="AQ43" s="5047"/>
      <c r="AR43" s="1001">
        <v>107</v>
      </c>
      <c r="AS43" s="4966"/>
      <c r="AT43" s="3906">
        <f t="shared" si="123"/>
        <v>742.34500000000003</v>
      </c>
      <c r="AU43" s="5047"/>
      <c r="AV43" s="1001">
        <v>52</v>
      </c>
      <c r="AW43" s="4966"/>
      <c r="AX43" s="4071">
        <f t="shared" si="124"/>
        <v>794.34500000000003</v>
      </c>
      <c r="AY43" s="5047"/>
      <c r="AZ43" s="1001">
        <v>60</v>
      </c>
      <c r="BA43" s="4970"/>
      <c r="BB43" s="4249">
        <f t="shared" si="125"/>
        <v>219</v>
      </c>
      <c r="BC43" s="4975"/>
      <c r="BD43" s="4254">
        <f>+AN43+BB43</f>
        <v>451</v>
      </c>
      <c r="BE43" s="4966"/>
      <c r="BF43" s="4246">
        <f t="shared" si="126"/>
        <v>854.34500000000003</v>
      </c>
      <c r="BI43" s="4090">
        <f>+BF41+BF43</f>
        <v>207921.35166666665</v>
      </c>
    </row>
    <row r="44" spans="1:61" ht="20.100000000000001" customHeight="1" thickBot="1" x14ac:dyDescent="0.3">
      <c r="A44" s="48"/>
      <c r="B44" s="431" t="s">
        <v>568</v>
      </c>
      <c r="C44" s="2572" t="s">
        <v>53</v>
      </c>
      <c r="D44" s="5218"/>
      <c r="E44" s="5047"/>
      <c r="F44" s="492">
        <v>0</v>
      </c>
      <c r="G44" s="5047"/>
      <c r="H44" s="492">
        <v>0</v>
      </c>
      <c r="I44" s="4966"/>
      <c r="J44" s="3526">
        <f t="shared" si="114"/>
        <v>0</v>
      </c>
      <c r="K44" s="5047"/>
      <c r="L44" s="492">
        <v>78.5</v>
      </c>
      <c r="M44" s="4970"/>
      <c r="N44" s="3528">
        <f t="shared" si="127"/>
        <v>78.5</v>
      </c>
      <c r="O44" s="5047"/>
      <c r="P44" s="1001">
        <v>79.84</v>
      </c>
      <c r="Q44" s="4966"/>
      <c r="R44" s="3526">
        <f t="shared" si="115"/>
        <v>158.34</v>
      </c>
      <c r="S44" s="5047"/>
      <c r="T44" s="1001">
        <f>231.75/2</f>
        <v>115.875</v>
      </c>
      <c r="U44" s="4966"/>
      <c r="V44" s="3526">
        <f t="shared" si="116"/>
        <v>274.21500000000003</v>
      </c>
      <c r="W44" s="5047"/>
      <c r="X44" s="1001">
        <v>96.87</v>
      </c>
      <c r="Y44" s="4970"/>
      <c r="Z44" s="3528">
        <f t="shared" si="117"/>
        <v>292.58500000000004</v>
      </c>
      <c r="AA44" s="4975"/>
      <c r="AB44" s="3537">
        <f t="shared" si="118"/>
        <v>371.08500000000004</v>
      </c>
      <c r="AC44" s="5047"/>
      <c r="AD44" s="1001">
        <v>126</v>
      </c>
      <c r="AE44" s="4966"/>
      <c r="AF44" s="3526">
        <f t="shared" si="119"/>
        <v>497.08500000000004</v>
      </c>
      <c r="AG44" s="5047"/>
      <c r="AH44" s="1001">
        <v>135</v>
      </c>
      <c r="AI44" s="4966"/>
      <c r="AJ44" s="3526">
        <f t="shared" si="120"/>
        <v>632.08500000000004</v>
      </c>
      <c r="AK44" s="5047"/>
      <c r="AL44" s="1001">
        <v>162</v>
      </c>
      <c r="AM44" s="4970"/>
      <c r="AN44" s="3528">
        <f t="shared" si="121"/>
        <v>423</v>
      </c>
      <c r="AO44" s="4966"/>
      <c r="AP44" s="3526">
        <f t="shared" si="122"/>
        <v>794.08500000000004</v>
      </c>
      <c r="AQ44" s="5047"/>
      <c r="AR44" s="1001">
        <v>128</v>
      </c>
      <c r="AS44" s="4966"/>
      <c r="AT44" s="3906">
        <f t="shared" si="123"/>
        <v>922.08500000000004</v>
      </c>
      <c r="AU44" s="5047"/>
      <c r="AV44" s="1001">
        <f>30+62+30</f>
        <v>122</v>
      </c>
      <c r="AW44" s="4966"/>
      <c r="AX44" s="4071">
        <f t="shared" si="124"/>
        <v>1044.085</v>
      </c>
      <c r="AY44" s="5047"/>
      <c r="AZ44" s="1001">
        <v>166</v>
      </c>
      <c r="BA44" s="4970"/>
      <c r="BB44" s="4249">
        <f t="shared" si="125"/>
        <v>416</v>
      </c>
      <c r="BC44" s="4975"/>
      <c r="BD44" s="4254">
        <f>+AN44+BB44</f>
        <v>839</v>
      </c>
      <c r="BE44" s="4966"/>
      <c r="BF44" s="4246">
        <f t="shared" si="126"/>
        <v>1210.085</v>
      </c>
    </row>
    <row r="45" spans="1:61" ht="20.100000000000001" customHeight="1" thickBot="1" x14ac:dyDescent="0.3">
      <c r="A45" s="48"/>
      <c r="B45" s="429" t="s">
        <v>189</v>
      </c>
      <c r="C45" s="2571" t="s">
        <v>53</v>
      </c>
      <c r="D45" s="5219"/>
      <c r="E45" s="5055"/>
      <c r="F45" s="469">
        <f>SUM(F41:F44)</f>
        <v>14698.846666666666</v>
      </c>
      <c r="G45" s="5055"/>
      <c r="H45" s="469">
        <f>SUM(H41:H44)</f>
        <v>9537.6666666666661</v>
      </c>
      <c r="I45" s="4965"/>
      <c r="J45" s="826">
        <f>SUM(J41:J44)</f>
        <v>24236.513333333332</v>
      </c>
      <c r="K45" s="5055"/>
      <c r="L45" s="469">
        <f>SUM(L41:L44)</f>
        <v>44357.666666666672</v>
      </c>
      <c r="M45" s="4963"/>
      <c r="N45" s="1005">
        <f>SUM(N41:N44)</f>
        <v>68594.179999999993</v>
      </c>
      <c r="O45" s="5055"/>
      <c r="P45" s="995">
        <f>SUM(P41:P44)</f>
        <v>30447.346666666668</v>
      </c>
      <c r="Q45" s="4965"/>
      <c r="R45" s="826">
        <f>SUM(R41:R44)</f>
        <v>99041.526666666658</v>
      </c>
      <c r="S45" s="5055"/>
      <c r="T45" s="995">
        <f>SUM(T41:T44)</f>
        <v>48079.656666666662</v>
      </c>
      <c r="U45" s="4965"/>
      <c r="V45" s="826">
        <f>SUM(V41:V44)</f>
        <v>147121.18333333332</v>
      </c>
      <c r="W45" s="5055"/>
      <c r="X45" s="995">
        <f>SUM(X41:X44)</f>
        <v>36855.696666666663</v>
      </c>
      <c r="Y45" s="4963"/>
      <c r="Z45" s="1005">
        <f>SUM(Z41:Z44)</f>
        <v>115382.70000000001</v>
      </c>
      <c r="AA45" s="4961"/>
      <c r="AB45" s="1198">
        <f>SUM(AB41:AB44)</f>
        <v>183976.88</v>
      </c>
      <c r="AC45" s="5055"/>
      <c r="AD45" s="995">
        <f>SUM(AD41:AD44)</f>
        <v>38396.197</v>
      </c>
      <c r="AE45" s="4965"/>
      <c r="AF45" s="826">
        <f>SUM(AF41:AF44)</f>
        <v>222373.07699999999</v>
      </c>
      <c r="AG45" s="5055"/>
      <c r="AH45" s="995">
        <f>SUM(AH41:AH44)</f>
        <v>41900.416666666672</v>
      </c>
      <c r="AI45" s="4965"/>
      <c r="AJ45" s="826">
        <f>SUM(AJ41:AJ44)</f>
        <v>264273.49366666662</v>
      </c>
      <c r="AK45" s="5055"/>
      <c r="AL45" s="995">
        <f>SUM(AL41:AL44)</f>
        <v>47245.856666666674</v>
      </c>
      <c r="AM45" s="4963"/>
      <c r="AN45" s="1005">
        <f>SUM(AN41:AN44)</f>
        <v>127542.47033333333</v>
      </c>
      <c r="AO45" s="4965"/>
      <c r="AP45" s="826">
        <f>SUM(AP41:AP44)</f>
        <v>311519.35033333331</v>
      </c>
      <c r="AQ45" s="5055"/>
      <c r="AR45" s="995">
        <f>SUM(AR41:AR44)</f>
        <v>52674.956666666665</v>
      </c>
      <c r="AS45" s="4965"/>
      <c r="AT45" s="826">
        <f>SUM(AT41:AT44)</f>
        <v>364194.30699999997</v>
      </c>
      <c r="AU45" s="5055"/>
      <c r="AV45" s="995">
        <f>SUM(AV41:AV44)</f>
        <v>41556.906666666669</v>
      </c>
      <c r="AW45" s="4965"/>
      <c r="AX45" s="826">
        <f>SUM(AX41:AX44)</f>
        <v>405751.21366666671</v>
      </c>
      <c r="AY45" s="5055"/>
      <c r="AZ45" s="995">
        <f>SUM(AZ41:AZ44)</f>
        <v>44152.666666666672</v>
      </c>
      <c r="BA45" s="4963"/>
      <c r="BB45" s="1005">
        <f>SUM(BB41:BB44)</f>
        <v>138384.53</v>
      </c>
      <c r="BC45" s="4961"/>
      <c r="BD45" s="1198">
        <f>SUM(BD41:BD44)</f>
        <v>265927.00033333339</v>
      </c>
      <c r="BE45" s="4965"/>
      <c r="BF45" s="826">
        <f>SUM(BF41:BF44)</f>
        <v>449903.88033333333</v>
      </c>
    </row>
    <row r="46" spans="1:61" ht="20.100000000000001" customHeight="1" x14ac:dyDescent="0.25">
      <c r="A46" s="5212"/>
      <c r="B46" s="430" t="s">
        <v>190</v>
      </c>
      <c r="C46" s="2613" t="s">
        <v>53</v>
      </c>
      <c r="D46" s="5198">
        <f>+D32+D41</f>
        <v>2451738</v>
      </c>
      <c r="E46" s="5198">
        <f>+E32+E41</f>
        <v>93897</v>
      </c>
      <c r="F46" s="492">
        <f>+F32+F35+F41+F42</f>
        <v>99317.180000000008</v>
      </c>
      <c r="G46" s="5198">
        <f>+G32+G41</f>
        <v>97183</v>
      </c>
      <c r="H46" s="492">
        <f>+H32+H35+H41+H42</f>
        <v>79837</v>
      </c>
      <c r="I46" s="5209">
        <f>+E46+G46</f>
        <v>191080</v>
      </c>
      <c r="J46" s="3526">
        <f>+J38+J41+J42</f>
        <v>179154.18</v>
      </c>
      <c r="K46" s="5198">
        <f>+K32+K41</f>
        <v>222369</v>
      </c>
      <c r="L46" s="492">
        <f>+L32+L35+L41+L42</f>
        <v>194565</v>
      </c>
      <c r="M46" s="5210">
        <f>+I46+K46</f>
        <v>413449</v>
      </c>
      <c r="N46" s="3528">
        <f>+N38+N41+N42</f>
        <v>373719.18</v>
      </c>
      <c r="O46" s="5198">
        <f>+O32+O41</f>
        <v>229932</v>
      </c>
      <c r="P46" s="1001">
        <f>+P38+P41+P42</f>
        <v>187542</v>
      </c>
      <c r="Q46" s="5209">
        <f>+M46+O46</f>
        <v>643381</v>
      </c>
      <c r="R46" s="3526">
        <f>+R38+R41+R42</f>
        <v>561261.18000000005</v>
      </c>
      <c r="S46" s="5198">
        <f>+S32+S41</f>
        <v>230120</v>
      </c>
      <c r="T46" s="1001">
        <f>+T38+T41+T42</f>
        <v>203279.24000000002</v>
      </c>
      <c r="U46" s="5209">
        <f>+Q46+S46</f>
        <v>873501</v>
      </c>
      <c r="V46" s="3526">
        <f>+V38+V41+V42</f>
        <v>764540.42000000016</v>
      </c>
      <c r="W46" s="5198">
        <f>+W32+W41</f>
        <v>223803</v>
      </c>
      <c r="X46" s="1001">
        <f>+X38+X41+X42</f>
        <v>197804.03</v>
      </c>
      <c r="Y46" s="5210">
        <f>+W46+S46+O46</f>
        <v>683855</v>
      </c>
      <c r="Z46" s="3528">
        <f t="shared" si="117"/>
        <v>588625.27</v>
      </c>
      <c r="AA46" s="5205">
        <f>+U46+W46</f>
        <v>1097304</v>
      </c>
      <c r="AB46" s="3537">
        <f>+AB38+AB41+AB42</f>
        <v>962344.45000000007</v>
      </c>
      <c r="AC46" s="5198">
        <f>+AC32+AC41</f>
        <v>231408</v>
      </c>
      <c r="AD46" s="1001">
        <f>+AD38+AD41+AD42</f>
        <v>210821.53033333333</v>
      </c>
      <c r="AE46" s="5209">
        <f>+AA46+AC46</f>
        <v>1328712</v>
      </c>
      <c r="AF46" s="3526">
        <f>+AF38+AF41+AF42</f>
        <v>1173165.9803333334</v>
      </c>
      <c r="AG46" s="5198">
        <f>+AG32+AG41</f>
        <v>223803</v>
      </c>
      <c r="AH46" s="1001">
        <f>+AH38+AH41+AH42</f>
        <v>194141.75</v>
      </c>
      <c r="AI46" s="5209">
        <f>+AE46+AG46</f>
        <v>1552515</v>
      </c>
      <c r="AJ46" s="3526">
        <f>+AJ38+AJ41+AJ42</f>
        <v>1367307.7303333334</v>
      </c>
      <c r="AK46" s="5198">
        <f>+AK32+AK41</f>
        <v>231408</v>
      </c>
      <c r="AL46" s="1001">
        <f>+AL38+AL41+AL42</f>
        <v>215977.19000000003</v>
      </c>
      <c r="AM46" s="5210">
        <f>+AK46+AG46+AC46</f>
        <v>686619</v>
      </c>
      <c r="AN46" s="3528">
        <f t="shared" ref="AN46:AN47" si="128">+AL46+AH46+AD46</f>
        <v>620940.47033333336</v>
      </c>
      <c r="AO46" s="5209">
        <f>+AI46+AK46</f>
        <v>1783923</v>
      </c>
      <c r="AP46" s="3526">
        <f>+AP38+AP41+AP42</f>
        <v>1583284.9203333333</v>
      </c>
      <c r="AQ46" s="5198">
        <f>+AQ32+AQ41</f>
        <v>231408</v>
      </c>
      <c r="AR46" s="1001">
        <f>+AR38+AR41+AR42</f>
        <v>220977.29000000004</v>
      </c>
      <c r="AS46" s="5209">
        <f>+AO46+AQ46</f>
        <v>2015331</v>
      </c>
      <c r="AT46" s="3906">
        <f>+AT38+AT41+AT42</f>
        <v>1804262.2103333334</v>
      </c>
      <c r="AU46" s="5198">
        <f>+AU32+AU41</f>
        <v>204998</v>
      </c>
      <c r="AV46" s="1001">
        <f>+AV38+AV41+AV42</f>
        <v>197107.24000000002</v>
      </c>
      <c r="AW46" s="5209">
        <f>+AS46+AU46</f>
        <v>2220329</v>
      </c>
      <c r="AX46" s="4071">
        <f>+AX38+AX41+AX42</f>
        <v>2001369.4503333331</v>
      </c>
      <c r="AY46" s="5198">
        <f>+AY32+AY41</f>
        <v>231408</v>
      </c>
      <c r="AZ46" s="1001">
        <f>+AZ38+AZ41+AZ42</f>
        <v>219138</v>
      </c>
      <c r="BA46" s="5210">
        <f>+AY46+AU46+AQ46</f>
        <v>667814</v>
      </c>
      <c r="BB46" s="4249">
        <f t="shared" ref="BB46:BB47" si="129">+AZ46+AV46+AR46</f>
        <v>637222.53</v>
      </c>
      <c r="BC46" s="5205">
        <f>+AM46+BA46</f>
        <v>1354433</v>
      </c>
      <c r="BD46" s="4254">
        <f>+BD38+BD41+BD42</f>
        <v>1258163.0003333334</v>
      </c>
      <c r="BE46" s="5209">
        <f>+AW46+AY46</f>
        <v>2451737</v>
      </c>
      <c r="BF46" s="4246">
        <f>+BF38+BF41+BF42</f>
        <v>2220507.4503333331</v>
      </c>
      <c r="BI46" s="4090"/>
    </row>
    <row r="47" spans="1:61" ht="20.100000000000001" customHeight="1" thickBot="1" x14ac:dyDescent="0.3">
      <c r="A47" s="5212"/>
      <c r="B47" s="428" t="s">
        <v>191</v>
      </c>
      <c r="C47" s="2573" t="s">
        <v>53</v>
      </c>
      <c r="D47" s="5047"/>
      <c r="E47" s="5047"/>
      <c r="F47" s="495">
        <f>+F43+F39</f>
        <v>542</v>
      </c>
      <c r="G47" s="5047"/>
      <c r="H47" s="495">
        <f>+H43+H39</f>
        <v>145</v>
      </c>
      <c r="I47" s="4966"/>
      <c r="J47" s="3525">
        <f>+J39+J43+J44</f>
        <v>687</v>
      </c>
      <c r="K47" s="5047"/>
      <c r="L47" s="495">
        <f>+L33+L36+L43+L44</f>
        <v>638</v>
      </c>
      <c r="M47" s="4970"/>
      <c r="N47" s="3527">
        <f>+N39+N43+N44</f>
        <v>1325</v>
      </c>
      <c r="O47" s="5047"/>
      <c r="P47" s="1028">
        <f>+P39+P43+P44</f>
        <v>581.18000000000006</v>
      </c>
      <c r="Q47" s="4966"/>
      <c r="R47" s="3525">
        <f>+R39+R43+R44</f>
        <v>1906.1799999999998</v>
      </c>
      <c r="S47" s="5047"/>
      <c r="T47" s="1028">
        <f>+T39+T43+T44</f>
        <v>941</v>
      </c>
      <c r="U47" s="4966"/>
      <c r="V47" s="3525">
        <f>+V39+V43+V44</f>
        <v>2847.1800000000003</v>
      </c>
      <c r="W47" s="5047"/>
      <c r="X47" s="1028">
        <f>+X39+X43+X44</f>
        <v>621</v>
      </c>
      <c r="Y47" s="4970"/>
      <c r="Z47" s="3528">
        <f t="shared" si="117"/>
        <v>2143.1800000000003</v>
      </c>
      <c r="AA47" s="4975"/>
      <c r="AB47" s="3536">
        <f>+AB39+AB43+AB44</f>
        <v>3468.1800000000003</v>
      </c>
      <c r="AC47" s="5047"/>
      <c r="AD47" s="1028">
        <f>+AD39+AD43+AD44</f>
        <v>498</v>
      </c>
      <c r="AE47" s="4966"/>
      <c r="AF47" s="3525">
        <f>+AF39+AF43+AF44</f>
        <v>3966.1800000000003</v>
      </c>
      <c r="AG47" s="5047"/>
      <c r="AH47" s="1028">
        <f>+AH39+AH43+AH44</f>
        <v>649</v>
      </c>
      <c r="AI47" s="4966"/>
      <c r="AJ47" s="3525">
        <f>+AJ39+AJ43+AJ44</f>
        <v>4615.18</v>
      </c>
      <c r="AK47" s="5047"/>
      <c r="AL47" s="1028">
        <f>+AL39+AL43+AL44</f>
        <v>704</v>
      </c>
      <c r="AM47" s="4970"/>
      <c r="AN47" s="3528">
        <f t="shared" si="128"/>
        <v>1851</v>
      </c>
      <c r="AO47" s="4966"/>
      <c r="AP47" s="3525">
        <f>+AP39+AP43+AP44</f>
        <v>5319.18</v>
      </c>
      <c r="AQ47" s="5047"/>
      <c r="AR47" s="1028">
        <f>+AR39+AR43+AR44</f>
        <v>676</v>
      </c>
      <c r="AS47" s="4966"/>
      <c r="AT47" s="3905">
        <f>+AT39+AT43+AT44</f>
        <v>5995.18</v>
      </c>
      <c r="AU47" s="5047"/>
      <c r="AV47" s="1028">
        <f>+AV39+AV43+AV44</f>
        <v>493</v>
      </c>
      <c r="AW47" s="4966"/>
      <c r="AX47" s="4070">
        <f>+AX39+AX43+AX44</f>
        <v>6488.18</v>
      </c>
      <c r="AY47" s="5047"/>
      <c r="AZ47" s="1028">
        <f>+AZ39+AZ43+AZ44</f>
        <v>872</v>
      </c>
      <c r="BA47" s="4970"/>
      <c r="BB47" s="4249">
        <f t="shared" si="129"/>
        <v>2041</v>
      </c>
      <c r="BC47" s="4975"/>
      <c r="BD47" s="4253">
        <f>+BD39+BD43+BD44</f>
        <v>3892</v>
      </c>
      <c r="BE47" s="4966"/>
      <c r="BF47" s="4245">
        <f>+BF39+BF43+BF44</f>
        <v>7360.18</v>
      </c>
    </row>
    <row r="48" spans="1:61" ht="20.100000000000001" customHeight="1" thickBot="1" x14ac:dyDescent="0.3">
      <c r="A48" s="5212"/>
      <c r="B48" s="429" t="s">
        <v>328</v>
      </c>
      <c r="C48" s="2571" t="s">
        <v>53</v>
      </c>
      <c r="D48" s="5055"/>
      <c r="E48" s="5055"/>
      <c r="F48" s="469">
        <f>SUM(F46:F47)</f>
        <v>99859.180000000008</v>
      </c>
      <c r="G48" s="5055"/>
      <c r="H48" s="469">
        <f>SUM(H46:H47)</f>
        <v>79982</v>
      </c>
      <c r="I48" s="4965"/>
      <c r="J48" s="826">
        <f>SUM(J46:J47)</f>
        <v>179841.18</v>
      </c>
      <c r="K48" s="5055"/>
      <c r="L48" s="469">
        <f>SUM(L46:L47)</f>
        <v>195203</v>
      </c>
      <c r="M48" s="4963"/>
      <c r="N48" s="1005">
        <f>SUM(N46:N47)</f>
        <v>375044.18</v>
      </c>
      <c r="O48" s="5055"/>
      <c r="P48" s="469">
        <f>SUM(P46:P47)</f>
        <v>188123.18</v>
      </c>
      <c r="Q48" s="4965"/>
      <c r="R48" s="826">
        <f>SUM(R46:R47)</f>
        <v>563167.3600000001</v>
      </c>
      <c r="S48" s="5055"/>
      <c r="T48" s="469">
        <f>SUM(T46:T47)</f>
        <v>204220.24000000002</v>
      </c>
      <c r="U48" s="4965"/>
      <c r="V48" s="826">
        <f>SUM(V46:V47)</f>
        <v>767387.60000000021</v>
      </c>
      <c r="W48" s="5055"/>
      <c r="X48" s="469">
        <f>SUM(X46:X47)</f>
        <v>198425.03</v>
      </c>
      <c r="Y48" s="4963"/>
      <c r="Z48" s="1005">
        <f>SUM(Z46:Z47)</f>
        <v>590768.45000000007</v>
      </c>
      <c r="AA48" s="4961"/>
      <c r="AB48" s="1198">
        <f>SUM(AB46:AB47)</f>
        <v>965812.63000000012</v>
      </c>
      <c r="AC48" s="5055"/>
      <c r="AD48" s="469">
        <f>SUM(AD46:AD47)</f>
        <v>211319.53033333333</v>
      </c>
      <c r="AE48" s="4965"/>
      <c r="AF48" s="826">
        <f>SUM(AF46:AF47)</f>
        <v>1177132.1603333333</v>
      </c>
      <c r="AG48" s="5055"/>
      <c r="AH48" s="469">
        <f>SUM(AH46:AH47)</f>
        <v>194790.75</v>
      </c>
      <c r="AI48" s="4965"/>
      <c r="AJ48" s="826">
        <f>SUM(AJ46:AJ47)</f>
        <v>1371922.9103333333</v>
      </c>
      <c r="AK48" s="5055"/>
      <c r="AL48" s="469">
        <f>SUM(AL46:AL47)</f>
        <v>216681.19000000003</v>
      </c>
      <c r="AM48" s="4963"/>
      <c r="AN48" s="1005">
        <f>SUM(AN46:AN47)</f>
        <v>622791.47033333336</v>
      </c>
      <c r="AO48" s="4965"/>
      <c r="AP48" s="826">
        <f>SUM(AP46:AP47)</f>
        <v>1588604.1003333332</v>
      </c>
      <c r="AQ48" s="5055"/>
      <c r="AR48" s="469">
        <f>SUM(AR46:AR47)</f>
        <v>221653.29000000004</v>
      </c>
      <c r="AS48" s="4965"/>
      <c r="AT48" s="826">
        <f>SUM(AT46:AT47)</f>
        <v>1810257.3903333333</v>
      </c>
      <c r="AU48" s="5055"/>
      <c r="AV48" s="469">
        <f>SUM(AV46:AV47)</f>
        <v>197600.24000000002</v>
      </c>
      <c r="AW48" s="4965"/>
      <c r="AX48" s="826">
        <f>SUM(AX46:AX47)</f>
        <v>2007857.630333333</v>
      </c>
      <c r="AY48" s="5055"/>
      <c r="AZ48" s="469">
        <f>SUM(AZ46:AZ47)</f>
        <v>220010</v>
      </c>
      <c r="BA48" s="4963"/>
      <c r="BB48" s="1005">
        <f>SUM(BB46:BB47)</f>
        <v>639263.53</v>
      </c>
      <c r="BC48" s="4961"/>
      <c r="BD48" s="1198">
        <f>SUM(BD46:BD47)</f>
        <v>1262055.0003333334</v>
      </c>
      <c r="BE48" s="4965"/>
      <c r="BF48" s="826">
        <f>SUM(BF46:BF47)</f>
        <v>2227867.6303333333</v>
      </c>
    </row>
    <row r="49" spans="1:62" s="334" customFormat="1" ht="20.100000000000001" customHeight="1" x14ac:dyDescent="0.25">
      <c r="A49" s="1486"/>
      <c r="B49" s="845" t="s">
        <v>299</v>
      </c>
      <c r="C49" s="846"/>
      <c r="D49" s="846"/>
      <c r="E49" s="846"/>
      <c r="F49" s="846"/>
      <c r="G49" s="846"/>
      <c r="H49" s="846"/>
      <c r="I49" s="846"/>
      <c r="J49" s="846"/>
      <c r="K49" s="846"/>
      <c r="L49" s="846"/>
      <c r="M49" s="846"/>
      <c r="N49" s="846"/>
      <c r="O49" s="846"/>
      <c r="P49" s="846"/>
      <c r="Q49" s="846"/>
      <c r="R49" s="846"/>
      <c r="S49" s="846"/>
      <c r="T49" s="846"/>
      <c r="U49" s="846"/>
      <c r="V49" s="846"/>
      <c r="W49" s="846"/>
      <c r="X49" s="846"/>
      <c r="Y49" s="846"/>
      <c r="Z49" s="846"/>
      <c r="AA49" s="846"/>
      <c r="AB49" s="846"/>
      <c r="AC49" s="846"/>
      <c r="AD49" s="846"/>
      <c r="AE49" s="846"/>
      <c r="AF49" s="846"/>
      <c r="AG49" s="846"/>
      <c r="AH49" s="846"/>
      <c r="AI49" s="846"/>
      <c r="AJ49" s="846"/>
      <c r="AK49" s="846"/>
      <c r="AL49" s="846"/>
      <c r="AM49" s="846"/>
      <c r="AN49" s="846"/>
      <c r="AO49" s="846"/>
      <c r="AP49" s="846"/>
      <c r="AQ49" s="846"/>
      <c r="AR49" s="846"/>
      <c r="AS49" s="846"/>
      <c r="AT49" s="846"/>
      <c r="AU49" s="846"/>
      <c r="AV49" s="846"/>
      <c r="AW49" s="846"/>
      <c r="AX49" s="846"/>
      <c r="AY49" s="846"/>
      <c r="AZ49" s="846"/>
      <c r="BA49" s="846"/>
      <c r="BB49" s="846"/>
      <c r="BC49" s="846"/>
      <c r="BD49" s="846"/>
      <c r="BE49" s="846"/>
      <c r="BF49" s="846"/>
    </row>
    <row r="50" spans="1:62" ht="20.100000000000001" customHeight="1" x14ac:dyDescent="0.25">
      <c r="A50" s="422"/>
      <c r="B50" s="432" t="s">
        <v>306</v>
      </c>
      <c r="C50" s="2058" t="s">
        <v>52</v>
      </c>
      <c r="D50" s="486">
        <v>91</v>
      </c>
      <c r="E50" s="1226">
        <v>91</v>
      </c>
      <c r="F50" s="486">
        <v>92.59</v>
      </c>
      <c r="G50" s="1226">
        <v>91</v>
      </c>
      <c r="H50" s="486">
        <v>92.75</v>
      </c>
      <c r="I50" s="834">
        <f>+((E50*E18)+(G18*G50))/I18</f>
        <v>91</v>
      </c>
      <c r="J50" s="834">
        <f>+((F50*F18)+(H18*H50))/J18</f>
        <v>92.660706389864217</v>
      </c>
      <c r="K50" s="1226">
        <v>91</v>
      </c>
      <c r="L50" s="486">
        <v>91.36</v>
      </c>
      <c r="M50" s="1014">
        <f>+((I50*I18)+(K18*K50))/M18</f>
        <v>91</v>
      </c>
      <c r="N50" s="1014">
        <f>+((J50*J18)+(L18*L50))/N18</f>
        <v>91.984101449061271</v>
      </c>
      <c r="O50" s="3520">
        <v>91</v>
      </c>
      <c r="P50" s="1027">
        <v>91.59</v>
      </c>
      <c r="Q50" s="834">
        <f>+((M50*M18)+(O18*O50))/Q18</f>
        <v>91</v>
      </c>
      <c r="R50" s="834">
        <f>+((N50*N18)+(P18*P50))/R18</f>
        <v>91.852142872888464</v>
      </c>
      <c r="S50" s="3520">
        <v>91</v>
      </c>
      <c r="T50" s="1027">
        <v>91.25</v>
      </c>
      <c r="U50" s="834">
        <f>+((Q50*Q18)+(S18*S50))/U18</f>
        <v>91</v>
      </c>
      <c r="V50" s="834">
        <f>+((R50*R18)+(T18*T50))/V18</f>
        <v>91.69061661756848</v>
      </c>
      <c r="W50" s="3520">
        <v>91</v>
      </c>
      <c r="X50" s="1027">
        <v>91.69</v>
      </c>
      <c r="Y50" s="1014">
        <f>+((O50*O18)+(S50*S18)+(W18*W50))/Y18</f>
        <v>91</v>
      </c>
      <c r="Z50" s="1014">
        <f>+((P50*P18)+(T50*T18)+(X18*X50))/Z18</f>
        <v>91.505677132269113</v>
      </c>
      <c r="AA50" s="1206">
        <f>+((U50*U18)+(W18*W50))/AA18</f>
        <v>91</v>
      </c>
      <c r="AB50" s="1206">
        <f>+((V50*V18)+(X18*X50))/AB18</f>
        <v>91.690489375296011</v>
      </c>
      <c r="AC50" s="3520">
        <v>91</v>
      </c>
      <c r="AD50" s="1027">
        <v>91.65</v>
      </c>
      <c r="AE50" s="834">
        <f>+((AA50*AA18)+(AC18*AC50))/AE18</f>
        <v>91</v>
      </c>
      <c r="AF50" s="834">
        <f>+((AB50*AB18)+(AD18*AD50))/AF18</f>
        <v>91.68315733438844</v>
      </c>
      <c r="AG50" s="3520">
        <v>91</v>
      </c>
      <c r="AH50" s="1027">
        <v>91.58</v>
      </c>
      <c r="AI50" s="834">
        <f>+((AE50*AE18)+(AG18*AG50))/AI18</f>
        <v>91</v>
      </c>
      <c r="AJ50" s="834">
        <f>+((AF50*AF18)+(AH18*AH50))/AJ18</f>
        <v>91.668577233433936</v>
      </c>
      <c r="AK50" s="3520">
        <v>91</v>
      </c>
      <c r="AL50" s="1027">
        <v>91.685308072666075</v>
      </c>
      <c r="AM50" s="1014">
        <f>+((AC50*AC18)+(AG50*AG18)+(AK18*AK50))/AM18</f>
        <v>91</v>
      </c>
      <c r="AN50" s="1014">
        <f>+((AD50*AD18)+(AH50*AH18)+(AL18*AL50))/AN18</f>
        <v>91.640422042643266</v>
      </c>
      <c r="AO50" s="834">
        <f>+((AI50*AI18)+(AK18*AK50))/AO18</f>
        <v>91</v>
      </c>
      <c r="AP50" s="834">
        <f>+((AJ50*AJ18)+(AL18*AL50))/AP18</f>
        <v>91.670848530043159</v>
      </c>
      <c r="AQ50" s="3902">
        <v>91</v>
      </c>
      <c r="AR50" s="1027">
        <v>91.50166848795611</v>
      </c>
      <c r="AS50" s="834">
        <f>+((AO50*AO18)+(AQ18*AQ50))/AS18</f>
        <v>91</v>
      </c>
      <c r="AT50" s="834">
        <f>+((AP50*AP18)+(AR18*AR50))/AT18</f>
        <v>91.650147195911913</v>
      </c>
      <c r="AU50" s="4004">
        <v>91</v>
      </c>
      <c r="AV50" s="1027">
        <v>91.59</v>
      </c>
      <c r="AW50" s="834">
        <f>+((AS50*AS18)+(AU18*AU50))/AW18</f>
        <v>91</v>
      </c>
      <c r="AX50" s="834">
        <f>+((AT50*AT18)+(AV18*AV50))/AX18</f>
        <v>91.644213894912482</v>
      </c>
      <c r="AY50" s="4247">
        <v>91</v>
      </c>
      <c r="AZ50" s="1027">
        <v>91.496666742527395</v>
      </c>
      <c r="BA50" s="1014">
        <f>+((AQ50*AQ18)+(AU50*AU18)+(AY18*AY50))/BA18</f>
        <v>91</v>
      </c>
      <c r="BB50" s="1014">
        <f>+((AR50*AR18)+(AV50*AV18)+(AZ18*AZ50))/BB18</f>
        <v>91.527282862285716</v>
      </c>
      <c r="BC50" s="1206">
        <f>+((AM50*AM18)+(BA18*BA50))/BC18</f>
        <v>91</v>
      </c>
      <c r="BD50" s="1206">
        <f>+((AN50*AN18)+(BB18*BB50))/BD18</f>
        <v>91.583095509808416</v>
      </c>
      <c r="BE50" s="834">
        <f>+((AW50*AW18)+(AY18*AY50))/BE18</f>
        <v>91</v>
      </c>
      <c r="BF50" s="834">
        <f>+((AX50*AX18)+(AZ18*AZ50))/BF18</f>
        <v>91.629615656393938</v>
      </c>
    </row>
    <row r="51" spans="1:62" ht="20.100000000000001" customHeight="1" x14ac:dyDescent="0.25">
      <c r="B51" s="432" t="s">
        <v>590</v>
      </c>
      <c r="C51" s="2058" t="s">
        <v>591</v>
      </c>
      <c r="D51" s="486">
        <v>150</v>
      </c>
      <c r="E51" s="1848">
        <v>150</v>
      </c>
      <c r="F51" s="497">
        <f>+F48/F28</f>
        <v>152.92370597243493</v>
      </c>
      <c r="G51" s="1848">
        <v>150</v>
      </c>
      <c r="H51" s="496">
        <f>+H48/H28</f>
        <v>153.51631477927063</v>
      </c>
      <c r="I51" s="850">
        <f>+I46/I28</f>
        <v>150</v>
      </c>
      <c r="J51" s="834">
        <f>+J48/J28</f>
        <v>153.18669505962524</v>
      </c>
      <c r="K51" s="2579">
        <v>150</v>
      </c>
      <c r="L51" s="496">
        <f>+L48/L28</f>
        <v>154.18878357030016</v>
      </c>
      <c r="M51" s="1019">
        <f>+M46/M28</f>
        <v>150.00000000000003</v>
      </c>
      <c r="N51" s="1014">
        <f>+N48/N28</f>
        <v>153.70663114754097</v>
      </c>
      <c r="O51" s="2579">
        <v>150</v>
      </c>
      <c r="P51" s="1027">
        <f>+P48/P28</f>
        <v>152.44990275526743</v>
      </c>
      <c r="Q51" s="850">
        <f>+Q46/Q28</f>
        <v>150.00000000000003</v>
      </c>
      <c r="R51" s="834">
        <f>+R48/R28</f>
        <v>153.28452912357108</v>
      </c>
      <c r="S51" s="2579">
        <v>150</v>
      </c>
      <c r="T51" s="1027">
        <f>+T48/T28</f>
        <v>151.72380386329868</v>
      </c>
      <c r="U51" s="850">
        <f>+U46/U28</f>
        <v>150</v>
      </c>
      <c r="V51" s="834">
        <f>+V48/V28</f>
        <v>152.86605577689247</v>
      </c>
      <c r="W51" s="2579">
        <v>150</v>
      </c>
      <c r="X51" s="1027">
        <f>+X48/X28</f>
        <v>152.51731744811684</v>
      </c>
      <c r="Y51" s="1019">
        <f>+Y46/Y28</f>
        <v>150.00000000000003</v>
      </c>
      <c r="Z51" s="1014">
        <f>+Z48/Z28</f>
        <v>152.22067766039683</v>
      </c>
      <c r="AA51" s="1214">
        <f>+AA46/AA28</f>
        <v>150</v>
      </c>
      <c r="AB51" s="1206">
        <f>+AB48/AB28</f>
        <v>152.79427780414494</v>
      </c>
      <c r="AC51" s="2579">
        <v>150</v>
      </c>
      <c r="AD51" s="1027">
        <f>+AD48/AD28</f>
        <v>152.57727821901324</v>
      </c>
      <c r="AE51" s="850">
        <f>+AE46/AE28</f>
        <v>150</v>
      </c>
      <c r="AF51" s="834">
        <f>+AF48/AF28</f>
        <v>152.7552764512501</v>
      </c>
      <c r="AG51" s="2579">
        <v>150</v>
      </c>
      <c r="AH51" s="1027">
        <f>+AH48/AH28</f>
        <v>151.35256410256412</v>
      </c>
      <c r="AI51" s="850">
        <f>+AI46/AI28</f>
        <v>150</v>
      </c>
      <c r="AJ51" s="834">
        <f>+AJ48/AJ28</f>
        <v>152.55453245116573</v>
      </c>
      <c r="AK51" s="2579">
        <v>150</v>
      </c>
      <c r="AL51" s="1027">
        <f>+AL48/AL28</f>
        <v>150.9973449477352</v>
      </c>
      <c r="AM51" s="1019">
        <f>+AM46/AM28</f>
        <v>150</v>
      </c>
      <c r="AN51" s="1014">
        <f>+AN48/AN28</f>
        <v>151.6414585666748</v>
      </c>
      <c r="AO51" s="850">
        <f>+AO46/AO28</f>
        <v>150</v>
      </c>
      <c r="AP51" s="834">
        <f>+AP48/AP28</f>
        <v>152.34024744278224</v>
      </c>
      <c r="AQ51" s="2579">
        <v>150</v>
      </c>
      <c r="AR51" s="1027">
        <f>+AR48/AR28</f>
        <v>152.54871988988302</v>
      </c>
      <c r="AS51" s="850">
        <f>+AS46/AS28</f>
        <v>150</v>
      </c>
      <c r="AT51" s="834">
        <f>+AT48/AT28</f>
        <v>152.36574281065006</v>
      </c>
      <c r="AU51" s="2579">
        <v>150</v>
      </c>
      <c r="AV51" s="1027">
        <f>+AV48/AV28</f>
        <v>153.17848062015506</v>
      </c>
      <c r="AW51" s="850">
        <f>+AW46/AW28</f>
        <v>150</v>
      </c>
      <c r="AX51" s="834">
        <f>+AX48/AX28</f>
        <v>152.44534434236832</v>
      </c>
      <c r="AY51" s="2579">
        <v>150</v>
      </c>
      <c r="AZ51" s="1027">
        <f>+AZ48/AZ28</f>
        <v>151.41775636613903</v>
      </c>
      <c r="BA51" s="1019">
        <f>+BA46/BA28</f>
        <v>150</v>
      </c>
      <c r="BB51" s="1014">
        <f>+BB48/BB28</f>
        <v>152.3506982840801</v>
      </c>
      <c r="BC51" s="1214">
        <f>+BC46/BC28</f>
        <v>150</v>
      </c>
      <c r="BD51" s="1206">
        <f>+BD48/BD28</f>
        <v>151.99987960175037</v>
      </c>
      <c r="BE51" s="850">
        <f>+BE46/BE28</f>
        <v>150</v>
      </c>
      <c r="BF51" s="834">
        <f>+BF48/BF28</f>
        <v>152.34324605671043</v>
      </c>
      <c r="BJ51" s="4090"/>
    </row>
    <row r="52" spans="1:62" ht="20.100000000000001" customHeight="1" x14ac:dyDescent="0.25">
      <c r="B52" s="432" t="s">
        <v>307</v>
      </c>
      <c r="C52" s="2058" t="s">
        <v>52</v>
      </c>
      <c r="D52" s="486">
        <v>97</v>
      </c>
      <c r="E52" s="1225">
        <v>97</v>
      </c>
      <c r="F52" s="498">
        <f>+F48/F23*100</f>
        <v>98.314656742574172</v>
      </c>
      <c r="G52" s="1225">
        <v>97</v>
      </c>
      <c r="H52" s="498">
        <f>+H48/H23*100</f>
        <v>98.360696058537783</v>
      </c>
      <c r="I52" s="850">
        <f>+I46/I23*100</f>
        <v>96.999847708005476</v>
      </c>
      <c r="J52" s="834">
        <f>+J48/J23*100</f>
        <v>98.335126800301822</v>
      </c>
      <c r="K52" s="1848">
        <v>97</v>
      </c>
      <c r="L52" s="498">
        <f>+L48/L23*100</f>
        <v>98.829455990684252</v>
      </c>
      <c r="M52" s="1019">
        <f>+M46/M23*100</f>
        <v>97.000036458461821</v>
      </c>
      <c r="N52" s="1014">
        <f>+N48/N23*100</f>
        <v>98.591796551533776</v>
      </c>
      <c r="O52" s="1848">
        <v>97</v>
      </c>
      <c r="P52" s="1030">
        <f>+P48/P23*100</f>
        <v>98.774102426781752</v>
      </c>
      <c r="Q52" s="850">
        <f>+Q46/Q23*100</f>
        <v>97.000034754060039</v>
      </c>
      <c r="R52" s="834">
        <f>+R48/R23*100</f>
        <v>98.652619998984008</v>
      </c>
      <c r="S52" s="1848">
        <v>97</v>
      </c>
      <c r="T52" s="1030">
        <f>+T48/T23*100</f>
        <v>98.556184004787369</v>
      </c>
      <c r="U52" s="850">
        <f>+U46/U23*100</f>
        <v>97.000056879232744</v>
      </c>
      <c r="V52" s="834">
        <f>+V48/V23*100</f>
        <v>98.626937644508047</v>
      </c>
      <c r="W52" s="1848">
        <v>97</v>
      </c>
      <c r="X52" s="1030">
        <f>+X48/X23*100</f>
        <v>98.472005518500865</v>
      </c>
      <c r="Y52" s="1019">
        <f>+Y46/Y23*100</f>
        <v>97.000076581926535</v>
      </c>
      <c r="Z52" s="1014">
        <f>+Z48/Z23*100</f>
        <v>98.59714373454122</v>
      </c>
      <c r="AA52" s="1214">
        <f>+AA46/AA23*100</f>
        <v>97.000061463954992</v>
      </c>
      <c r="AB52" s="1206">
        <f>+AB48/AB23*100</f>
        <v>98.595067248551686</v>
      </c>
      <c r="AC52" s="1848">
        <v>97</v>
      </c>
      <c r="AD52" s="1030">
        <f>+AD48/AD23*100</f>
        <v>98.54712632421635</v>
      </c>
      <c r="AE52" s="850">
        <f>+AE46/AE23*100</f>
        <v>97.000017856612601</v>
      </c>
      <c r="AF52" s="834">
        <f>+AF48/AF23*100</f>
        <v>98.586457427771407</v>
      </c>
      <c r="AG52" s="1848">
        <v>97</v>
      </c>
      <c r="AH52" s="1030">
        <f>+AH48/AH23*100</f>
        <v>98.572827423574594</v>
      </c>
      <c r="AI52" s="850">
        <f>+AI46/AI23*100</f>
        <v>97.000026722360744</v>
      </c>
      <c r="AJ52" s="834">
        <f>+AJ48/AJ23*100</f>
        <v>98.584521959163681</v>
      </c>
      <c r="AK52" s="1848">
        <v>97</v>
      </c>
      <c r="AL52" s="1030">
        <f>+AL48/AL23*100</f>
        <v>98.448043362699195</v>
      </c>
      <c r="AM52" s="1019">
        <f>+AM46/AM23*100</f>
        <v>96.999898523076922</v>
      </c>
      <c r="AN52" s="1014">
        <f>+AN48/AN23*100</f>
        <v>98.520662307948257</v>
      </c>
      <c r="AO52" s="850">
        <f>+AO46/AO23*100</f>
        <v>96.999998749130228</v>
      </c>
      <c r="AP52" s="834">
        <f>+AP48/AP23*100</f>
        <v>98.565884375140882</v>
      </c>
      <c r="AQ52" s="1848">
        <v>97</v>
      </c>
      <c r="AR52" s="1030">
        <f>+AR48/AR23*100</f>
        <v>98.670446047008568</v>
      </c>
      <c r="AS52" s="850">
        <f>+AS46/AS23*100</f>
        <v>96.999977199896975</v>
      </c>
      <c r="AT52" s="834">
        <f>+AT48/AT23*100</f>
        <v>98.578675309135434</v>
      </c>
      <c r="AU52" s="1848">
        <v>97</v>
      </c>
      <c r="AV52" s="1030">
        <f>+AV48/AV23*100</f>
        <v>98.641799911142627</v>
      </c>
      <c r="AW52" s="850">
        <f>+AW46/AW23*100</f>
        <v>96.999975202894518</v>
      </c>
      <c r="AX52" s="834">
        <f>+AX48/AX23*100</f>
        <v>98.58488403589044</v>
      </c>
      <c r="AY52" s="1848">
        <v>97</v>
      </c>
      <c r="AZ52" s="1030">
        <f>+AZ48/AZ23*100</f>
        <v>98.77923395696115</v>
      </c>
      <c r="BA52" s="1019">
        <f>+BA46/BA23*100</f>
        <v>96.999855432115751</v>
      </c>
      <c r="BB52" s="1014">
        <f>+BB48/BB23*100</f>
        <v>98.698996433478982</v>
      </c>
      <c r="BC52" s="1214">
        <f>+BC46/BC23*100</f>
        <v>96.999877276729833</v>
      </c>
      <c r="BD52" s="1206">
        <f>+BD48/BD23*100</f>
        <v>98.610912543537594</v>
      </c>
      <c r="BE52" s="850">
        <f>+BE46/BE23*100</f>
        <v>96.999959711822541</v>
      </c>
      <c r="BF52" s="834">
        <f>+BF48/BF23*100</f>
        <v>98.604042755152378</v>
      </c>
    </row>
    <row r="53" spans="1:62" s="334" customFormat="1" ht="20.100000000000001" customHeight="1" x14ac:dyDescent="0.25">
      <c r="B53" s="897" t="s">
        <v>308</v>
      </c>
      <c r="C53" s="849"/>
      <c r="D53" s="619"/>
      <c r="E53" s="849"/>
      <c r="F53" s="848"/>
      <c r="G53" s="849"/>
      <c r="H53" s="848"/>
      <c r="I53" s="849"/>
      <c r="J53" s="848"/>
      <c r="K53" s="849"/>
      <c r="L53" s="848"/>
      <c r="M53" s="849"/>
      <c r="N53" s="848"/>
      <c r="O53" s="849"/>
      <c r="P53" s="848"/>
      <c r="Q53" s="849"/>
      <c r="R53" s="848"/>
      <c r="S53" s="849"/>
      <c r="T53" s="848"/>
      <c r="U53" s="849"/>
      <c r="V53" s="848"/>
      <c r="W53" s="849"/>
      <c r="X53" s="848"/>
      <c r="Y53" s="849"/>
      <c r="Z53" s="848"/>
      <c r="AA53" s="849"/>
      <c r="AB53" s="848"/>
      <c r="AC53" s="849"/>
      <c r="AD53" s="848"/>
      <c r="AE53" s="849"/>
      <c r="AF53" s="848"/>
      <c r="AG53" s="849"/>
      <c r="AH53" s="848"/>
      <c r="AI53" s="849"/>
      <c r="AJ53" s="848"/>
      <c r="AK53" s="849"/>
      <c r="AL53" s="848"/>
      <c r="AM53" s="849"/>
      <c r="AN53" s="848"/>
      <c r="AO53" s="849"/>
      <c r="AP53" s="848"/>
      <c r="AQ53" s="849"/>
      <c r="AR53" s="848"/>
      <c r="AS53" s="849"/>
      <c r="AT53" s="848"/>
      <c r="AU53" s="849"/>
      <c r="AV53" s="848"/>
      <c r="AW53" s="849"/>
      <c r="AX53" s="848"/>
      <c r="AY53" s="849"/>
      <c r="AZ53" s="848"/>
      <c r="BA53" s="849"/>
      <c r="BB53" s="848"/>
      <c r="BC53" s="849"/>
      <c r="BD53" s="848"/>
      <c r="BE53" s="849"/>
      <c r="BF53" s="848"/>
      <c r="BJ53" s="1486"/>
    </row>
    <row r="54" spans="1:62" ht="20.100000000000001" customHeight="1" x14ac:dyDescent="0.25">
      <c r="B54" s="2633" t="s">
        <v>86</v>
      </c>
      <c r="C54" s="2058" t="s">
        <v>53</v>
      </c>
      <c r="D54" s="497">
        <f>+D69*D$5/1000</f>
        <v>6374.5175793427243</v>
      </c>
      <c r="E54" s="3520">
        <f>+E69*E$5/1000</f>
        <v>244.13220000000001</v>
      </c>
      <c r="F54" s="497">
        <v>193</v>
      </c>
      <c r="G54" s="3520">
        <f>+G69*G$5/1000</f>
        <v>252.67580000000001</v>
      </c>
      <c r="H54" s="497">
        <v>103</v>
      </c>
      <c r="I54" s="850">
        <f>+E54+G54</f>
        <v>496.80799999999999</v>
      </c>
      <c r="J54" s="606">
        <f>+F54+H54</f>
        <v>296</v>
      </c>
      <c r="K54" s="3520">
        <f>+K69*K$5/1000</f>
        <v>578.15940000000001</v>
      </c>
      <c r="L54" s="497">
        <v>356</v>
      </c>
      <c r="M54" s="1019">
        <f>+I54+K54</f>
        <v>1074.9674</v>
      </c>
      <c r="N54" s="621">
        <f>+J54+L54</f>
        <v>652</v>
      </c>
      <c r="O54" s="3520">
        <f>+O69*O$5/1000</f>
        <v>597.82300469483573</v>
      </c>
      <c r="P54" s="617">
        <v>390</v>
      </c>
      <c r="Q54" s="850">
        <f>+M54+O54</f>
        <v>1672.7904046948356</v>
      </c>
      <c r="R54" s="606">
        <f>+N54+P54</f>
        <v>1042</v>
      </c>
      <c r="S54" s="3520">
        <f>+S69*S$5/1000</f>
        <v>598.31126760563382</v>
      </c>
      <c r="T54" s="617">
        <v>379</v>
      </c>
      <c r="U54" s="850">
        <f>+Q54+S54</f>
        <v>2271.1016723004695</v>
      </c>
      <c r="V54" s="606">
        <f>+R54+T54</f>
        <v>1421</v>
      </c>
      <c r="W54" s="3520">
        <f>+W69*W$5/1000</f>
        <v>582.19617183098592</v>
      </c>
      <c r="X54" s="617">
        <v>376</v>
      </c>
      <c r="Y54" s="3528">
        <f t="shared" ref="Y54:Y67" si="130">+W54+S54+O54</f>
        <v>1778.3304441314554</v>
      </c>
      <c r="Z54" s="3528">
        <f t="shared" ref="Z54:Z67" si="131">+X54+T54+P54</f>
        <v>1145</v>
      </c>
      <c r="AA54" s="1214">
        <f>+U54+W54</f>
        <v>2853.2978441314553</v>
      </c>
      <c r="AB54" s="1208">
        <f>+V54+X54</f>
        <v>1797</v>
      </c>
      <c r="AC54" s="3520">
        <f>+AC69*AC$5/1000</f>
        <v>601.98131549295772</v>
      </c>
      <c r="AD54" s="617">
        <v>413</v>
      </c>
      <c r="AE54" s="850">
        <f>+AA54+AC54</f>
        <v>3455.2791596244133</v>
      </c>
      <c r="AF54" s="606">
        <f>+AB54+AD54</f>
        <v>2210</v>
      </c>
      <c r="AG54" s="3520">
        <f>+AG69*AG$5/1000</f>
        <v>582.19617183098592</v>
      </c>
      <c r="AH54" s="617">
        <v>293.38</v>
      </c>
      <c r="AI54" s="850">
        <f>+AE54+AG54</f>
        <v>4037.4753314553991</v>
      </c>
      <c r="AJ54" s="606">
        <f>+AF54+AH54</f>
        <v>2503.38</v>
      </c>
      <c r="AK54" s="3520">
        <f>+AK69*AK$5/1000</f>
        <v>601.66079999999999</v>
      </c>
      <c r="AL54" s="617">
        <v>505</v>
      </c>
      <c r="AM54" s="3528">
        <f t="shared" ref="AM54:AM55" si="132">+AK54+AG54+AC54</f>
        <v>1785.8382873239436</v>
      </c>
      <c r="AN54" s="3528">
        <f t="shared" ref="AN54:AN55" si="133">+AL54+AH54+AD54</f>
        <v>1211.3800000000001</v>
      </c>
      <c r="AO54" s="850">
        <f>+AI54+AK54</f>
        <v>4639.1361314553988</v>
      </c>
      <c r="AP54" s="606">
        <f>+AJ54+AL54</f>
        <v>3008.38</v>
      </c>
      <c r="AQ54" s="3902">
        <f>+AQ69*AQ$5/1000</f>
        <v>601.66197183098586</v>
      </c>
      <c r="AR54" s="617">
        <v>425</v>
      </c>
      <c r="AS54" s="850">
        <f>+AO54+AQ54</f>
        <v>5240.7981032863845</v>
      </c>
      <c r="AT54" s="606">
        <f>+AP54+AR54</f>
        <v>3433.38</v>
      </c>
      <c r="AU54" s="4004">
        <f>+AU69*AU$5/1000</f>
        <v>532.99504413145542</v>
      </c>
      <c r="AV54" s="617">
        <v>286.62</v>
      </c>
      <c r="AW54" s="850">
        <f>+AS54+AU54</f>
        <v>5773.7931474178404</v>
      </c>
      <c r="AX54" s="606">
        <f>+AT54+AV54</f>
        <v>3720</v>
      </c>
      <c r="AY54" s="4247">
        <f>+AY69*AY$5/1000</f>
        <v>601.66197183098586</v>
      </c>
      <c r="AZ54" s="617">
        <v>416</v>
      </c>
      <c r="BA54" s="4249">
        <f t="shared" ref="BA54:BA55" si="134">+AY54+AU54+AQ54</f>
        <v>1736.3189877934269</v>
      </c>
      <c r="BB54" s="4249">
        <f t="shared" ref="BB54:BB55" si="135">+AZ54+AV54+AR54</f>
        <v>1127.6199999999999</v>
      </c>
      <c r="BC54" s="1214">
        <f>+AM54+BA54</f>
        <v>3522.1572751173708</v>
      </c>
      <c r="BD54" s="1208">
        <f>+AN54+BB54</f>
        <v>2339</v>
      </c>
      <c r="BE54" s="850">
        <f>+AW54+AY54</f>
        <v>6375.4551192488261</v>
      </c>
      <c r="BF54" s="606">
        <f>+AX54+AZ54</f>
        <v>4136</v>
      </c>
    </row>
    <row r="55" spans="1:62" s="1328" customFormat="1" ht="20.100000000000001" customHeight="1" x14ac:dyDescent="0.25">
      <c r="B55" s="2633" t="s">
        <v>1102</v>
      </c>
      <c r="C55" s="2058" t="s">
        <v>53</v>
      </c>
      <c r="D55" s="497">
        <v>0</v>
      </c>
      <c r="E55" s="3520">
        <v>0</v>
      </c>
      <c r="F55" s="497">
        <v>72</v>
      </c>
      <c r="G55" s="3520">
        <v>0</v>
      </c>
      <c r="H55" s="497">
        <v>34.72</v>
      </c>
      <c r="I55" s="850">
        <f>+E55+G55</f>
        <v>0</v>
      </c>
      <c r="J55" s="606">
        <f>+F55+H55</f>
        <v>106.72</v>
      </c>
      <c r="K55" s="3520"/>
      <c r="L55" s="497">
        <v>67</v>
      </c>
      <c r="M55" s="1019">
        <f>+I55+K55</f>
        <v>0</v>
      </c>
      <c r="N55" s="621">
        <f>+J55+L55</f>
        <v>173.72</v>
      </c>
      <c r="O55" s="3520">
        <v>0</v>
      </c>
      <c r="P55" s="497">
        <v>110</v>
      </c>
      <c r="Q55" s="850">
        <f>+M55+O55</f>
        <v>0</v>
      </c>
      <c r="R55" s="606">
        <f>+N55+P55</f>
        <v>283.72000000000003</v>
      </c>
      <c r="S55" s="3520">
        <v>0</v>
      </c>
      <c r="T55" s="497">
        <f>84+25</f>
        <v>109</v>
      </c>
      <c r="U55" s="850">
        <f>+Q55+S55</f>
        <v>0</v>
      </c>
      <c r="V55" s="606">
        <f>+R55+T55</f>
        <v>392.72</v>
      </c>
      <c r="W55" s="3520">
        <v>0</v>
      </c>
      <c r="X55" s="497">
        <v>79</v>
      </c>
      <c r="Y55" s="3528">
        <f t="shared" ref="Y55" si="136">+W55+S55+O55</f>
        <v>0</v>
      </c>
      <c r="Z55" s="3528">
        <f t="shared" ref="Z55" si="137">+X55+T55+P55</f>
        <v>298</v>
      </c>
      <c r="AA55" s="1214">
        <f>+U55+W55</f>
        <v>0</v>
      </c>
      <c r="AB55" s="1208">
        <f>+V55+X55</f>
        <v>471.72</v>
      </c>
      <c r="AC55" s="3520">
        <v>0</v>
      </c>
      <c r="AD55" s="497">
        <v>58.56</v>
      </c>
      <c r="AE55" s="850">
        <f>+AA55+AC55</f>
        <v>0</v>
      </c>
      <c r="AF55" s="606">
        <f>+AB55+AD55</f>
        <v>530.28</v>
      </c>
      <c r="AG55" s="3520"/>
      <c r="AH55" s="497">
        <v>120.66</v>
      </c>
      <c r="AI55" s="850">
        <f>+AE55+AG55</f>
        <v>0</v>
      </c>
      <c r="AJ55" s="606">
        <f>+AF55+AH55</f>
        <v>650.93999999999994</v>
      </c>
      <c r="AK55" s="3520"/>
      <c r="AL55" s="497">
        <f>57+18.4</f>
        <v>75.400000000000006</v>
      </c>
      <c r="AM55" s="3528">
        <f t="shared" si="132"/>
        <v>0</v>
      </c>
      <c r="AN55" s="3528">
        <f t="shared" si="133"/>
        <v>254.62</v>
      </c>
      <c r="AO55" s="850">
        <f>+AI55+AK55</f>
        <v>0</v>
      </c>
      <c r="AP55" s="606">
        <f>+AJ55+AL55</f>
        <v>726.33999999999992</v>
      </c>
      <c r="AQ55" s="3902"/>
      <c r="AR55" s="497">
        <v>81.3</v>
      </c>
      <c r="AS55" s="850">
        <f>+AO55+AQ55</f>
        <v>0</v>
      </c>
      <c r="AT55" s="606">
        <f>+AP55+AR55</f>
        <v>807.63999999999987</v>
      </c>
      <c r="AU55" s="4004"/>
      <c r="AV55" s="497">
        <v>59.5</v>
      </c>
      <c r="AW55" s="850">
        <f>+AS55+AU55</f>
        <v>0</v>
      </c>
      <c r="AX55" s="606">
        <f>+AT55+AV55</f>
        <v>867.13999999999987</v>
      </c>
      <c r="AY55" s="4247">
        <v>0</v>
      </c>
      <c r="AZ55" s="497">
        <v>101.2</v>
      </c>
      <c r="BA55" s="4249">
        <f t="shared" si="134"/>
        <v>0</v>
      </c>
      <c r="BB55" s="4249">
        <f t="shared" si="135"/>
        <v>242</v>
      </c>
      <c r="BC55" s="1214">
        <f>+AM55+BA55</f>
        <v>0</v>
      </c>
      <c r="BD55" s="1208">
        <f>+AN55+BB55</f>
        <v>496.62</v>
      </c>
      <c r="BE55" s="850">
        <f>+AW55+AY55</f>
        <v>0</v>
      </c>
      <c r="BF55" s="606">
        <f>+AX55+AZ55</f>
        <v>968.33999999999992</v>
      </c>
    </row>
    <row r="56" spans="1:62" s="1328" customFormat="1" ht="20.100000000000001" customHeight="1" x14ac:dyDescent="0.25">
      <c r="B56" s="2634" t="s">
        <v>1151</v>
      </c>
      <c r="C56" s="2635" t="s">
        <v>53</v>
      </c>
      <c r="D56" s="1730">
        <f>SUM(D54:D55)</f>
        <v>6374.5175793427243</v>
      </c>
      <c r="E56" s="2212">
        <f>SUM(E54:E55)</f>
        <v>244.13220000000001</v>
      </c>
      <c r="F56" s="2212">
        <f>SUM(F54:F55)</f>
        <v>265</v>
      </c>
      <c r="G56" s="2212">
        <f t="shared" ref="G56:AF56" si="138">SUM(G54:G55)</f>
        <v>252.67580000000001</v>
      </c>
      <c r="H56" s="2212">
        <f t="shared" si="138"/>
        <v>137.72</v>
      </c>
      <c r="I56" s="2212">
        <f t="shared" si="138"/>
        <v>496.80799999999999</v>
      </c>
      <c r="J56" s="2212">
        <f t="shared" si="138"/>
        <v>402.72</v>
      </c>
      <c r="K56" s="2212">
        <f t="shared" si="138"/>
        <v>578.15940000000001</v>
      </c>
      <c r="L56" s="2212">
        <f t="shared" si="138"/>
        <v>423</v>
      </c>
      <c r="M56" s="2212">
        <f t="shared" si="138"/>
        <v>1074.9674</v>
      </c>
      <c r="N56" s="2212">
        <f t="shared" si="138"/>
        <v>825.72</v>
      </c>
      <c r="O56" s="2212">
        <f t="shared" si="138"/>
        <v>597.82300469483573</v>
      </c>
      <c r="P56" s="2212">
        <f t="shared" si="138"/>
        <v>500</v>
      </c>
      <c r="Q56" s="2212">
        <f t="shared" si="138"/>
        <v>1672.7904046948356</v>
      </c>
      <c r="R56" s="2212">
        <f t="shared" si="138"/>
        <v>1325.72</v>
      </c>
      <c r="S56" s="2212">
        <f t="shared" ref="S56:V56" si="139">SUM(S54:S55)</f>
        <v>598.31126760563382</v>
      </c>
      <c r="T56" s="2212">
        <f t="shared" si="139"/>
        <v>488</v>
      </c>
      <c r="U56" s="2212">
        <f t="shared" si="139"/>
        <v>2271.1016723004695</v>
      </c>
      <c r="V56" s="2212">
        <f t="shared" si="139"/>
        <v>1813.72</v>
      </c>
      <c r="W56" s="2212">
        <f t="shared" ref="W56:X56" si="140">SUM(W54:W55)</f>
        <v>582.19617183098592</v>
      </c>
      <c r="X56" s="2212">
        <f t="shared" si="140"/>
        <v>455</v>
      </c>
      <c r="Y56" s="2212">
        <f t="shared" si="138"/>
        <v>1778.3304441314554</v>
      </c>
      <c r="Z56" s="2212">
        <f t="shared" si="138"/>
        <v>1443</v>
      </c>
      <c r="AA56" s="2212">
        <f t="shared" si="138"/>
        <v>2853.2978441314553</v>
      </c>
      <c r="AB56" s="2212">
        <f t="shared" si="138"/>
        <v>2268.7200000000003</v>
      </c>
      <c r="AC56" s="2212">
        <f t="shared" si="138"/>
        <v>601.98131549295772</v>
      </c>
      <c r="AD56" s="2212">
        <f t="shared" si="138"/>
        <v>471.56</v>
      </c>
      <c r="AE56" s="2212">
        <f t="shared" si="138"/>
        <v>3455.2791596244133</v>
      </c>
      <c r="AF56" s="2212">
        <f t="shared" si="138"/>
        <v>2740.2799999999997</v>
      </c>
      <c r="AG56" s="2212">
        <f t="shared" ref="AG56:AJ56" si="141">SUM(AG54:AG55)</f>
        <v>582.19617183098592</v>
      </c>
      <c r="AH56" s="2212">
        <f t="shared" si="141"/>
        <v>414.03999999999996</v>
      </c>
      <c r="AI56" s="2212">
        <f t="shared" si="141"/>
        <v>4037.4753314553991</v>
      </c>
      <c r="AJ56" s="2212">
        <f t="shared" si="141"/>
        <v>3154.32</v>
      </c>
      <c r="AK56" s="2212">
        <f t="shared" ref="AK56:AN56" si="142">SUM(AK54:AK55)</f>
        <v>601.66079999999999</v>
      </c>
      <c r="AL56" s="2212">
        <f t="shared" si="142"/>
        <v>580.4</v>
      </c>
      <c r="AM56" s="2212">
        <f t="shared" si="142"/>
        <v>1785.8382873239436</v>
      </c>
      <c r="AN56" s="2212">
        <f t="shared" si="142"/>
        <v>1466</v>
      </c>
      <c r="AO56" s="2212">
        <f t="shared" ref="AO56:AT56" si="143">SUM(AO54:AO55)</f>
        <v>4639.1361314553988</v>
      </c>
      <c r="AP56" s="2212">
        <f t="shared" si="143"/>
        <v>3734.7200000000003</v>
      </c>
      <c r="AQ56" s="2212">
        <f t="shared" si="143"/>
        <v>601.66197183098586</v>
      </c>
      <c r="AR56" s="2212">
        <f t="shared" si="143"/>
        <v>506.3</v>
      </c>
      <c r="AS56" s="2212">
        <f t="shared" si="143"/>
        <v>5240.7981032863845</v>
      </c>
      <c r="AT56" s="2212">
        <f t="shared" si="143"/>
        <v>4241.0200000000004</v>
      </c>
      <c r="AU56" s="2212">
        <f t="shared" ref="AU56:AX56" si="144">SUM(AU54:AU55)</f>
        <v>532.99504413145542</v>
      </c>
      <c r="AV56" s="2212">
        <f t="shared" si="144"/>
        <v>346.12</v>
      </c>
      <c r="AW56" s="2212">
        <f t="shared" si="144"/>
        <v>5773.7931474178404</v>
      </c>
      <c r="AX56" s="2212">
        <f t="shared" si="144"/>
        <v>4587.1399999999994</v>
      </c>
      <c r="AY56" s="2212">
        <f t="shared" ref="AY56:BF56" si="145">SUM(AY54:AY55)</f>
        <v>601.66197183098586</v>
      </c>
      <c r="AZ56" s="2212">
        <f t="shared" si="145"/>
        <v>517.20000000000005</v>
      </c>
      <c r="BA56" s="2212">
        <f t="shared" si="145"/>
        <v>1736.3189877934269</v>
      </c>
      <c r="BB56" s="2212">
        <f t="shared" si="145"/>
        <v>1369.62</v>
      </c>
      <c r="BC56" s="2212">
        <f t="shared" si="145"/>
        <v>3522.1572751173708</v>
      </c>
      <c r="BD56" s="2212">
        <f t="shared" si="145"/>
        <v>2835.62</v>
      </c>
      <c r="BE56" s="2212">
        <f t="shared" si="145"/>
        <v>6375.4551192488261</v>
      </c>
      <c r="BF56" s="2212">
        <f t="shared" si="145"/>
        <v>5104.34</v>
      </c>
    </row>
    <row r="57" spans="1:62" ht="20.100000000000001" customHeight="1" x14ac:dyDescent="0.25">
      <c r="B57" s="2633" t="s">
        <v>87</v>
      </c>
      <c r="C57" s="2058" t="s">
        <v>53</v>
      </c>
      <c r="D57" s="497">
        <f>+D72*D$5/1000</f>
        <v>39963.321747417845</v>
      </c>
      <c r="E57" s="3520">
        <f>+E72*E$5/1000</f>
        <v>1530.5211000000002</v>
      </c>
      <c r="F57" s="497">
        <v>1451</v>
      </c>
      <c r="G57" s="3520">
        <f>+G72*G$5/1000</f>
        <v>1584.0829000000001</v>
      </c>
      <c r="H57" s="497">
        <v>1265</v>
      </c>
      <c r="I57" s="850">
        <f t="shared" ref="I57:I67" si="146">+E57+G57</f>
        <v>3114.6040000000003</v>
      </c>
      <c r="J57" s="606">
        <f t="shared" ref="J57:J67" si="147">+F57+H57</f>
        <v>2716</v>
      </c>
      <c r="K57" s="3520">
        <f>+K72*K$5/1000</f>
        <v>3630.4874652899998</v>
      </c>
      <c r="L57" s="497">
        <v>2947</v>
      </c>
      <c r="M57" s="1019">
        <f t="shared" ref="M57:M67" si="148">+I57+K57</f>
        <v>6745.0914652900001</v>
      </c>
      <c r="N57" s="621">
        <f t="shared" ref="N57:N67" si="149">+J57+L57</f>
        <v>5663</v>
      </c>
      <c r="O57" s="3520">
        <f>+O72*O$5/1000</f>
        <v>3753.9628777230046</v>
      </c>
      <c r="P57" s="617">
        <v>3114</v>
      </c>
      <c r="Q57" s="850">
        <f t="shared" ref="Q57:Q67" si="150">+M57+O57</f>
        <v>10499.054343013006</v>
      </c>
      <c r="R57" s="606">
        <f t="shared" ref="R57:R67" si="151">+N57+P57</f>
        <v>8777</v>
      </c>
      <c r="S57" s="3520">
        <f>+S72*S$5/1000</f>
        <v>3757.0288702112675</v>
      </c>
      <c r="T57" s="617">
        <v>3108</v>
      </c>
      <c r="U57" s="850">
        <f t="shared" ref="U57:U67" si="152">+Q57+S57</f>
        <v>14256.083213224272</v>
      </c>
      <c r="V57" s="606">
        <f t="shared" ref="V57:V64" si="153">+R57+T57</f>
        <v>11885</v>
      </c>
      <c r="W57" s="3520">
        <f>+W72*W$5/1000</f>
        <v>3653.8965478873238</v>
      </c>
      <c r="X57" s="617">
        <v>2762</v>
      </c>
      <c r="Y57" s="3528">
        <f t="shared" si="130"/>
        <v>11164.888295821596</v>
      </c>
      <c r="Z57" s="3528">
        <f t="shared" si="131"/>
        <v>8984</v>
      </c>
      <c r="AA57" s="1214">
        <f t="shared" ref="AA57:AA67" si="154">+U57+W57</f>
        <v>17909.979761111597</v>
      </c>
      <c r="AB57" s="1208">
        <f t="shared" ref="AB57:AB67" si="155">+V57+X57</f>
        <v>14647</v>
      </c>
      <c r="AC57" s="3520">
        <f>+AC72*AC$5/1000</f>
        <v>3778.0692436619711</v>
      </c>
      <c r="AD57" s="617">
        <v>3502</v>
      </c>
      <c r="AE57" s="850">
        <f t="shared" ref="AE57:AE67" si="156">+AA57+AC57</f>
        <v>21688.049004773569</v>
      </c>
      <c r="AF57" s="606">
        <f t="shared" ref="AF57:AF64" si="157">+AB57+AD57</f>
        <v>18149</v>
      </c>
      <c r="AG57" s="3520">
        <f>+AG72*AG$5/1000</f>
        <v>3653.8965478873238</v>
      </c>
      <c r="AH57" s="617">
        <v>3014</v>
      </c>
      <c r="AI57" s="850">
        <f t="shared" ref="AI57:AI67" si="158">+AE57+AG57</f>
        <v>25341.945552660894</v>
      </c>
      <c r="AJ57" s="606">
        <f t="shared" ref="AJ57:AJ64" si="159">+AF57+AH57</f>
        <v>21163</v>
      </c>
      <c r="AK57" s="3520">
        <f>+AK72*AK$5/1000</f>
        <v>3771.9504000000002</v>
      </c>
      <c r="AL57" s="617">
        <v>3643</v>
      </c>
      <c r="AM57" s="3528">
        <f t="shared" ref="AM57:AM67" si="160">+AK57+AG57+AC57</f>
        <v>11203.916191549295</v>
      </c>
      <c r="AN57" s="3528">
        <f t="shared" ref="AN57:AN67" si="161">+AL57+AH57+AD57</f>
        <v>10159</v>
      </c>
      <c r="AO57" s="850">
        <f t="shared" ref="AO57:AO67" si="162">+AI57+AK57</f>
        <v>29113.895952660896</v>
      </c>
      <c r="AP57" s="606">
        <f t="shared" ref="AP57:AP67" si="163">+AJ57+AL57</f>
        <v>24806</v>
      </c>
      <c r="AQ57" s="3902">
        <f>+AQ72*AQ$5/1000</f>
        <v>3771.9577464788731</v>
      </c>
      <c r="AR57" s="617">
        <v>4057</v>
      </c>
      <c r="AS57" s="850">
        <f t="shared" ref="AS57:AS67" si="164">+AO57+AQ57</f>
        <v>32885.85369913977</v>
      </c>
      <c r="AT57" s="606">
        <f t="shared" ref="AT57:AT64" si="165">+AP57+AR57</f>
        <v>28863</v>
      </c>
      <c r="AU57" s="4004">
        <f>+AU72*AU$5/1000</f>
        <v>3341.468930516432</v>
      </c>
      <c r="AV57" s="617">
        <v>3594</v>
      </c>
      <c r="AW57" s="850">
        <f t="shared" ref="AW57:AW67" si="166">+AS57+AU57</f>
        <v>36227.322629656206</v>
      </c>
      <c r="AX57" s="606">
        <f t="shared" ref="AX57:AX64" si="167">+AT57+AV57</f>
        <v>32457</v>
      </c>
      <c r="AY57" s="4247">
        <f>+AY72*AY$5/1000</f>
        <v>3771.9577464788731</v>
      </c>
      <c r="AZ57" s="617">
        <v>3890</v>
      </c>
      <c r="BA57" s="4249">
        <f t="shared" ref="BA57:BA67" si="168">+AY57+AU57+AQ57</f>
        <v>10885.384423474177</v>
      </c>
      <c r="BB57" s="4249">
        <f t="shared" ref="BB57:BB67" si="169">+AZ57+AV57+AR57</f>
        <v>11541</v>
      </c>
      <c r="BC57" s="1214">
        <f t="shared" ref="BC57:BC67" si="170">+AM57+BA57</f>
        <v>22089.300615023472</v>
      </c>
      <c r="BD57" s="1208">
        <f t="shared" ref="BD57:BD67" si="171">+AN57+BB57</f>
        <v>21700</v>
      </c>
      <c r="BE57" s="850">
        <f t="shared" ref="BE57:BE67" si="172">+AW57+AY57</f>
        <v>39999.280376135081</v>
      </c>
      <c r="BF57" s="606">
        <f t="shared" ref="BF57:BF64" si="173">+AX57+AZ57</f>
        <v>36347</v>
      </c>
    </row>
    <row r="58" spans="1:62" ht="20.100000000000001" customHeight="1" x14ac:dyDescent="0.25">
      <c r="B58" s="2633" t="s">
        <v>88</v>
      </c>
      <c r="C58" s="2058" t="s">
        <v>53</v>
      </c>
      <c r="D58" s="497">
        <f>+D73*D$5/1000</f>
        <v>7355.2125915492961</v>
      </c>
      <c r="E58" s="3520">
        <f>+E73*E$5/1000</f>
        <v>281.69099999999997</v>
      </c>
      <c r="F58" s="497">
        <v>210</v>
      </c>
      <c r="G58" s="3520">
        <f>+G73*G$5/1000</f>
        <v>291.54899999999998</v>
      </c>
      <c r="H58" s="497">
        <v>170</v>
      </c>
      <c r="I58" s="850">
        <f t="shared" si="146"/>
        <v>573.24</v>
      </c>
      <c r="J58" s="606">
        <f t="shared" si="147"/>
        <v>380</v>
      </c>
      <c r="K58" s="3520">
        <f>+K73*K$5/1000</f>
        <v>667.10699999999997</v>
      </c>
      <c r="L58" s="497">
        <v>433</v>
      </c>
      <c r="M58" s="1019">
        <f t="shared" si="148"/>
        <v>1240.347</v>
      </c>
      <c r="N58" s="621">
        <f t="shared" si="149"/>
        <v>813</v>
      </c>
      <c r="O58" s="3520">
        <f>+O73*O$5/1000</f>
        <v>689.79577464788736</v>
      </c>
      <c r="P58" s="617">
        <v>423</v>
      </c>
      <c r="Q58" s="850">
        <f t="shared" si="150"/>
        <v>1930.1427746478873</v>
      </c>
      <c r="R58" s="606">
        <f t="shared" si="151"/>
        <v>1236</v>
      </c>
      <c r="S58" s="3520">
        <f>+S73*S$5/1000</f>
        <v>690.35915492957747</v>
      </c>
      <c r="T58" s="617">
        <v>473</v>
      </c>
      <c r="U58" s="850">
        <f t="shared" si="152"/>
        <v>2620.5019295774646</v>
      </c>
      <c r="V58" s="606">
        <f t="shared" si="153"/>
        <v>1709</v>
      </c>
      <c r="W58" s="3520">
        <f>+W73*W$5/1000</f>
        <v>678.12253521126752</v>
      </c>
      <c r="X58" s="617">
        <v>494</v>
      </c>
      <c r="Y58" s="3528">
        <f t="shared" si="130"/>
        <v>2058.2774647887322</v>
      </c>
      <c r="Z58" s="3528">
        <f t="shared" si="131"/>
        <v>1390</v>
      </c>
      <c r="AA58" s="1214">
        <f t="shared" si="154"/>
        <v>3298.624464788732</v>
      </c>
      <c r="AB58" s="1208">
        <f t="shared" si="155"/>
        <v>2203</v>
      </c>
      <c r="AC58" s="3520">
        <f>+AC73*AC$5/1000</f>
        <v>701.16760563380274</v>
      </c>
      <c r="AD58" s="617">
        <v>485</v>
      </c>
      <c r="AE58" s="850">
        <f t="shared" si="156"/>
        <v>3999.7920704225348</v>
      </c>
      <c r="AF58" s="606">
        <f t="shared" si="157"/>
        <v>2688</v>
      </c>
      <c r="AG58" s="3520">
        <f>+AG73*AG$5/1000</f>
        <v>678.12253521126752</v>
      </c>
      <c r="AH58" s="617">
        <v>508</v>
      </c>
      <c r="AI58" s="850">
        <f t="shared" si="158"/>
        <v>4677.9146056338022</v>
      </c>
      <c r="AJ58" s="606">
        <f t="shared" si="159"/>
        <v>3196</v>
      </c>
      <c r="AK58" s="3520">
        <f>+AK73*AK$5/1000</f>
        <v>694.22400000000005</v>
      </c>
      <c r="AL58" s="617">
        <v>451</v>
      </c>
      <c r="AM58" s="3528">
        <f t="shared" si="160"/>
        <v>2073.5141408450704</v>
      </c>
      <c r="AN58" s="3528">
        <f t="shared" si="161"/>
        <v>1444</v>
      </c>
      <c r="AO58" s="850">
        <f t="shared" si="162"/>
        <v>5372.1386056338024</v>
      </c>
      <c r="AP58" s="606">
        <f t="shared" si="163"/>
        <v>3647</v>
      </c>
      <c r="AQ58" s="3902">
        <f>+AQ73*AQ$5/1000</f>
        <v>694.22535211267598</v>
      </c>
      <c r="AR58" s="617">
        <v>540</v>
      </c>
      <c r="AS58" s="850">
        <f t="shared" si="164"/>
        <v>6066.3639577464783</v>
      </c>
      <c r="AT58" s="606">
        <f t="shared" si="165"/>
        <v>4187</v>
      </c>
      <c r="AU58" s="4004">
        <f>+AU73*AU$5/1000</f>
        <v>614.99428169014084</v>
      </c>
      <c r="AV58" s="617">
        <v>453</v>
      </c>
      <c r="AW58" s="850">
        <f t="shared" si="166"/>
        <v>6681.3582394366194</v>
      </c>
      <c r="AX58" s="606">
        <f t="shared" si="167"/>
        <v>4640</v>
      </c>
      <c r="AY58" s="4247">
        <f>+AY73*AY$5/1000</f>
        <v>694.22535211267598</v>
      </c>
      <c r="AZ58" s="617">
        <v>552</v>
      </c>
      <c r="BA58" s="4249">
        <f t="shared" si="168"/>
        <v>2003.4449859154929</v>
      </c>
      <c r="BB58" s="4249">
        <f t="shared" si="169"/>
        <v>1545</v>
      </c>
      <c r="BC58" s="1214">
        <f t="shared" si="170"/>
        <v>4076.9591267605633</v>
      </c>
      <c r="BD58" s="1208">
        <f t="shared" si="171"/>
        <v>2989</v>
      </c>
      <c r="BE58" s="850">
        <f t="shared" si="172"/>
        <v>7375.5835915492953</v>
      </c>
      <c r="BF58" s="606">
        <f t="shared" si="173"/>
        <v>5192</v>
      </c>
    </row>
    <row r="59" spans="1:62" ht="20.100000000000001" hidden="1" customHeight="1" x14ac:dyDescent="0.25">
      <c r="B59" s="2633"/>
      <c r="C59" s="2058" t="s">
        <v>53</v>
      </c>
      <c r="D59" s="497">
        <v>0</v>
      </c>
      <c r="E59" s="2636">
        <v>0</v>
      </c>
      <c r="F59" s="497"/>
      <c r="G59" s="2636">
        <v>0</v>
      </c>
      <c r="H59" s="497">
        <v>0</v>
      </c>
      <c r="I59" s="2637">
        <f t="shared" si="146"/>
        <v>0</v>
      </c>
      <c r="J59" s="606">
        <f t="shared" si="147"/>
        <v>0</v>
      </c>
      <c r="K59" s="2636">
        <v>0</v>
      </c>
      <c r="L59" s="497">
        <v>0</v>
      </c>
      <c r="M59" s="2638">
        <f t="shared" si="148"/>
        <v>0</v>
      </c>
      <c r="N59" s="621">
        <f t="shared" si="149"/>
        <v>0</v>
      </c>
      <c r="O59" s="2636">
        <v>0</v>
      </c>
      <c r="P59" s="617">
        <v>0</v>
      </c>
      <c r="Q59" s="2637">
        <f t="shared" si="150"/>
        <v>0</v>
      </c>
      <c r="R59" s="606">
        <f t="shared" si="151"/>
        <v>0</v>
      </c>
      <c r="S59" s="2636">
        <v>0</v>
      </c>
      <c r="T59" s="617">
        <v>0</v>
      </c>
      <c r="U59" s="2637">
        <f t="shared" si="152"/>
        <v>0</v>
      </c>
      <c r="V59" s="606">
        <f t="shared" si="153"/>
        <v>0</v>
      </c>
      <c r="W59" s="2636">
        <v>0</v>
      </c>
      <c r="X59" s="617">
        <v>0</v>
      </c>
      <c r="Y59" s="3528">
        <f t="shared" si="130"/>
        <v>0</v>
      </c>
      <c r="Z59" s="3528">
        <f t="shared" si="131"/>
        <v>0</v>
      </c>
      <c r="AA59" s="2639">
        <f t="shared" si="154"/>
        <v>0</v>
      </c>
      <c r="AB59" s="1208">
        <f t="shared" si="155"/>
        <v>0</v>
      </c>
      <c r="AC59" s="2636">
        <v>0</v>
      </c>
      <c r="AD59" s="617">
        <v>0</v>
      </c>
      <c r="AE59" s="2637">
        <f t="shared" si="156"/>
        <v>0</v>
      </c>
      <c r="AF59" s="606">
        <f t="shared" si="157"/>
        <v>0</v>
      </c>
      <c r="AG59" s="2636">
        <v>0</v>
      </c>
      <c r="AH59" s="617">
        <v>0</v>
      </c>
      <c r="AI59" s="2637">
        <f t="shared" si="158"/>
        <v>0</v>
      </c>
      <c r="AJ59" s="606">
        <f t="shared" si="159"/>
        <v>0</v>
      </c>
      <c r="AK59" s="2636">
        <v>0</v>
      </c>
      <c r="AL59" s="617">
        <v>0</v>
      </c>
      <c r="AM59" s="3528">
        <f t="shared" si="160"/>
        <v>0</v>
      </c>
      <c r="AN59" s="3528">
        <f t="shared" si="161"/>
        <v>0</v>
      </c>
      <c r="AO59" s="2637">
        <f t="shared" si="162"/>
        <v>0</v>
      </c>
      <c r="AP59" s="606">
        <f t="shared" si="163"/>
        <v>0</v>
      </c>
      <c r="AQ59" s="2636">
        <v>0</v>
      </c>
      <c r="AR59" s="617"/>
      <c r="AS59" s="2637">
        <f t="shared" si="164"/>
        <v>0</v>
      </c>
      <c r="AT59" s="606">
        <f t="shared" si="165"/>
        <v>0</v>
      </c>
      <c r="AU59" s="2636">
        <v>0</v>
      </c>
      <c r="AV59" s="617"/>
      <c r="AW59" s="2637">
        <f t="shared" si="166"/>
        <v>0</v>
      </c>
      <c r="AX59" s="606">
        <f t="shared" si="167"/>
        <v>0</v>
      </c>
      <c r="AY59" s="2636">
        <v>0</v>
      </c>
      <c r="AZ59" s="617"/>
      <c r="BA59" s="4249">
        <f t="shared" si="168"/>
        <v>0</v>
      </c>
      <c r="BB59" s="4249">
        <f t="shared" si="169"/>
        <v>0</v>
      </c>
      <c r="BC59" s="2639">
        <f t="shared" si="170"/>
        <v>0</v>
      </c>
      <c r="BD59" s="1208">
        <f t="shared" si="171"/>
        <v>0</v>
      </c>
      <c r="BE59" s="2637">
        <f t="shared" si="172"/>
        <v>0</v>
      </c>
      <c r="BF59" s="606">
        <f t="shared" si="173"/>
        <v>0</v>
      </c>
    </row>
    <row r="60" spans="1:62" ht="20.100000000000001" customHeight="1" x14ac:dyDescent="0.25">
      <c r="B60" s="2633" t="s">
        <v>89</v>
      </c>
      <c r="C60" s="2058" t="s">
        <v>53</v>
      </c>
      <c r="D60" s="497">
        <f t="shared" ref="D60" si="174">+D75*D$5/1000</f>
        <v>5148.6488140845076</v>
      </c>
      <c r="E60" s="3520">
        <f t="shared" ref="E60:E67" si="175">+E75*E$5/1000</f>
        <v>197.18370000000002</v>
      </c>
      <c r="F60" s="497">
        <v>143</v>
      </c>
      <c r="G60" s="3520">
        <f t="shared" ref="G60:G67" si="176">+G75*G$5/1000</f>
        <v>204.08430000000001</v>
      </c>
      <c r="H60" s="497">
        <v>143</v>
      </c>
      <c r="I60" s="850">
        <f t="shared" si="146"/>
        <v>401.26800000000003</v>
      </c>
      <c r="J60" s="606">
        <f t="shared" si="147"/>
        <v>286</v>
      </c>
      <c r="K60" s="3520">
        <f t="shared" ref="K60:K67" si="177">+K75*K$5/1000</f>
        <v>470.34601404</v>
      </c>
      <c r="L60" s="497">
        <v>295.5</v>
      </c>
      <c r="M60" s="1019">
        <f t="shared" si="148"/>
        <v>871.61401404000003</v>
      </c>
      <c r="N60" s="621">
        <f t="shared" si="149"/>
        <v>581.5</v>
      </c>
      <c r="O60" s="3520">
        <f t="shared" ref="O60:O67" si="178">+O75*O$5/1000</f>
        <v>486.34281023474182</v>
      </c>
      <c r="P60" s="617">
        <v>296</v>
      </c>
      <c r="Q60" s="850">
        <f t="shared" si="150"/>
        <v>1357.9568242747418</v>
      </c>
      <c r="R60" s="606">
        <f t="shared" si="151"/>
        <v>877.5</v>
      </c>
      <c r="S60" s="3520">
        <f t="shared" ref="S60:S67" si="179">+S75*S$5/1000</f>
        <v>486.74002338028168</v>
      </c>
      <c r="T60" s="617">
        <v>325</v>
      </c>
      <c r="U60" s="850">
        <f t="shared" si="152"/>
        <v>1844.6968476550235</v>
      </c>
      <c r="V60" s="606">
        <f t="shared" si="153"/>
        <v>1202.5</v>
      </c>
      <c r="W60" s="3520">
        <f t="shared" ref="W60:W67" si="180">+W75*W$5/1000</f>
        <v>473.3787661971831</v>
      </c>
      <c r="X60" s="617">
        <v>367.5</v>
      </c>
      <c r="Y60" s="3528">
        <f t="shared" si="130"/>
        <v>1446.4615998122067</v>
      </c>
      <c r="Z60" s="3528">
        <f t="shared" si="131"/>
        <v>988.5</v>
      </c>
      <c r="AA60" s="1214">
        <f t="shared" si="154"/>
        <v>2318.0756138522065</v>
      </c>
      <c r="AB60" s="1208">
        <f t="shared" si="155"/>
        <v>1570</v>
      </c>
      <c r="AC60" s="3520">
        <f t="shared" ref="AC60:AC67" si="181">+AC75*AC$5/1000</f>
        <v>489.46589859154926</v>
      </c>
      <c r="AD60" s="617">
        <v>296.5</v>
      </c>
      <c r="AE60" s="850">
        <f t="shared" si="156"/>
        <v>2807.5415124437559</v>
      </c>
      <c r="AF60" s="606">
        <f t="shared" si="157"/>
        <v>1866.5</v>
      </c>
      <c r="AG60" s="3520">
        <f t="shared" ref="AG60:AG67" si="182">+AG75*AG$5/1000</f>
        <v>473.3787661971831</v>
      </c>
      <c r="AH60" s="617">
        <v>314</v>
      </c>
      <c r="AI60" s="850">
        <f t="shared" si="158"/>
        <v>3280.9202786409392</v>
      </c>
      <c r="AJ60" s="606">
        <f t="shared" si="159"/>
        <v>2180.5</v>
      </c>
      <c r="AK60" s="3520">
        <f t="shared" ref="AK60:AK67" si="183">+AK75*AK$5/1000</f>
        <v>485.95680000000004</v>
      </c>
      <c r="AL60" s="617">
        <v>308</v>
      </c>
      <c r="AM60" s="3528">
        <f t="shared" si="160"/>
        <v>1448.8014647887326</v>
      </c>
      <c r="AN60" s="3528">
        <f t="shared" si="161"/>
        <v>918.5</v>
      </c>
      <c r="AO60" s="850">
        <f t="shared" si="162"/>
        <v>3766.8770786409391</v>
      </c>
      <c r="AP60" s="606">
        <f t="shared" si="163"/>
        <v>2488.5</v>
      </c>
      <c r="AQ60" s="3902">
        <f t="shared" ref="AQ60:AQ67" si="184">+AQ75*AQ$5/1000</f>
        <v>485.95774647887322</v>
      </c>
      <c r="AR60" s="617">
        <v>315</v>
      </c>
      <c r="AS60" s="850">
        <f t="shared" si="164"/>
        <v>4252.8348251198122</v>
      </c>
      <c r="AT60" s="606">
        <f t="shared" si="165"/>
        <v>2803.5</v>
      </c>
      <c r="AU60" s="4004">
        <f t="shared" ref="AU60:AU67" si="185">+AU75*AU$5/1000</f>
        <v>430.49599718309855</v>
      </c>
      <c r="AV60" s="617">
        <v>303.95999999999998</v>
      </c>
      <c r="AW60" s="850">
        <f t="shared" si="166"/>
        <v>4683.3308223029107</v>
      </c>
      <c r="AX60" s="606">
        <f t="shared" si="167"/>
        <v>3107.46</v>
      </c>
      <c r="AY60" s="4247">
        <f t="shared" ref="AY60:AY67" si="186">+AY75*AY$5/1000</f>
        <v>485.95774647887322</v>
      </c>
      <c r="AZ60" s="617">
        <v>352</v>
      </c>
      <c r="BA60" s="4249">
        <f t="shared" si="168"/>
        <v>1402.411490140845</v>
      </c>
      <c r="BB60" s="4249">
        <f t="shared" si="169"/>
        <v>970.96</v>
      </c>
      <c r="BC60" s="1214">
        <f t="shared" si="170"/>
        <v>2851.2129549295778</v>
      </c>
      <c r="BD60" s="1208">
        <f t="shared" si="171"/>
        <v>1889.46</v>
      </c>
      <c r="BE60" s="850">
        <f t="shared" si="172"/>
        <v>5169.2885687817843</v>
      </c>
      <c r="BF60" s="606">
        <f t="shared" si="173"/>
        <v>3459.46</v>
      </c>
    </row>
    <row r="61" spans="1:62" ht="20.100000000000001" customHeight="1" x14ac:dyDescent="0.25">
      <c r="B61" s="2633" t="s">
        <v>1117</v>
      </c>
      <c r="C61" s="2058" t="s">
        <v>53</v>
      </c>
      <c r="D61" s="497">
        <f t="shared" ref="D61" si="187">+D76*D$5/1000</f>
        <v>1176.8340146478872</v>
      </c>
      <c r="E61" s="3520">
        <f t="shared" si="175"/>
        <v>45.07056</v>
      </c>
      <c r="F61" s="497">
        <v>97</v>
      </c>
      <c r="G61" s="3520">
        <f t="shared" si="176"/>
        <v>46.647839999999995</v>
      </c>
      <c r="H61" s="497">
        <v>43.18</v>
      </c>
      <c r="I61" s="850">
        <f t="shared" si="146"/>
        <v>91.718400000000003</v>
      </c>
      <c r="J61" s="606">
        <f t="shared" si="147"/>
        <v>140.18</v>
      </c>
      <c r="K61" s="3520">
        <f t="shared" si="177"/>
        <v>106.73711999999999</v>
      </c>
      <c r="L61" s="497">
        <f>141.41+11.7</f>
        <v>153.10999999999999</v>
      </c>
      <c r="M61" s="1019">
        <f t="shared" si="148"/>
        <v>198.45551999999998</v>
      </c>
      <c r="N61" s="621">
        <f t="shared" si="149"/>
        <v>293.28999999999996</v>
      </c>
      <c r="O61" s="3520">
        <f t="shared" si="178"/>
        <v>110.36732394366197</v>
      </c>
      <c r="P61" s="617">
        <f>135.96+7.77</f>
        <v>143.73000000000002</v>
      </c>
      <c r="Q61" s="850">
        <f t="shared" si="150"/>
        <v>308.82284394366195</v>
      </c>
      <c r="R61" s="606">
        <f t="shared" si="151"/>
        <v>437.02</v>
      </c>
      <c r="S61" s="3520">
        <f t="shared" si="179"/>
        <v>110.45746478873239</v>
      </c>
      <c r="T61" s="617">
        <v>88.35</v>
      </c>
      <c r="U61" s="850">
        <f t="shared" si="152"/>
        <v>419.28030873239436</v>
      </c>
      <c r="V61" s="606">
        <f t="shared" si="153"/>
        <v>525.37</v>
      </c>
      <c r="W61" s="3520">
        <f t="shared" si="180"/>
        <v>107.42535211267607</v>
      </c>
      <c r="X61" s="617">
        <f>105.96+2.7</f>
        <v>108.66</v>
      </c>
      <c r="Y61" s="3528">
        <f t="shared" si="130"/>
        <v>328.2501408450704</v>
      </c>
      <c r="Z61" s="3528">
        <f t="shared" si="131"/>
        <v>340.74</v>
      </c>
      <c r="AA61" s="1214">
        <f t="shared" si="154"/>
        <v>526.70566084507038</v>
      </c>
      <c r="AB61" s="1208">
        <f t="shared" si="155"/>
        <v>634.03</v>
      </c>
      <c r="AC61" s="3520">
        <f t="shared" si="181"/>
        <v>111.07605633802815</v>
      </c>
      <c r="AD61" s="617">
        <f>113.06+7.1</f>
        <v>120.16</v>
      </c>
      <c r="AE61" s="850">
        <f t="shared" si="156"/>
        <v>637.78171718309852</v>
      </c>
      <c r="AF61" s="606">
        <f t="shared" si="157"/>
        <v>754.18999999999994</v>
      </c>
      <c r="AG61" s="3520">
        <f t="shared" si="182"/>
        <v>107.42535211267607</v>
      </c>
      <c r="AH61" s="617">
        <v>117.05000000000001</v>
      </c>
      <c r="AI61" s="850">
        <f t="shared" si="158"/>
        <v>745.20706929577455</v>
      </c>
      <c r="AJ61" s="606">
        <f t="shared" si="159"/>
        <v>871.24</v>
      </c>
      <c r="AK61" s="3520">
        <f t="shared" si="183"/>
        <v>111.07584</v>
      </c>
      <c r="AL61" s="617">
        <f>126.34+17.46</f>
        <v>143.80000000000001</v>
      </c>
      <c r="AM61" s="3528">
        <f t="shared" si="160"/>
        <v>329.57724845070419</v>
      </c>
      <c r="AN61" s="3528">
        <f t="shared" si="161"/>
        <v>381.01</v>
      </c>
      <c r="AO61" s="850">
        <f t="shared" si="162"/>
        <v>856.28290929577452</v>
      </c>
      <c r="AP61" s="606">
        <f t="shared" si="163"/>
        <v>1015.04</v>
      </c>
      <c r="AQ61" s="3902">
        <f t="shared" si="184"/>
        <v>111.07605633802815</v>
      </c>
      <c r="AR61" s="617">
        <v>116.36</v>
      </c>
      <c r="AS61" s="850">
        <f t="shared" si="164"/>
        <v>967.35896563380265</v>
      </c>
      <c r="AT61" s="606">
        <f t="shared" si="165"/>
        <v>1131.3999999999999</v>
      </c>
      <c r="AU61" s="4004">
        <f t="shared" si="185"/>
        <v>98.399085070422529</v>
      </c>
      <c r="AV61" s="617">
        <f>83.18+0.7</f>
        <v>83.88000000000001</v>
      </c>
      <c r="AW61" s="850">
        <f t="shared" si="166"/>
        <v>1065.7580507042253</v>
      </c>
      <c r="AX61" s="606">
        <f t="shared" si="167"/>
        <v>1215.28</v>
      </c>
      <c r="AY61" s="4247">
        <f t="shared" si="186"/>
        <v>111.07605633802815</v>
      </c>
      <c r="AZ61" s="617">
        <v>139.917</v>
      </c>
      <c r="BA61" s="4249">
        <f t="shared" si="168"/>
        <v>320.55119774647881</v>
      </c>
      <c r="BB61" s="4249">
        <f t="shared" si="169"/>
        <v>340.15700000000004</v>
      </c>
      <c r="BC61" s="1214">
        <f t="shared" si="170"/>
        <v>650.12844619718294</v>
      </c>
      <c r="BD61" s="1208">
        <f t="shared" si="171"/>
        <v>721.16700000000003</v>
      </c>
      <c r="BE61" s="850">
        <f t="shared" si="172"/>
        <v>1176.8341070422534</v>
      </c>
      <c r="BF61" s="606">
        <f t="shared" si="173"/>
        <v>1355.1969999999999</v>
      </c>
    </row>
    <row r="62" spans="1:62" ht="20.100000000000001" customHeight="1" x14ac:dyDescent="0.25">
      <c r="B62" s="2633" t="s">
        <v>144</v>
      </c>
      <c r="C62" s="2058" t="s">
        <v>53</v>
      </c>
      <c r="D62" s="497">
        <f t="shared" ref="D62" si="188">+D77*D$5/1000</f>
        <v>49034.750610328643</v>
      </c>
      <c r="E62" s="3520">
        <f t="shared" si="175"/>
        <v>1877.94</v>
      </c>
      <c r="F62" s="497">
        <v>2555</v>
      </c>
      <c r="G62" s="3520">
        <f t="shared" si="176"/>
        <v>1943.66</v>
      </c>
      <c r="H62" s="497">
        <v>2399</v>
      </c>
      <c r="I62" s="850">
        <f t="shared" si="146"/>
        <v>3821.6000000000004</v>
      </c>
      <c r="J62" s="606">
        <f t="shared" si="147"/>
        <v>4954</v>
      </c>
      <c r="K62" s="3520">
        <f t="shared" si="177"/>
        <v>4447.38</v>
      </c>
      <c r="L62" s="497">
        <v>5000</v>
      </c>
      <c r="M62" s="1019">
        <f t="shared" si="148"/>
        <v>8268.98</v>
      </c>
      <c r="N62" s="621">
        <f t="shared" si="149"/>
        <v>9954</v>
      </c>
      <c r="O62" s="3520">
        <f t="shared" si="178"/>
        <v>4598.6384976525824</v>
      </c>
      <c r="P62" s="617">
        <v>4272</v>
      </c>
      <c r="Q62" s="850">
        <f t="shared" si="150"/>
        <v>12867.618497652582</v>
      </c>
      <c r="R62" s="606">
        <f t="shared" si="151"/>
        <v>14226</v>
      </c>
      <c r="S62" s="3520">
        <f t="shared" si="179"/>
        <v>4602.3943661971834</v>
      </c>
      <c r="T62" s="617">
        <v>4198</v>
      </c>
      <c r="U62" s="850">
        <f t="shared" si="152"/>
        <v>17470.012863849766</v>
      </c>
      <c r="V62" s="606">
        <f t="shared" si="153"/>
        <v>18424</v>
      </c>
      <c r="W62" s="3520">
        <f t="shared" si="180"/>
        <v>4476.0563380281692</v>
      </c>
      <c r="X62" s="617">
        <v>4057.5</v>
      </c>
      <c r="Y62" s="3528">
        <f t="shared" si="130"/>
        <v>13677.089201877936</v>
      </c>
      <c r="Z62" s="3528">
        <f t="shared" si="131"/>
        <v>12527.5</v>
      </c>
      <c r="AA62" s="1214">
        <f t="shared" si="154"/>
        <v>21946.069201877937</v>
      </c>
      <c r="AB62" s="1208">
        <f t="shared" si="155"/>
        <v>22481.5</v>
      </c>
      <c r="AC62" s="3520">
        <f t="shared" si="181"/>
        <v>4628.1690140845067</v>
      </c>
      <c r="AD62" s="617">
        <v>4597</v>
      </c>
      <c r="AE62" s="850">
        <f t="shared" si="156"/>
        <v>26574.238215962443</v>
      </c>
      <c r="AF62" s="606">
        <f t="shared" si="157"/>
        <v>27078.5</v>
      </c>
      <c r="AG62" s="3520">
        <f t="shared" si="182"/>
        <v>4476.0563380281692</v>
      </c>
      <c r="AH62" s="617">
        <v>4132</v>
      </c>
      <c r="AI62" s="850">
        <f t="shared" si="158"/>
        <v>31050.294553990614</v>
      </c>
      <c r="AJ62" s="606">
        <f t="shared" si="159"/>
        <v>31210.5</v>
      </c>
      <c r="AK62" s="3520">
        <f t="shared" si="183"/>
        <v>4628.16</v>
      </c>
      <c r="AL62" s="617">
        <v>5132</v>
      </c>
      <c r="AM62" s="3528">
        <f t="shared" si="160"/>
        <v>13732.385352112677</v>
      </c>
      <c r="AN62" s="3528">
        <f t="shared" si="161"/>
        <v>13861</v>
      </c>
      <c r="AO62" s="850">
        <f t="shared" si="162"/>
        <v>35678.45455399061</v>
      </c>
      <c r="AP62" s="606">
        <f t="shared" si="163"/>
        <v>36342.5</v>
      </c>
      <c r="AQ62" s="3902">
        <f t="shared" si="184"/>
        <v>4628.1690140845067</v>
      </c>
      <c r="AR62" s="617">
        <v>3900</v>
      </c>
      <c r="AS62" s="850">
        <f t="shared" si="164"/>
        <v>40306.62356807512</v>
      </c>
      <c r="AT62" s="606">
        <f t="shared" si="165"/>
        <v>40242.5</v>
      </c>
      <c r="AU62" s="4004">
        <f t="shared" si="185"/>
        <v>4099.9618779342718</v>
      </c>
      <c r="AV62" s="617">
        <v>3950</v>
      </c>
      <c r="AW62" s="850">
        <f t="shared" si="166"/>
        <v>44406.585446009391</v>
      </c>
      <c r="AX62" s="606">
        <f t="shared" si="167"/>
        <v>44192.5</v>
      </c>
      <c r="AY62" s="4247">
        <f t="shared" si="186"/>
        <v>4628.1690140845067</v>
      </c>
      <c r="AZ62" s="617">
        <v>5033.5</v>
      </c>
      <c r="BA62" s="4249">
        <f t="shared" si="168"/>
        <v>13356.299906103286</v>
      </c>
      <c r="BB62" s="4249">
        <f t="shared" si="169"/>
        <v>12883.5</v>
      </c>
      <c r="BC62" s="1214">
        <f t="shared" si="170"/>
        <v>27088.685258215963</v>
      </c>
      <c r="BD62" s="1208">
        <f t="shared" si="171"/>
        <v>26744.5</v>
      </c>
      <c r="BE62" s="850">
        <f t="shared" si="172"/>
        <v>49034.7544600939</v>
      </c>
      <c r="BF62" s="606">
        <f t="shared" si="173"/>
        <v>49226</v>
      </c>
    </row>
    <row r="63" spans="1:62" ht="20.100000000000001" customHeight="1" x14ac:dyDescent="0.25">
      <c r="B63" s="2633" t="s">
        <v>600</v>
      </c>
      <c r="C63" s="2058" t="s">
        <v>53</v>
      </c>
      <c r="D63" s="497">
        <f t="shared" ref="D63" si="189">+D78*D$5/1000</f>
        <v>0</v>
      </c>
      <c r="E63" s="3520">
        <f t="shared" si="175"/>
        <v>0</v>
      </c>
      <c r="F63" s="497">
        <v>96</v>
      </c>
      <c r="G63" s="3520">
        <f t="shared" si="176"/>
        <v>0</v>
      </c>
      <c r="H63" s="497">
        <v>90</v>
      </c>
      <c r="I63" s="850">
        <f t="shared" si="146"/>
        <v>0</v>
      </c>
      <c r="J63" s="606">
        <f t="shared" si="147"/>
        <v>186</v>
      </c>
      <c r="K63" s="3520">
        <f t="shared" si="177"/>
        <v>0</v>
      </c>
      <c r="L63" s="497">
        <v>233</v>
      </c>
      <c r="M63" s="1019">
        <f t="shared" si="148"/>
        <v>0</v>
      </c>
      <c r="N63" s="621">
        <f t="shared" si="149"/>
        <v>419</v>
      </c>
      <c r="O63" s="3520">
        <f t="shared" si="178"/>
        <v>0</v>
      </c>
      <c r="P63" s="617">
        <v>249</v>
      </c>
      <c r="Q63" s="850">
        <f t="shared" si="150"/>
        <v>0</v>
      </c>
      <c r="R63" s="606">
        <f t="shared" si="151"/>
        <v>668</v>
      </c>
      <c r="S63" s="3520">
        <f t="shared" si="179"/>
        <v>0</v>
      </c>
      <c r="T63" s="617">
        <v>289</v>
      </c>
      <c r="U63" s="850">
        <f t="shared" si="152"/>
        <v>0</v>
      </c>
      <c r="V63" s="606">
        <f t="shared" si="153"/>
        <v>957</v>
      </c>
      <c r="W63" s="3520">
        <f t="shared" si="180"/>
        <v>0</v>
      </c>
      <c r="X63" s="617">
        <v>264</v>
      </c>
      <c r="Y63" s="3528">
        <f t="shared" si="130"/>
        <v>0</v>
      </c>
      <c r="Z63" s="3528">
        <f t="shared" si="131"/>
        <v>802</v>
      </c>
      <c r="AA63" s="1214">
        <f t="shared" si="154"/>
        <v>0</v>
      </c>
      <c r="AB63" s="1208">
        <f t="shared" si="155"/>
        <v>1221</v>
      </c>
      <c r="AC63" s="3520">
        <f t="shared" si="181"/>
        <v>0</v>
      </c>
      <c r="AD63" s="617">
        <v>256</v>
      </c>
      <c r="AE63" s="850">
        <f t="shared" si="156"/>
        <v>0</v>
      </c>
      <c r="AF63" s="606">
        <f t="shared" si="157"/>
        <v>1477</v>
      </c>
      <c r="AG63" s="3520">
        <f t="shared" si="182"/>
        <v>0</v>
      </c>
      <c r="AH63" s="617">
        <v>310</v>
      </c>
      <c r="AI63" s="850">
        <f t="shared" si="158"/>
        <v>0</v>
      </c>
      <c r="AJ63" s="606">
        <f t="shared" si="159"/>
        <v>1787</v>
      </c>
      <c r="AK63" s="3520">
        <f t="shared" si="183"/>
        <v>0</v>
      </c>
      <c r="AL63" s="617">
        <v>311</v>
      </c>
      <c r="AM63" s="3528">
        <f t="shared" si="160"/>
        <v>0</v>
      </c>
      <c r="AN63" s="3528">
        <f t="shared" si="161"/>
        <v>877</v>
      </c>
      <c r="AO63" s="850">
        <f t="shared" si="162"/>
        <v>0</v>
      </c>
      <c r="AP63" s="606">
        <f t="shared" si="163"/>
        <v>2098</v>
      </c>
      <c r="AQ63" s="3902">
        <f t="shared" si="184"/>
        <v>0</v>
      </c>
      <c r="AR63" s="617">
        <v>292</v>
      </c>
      <c r="AS63" s="850">
        <f t="shared" si="164"/>
        <v>0</v>
      </c>
      <c r="AT63" s="606">
        <f t="shared" si="165"/>
        <v>2390</v>
      </c>
      <c r="AU63" s="4004">
        <f t="shared" si="185"/>
        <v>0</v>
      </c>
      <c r="AV63" s="617">
        <v>292</v>
      </c>
      <c r="AW63" s="850">
        <f t="shared" si="166"/>
        <v>0</v>
      </c>
      <c r="AX63" s="606">
        <f t="shared" si="167"/>
        <v>2682</v>
      </c>
      <c r="AY63" s="4247">
        <f t="shared" si="186"/>
        <v>0</v>
      </c>
      <c r="AZ63" s="617">
        <v>232</v>
      </c>
      <c r="BA63" s="4249">
        <f t="shared" si="168"/>
        <v>0</v>
      </c>
      <c r="BB63" s="4249">
        <f t="shared" si="169"/>
        <v>816</v>
      </c>
      <c r="BC63" s="1214">
        <f t="shared" si="170"/>
        <v>0</v>
      </c>
      <c r="BD63" s="1208">
        <f t="shared" si="171"/>
        <v>1693</v>
      </c>
      <c r="BE63" s="850">
        <f t="shared" si="172"/>
        <v>0</v>
      </c>
      <c r="BF63" s="606">
        <f t="shared" si="173"/>
        <v>2914</v>
      </c>
    </row>
    <row r="64" spans="1:62" ht="20.100000000000001" customHeight="1" x14ac:dyDescent="0.25">
      <c r="B64" s="2633" t="s">
        <v>145</v>
      </c>
      <c r="C64" s="2058" t="s">
        <v>53</v>
      </c>
      <c r="D64" s="497">
        <f t="shared" ref="D64" si="190">+D79*D$5/1000</f>
        <v>24517.375305164322</v>
      </c>
      <c r="E64" s="3520">
        <f t="shared" si="175"/>
        <v>938.97</v>
      </c>
      <c r="F64" s="497">
        <v>0</v>
      </c>
      <c r="G64" s="3520">
        <f t="shared" si="176"/>
        <v>971.83</v>
      </c>
      <c r="H64" s="497">
        <v>0</v>
      </c>
      <c r="I64" s="850">
        <f t="shared" si="146"/>
        <v>1910.8000000000002</v>
      </c>
      <c r="J64" s="606">
        <f t="shared" si="147"/>
        <v>0</v>
      </c>
      <c r="K64" s="3520">
        <f t="shared" si="177"/>
        <v>2223.69</v>
      </c>
      <c r="L64" s="497">
        <v>410</v>
      </c>
      <c r="M64" s="1019">
        <f t="shared" si="148"/>
        <v>4134.49</v>
      </c>
      <c r="N64" s="621">
        <f t="shared" si="149"/>
        <v>410</v>
      </c>
      <c r="O64" s="3520">
        <f t="shared" si="178"/>
        <v>2299.3192488262912</v>
      </c>
      <c r="P64" s="617">
        <v>480</v>
      </c>
      <c r="Q64" s="850">
        <f t="shared" si="150"/>
        <v>6433.809248826291</v>
      </c>
      <c r="R64" s="606">
        <f t="shared" si="151"/>
        <v>890</v>
      </c>
      <c r="S64" s="3520">
        <f t="shared" si="179"/>
        <v>2301.1971830985917</v>
      </c>
      <c r="T64" s="617">
        <v>850</v>
      </c>
      <c r="U64" s="850">
        <f t="shared" si="152"/>
        <v>8735.0064319248831</v>
      </c>
      <c r="V64" s="606">
        <f t="shared" si="153"/>
        <v>1740</v>
      </c>
      <c r="W64" s="3520">
        <f t="shared" si="180"/>
        <v>2238.0281690140846</v>
      </c>
      <c r="X64" s="617">
        <v>131</v>
      </c>
      <c r="Y64" s="3528">
        <f t="shared" si="130"/>
        <v>6838.544600938968</v>
      </c>
      <c r="Z64" s="3528">
        <f t="shared" si="131"/>
        <v>1461</v>
      </c>
      <c r="AA64" s="1214">
        <f t="shared" si="154"/>
        <v>10973.034600938969</v>
      </c>
      <c r="AB64" s="1208">
        <f t="shared" si="155"/>
        <v>1871</v>
      </c>
      <c r="AC64" s="3520">
        <f t="shared" si="181"/>
        <v>2314.0845070422533</v>
      </c>
      <c r="AD64" s="617">
        <v>150</v>
      </c>
      <c r="AE64" s="850">
        <f t="shared" si="156"/>
        <v>13287.119107981222</v>
      </c>
      <c r="AF64" s="606">
        <f t="shared" si="157"/>
        <v>2021</v>
      </c>
      <c r="AG64" s="3520">
        <f t="shared" si="182"/>
        <v>2238.0281690140846</v>
      </c>
      <c r="AH64" s="617">
        <v>35</v>
      </c>
      <c r="AI64" s="850">
        <f t="shared" si="158"/>
        <v>15525.147276995307</v>
      </c>
      <c r="AJ64" s="606">
        <f t="shared" si="159"/>
        <v>2056</v>
      </c>
      <c r="AK64" s="3520">
        <f t="shared" si="183"/>
        <v>2314.08</v>
      </c>
      <c r="AL64" s="617">
        <v>0</v>
      </c>
      <c r="AM64" s="3528">
        <f t="shared" si="160"/>
        <v>6866.1926760563383</v>
      </c>
      <c r="AN64" s="3528">
        <f t="shared" si="161"/>
        <v>185</v>
      </c>
      <c r="AO64" s="850">
        <f t="shared" si="162"/>
        <v>17839.227276995305</v>
      </c>
      <c r="AP64" s="606">
        <f t="shared" si="163"/>
        <v>2056</v>
      </c>
      <c r="AQ64" s="3902">
        <f t="shared" si="184"/>
        <v>2314.0845070422533</v>
      </c>
      <c r="AR64" s="617">
        <v>2</v>
      </c>
      <c r="AS64" s="850">
        <f t="shared" si="164"/>
        <v>20153.31178403756</v>
      </c>
      <c r="AT64" s="606">
        <f t="shared" si="165"/>
        <v>2058</v>
      </c>
      <c r="AU64" s="4004">
        <f t="shared" si="185"/>
        <v>2049.9809389671359</v>
      </c>
      <c r="AV64" s="617">
        <v>0</v>
      </c>
      <c r="AW64" s="850">
        <f t="shared" si="166"/>
        <v>22203.292723004695</v>
      </c>
      <c r="AX64" s="606">
        <f t="shared" si="167"/>
        <v>2058</v>
      </c>
      <c r="AY64" s="4247">
        <f t="shared" si="186"/>
        <v>2314.0845070422533</v>
      </c>
      <c r="AZ64" s="617">
        <v>0</v>
      </c>
      <c r="BA64" s="4249">
        <f t="shared" si="168"/>
        <v>6678.149953051643</v>
      </c>
      <c r="BB64" s="4249">
        <f t="shared" si="169"/>
        <v>2</v>
      </c>
      <c r="BC64" s="1214">
        <f t="shared" si="170"/>
        <v>13544.342629107981</v>
      </c>
      <c r="BD64" s="1208">
        <f t="shared" si="171"/>
        <v>187</v>
      </c>
      <c r="BE64" s="850">
        <f t="shared" si="172"/>
        <v>24517.37723004695</v>
      </c>
      <c r="BF64" s="606">
        <f t="shared" si="173"/>
        <v>2058</v>
      </c>
    </row>
    <row r="65" spans="1:58" ht="20.100000000000001" customHeight="1" x14ac:dyDescent="0.25">
      <c r="B65" s="2633" t="s">
        <v>20</v>
      </c>
      <c r="C65" s="2058" t="s">
        <v>53</v>
      </c>
      <c r="D65" s="497">
        <f t="shared" ref="D65" si="191">+D80*D$5/1000</f>
        <v>0</v>
      </c>
      <c r="E65" s="3520">
        <f t="shared" si="175"/>
        <v>0</v>
      </c>
      <c r="F65" s="497">
        <v>1386</v>
      </c>
      <c r="G65" s="3520">
        <f t="shared" si="176"/>
        <v>0</v>
      </c>
      <c r="H65" s="497">
        <v>1066</v>
      </c>
      <c r="I65" s="850">
        <f t="shared" si="146"/>
        <v>0</v>
      </c>
      <c r="J65" s="606">
        <f t="shared" si="147"/>
        <v>2452</v>
      </c>
      <c r="K65" s="3520">
        <f t="shared" si="177"/>
        <v>0</v>
      </c>
      <c r="L65" s="497">
        <v>4934</v>
      </c>
      <c r="M65" s="1019">
        <f t="shared" si="148"/>
        <v>0</v>
      </c>
      <c r="N65" s="621">
        <f t="shared" si="149"/>
        <v>7386</v>
      </c>
      <c r="O65" s="3520">
        <f t="shared" si="178"/>
        <v>0</v>
      </c>
      <c r="P65" s="617">
        <v>7732</v>
      </c>
      <c r="Q65" s="850">
        <f t="shared" si="150"/>
        <v>0</v>
      </c>
      <c r="R65" s="606">
        <f>+N65+P65</f>
        <v>15118</v>
      </c>
      <c r="S65" s="3520">
        <f t="shared" si="179"/>
        <v>0</v>
      </c>
      <c r="T65" s="617">
        <v>7408</v>
      </c>
      <c r="U65" s="850">
        <f t="shared" si="152"/>
        <v>0</v>
      </c>
      <c r="V65" s="606">
        <f>+R65+T65</f>
        <v>22526</v>
      </c>
      <c r="W65" s="3520">
        <f t="shared" si="180"/>
        <v>0</v>
      </c>
      <c r="X65" s="617">
        <v>5489</v>
      </c>
      <c r="Y65" s="3528">
        <f t="shared" si="130"/>
        <v>0</v>
      </c>
      <c r="Z65" s="3528">
        <f t="shared" si="131"/>
        <v>20629</v>
      </c>
      <c r="AA65" s="1214">
        <f t="shared" si="154"/>
        <v>0</v>
      </c>
      <c r="AB65" s="1208">
        <f t="shared" si="155"/>
        <v>28015</v>
      </c>
      <c r="AC65" s="3520">
        <f t="shared" si="181"/>
        <v>0</v>
      </c>
      <c r="AD65" s="617">
        <v>5575</v>
      </c>
      <c r="AE65" s="850">
        <f t="shared" si="156"/>
        <v>0</v>
      </c>
      <c r="AF65" s="606">
        <f>+AB65+AD65</f>
        <v>33590</v>
      </c>
      <c r="AG65" s="3520">
        <f t="shared" si="182"/>
        <v>0</v>
      </c>
      <c r="AH65" s="617">
        <v>4805</v>
      </c>
      <c r="AI65" s="850">
        <f t="shared" si="158"/>
        <v>0</v>
      </c>
      <c r="AJ65" s="606">
        <f>+AF65+AH65</f>
        <v>38395</v>
      </c>
      <c r="AK65" s="3520">
        <f t="shared" si="183"/>
        <v>0</v>
      </c>
      <c r="AL65" s="617">
        <v>4916</v>
      </c>
      <c r="AM65" s="3528">
        <f t="shared" si="160"/>
        <v>0</v>
      </c>
      <c r="AN65" s="3528">
        <f t="shared" si="161"/>
        <v>15296</v>
      </c>
      <c r="AO65" s="850">
        <f t="shared" si="162"/>
        <v>0</v>
      </c>
      <c r="AP65" s="606">
        <f t="shared" si="163"/>
        <v>43311</v>
      </c>
      <c r="AQ65" s="3902">
        <f t="shared" si="184"/>
        <v>0</v>
      </c>
      <c r="AR65" s="617">
        <v>436</v>
      </c>
      <c r="AS65" s="850">
        <f t="shared" si="164"/>
        <v>0</v>
      </c>
      <c r="AT65" s="606">
        <f>+AP65+AR65</f>
        <v>43747</v>
      </c>
      <c r="AU65" s="4004">
        <f t="shared" si="185"/>
        <v>0</v>
      </c>
      <c r="AV65" s="617">
        <v>1988</v>
      </c>
      <c r="AW65" s="850">
        <f t="shared" si="166"/>
        <v>0</v>
      </c>
      <c r="AX65" s="606">
        <f>+AT65+AV65</f>
        <v>45735</v>
      </c>
      <c r="AY65" s="4247">
        <f t="shared" si="186"/>
        <v>0</v>
      </c>
      <c r="AZ65" s="617">
        <v>320</v>
      </c>
      <c r="BA65" s="4249">
        <f t="shared" si="168"/>
        <v>0</v>
      </c>
      <c r="BB65" s="4249">
        <f t="shared" si="169"/>
        <v>2744</v>
      </c>
      <c r="BC65" s="1214">
        <f t="shared" si="170"/>
        <v>0</v>
      </c>
      <c r="BD65" s="1208">
        <f t="shared" si="171"/>
        <v>18040</v>
      </c>
      <c r="BE65" s="850">
        <f t="shared" si="172"/>
        <v>0</v>
      </c>
      <c r="BF65" s="606">
        <f>+AX65+AZ65</f>
        <v>46055</v>
      </c>
    </row>
    <row r="66" spans="1:58" ht="20.100000000000001" customHeight="1" x14ac:dyDescent="0.25">
      <c r="B66" s="2633" t="s">
        <v>146</v>
      </c>
      <c r="C66" s="2058" t="s">
        <v>53</v>
      </c>
      <c r="D66" s="497">
        <f t="shared" ref="D66" si="192">+D81*D$5/1000</f>
        <v>36776.062957746486</v>
      </c>
      <c r="E66" s="3520">
        <f t="shared" si="175"/>
        <v>1408.4549999999999</v>
      </c>
      <c r="F66" s="497">
        <v>459</v>
      </c>
      <c r="G66" s="3520">
        <f t="shared" si="176"/>
        <v>1457.7449999999999</v>
      </c>
      <c r="H66" s="497">
        <v>85</v>
      </c>
      <c r="I66" s="850">
        <f t="shared" si="146"/>
        <v>2866.2</v>
      </c>
      <c r="J66" s="606">
        <f t="shared" si="147"/>
        <v>544</v>
      </c>
      <c r="K66" s="3520">
        <f t="shared" si="177"/>
        <v>3335.5349999999999</v>
      </c>
      <c r="L66" s="497">
        <v>1607</v>
      </c>
      <c r="M66" s="1019">
        <f t="shared" si="148"/>
        <v>6201.7349999999997</v>
      </c>
      <c r="N66" s="621">
        <f t="shared" si="149"/>
        <v>2151</v>
      </c>
      <c r="O66" s="3520">
        <f t="shared" si="178"/>
        <v>3448.9788732394372</v>
      </c>
      <c r="P66" s="617">
        <v>70.5</v>
      </c>
      <c r="Q66" s="850">
        <f t="shared" si="150"/>
        <v>9650.7138732394378</v>
      </c>
      <c r="R66" s="606">
        <f t="shared" si="151"/>
        <v>2221.5</v>
      </c>
      <c r="S66" s="3520">
        <f t="shared" si="179"/>
        <v>3451.7957746478874</v>
      </c>
      <c r="T66" s="617">
        <v>40</v>
      </c>
      <c r="U66" s="850">
        <f t="shared" si="152"/>
        <v>13102.509647887326</v>
      </c>
      <c r="V66" s="606">
        <f t="shared" ref="V66:V67" si="193">+R66+T66</f>
        <v>2261.5</v>
      </c>
      <c r="W66" s="3520">
        <f t="shared" si="180"/>
        <v>3357.0422535211269</v>
      </c>
      <c r="X66" s="617">
        <v>1697.3</v>
      </c>
      <c r="Y66" s="3528">
        <f t="shared" si="130"/>
        <v>10257.816901408452</v>
      </c>
      <c r="Z66" s="3528">
        <f t="shared" si="131"/>
        <v>1807.8</v>
      </c>
      <c r="AA66" s="1214">
        <f t="shared" si="154"/>
        <v>16459.551901408453</v>
      </c>
      <c r="AB66" s="1208">
        <f t="shared" si="155"/>
        <v>3958.8</v>
      </c>
      <c r="AC66" s="3520">
        <f t="shared" si="181"/>
        <v>3471.1267605633802</v>
      </c>
      <c r="AD66" s="617">
        <v>2735</v>
      </c>
      <c r="AE66" s="850">
        <f t="shared" si="156"/>
        <v>19930.678661971833</v>
      </c>
      <c r="AF66" s="606">
        <f t="shared" ref="AF66:AF67" si="194">+AB66+AD66</f>
        <v>6693.8</v>
      </c>
      <c r="AG66" s="3520">
        <f t="shared" si="182"/>
        <v>3357.0422535211269</v>
      </c>
      <c r="AH66" s="617">
        <v>885</v>
      </c>
      <c r="AI66" s="850">
        <f t="shared" si="158"/>
        <v>23287.720915492959</v>
      </c>
      <c r="AJ66" s="606">
        <f t="shared" ref="AJ66:AJ67" si="195">+AF66+AH66</f>
        <v>7578.8</v>
      </c>
      <c r="AK66" s="3520">
        <f t="shared" si="183"/>
        <v>3471.12</v>
      </c>
      <c r="AL66" s="617">
        <v>1128</v>
      </c>
      <c r="AM66" s="3528">
        <f t="shared" si="160"/>
        <v>10299.289014084507</v>
      </c>
      <c r="AN66" s="3528">
        <f t="shared" si="161"/>
        <v>4748</v>
      </c>
      <c r="AO66" s="850">
        <f t="shared" si="162"/>
        <v>26758.840915492958</v>
      </c>
      <c r="AP66" s="606">
        <f t="shared" si="163"/>
        <v>8706.7999999999993</v>
      </c>
      <c r="AQ66" s="3902">
        <f t="shared" si="184"/>
        <v>3471.1267605633802</v>
      </c>
      <c r="AR66" s="617">
        <v>3300</v>
      </c>
      <c r="AS66" s="850">
        <f t="shared" si="164"/>
        <v>30229.967676056338</v>
      </c>
      <c r="AT66" s="606">
        <f t="shared" ref="AT66:AT67" si="196">+AP66+AR66</f>
        <v>12006.8</v>
      </c>
      <c r="AU66" s="4004">
        <f t="shared" si="185"/>
        <v>3074.9714084507041</v>
      </c>
      <c r="AV66" s="617">
        <v>1500</v>
      </c>
      <c r="AW66" s="850">
        <f t="shared" si="166"/>
        <v>33304.939084507045</v>
      </c>
      <c r="AX66" s="606">
        <f t="shared" ref="AX66:AX67" si="197">+AT66+AV66</f>
        <v>13506.8</v>
      </c>
      <c r="AY66" s="4247">
        <f t="shared" si="186"/>
        <v>3471.1267605633802</v>
      </c>
      <c r="AZ66" s="617">
        <v>6002</v>
      </c>
      <c r="BA66" s="4249">
        <f t="shared" si="168"/>
        <v>10017.224929577464</v>
      </c>
      <c r="BB66" s="4249">
        <f t="shared" si="169"/>
        <v>10802</v>
      </c>
      <c r="BC66" s="1214">
        <f t="shared" si="170"/>
        <v>20316.513943661972</v>
      </c>
      <c r="BD66" s="1208">
        <f t="shared" si="171"/>
        <v>15550</v>
      </c>
      <c r="BE66" s="850">
        <f t="shared" si="172"/>
        <v>36776.065845070421</v>
      </c>
      <c r="BF66" s="606">
        <f t="shared" ref="BF66:BF67" si="198">+AX66+AZ66</f>
        <v>19508.8</v>
      </c>
    </row>
    <row r="67" spans="1:58" ht="20.100000000000001" customHeight="1" x14ac:dyDescent="0.25">
      <c r="B67" s="2633" t="s">
        <v>128</v>
      </c>
      <c r="C67" s="2058" t="s">
        <v>53</v>
      </c>
      <c r="D67" s="497">
        <f t="shared" ref="D67" si="199">+D82*D$5/1000</f>
        <v>171621.62713615023</v>
      </c>
      <c r="E67" s="3520">
        <f t="shared" si="175"/>
        <v>6572.79</v>
      </c>
      <c r="F67" s="497">
        <v>7590</v>
      </c>
      <c r="G67" s="3520">
        <f t="shared" si="176"/>
        <v>6802.81</v>
      </c>
      <c r="H67" s="497">
        <v>5020</v>
      </c>
      <c r="I67" s="850">
        <f t="shared" si="146"/>
        <v>13375.6</v>
      </c>
      <c r="J67" s="606">
        <f t="shared" si="147"/>
        <v>12610</v>
      </c>
      <c r="K67" s="3520">
        <f t="shared" si="177"/>
        <v>15565.83</v>
      </c>
      <c r="L67" s="497">
        <v>14281</v>
      </c>
      <c r="M67" s="1019">
        <f t="shared" si="148"/>
        <v>28941.43</v>
      </c>
      <c r="N67" s="621">
        <f t="shared" si="149"/>
        <v>26891</v>
      </c>
      <c r="O67" s="3520">
        <f t="shared" si="178"/>
        <v>16095.234741784039</v>
      </c>
      <c r="P67" s="617">
        <v>12774</v>
      </c>
      <c r="Q67" s="850">
        <f t="shared" si="150"/>
        <v>45036.664741784043</v>
      </c>
      <c r="R67" s="606">
        <f t="shared" si="151"/>
        <v>39665</v>
      </c>
      <c r="S67" s="3520">
        <f t="shared" si="179"/>
        <v>16108.380281690141</v>
      </c>
      <c r="T67" s="617">
        <v>12538</v>
      </c>
      <c r="U67" s="850">
        <f t="shared" si="152"/>
        <v>61145.045023474187</v>
      </c>
      <c r="V67" s="606">
        <f t="shared" si="193"/>
        <v>52203</v>
      </c>
      <c r="W67" s="3520">
        <f t="shared" si="180"/>
        <v>15666.197183098591</v>
      </c>
      <c r="X67" s="617">
        <v>12286</v>
      </c>
      <c r="Y67" s="3528">
        <f t="shared" si="130"/>
        <v>47869.812206572766</v>
      </c>
      <c r="Z67" s="3528">
        <f t="shared" si="131"/>
        <v>37598</v>
      </c>
      <c r="AA67" s="1214">
        <f t="shared" si="154"/>
        <v>76811.242206572773</v>
      </c>
      <c r="AB67" s="1208">
        <f t="shared" si="155"/>
        <v>64489</v>
      </c>
      <c r="AC67" s="3520">
        <f t="shared" si="181"/>
        <v>16198.591549295774</v>
      </c>
      <c r="AD67" s="617">
        <v>13881</v>
      </c>
      <c r="AE67" s="850">
        <f t="shared" si="156"/>
        <v>93009.833755868545</v>
      </c>
      <c r="AF67" s="606">
        <f t="shared" si="194"/>
        <v>78370</v>
      </c>
      <c r="AG67" s="3520">
        <f t="shared" si="182"/>
        <v>15666.197183098591</v>
      </c>
      <c r="AH67" s="617">
        <v>12610</v>
      </c>
      <c r="AI67" s="850">
        <f t="shared" si="158"/>
        <v>108676.03093896713</v>
      </c>
      <c r="AJ67" s="606">
        <f t="shared" si="195"/>
        <v>90980</v>
      </c>
      <c r="AK67" s="3520">
        <f t="shared" si="183"/>
        <v>16198.56</v>
      </c>
      <c r="AL67" s="617">
        <v>14355.51</v>
      </c>
      <c r="AM67" s="3528">
        <f t="shared" si="160"/>
        <v>48063.348732394363</v>
      </c>
      <c r="AN67" s="3528">
        <f t="shared" si="161"/>
        <v>40846.51</v>
      </c>
      <c r="AO67" s="850">
        <f t="shared" si="162"/>
        <v>124874.59093896713</v>
      </c>
      <c r="AP67" s="606">
        <f t="shared" si="163"/>
        <v>105335.51</v>
      </c>
      <c r="AQ67" s="3902">
        <f t="shared" si="184"/>
        <v>16198.591549295774</v>
      </c>
      <c r="AR67" s="617">
        <v>13849</v>
      </c>
      <c r="AS67" s="850">
        <f t="shared" si="164"/>
        <v>141073.18248826292</v>
      </c>
      <c r="AT67" s="606">
        <f t="shared" si="196"/>
        <v>119184.51</v>
      </c>
      <c r="AU67" s="4004">
        <f t="shared" si="185"/>
        <v>14349.866572769954</v>
      </c>
      <c r="AV67" s="617">
        <v>11480</v>
      </c>
      <c r="AW67" s="850">
        <f t="shared" si="166"/>
        <v>155423.04906103286</v>
      </c>
      <c r="AX67" s="606">
        <f t="shared" si="197"/>
        <v>130664.51</v>
      </c>
      <c r="AY67" s="4247">
        <f t="shared" si="186"/>
        <v>16198.591549295774</v>
      </c>
      <c r="AZ67" s="617">
        <v>14275</v>
      </c>
      <c r="BA67" s="4249">
        <f t="shared" si="168"/>
        <v>46747.049671361499</v>
      </c>
      <c r="BB67" s="4249">
        <f t="shared" si="169"/>
        <v>39604</v>
      </c>
      <c r="BC67" s="1214">
        <f t="shared" si="170"/>
        <v>94810.398403755855</v>
      </c>
      <c r="BD67" s="1208">
        <f t="shared" si="171"/>
        <v>80450.510000000009</v>
      </c>
      <c r="BE67" s="850">
        <f t="shared" si="172"/>
        <v>171621.64061032864</v>
      </c>
      <c r="BF67" s="606">
        <f t="shared" si="198"/>
        <v>144939.51</v>
      </c>
    </row>
    <row r="68" spans="1:58" s="334" customFormat="1" ht="20.100000000000001" customHeight="1" x14ac:dyDescent="0.25">
      <c r="B68" s="897" t="s">
        <v>318</v>
      </c>
      <c r="C68" s="849"/>
      <c r="D68" s="849"/>
      <c r="E68" s="849"/>
      <c r="F68" s="849"/>
      <c r="G68" s="849"/>
      <c r="H68" s="849"/>
      <c r="I68" s="849"/>
      <c r="J68" s="849"/>
      <c r="K68" s="849"/>
      <c r="L68" s="849"/>
      <c r="M68" s="849"/>
      <c r="N68" s="849"/>
      <c r="O68" s="849"/>
      <c r="P68" s="849"/>
      <c r="Q68" s="849"/>
      <c r="R68" s="849"/>
      <c r="S68" s="849"/>
      <c r="T68" s="849"/>
      <c r="U68" s="849"/>
      <c r="V68" s="849"/>
      <c r="W68" s="849"/>
      <c r="X68" s="849"/>
      <c r="Y68" s="849"/>
      <c r="Z68" s="849"/>
      <c r="AA68" s="849"/>
      <c r="AB68" s="849"/>
      <c r="AC68" s="849"/>
      <c r="AD68" s="849"/>
      <c r="AE68" s="849"/>
      <c r="AF68" s="849"/>
      <c r="AG68" s="849"/>
      <c r="AH68" s="849"/>
      <c r="AI68" s="849"/>
      <c r="AJ68" s="849"/>
      <c r="AK68" s="849"/>
      <c r="AL68" s="849"/>
      <c r="AM68" s="849"/>
      <c r="AN68" s="849"/>
      <c r="AO68" s="849"/>
      <c r="AP68" s="849"/>
      <c r="AQ68" s="849"/>
      <c r="AR68" s="849"/>
      <c r="AS68" s="849"/>
      <c r="AT68" s="849"/>
      <c r="AU68" s="849"/>
      <c r="AV68" s="849"/>
      <c r="AW68" s="849"/>
      <c r="AX68" s="849"/>
      <c r="AY68" s="849"/>
      <c r="AZ68" s="849"/>
      <c r="BA68" s="849"/>
      <c r="BB68" s="849"/>
      <c r="BC68" s="849"/>
      <c r="BD68" s="849"/>
      <c r="BE68" s="849"/>
      <c r="BF68" s="849"/>
    </row>
    <row r="69" spans="1:58" ht="20.100000000000001" customHeight="1" x14ac:dyDescent="0.25">
      <c r="B69" s="2633" t="s">
        <v>86</v>
      </c>
      <c r="C69" s="2572" t="s">
        <v>302</v>
      </c>
      <c r="D69" s="2615">
        <v>2.6</v>
      </c>
      <c r="E69" s="2640">
        <v>2.6</v>
      </c>
      <c r="F69" s="678">
        <f t="shared" ref="F69:H71" si="200">+F54/F$48*1000</f>
        <v>1.9327216586396962</v>
      </c>
      <c r="G69" s="2640">
        <v>2.6</v>
      </c>
      <c r="H69" s="678">
        <f t="shared" ref="H69:H70" si="201">+H54/H$48*1000</f>
        <v>1.2877897526943562</v>
      </c>
      <c r="I69" s="2641">
        <f>+I54/I$46*1000</f>
        <v>2.6</v>
      </c>
      <c r="J69" s="835">
        <f>+J54/J$48*1000</f>
        <v>1.6458966739430869</v>
      </c>
      <c r="K69" s="2640">
        <v>2.6</v>
      </c>
      <c r="L69" s="678">
        <f t="shared" ref="L69:L70" si="202">+L54/L$48*1000</f>
        <v>1.8237424629744419</v>
      </c>
      <c r="M69" s="2642">
        <f>+M54/M$46*1000</f>
        <v>2.6</v>
      </c>
      <c r="N69" s="1015">
        <f>+N54/N$48*1000</f>
        <v>1.7384618526809295</v>
      </c>
      <c r="O69" s="2640">
        <v>2.6</v>
      </c>
      <c r="P69" s="678">
        <f t="shared" ref="P69:P82" si="203">+P54/P$48*1000</f>
        <v>2.0731097571282815</v>
      </c>
      <c r="Q69" s="2641">
        <f>+Q54/Q$46*1000</f>
        <v>2.5999996964393346</v>
      </c>
      <c r="R69" s="835">
        <f>+R54/R$48*1000</f>
        <v>1.8502492758103024</v>
      </c>
      <c r="S69" s="2640">
        <v>2.6</v>
      </c>
      <c r="T69" s="678">
        <f t="shared" ref="T69:T82" si="204">+T54/T$48*1000</f>
        <v>1.8558395583121436</v>
      </c>
      <c r="U69" s="2641">
        <f>+U54/U$46*1000</f>
        <v>2.5999989379525261</v>
      </c>
      <c r="V69" s="835">
        <f>+V54/V$48*1000</f>
        <v>1.8517369840221547</v>
      </c>
      <c r="W69" s="2640">
        <v>2.6013799999999998</v>
      </c>
      <c r="X69" s="678">
        <f t="shared" ref="X69:X82" si="205">+X54/X$48*1000</f>
        <v>1.8949222283096039</v>
      </c>
      <c r="Y69" s="2642">
        <f>+Y54/Y$46*1000</f>
        <v>2.600449575028998</v>
      </c>
      <c r="Z69" s="1015">
        <f>+Z54/Z$48*1000</f>
        <v>1.9381536031587332</v>
      </c>
      <c r="AA69" s="2643">
        <f>+AA54/AA$46*1000</f>
        <v>2.6002801813640115</v>
      </c>
      <c r="AB69" s="1209">
        <f>+AB54/AB$48*1000</f>
        <v>1.86060933992963</v>
      </c>
      <c r="AC69" s="2640">
        <v>2.6013799999999998</v>
      </c>
      <c r="AD69" s="678">
        <f t="shared" ref="AD69:AD82" si="206">+AD54/AD$48*1000</f>
        <v>1.9543863236329262</v>
      </c>
      <c r="AE69" s="2641">
        <f>+AE54/AE$46*1000</f>
        <v>2.6004726077768647</v>
      </c>
      <c r="AF69" s="835">
        <f>+AF54/AF$48*1000</f>
        <v>1.8774442449811117</v>
      </c>
      <c r="AG69" s="2640">
        <v>2.6013799999999998</v>
      </c>
      <c r="AH69" s="678">
        <f t="shared" ref="AH69:AH82" si="207">+AH54/AH$48*1000</f>
        <v>1.5061290127996323</v>
      </c>
      <c r="AI69" s="2641">
        <f>+AI54/AI$46*1000</f>
        <v>2.600603106221453</v>
      </c>
      <c r="AJ69" s="835">
        <f>+AJ54/AJ$48*1000</f>
        <v>1.8247235184604935</v>
      </c>
      <c r="AK69" s="2615">
        <v>2.6</v>
      </c>
      <c r="AL69" s="678">
        <f t="shared" ref="AL69:AL82" si="208">+AL54/AL$48*1000</f>
        <v>2.3306130079865262</v>
      </c>
      <c r="AM69" s="2642">
        <f>+AM54/AM$46*1000</f>
        <v>2.6009159189069098</v>
      </c>
      <c r="AN69" s="1015">
        <f>+AN54/AN$48*1000</f>
        <v>1.9450812313656765</v>
      </c>
      <c r="AO69" s="2641">
        <f>+AO54/AO$46*1000</f>
        <v>2.6005248721247489</v>
      </c>
      <c r="AP69" s="835">
        <f>+AP54/AP$48*1000</f>
        <v>1.8937254406990127</v>
      </c>
      <c r="AQ69" s="2615">
        <v>2.6</v>
      </c>
      <c r="AR69" s="678">
        <f t="shared" ref="AR69:AR82" si="209">+AR54/AR$48*1000</f>
        <v>1.9174089407831481</v>
      </c>
      <c r="AS69" s="2641">
        <f>+AS54/AS$46*1000</f>
        <v>2.6004651857617356</v>
      </c>
      <c r="AT69" s="835">
        <f>+AT54/AT$48*1000</f>
        <v>1.8966253187718194</v>
      </c>
      <c r="AU69" s="2615">
        <v>2.6</v>
      </c>
      <c r="AV69" s="678">
        <f t="shared" ref="AV69:AV82" si="210">+AV54/AV$48*1000</f>
        <v>1.4505043111283671</v>
      </c>
      <c r="AW69" s="2641">
        <f>+AW54/AW$46*1000</f>
        <v>2.6004223461558356</v>
      </c>
      <c r="AX69" s="835">
        <f>+AX54/AX$48*1000</f>
        <v>1.8527210016291975</v>
      </c>
      <c r="AY69" s="2615">
        <v>2.6</v>
      </c>
      <c r="AZ69" s="678">
        <f t="shared" ref="AZ69:AZ82" si="211">+AZ54/AZ$48*1000</f>
        <v>1.890823144402527</v>
      </c>
      <c r="BA69" s="2642">
        <f>+BA54/BA$46*1000</f>
        <v>2.6000038750212289</v>
      </c>
      <c r="BB69" s="1015">
        <f>+BB54/BB$48*1000</f>
        <v>1.7639360718732067</v>
      </c>
      <c r="BC69" s="2643">
        <f>+BC54/BC$46*1000</f>
        <v>2.6004662283903084</v>
      </c>
      <c r="BD69" s="1209">
        <f>+BD54/BD$48*1000</f>
        <v>1.8533265185607795</v>
      </c>
      <c r="BE69" s="2641">
        <f>+BE54/BE$46*1000</f>
        <v>2.6003829608350433</v>
      </c>
      <c r="BF69" s="835">
        <f>+BF54/BF$48*1000</f>
        <v>1.8564837262711036</v>
      </c>
    </row>
    <row r="70" spans="1:58" s="1328" customFormat="1" ht="20.100000000000001" customHeight="1" x14ac:dyDescent="0.25">
      <c r="B70" s="2633" t="s">
        <v>1102</v>
      </c>
      <c r="C70" s="2572" t="s">
        <v>302</v>
      </c>
      <c r="D70" s="2615"/>
      <c r="E70" s="2640"/>
      <c r="F70" s="678">
        <f t="shared" si="200"/>
        <v>0.72101533379304728</v>
      </c>
      <c r="G70" s="2640"/>
      <c r="H70" s="678">
        <f t="shared" si="201"/>
        <v>0.43409767197619464</v>
      </c>
      <c r="I70" s="2641">
        <f t="shared" ref="I70:I71" si="212">+I55/I$46*1000</f>
        <v>0</v>
      </c>
      <c r="J70" s="835">
        <f t="shared" ref="J70:J71" si="213">+J55/J$48*1000</f>
        <v>0.59341247649731832</v>
      </c>
      <c r="K70" s="2640"/>
      <c r="L70" s="678">
        <f t="shared" si="202"/>
        <v>0.34323242982945956</v>
      </c>
      <c r="M70" s="2642">
        <f t="shared" ref="M70:M71" si="214">+M55/M$46*1000</f>
        <v>0</v>
      </c>
      <c r="N70" s="1015">
        <f t="shared" ref="N70:N71" si="215">+N55/N$48*1000</f>
        <v>0.46319876234314583</v>
      </c>
      <c r="O70" s="2640"/>
      <c r="P70" s="678">
        <f t="shared" si="203"/>
        <v>0.58472326483105375</v>
      </c>
      <c r="Q70" s="2641">
        <f t="shared" ref="Q70:Q71" si="216">+Q55/Q$46*1000</f>
        <v>0</v>
      </c>
      <c r="R70" s="835">
        <f t="shared" ref="R70:R71" si="217">+R55/R$48*1000</f>
        <v>0.50379340166305087</v>
      </c>
      <c r="S70" s="2640"/>
      <c r="T70" s="678">
        <f t="shared" si="204"/>
        <v>0.53373749830085393</v>
      </c>
      <c r="U70" s="2641">
        <f t="shared" ref="U70:U82" si="218">+U55/U$46*1000</f>
        <v>0</v>
      </c>
      <c r="V70" s="835">
        <f t="shared" ref="V70:V82" si="219">+V55/V$48*1000</f>
        <v>0.51176224374748813</v>
      </c>
      <c r="W70" s="2640">
        <v>0</v>
      </c>
      <c r="X70" s="678">
        <f t="shared" si="205"/>
        <v>0.39813525541611361</v>
      </c>
      <c r="Y70" s="2642">
        <f t="shared" ref="Y70:Y71" si="220">+Y55/Y$46*1000</f>
        <v>0</v>
      </c>
      <c r="Z70" s="1015">
        <f>+Z55/Z$48*1000</f>
        <v>0.50442774999240392</v>
      </c>
      <c r="AA70" s="2643">
        <f t="shared" ref="AA70:AA71" si="221">+AA55/AA$46*1000</f>
        <v>0</v>
      </c>
      <c r="AB70" s="1209">
        <f t="shared" ref="AB70:AB71" si="222">+AB55/AB$48*1000</f>
        <v>0.48841771721291316</v>
      </c>
      <c r="AC70" s="2640">
        <v>0</v>
      </c>
      <c r="AD70" s="678">
        <f t="shared" si="206"/>
        <v>0.27711589131221354</v>
      </c>
      <c r="AE70" s="2641">
        <f t="shared" ref="AE70:AE82" si="223">+AE55/AE$46*1000</f>
        <v>0</v>
      </c>
      <c r="AF70" s="835">
        <f t="shared" ref="AF70:AF82" si="224">+AF55/AF$48*1000</f>
        <v>0.4504846761215312</v>
      </c>
      <c r="AG70" s="2640">
        <v>0</v>
      </c>
      <c r="AH70" s="678">
        <f t="shared" si="207"/>
        <v>0.61943393102598554</v>
      </c>
      <c r="AI70" s="2641">
        <f t="shared" ref="AI70:AI82" si="225">+AI55/AI$46*1000</f>
        <v>0</v>
      </c>
      <c r="AJ70" s="835">
        <f t="shared" ref="AJ70:AJ82" si="226">+AJ55/AJ$48*1000</f>
        <v>0.47447272372019966</v>
      </c>
      <c r="AK70" s="2615"/>
      <c r="AL70" s="678">
        <f t="shared" si="208"/>
        <v>0.34797667485581002</v>
      </c>
      <c r="AM70" s="2642">
        <f t="shared" ref="AM70:AM82" si="227">+AM55/AM$46*1000</f>
        <v>0</v>
      </c>
      <c r="AN70" s="1015">
        <f>+AN55/AN$48*1000</f>
        <v>0.40883668471522433</v>
      </c>
      <c r="AO70" s="2641">
        <f t="shared" ref="AO70:AO82" si="228">+AO55/AO$46*1000</f>
        <v>0</v>
      </c>
      <c r="AP70" s="835">
        <f t="shared" ref="AP70:AP82" si="229">+AP55/AP$48*1000</f>
        <v>0.45721901375402069</v>
      </c>
      <c r="AQ70" s="2615"/>
      <c r="AR70" s="678">
        <f t="shared" si="209"/>
        <v>0.36678905149569396</v>
      </c>
      <c r="AS70" s="2641">
        <f t="shared" ref="AS70:AS82" si="230">+AS55/AS$46*1000</f>
        <v>0</v>
      </c>
      <c r="AT70" s="835">
        <f t="shared" ref="AT70:AT82" si="231">+AT55/AT$48*1000</f>
        <v>0.44614650066490513</v>
      </c>
      <c r="AU70" s="2615"/>
      <c r="AV70" s="678">
        <f t="shared" si="210"/>
        <v>0.30111299459960167</v>
      </c>
      <c r="AW70" s="2641">
        <f t="shared" ref="AW70:AW82" si="232">+AW55/AW$46*1000</f>
        <v>0</v>
      </c>
      <c r="AX70" s="835">
        <f t="shared" ref="AX70:AX82" si="233">+AX55/AX$48*1000</f>
        <v>0.43187324982600594</v>
      </c>
      <c r="AY70" s="2615">
        <v>0</v>
      </c>
      <c r="AZ70" s="678">
        <f t="shared" si="211"/>
        <v>0.45997909185946095</v>
      </c>
      <c r="BA70" s="2642">
        <f t="shared" ref="BA70:BA82" si="234">+BA55/BA$46*1000</f>
        <v>0</v>
      </c>
      <c r="BB70" s="1015">
        <f>+BB55/BB$48*1000</f>
        <v>0.37856062272158714</v>
      </c>
      <c r="BC70" s="2643">
        <f t="shared" ref="BC70:BC82" si="235">+BC55/BC$46*1000</f>
        <v>0</v>
      </c>
      <c r="BD70" s="1209">
        <f t="shared" ref="BD70:BD82" si="236">+BD55/BD$48*1000</f>
        <v>0.39350107552272523</v>
      </c>
      <c r="BE70" s="2641">
        <f t="shared" ref="BE70:BE82" si="237">+BE55/BE$46*1000</f>
        <v>0</v>
      </c>
      <c r="BF70" s="835">
        <f t="shared" ref="BF70:BF82" si="238">+BF55/BF$48*1000</f>
        <v>0.43464880355352037</v>
      </c>
    </row>
    <row r="71" spans="1:58" s="1328" customFormat="1" ht="20.100000000000001" customHeight="1" x14ac:dyDescent="0.25">
      <c r="B71" s="2633" t="s">
        <v>1151</v>
      </c>
      <c r="C71" s="2572" t="s">
        <v>302</v>
      </c>
      <c r="D71" s="2615">
        <f>SUM(D69:D70)</f>
        <v>2.6</v>
      </c>
      <c r="E71" s="2640">
        <f>SUM(E69:E70)</f>
        <v>2.6</v>
      </c>
      <c r="F71" s="678">
        <f t="shared" si="200"/>
        <v>2.6537369924327434</v>
      </c>
      <c r="G71" s="2640">
        <f>SUM(G69:G70)</f>
        <v>2.6</v>
      </c>
      <c r="H71" s="678">
        <f t="shared" si="200"/>
        <v>1.7218874246705509</v>
      </c>
      <c r="I71" s="2641">
        <f t="shared" si="212"/>
        <v>2.6</v>
      </c>
      <c r="J71" s="835">
        <f t="shared" si="213"/>
        <v>2.2393091504404055</v>
      </c>
      <c r="K71" s="2640">
        <f>SUM(K69:K70)</f>
        <v>2.6</v>
      </c>
      <c r="L71" s="678">
        <f t="shared" ref="L71" si="239">+L56/L$48*1000</f>
        <v>2.1669748928039017</v>
      </c>
      <c r="M71" s="2642">
        <f t="shared" si="214"/>
        <v>2.6</v>
      </c>
      <c r="N71" s="1015">
        <f t="shared" si="215"/>
        <v>2.2016606150240752</v>
      </c>
      <c r="O71" s="2640">
        <f>SUM(O69:O70)</f>
        <v>2.6</v>
      </c>
      <c r="P71" s="678">
        <f t="shared" si="203"/>
        <v>2.6578330219593354</v>
      </c>
      <c r="Q71" s="2641">
        <f t="shared" si="216"/>
        <v>2.5999996964393346</v>
      </c>
      <c r="R71" s="835">
        <f t="shared" si="217"/>
        <v>2.3540426774733532</v>
      </c>
      <c r="S71" s="2640">
        <f>SUM(S69:S70)</f>
        <v>2.6</v>
      </c>
      <c r="T71" s="678">
        <f t="shared" si="204"/>
        <v>2.3895770566129975</v>
      </c>
      <c r="U71" s="2641">
        <f t="shared" si="218"/>
        <v>2.5999989379525261</v>
      </c>
      <c r="V71" s="835">
        <f t="shared" si="219"/>
        <v>2.3634992277696427</v>
      </c>
      <c r="W71" s="2640">
        <f>SUM(W69:W70)</f>
        <v>2.6013799999999998</v>
      </c>
      <c r="X71" s="678">
        <f t="shared" si="205"/>
        <v>2.2930574837257174</v>
      </c>
      <c r="Y71" s="2642">
        <f t="shared" si="220"/>
        <v>2.600449575028998</v>
      </c>
      <c r="Z71" s="1015">
        <f t="shared" ref="Z71" si="240">+Z56/Z$48*1000</f>
        <v>2.4425813531511369</v>
      </c>
      <c r="AA71" s="2643">
        <f t="shared" si="221"/>
        <v>2.6002801813640115</v>
      </c>
      <c r="AB71" s="1209">
        <f t="shared" si="222"/>
        <v>2.3490270571425436</v>
      </c>
      <c r="AC71" s="2640">
        <f>SUM(AC69:AC70)</f>
        <v>2.6013799999999998</v>
      </c>
      <c r="AD71" s="678">
        <f t="shared" si="206"/>
        <v>2.2315022149451402</v>
      </c>
      <c r="AE71" s="2641">
        <f t="shared" si="223"/>
        <v>2.6004726077768647</v>
      </c>
      <c r="AF71" s="835">
        <f t="shared" si="224"/>
        <v>2.327928921102643</v>
      </c>
      <c r="AG71" s="2640">
        <f>SUM(AG69:AG70)</f>
        <v>2.6013799999999998</v>
      </c>
      <c r="AH71" s="678">
        <f t="shared" si="207"/>
        <v>2.1255629438256181</v>
      </c>
      <c r="AI71" s="2641">
        <f t="shared" si="225"/>
        <v>2.600603106221453</v>
      </c>
      <c r="AJ71" s="835">
        <f t="shared" si="226"/>
        <v>2.2991962421806935</v>
      </c>
      <c r="AK71" s="2615">
        <f>SUM(AK69:AK70)</f>
        <v>2.6</v>
      </c>
      <c r="AL71" s="678">
        <f t="shared" si="208"/>
        <v>2.6785896828423361</v>
      </c>
      <c r="AM71" s="2642">
        <f t="shared" si="227"/>
        <v>2.6009159189069098</v>
      </c>
      <c r="AN71" s="1015">
        <f t="shared" ref="AN71:AN82" si="241">+AN56/AN$48*1000</f>
        <v>2.3539179160809005</v>
      </c>
      <c r="AO71" s="2641">
        <f t="shared" si="228"/>
        <v>2.6005248721247489</v>
      </c>
      <c r="AP71" s="835">
        <f t="shared" si="229"/>
        <v>2.3509444544530336</v>
      </c>
      <c r="AQ71" s="2615">
        <f>SUM(AQ69:AQ70)</f>
        <v>2.6</v>
      </c>
      <c r="AR71" s="678">
        <f t="shared" si="209"/>
        <v>2.284197992278842</v>
      </c>
      <c r="AS71" s="2641">
        <f t="shared" si="230"/>
        <v>2.6004651857617356</v>
      </c>
      <c r="AT71" s="835">
        <f t="shared" si="231"/>
        <v>2.3427718194367246</v>
      </c>
      <c r="AU71" s="2615">
        <f>SUM(AU69:AU70)</f>
        <v>2.6</v>
      </c>
      <c r="AV71" s="678">
        <f t="shared" si="210"/>
        <v>1.7516173057279685</v>
      </c>
      <c r="AW71" s="2641">
        <f t="shared" si="232"/>
        <v>2.6004223461558356</v>
      </c>
      <c r="AX71" s="835">
        <f t="shared" si="233"/>
        <v>2.2845942514552036</v>
      </c>
      <c r="AY71" s="2615">
        <f>SUM(AY69:AY70)</f>
        <v>2.6</v>
      </c>
      <c r="AZ71" s="678">
        <f t="shared" si="211"/>
        <v>2.350802236261988</v>
      </c>
      <c r="BA71" s="2642">
        <f t="shared" si="234"/>
        <v>2.6000038750212289</v>
      </c>
      <c r="BB71" s="1015">
        <f t="shared" ref="BB71:BB82" si="242">+BB56/BB$48*1000</f>
        <v>2.1424966945947936</v>
      </c>
      <c r="BC71" s="2643">
        <f t="shared" si="235"/>
        <v>2.6004662283903084</v>
      </c>
      <c r="BD71" s="1209">
        <f t="shared" si="236"/>
        <v>2.2468275940835043</v>
      </c>
      <c r="BE71" s="2641">
        <f t="shared" si="237"/>
        <v>2.6003829608350433</v>
      </c>
      <c r="BF71" s="835">
        <f t="shared" si="238"/>
        <v>2.2911325298246239</v>
      </c>
    </row>
    <row r="72" spans="1:58" ht="20.100000000000001" customHeight="1" x14ac:dyDescent="0.25">
      <c r="B72" s="2633" t="s">
        <v>87</v>
      </c>
      <c r="C72" s="2572" t="s">
        <v>302</v>
      </c>
      <c r="D72" s="2596">
        <v>16.3</v>
      </c>
      <c r="E72" s="2644">
        <v>16.3</v>
      </c>
      <c r="F72" s="496">
        <f t="shared" ref="F72:F82" si="243">+F57/F$48*1000</f>
        <v>14.53046179630155</v>
      </c>
      <c r="G72" s="2644">
        <v>16.3</v>
      </c>
      <c r="H72" s="496">
        <f t="shared" ref="H72:H82" si="244">+H57/H$48*1000</f>
        <v>15.816058613187966</v>
      </c>
      <c r="I72" s="2641">
        <f t="shared" ref="I72:I82" si="245">+I57/I$46*1000</f>
        <v>16.3</v>
      </c>
      <c r="J72" s="835">
        <f t="shared" ref="J72:J82" si="246">+J57/J$48*1000</f>
        <v>15.102214075775082</v>
      </c>
      <c r="K72" s="2644">
        <v>16.326409999999999</v>
      </c>
      <c r="L72" s="496">
        <f t="shared" ref="L72:L82" si="247">+L57/L$48*1000</f>
        <v>15.097104040409214</v>
      </c>
      <c r="M72" s="2642">
        <f t="shared" ref="M72:M82" si="248">+M57/M$46*1000</f>
        <v>16.314204328200091</v>
      </c>
      <c r="N72" s="1015">
        <f t="shared" ref="N72" si="249">+N57/N$48*1000</f>
        <v>15.099554404497091</v>
      </c>
      <c r="O72" s="2644">
        <v>16.326409999999999</v>
      </c>
      <c r="P72" s="496">
        <f t="shared" si="203"/>
        <v>16.552984060762743</v>
      </c>
      <c r="Q72" s="2641">
        <f t="shared" ref="Q72:Q82" si="250">+Q57/Q$46*1000</f>
        <v>16.318564494464407</v>
      </c>
      <c r="R72" s="835">
        <f t="shared" ref="R72" si="251">+R57/R$48*1000</f>
        <v>15.585065157185243</v>
      </c>
      <c r="S72" s="2644">
        <v>16.326409999999999</v>
      </c>
      <c r="T72" s="496">
        <f t="shared" si="204"/>
        <v>15.218863713018845</v>
      </c>
      <c r="U72" s="2641">
        <f t="shared" si="218"/>
        <v>16.3206260934152</v>
      </c>
      <c r="V72" s="835">
        <f t="shared" si="219"/>
        <v>15.487610172486495</v>
      </c>
      <c r="W72" s="2644">
        <v>16.326409999999999</v>
      </c>
      <c r="X72" s="496">
        <f t="shared" si="205"/>
        <v>13.919614879231718</v>
      </c>
      <c r="Y72" s="2642">
        <f t="shared" ref="Y72:Y82" si="252">+Y57/Y$46*1000</f>
        <v>16.326397110237689</v>
      </c>
      <c r="Z72" s="1015">
        <f t="shared" ref="Z72:Z82" si="253">+Z57/Z$48*1000</f>
        <v>15.207311764871667</v>
      </c>
      <c r="AA72" s="2643">
        <f t="shared" ref="AA72:AA82" si="254">+AA57/AA$46*1000</f>
        <v>16.321803038275259</v>
      </c>
      <c r="AB72" s="1209">
        <f t="shared" ref="AB72:AB82" si="255">+AB57/AB$48*1000</f>
        <v>15.16546744682765</v>
      </c>
      <c r="AC72" s="2644">
        <v>16.326409999999999</v>
      </c>
      <c r="AD72" s="496">
        <f t="shared" si="206"/>
        <v>16.572060303541182</v>
      </c>
      <c r="AE72" s="2641">
        <f t="shared" si="223"/>
        <v>16.322610923039431</v>
      </c>
      <c r="AF72" s="835">
        <f t="shared" si="224"/>
        <v>15.417979910480632</v>
      </c>
      <c r="AG72" s="2644">
        <v>16.326409999999999</v>
      </c>
      <c r="AH72" s="496">
        <f t="shared" si="207"/>
        <v>15.473013990654074</v>
      </c>
      <c r="AI72" s="2641">
        <f t="shared" si="225"/>
        <v>16.323156653984594</v>
      </c>
      <c r="AJ72" s="835">
        <f t="shared" si="226"/>
        <v>15.425793855179567</v>
      </c>
      <c r="AK72" s="2596">
        <v>16.3</v>
      </c>
      <c r="AL72" s="496">
        <f t="shared" si="208"/>
        <v>16.812719184346363</v>
      </c>
      <c r="AM72" s="2642">
        <f t="shared" si="227"/>
        <v>16.317515523964957</v>
      </c>
      <c r="AN72" s="1015">
        <f t="shared" si="241"/>
        <v>16.312041002364168</v>
      </c>
      <c r="AO72" s="2641">
        <f t="shared" si="228"/>
        <v>16.320152805172029</v>
      </c>
      <c r="AP72" s="835">
        <f t="shared" si="229"/>
        <v>15.614966620566454</v>
      </c>
      <c r="AQ72" s="2596">
        <v>16.3</v>
      </c>
      <c r="AR72" s="496">
        <f t="shared" si="209"/>
        <v>18.303360171193486</v>
      </c>
      <c r="AS72" s="2641">
        <f t="shared" si="230"/>
        <v>16.317842428434716</v>
      </c>
      <c r="AT72" s="835">
        <f t="shared" si="231"/>
        <v>15.944141509448714</v>
      </c>
      <c r="AU72" s="2596">
        <v>16.3</v>
      </c>
      <c r="AV72" s="496">
        <f t="shared" si="210"/>
        <v>18.188237018335602</v>
      </c>
      <c r="AW72" s="2641">
        <f t="shared" si="232"/>
        <v>16.316195766328416</v>
      </c>
      <c r="AX72" s="835">
        <f t="shared" si="233"/>
        <v>16.164990739214748</v>
      </c>
      <c r="AY72" s="2596">
        <v>16.3</v>
      </c>
      <c r="AZ72" s="496">
        <f t="shared" si="211"/>
        <v>17.681014499340939</v>
      </c>
      <c r="BA72" s="2642">
        <f t="shared" si="234"/>
        <v>16.30002429340232</v>
      </c>
      <c r="BB72" s="1015">
        <f t="shared" si="242"/>
        <v>18.053587383594369</v>
      </c>
      <c r="BC72" s="2643">
        <f t="shared" si="235"/>
        <v>16.308891333143443</v>
      </c>
      <c r="BD72" s="1209">
        <f t="shared" si="236"/>
        <v>17.194179329956782</v>
      </c>
      <c r="BE72" s="2641">
        <f t="shared" si="237"/>
        <v>16.314670120055734</v>
      </c>
      <c r="BF72" s="835">
        <f t="shared" si="238"/>
        <v>16.314703578040572</v>
      </c>
    </row>
    <row r="73" spans="1:58" ht="20.100000000000001" customHeight="1" x14ac:dyDescent="0.25">
      <c r="B73" s="2633" t="s">
        <v>88</v>
      </c>
      <c r="C73" s="2572" t="s">
        <v>302</v>
      </c>
      <c r="D73" s="3704">
        <v>3</v>
      </c>
      <c r="E73" s="2644">
        <v>3</v>
      </c>
      <c r="F73" s="496">
        <f t="shared" si="243"/>
        <v>2.1029613902297215</v>
      </c>
      <c r="G73" s="2644">
        <v>3</v>
      </c>
      <c r="H73" s="496">
        <f t="shared" si="244"/>
        <v>2.1254782326023354</v>
      </c>
      <c r="I73" s="2641">
        <f t="shared" si="245"/>
        <v>3</v>
      </c>
      <c r="J73" s="835">
        <f t="shared" si="246"/>
        <v>2.1129754597918011</v>
      </c>
      <c r="K73" s="2644">
        <v>3</v>
      </c>
      <c r="L73" s="496">
        <f t="shared" si="247"/>
        <v>2.2182036136739702</v>
      </c>
      <c r="M73" s="2642">
        <f t="shared" si="248"/>
        <v>3</v>
      </c>
      <c r="N73" s="1015">
        <f t="shared" ref="N73" si="256">+N58/N$48*1000</f>
        <v>2.1677446107815888</v>
      </c>
      <c r="O73" s="2644">
        <v>3</v>
      </c>
      <c r="P73" s="496">
        <f t="shared" si="203"/>
        <v>2.2485267365775976</v>
      </c>
      <c r="Q73" s="2641">
        <f t="shared" si="250"/>
        <v>2.9999996497376937</v>
      </c>
      <c r="R73" s="835">
        <f t="shared" ref="R73" si="257">+R58/R$48*1000</f>
        <v>2.1947294672759439</v>
      </c>
      <c r="S73" s="2644">
        <v>3</v>
      </c>
      <c r="T73" s="496">
        <f t="shared" si="204"/>
        <v>2.316126942167926</v>
      </c>
      <c r="U73" s="2641">
        <f t="shared" si="218"/>
        <v>2.9999987745606069</v>
      </c>
      <c r="V73" s="835">
        <f t="shared" si="219"/>
        <v>2.2270362460899804</v>
      </c>
      <c r="W73" s="2644">
        <v>3.03</v>
      </c>
      <c r="X73" s="496">
        <f t="shared" si="205"/>
        <v>2.4896052680450644</v>
      </c>
      <c r="Y73" s="2642">
        <f t="shared" si="252"/>
        <v>3.0098156258106359</v>
      </c>
      <c r="Z73" s="1015">
        <f t="shared" si="253"/>
        <v>2.3528676929175885</v>
      </c>
      <c r="AA73" s="2643">
        <f t="shared" si="254"/>
        <v>3.006117233500226</v>
      </c>
      <c r="AB73" s="1209">
        <f t="shared" si="255"/>
        <v>2.2809807322565248</v>
      </c>
      <c r="AC73" s="2644">
        <v>3.03</v>
      </c>
      <c r="AD73" s="496">
        <f t="shared" si="206"/>
        <v>2.295102583443025</v>
      </c>
      <c r="AE73" s="2641">
        <f t="shared" si="223"/>
        <v>3.0102776752392804</v>
      </c>
      <c r="AF73" s="835">
        <f t="shared" si="224"/>
        <v>2.283515896158022</v>
      </c>
      <c r="AG73" s="2644">
        <v>3.03</v>
      </c>
      <c r="AH73" s="496">
        <f t="shared" si="207"/>
        <v>2.6079267110989615</v>
      </c>
      <c r="AI73" s="2641">
        <f t="shared" si="225"/>
        <v>3.0131203921596907</v>
      </c>
      <c r="AJ73" s="835">
        <f t="shared" si="226"/>
        <v>2.3295769579527428</v>
      </c>
      <c r="AK73" s="3704">
        <v>3</v>
      </c>
      <c r="AL73" s="496">
        <f t="shared" si="208"/>
        <v>2.0813989437661844</v>
      </c>
      <c r="AM73" s="2642">
        <f t="shared" si="227"/>
        <v>3.0198904208084403</v>
      </c>
      <c r="AN73" s="1015">
        <f t="shared" si="241"/>
        <v>2.3185930906008321</v>
      </c>
      <c r="AO73" s="2641">
        <f t="shared" si="228"/>
        <v>3.0114184332136547</v>
      </c>
      <c r="AP73" s="835">
        <f t="shared" si="229"/>
        <v>2.2957261656537069</v>
      </c>
      <c r="AQ73" s="3704">
        <v>3</v>
      </c>
      <c r="AR73" s="496">
        <f t="shared" si="209"/>
        <v>2.4362372424068233</v>
      </c>
      <c r="AS73" s="2641">
        <f t="shared" si="230"/>
        <v>3.0101079960296739</v>
      </c>
      <c r="AT73" s="835">
        <f t="shared" si="231"/>
        <v>2.3129307591054902</v>
      </c>
      <c r="AU73" s="3704">
        <v>3</v>
      </c>
      <c r="AV73" s="496">
        <f t="shared" si="210"/>
        <v>2.292507337035623</v>
      </c>
      <c r="AW73" s="2641">
        <f t="shared" si="232"/>
        <v>3.0091748742806224</v>
      </c>
      <c r="AX73" s="835">
        <f t="shared" si="233"/>
        <v>2.3109208192364186</v>
      </c>
      <c r="AY73" s="3704">
        <v>3</v>
      </c>
      <c r="AZ73" s="496">
        <f t="shared" si="211"/>
        <v>2.5089768646879689</v>
      </c>
      <c r="BA73" s="2642">
        <f t="shared" si="234"/>
        <v>3.0000044711783413</v>
      </c>
      <c r="BB73" s="1015">
        <f t="shared" si="242"/>
        <v>2.4168436450613724</v>
      </c>
      <c r="BC73" s="2643">
        <f t="shared" si="235"/>
        <v>3.0100854946391316</v>
      </c>
      <c r="BD73" s="1209">
        <f t="shared" si="236"/>
        <v>2.3683595399650144</v>
      </c>
      <c r="BE73" s="2641">
        <f t="shared" si="237"/>
        <v>3.0083094522574383</v>
      </c>
      <c r="BF73" s="835">
        <f t="shared" si="238"/>
        <v>2.3304795712764919</v>
      </c>
    </row>
    <row r="74" spans="1:58" ht="20.100000000000001" hidden="1" customHeight="1" x14ac:dyDescent="0.25">
      <c r="B74" s="2633"/>
      <c r="C74" s="2572" t="s">
        <v>302</v>
      </c>
      <c r="D74" s="2596"/>
      <c r="E74" s="2644"/>
      <c r="F74" s="496">
        <f t="shared" si="243"/>
        <v>0</v>
      </c>
      <c r="G74" s="2644"/>
      <c r="H74" s="496">
        <f t="shared" si="244"/>
        <v>0</v>
      </c>
      <c r="I74" s="2641">
        <f t="shared" si="245"/>
        <v>0</v>
      </c>
      <c r="J74" s="835">
        <f t="shared" si="246"/>
        <v>0</v>
      </c>
      <c r="K74" s="2644"/>
      <c r="L74" s="496">
        <f t="shared" si="247"/>
        <v>0</v>
      </c>
      <c r="M74" s="2642">
        <f t="shared" si="248"/>
        <v>0</v>
      </c>
      <c r="N74" s="1015">
        <f t="shared" ref="N74" si="258">+N59/N$48*1000</f>
        <v>0</v>
      </c>
      <c r="O74" s="2644"/>
      <c r="P74" s="496">
        <f t="shared" si="203"/>
        <v>0</v>
      </c>
      <c r="Q74" s="2641">
        <f t="shared" si="250"/>
        <v>0</v>
      </c>
      <c r="R74" s="835">
        <f t="shared" ref="R74" si="259">+R59/R$48*1000</f>
        <v>0</v>
      </c>
      <c r="S74" s="2644"/>
      <c r="T74" s="496">
        <f t="shared" si="204"/>
        <v>0</v>
      </c>
      <c r="U74" s="2641">
        <f t="shared" si="218"/>
        <v>0</v>
      </c>
      <c r="V74" s="835">
        <f t="shared" si="219"/>
        <v>0</v>
      </c>
      <c r="W74" s="2644"/>
      <c r="X74" s="496">
        <f t="shared" si="205"/>
        <v>0</v>
      </c>
      <c r="Y74" s="2642">
        <f t="shared" si="252"/>
        <v>0</v>
      </c>
      <c r="Z74" s="1015">
        <f t="shared" si="253"/>
        <v>0</v>
      </c>
      <c r="AA74" s="2643">
        <f t="shared" si="254"/>
        <v>0</v>
      </c>
      <c r="AB74" s="1209">
        <f t="shared" si="255"/>
        <v>0</v>
      </c>
      <c r="AC74" s="2644"/>
      <c r="AD74" s="496">
        <f t="shared" si="206"/>
        <v>0</v>
      </c>
      <c r="AE74" s="2641">
        <f t="shared" si="223"/>
        <v>0</v>
      </c>
      <c r="AF74" s="835">
        <f t="shared" si="224"/>
        <v>0</v>
      </c>
      <c r="AG74" s="2644"/>
      <c r="AH74" s="496">
        <f t="shared" si="207"/>
        <v>0</v>
      </c>
      <c r="AI74" s="2641">
        <f t="shared" si="225"/>
        <v>0</v>
      </c>
      <c r="AJ74" s="835">
        <f t="shared" si="226"/>
        <v>0</v>
      </c>
      <c r="AK74" s="2596"/>
      <c r="AL74" s="496">
        <f t="shared" si="208"/>
        <v>0</v>
      </c>
      <c r="AM74" s="2642">
        <f t="shared" si="227"/>
        <v>0</v>
      </c>
      <c r="AN74" s="1015">
        <f t="shared" si="241"/>
        <v>0</v>
      </c>
      <c r="AO74" s="2641">
        <f t="shared" si="228"/>
        <v>0</v>
      </c>
      <c r="AP74" s="835">
        <f t="shared" si="229"/>
        <v>0</v>
      </c>
      <c r="AQ74" s="2596"/>
      <c r="AR74" s="496">
        <f>+AR59/AR$48*1000</f>
        <v>0</v>
      </c>
      <c r="AS74" s="2641">
        <f t="shared" si="230"/>
        <v>0</v>
      </c>
      <c r="AT74" s="835">
        <f t="shared" si="231"/>
        <v>0</v>
      </c>
      <c r="AU74" s="2596"/>
      <c r="AV74" s="496">
        <f>+AV59/AV$48*1000</f>
        <v>0</v>
      </c>
      <c r="AW74" s="2641">
        <f t="shared" si="232"/>
        <v>0</v>
      </c>
      <c r="AX74" s="835">
        <f t="shared" si="233"/>
        <v>0</v>
      </c>
      <c r="AY74" s="2596"/>
      <c r="AZ74" s="496">
        <f>+AZ59/AZ$48*1000</f>
        <v>0</v>
      </c>
      <c r="BA74" s="2642">
        <f t="shared" si="234"/>
        <v>0</v>
      </c>
      <c r="BB74" s="1015">
        <f t="shared" si="242"/>
        <v>0</v>
      </c>
      <c r="BC74" s="2643">
        <f t="shared" si="235"/>
        <v>0</v>
      </c>
      <c r="BD74" s="1209">
        <f t="shared" si="236"/>
        <v>0</v>
      </c>
      <c r="BE74" s="2641">
        <f t="shared" si="237"/>
        <v>0</v>
      </c>
      <c r="BF74" s="835">
        <f t="shared" si="238"/>
        <v>0</v>
      </c>
    </row>
    <row r="75" spans="1:58" ht="20.100000000000001" customHeight="1" x14ac:dyDescent="0.25">
      <c r="B75" s="597" t="s">
        <v>89</v>
      </c>
      <c r="C75" s="2572" t="s">
        <v>302</v>
      </c>
      <c r="D75" s="2596">
        <v>2.1</v>
      </c>
      <c r="E75" s="2644">
        <v>2.1</v>
      </c>
      <c r="F75" s="496">
        <f t="shared" si="243"/>
        <v>1.4320165657278578</v>
      </c>
      <c r="G75" s="2644">
        <v>2.1</v>
      </c>
      <c r="H75" s="496">
        <f t="shared" si="244"/>
        <v>1.7879022780125526</v>
      </c>
      <c r="I75" s="2641">
        <f t="shared" si="245"/>
        <v>2.1</v>
      </c>
      <c r="J75" s="835">
        <f t="shared" si="246"/>
        <v>1.5902920565801448</v>
      </c>
      <c r="K75" s="2644">
        <v>2.1151599999999999</v>
      </c>
      <c r="L75" s="496">
        <f t="shared" si="247"/>
        <v>1.5138087017105271</v>
      </c>
      <c r="M75" s="2642">
        <f t="shared" si="248"/>
        <v>2.1081536393605984</v>
      </c>
      <c r="N75" s="1015">
        <f t="shared" ref="N75" si="260">+N60/N$48*1000</f>
        <v>1.5504839989784671</v>
      </c>
      <c r="O75" s="2644">
        <v>2.1151599999999999</v>
      </c>
      <c r="P75" s="496">
        <f t="shared" si="203"/>
        <v>1.5734371489999266</v>
      </c>
      <c r="Q75" s="2641">
        <f t="shared" si="250"/>
        <v>2.110657330997872</v>
      </c>
      <c r="R75" s="835">
        <f t="shared" ref="R75" si="261">+R60/R$48*1000</f>
        <v>1.5581513815005186</v>
      </c>
      <c r="S75" s="2644">
        <v>2.1151599999999999</v>
      </c>
      <c r="T75" s="496">
        <f t="shared" si="204"/>
        <v>1.5914191463098857</v>
      </c>
      <c r="U75" s="2641">
        <f t="shared" si="218"/>
        <v>2.1118428572549126</v>
      </c>
      <c r="V75" s="835">
        <f t="shared" si="219"/>
        <v>1.5670047313769466</v>
      </c>
      <c r="W75" s="2644">
        <v>2.1151599999999999</v>
      </c>
      <c r="X75" s="496">
        <f t="shared" si="205"/>
        <v>1.852084890701541</v>
      </c>
      <c r="Y75" s="2642">
        <f t="shared" si="252"/>
        <v>2.1151583300731978</v>
      </c>
      <c r="Z75" s="1015">
        <f t="shared" si="253"/>
        <v>1.6732443988841987</v>
      </c>
      <c r="AA75" s="2643">
        <f t="shared" si="254"/>
        <v>2.1125190593055403</v>
      </c>
      <c r="AB75" s="1209">
        <f t="shared" si="255"/>
        <v>1.6255741033330655</v>
      </c>
      <c r="AC75" s="2644">
        <v>2.1151599999999999</v>
      </c>
      <c r="AD75" s="496">
        <f t="shared" si="206"/>
        <v>1.4030884865790862</v>
      </c>
      <c r="AE75" s="2641">
        <f t="shared" si="223"/>
        <v>2.1129797220494404</v>
      </c>
      <c r="AF75" s="835">
        <f t="shared" si="224"/>
        <v>1.5856333408403824</v>
      </c>
      <c r="AG75" s="2644">
        <v>2.1151599999999999</v>
      </c>
      <c r="AH75" s="496">
        <f t="shared" si="207"/>
        <v>1.6119861954430588</v>
      </c>
      <c r="AI75" s="2641">
        <f t="shared" si="225"/>
        <v>2.1132937708433985</v>
      </c>
      <c r="AJ75" s="835">
        <f t="shared" si="226"/>
        <v>1.5893750177772075</v>
      </c>
      <c r="AK75" s="2596">
        <v>2.1</v>
      </c>
      <c r="AL75" s="496">
        <f t="shared" si="208"/>
        <v>1.4214431811086139</v>
      </c>
      <c r="AM75" s="2642">
        <f t="shared" si="227"/>
        <v>2.1100515202590269</v>
      </c>
      <c r="AN75" s="1015">
        <f t="shared" si="241"/>
        <v>1.4748114637928424</v>
      </c>
      <c r="AO75" s="2641">
        <f t="shared" si="228"/>
        <v>2.1115693214566651</v>
      </c>
      <c r="AP75" s="835">
        <f t="shared" si="229"/>
        <v>1.5664695813625582</v>
      </c>
      <c r="AQ75" s="2596">
        <v>2.1</v>
      </c>
      <c r="AR75" s="496">
        <f t="shared" si="209"/>
        <v>1.4211383914039803</v>
      </c>
      <c r="AS75" s="2641">
        <f t="shared" si="230"/>
        <v>2.110241357434492</v>
      </c>
      <c r="AT75" s="835">
        <f t="shared" si="231"/>
        <v>1.5486747989377219</v>
      </c>
      <c r="AU75" s="2596">
        <v>2.1</v>
      </c>
      <c r="AV75" s="496">
        <f t="shared" si="210"/>
        <v>1.5382572409831079</v>
      </c>
      <c r="AW75" s="2641">
        <f t="shared" si="232"/>
        <v>2.1092958846652503</v>
      </c>
      <c r="AX75" s="835">
        <f t="shared" si="233"/>
        <v>1.5476495708931899</v>
      </c>
      <c r="AY75" s="2596">
        <v>2.1</v>
      </c>
      <c r="AZ75" s="496">
        <f t="shared" si="211"/>
        <v>1.5999272760329075</v>
      </c>
      <c r="BA75" s="2642">
        <f t="shared" si="234"/>
        <v>2.1000031298248389</v>
      </c>
      <c r="BB75" s="1015">
        <f t="shared" si="242"/>
        <v>1.5188728191642653</v>
      </c>
      <c r="BC75" s="2643">
        <f t="shared" si="235"/>
        <v>2.105097081162064</v>
      </c>
      <c r="BD75" s="1209">
        <f t="shared" si="236"/>
        <v>1.4971296809576102</v>
      </c>
      <c r="BE75" s="2641">
        <f t="shared" si="237"/>
        <v>2.1084188755897491</v>
      </c>
      <c r="BF75" s="835">
        <f t="shared" si="238"/>
        <v>1.5528121836764583</v>
      </c>
    </row>
    <row r="76" spans="1:58" ht="20.100000000000001" customHeight="1" x14ac:dyDescent="0.25">
      <c r="B76" s="2633" t="s">
        <v>1117</v>
      </c>
      <c r="C76" s="2572" t="s">
        <v>302</v>
      </c>
      <c r="D76" s="3697">
        <v>0.48</v>
      </c>
      <c r="E76" s="3696">
        <v>0.48</v>
      </c>
      <c r="F76" s="498">
        <f t="shared" si="243"/>
        <v>0.97136788024896648</v>
      </c>
      <c r="G76" s="3696">
        <v>0.48</v>
      </c>
      <c r="H76" s="498">
        <f t="shared" si="244"/>
        <v>0.53987147108099331</v>
      </c>
      <c r="I76" s="3698">
        <f t="shared" si="245"/>
        <v>0.48000000000000004</v>
      </c>
      <c r="J76" s="3699">
        <f t="shared" si="246"/>
        <v>0.77946552619372278</v>
      </c>
      <c r="K76" s="3696">
        <v>0.48</v>
      </c>
      <c r="L76" s="498">
        <f t="shared" si="247"/>
        <v>0.7843629452416202</v>
      </c>
      <c r="M76" s="3700">
        <f t="shared" si="248"/>
        <v>0.48</v>
      </c>
      <c r="N76" s="3701">
        <f t="shared" ref="N76" si="262">+N61/N$48*1000</f>
        <v>0.78201453492759165</v>
      </c>
      <c r="O76" s="3696">
        <v>0.48</v>
      </c>
      <c r="P76" s="498">
        <f t="shared" si="203"/>
        <v>0.76402068049243066</v>
      </c>
      <c r="Q76" s="3698">
        <f t="shared" si="250"/>
        <v>0.47999994395803097</v>
      </c>
      <c r="R76" s="3699">
        <f t="shared" ref="R76" si="263">+R61/R$48*1000</f>
        <v>0.77600377976450885</v>
      </c>
      <c r="S76" s="3696">
        <v>0.48</v>
      </c>
      <c r="T76" s="498">
        <f t="shared" si="204"/>
        <v>0.43262117408147194</v>
      </c>
      <c r="U76" s="3698">
        <f t="shared" si="218"/>
        <v>0.4799998039296971</v>
      </c>
      <c r="V76" s="3699">
        <f t="shared" si="219"/>
        <v>0.68462143511310303</v>
      </c>
      <c r="W76" s="3696">
        <v>0.48</v>
      </c>
      <c r="X76" s="498">
        <f t="shared" si="205"/>
        <v>0.54761236523436585</v>
      </c>
      <c r="Y76" s="3700">
        <f t="shared" si="252"/>
        <v>0.47999962103818855</v>
      </c>
      <c r="Z76" s="3701">
        <f t="shared" si="253"/>
        <v>0.57677419977319366</v>
      </c>
      <c r="AA76" s="3702">
        <f t="shared" si="254"/>
        <v>0.47999976382576787</v>
      </c>
      <c r="AB76" s="3703">
        <f t="shared" si="255"/>
        <v>0.65647308836704688</v>
      </c>
      <c r="AC76" s="3696">
        <v>0.48</v>
      </c>
      <c r="AD76" s="498">
        <f t="shared" si="206"/>
        <v>0.56861758026085341</v>
      </c>
      <c r="AE76" s="3698">
        <f t="shared" si="223"/>
        <v>0.47999996777563425</v>
      </c>
      <c r="AF76" s="3699">
        <f t="shared" si="224"/>
        <v>0.64070121046258133</v>
      </c>
      <c r="AG76" s="3696">
        <v>0.48</v>
      </c>
      <c r="AH76" s="498">
        <f t="shared" si="207"/>
        <v>0.60090122349238873</v>
      </c>
      <c r="AI76" s="3698">
        <f t="shared" si="225"/>
        <v>0.4799999158112962</v>
      </c>
      <c r="AJ76" s="3699">
        <f t="shared" si="226"/>
        <v>0.63505025933878212</v>
      </c>
      <c r="AK76" s="3697">
        <v>0.48</v>
      </c>
      <c r="AL76" s="498">
        <f t="shared" si="208"/>
        <v>0.66364782286824242</v>
      </c>
      <c r="AM76" s="3700">
        <f t="shared" si="227"/>
        <v>0.48000018707711872</v>
      </c>
      <c r="AN76" s="3701">
        <f t="shared" si="241"/>
        <v>0.6117778070982155</v>
      </c>
      <c r="AO76" s="3698">
        <f t="shared" si="228"/>
        <v>0.47999992673213726</v>
      </c>
      <c r="AP76" s="3699">
        <f t="shared" si="229"/>
        <v>0.63895088762959651</v>
      </c>
      <c r="AQ76" s="3697">
        <v>0.48</v>
      </c>
      <c r="AR76" s="498">
        <f t="shared" si="209"/>
        <v>0.52496401023418138</v>
      </c>
      <c r="AS76" s="3698">
        <f t="shared" si="230"/>
        <v>0.48000004249118516</v>
      </c>
      <c r="AT76" s="3699">
        <f t="shared" si="231"/>
        <v>0.62499399590445448</v>
      </c>
      <c r="AU76" s="3697">
        <v>0.48</v>
      </c>
      <c r="AV76" s="498">
        <f t="shared" si="210"/>
        <v>0.42449341154646369</v>
      </c>
      <c r="AW76" s="3698">
        <f t="shared" si="232"/>
        <v>0.48000005886705316</v>
      </c>
      <c r="AX76" s="3699">
        <f t="shared" si="233"/>
        <v>0.60526203732793848</v>
      </c>
      <c r="AY76" s="3697">
        <v>0.48</v>
      </c>
      <c r="AZ76" s="498">
        <f t="shared" si="211"/>
        <v>0.63595745647925095</v>
      </c>
      <c r="BA76" s="3700">
        <f t="shared" si="234"/>
        <v>0.48000071538853456</v>
      </c>
      <c r="BB76" s="3701">
        <f t="shared" si="242"/>
        <v>0.53210762703763193</v>
      </c>
      <c r="BC76" s="3702">
        <f t="shared" si="235"/>
        <v>0.4800004475652786</v>
      </c>
      <c r="BD76" s="3703">
        <f t="shared" si="236"/>
        <v>0.5714227983800434</v>
      </c>
      <c r="BE76" s="3698">
        <f t="shared" si="237"/>
        <v>0.48000014154954362</v>
      </c>
      <c r="BF76" s="3699">
        <f t="shared" si="238"/>
        <v>0.60829332117780954</v>
      </c>
    </row>
    <row r="77" spans="1:58" ht="20.100000000000001" customHeight="1" x14ac:dyDescent="0.25">
      <c r="B77" s="597" t="s">
        <v>144</v>
      </c>
      <c r="C77" s="2572" t="s">
        <v>302</v>
      </c>
      <c r="D77" s="2596">
        <v>20</v>
      </c>
      <c r="E77" s="2644">
        <v>20</v>
      </c>
      <c r="F77" s="496">
        <f t="shared" si="243"/>
        <v>25.586030247794945</v>
      </c>
      <c r="G77" s="2644">
        <v>20</v>
      </c>
      <c r="H77" s="496">
        <f t="shared" si="244"/>
        <v>29.994248705958842</v>
      </c>
      <c r="I77" s="2641">
        <f t="shared" si="245"/>
        <v>20</v>
      </c>
      <c r="J77" s="835">
        <f t="shared" si="246"/>
        <v>27.54652744160153</v>
      </c>
      <c r="K77" s="2644">
        <v>20</v>
      </c>
      <c r="L77" s="497">
        <f t="shared" si="247"/>
        <v>25.614360435034296</v>
      </c>
      <c r="M77" s="3534">
        <f t="shared" si="248"/>
        <v>20</v>
      </c>
      <c r="N77" s="3528">
        <f t="shared" ref="N77" si="264">+N62/N$48*1000</f>
        <v>26.540873131266832</v>
      </c>
      <c r="O77" s="2085">
        <v>20</v>
      </c>
      <c r="P77" s="497">
        <f t="shared" si="203"/>
        <v>22.708525339620561</v>
      </c>
      <c r="Q77" s="3522">
        <f t="shared" si="250"/>
        <v>19.999997664917959</v>
      </c>
      <c r="R77" s="3526">
        <f t="shared" ref="R77" si="265">+R62/R$48*1000</f>
        <v>25.260696926753702</v>
      </c>
      <c r="S77" s="2085">
        <v>20</v>
      </c>
      <c r="T77" s="497">
        <f t="shared" si="204"/>
        <v>20.556238696027386</v>
      </c>
      <c r="U77" s="2641">
        <f t="shared" si="218"/>
        <v>19.999991830404049</v>
      </c>
      <c r="V77" s="835">
        <f t="shared" si="219"/>
        <v>24.008727792838972</v>
      </c>
      <c r="W77" s="2085">
        <v>20</v>
      </c>
      <c r="X77" s="497">
        <f t="shared" si="205"/>
        <v>20.448529099378238</v>
      </c>
      <c r="Y77" s="2642">
        <f t="shared" si="252"/>
        <v>19.999984209924524</v>
      </c>
      <c r="Z77" s="1015">
        <f t="shared" si="253"/>
        <v>21.205431671241072</v>
      </c>
      <c r="AA77" s="2643">
        <f t="shared" si="254"/>
        <v>19.999990159407002</v>
      </c>
      <c r="AB77" s="1209">
        <f t="shared" si="255"/>
        <v>23.277289301963258</v>
      </c>
      <c r="AC77" s="2085">
        <v>20</v>
      </c>
      <c r="AD77" s="497">
        <f t="shared" si="206"/>
        <v>21.753786754819764</v>
      </c>
      <c r="AE77" s="2641">
        <f t="shared" si="223"/>
        <v>19.999998657318098</v>
      </c>
      <c r="AF77" s="835">
        <f t="shared" si="224"/>
        <v>23.003789134715401</v>
      </c>
      <c r="AG77" s="2085">
        <v>20</v>
      </c>
      <c r="AH77" s="497">
        <f t="shared" si="207"/>
        <v>21.212506240671079</v>
      </c>
      <c r="AI77" s="2641">
        <f t="shared" si="225"/>
        <v>19.999996492137349</v>
      </c>
      <c r="AJ77" s="835">
        <f t="shared" si="226"/>
        <v>22.749456084538195</v>
      </c>
      <c r="AK77" s="2596">
        <v>20</v>
      </c>
      <c r="AL77" s="497">
        <f t="shared" si="208"/>
        <v>23.68456625145911</v>
      </c>
      <c r="AM77" s="2642">
        <f t="shared" si="227"/>
        <v>20.000007794879949</v>
      </c>
      <c r="AN77" s="1015">
        <f t="shared" si="241"/>
        <v>22.256245726328348</v>
      </c>
      <c r="AO77" s="2641">
        <f t="shared" si="228"/>
        <v>19.999996947172388</v>
      </c>
      <c r="AP77" s="835">
        <f t="shared" si="229"/>
        <v>22.877002515840374</v>
      </c>
      <c r="AQ77" s="2596">
        <v>20</v>
      </c>
      <c r="AR77" s="497">
        <f t="shared" si="209"/>
        <v>17.595046750715948</v>
      </c>
      <c r="AS77" s="2641">
        <f t="shared" si="230"/>
        <v>20.000001770466053</v>
      </c>
      <c r="AT77" s="835">
        <f t="shared" si="231"/>
        <v>22.230264168450603</v>
      </c>
      <c r="AU77" s="2596">
        <v>20</v>
      </c>
      <c r="AV77" s="497">
        <f t="shared" si="210"/>
        <v>19.989854263334902</v>
      </c>
      <c r="AW77" s="2641">
        <f t="shared" si="232"/>
        <v>20.000002452793886</v>
      </c>
      <c r="AX77" s="835">
        <f t="shared" si="233"/>
        <v>22.009777651746859</v>
      </c>
      <c r="AY77" s="2596">
        <v>20</v>
      </c>
      <c r="AZ77" s="497">
        <f t="shared" si="211"/>
        <v>22.878505522476249</v>
      </c>
      <c r="BA77" s="2642">
        <f t="shared" si="234"/>
        <v>20.000029807855611</v>
      </c>
      <c r="BB77" s="1015">
        <f t="shared" si="242"/>
        <v>20.153660259642841</v>
      </c>
      <c r="BC77" s="2643">
        <f t="shared" si="235"/>
        <v>20.000018648553279</v>
      </c>
      <c r="BD77" s="1209">
        <f t="shared" si="236"/>
        <v>21.191231755300883</v>
      </c>
      <c r="BE77" s="2641">
        <f t="shared" si="237"/>
        <v>20.000005897897655</v>
      </c>
      <c r="BF77" s="835">
        <f t="shared" si="238"/>
        <v>22.095567676359124</v>
      </c>
    </row>
    <row r="78" spans="1:58" ht="20.100000000000001" customHeight="1" x14ac:dyDescent="0.25">
      <c r="B78" s="597" t="s">
        <v>600</v>
      </c>
      <c r="C78" s="2572" t="s">
        <v>302</v>
      </c>
      <c r="D78" s="2596">
        <v>0</v>
      </c>
      <c r="E78" s="2644">
        <v>0</v>
      </c>
      <c r="F78" s="496">
        <f t="shared" si="243"/>
        <v>0.96135377839072977</v>
      </c>
      <c r="G78" s="2644">
        <v>0</v>
      </c>
      <c r="H78" s="496">
        <f t="shared" si="244"/>
        <v>1.1252531819659424</v>
      </c>
      <c r="I78" s="2641">
        <f t="shared" si="245"/>
        <v>0</v>
      </c>
      <c r="J78" s="835">
        <f t="shared" si="246"/>
        <v>1.0342458829507237</v>
      </c>
      <c r="K78" s="2644">
        <v>0</v>
      </c>
      <c r="L78" s="496">
        <f t="shared" si="247"/>
        <v>1.1936291962725982</v>
      </c>
      <c r="M78" s="2642">
        <f t="shared" si="248"/>
        <v>0</v>
      </c>
      <c r="N78" s="1015">
        <f t="shared" ref="N78" si="266">+N63/N$48*1000</f>
        <v>1.1172017120756281</v>
      </c>
      <c r="O78" s="2644">
        <v>0</v>
      </c>
      <c r="P78" s="496">
        <f t="shared" si="203"/>
        <v>1.323600844935749</v>
      </c>
      <c r="Q78" s="2641">
        <f t="shared" si="250"/>
        <v>0</v>
      </c>
      <c r="R78" s="835">
        <f t="shared" ref="R78" si="267">+R63/R$48*1000</f>
        <v>1.1861482881394261</v>
      </c>
      <c r="S78" s="2644">
        <v>0</v>
      </c>
      <c r="T78" s="496">
        <f t="shared" si="204"/>
        <v>1.4151388716417137</v>
      </c>
      <c r="U78" s="2641">
        <f t="shared" si="218"/>
        <v>0</v>
      </c>
      <c r="V78" s="835">
        <f t="shared" si="219"/>
        <v>1.2470881729128798</v>
      </c>
      <c r="W78" s="2644">
        <v>0</v>
      </c>
      <c r="X78" s="496">
        <f t="shared" si="205"/>
        <v>1.3304773092386579</v>
      </c>
      <c r="Y78" s="2642">
        <f t="shared" si="252"/>
        <v>0</v>
      </c>
      <c r="Z78" s="1015">
        <f t="shared" si="253"/>
        <v>1.3575538774963354</v>
      </c>
      <c r="AA78" s="2643">
        <f t="shared" si="254"/>
        <v>0</v>
      </c>
      <c r="AB78" s="1209">
        <f t="shared" si="255"/>
        <v>1.2642203695348238</v>
      </c>
      <c r="AC78" s="2644">
        <v>0</v>
      </c>
      <c r="AD78" s="496">
        <f t="shared" si="206"/>
        <v>1.211435590435906</v>
      </c>
      <c r="AE78" s="2641">
        <f t="shared" si="223"/>
        <v>0</v>
      </c>
      <c r="AF78" s="835">
        <f t="shared" si="224"/>
        <v>1.2547444116909965</v>
      </c>
      <c r="AG78" s="2644">
        <v>0</v>
      </c>
      <c r="AH78" s="496">
        <f t="shared" si="207"/>
        <v>1.5914513394501535</v>
      </c>
      <c r="AI78" s="2641">
        <f t="shared" si="225"/>
        <v>0</v>
      </c>
      <c r="AJ78" s="835">
        <f t="shared" si="226"/>
        <v>1.3025513216087456</v>
      </c>
      <c r="AK78" s="2596">
        <v>0</v>
      </c>
      <c r="AL78" s="496">
        <f t="shared" si="208"/>
        <v>1.4352884068986327</v>
      </c>
      <c r="AM78" s="2642">
        <f t="shared" si="227"/>
        <v>0</v>
      </c>
      <c r="AN78" s="1015">
        <f t="shared" si="241"/>
        <v>1.4081759975463504</v>
      </c>
      <c r="AO78" s="2641">
        <f t="shared" si="228"/>
        <v>0</v>
      </c>
      <c r="AP78" s="835">
        <f t="shared" si="229"/>
        <v>1.320656291620915</v>
      </c>
      <c r="AQ78" s="2596">
        <v>0</v>
      </c>
      <c r="AR78" s="496">
        <f t="shared" si="209"/>
        <v>1.3173727310792451</v>
      </c>
      <c r="AS78" s="2641">
        <f t="shared" si="230"/>
        <v>0</v>
      </c>
      <c r="AT78" s="835">
        <f t="shared" si="231"/>
        <v>1.3202542427184432</v>
      </c>
      <c r="AU78" s="2596">
        <v>0</v>
      </c>
      <c r="AV78" s="496">
        <f t="shared" si="210"/>
        <v>1.4777309987072891</v>
      </c>
      <c r="AW78" s="2641">
        <f t="shared" si="232"/>
        <v>0</v>
      </c>
      <c r="AX78" s="835">
        <f t="shared" si="233"/>
        <v>1.3357520769810507</v>
      </c>
      <c r="AY78" s="2596">
        <v>0</v>
      </c>
      <c r="AZ78" s="496">
        <f t="shared" si="211"/>
        <v>1.054497522839871</v>
      </c>
      <c r="BA78" s="2642">
        <f t="shared" si="234"/>
        <v>0</v>
      </c>
      <c r="BB78" s="1015">
        <f t="shared" si="242"/>
        <v>1.2764688766149384</v>
      </c>
      <c r="BC78" s="2643">
        <f t="shared" si="235"/>
        <v>0</v>
      </c>
      <c r="BD78" s="1209">
        <f t="shared" si="236"/>
        <v>1.3414629311344162</v>
      </c>
      <c r="BE78" s="2641">
        <f t="shared" si="237"/>
        <v>0</v>
      </c>
      <c r="BF78" s="835">
        <f t="shared" si="238"/>
        <v>1.3079771707819139</v>
      </c>
    </row>
    <row r="79" spans="1:58" ht="20.100000000000001" customHeight="1" x14ac:dyDescent="0.25">
      <c r="A79">
        <f>5021-2500</f>
        <v>2521</v>
      </c>
      <c r="B79" s="597" t="s">
        <v>145</v>
      </c>
      <c r="C79" s="2572" t="s">
        <v>302</v>
      </c>
      <c r="D79" s="2596">
        <v>10</v>
      </c>
      <c r="E79" s="2644">
        <v>10</v>
      </c>
      <c r="F79" s="496">
        <f t="shared" si="243"/>
        <v>0</v>
      </c>
      <c r="G79" s="2644">
        <v>10</v>
      </c>
      <c r="H79" s="496">
        <f t="shared" si="244"/>
        <v>0</v>
      </c>
      <c r="I79" s="2641">
        <f t="shared" si="245"/>
        <v>10</v>
      </c>
      <c r="J79" s="835">
        <f t="shared" si="246"/>
        <v>0</v>
      </c>
      <c r="K79" s="2644">
        <v>10</v>
      </c>
      <c r="L79" s="496">
        <f t="shared" si="247"/>
        <v>2.1003775556728126</v>
      </c>
      <c r="M79" s="2642">
        <f t="shared" si="248"/>
        <v>10</v>
      </c>
      <c r="N79" s="1015">
        <f t="shared" ref="N79" si="268">+N64/N$48*1000</f>
        <v>1.0932045392625478</v>
      </c>
      <c r="O79" s="2644">
        <v>10</v>
      </c>
      <c r="P79" s="496">
        <f t="shared" si="203"/>
        <v>2.551519701080962</v>
      </c>
      <c r="Q79" s="2641">
        <f t="shared" si="250"/>
        <v>9.9999988324589797</v>
      </c>
      <c r="R79" s="835">
        <f t="shared" ref="R79" si="269">+R64/R$48*1000</f>
        <v>1.5803472701258818</v>
      </c>
      <c r="S79" s="2644">
        <v>10</v>
      </c>
      <c r="T79" s="496">
        <f t="shared" si="204"/>
        <v>4.1621731518873935</v>
      </c>
      <c r="U79" s="2641">
        <f t="shared" si="218"/>
        <v>9.9999959152020246</v>
      </c>
      <c r="V79" s="835">
        <f t="shared" si="219"/>
        <v>2.2674330416597814</v>
      </c>
      <c r="W79" s="2644">
        <v>10</v>
      </c>
      <c r="X79" s="496">
        <f t="shared" si="205"/>
        <v>0.6601989678419099</v>
      </c>
      <c r="Y79" s="2642">
        <f t="shared" si="252"/>
        <v>9.9999921049622618</v>
      </c>
      <c r="Z79" s="1015">
        <f t="shared" si="253"/>
        <v>2.4730501434191345</v>
      </c>
      <c r="AA79" s="2643">
        <f t="shared" si="254"/>
        <v>9.9999950797035009</v>
      </c>
      <c r="AB79" s="1209">
        <f t="shared" si="255"/>
        <v>1.9372287562650736</v>
      </c>
      <c r="AC79" s="2644">
        <v>10</v>
      </c>
      <c r="AD79" s="496">
        <f t="shared" si="206"/>
        <v>0.70982554127103858</v>
      </c>
      <c r="AE79" s="2641">
        <f t="shared" si="223"/>
        <v>9.9999993286590492</v>
      </c>
      <c r="AF79" s="835">
        <f t="shared" si="224"/>
        <v>1.7168845335325009</v>
      </c>
      <c r="AG79" s="2644">
        <v>10</v>
      </c>
      <c r="AH79" s="496">
        <f t="shared" si="207"/>
        <v>0.17967998993792056</v>
      </c>
      <c r="AI79" s="2641">
        <f t="shared" si="225"/>
        <v>9.9999982460686745</v>
      </c>
      <c r="AJ79" s="835">
        <f t="shared" si="226"/>
        <v>1.4986264785828658</v>
      </c>
      <c r="AK79" s="2596">
        <v>10</v>
      </c>
      <c r="AL79" s="496">
        <f t="shared" si="208"/>
        <v>0</v>
      </c>
      <c r="AM79" s="2642">
        <f t="shared" si="227"/>
        <v>10.000003897439974</v>
      </c>
      <c r="AN79" s="1015">
        <f t="shared" si="241"/>
        <v>0.29704966880966344</v>
      </c>
      <c r="AO79" s="2641">
        <f t="shared" si="228"/>
        <v>9.999998473586194</v>
      </c>
      <c r="AP79" s="835">
        <f t="shared" si="229"/>
        <v>1.294217986450239</v>
      </c>
      <c r="AQ79" s="2596">
        <v>10</v>
      </c>
      <c r="AR79" s="496">
        <f t="shared" si="209"/>
        <v>9.0231008978030498E-3</v>
      </c>
      <c r="AS79" s="2641">
        <f t="shared" si="230"/>
        <v>10.000000885233026</v>
      </c>
      <c r="AT79" s="835">
        <f t="shared" si="231"/>
        <v>1.1368549085834962</v>
      </c>
      <c r="AU79" s="2596">
        <v>10</v>
      </c>
      <c r="AV79" s="496">
        <f t="shared" si="210"/>
        <v>0</v>
      </c>
      <c r="AW79" s="2641">
        <f t="shared" si="232"/>
        <v>10.000001226396943</v>
      </c>
      <c r="AX79" s="835">
        <f t="shared" si="233"/>
        <v>1.0249730702561528</v>
      </c>
      <c r="AY79" s="2596">
        <v>10</v>
      </c>
      <c r="AZ79" s="496">
        <f t="shared" si="211"/>
        <v>0</v>
      </c>
      <c r="BA79" s="2642">
        <f t="shared" si="234"/>
        <v>10.000014903927806</v>
      </c>
      <c r="BB79" s="1015">
        <f t="shared" si="242"/>
        <v>3.1286001877817117E-3</v>
      </c>
      <c r="BC79" s="2643">
        <f t="shared" si="235"/>
        <v>10.00000932427664</v>
      </c>
      <c r="BD79" s="1209">
        <f t="shared" si="236"/>
        <v>0.14817103846552618</v>
      </c>
      <c r="BE79" s="2641">
        <f t="shared" si="237"/>
        <v>10.000002948948827</v>
      </c>
      <c r="BF79" s="835">
        <f t="shared" si="238"/>
        <v>0.92375326611845532</v>
      </c>
    </row>
    <row r="80" spans="1:58" ht="20.100000000000001" customHeight="1" x14ac:dyDescent="0.25">
      <c r="B80" s="597" t="s">
        <v>20</v>
      </c>
      <c r="C80" s="2572" t="s">
        <v>302</v>
      </c>
      <c r="D80" s="2596">
        <v>0</v>
      </c>
      <c r="E80" s="2645">
        <v>0</v>
      </c>
      <c r="F80" s="496">
        <f t="shared" si="243"/>
        <v>13.87954517551616</v>
      </c>
      <c r="G80" s="2645">
        <v>0</v>
      </c>
      <c r="H80" s="496">
        <f t="shared" si="244"/>
        <v>13.327998799729938</v>
      </c>
      <c r="I80" s="2641">
        <f t="shared" si="245"/>
        <v>0</v>
      </c>
      <c r="J80" s="835">
        <f t="shared" si="246"/>
        <v>13.63425217739341</v>
      </c>
      <c r="K80" s="2645">
        <v>0</v>
      </c>
      <c r="L80" s="496">
        <f t="shared" si="247"/>
        <v>25.276250877291844</v>
      </c>
      <c r="M80" s="2642">
        <f t="shared" si="248"/>
        <v>0</v>
      </c>
      <c r="N80" s="1015">
        <f t="shared" ref="N80" si="270">+N65/N$48*1000</f>
        <v>19.693679821934577</v>
      </c>
      <c r="O80" s="2645">
        <v>0</v>
      </c>
      <c r="P80" s="496">
        <f t="shared" si="203"/>
        <v>41.10072985157916</v>
      </c>
      <c r="Q80" s="2641">
        <f t="shared" si="250"/>
        <v>0</v>
      </c>
      <c r="R80" s="835">
        <f t="shared" ref="R80" si="271">+R65/R$48*1000</f>
        <v>26.844595539059647</v>
      </c>
      <c r="S80" s="2645">
        <v>0</v>
      </c>
      <c r="T80" s="496">
        <f t="shared" si="204"/>
        <v>36.274563187272712</v>
      </c>
      <c r="U80" s="2641">
        <f t="shared" si="218"/>
        <v>0</v>
      </c>
      <c r="V80" s="835">
        <f t="shared" si="219"/>
        <v>29.35413603243002</v>
      </c>
      <c r="W80" s="2645">
        <v>0</v>
      </c>
      <c r="X80" s="496">
        <f t="shared" si="205"/>
        <v>27.662840721253765</v>
      </c>
      <c r="Y80" s="2642">
        <f t="shared" si="252"/>
        <v>0</v>
      </c>
      <c r="Z80" s="1015">
        <f t="shared" si="253"/>
        <v>34.918926357695639</v>
      </c>
      <c r="AA80" s="2643">
        <f t="shared" si="254"/>
        <v>0</v>
      </c>
      <c r="AB80" s="1209">
        <f t="shared" si="255"/>
        <v>29.006661468073776</v>
      </c>
      <c r="AC80" s="2645">
        <v>0</v>
      </c>
      <c r="AD80" s="496">
        <f t="shared" si="206"/>
        <v>26.381849283906934</v>
      </c>
      <c r="AE80" s="2641">
        <f t="shared" si="223"/>
        <v>0</v>
      </c>
      <c r="AF80" s="835">
        <f t="shared" si="224"/>
        <v>28.535453479147307</v>
      </c>
      <c r="AG80" s="2645">
        <v>0</v>
      </c>
      <c r="AH80" s="496">
        <f t="shared" si="207"/>
        <v>24.66749576147738</v>
      </c>
      <c r="AI80" s="2641">
        <f t="shared" si="225"/>
        <v>0</v>
      </c>
      <c r="AJ80" s="835">
        <f t="shared" si="226"/>
        <v>27.9862663643916</v>
      </c>
      <c r="AK80" s="2596">
        <v>0</v>
      </c>
      <c r="AL80" s="496">
        <f t="shared" si="208"/>
        <v>22.687709994577745</v>
      </c>
      <c r="AM80" s="2642">
        <f t="shared" si="227"/>
        <v>0</v>
      </c>
      <c r="AN80" s="1015">
        <f t="shared" si="241"/>
        <v>24.560387751960064</v>
      </c>
      <c r="AO80" s="2641">
        <f t="shared" si="228"/>
        <v>0</v>
      </c>
      <c r="AP80" s="835">
        <f t="shared" si="229"/>
        <v>27.263557982075049</v>
      </c>
      <c r="AQ80" s="2596">
        <v>0</v>
      </c>
      <c r="AR80" s="496">
        <f t="shared" si="209"/>
        <v>1.9670359957210648</v>
      </c>
      <c r="AS80" s="2641">
        <f t="shared" si="230"/>
        <v>0</v>
      </c>
      <c r="AT80" s="835">
        <f t="shared" si="231"/>
        <v>24.166176718076873</v>
      </c>
      <c r="AU80" s="2596">
        <v>0</v>
      </c>
      <c r="AV80" s="496">
        <f t="shared" si="210"/>
        <v>10.060716525445514</v>
      </c>
      <c r="AW80" s="2641">
        <f t="shared" si="232"/>
        <v>0</v>
      </c>
      <c r="AX80" s="835">
        <f t="shared" si="233"/>
        <v>22.778009411158965</v>
      </c>
      <c r="AY80" s="2596">
        <v>0</v>
      </c>
      <c r="AZ80" s="496">
        <f t="shared" si="211"/>
        <v>1.4544793418480979</v>
      </c>
      <c r="BA80" s="2642">
        <f t="shared" si="234"/>
        <v>0</v>
      </c>
      <c r="BB80" s="1015">
        <f t="shared" si="242"/>
        <v>4.292439457636509</v>
      </c>
      <c r="BC80" s="2643">
        <f t="shared" si="235"/>
        <v>0</v>
      </c>
      <c r="BD80" s="1209">
        <f t="shared" si="236"/>
        <v>14.294147240203703</v>
      </c>
      <c r="BE80" s="2641">
        <f t="shared" si="237"/>
        <v>0</v>
      </c>
      <c r="BF80" s="835">
        <f t="shared" si="238"/>
        <v>20.672233562237832</v>
      </c>
    </row>
    <row r="81" spans="2:58" ht="20.100000000000001" customHeight="1" x14ac:dyDescent="0.25">
      <c r="B81" s="597" t="s">
        <v>146</v>
      </c>
      <c r="C81" s="2572" t="s">
        <v>302</v>
      </c>
      <c r="D81" s="2596">
        <v>15</v>
      </c>
      <c r="E81" s="2085">
        <v>15</v>
      </c>
      <c r="F81" s="496">
        <f t="shared" si="243"/>
        <v>4.5964727529306773</v>
      </c>
      <c r="G81" s="2085">
        <v>15</v>
      </c>
      <c r="H81" s="496">
        <f t="shared" si="244"/>
        <v>1.0627391163011677</v>
      </c>
      <c r="I81" s="2641">
        <f t="shared" si="245"/>
        <v>15</v>
      </c>
      <c r="J81" s="835">
        <f t="shared" si="246"/>
        <v>3.0248911845440514</v>
      </c>
      <c r="K81" s="2085">
        <v>15</v>
      </c>
      <c r="L81" s="496">
        <f t="shared" si="247"/>
        <v>8.2324554438200241</v>
      </c>
      <c r="M81" s="2642">
        <f t="shared" si="248"/>
        <v>15</v>
      </c>
      <c r="N81" s="1015">
        <f t="shared" ref="N81" si="272">+N66/N$48*1000</f>
        <v>5.7353243023261955</v>
      </c>
      <c r="O81" s="2085">
        <v>15</v>
      </c>
      <c r="P81" s="496">
        <f t="shared" si="203"/>
        <v>0.37475445609626634</v>
      </c>
      <c r="Q81" s="2641">
        <f t="shared" si="250"/>
        <v>14.999998248688472</v>
      </c>
      <c r="R81" s="835">
        <f t="shared" ref="R81" si="273">+R66/R$48*1000</f>
        <v>3.9446533264996035</v>
      </c>
      <c r="S81" s="2085">
        <v>15</v>
      </c>
      <c r="T81" s="496">
        <f t="shared" si="204"/>
        <v>0.19586697185352439</v>
      </c>
      <c r="U81" s="2641">
        <f t="shared" si="218"/>
        <v>14.999993872803039</v>
      </c>
      <c r="V81" s="835">
        <f t="shared" si="219"/>
        <v>2.947011392938848</v>
      </c>
      <c r="W81" s="2085">
        <v>15</v>
      </c>
      <c r="X81" s="496">
        <f t="shared" si="205"/>
        <v>8.553860367313538</v>
      </c>
      <c r="Y81" s="2642">
        <f t="shared" si="252"/>
        <v>14.999988157443394</v>
      </c>
      <c r="Z81" s="1015">
        <f t="shared" si="253"/>
        <v>3.0600821692492204</v>
      </c>
      <c r="AA81" s="2643">
        <f t="shared" si="254"/>
        <v>14.999992619555249</v>
      </c>
      <c r="AB81" s="1209">
        <f t="shared" si="255"/>
        <v>4.0989316944426371</v>
      </c>
      <c r="AC81" s="2085">
        <v>15</v>
      </c>
      <c r="AD81" s="496">
        <f t="shared" si="206"/>
        <v>12.942485702508606</v>
      </c>
      <c r="AE81" s="2641">
        <f t="shared" si="223"/>
        <v>14.999998992988575</v>
      </c>
      <c r="AF81" s="835">
        <f t="shared" si="224"/>
        <v>5.6865322565857772</v>
      </c>
      <c r="AG81" s="2085">
        <v>15</v>
      </c>
      <c r="AH81" s="496">
        <f t="shared" si="207"/>
        <v>4.5433368884302778</v>
      </c>
      <c r="AI81" s="2641">
        <f t="shared" si="225"/>
        <v>14.99999736910301</v>
      </c>
      <c r="AJ81" s="835">
        <f t="shared" si="226"/>
        <v>5.5242170991652841</v>
      </c>
      <c r="AK81" s="2596">
        <v>15</v>
      </c>
      <c r="AL81" s="496">
        <f t="shared" si="208"/>
        <v>5.2058048970471305</v>
      </c>
      <c r="AM81" s="2642">
        <f t="shared" si="227"/>
        <v>15.000005846159961</v>
      </c>
      <c r="AN81" s="1015">
        <f t="shared" si="241"/>
        <v>7.6237396081528752</v>
      </c>
      <c r="AO81" s="2641">
        <f t="shared" si="228"/>
        <v>14.999997710379292</v>
      </c>
      <c r="AP81" s="835">
        <f t="shared" si="229"/>
        <v>5.4807865585724418</v>
      </c>
      <c r="AQ81" s="2596">
        <v>15</v>
      </c>
      <c r="AR81" s="496">
        <f t="shared" si="209"/>
        <v>14.888116481375032</v>
      </c>
      <c r="AS81" s="2641">
        <f t="shared" si="230"/>
        <v>15.000001327849539</v>
      </c>
      <c r="AT81" s="835">
        <f t="shared" si="231"/>
        <v>6.6326479671430132</v>
      </c>
      <c r="AU81" s="2596">
        <v>15</v>
      </c>
      <c r="AV81" s="496">
        <f t="shared" si="210"/>
        <v>7.5910838974689501</v>
      </c>
      <c r="AW81" s="2641">
        <f t="shared" si="232"/>
        <v>15.000001839595413</v>
      </c>
      <c r="AX81" s="835">
        <f t="shared" si="233"/>
        <v>6.7269709744100128</v>
      </c>
      <c r="AY81" s="2596">
        <v>15</v>
      </c>
      <c r="AZ81" s="496">
        <f t="shared" si="211"/>
        <v>27.280578155538382</v>
      </c>
      <c r="BA81" s="2642">
        <f t="shared" si="234"/>
        <v>15.000022355891705</v>
      </c>
      <c r="BB81" s="1015">
        <f t="shared" si="242"/>
        <v>16.897569614209026</v>
      </c>
      <c r="BC81" s="2643">
        <f t="shared" si="235"/>
        <v>15.00001398641496</v>
      </c>
      <c r="BD81" s="1209">
        <f t="shared" si="236"/>
        <v>12.321174588978247</v>
      </c>
      <c r="BE81" s="2641">
        <f t="shared" si="237"/>
        <v>15.000004423423238</v>
      </c>
      <c r="BF81" s="835">
        <f t="shared" si="238"/>
        <v>8.7567141487131774</v>
      </c>
    </row>
    <row r="82" spans="2:58" ht="20.100000000000001" customHeight="1" x14ac:dyDescent="0.25">
      <c r="B82" s="597" t="s">
        <v>128</v>
      </c>
      <c r="C82" s="2572" t="s">
        <v>302</v>
      </c>
      <c r="D82" s="2596">
        <v>70</v>
      </c>
      <c r="E82" s="2644">
        <v>70</v>
      </c>
      <c r="F82" s="496">
        <f t="shared" si="243"/>
        <v>76.007033104017069</v>
      </c>
      <c r="G82" s="2644">
        <v>70</v>
      </c>
      <c r="H82" s="496">
        <f t="shared" si="244"/>
        <v>62.764121927433678</v>
      </c>
      <c r="I82" s="2641">
        <f t="shared" si="245"/>
        <v>70</v>
      </c>
      <c r="J82" s="835">
        <f t="shared" si="246"/>
        <v>70.117422494670024</v>
      </c>
      <c r="K82" s="2644">
        <v>70</v>
      </c>
      <c r="L82" s="496">
        <f t="shared" si="247"/>
        <v>73.159736274544954</v>
      </c>
      <c r="M82" s="2642">
        <f t="shared" si="248"/>
        <v>70</v>
      </c>
      <c r="N82" s="1015">
        <f t="shared" ref="N82" si="274">+N67/N$48*1000</f>
        <v>71.700886012949198</v>
      </c>
      <c r="O82" s="2644">
        <v>70</v>
      </c>
      <c r="P82" s="496">
        <f t="shared" si="203"/>
        <v>67.902318045017111</v>
      </c>
      <c r="Q82" s="2641">
        <f t="shared" si="250"/>
        <v>69.999991827212867</v>
      </c>
      <c r="R82" s="835">
        <f t="shared" ref="R82" si="275">+R67/R$48*1000</f>
        <v>70.431993786003503</v>
      </c>
      <c r="S82" s="2644">
        <v>70</v>
      </c>
      <c r="T82" s="496">
        <f t="shared" si="204"/>
        <v>61.394502327487224</v>
      </c>
      <c r="U82" s="2641">
        <f t="shared" si="218"/>
        <v>69.999971406414176</v>
      </c>
      <c r="V82" s="835">
        <f t="shared" si="219"/>
        <v>68.026900617106648</v>
      </c>
      <c r="W82" s="2644">
        <v>70</v>
      </c>
      <c r="X82" s="496">
        <f t="shared" si="205"/>
        <v>61.917591747371787</v>
      </c>
      <c r="Y82" s="2642">
        <f t="shared" si="252"/>
        <v>69.99994473473582</v>
      </c>
      <c r="Z82" s="1015">
        <f t="shared" si="253"/>
        <v>63.642532027565103</v>
      </c>
      <c r="AA82" s="2643">
        <f t="shared" si="254"/>
        <v>69.999965557924497</v>
      </c>
      <c r="AB82" s="1209">
        <f t="shared" si="255"/>
        <v>66.771750541303234</v>
      </c>
      <c r="AC82" s="2644">
        <v>70</v>
      </c>
      <c r="AD82" s="496">
        <f t="shared" si="206"/>
        <v>65.68725558922192</v>
      </c>
      <c r="AE82" s="2641">
        <f t="shared" si="223"/>
        <v>69.999995300613335</v>
      </c>
      <c r="AF82" s="835">
        <f t="shared" si="224"/>
        <v>66.577061302791734</v>
      </c>
      <c r="AG82" s="2644">
        <v>70</v>
      </c>
      <c r="AH82" s="496">
        <f t="shared" si="207"/>
        <v>64.736133517633661</v>
      </c>
      <c r="AI82" s="2641">
        <f t="shared" si="225"/>
        <v>69.999987722480697</v>
      </c>
      <c r="AJ82" s="835">
        <f t="shared" si="226"/>
        <v>66.315679485150355</v>
      </c>
      <c r="AK82" s="2596">
        <v>70</v>
      </c>
      <c r="AL82" s="496">
        <f t="shared" si="208"/>
        <v>66.251759093625054</v>
      </c>
      <c r="AM82" s="2642">
        <f t="shared" si="227"/>
        <v>70.000027282079827</v>
      </c>
      <c r="AN82" s="1015">
        <f t="shared" si="241"/>
        <v>65.586174419084358</v>
      </c>
      <c r="AO82" s="2641">
        <f t="shared" si="228"/>
        <v>69.999989315103363</v>
      </c>
      <c r="AP82" s="835">
        <f t="shared" si="229"/>
        <v>66.306960921161959</v>
      </c>
      <c r="AQ82" s="2596">
        <v>70</v>
      </c>
      <c r="AR82" s="496">
        <f t="shared" si="209"/>
        <v>62.480462166837221</v>
      </c>
      <c r="AS82" s="2641">
        <f t="shared" si="230"/>
        <v>70.00000619663119</v>
      </c>
      <c r="AT82" s="835">
        <f t="shared" si="231"/>
        <v>65.838433051806987</v>
      </c>
      <c r="AU82" s="2596">
        <v>70</v>
      </c>
      <c r="AV82" s="496">
        <f t="shared" si="210"/>
        <v>58.097095428629032</v>
      </c>
      <c r="AW82" s="2641">
        <f t="shared" si="232"/>
        <v>70.000008584778584</v>
      </c>
      <c r="AX82" s="835">
        <f t="shared" si="233"/>
        <v>65.076581141018352</v>
      </c>
      <c r="AY82" s="2596">
        <v>70</v>
      </c>
      <c r="AZ82" s="496">
        <f t="shared" si="211"/>
        <v>64.883414390254984</v>
      </c>
      <c r="BA82" s="2642">
        <f t="shared" si="234"/>
        <v>70.00010432749464</v>
      </c>
      <c r="BB82" s="1015">
        <f t="shared" si="242"/>
        <v>61.952540918453451</v>
      </c>
      <c r="BC82" s="2643">
        <f t="shared" si="235"/>
        <v>70.000065269936457</v>
      </c>
      <c r="BD82" s="1209">
        <f t="shared" si="236"/>
        <v>63.745644982787162</v>
      </c>
      <c r="BE82" s="2641">
        <f t="shared" si="237"/>
        <v>70.000020642641786</v>
      </c>
      <c r="BF82" s="835">
        <f t="shared" si="238"/>
        <v>65.057505224542524</v>
      </c>
    </row>
    <row r="83" spans="2:58" ht="20.100000000000001" customHeight="1" x14ac:dyDescent="0.25">
      <c r="B83" s="2469" t="s">
        <v>619</v>
      </c>
      <c r="C83" s="2572" t="s">
        <v>201</v>
      </c>
      <c r="D83" s="2646">
        <f>12*D7</f>
        <v>196139.00244131457</v>
      </c>
      <c r="E83" s="2085">
        <f>12*E7</f>
        <v>7511.76</v>
      </c>
      <c r="F83" s="486">
        <v>5380</v>
      </c>
      <c r="G83" s="2085">
        <f>12*G28</f>
        <v>7774.6399999999994</v>
      </c>
      <c r="H83" s="486">
        <v>7350</v>
      </c>
      <c r="I83" s="3521">
        <f>12*I28</f>
        <v>15286.399999999998</v>
      </c>
      <c r="J83" s="827">
        <f>+F83+H83</f>
        <v>12730</v>
      </c>
      <c r="K83" s="2085">
        <f>12*K28</f>
        <v>17789.52</v>
      </c>
      <c r="L83" s="486">
        <v>11734</v>
      </c>
      <c r="M83" s="3533">
        <f>12*M28</f>
        <v>33075.919999999998</v>
      </c>
      <c r="N83" s="1006">
        <f>+J83+L83</f>
        <v>24464</v>
      </c>
      <c r="O83" s="2085">
        <f>12*O28</f>
        <v>18394.560000000001</v>
      </c>
      <c r="P83" s="486">
        <v>11076</v>
      </c>
      <c r="Q83" s="3521">
        <f>12*Q28</f>
        <v>51470.479999999996</v>
      </c>
      <c r="R83" s="827">
        <f>+N83+P83</f>
        <v>35540</v>
      </c>
      <c r="S83" s="2085">
        <f>12*S28</f>
        <v>18409.599999999999</v>
      </c>
      <c r="T83" s="486">
        <v>11800</v>
      </c>
      <c r="U83" s="3521">
        <f>12*U28</f>
        <v>69880.08</v>
      </c>
      <c r="V83" s="827">
        <f>+R83+T83</f>
        <v>47340</v>
      </c>
      <c r="W83" s="2085">
        <f>12*W28</f>
        <v>17904.239999999998</v>
      </c>
      <c r="X83" s="486">
        <v>11200</v>
      </c>
      <c r="Y83" s="3533">
        <f>12*Y28</f>
        <v>54708.399999999994</v>
      </c>
      <c r="Z83" s="3528">
        <f t="shared" ref="Z83" si="276">+X83+T83+P83</f>
        <v>34076</v>
      </c>
      <c r="AA83" s="3540">
        <f>12*AA28</f>
        <v>87784.319999999992</v>
      </c>
      <c r="AB83" s="1199">
        <f>+V83+X83</f>
        <v>58540</v>
      </c>
      <c r="AC83" s="2085">
        <f>12*AC28</f>
        <v>18512.64</v>
      </c>
      <c r="AD83" s="486">
        <v>12512</v>
      </c>
      <c r="AE83" s="3521">
        <f>12*AE28</f>
        <v>106296.95999999999</v>
      </c>
      <c r="AF83" s="827">
        <f>+AB83+AD83</f>
        <v>71052</v>
      </c>
      <c r="AG83" s="2085">
        <f>12*AG28</f>
        <v>17904.239999999998</v>
      </c>
      <c r="AH83" s="486">
        <v>10228</v>
      </c>
      <c r="AI83" s="3521">
        <f>12*AI28</f>
        <v>124201.20000000001</v>
      </c>
      <c r="AJ83" s="827">
        <f>+AF83+AH83</f>
        <v>81280</v>
      </c>
      <c r="AK83" s="2085">
        <f>12*AK28</f>
        <v>18512.64</v>
      </c>
      <c r="AL83" s="486">
        <v>11728</v>
      </c>
      <c r="AM83" s="3533">
        <f>12*AM28</f>
        <v>54929.520000000004</v>
      </c>
      <c r="AN83" s="3528">
        <f t="shared" ref="AN83" si="277">+AL83+AH83+AD83</f>
        <v>34468</v>
      </c>
      <c r="AO83" s="3521">
        <f>12*AO28</f>
        <v>142713.84</v>
      </c>
      <c r="AP83" s="827">
        <f>+AJ83+AL83</f>
        <v>93008</v>
      </c>
      <c r="AQ83" s="2085">
        <f>12*AQ28</f>
        <v>18512.64</v>
      </c>
      <c r="AR83" s="486">
        <v>12568</v>
      </c>
      <c r="AS83" s="3903">
        <f>12*AS28</f>
        <v>161226.47999999998</v>
      </c>
      <c r="AT83" s="827">
        <f>+AP83+AR83</f>
        <v>105576</v>
      </c>
      <c r="AU83" s="2085">
        <f>12*AU28</f>
        <v>16399.839999999997</v>
      </c>
      <c r="AV83" s="486">
        <v>10082</v>
      </c>
      <c r="AW83" s="4068">
        <f>12*AW28</f>
        <v>177626.32</v>
      </c>
      <c r="AX83" s="827">
        <f>+AT83+AV83</f>
        <v>115658</v>
      </c>
      <c r="AY83" s="2085">
        <f>12*AY28</f>
        <v>18512.64</v>
      </c>
      <c r="AZ83" s="486">
        <v>10550</v>
      </c>
      <c r="BA83" s="4251">
        <f>12*BA28</f>
        <v>53425.119999999995</v>
      </c>
      <c r="BB83" s="4249">
        <f t="shared" ref="BB83" si="278">+AZ83+AV83+AR83</f>
        <v>33200</v>
      </c>
      <c r="BC83" s="4257">
        <f>12*BC28</f>
        <v>108354.64</v>
      </c>
      <c r="BD83" s="1208">
        <f>+AN83+BB83</f>
        <v>67668</v>
      </c>
      <c r="BE83" s="4243">
        <f>12*BE28</f>
        <v>196138.96</v>
      </c>
      <c r="BF83" s="827">
        <f>+AX83+AZ83</f>
        <v>126208</v>
      </c>
    </row>
    <row r="84" spans="2:58" ht="20.100000000000001" customHeight="1" x14ac:dyDescent="0.25">
      <c r="B84" s="2469" t="s">
        <v>330</v>
      </c>
      <c r="C84" s="2572" t="s">
        <v>302</v>
      </c>
      <c r="D84" s="2596">
        <f>+'Maj Techno Summ'!D16</f>
        <v>1065</v>
      </c>
      <c r="E84" s="2085">
        <f>+'Maj Techno Summ'!E16</f>
        <v>1065</v>
      </c>
      <c r="F84" s="617">
        <f>+(F18*1000)/F5</f>
        <v>1061.7091310869539</v>
      </c>
      <c r="G84" s="2085">
        <f>+'Maj Techno Summ'!G16</f>
        <v>1065</v>
      </c>
      <c r="H84" s="617">
        <f>+(H18*1000)/H5</f>
        <v>1049.636168137831</v>
      </c>
      <c r="I84" s="606">
        <f>+(I18*1000)/I5</f>
        <v>1064.9989533179819</v>
      </c>
      <c r="J84" s="606">
        <f>+(J18*1000)/J5</f>
        <v>1056.3398341936052</v>
      </c>
      <c r="K84" s="2085">
        <f>+'Maj Techno Summ'!K16</f>
        <v>1065</v>
      </c>
      <c r="L84" s="617">
        <f>+(L18*1000)/L5</f>
        <v>1055.0811206794976</v>
      </c>
      <c r="M84" s="621">
        <f>+(M18*1000)/M5</f>
        <v>1064.9983432055708</v>
      </c>
      <c r="N84" s="621">
        <f>+(N18*1000)/N5</f>
        <v>1055.684698651924</v>
      </c>
      <c r="O84" s="2085">
        <f>+'Maj Techno Summ'!O16</f>
        <v>1065</v>
      </c>
      <c r="P84" s="617">
        <f>+(P18*1000)/P5</f>
        <v>1059.4345189051844</v>
      </c>
      <c r="Q84" s="606">
        <f>+(Q18*1000)/Q5</f>
        <v>1064.9989353119224</v>
      </c>
      <c r="R84" s="606">
        <f>+(R18*1000)/R5</f>
        <v>1056.937306555981</v>
      </c>
      <c r="S84" s="2085">
        <f>+'Maj Techno Summ'!S16</f>
        <v>1065</v>
      </c>
      <c r="T84" s="617">
        <f>+(T18*1000)/T5</f>
        <v>1068.4898638722946</v>
      </c>
      <c r="U84" s="606">
        <f>+(U18*1000)/U5</f>
        <v>1064.9992157990891</v>
      </c>
      <c r="V84" s="606">
        <f>+(V18*1000)/V5</f>
        <v>1060.0117178440762</v>
      </c>
      <c r="W84" s="2085">
        <f>+'Maj Techno Summ'!W16</f>
        <v>1065</v>
      </c>
      <c r="X84" s="617">
        <f>+(X18*1000)/X5</f>
        <v>1065.903993952375</v>
      </c>
      <c r="Y84" s="621">
        <f>+(Y18*1000)/Y5</f>
        <v>1065</v>
      </c>
      <c r="Z84" s="621">
        <f>+(Z18*1000)/Z5</f>
        <v>1064.7377650786773</v>
      </c>
      <c r="AA84" s="1208">
        <f>+(AA18*1000)/AA5</f>
        <v>1064.9993757424222</v>
      </c>
      <c r="AB84" s="1208">
        <f>+(AB18*1000)/AB5</f>
        <v>1061.2222794096699</v>
      </c>
      <c r="AC84" s="2085">
        <f>+'Maj Techno Summ'!AC16</f>
        <v>1065</v>
      </c>
      <c r="AD84" s="617">
        <f>+(AD18*1000)/AD5</f>
        <v>1072.5156161272005</v>
      </c>
      <c r="AE84" s="606">
        <f>+(AE18*1000)/AE5</f>
        <v>1064.9994844631146</v>
      </c>
      <c r="AF84" s="606">
        <f>+(AF18*1000)/AF5</f>
        <v>1063.2496713378043</v>
      </c>
      <c r="AG84" s="2085">
        <f>+'Maj Techno Summ'!AG16</f>
        <v>1065</v>
      </c>
      <c r="AH84" s="617">
        <f>+(AH18*1000)/AH5</f>
        <v>1057.6207319640025</v>
      </c>
      <c r="AI84" s="606">
        <f>+(AI18*1000)/AI5</f>
        <v>1064.999558780353</v>
      </c>
      <c r="AJ84" s="606">
        <f>+(AJ18*1000)/AJ5</f>
        <v>1062.4504524825461</v>
      </c>
      <c r="AK84" s="2085">
        <f>+'Maj Techno Summ'!AK16</f>
        <v>1065</v>
      </c>
      <c r="AL84" s="617">
        <f>+(AL18*1000)/AL5</f>
        <v>1056.6639437698736</v>
      </c>
      <c r="AM84" s="621">
        <f>+(AM18*1000)/AM5</f>
        <v>1065.000699077382</v>
      </c>
      <c r="AN84" s="621">
        <f>+(AN18*1000)/AN5</f>
        <v>1062.3418412567919</v>
      </c>
      <c r="AO84" s="606">
        <f>+(AO18*1000)/AO5</f>
        <v>1064.9998850847087</v>
      </c>
      <c r="AP84" s="606">
        <f>+(AP18*1000)/AP5</f>
        <v>1061.6611893972395</v>
      </c>
      <c r="AQ84" s="2085">
        <f>+'Maj Techno Summ'!AQ16</f>
        <v>1065</v>
      </c>
      <c r="AR84" s="617">
        <f>+(AR18*1000)/AR5</f>
        <v>1060.8699182957146</v>
      </c>
      <c r="AS84" s="606">
        <f>+(AS18*1000)/AS5</f>
        <v>1064.9998982797456</v>
      </c>
      <c r="AT84" s="606">
        <f>+(AT18*1000)/AT5</f>
        <v>1061.5643039199474</v>
      </c>
      <c r="AU84" s="2085">
        <f>+'Maj Techno Summ'!AU16</f>
        <v>1065</v>
      </c>
      <c r="AV84" s="617">
        <f>+(AV18*1000)/AV5</f>
        <v>1064.3522267206479</v>
      </c>
      <c r="AW84" s="606">
        <f>+(AW18*1000)/AW5</f>
        <v>1064.9999076713518</v>
      </c>
      <c r="AX84" s="606">
        <f>+(AX18*1000)/AX5</f>
        <v>1061.8386728343762</v>
      </c>
      <c r="AY84" s="2085">
        <f>+'Maj Techno Summ'!AY16</f>
        <v>1065</v>
      </c>
      <c r="AZ84" s="617">
        <f t="shared" ref="AZ84" si="279">+(AZ18*1000)/AZ5</f>
        <v>1064.056179264579</v>
      </c>
      <c r="BA84" s="4472">
        <f t="shared" ref="BA84:BF84" si="280">+(BA18*1000)/BA5</f>
        <v>1065</v>
      </c>
      <c r="BB84" s="4471">
        <f t="shared" si="280"/>
        <v>1063.0429103514516</v>
      </c>
      <c r="BC84" s="4473">
        <f t="shared" si="280"/>
        <v>1065.0003543915072</v>
      </c>
      <c r="BD84" s="1208">
        <f t="shared" si="280"/>
        <v>1062.6969506083333</v>
      </c>
      <c r="BE84" s="4469">
        <f t="shared" si="280"/>
        <v>1064.9999163858358</v>
      </c>
      <c r="BF84" s="606">
        <f t="shared" si="280"/>
        <v>1062.0576596902831</v>
      </c>
    </row>
    <row r="85" spans="2:58" ht="20.100000000000001" customHeight="1" thickBot="1" x14ac:dyDescent="0.3">
      <c r="B85" s="2470" t="s">
        <v>1052</v>
      </c>
      <c r="C85" s="2572" t="s">
        <v>302</v>
      </c>
      <c r="D85" s="2596">
        <f>+'Maj Techno Summ'!D17</f>
        <v>50</v>
      </c>
      <c r="E85" s="2085">
        <f>+'Maj Techno Summ'!E17</f>
        <v>50</v>
      </c>
      <c r="F85" s="1028">
        <f>+(F22*1000)/F5</f>
        <v>47.439890245245799</v>
      </c>
      <c r="G85" s="2085">
        <f>+'Maj Techno Summ'!G17</f>
        <v>50</v>
      </c>
      <c r="H85" s="1028">
        <f>+(H22*1000)/H5</f>
        <v>57.115350953964651</v>
      </c>
      <c r="I85" s="3525">
        <f>+(I22*1000)/I5</f>
        <v>50</v>
      </c>
      <c r="J85" s="3525">
        <f>+(J22*1000)/J5</f>
        <v>51.7429284757091</v>
      </c>
      <c r="K85" s="2085">
        <f>+'Maj Techno Summ'!K17</f>
        <v>50</v>
      </c>
      <c r="L85" s="1028">
        <f>+(L22*1000)/L5</f>
        <v>52.43618182097611</v>
      </c>
      <c r="M85" s="3527">
        <f>+(M22*1000)/M5</f>
        <v>50</v>
      </c>
      <c r="N85" s="3527">
        <f>+(N22*1000)/N5</f>
        <v>52.103753159629271</v>
      </c>
      <c r="O85" s="2085">
        <f>+'Maj Techno Summ'!O17</f>
        <v>50</v>
      </c>
      <c r="P85" s="1028">
        <f>+(P22*1000)/P5</f>
        <v>45.992249751492373</v>
      </c>
      <c r="Q85" s="3525">
        <f>+(Q22*1000)/Q5</f>
        <v>50</v>
      </c>
      <c r="R85" s="3525">
        <f>+(R22*1000)/R5</f>
        <v>50.0622373114902</v>
      </c>
      <c r="S85" s="2085">
        <f>+'Maj Techno Summ'!S17</f>
        <v>50</v>
      </c>
      <c r="T85" s="1028">
        <f>+(T22*1000)/T5</f>
        <v>43.502105572421897</v>
      </c>
      <c r="U85" s="3525">
        <f>+(U22*1000)/U5</f>
        <v>50</v>
      </c>
      <c r="V85" s="3525">
        <f>+(V22*1000)/V5</f>
        <v>48.316429650228635</v>
      </c>
      <c r="W85" s="2085">
        <f>+'Maj Techno Summ'!W17</f>
        <v>50</v>
      </c>
      <c r="X85" s="1028">
        <f>+(X22*1000)/X5</f>
        <v>41.678215950611062</v>
      </c>
      <c r="Y85" s="3527">
        <f>+(Y22*1000)/Y5</f>
        <v>50.000000000000007</v>
      </c>
      <c r="Z85" s="3527">
        <f>+(Z22*1000)/Z5</f>
        <v>43.682460796793329</v>
      </c>
      <c r="AA85" s="3536">
        <f>+(AA22*1000)/AA5</f>
        <v>50</v>
      </c>
      <c r="AB85" s="3536">
        <f>+(AB22*1000)/AB5</f>
        <v>46.952616037075536</v>
      </c>
      <c r="AC85" s="2085">
        <f>+'Maj Techno Summ'!AC17</f>
        <v>50</v>
      </c>
      <c r="AD85" s="1028">
        <f>+(AD22*1000)/AD5</f>
        <v>34.658338065493091</v>
      </c>
      <c r="AE85" s="3525">
        <f>+(AE22*1000)/AE5</f>
        <v>50</v>
      </c>
      <c r="AF85" s="3525">
        <f>+(AF22*1000)/AF5</f>
        <v>44.745534060751048</v>
      </c>
      <c r="AG85" s="2085">
        <f>+'Maj Techno Summ'!AG17</f>
        <v>50</v>
      </c>
      <c r="AH85" s="1028">
        <f>+(AH22*1000)/AH5</f>
        <v>50.094716901704906</v>
      </c>
      <c r="AI85" s="3525">
        <f>+(AI22*1000)/AI5</f>
        <v>49.999999999999993</v>
      </c>
      <c r="AJ85" s="3525">
        <f>+(AJ22*1000)/AJ5</f>
        <v>45.505031987946843</v>
      </c>
      <c r="AK85" s="2085">
        <f>+'Maj Techno Summ'!AK17</f>
        <v>50</v>
      </c>
      <c r="AL85" s="1028">
        <f>+(AL22*1000)/AL5</f>
        <v>51.218150183910907</v>
      </c>
      <c r="AM85" s="3527">
        <f>+(AM22*1000)/AM5</f>
        <v>49.999999999999993</v>
      </c>
      <c r="AN85" s="3527">
        <f>+(AN22*1000)/AN5</f>
        <v>45.247851610168404</v>
      </c>
      <c r="AO85" s="3525">
        <f>+(AO22*1000)/AO5</f>
        <v>50</v>
      </c>
      <c r="AP85" s="3525">
        <f>+(AP22*1000)/AP5</f>
        <v>46.284284818620627</v>
      </c>
      <c r="AQ85" s="2085">
        <f>+'Maj Techno Summ'!AQ17</f>
        <v>50</v>
      </c>
      <c r="AR85" s="1028">
        <f>+(AR22*1000)/AR5</f>
        <v>46.73394901039012</v>
      </c>
      <c r="AS85" s="3905">
        <f>+(AS22*1000)/AS5</f>
        <v>49.999999999999993</v>
      </c>
      <c r="AT85" s="3905">
        <f>+(AT22*1000)/AT5</f>
        <v>46.339342977267869</v>
      </c>
      <c r="AU85" s="2085">
        <f>+'Maj Techno Summ'!AU17</f>
        <v>50</v>
      </c>
      <c r="AV85" s="1028">
        <f>+(AV22*1000)/AV5</f>
        <v>42.540485829959515</v>
      </c>
      <c r="AW85" s="4070">
        <f>+(AW22*1000)/AW5</f>
        <v>50</v>
      </c>
      <c r="AX85" s="4070">
        <f>+(AX22*1000)/AX5</f>
        <v>45.965484593773361</v>
      </c>
      <c r="AY85" s="2085">
        <f>+'Maj Techno Summ'!AY17</f>
        <v>50</v>
      </c>
      <c r="AZ85" s="1028">
        <f t="shared" ref="AZ85" si="281">+(AZ22*1000)/AZ5</f>
        <v>42.386891504931597</v>
      </c>
      <c r="BA85" s="4472">
        <f t="shared" ref="BA85:BF85" si="282">+(BA22*1000)/BA5</f>
        <v>49.999999999999993</v>
      </c>
      <c r="BB85" s="4471">
        <f t="shared" si="282"/>
        <v>43.941632786505714</v>
      </c>
      <c r="BC85" s="4473">
        <f t="shared" si="282"/>
        <v>49.999999999999986</v>
      </c>
      <c r="BD85" s="1208">
        <f t="shared" si="282"/>
        <v>44.586218508702075</v>
      </c>
      <c r="BE85" s="4469">
        <f t="shared" si="282"/>
        <v>50</v>
      </c>
      <c r="BF85" s="606">
        <f t="shared" si="282"/>
        <v>45.612085461115946</v>
      </c>
    </row>
    <row r="86" spans="2:58" ht="20.100000000000001" customHeight="1" thickBot="1" x14ac:dyDescent="0.3">
      <c r="B86" s="2570" t="s">
        <v>319</v>
      </c>
      <c r="C86" s="2571" t="s">
        <v>302</v>
      </c>
      <c r="D86" s="2647">
        <f t="shared" ref="D86" si="283">SUM(D84:D85)</f>
        <v>1115</v>
      </c>
      <c r="E86" s="2648">
        <f t="shared" ref="E86:K86" si="284">SUM(E84:E85)</f>
        <v>1115</v>
      </c>
      <c r="F86" s="469">
        <f t="shared" si="284"/>
        <v>1109.1490213321997</v>
      </c>
      <c r="G86" s="2069">
        <f t="shared" si="284"/>
        <v>1115</v>
      </c>
      <c r="H86" s="469">
        <f t="shared" si="284"/>
        <v>1106.7515190917957</v>
      </c>
      <c r="I86" s="1577">
        <f t="shared" si="284"/>
        <v>1114.9989533179819</v>
      </c>
      <c r="J86" s="826">
        <f t="shared" si="284"/>
        <v>1108.0827626693142</v>
      </c>
      <c r="K86" s="2069">
        <f t="shared" si="284"/>
        <v>1115</v>
      </c>
      <c r="L86" s="469">
        <f>SUM(J84:J85)</f>
        <v>1108.0827626693142</v>
      </c>
      <c r="M86" s="2005">
        <f t="shared" ref="M86:AT86" si="285">SUM(M84:M85)</f>
        <v>1114.9983432055708</v>
      </c>
      <c r="N86" s="1005">
        <f t="shared" si="285"/>
        <v>1107.7884518115534</v>
      </c>
      <c r="O86" s="2069">
        <f t="shared" si="285"/>
        <v>1115</v>
      </c>
      <c r="P86" s="995">
        <f t="shared" si="285"/>
        <v>1105.4267686566768</v>
      </c>
      <c r="Q86" s="1577">
        <f t="shared" si="285"/>
        <v>1114.9989353119224</v>
      </c>
      <c r="R86" s="826">
        <f t="shared" si="285"/>
        <v>1106.9995438674712</v>
      </c>
      <c r="S86" s="2069">
        <f t="shared" ref="S86:V86" si="286">SUM(S84:S85)</f>
        <v>1115</v>
      </c>
      <c r="T86" s="995">
        <f t="shared" si="286"/>
        <v>1111.9919694447165</v>
      </c>
      <c r="U86" s="1577">
        <f t="shared" si="286"/>
        <v>1114.9992157990891</v>
      </c>
      <c r="V86" s="826">
        <f t="shared" si="286"/>
        <v>1108.3281474943049</v>
      </c>
      <c r="W86" s="2069">
        <f t="shared" ref="W86:X86" si="287">SUM(W84:W85)</f>
        <v>1115</v>
      </c>
      <c r="X86" s="995">
        <f t="shared" si="287"/>
        <v>1107.5822099029861</v>
      </c>
      <c r="Y86" s="2005">
        <f t="shared" si="285"/>
        <v>1115</v>
      </c>
      <c r="Z86" s="1005">
        <f t="shared" si="285"/>
        <v>1108.4202258754706</v>
      </c>
      <c r="AA86" s="2006">
        <f t="shared" si="285"/>
        <v>1114.9993757424222</v>
      </c>
      <c r="AB86" s="1198">
        <f t="shared" si="285"/>
        <v>1108.1748954467455</v>
      </c>
      <c r="AC86" s="2069">
        <f t="shared" si="285"/>
        <v>1115</v>
      </c>
      <c r="AD86" s="995">
        <f t="shared" si="285"/>
        <v>1107.1739541926936</v>
      </c>
      <c r="AE86" s="1577">
        <f t="shared" si="285"/>
        <v>1114.9994844631146</v>
      </c>
      <c r="AF86" s="826">
        <f t="shared" si="285"/>
        <v>1107.9952053985553</v>
      </c>
      <c r="AG86" s="2069">
        <f t="shared" ref="AG86:AJ86" si="288">SUM(AG84:AG85)</f>
        <v>1115</v>
      </c>
      <c r="AH86" s="995">
        <f t="shared" si="288"/>
        <v>1107.7154488657075</v>
      </c>
      <c r="AI86" s="1577">
        <f t="shared" si="288"/>
        <v>1114.999558780353</v>
      </c>
      <c r="AJ86" s="826">
        <f t="shared" si="288"/>
        <v>1107.955484470493</v>
      </c>
      <c r="AK86" s="2069">
        <f t="shared" ref="AK86:AN86" si="289">SUM(AK84:AK85)</f>
        <v>1115</v>
      </c>
      <c r="AL86" s="995">
        <f t="shared" si="289"/>
        <v>1107.8820939537845</v>
      </c>
      <c r="AM86" s="2005">
        <f t="shared" si="289"/>
        <v>1115.000699077382</v>
      </c>
      <c r="AN86" s="1005">
        <f t="shared" si="289"/>
        <v>1107.5896928669604</v>
      </c>
      <c r="AO86" s="1577">
        <f t="shared" si="285"/>
        <v>1114.9998850847087</v>
      </c>
      <c r="AP86" s="826">
        <f t="shared" si="285"/>
        <v>1107.94547421586</v>
      </c>
      <c r="AQ86" s="2069">
        <f t="shared" si="285"/>
        <v>1115</v>
      </c>
      <c r="AR86" s="995">
        <f t="shared" si="285"/>
        <v>1107.6038673061048</v>
      </c>
      <c r="AS86" s="1577">
        <f t="shared" si="285"/>
        <v>1114.9998982797456</v>
      </c>
      <c r="AT86" s="826">
        <f t="shared" si="285"/>
        <v>1107.9036468972154</v>
      </c>
      <c r="AU86" s="2069">
        <f t="shared" ref="AU86:AX86" si="290">SUM(AU84:AU85)</f>
        <v>1115</v>
      </c>
      <c r="AV86" s="995">
        <f t="shared" si="290"/>
        <v>1106.8927125506075</v>
      </c>
      <c r="AW86" s="1577">
        <f t="shared" si="290"/>
        <v>1114.9999076713518</v>
      </c>
      <c r="AX86" s="826">
        <f t="shared" si="290"/>
        <v>1107.8041574281497</v>
      </c>
      <c r="AY86" s="2069">
        <f t="shared" ref="AY86:BF86" si="291">SUM(AY84:AY85)</f>
        <v>1115</v>
      </c>
      <c r="AZ86" s="995">
        <f t="shared" si="291"/>
        <v>1106.4430707695105</v>
      </c>
      <c r="BA86" s="2005">
        <f t="shared" si="291"/>
        <v>1115</v>
      </c>
      <c r="BB86" s="1005">
        <f t="shared" si="291"/>
        <v>1106.9845431379574</v>
      </c>
      <c r="BC86" s="2006">
        <f t="shared" si="291"/>
        <v>1115.0003543915072</v>
      </c>
      <c r="BD86" s="1198">
        <f t="shared" si="291"/>
        <v>1107.2831691170354</v>
      </c>
      <c r="BE86" s="1577">
        <f t="shared" si="291"/>
        <v>1114.9999163858358</v>
      </c>
      <c r="BF86" s="826">
        <f t="shared" si="291"/>
        <v>1107.669745151399</v>
      </c>
    </row>
    <row r="87" spans="2:58" ht="20.100000000000001" customHeight="1" x14ac:dyDescent="0.25">
      <c r="B87" s="2467" t="s">
        <v>497</v>
      </c>
      <c r="C87" s="2468" t="s">
        <v>53</v>
      </c>
      <c r="D87" s="497">
        <f>+D89*D5/1000</f>
        <v>299111.97872300469</v>
      </c>
      <c r="E87" s="497">
        <f>+E89*E5/1000</f>
        <v>11455.433999999999</v>
      </c>
      <c r="F87" s="1847">
        <v>15365</v>
      </c>
      <c r="G87" s="1847">
        <f>+G89*G5/1000</f>
        <v>11856.325999999999</v>
      </c>
      <c r="H87" s="491">
        <v>11217</v>
      </c>
      <c r="I87" s="2649">
        <f>+E87+G87</f>
        <v>23311.759999999998</v>
      </c>
      <c r="J87" s="618">
        <f>+F87+H87</f>
        <v>26582</v>
      </c>
      <c r="K87" s="1847">
        <f>+K89*K5/1000</f>
        <v>27129.018</v>
      </c>
      <c r="L87" s="491">
        <v>29189</v>
      </c>
      <c r="M87" s="2650">
        <f>+I87+K87</f>
        <v>50440.777999999998</v>
      </c>
      <c r="N87" s="890">
        <f>+J87+L87</f>
        <v>55771</v>
      </c>
      <c r="O87" s="1847">
        <f>+O89*O5/1000</f>
        <v>28051.694835680752</v>
      </c>
      <c r="P87" s="491">
        <v>25447</v>
      </c>
      <c r="Q87" s="2649">
        <f>+M87+O87</f>
        <v>78492.472835680746</v>
      </c>
      <c r="R87" s="618">
        <f>+N87+P87</f>
        <v>81218</v>
      </c>
      <c r="S87" s="1847">
        <f>+S89*S5/1000</f>
        <v>28074.605633802817</v>
      </c>
      <c r="T87" s="491">
        <v>24608</v>
      </c>
      <c r="U87" s="2649">
        <f>+Q87+S87</f>
        <v>106567.07846948356</v>
      </c>
      <c r="V87" s="618">
        <f>+R87+T87</f>
        <v>105826</v>
      </c>
      <c r="W87" s="1847">
        <f>+W89*W5/1000</f>
        <v>27303.943661971829</v>
      </c>
      <c r="X87" s="491">
        <v>24473</v>
      </c>
      <c r="Y87" s="3528">
        <f t="shared" ref="Y87" si="292">+W87+S87+O87</f>
        <v>83430.244131455402</v>
      </c>
      <c r="Z87" s="3528">
        <f t="shared" ref="Z87" si="293">+X87+T87+P87</f>
        <v>74528</v>
      </c>
      <c r="AA87" s="2651">
        <f>+U87+W87</f>
        <v>133871.02213145539</v>
      </c>
      <c r="AB87" s="1203">
        <f>+V87+X87</f>
        <v>130299</v>
      </c>
      <c r="AC87" s="1847">
        <f>+AC89*AC5/1000</f>
        <v>28231.830985915491</v>
      </c>
      <c r="AD87" s="491">
        <v>28477</v>
      </c>
      <c r="AE87" s="2649">
        <f>+AA87+AC87</f>
        <v>162102.85311737089</v>
      </c>
      <c r="AF87" s="618">
        <f>+AB87+AD87</f>
        <v>158776</v>
      </c>
      <c r="AG87" s="1847">
        <f>+AG89*AG5/1000</f>
        <v>27303.943661971829</v>
      </c>
      <c r="AH87" s="491">
        <v>24948.388749999998</v>
      </c>
      <c r="AI87" s="2649">
        <f>+AE87+AG87</f>
        <v>189406.79677934272</v>
      </c>
      <c r="AJ87" s="618">
        <f>+AF87+AH87</f>
        <v>183724.38874999998</v>
      </c>
      <c r="AK87" s="1847">
        <f>+AK89*AK5/1000</f>
        <v>28231.776000000002</v>
      </c>
      <c r="AL87" s="491">
        <v>28109</v>
      </c>
      <c r="AM87" s="3528">
        <f t="shared" ref="AM87" si="294">+AK87+AG87+AC87</f>
        <v>83767.550647887314</v>
      </c>
      <c r="AN87" s="3528">
        <f t="shared" ref="AN87" si="295">+AL87+AH87+AD87</f>
        <v>81534.388749999998</v>
      </c>
      <c r="AO87" s="2649">
        <f>+AI87+AK87</f>
        <v>217638.57277934274</v>
      </c>
      <c r="AP87" s="618">
        <f>+AJ87+AL87</f>
        <v>211833.38874999998</v>
      </c>
      <c r="AQ87" s="1847">
        <f>+AQ89*AQ5/1000</f>
        <v>28231.830985915491</v>
      </c>
      <c r="AR87" s="491">
        <v>28585.439999999999</v>
      </c>
      <c r="AS87" s="2649">
        <f>+AO87+AQ87</f>
        <v>245870.40376525823</v>
      </c>
      <c r="AT87" s="618">
        <f>+AP87+AR87</f>
        <v>240418.82874999999</v>
      </c>
      <c r="AU87" s="1847">
        <f>+AU89*AU5/1000</f>
        <v>25009.767455399058</v>
      </c>
      <c r="AV87" s="491">
        <v>24940</v>
      </c>
      <c r="AW87" s="2649">
        <f>+AS87+AU87</f>
        <v>270880.1712206573</v>
      </c>
      <c r="AX87" s="618">
        <f>+AT87+AV87</f>
        <v>265358.82874999999</v>
      </c>
      <c r="AY87" s="1847">
        <f>+AY89*AY5/1000</f>
        <v>28231.830985915491</v>
      </c>
      <c r="AZ87" s="491">
        <v>29304.454529999999</v>
      </c>
      <c r="BA87" s="4249">
        <f t="shared" ref="BA87" si="296">+AY87+AU87+AQ87</f>
        <v>81473.429427230032</v>
      </c>
      <c r="BB87" s="4249">
        <f t="shared" ref="BB87" si="297">+AZ87+AV87+AR87</f>
        <v>82829.894530000005</v>
      </c>
      <c r="BC87" s="2651">
        <f>+AM87+BA87</f>
        <v>165240.98007511735</v>
      </c>
      <c r="BD87" s="1203">
        <f>+AN87+BB87</f>
        <v>164364.28328</v>
      </c>
      <c r="BE87" s="2649">
        <f>+AW87+AY87</f>
        <v>299112.0022065728</v>
      </c>
      <c r="BF87" s="618">
        <f>+AX87+AZ87</f>
        <v>294663.28327999997</v>
      </c>
    </row>
    <row r="88" spans="2:58" ht="20.100000000000001" customHeight="1" x14ac:dyDescent="0.25">
      <c r="B88" s="2469" t="s">
        <v>320</v>
      </c>
      <c r="C88" s="2058" t="s">
        <v>303</v>
      </c>
      <c r="D88" s="486">
        <v>118</v>
      </c>
      <c r="E88" s="497">
        <v>118</v>
      </c>
      <c r="F88" s="1848">
        <f>+F87/F23*1000</f>
        <v>151.27349341839698</v>
      </c>
      <c r="G88" s="1848">
        <v>118</v>
      </c>
      <c r="H88" s="497">
        <f>+H87/H23*1000</f>
        <v>137.9450285925106</v>
      </c>
      <c r="I88" s="606">
        <f>+I87/I23*1000</f>
        <v>118.33981420376668</v>
      </c>
      <c r="J88" s="606">
        <f>+J87/J23*1000</f>
        <v>145.34737486740374</v>
      </c>
      <c r="K88" s="1848">
        <v>118</v>
      </c>
      <c r="L88" s="497">
        <f>+L87/L23*1000</f>
        <v>147.78118117611322</v>
      </c>
      <c r="M88" s="621">
        <f>+M87/M23*1000</f>
        <v>118.34004447932342</v>
      </c>
      <c r="N88" s="621">
        <f>+N87/N23*1000</f>
        <v>146.61107620642429</v>
      </c>
      <c r="O88" s="1848">
        <v>118</v>
      </c>
      <c r="P88" s="497">
        <f>+P87/P23*1000</f>
        <v>133.60950970817714</v>
      </c>
      <c r="Q88" s="606">
        <f>+Q87/Q23*1000</f>
        <v>118.34002858326785</v>
      </c>
      <c r="R88" s="606">
        <f>+R87/R23*1000</f>
        <v>142.27331092266215</v>
      </c>
      <c r="S88" s="1848">
        <v>118</v>
      </c>
      <c r="T88" s="497">
        <f>+T87/T23*1000</f>
        <v>118.75760091114414</v>
      </c>
      <c r="U88" s="606">
        <f>+U87/U23*1000</f>
        <v>118.34002105313634</v>
      </c>
      <c r="V88" s="606">
        <f>+V87/V23*1000</f>
        <v>136.01072395706817</v>
      </c>
      <c r="W88" s="1848">
        <v>118.33999999999999</v>
      </c>
      <c r="X88" s="497">
        <f>+X87/X23*1000</f>
        <v>121.45168334127362</v>
      </c>
      <c r="Y88" s="621">
        <f>+Y87/Y23*1000</f>
        <v>118.34</v>
      </c>
      <c r="Z88" s="621">
        <f>+Z87/Z23*1000</f>
        <v>124.38456942390691</v>
      </c>
      <c r="AA88" s="1208">
        <f>+AA87/AA23*1000</f>
        <v>118.34001675919939</v>
      </c>
      <c r="AB88" s="1208">
        <f>+AB87/AB23*1000</f>
        <v>133.01584870989973</v>
      </c>
      <c r="AC88" s="1848">
        <v>118.33999999999999</v>
      </c>
      <c r="AD88" s="497">
        <f>+AD87/AD23*1000</f>
        <v>132.80014922937019</v>
      </c>
      <c r="AE88" s="606">
        <f>+AE87/AE23*1000</f>
        <v>118.34001384041709</v>
      </c>
      <c r="AF88" s="606">
        <f>+AF87/AF23*1000</f>
        <v>132.97711074446613</v>
      </c>
      <c r="AG88" s="1848">
        <v>118.33999999999999</v>
      </c>
      <c r="AH88" s="497">
        <f>+AH87/AH23*1000</f>
        <v>126.25</v>
      </c>
      <c r="AI88" s="606">
        <f>+AI87/AI23*1000</f>
        <v>118.34001184525106</v>
      </c>
      <c r="AJ88" s="606">
        <f>+AJ87/AJ23*1000</f>
        <v>132.02185706453122</v>
      </c>
      <c r="AK88" s="486">
        <v>118</v>
      </c>
      <c r="AL88" s="497">
        <f>+AL87/AL23*1000</f>
        <v>127.71187249258281</v>
      </c>
      <c r="AM88" s="621">
        <f>+AM87/AM23*1000</f>
        <v>118.33992232041024</v>
      </c>
      <c r="AN88" s="621">
        <f>+AN87/AN23*1000</f>
        <v>128.98092480657067</v>
      </c>
      <c r="AO88" s="606">
        <f>+AO87/AO23*1000</f>
        <v>118.33998041035814</v>
      </c>
      <c r="AP88" s="606">
        <f>+AP87/AP23*1000</f>
        <v>131.43328345901699</v>
      </c>
      <c r="AQ88" s="486">
        <v>118</v>
      </c>
      <c r="AR88" s="497">
        <f>+AR87/AR23*1000</f>
        <v>127.25</v>
      </c>
      <c r="AS88" s="606">
        <f>+AS87/AS23*1000</f>
        <v>118.33998265971947</v>
      </c>
      <c r="AT88" s="606">
        <f>+AT87/AT23*1000</f>
        <v>130.92154620722101</v>
      </c>
      <c r="AU88" s="486">
        <v>118</v>
      </c>
      <c r="AV88" s="497">
        <f>+AV87/AV23*1000</f>
        <v>124.50017721556901</v>
      </c>
      <c r="AW88" s="606">
        <f>+AW87/AW23*1000</f>
        <v>118.33998426070902</v>
      </c>
      <c r="AX88" s="606">
        <f>+AX87/AX23*1000</f>
        <v>130.28996162380031</v>
      </c>
      <c r="AY88" s="486">
        <v>118</v>
      </c>
      <c r="AZ88" s="497">
        <f t="shared" ref="AZ88:BF88" si="298">+AZ87/AZ23*1000</f>
        <v>131.57</v>
      </c>
      <c r="BA88" s="621">
        <f t="shared" si="298"/>
        <v>118.33999999999997</v>
      </c>
      <c r="BB88" s="621">
        <f t="shared" si="298"/>
        <v>127.88509090768733</v>
      </c>
      <c r="BC88" s="1208">
        <f t="shared" si="298"/>
        <v>118.33996062096053</v>
      </c>
      <c r="BD88" s="1208">
        <f t="shared" si="298"/>
        <v>128.42635193810443</v>
      </c>
      <c r="BE88" s="606">
        <f t="shared" si="298"/>
        <v>118.33998574626945</v>
      </c>
      <c r="BF88" s="606">
        <f t="shared" si="298"/>
        <v>130.41614585767596</v>
      </c>
    </row>
    <row r="89" spans="2:58" ht="20.100000000000001" customHeight="1" x14ac:dyDescent="0.25">
      <c r="B89" s="2469" t="s">
        <v>320</v>
      </c>
      <c r="C89" s="2058" t="s">
        <v>302</v>
      </c>
      <c r="D89" s="486">
        <v>122</v>
      </c>
      <c r="E89" s="497">
        <v>122</v>
      </c>
      <c r="F89" s="1848">
        <f>+F87/F5*1000</f>
        <v>153.86695240288807</v>
      </c>
      <c r="G89" s="3520">
        <v>122</v>
      </c>
      <c r="H89" s="497">
        <f>+H87/H5*1000</f>
        <v>140.2440549123553</v>
      </c>
      <c r="I89" s="606">
        <f>+I87/I5*1000</f>
        <v>122</v>
      </c>
      <c r="J89" s="606">
        <f>+J87/J5*1000</f>
        <v>147.80834181304598</v>
      </c>
      <c r="K89" s="1848">
        <v>122</v>
      </c>
      <c r="L89" s="497">
        <f>+L87/L5*1000</f>
        <v>149.53151334764323</v>
      </c>
      <c r="M89" s="621">
        <f>+M87/M5*1000</f>
        <v>122</v>
      </c>
      <c r="N89" s="621">
        <f>+N87/N5*1000</f>
        <v>148.70521858768569</v>
      </c>
      <c r="O89" s="1848">
        <v>122</v>
      </c>
      <c r="P89" s="497">
        <f>+P87/P5*1000</f>
        <v>135.2678832465993</v>
      </c>
      <c r="Q89" s="606">
        <f>+Q87/Q5*1000</f>
        <v>121.99999999999999</v>
      </c>
      <c r="R89" s="606">
        <f>+R87/R5*1000</f>
        <v>144.21654677919693</v>
      </c>
      <c r="S89" s="1848">
        <v>122</v>
      </c>
      <c r="T89" s="497">
        <f>+T87/T5*1000</f>
        <v>120.49750269317403</v>
      </c>
      <c r="U89" s="606">
        <f>+U87/U5*1000</f>
        <v>121.99999999999999</v>
      </c>
      <c r="V89" s="606">
        <f>+V87/V5*1000</f>
        <v>137.90434291954384</v>
      </c>
      <c r="W89" s="1848">
        <v>122</v>
      </c>
      <c r="X89" s="497">
        <f>+X87/X5*1000</f>
        <v>123.33627315106463</v>
      </c>
      <c r="Y89" s="621">
        <f>+Y87/Y5*1000</f>
        <v>122</v>
      </c>
      <c r="Z89" s="621">
        <f>+Z87/Z5*1000</f>
        <v>126.15442948839475</v>
      </c>
      <c r="AA89" s="1208">
        <f>+AA87/AA5*1000</f>
        <v>121.99999999999999</v>
      </c>
      <c r="AB89" s="1208">
        <f>+AB87/AB5*1000</f>
        <v>134.9113492066779</v>
      </c>
      <c r="AC89" s="1848">
        <v>122</v>
      </c>
      <c r="AD89" s="497">
        <f>+AD87/AD5*1000</f>
        <v>134.75771342040508</v>
      </c>
      <c r="AE89" s="606">
        <f>+AE87/AE5*1000</f>
        <v>121.99999999999999</v>
      </c>
      <c r="AF89" s="606">
        <f>+AF87/AF5*1000</f>
        <v>134.88376834543618</v>
      </c>
      <c r="AG89" s="1848">
        <v>122</v>
      </c>
      <c r="AH89" s="497">
        <f>+AH87/AH5*1000</f>
        <v>128.07772818046007</v>
      </c>
      <c r="AI89" s="606">
        <f>+AI87/AI5*1000</f>
        <v>122</v>
      </c>
      <c r="AJ89" s="606">
        <f>+AJ87/AJ5*1000</f>
        <v>133.91742011031229</v>
      </c>
      <c r="AK89" s="486">
        <v>122</v>
      </c>
      <c r="AL89" s="497">
        <f>+AL87/AL5*1000</f>
        <v>129.72526432866749</v>
      </c>
      <c r="AM89" s="621">
        <f>+AM87/AM5*1000</f>
        <v>121.99999999999999</v>
      </c>
      <c r="AN89" s="621">
        <f>+AN87/AN5*1000</f>
        <v>130.91752744094336</v>
      </c>
      <c r="AO89" s="606">
        <f>+AO87/AO5*1000</f>
        <v>122.00000000000001</v>
      </c>
      <c r="AP89" s="606">
        <f>+AP87/AP5*1000</f>
        <v>133.34562216260312</v>
      </c>
      <c r="AQ89" s="486">
        <v>122</v>
      </c>
      <c r="AR89" s="497">
        <f>+AR87/AR5*1000</f>
        <v>128.96482339512661</v>
      </c>
      <c r="AS89" s="606">
        <f>+AS87/AS5*1000</f>
        <v>122.00000000000001</v>
      </c>
      <c r="AT89" s="606">
        <f>+AT87/AT5*1000</f>
        <v>132.80922473991259</v>
      </c>
      <c r="AU89" s="486">
        <v>122</v>
      </c>
      <c r="AV89" s="497">
        <f>+AV87/AV5*1000</f>
        <v>126.21457489878543</v>
      </c>
      <c r="AW89" s="606">
        <f>+AW87/AW5*1000</f>
        <v>122</v>
      </c>
      <c r="AX89" s="606">
        <f>+AX87/AX5*1000</f>
        <v>132.16022293918343</v>
      </c>
      <c r="AY89" s="486">
        <v>122</v>
      </c>
      <c r="AZ89" s="497">
        <f t="shared" ref="AZ89:BF89" si="299">+AZ87/AZ5*1000</f>
        <v>133.19601168128719</v>
      </c>
      <c r="BA89" s="621">
        <f t="shared" si="299"/>
        <v>121.99999999999999</v>
      </c>
      <c r="BB89" s="621">
        <f t="shared" si="299"/>
        <v>129.57091921478329</v>
      </c>
      <c r="BC89" s="1208">
        <f t="shared" si="299"/>
        <v>121.99999999999997</v>
      </c>
      <c r="BD89" s="1208">
        <f t="shared" si="299"/>
        <v>130.23543607845934</v>
      </c>
      <c r="BE89" s="606">
        <f t="shared" si="299"/>
        <v>122</v>
      </c>
      <c r="BF89" s="606">
        <f t="shared" si="299"/>
        <v>132.26251085904138</v>
      </c>
    </row>
    <row r="90" spans="2:58" ht="20.100000000000001" customHeight="1" x14ac:dyDescent="0.25">
      <c r="B90" s="2469" t="s">
        <v>321</v>
      </c>
      <c r="C90" s="2058" t="s">
        <v>496</v>
      </c>
      <c r="D90" s="497">
        <f>+D91*D5/1000</f>
        <v>132393.82664788733</v>
      </c>
      <c r="E90" s="617">
        <f>+E91*E5/1000</f>
        <v>5070.4380000000001</v>
      </c>
      <c r="F90" s="1848">
        <v>5249.6379999999999</v>
      </c>
      <c r="G90" s="3520">
        <f>+G91*G5/1000</f>
        <v>5247.8819999999996</v>
      </c>
      <c r="H90" s="497">
        <v>4536.9049999999997</v>
      </c>
      <c r="I90" s="606">
        <f>+E90+G90</f>
        <v>10318.32</v>
      </c>
      <c r="J90" s="606">
        <f>+F90+H90</f>
        <v>9786.5429999999997</v>
      </c>
      <c r="K90" s="3520">
        <f>+K91*K5/1000</f>
        <v>12007.925999999999</v>
      </c>
      <c r="L90" s="497">
        <v>9973.491</v>
      </c>
      <c r="M90" s="621">
        <f>+I90+K90</f>
        <v>22326.245999999999</v>
      </c>
      <c r="N90" s="621">
        <f>+J90+L90</f>
        <v>19760.034</v>
      </c>
      <c r="O90" s="3520">
        <f>+O91*O5/1000</f>
        <v>12416.323943661973</v>
      </c>
      <c r="P90" s="497">
        <f>9393293/1000</f>
        <v>9393.2929999999997</v>
      </c>
      <c r="Q90" s="606">
        <f>+M90+O90</f>
        <v>34742.569943661976</v>
      </c>
      <c r="R90" s="606">
        <f>+N90+P90</f>
        <v>29153.326999999997</v>
      </c>
      <c r="S90" s="3520">
        <f>+S91*S5/1000</f>
        <v>12426.464788732395</v>
      </c>
      <c r="T90" s="497">
        <f>10016356/1000</f>
        <v>10016.356</v>
      </c>
      <c r="U90" s="606">
        <f>+Q90+S90</f>
        <v>47169.034732394372</v>
      </c>
      <c r="V90" s="606">
        <f>+R90+T90</f>
        <v>39169.682999999997</v>
      </c>
      <c r="W90" s="3520">
        <f>+W91*W5/1000</f>
        <v>12085.352112676057</v>
      </c>
      <c r="X90" s="497">
        <f>10033732/1000</f>
        <v>10033.732</v>
      </c>
      <c r="Y90" s="3528">
        <f t="shared" ref="Y90" si="300">+W90+S90+O90</f>
        <v>36928.140845070426</v>
      </c>
      <c r="Z90" s="3528">
        <f t="shared" ref="Z90" si="301">+X90+T90+P90</f>
        <v>29443.381000000001</v>
      </c>
      <c r="AA90" s="1208">
        <f>+U90+W90</f>
        <v>59254.386845070432</v>
      </c>
      <c r="AB90" s="1208">
        <f>+V90+X90</f>
        <v>49203.414999999994</v>
      </c>
      <c r="AC90" s="3520">
        <f>+AC91*AC5/1000</f>
        <v>12496.056338028169</v>
      </c>
      <c r="AD90" s="497">
        <f>10646486/1000</f>
        <v>10646.486000000001</v>
      </c>
      <c r="AE90" s="606">
        <f>+AA90+AC90</f>
        <v>71750.4431830986</v>
      </c>
      <c r="AF90" s="606">
        <f>+AB90+AD90</f>
        <v>59849.900999999998</v>
      </c>
      <c r="AG90" s="3520">
        <f>+AG91*AG5/1000</f>
        <v>12085.352112676057</v>
      </c>
      <c r="AH90" s="497">
        <f>9827895/1000</f>
        <v>9827.8950000000004</v>
      </c>
      <c r="AI90" s="606">
        <f>+AE90+AG90</f>
        <v>83835.79529577466</v>
      </c>
      <c r="AJ90" s="606">
        <f>+AF90+AH90</f>
        <v>69677.796000000002</v>
      </c>
      <c r="AK90" s="3520">
        <f>+AK91*AK5/1000</f>
        <v>12496.031999999999</v>
      </c>
      <c r="AL90" s="497">
        <f>10946488/1000</f>
        <v>10946.487999999999</v>
      </c>
      <c r="AM90" s="3528">
        <f t="shared" ref="AM90" si="302">+AK90+AG90+AC90</f>
        <v>37077.440450704227</v>
      </c>
      <c r="AN90" s="3528">
        <f t="shared" ref="AN90" si="303">+AL90+AH90+AD90</f>
        <v>31420.869000000002</v>
      </c>
      <c r="AO90" s="606">
        <f>+AI90+AK90</f>
        <v>96331.827295774652</v>
      </c>
      <c r="AP90" s="606">
        <f>+AJ90+AL90</f>
        <v>80624.284</v>
      </c>
      <c r="AQ90" s="3902">
        <f>+AQ91*AQ5/1000</f>
        <v>12496.056338028169</v>
      </c>
      <c r="AR90" s="617">
        <f>11205945/1000</f>
        <v>11205.945</v>
      </c>
      <c r="AS90" s="606">
        <f>+AO90+AQ90</f>
        <v>108827.88363380282</v>
      </c>
      <c r="AT90" s="606">
        <f>+AP90+AR90</f>
        <v>91830.228999999992</v>
      </c>
      <c r="AU90" s="4004">
        <f>+AU91*AU5/1000</f>
        <v>11069.897070422534</v>
      </c>
      <c r="AV90" s="617">
        <f>10225808/1000</f>
        <v>10225.808000000001</v>
      </c>
      <c r="AW90" s="606">
        <f>+AS90+AU90</f>
        <v>119897.78070422536</v>
      </c>
      <c r="AX90" s="606">
        <f>+AT90+AV90</f>
        <v>102056.037</v>
      </c>
      <c r="AY90" s="4247">
        <f>+AY91*AY5/1000</f>
        <v>12496.056338028169</v>
      </c>
      <c r="AZ90" s="617">
        <f>11415332/1000</f>
        <v>11415.332</v>
      </c>
      <c r="BA90" s="4249">
        <f t="shared" ref="BA90" si="304">+AY90+AU90+AQ90</f>
        <v>36062.009746478871</v>
      </c>
      <c r="BB90" s="4249">
        <f t="shared" ref="BB90" si="305">+AZ90+AV90+AR90</f>
        <v>32847.084999999999</v>
      </c>
      <c r="BC90" s="1208">
        <f>+AM90+BA90</f>
        <v>73139.45019718309</v>
      </c>
      <c r="BD90" s="1208">
        <f>+AN90+BB90</f>
        <v>64267.953999999998</v>
      </c>
      <c r="BE90" s="606">
        <f>+AW90+AY90</f>
        <v>132393.83704225352</v>
      </c>
      <c r="BF90" s="606">
        <f>+AX90+AZ90</f>
        <v>113471.36899999999</v>
      </c>
    </row>
    <row r="91" spans="2:58" ht="20.100000000000001" customHeight="1" x14ac:dyDescent="0.25">
      <c r="B91" s="2469" t="s">
        <v>322</v>
      </c>
      <c r="C91" s="2058" t="s">
        <v>304</v>
      </c>
      <c r="D91" s="486">
        <v>54</v>
      </c>
      <c r="E91" s="617">
        <v>54</v>
      </c>
      <c r="F91" s="1848">
        <f>+(F90*1000)/F5</f>
        <v>52.570504411219822</v>
      </c>
      <c r="G91" s="3520">
        <v>54</v>
      </c>
      <c r="H91" s="498">
        <f>+(H90*1000)/H5</f>
        <v>56.724075416968816</v>
      </c>
      <c r="I91" s="836">
        <f>+(I90*1000)/I5</f>
        <v>54</v>
      </c>
      <c r="J91" s="836">
        <f>+(J90*1000)/J5</f>
        <v>54.417752347907317</v>
      </c>
      <c r="K91" s="2652">
        <v>54</v>
      </c>
      <c r="L91" s="498">
        <f>+(L90*1000)/L5</f>
        <v>51.092918653914133</v>
      </c>
      <c r="M91" s="1016">
        <f>+(M90*1000)/M5</f>
        <v>54</v>
      </c>
      <c r="N91" s="1016">
        <f>+(N90*1000)/N5</f>
        <v>52.68724203026845</v>
      </c>
      <c r="O91" s="2652">
        <v>54</v>
      </c>
      <c r="P91" s="498">
        <f>+(P90*1000)/P5</f>
        <v>49.931656416280838</v>
      </c>
      <c r="Q91" s="836">
        <f>+(Q90*1000)/Q5</f>
        <v>53.999999999999993</v>
      </c>
      <c r="R91" s="836">
        <f>+(R90*1000)/R5</f>
        <v>51.766753023525872</v>
      </c>
      <c r="S91" s="2652">
        <v>54</v>
      </c>
      <c r="T91" s="498">
        <f>+(T90*1000)/T5</f>
        <v>49.046890608167665</v>
      </c>
      <c r="U91" s="836">
        <f>+(U90*1000)/U5</f>
        <v>54.000000000000007</v>
      </c>
      <c r="V91" s="836">
        <f>+(V90*1000)/V5</f>
        <v>51.042932705401576</v>
      </c>
      <c r="W91" s="2652">
        <v>54</v>
      </c>
      <c r="X91" s="498">
        <f>+(X90*1000)/X5</f>
        <v>50.566874133803701</v>
      </c>
      <c r="Y91" s="1016">
        <f>+(Y90*1000)/Y5</f>
        <v>54.000000000000007</v>
      </c>
      <c r="Z91" s="621">
        <f>+(Z90*1000)/Z5</f>
        <v>49.839160211792105</v>
      </c>
      <c r="AA91" s="1210">
        <f>+(AA90*1000)/AA5</f>
        <v>54</v>
      </c>
      <c r="AB91" s="1210">
        <f>+(AB90*1000)/AB5</f>
        <v>50.945127001942396</v>
      </c>
      <c r="AC91" s="2652">
        <v>54</v>
      </c>
      <c r="AD91" s="498">
        <f>+(AD90*1000)/AD5</f>
        <v>50.380872610259324</v>
      </c>
      <c r="AE91" s="836">
        <f>+(AE90*1000)/AE5</f>
        <v>54</v>
      </c>
      <c r="AF91" s="836">
        <f>+(AF90*1000)/AF5</f>
        <v>50.843831447959957</v>
      </c>
      <c r="AG91" s="2652">
        <v>54</v>
      </c>
      <c r="AH91" s="497">
        <f>+(AH90*1000)/AH5</f>
        <v>50.453537381090506</v>
      </c>
      <c r="AI91" s="836">
        <f>+(AI90*1000)/AI5</f>
        <v>54</v>
      </c>
      <c r="AJ91" s="836">
        <f>+(AJ90*1000)/AJ5</f>
        <v>50.788415967951558</v>
      </c>
      <c r="AK91" s="486">
        <v>54</v>
      </c>
      <c r="AL91" s="497">
        <f>+(AL90*1000)/AL5</f>
        <v>50.51891028747329</v>
      </c>
      <c r="AM91" s="1016">
        <f>+(AM90*1000)/AM5</f>
        <v>54</v>
      </c>
      <c r="AN91" s="621">
        <f>+(AN90*1000)/AN5</f>
        <v>50.451625903993637</v>
      </c>
      <c r="AO91" s="836">
        <f>+(AO90*1000)/AO5</f>
        <v>54</v>
      </c>
      <c r="AP91" s="836">
        <f>+(AP90*1000)/AP5</f>
        <v>50.751656171078508</v>
      </c>
      <c r="AQ91" s="486">
        <v>54</v>
      </c>
      <c r="AR91" s="497">
        <f>+(AR90*1000)/AR5</f>
        <v>50.556252340369859</v>
      </c>
      <c r="AS91" s="836">
        <f>+(AS90*1000)/AS5</f>
        <v>54</v>
      </c>
      <c r="AT91" s="836">
        <f>+(AT90*1000)/AT5</f>
        <v>50.727730371985849</v>
      </c>
      <c r="AU91" s="486">
        <v>54</v>
      </c>
      <c r="AV91" s="497">
        <f>+(AV90*1000)/AV5</f>
        <v>51.750040485829956</v>
      </c>
      <c r="AW91" s="836">
        <f>+(AW90*1000)/AW5</f>
        <v>54</v>
      </c>
      <c r="AX91" s="836">
        <f>+(AX90*1000)/AX5</f>
        <v>50.828339368789713</v>
      </c>
      <c r="AY91" s="486">
        <v>54</v>
      </c>
      <c r="AZ91" s="497">
        <f t="shared" ref="AZ91:BF91" si="306">+(AZ90*1000)/AZ5</f>
        <v>51.885514294804779</v>
      </c>
      <c r="BA91" s="1016">
        <f t="shared" si="306"/>
        <v>54</v>
      </c>
      <c r="BB91" s="621">
        <f t="shared" si="306"/>
        <v>51.382740749894801</v>
      </c>
      <c r="BC91" s="1210">
        <f t="shared" si="306"/>
        <v>53.999999999999986</v>
      </c>
      <c r="BD91" s="1210">
        <f t="shared" si="306"/>
        <v>50.923259287432003</v>
      </c>
      <c r="BE91" s="836">
        <f t="shared" si="306"/>
        <v>54</v>
      </c>
      <c r="BF91" s="836">
        <f t="shared" si="306"/>
        <v>50.932739252388039</v>
      </c>
    </row>
    <row r="92" spans="2:58" ht="20.100000000000001" customHeight="1" x14ac:dyDescent="0.25">
      <c r="B92" s="2622" t="s">
        <v>323</v>
      </c>
      <c r="C92" s="2058" t="s">
        <v>333</v>
      </c>
      <c r="D92" s="498">
        <v>4.6668368999999998</v>
      </c>
      <c r="E92" s="1030">
        <f>+(EMD!D25+EMD!D26)/24/E$2</f>
        <v>1.5673953999999999</v>
      </c>
      <c r="F92" s="1849">
        <f>+(EMD!E25+EMD!E26)/24/F$2</f>
        <v>3.0216666666666665</v>
      </c>
      <c r="G92" s="2653">
        <f>+(EMD!F25+EMD!F26)/24/G$2</f>
        <v>1.5717558</v>
      </c>
      <c r="H92" s="498">
        <f>+(EMD!G25+EMD!G26)/24/H$2</f>
        <v>2.9142473118279564</v>
      </c>
      <c r="I92" s="837">
        <f>+((E92*E2)+(G92*G2))/I2</f>
        <v>1.5696113409836066</v>
      </c>
      <c r="J92" s="837">
        <f>+((F92*F2)+(H92*H2))/J2</f>
        <v>2.9670765027322399</v>
      </c>
      <c r="K92" s="498">
        <f>+(EMD!J25+EMD!J26)/24/K$2</f>
        <v>5.2663780999999998</v>
      </c>
      <c r="L92" s="498">
        <f>+(EMD!K25+EMD!K26)/24/L$2</f>
        <v>4.6026666666666669</v>
      </c>
      <c r="M92" s="1017">
        <f>+((I92*I2)+(K92*K2))/M2</f>
        <v>2.788325657142857</v>
      </c>
      <c r="N92" s="1017">
        <f>+((J92*J2)+(L92*L2))/N2</f>
        <v>3.5062820512820512</v>
      </c>
      <c r="O92" s="498">
        <f>+(EMD!N25+EMD!N26)/24/O$2</f>
        <v>5.2705881000000003</v>
      </c>
      <c r="P92" s="498">
        <f>+(EMD!O25+EMD!O26)/24/P$2</f>
        <v>4.3159408602150533</v>
      </c>
      <c r="Q92" s="837">
        <f>+((M92*M2)+(O92*O2))/Q2</f>
        <v>3.4190644745901642</v>
      </c>
      <c r="R92" s="837">
        <f>+((N92*N2)+(P92*P2))/R2</f>
        <v>3.712015027322404</v>
      </c>
      <c r="S92" s="498">
        <f>+(EMD!R25+EMD!R26)/24/S$2</f>
        <v>5.2758206999999997</v>
      </c>
      <c r="T92" s="498">
        <f>+(EMD!S25+EMD!S26)/24/T$2</f>
        <v>4.694220430107527</v>
      </c>
      <c r="U92" s="837">
        <f>+((Q92*Q2)+(S92*S2))/U2</f>
        <v>3.7952699843137254</v>
      </c>
      <c r="V92" s="837">
        <f>+((R92*R2)+(T92*T2))/V2</f>
        <v>3.9110239651416121</v>
      </c>
      <c r="W92" s="498">
        <f>+(EMD!V25+EMD!V26)/24/W$2</f>
        <v>5.3076739000000002</v>
      </c>
      <c r="X92" s="498">
        <f>+(EMD!W25+EMD!W26)/24/X$2</f>
        <v>4.4902916666666668</v>
      </c>
      <c r="Y92" s="1017">
        <f>+((O92*O2)+(S92*S2)+(W92*W2))/Y2</f>
        <v>2.6566605999999999</v>
      </c>
      <c r="Z92" s="1017">
        <f>+((P92*P2)+(T92*T2)+(X92*X2))/Z2</f>
        <v>2.2624248633879782</v>
      </c>
      <c r="AA92" s="1211">
        <f>+((U92*U2)+(W92*W2))/AA2</f>
        <v>4.0432050524590162</v>
      </c>
      <c r="AB92" s="1211">
        <f>+((V92*V2)+(X92*X2))/AB2</f>
        <v>4.0059858834244082</v>
      </c>
      <c r="AC92" s="498">
        <f>+(EMD!AB25+EMD!AB26)/24/AC$2</f>
        <v>5.3117291000000009</v>
      </c>
      <c r="AD92" s="498">
        <f>+(EMD!AC25+EMD!AC26)/24/AD$2</f>
        <v>4.52622311827957</v>
      </c>
      <c r="AE92" s="837">
        <f>+((AA92*AA2)+(AC92*AC2))/AE2</f>
        <v>4.2269632088785052</v>
      </c>
      <c r="AF92" s="837">
        <f>+((AB92*AB2)+(AD92*AD2))/AF2</f>
        <v>4.0813473520249222</v>
      </c>
      <c r="AG92" s="498">
        <f>+(EMD!AF25+EMD!AF26)/24/AG$2</f>
        <v>5.3076739000000002</v>
      </c>
      <c r="AH92" s="498">
        <f>+(EMD!AG25+EMD!AG26)/24/AH$2</f>
        <v>4.4953611111111105</v>
      </c>
      <c r="AI92" s="837">
        <f>+((AE92*AE2)+(AG92*AG2))/AI2</f>
        <v>4.3598374741803276</v>
      </c>
      <c r="AJ92" s="837">
        <f>+((AF92*AF2)+(AH92*AH2))/AJ2</f>
        <v>4.1322506830601089</v>
      </c>
      <c r="AK92" s="498">
        <f>+(EMD!AJ25+EMD!AJ26)/24/AK$2</f>
        <v>5.3117291000000009</v>
      </c>
      <c r="AL92" s="498">
        <f>+(EMD!AK25+EMD!AK26)/24/AL$2</f>
        <v>4.5173655913978497</v>
      </c>
      <c r="AM92" s="1017">
        <f>+((AC92*AC2)+(AG92*AG2)+(AK92*AK2))/AM2</f>
        <v>5.3104067521739129</v>
      </c>
      <c r="AN92" s="1017">
        <f>+((AD92*AD2)+(AH92*AH2)+(AL92*AL2))/AN2</f>
        <v>4.5131748188405796</v>
      </c>
      <c r="AO92" s="837">
        <f>+((AI92*AI2)+(AK92*AK2))/AO2</f>
        <v>4.4671416210909092</v>
      </c>
      <c r="AP92" s="837">
        <f>+((AJ92*AJ2)+(AL92*AL2))/AP2</f>
        <v>4.1756636363636357</v>
      </c>
      <c r="AQ92" s="498">
        <f>+(EMD!AP25+EMD!AP26)/24/AQ$2</f>
        <v>5.3117291000000009</v>
      </c>
      <c r="AR92" s="498">
        <f>+(EMD!AQ25+EMD!AQ26)/24/AR$2</f>
        <v>4.500013440860215</v>
      </c>
      <c r="AS92" s="837">
        <f>+((AO92*AO2)+(AQ92*AQ2))/AS2</f>
        <v>4.5527044049019603</v>
      </c>
      <c r="AT92" s="837">
        <f>+((AP92*AP2)+(AR92*AR2))/AT2</f>
        <v>4.2085226034858385</v>
      </c>
      <c r="AU92" s="498">
        <f>+(EMD!AT25+EMD!AT26)/24/AU$2</f>
        <v>5.1878407999999991</v>
      </c>
      <c r="AV92" s="498">
        <f>+(EMD!AU25+EMD!AU26)/24/AV$2</f>
        <v>4.5</v>
      </c>
      <c r="AW92" s="837">
        <f>+((AS92*AS2)+(AU92*AU2))/AW2</f>
        <v>4.6059493721556874</v>
      </c>
      <c r="AX92" s="837">
        <f>+((AT92*AT2)+(AV92*AV2))/AX2</f>
        <v>4.2329578343313372</v>
      </c>
      <c r="AY92" s="498">
        <f>+(EMD!AX25+EMD!AX26)/24/AY$2</f>
        <v>5.3117291000000009</v>
      </c>
      <c r="AZ92" s="498">
        <f>+(EMD!AY25+EMD!AY26)/24/AZ$2</f>
        <v>4.5161290322580649</v>
      </c>
      <c r="BA92" s="1017">
        <f>+((AQ92*AQ2)+(AU92*AU2)+(AY92*AY2))/BA2</f>
        <v>5.273186073333334</v>
      </c>
      <c r="BB92" s="1017">
        <f>+((AR92*AR2)+(AV92*AV2)+(AZ92*AZ2))/BB2</f>
        <v>4.5055601851851845</v>
      </c>
      <c r="BC92" s="1211">
        <f>+((AM92*AM2)+(BA92*BA2))/BC2</f>
        <v>5.2920009219780226</v>
      </c>
      <c r="BD92" s="1211">
        <f>+((AN92*AN2)+(BB92*BB2))/BD2</f>
        <v>4.5094093406593396</v>
      </c>
      <c r="BE92" s="837">
        <f>+((AW92*AW2)+(AY92*AY2))/BE2</f>
        <v>4.6658923079452039</v>
      </c>
      <c r="BF92" s="837">
        <f>+((AX92*AX2)+(AZ92*AZ2))/BF2</f>
        <v>4.2570079908675797</v>
      </c>
    </row>
    <row r="93" spans="2:58" ht="20.100000000000001" customHeight="1" x14ac:dyDescent="0.25">
      <c r="B93" s="2622" t="s">
        <v>571</v>
      </c>
      <c r="C93" s="2058" t="s">
        <v>714</v>
      </c>
      <c r="D93" s="486">
        <v>0.6</v>
      </c>
      <c r="E93" s="1027">
        <f>+(EMD!D68)/24/E$2</f>
        <v>0.6</v>
      </c>
      <c r="F93" s="1849">
        <f>+(EMD!E68)/24/F$2</f>
        <v>0.49382515268968752</v>
      </c>
      <c r="G93" s="1226">
        <f>+(EMD!F68)/24/G$2</f>
        <v>0.6</v>
      </c>
      <c r="H93" s="498">
        <f>+(EMD!G68)/24/H$2</f>
        <v>0.44455779569892473</v>
      </c>
      <c r="I93" s="1002">
        <f>+((E93*E2)+(G93*G2))/I2</f>
        <v>0.59999999999999987</v>
      </c>
      <c r="J93" s="1002">
        <f>+((F93*F2)+(H93*H2))/J2</f>
        <v>0.4687876433992999</v>
      </c>
      <c r="K93" s="498">
        <f>+(EMD!J68)/24/K$2</f>
        <v>0.59999999999999987</v>
      </c>
      <c r="L93" s="498">
        <f>+(EMD!K68)/24/L$2</f>
        <v>0.92473472222222219</v>
      </c>
      <c r="M93" s="1018">
        <f>+((I93*I2)+(K93*K2))/M2</f>
        <v>0.6</v>
      </c>
      <c r="N93" s="1018">
        <f>+((J93*J2)+(L93*L2))/N2</f>
        <v>0.61909986718707644</v>
      </c>
      <c r="O93" s="498">
        <f>+(EMD!N68)/24/O$2</f>
        <v>0.6</v>
      </c>
      <c r="P93" s="498">
        <f>+(EMD!O68)/24/P$2</f>
        <v>1.2893642473118281</v>
      </c>
      <c r="Q93" s="1002">
        <f>+((M93*M2)+(O93*O2))/Q2</f>
        <v>0.6</v>
      </c>
      <c r="R93" s="1002">
        <f>+((N93*N2)+(P93*P2))/R2</f>
        <v>0.78941294738271006</v>
      </c>
      <c r="S93" s="498">
        <f>+(EMD!R68)/24/S$2</f>
        <v>0.6</v>
      </c>
      <c r="T93" s="498">
        <f>+(EMD!S68)/24/T$2</f>
        <v>0.71779569892473116</v>
      </c>
      <c r="U93" s="1002">
        <f>+((Q93*Q2)+(S93*S2))/U2</f>
        <v>0.6</v>
      </c>
      <c r="V93" s="1002">
        <f>+((R93*R2)+(T93*T2))/V2</f>
        <v>0.77490226305462284</v>
      </c>
      <c r="W93" s="498">
        <f>+(EMD!V68)/24/W$2</f>
        <v>0.6</v>
      </c>
      <c r="X93" s="498">
        <f>+(EMD!W68)/24/X$2</f>
        <v>1.2239250000000002</v>
      </c>
      <c r="Y93" s="1018">
        <f>+((O93*O2)+(S93*S2)+(W93*W2))/Y2</f>
        <v>0.30163934426229505</v>
      </c>
      <c r="Z93" s="1018">
        <f>+((P93*P2)+(T93*T2)+(X93*X2))/Z2</f>
        <v>0.54065414389799638</v>
      </c>
      <c r="AA93" s="1213">
        <f>+((U93*U2)+(W93*W2))/AA2</f>
        <v>0.6</v>
      </c>
      <c r="AB93" s="1213">
        <f>+((V93*V2)+(X93*X2))/AB2</f>
        <v>0.84851254779976659</v>
      </c>
      <c r="AC93" s="498">
        <f>+(EMD!AB68)/24/AC$2</f>
        <v>0.58064516129032262</v>
      </c>
      <c r="AD93" s="498">
        <f>+(EMD!AC68)/24/AD$2</f>
        <v>1.2549327956989247</v>
      </c>
      <c r="AE93" s="1002">
        <f>+((AA93*AA2)+(AC93*AC2))/AE2</f>
        <v>0.59719626168224293</v>
      </c>
      <c r="AF93" s="1002">
        <f>+((AB93*AB2)+(AD93*AD2))/AF2</f>
        <v>0.90738650894403716</v>
      </c>
      <c r="AG93" s="498">
        <f>+(EMD!AF68)/24/AG$2</f>
        <v>0.6</v>
      </c>
      <c r="AH93" s="498">
        <f>+(EMD!AG68)/24/AH$2</f>
        <v>1.1255541666666666</v>
      </c>
      <c r="AI93" s="1002">
        <f>+((AE93*AE2)+(AG93*AG2))/AI2</f>
        <v>0.59754098360655727</v>
      </c>
      <c r="AJ93" s="1002">
        <f>+((AF93*AF2)+(AH93*AH2))/AJ2</f>
        <v>0.93421040128698341</v>
      </c>
      <c r="AK93" s="498">
        <f>+(EMD!AJ68)/24/AK$2</f>
        <v>0.6</v>
      </c>
      <c r="AL93" s="498">
        <f>+(EMD!AK68)/24/AL$2</f>
        <v>1.3222043010752689</v>
      </c>
      <c r="AM93" s="1018">
        <f>+((AC93*AC2)+(AG93*AG2)+(AK93*AK2))/AM2</f>
        <v>0.59347826086956512</v>
      </c>
      <c r="AN93" s="1018">
        <f>+((AD93*AD2)+(AH93*AH2)+(AL93*AL2))/AN2</f>
        <v>1.2354116847826087</v>
      </c>
      <c r="AO93" s="1002">
        <f>+((AI93*AI2)+(AK93*AK2))/AO2</f>
        <v>0.59781818181818169</v>
      </c>
      <c r="AP93" s="1002">
        <f>+((AJ93*AJ2)+(AL93*AL2))/AP2</f>
        <v>0.97794789544493554</v>
      </c>
      <c r="AQ93" s="498">
        <f>+(EMD!AP68)/24/AQ$2</f>
        <v>0.6</v>
      </c>
      <c r="AR93" s="498">
        <f>+(EMD!AQ68)/24/AR$2</f>
        <v>1.3314919354838708</v>
      </c>
      <c r="AS93" s="1002">
        <f>+((AO93*AO2)+(AQ93*AQ2))/AS2</f>
        <v>0.59803921568627438</v>
      </c>
      <c r="AT93" s="1002">
        <f>+((AP93*AP2)+(AR93*AR2))/AT2</f>
        <v>1.0137644485207755</v>
      </c>
      <c r="AU93" s="498">
        <f>+(EMD!AT68)/24/AU$2</f>
        <v>0.6</v>
      </c>
      <c r="AV93" s="498">
        <f>+(EMD!AU68)/24/AV$2</f>
        <v>1.5969871138870195</v>
      </c>
      <c r="AW93" s="1002">
        <f>+((AS93*AS2)+(AU93*AU2))/AW2</f>
        <v>0.59820359281437119</v>
      </c>
      <c r="AX93" s="1002">
        <f>+((AT93*AT2)+(AV93*AV2))/AX2</f>
        <v>1.0626573665754306</v>
      </c>
      <c r="AY93" s="498">
        <f>+(EMD!AX68)/24/AY$2</f>
        <v>0.6</v>
      </c>
      <c r="AZ93" s="498">
        <f>+(EMD!AY68)/24/AZ$2</f>
        <v>0.67348521505376335</v>
      </c>
      <c r="BA93" s="1018">
        <f>+((AQ93*AQ2)+(AU93*AU2)+(AY93*AY2))/BA2</f>
        <v>0.6</v>
      </c>
      <c r="BB93" s="1018">
        <f>+((AR93*AR2)+(AV93*AV2)+(AZ93*AZ2))/BB2</f>
        <v>1.187443676172258</v>
      </c>
      <c r="BC93" s="1213">
        <f>+((AM93*AM2)+(BA93*BA2))/BC2</f>
        <v>0.59670329670329669</v>
      </c>
      <c r="BD93" s="1213">
        <f>+((AN93*AN2)+(BB93*BB2))/BD2</f>
        <v>1.2116912409643033</v>
      </c>
      <c r="BE93" s="1002">
        <f>+((AW93*AW2)+(AY93*AY2))/BE2</f>
        <v>0.59835616438356154</v>
      </c>
      <c r="BF93" s="1002">
        <f>+((AX93*AX2)+(AZ93*AZ2))/BF2</f>
        <v>1.0296043893229054</v>
      </c>
    </row>
    <row r="94" spans="2:58" ht="20.100000000000001" customHeight="1" x14ac:dyDescent="0.25">
      <c r="B94" s="2622" t="s">
        <v>324</v>
      </c>
      <c r="C94" s="2058" t="s">
        <v>242</v>
      </c>
      <c r="D94" s="486">
        <f>26.5496817311831*365*24*1000</f>
        <v>232575211.96516395</v>
      </c>
      <c r="E94" s="617">
        <f>+'POWER DISTRIBUTION'!I23</f>
        <v>10898967.136150224</v>
      </c>
      <c r="F94" s="3520">
        <f>+'POWER DISTRIBUTION'!J23</f>
        <v>11048350</v>
      </c>
      <c r="G94" s="3520">
        <f>+'POWER DISTRIBUTION'!K23</f>
        <v>11276830.985915491</v>
      </c>
      <c r="H94" s="3520">
        <f>+'POWER DISTRIBUTION'!L23</f>
        <v>11507620</v>
      </c>
      <c r="I94" s="850">
        <f>+E94+G94</f>
        <v>22175798.122065715</v>
      </c>
      <c r="J94" s="850">
        <f>+F94+H94</f>
        <v>22555970</v>
      </c>
      <c r="K94" s="3520">
        <f>+'POWER DISTRIBUTION'!O23</f>
        <v>20695840.44600939</v>
      </c>
      <c r="L94" s="3520">
        <f>+'POWER DISTRIBUTION'!P23</f>
        <v>20701631.000000007</v>
      </c>
      <c r="M94" s="1019">
        <f>+I94+K94</f>
        <v>42871638.568075106</v>
      </c>
      <c r="N94" s="1019">
        <f>+J94+L94</f>
        <v>43257601.000000007</v>
      </c>
      <c r="O94" s="3520">
        <f>+'POWER DISTRIBUTION'!S23</f>
        <v>21399764.248826291</v>
      </c>
      <c r="P94" s="3520">
        <f>+'POWER DISTRIBUTION'!T23</f>
        <v>20294838.999999996</v>
      </c>
      <c r="Q94" s="850">
        <f>+M94+O94</f>
        <v>64271402.816901401</v>
      </c>
      <c r="R94" s="850">
        <f>+N94+P94</f>
        <v>63552440</v>
      </c>
      <c r="S94" s="3520">
        <f>+'POWER DISTRIBUTION'!W23</f>
        <v>21417242.183098592</v>
      </c>
      <c r="T94" s="3520">
        <f>+'POWER DISTRIBUTION'!X23</f>
        <v>20253659.999999996</v>
      </c>
      <c r="U94" s="850">
        <f>+Q94+S94</f>
        <v>85688645</v>
      </c>
      <c r="V94" s="850">
        <f>+R94+T94</f>
        <v>83806100</v>
      </c>
      <c r="W94" s="3520">
        <f>+'POWER DISTRIBUTION'!AA23</f>
        <v>20829328.169014085</v>
      </c>
      <c r="X94" s="3520">
        <f>+'POWER DISTRIBUTION'!AB23</f>
        <v>20929629.999999996</v>
      </c>
      <c r="Y94" s="3528">
        <f t="shared" ref="Y94:Z94" si="307">+W94+S94+O94</f>
        <v>63646334.600938976</v>
      </c>
      <c r="Z94" s="3528">
        <f t="shared" si="307"/>
        <v>61478128.999999985</v>
      </c>
      <c r="AA94" s="1214">
        <f>+U94+W94</f>
        <v>106517973.16901408</v>
      </c>
      <c r="AB94" s="1214">
        <f>+V94+X94</f>
        <v>104735730</v>
      </c>
      <c r="AC94" s="3520">
        <f>+'POWER DISTRIBUTION'!AG23</f>
        <v>21537184.507042252</v>
      </c>
      <c r="AD94" s="3520">
        <f>+'POWER DISTRIBUTION'!AH23</f>
        <v>21396499.999999993</v>
      </c>
      <c r="AE94" s="850">
        <f>+AA94+AC94</f>
        <v>128055157.67605633</v>
      </c>
      <c r="AF94" s="850">
        <f>+AB94+AD94</f>
        <v>126132230</v>
      </c>
      <c r="AG94" s="3520">
        <f>+'POWER DISTRIBUTION'!AK23</f>
        <v>20829328.169014085</v>
      </c>
      <c r="AH94" s="3520">
        <f>+'POWER DISTRIBUTION'!AL23</f>
        <v>19810640.000000007</v>
      </c>
      <c r="AI94" s="850">
        <f>+AE94+AG94</f>
        <v>148884485.84507042</v>
      </c>
      <c r="AJ94" s="850">
        <f>+AF94+AH94</f>
        <v>145942870</v>
      </c>
      <c r="AK94" s="3520">
        <f>+'POWER DISTRIBUTION'!AO23</f>
        <v>21537184.507042252</v>
      </c>
      <c r="AL94" s="3520">
        <f>+'POWER DISTRIBUTION'!AP23</f>
        <v>21468039.999999993</v>
      </c>
      <c r="AM94" s="3528">
        <f t="shared" ref="AM94" si="308">+AK94+AG94+AC94</f>
        <v>63903697.183098592</v>
      </c>
      <c r="AN94" s="3528">
        <f t="shared" ref="AN94" si="309">+AL94+AH94+AD94</f>
        <v>62675179.999999993</v>
      </c>
      <c r="AO94" s="850">
        <f>+AI94+AK94</f>
        <v>170421670.35211268</v>
      </c>
      <c r="AP94" s="850">
        <f>+AJ94+AL94</f>
        <v>167410910</v>
      </c>
      <c r="AQ94" s="3902">
        <f>+'POWER DISTRIBUTION'!AU23</f>
        <v>21537184.507042252</v>
      </c>
      <c r="AR94" s="3902">
        <f>+'POWER DISTRIBUTION'!AV23</f>
        <v>21098251.000000007</v>
      </c>
      <c r="AS94" s="850">
        <f>+AO94+AQ94</f>
        <v>191958854.85915494</v>
      </c>
      <c r="AT94" s="850">
        <f>+AP94+AR94</f>
        <v>188509161</v>
      </c>
      <c r="AU94" s="4004">
        <f>+'POWER DISTRIBUTION'!AY23</f>
        <v>19079172.598967131</v>
      </c>
      <c r="AV94" s="4004">
        <f>+'POWER DISTRIBUTION'!AZ23</f>
        <v>18275808.999999993</v>
      </c>
      <c r="AW94" s="850">
        <f>+AS94+AU94</f>
        <v>211038027.45812207</v>
      </c>
      <c r="AX94" s="850">
        <f>+AT94+AV94</f>
        <v>206784970</v>
      </c>
      <c r="AY94" s="4470">
        <f>+'POWER DISTRIBUTION'!BC23</f>
        <v>21537184.507042252</v>
      </c>
      <c r="AZ94" s="4470">
        <f>+'POWER DISTRIBUTION'!BD23</f>
        <v>20999079.999999996</v>
      </c>
      <c r="BA94" s="4249">
        <f t="shared" ref="BA94" si="310">+AY94+AU94+AQ94</f>
        <v>62153541.613051631</v>
      </c>
      <c r="BB94" s="4249">
        <f t="shared" ref="BB94" si="311">+AZ94+AV94+AR94</f>
        <v>60373139.999999993</v>
      </c>
      <c r="BC94" s="1214">
        <f>+AM94+BA94</f>
        <v>126057238.79615022</v>
      </c>
      <c r="BD94" s="1214">
        <f>+AN94+BB94</f>
        <v>123048319.99999999</v>
      </c>
      <c r="BE94" s="850">
        <f>+AW94+AY94</f>
        <v>232575211.96516433</v>
      </c>
      <c r="BF94" s="850">
        <f>+AX94+AZ94</f>
        <v>227784050</v>
      </c>
    </row>
    <row r="95" spans="2:58" ht="20.100000000000001" customHeight="1" x14ac:dyDescent="0.25">
      <c r="B95" s="2622" t="s">
        <v>325</v>
      </c>
      <c r="C95" s="2058" t="s">
        <v>305</v>
      </c>
      <c r="D95" s="496">
        <f>+D94/D5</f>
        <v>94.861382619604669</v>
      </c>
      <c r="E95" s="1027">
        <f t="shared" ref="E95:AF95" si="312">+E94/E5</f>
        <v>116.07364597537966</v>
      </c>
      <c r="F95" s="1225">
        <f t="shared" si="312"/>
        <v>110.63950169739333</v>
      </c>
      <c r="G95" s="1226">
        <f t="shared" si="312"/>
        <v>116.03707424051008</v>
      </c>
      <c r="H95" s="1225">
        <f t="shared" si="312"/>
        <v>143.87762246505463</v>
      </c>
      <c r="I95" s="1002">
        <f t="shared" si="312"/>
        <v>116.05504564614672</v>
      </c>
      <c r="J95" s="1002">
        <f t="shared" si="312"/>
        <v>125.42173364249531</v>
      </c>
      <c r="K95" s="1226">
        <f t="shared" si="312"/>
        <v>93.069809397934918</v>
      </c>
      <c r="L95" s="1225">
        <f t="shared" si="312"/>
        <v>106.05180760541595</v>
      </c>
      <c r="M95" s="1018">
        <f t="shared" si="312"/>
        <v>103.69268898479645</v>
      </c>
      <c r="N95" s="1018">
        <f t="shared" si="312"/>
        <v>115.34006943185335</v>
      </c>
      <c r="O95" s="1226">
        <f t="shared" si="312"/>
        <v>93.07</v>
      </c>
      <c r="P95" s="1225">
        <f t="shared" si="312"/>
        <v>107.88068976148581</v>
      </c>
      <c r="Q95" s="1002">
        <f t="shared" si="312"/>
        <v>99.896344966438534</v>
      </c>
      <c r="R95" s="1002">
        <f t="shared" si="312"/>
        <v>112.84830254613641</v>
      </c>
      <c r="S95" s="1226">
        <f t="shared" ref="S95:V95" si="313">+S94/S5</f>
        <v>93.07</v>
      </c>
      <c r="T95" s="1225">
        <f t="shared" si="313"/>
        <v>99.175692880227189</v>
      </c>
      <c r="U95" s="1002">
        <f t="shared" si="313"/>
        <v>98.097975849019818</v>
      </c>
      <c r="V95" s="1002">
        <f t="shared" si="313"/>
        <v>109.20969471726782</v>
      </c>
      <c r="W95" s="1226">
        <f t="shared" ref="W95:X95" si="314">+W94/W5</f>
        <v>93.070000000000007</v>
      </c>
      <c r="X95" s="1225">
        <f t="shared" si="314"/>
        <v>105.47879551467807</v>
      </c>
      <c r="Y95" s="1017">
        <f t="shared" si="312"/>
        <v>93.070000000000007</v>
      </c>
      <c r="Z95" s="1017">
        <f t="shared" si="312"/>
        <v>104.06475807762097</v>
      </c>
      <c r="AA95" s="1211">
        <f t="shared" si="312"/>
        <v>97.072484543062757</v>
      </c>
      <c r="AB95" s="1211">
        <f t="shared" si="312"/>
        <v>108.44318563032971</v>
      </c>
      <c r="AC95" s="1226">
        <f t="shared" si="312"/>
        <v>93.07</v>
      </c>
      <c r="AD95" s="1225">
        <f t="shared" si="312"/>
        <v>101.25165625591517</v>
      </c>
      <c r="AE95" s="1002">
        <f t="shared" si="312"/>
        <v>96.375411882277007</v>
      </c>
      <c r="AF95" s="1002">
        <f t="shared" si="312"/>
        <v>107.1521545587071</v>
      </c>
      <c r="AG95" s="1226">
        <f t="shared" ref="AG95:AJ95" si="315">+AG94/AG5</f>
        <v>93.070000000000007</v>
      </c>
      <c r="AH95" s="1225">
        <f t="shared" si="315"/>
        <v>101.70202935453901</v>
      </c>
      <c r="AI95" s="1002">
        <f t="shared" si="315"/>
        <v>95.898920112457134</v>
      </c>
      <c r="AJ95" s="1002">
        <f t="shared" si="315"/>
        <v>106.37832443949114</v>
      </c>
      <c r="AK95" s="1226">
        <f t="shared" ref="AK95:AN95" si="316">+AK94/AK5</f>
        <v>93.070181268764486</v>
      </c>
      <c r="AL95" s="1225">
        <f t="shared" si="316"/>
        <v>99.076707233213767</v>
      </c>
      <c r="AM95" s="1017">
        <f t="shared" si="316"/>
        <v>93.070061092142666</v>
      </c>
      <c r="AN95" s="1017">
        <f t="shared" si="316"/>
        <v>100.63581420442137</v>
      </c>
      <c r="AO95" s="1002">
        <f t="shared" ref="AO95:AT95" si="317">+AO94/AO5</f>
        <v>95.531980004470867</v>
      </c>
      <c r="AP95" s="1002">
        <f t="shared" si="317"/>
        <v>105.38240492910757</v>
      </c>
      <c r="AQ95" s="1226">
        <f t="shared" si="317"/>
        <v>93.07</v>
      </c>
      <c r="AR95" s="1225">
        <f t="shared" si="317"/>
        <v>95.185948306587363</v>
      </c>
      <c r="AS95" s="1002">
        <f t="shared" si="317"/>
        <v>95.249285534894597</v>
      </c>
      <c r="AT95" s="1002">
        <f t="shared" si="317"/>
        <v>104.13392186855236</v>
      </c>
      <c r="AU95" s="1226">
        <f t="shared" ref="AU95:AX95" si="318">+AU94/AU5</f>
        <v>93.069999999999979</v>
      </c>
      <c r="AV95" s="1225">
        <f t="shared" si="318"/>
        <v>92.488911943319806</v>
      </c>
      <c r="AW95" s="1002">
        <f t="shared" si="318"/>
        <v>95.048076918549498</v>
      </c>
      <c r="AX95" s="1002">
        <f t="shared" si="318"/>
        <v>102.98789704645301</v>
      </c>
      <c r="AY95" s="1226">
        <f t="shared" ref="AY95:AZ95" si="319">+AY94/AY5</f>
        <v>93.07</v>
      </c>
      <c r="AZ95" s="1225">
        <f t="shared" si="319"/>
        <v>95.446025180673587</v>
      </c>
      <c r="BA95" s="1017">
        <f t="shared" ref="BA95:BF95" si="320">+BA94/BA5</f>
        <v>93.07</v>
      </c>
      <c r="BB95" s="1017">
        <f t="shared" si="320"/>
        <v>94.441786870192701</v>
      </c>
      <c r="BC95" s="1211">
        <f t="shared" si="320"/>
        <v>93.070030970157347</v>
      </c>
      <c r="BD95" s="1211">
        <f t="shared" si="320"/>
        <v>97.498381607774604</v>
      </c>
      <c r="BE95" s="1002">
        <f t="shared" si="320"/>
        <v>94.861375171947358</v>
      </c>
      <c r="BF95" s="1002">
        <f t="shared" si="320"/>
        <v>102.24310966498449</v>
      </c>
    </row>
    <row r="96" spans="2:58" ht="20.100000000000001" customHeight="1" x14ac:dyDescent="0.25">
      <c r="B96" s="2622" t="s">
        <v>326</v>
      </c>
      <c r="C96" s="2058" t="s">
        <v>1626</v>
      </c>
      <c r="D96" s="486">
        <v>3.9E-2</v>
      </c>
      <c r="E96" s="1031">
        <v>3.9E-2</v>
      </c>
      <c r="F96" s="1850">
        <v>6.4000000000000001E-2</v>
      </c>
      <c r="G96" s="2654">
        <v>3.9E-2</v>
      </c>
      <c r="H96" s="499">
        <v>8.5999999999999993E-2</v>
      </c>
      <c r="I96" s="1003">
        <f>+((E96*E23)+(G96*G23))/I23</f>
        <v>3.9E-2</v>
      </c>
      <c r="J96" s="1003">
        <f>+((F96*F23)+(H96*H23))/J23</f>
        <v>7.3781667268134232E-2</v>
      </c>
      <c r="K96" s="2654">
        <v>3.9E-2</v>
      </c>
      <c r="L96" s="499">
        <v>4.9000000000000002E-2</v>
      </c>
      <c r="M96" s="1020">
        <f>+((I96*I23)+(K96*K23))/M23</f>
        <v>3.9E-2</v>
      </c>
      <c r="N96" s="1020">
        <f>+((J96*J23)+(L96*L23))/N23</f>
        <v>6.091432199179287E-2</v>
      </c>
      <c r="O96" s="2654">
        <v>3.9E-2</v>
      </c>
      <c r="P96" s="499">
        <v>4.8000000000000001E-2</v>
      </c>
      <c r="Q96" s="1003">
        <f>+((M96*M23)+(O96*O23))/Q23</f>
        <v>3.8999999999999993E-2</v>
      </c>
      <c r="R96" s="1003">
        <f>+((N96*N23)+(P96*P23))/R23</f>
        <v>5.6605664446036583E-2</v>
      </c>
      <c r="S96" s="2654">
        <v>3.9E-2</v>
      </c>
      <c r="T96" s="499">
        <v>0.05</v>
      </c>
      <c r="U96" s="1003">
        <f>+((Q96*Q23)+(S96*S23))/U23</f>
        <v>3.8999999999999993E-2</v>
      </c>
      <c r="V96" s="1003">
        <f>+((R96*R23)+(T96*T23))/V23</f>
        <v>5.484647673541361E-2</v>
      </c>
      <c r="W96" s="2654">
        <v>3.9E-2</v>
      </c>
      <c r="X96" s="1031">
        <v>4.5999999999999999E-2</v>
      </c>
      <c r="Y96" s="1019">
        <f>+((O96*O23)+(S96*S23)+(W96*W23))/Y23</f>
        <v>3.9E-2</v>
      </c>
      <c r="Z96" s="1020">
        <f>+((P96*P23)+(T96*T23)+(X96*X23))/Z23</f>
        <v>4.8019052896153713E-2</v>
      </c>
      <c r="AA96" s="1214">
        <f>+((U96*U23)+(W96*W23))/AA23</f>
        <v>3.8999999999999993E-2</v>
      </c>
      <c r="AB96" s="1215">
        <f>+((V96*V23)+(X96*X23))/AB23</f>
        <v>5.302670750070184E-2</v>
      </c>
      <c r="AC96" s="2654">
        <v>3.9E-2</v>
      </c>
      <c r="AD96" s="1031">
        <v>4.4999999999999998E-2</v>
      </c>
      <c r="AE96" s="1003">
        <f>+((AA96*AA23)+(AC96*AC23))/AE23</f>
        <v>3.9E-2</v>
      </c>
      <c r="AF96" s="1003">
        <f>+((AB96*AB23)+(AD96*AD23))/AF23</f>
        <v>5.1585172653495361E-2</v>
      </c>
      <c r="AG96" s="2654">
        <v>3.9E-2</v>
      </c>
      <c r="AH96" s="1031">
        <v>4.7E-2</v>
      </c>
      <c r="AI96" s="1003">
        <f>+((AE96*AE23)+(AG96*AG23))/AI23</f>
        <v>3.9E-2</v>
      </c>
      <c r="AJ96" s="1003">
        <f>+((AF96*AF23)+(AH96*AH23))/AJ23</f>
        <v>5.0934075441517478E-2</v>
      </c>
      <c r="AK96" s="2654">
        <v>3.9E-2</v>
      </c>
      <c r="AL96" s="1031">
        <v>4.2999999999999997E-2</v>
      </c>
      <c r="AM96" s="1019">
        <f>+((AC96*AC23)+(AG96*AG23)+(AK96*AK23))/AM23</f>
        <v>3.9E-2</v>
      </c>
      <c r="AN96" s="1020">
        <f>+((AD96*AD23)+(AH96*AH23)+(AL96*AL23))/AN23</f>
        <v>4.4928857869184664E-2</v>
      </c>
      <c r="AO96" s="1003">
        <f>+((AI96*AI23)+(AK96*AK23))/AO23</f>
        <v>3.9E-2</v>
      </c>
      <c r="AP96" s="1003">
        <f>+((AJ96*AJ23)+(AL96*AL23))/AP23</f>
        <v>4.9850594210649746E-2</v>
      </c>
      <c r="AQ96" s="2654">
        <v>3.9E-2</v>
      </c>
      <c r="AR96" s="1031">
        <v>4.2000000000000003E-2</v>
      </c>
      <c r="AS96" s="1003">
        <f>+((AO96*AO23)+(AQ96*AQ23))/AS23</f>
        <v>3.9E-2</v>
      </c>
      <c r="AT96" s="1003">
        <f>+((AP96*AP23)+(AR96*AR23))/AT23</f>
        <v>4.8890238177958761E-2</v>
      </c>
      <c r="AU96" s="2654">
        <v>3.9E-2</v>
      </c>
      <c r="AV96" s="1031">
        <v>4.2999999999999997E-2</v>
      </c>
      <c r="AW96" s="1003">
        <f>+((AS96*AS23)+(AU96*AU23))/AW23</f>
        <v>3.9E-2</v>
      </c>
      <c r="AX96" s="1003">
        <f>+((AT96*AT23)+(AV96*AV23))/AX23</f>
        <v>4.8310893862017527E-2</v>
      </c>
      <c r="AY96" s="2654">
        <v>3.9E-2</v>
      </c>
      <c r="AZ96" s="1031">
        <v>4.2999999999999997E-2</v>
      </c>
      <c r="BA96" s="1019">
        <f>+((AQ96*AQ23)+(AU96*AU23)+(AY96*AY23))/BA23</f>
        <v>3.8999999999999993E-2</v>
      </c>
      <c r="BB96" s="1020">
        <f>+((AR96*AR23)+(AV96*AV23)+(AZ96*AZ23))/BB23</f>
        <v>4.2653167410335188E-2</v>
      </c>
      <c r="BC96" s="1214">
        <f>+((AM96*AM23)+(BA96*BA23))/BC23</f>
        <v>3.8999999999999993E-2</v>
      </c>
      <c r="BD96" s="1215">
        <f>+((AN96*AN23)+(BB96*BB23))/BD23</f>
        <v>4.3777190461568034E-2</v>
      </c>
      <c r="BE96" s="1003">
        <f>+((AW96*AW23)+(AY96*AY23))/BE23</f>
        <v>3.9E-2</v>
      </c>
      <c r="BF96" s="1003">
        <f>+((AX96*AX23)+(AZ96*AZ23))/BF23</f>
        <v>4.7787354032560736E-2</v>
      </c>
    </row>
    <row r="97" spans="2:58" ht="20.100000000000001" customHeight="1" x14ac:dyDescent="0.25">
      <c r="B97" s="2616" t="s">
        <v>327</v>
      </c>
      <c r="C97" s="2063" t="s">
        <v>1627</v>
      </c>
      <c r="D97" s="499">
        <v>0.05</v>
      </c>
      <c r="E97" s="1031">
        <v>0.05</v>
      </c>
      <c r="F97" s="1851">
        <v>6.0999999999999999E-2</v>
      </c>
      <c r="G97" s="2655">
        <v>0.05</v>
      </c>
      <c r="H97" s="500">
        <v>6.5000000000000002E-2</v>
      </c>
      <c r="I97" s="1004">
        <f>+((E97*E5)+(G97*G5))/I5</f>
        <v>0.05</v>
      </c>
      <c r="J97" s="1004">
        <f>+((F97*F5)+(H97*H5))/J5</f>
        <v>6.2778949182889329E-2</v>
      </c>
      <c r="K97" s="2655">
        <v>0.05</v>
      </c>
      <c r="L97" s="500">
        <v>5.3999999999999999E-2</v>
      </c>
      <c r="M97" s="1021">
        <f>+((I97*I5)+(K97*K5))/M5</f>
        <v>0.05</v>
      </c>
      <c r="N97" s="1021">
        <f>+((J97*J5)+(L97*L5))/N5</f>
        <v>5.8209679397617342E-2</v>
      </c>
      <c r="O97" s="2655">
        <v>0.05</v>
      </c>
      <c r="P97" s="500">
        <v>6.9000000000000006E-2</v>
      </c>
      <c r="Q97" s="1004">
        <f>+((M97*M5)+(O97*O5))/Q5</f>
        <v>0.05</v>
      </c>
      <c r="R97" s="1004">
        <f>+((N97*N5)+(P97*P5))/R5</f>
        <v>6.1814129734164114E-2</v>
      </c>
      <c r="S97" s="2655">
        <v>0.05</v>
      </c>
      <c r="T97" s="500">
        <v>4.8000000000000001E-2</v>
      </c>
      <c r="U97" s="1004">
        <f>+((Q97*Q5)+(S97*S5))/U5</f>
        <v>0.05</v>
      </c>
      <c r="V97" s="1004">
        <f>+((R97*R5)+(T97*T5))/V5</f>
        <v>5.8137860036722014E-2</v>
      </c>
      <c r="W97" s="2655">
        <v>0.05</v>
      </c>
      <c r="X97" s="1032">
        <v>6.3E-2</v>
      </c>
      <c r="Y97" s="2656">
        <f>+((O97*O5)+(S97*S5)+(W97*W5))/Y5</f>
        <v>0.05</v>
      </c>
      <c r="Z97" s="1021">
        <f>+((P97*P5)+(T97*T5)+(X97*X5))/Z5</f>
        <v>5.9725343959049916E-2</v>
      </c>
      <c r="AA97" s="2657">
        <f>+((U97*U5)+(W97*W5))/AA5</f>
        <v>0.05</v>
      </c>
      <c r="AB97" s="1216">
        <f>+((V97*V5)+(X97*X5))/AB5</f>
        <v>5.9136781278344028E-2</v>
      </c>
      <c r="AC97" s="2655">
        <v>0.05</v>
      </c>
      <c r="AD97" s="1032">
        <v>6.2E-2</v>
      </c>
      <c r="AE97" s="1004">
        <f>+((AA97*AA5)+(AC97*AC5))/AE5</f>
        <v>4.9999999999999996E-2</v>
      </c>
      <c r="AF97" s="1004">
        <f>+((AB97*AB5)+(AD97*AD5))/AF5</f>
        <v>5.9650789376212696E-2</v>
      </c>
      <c r="AG97" s="2655">
        <v>0.05</v>
      </c>
      <c r="AH97" s="1032">
        <v>6.0999999999999999E-2</v>
      </c>
      <c r="AI97" s="1004">
        <f>+((AE97*AE5)+(AG97*AG5))/AI5</f>
        <v>4.9999999999999996E-2</v>
      </c>
      <c r="AJ97" s="1004">
        <f>+((AF97*AF5)+(AH97*AH5))/AJ5</f>
        <v>5.9842355584096195E-2</v>
      </c>
      <c r="AK97" s="2655">
        <v>0.05</v>
      </c>
      <c r="AL97" s="1032">
        <v>6.0999999999999999E-2</v>
      </c>
      <c r="AM97" s="2656">
        <f>+((AC97*AC5)+(AG97*AG5)+(AK97*AK5))/AM5</f>
        <v>5.000000000000001E-2</v>
      </c>
      <c r="AN97" s="1021">
        <f>+((AD97*AD5)+(AH97*AH5)+(AL97*AL5))/AN5</f>
        <v>6.1339310716900665E-2</v>
      </c>
      <c r="AO97" s="1004">
        <f>+((AI97*AI5)+(AK97*AK5))/AO5</f>
        <v>0.05</v>
      </c>
      <c r="AP97" s="1004">
        <f>+((AJ97*AJ5)+(AL97*AL5))/AP5</f>
        <v>6.0000254940815963E-2</v>
      </c>
      <c r="AQ97" s="2655">
        <v>0.05</v>
      </c>
      <c r="AR97" s="1032">
        <v>6.2E-2</v>
      </c>
      <c r="AS97" s="1004">
        <f>+((AO97*AO5)+(AQ97*AQ5))/AS5</f>
        <v>0.05</v>
      </c>
      <c r="AT97" s="1004">
        <f>+((AP97*AP5)+(AR97*AR5))/AT5</f>
        <v>6.0245109396069182E-2</v>
      </c>
      <c r="AU97" s="2655">
        <v>0.05</v>
      </c>
      <c r="AV97" s="1032">
        <v>1.2E-2</v>
      </c>
      <c r="AW97" s="1004">
        <f>+((AS97*AS5)+(AU97*AU5))/AW5</f>
        <v>0.05</v>
      </c>
      <c r="AX97" s="1004">
        <f>+((AT97*AT5)+(AV97*AV5))/AX5</f>
        <v>5.5497144966001069E-2</v>
      </c>
      <c r="AY97" s="2655">
        <v>0.05</v>
      </c>
      <c r="AZ97" s="1032">
        <v>4.3999999999999997E-2</v>
      </c>
      <c r="BA97" s="2656">
        <f>+((AQ97*AQ5)+(AU97*AU5)+(AY97*AY5))/BA5</f>
        <v>5.000000000000001E-2</v>
      </c>
      <c r="BB97" s="1021">
        <f>+((AR97*AR5)+(AV97*AV5)+(AZ97*AZ5))/BB5</f>
        <v>4.0349787176795777E-2</v>
      </c>
      <c r="BC97" s="2657">
        <f>+((AM97*AM5)+(BA97*BA5))/BC5</f>
        <v>5.000000000000001E-2</v>
      </c>
      <c r="BD97" s="1216">
        <f>+((AN97*AN5)+(BB97*BB5))/BD5</f>
        <v>5.0707582474614814E-2</v>
      </c>
      <c r="BE97" s="1004">
        <f>+((AW97*AW5)+(AY97*AY5))/BE5</f>
        <v>0.05</v>
      </c>
      <c r="BF97" s="1004">
        <f>+((AX97*AX5)+(AZ97*AZ5))/BF5</f>
        <v>5.436175992552518E-2</v>
      </c>
    </row>
    <row r="98" spans="2:58" ht="20.100000000000001" customHeight="1" x14ac:dyDescent="0.25">
      <c r="B98" s="2658" t="s">
        <v>650</v>
      </c>
      <c r="C98" s="2659" t="s">
        <v>715</v>
      </c>
      <c r="D98" s="2660">
        <v>3.0563149481849999E-2</v>
      </c>
      <c r="E98" s="1031">
        <v>1.4238866917659999E-2</v>
      </c>
      <c r="F98" s="1851">
        <f>19.7125/(30*24)</f>
        <v>2.7378472222222221E-2</v>
      </c>
      <c r="G98" s="2655">
        <v>1.426183283205E-2</v>
      </c>
      <c r="H98" s="500">
        <f>12.825/(31*24)</f>
        <v>1.7237903225806452E-2</v>
      </c>
      <c r="I98" s="1004">
        <f>+((E98*E2)+(G98*G2))/I2</f>
        <v>1.4250538120054917E-2</v>
      </c>
      <c r="J98" s="838">
        <f>+((F98*F2)+(H98*H2))/J2</f>
        <v>2.2225068306010929E-2</v>
      </c>
      <c r="K98" s="2655">
        <v>3.3720840606080001E-2</v>
      </c>
      <c r="L98" s="500">
        <f>23.75/(L2*24)</f>
        <v>3.2986111111111112E-2</v>
      </c>
      <c r="M98" s="1021">
        <f>+((I98*I2)+(K98*K2))/M2</f>
        <v>2.0669319159403846E-2</v>
      </c>
      <c r="N98" s="1022">
        <f>+((J98*J2)+(L98*L2))/N2</f>
        <v>2.5772664835164834E-2</v>
      </c>
      <c r="O98" s="2655">
        <v>3.374301419642E-2</v>
      </c>
      <c r="P98" s="500">
        <f>32.3/(P2*24)</f>
        <v>4.3413978494623653E-2</v>
      </c>
      <c r="Q98" s="1004">
        <f>+((M98*M2)+(O98*O2))/Q2</f>
        <v>2.3991323636022702E-2</v>
      </c>
      <c r="R98" s="838">
        <f>+((N98*N2)+(P98*P2))/R2</f>
        <v>3.0255293715846992E-2</v>
      </c>
      <c r="S98" s="2655">
        <v>3.3770573293680002E-2</v>
      </c>
      <c r="T98" s="1032">
        <f>34.2/(T2*24)</f>
        <v>4.5967741935483877E-2</v>
      </c>
      <c r="U98" s="1004">
        <f>+((Q98*Q2)+(S98*S2))/U2</f>
        <v>2.5972740233325818E-2</v>
      </c>
      <c r="V98" s="838">
        <f>+((R98*R2)+(T98*T2))/V2</f>
        <v>3.3438861655773422E-2</v>
      </c>
      <c r="W98" s="2655">
        <v>3.3938339298249999E-2</v>
      </c>
      <c r="X98" s="1032">
        <f>32.775/(X2*24)</f>
        <v>4.552083333333333E-2</v>
      </c>
      <c r="Y98" s="2656">
        <f>+((O98*O2)+(S98*S2)+(W98*W2))/Y2</f>
        <v>1.7000390115522405E-2</v>
      </c>
      <c r="Z98" s="1021">
        <f>+((P98*P2)+(T98*T2)+(X98*X2))/Z2</f>
        <v>2.2603597449908926E-2</v>
      </c>
      <c r="AA98" s="2657">
        <f>+((U98*U2)+(W98*W2))/AA2</f>
        <v>2.7278576145608472E-2</v>
      </c>
      <c r="AB98" s="1217">
        <f>+((V98*V2)+(X98*X2))/AB2</f>
        <v>3.5419512750455372E-2</v>
      </c>
      <c r="AC98" s="2655">
        <v>3.3959697598629997E-2</v>
      </c>
      <c r="AD98" s="1032">
        <f>35.625/(AD2*24)</f>
        <v>4.7883064516129031E-2</v>
      </c>
      <c r="AE98" s="1004">
        <f>+((AA98*AA2)+(AC98*AC2))/AE2</f>
        <v>2.8246402150485423E-2</v>
      </c>
      <c r="AF98" s="838">
        <f>+((AB98*AB2)+(AD98*AD2))/AF2</f>
        <v>3.7224980529595011E-2</v>
      </c>
      <c r="AG98" s="2655">
        <v>3.3938339298249999E-2</v>
      </c>
      <c r="AH98" s="1032">
        <f>33.25/(AH2*24)</f>
        <v>4.6180555555555558E-2</v>
      </c>
      <c r="AI98" s="1004">
        <f>+((AE98*AE2)+(AG98*AG2))/AI2</f>
        <v>2.8946230488325328E-2</v>
      </c>
      <c r="AJ98" s="838">
        <f>+((AF98*AF2)+(AH98*AH2))/AJ2</f>
        <v>3.8326075819672123E-2</v>
      </c>
      <c r="AK98" s="2655">
        <v>3.3959697598629997E-2</v>
      </c>
      <c r="AL98" s="1032">
        <f>23.75/(AL2*24)</f>
        <v>3.1922043010752688E-2</v>
      </c>
      <c r="AM98" s="2656">
        <f>+((AC98*AC2)+(AG98*AG2)+(AK98*AK2))/AM2</f>
        <v>3.3952732935462603E-2</v>
      </c>
      <c r="AN98" s="1021">
        <f>+((AD98*AD2)+(AH98*AH2)+(AL98*AL2))/AN2</f>
        <v>4.1949728260869568E-2</v>
      </c>
      <c r="AO98" s="1004">
        <f>+((AI98*AI2)+(AK98*AK2))/AO2</f>
        <v>2.9511384962577856E-2</v>
      </c>
      <c r="AP98" s="838">
        <f>+((AJ98*AJ2)+(AL98*AL2))/AP2</f>
        <v>3.7604166666666661E-2</v>
      </c>
      <c r="AQ98" s="2655">
        <v>3.3959697598629997E-2</v>
      </c>
      <c r="AR98" s="1032">
        <f>40.338/(AR2*24)</f>
        <v>5.4217741935483871E-2</v>
      </c>
      <c r="AS98" s="1004">
        <f>+((AO98*AO2)+(AQ98*AQ2))/AS2</f>
        <v>2.9962031013942618E-2</v>
      </c>
      <c r="AT98" s="838">
        <f>+((AP98*AP2)+(AR98*AR2))/AT2</f>
        <v>3.9287241285403042E-2</v>
      </c>
      <c r="AU98" s="2655">
        <v>3.3307196945349997E-2</v>
      </c>
      <c r="AV98" s="1032">
        <f>35.586/(AV2*24)</f>
        <v>5.2955357142857137E-2</v>
      </c>
      <c r="AW98" s="1004">
        <f>+((AS98*AS2)+(AU98*AU2))/AW2</f>
        <v>3.024246408603665E-2</v>
      </c>
      <c r="AX98" s="838">
        <f>+((AT98*AT2)+(AV98*AV2))/AX2</f>
        <v>4.0433071357285418E-2</v>
      </c>
      <c r="AY98" s="2655">
        <v>3.3959697598629997E-2</v>
      </c>
      <c r="AZ98" s="1032">
        <f>40.176/(AZ2*24)</f>
        <v>5.3999999999999999E-2</v>
      </c>
      <c r="BA98" s="2656">
        <f>+((AQ98*AQ2)+(AU98*AU2)+(AY98*AY2))/BA2</f>
        <v>3.3756697395387329E-2</v>
      </c>
      <c r="BB98" s="1021">
        <f>+((AR98*AR2)+(AV98*AV2)+(AZ98*AZ2))/BB2</f>
        <v>5.3750000000000006E-2</v>
      </c>
      <c r="BC98" s="2657">
        <f>+((AM98*AM2)+(BA98*BA2))/BC2</f>
        <v>3.3855792283777032E-2</v>
      </c>
      <c r="BD98" s="1217">
        <f>+((AN98*AN2)+(BB98*BB2))/BD2</f>
        <v>4.7785027472527476E-2</v>
      </c>
      <c r="BE98" s="1004">
        <f>+((AW98*AW2)+(AY98*AY2))/BE2</f>
        <v>3.0558174329571978E-2</v>
      </c>
      <c r="BF98" s="838">
        <f>+((AX98*AX2)+(AZ98*AZ2))/BF2</f>
        <v>4.1585331050228297E-2</v>
      </c>
    </row>
    <row r="99" spans="2:58" ht="20.100000000000001" customHeight="1" thickBot="1" x14ac:dyDescent="0.3">
      <c r="B99" s="2661" t="s">
        <v>601</v>
      </c>
      <c r="C99" s="2662" t="s">
        <v>302</v>
      </c>
      <c r="D99" s="2424">
        <v>9.5</v>
      </c>
      <c r="E99" s="1030">
        <v>9.5</v>
      </c>
      <c r="F99" s="1852">
        <v>8.9</v>
      </c>
      <c r="G99" s="2663">
        <v>9.5</v>
      </c>
      <c r="H99" s="681">
        <v>10.17</v>
      </c>
      <c r="I99" s="839">
        <f>+((E5*E99)+(G5*G99))/I5</f>
        <v>9.5</v>
      </c>
      <c r="J99" s="839">
        <f>+((F5*F99)+(H5*H99))/J5</f>
        <v>9.4648163655673621</v>
      </c>
      <c r="K99" s="2663">
        <v>9.5</v>
      </c>
      <c r="L99" s="681">
        <v>8</v>
      </c>
      <c r="M99" s="1023">
        <f>+((I5*I99)+(K5*K99))/M5</f>
        <v>9.5</v>
      </c>
      <c r="N99" s="1023">
        <f>+((J5*J99)+(L5*L99))/N5</f>
        <v>8.7024083574193956</v>
      </c>
      <c r="O99" s="2663">
        <v>9.5</v>
      </c>
      <c r="P99" s="1659">
        <v>11.1</v>
      </c>
      <c r="Q99" s="839">
        <f>+((M5*M99)+(O5*O99))/Q5</f>
        <v>9.5</v>
      </c>
      <c r="R99" s="839">
        <f>+((N5*N99)+(P5*P99))/R5</f>
        <v>9.5033113445922783</v>
      </c>
      <c r="S99" s="2663">
        <v>9.5</v>
      </c>
      <c r="T99" s="1659">
        <v>10.59</v>
      </c>
      <c r="U99" s="839">
        <f>+((Q5*Q99)+(S5*S99))/U5</f>
        <v>9.5</v>
      </c>
      <c r="V99" s="839">
        <f>+((R5*R99)+(T5*T99))/V5</f>
        <v>9.7925051375642269</v>
      </c>
      <c r="W99" s="2663">
        <v>9.5</v>
      </c>
      <c r="X99" s="1659">
        <v>10.55</v>
      </c>
      <c r="Y99" s="1023">
        <f>+((O5*O99)+(S5*S99)+(W5*W99))/Y5</f>
        <v>9.5000000000000018</v>
      </c>
      <c r="Z99" s="1023">
        <f>+((P5*P99)+(T5*T99)+(X5*X99))/Z5</f>
        <v>10.738968342902798</v>
      </c>
      <c r="AA99" s="1218">
        <f>+((U5*U99)+(W5*W99))/AA5</f>
        <v>9.5</v>
      </c>
      <c r="AB99" s="1218">
        <f>+((V5*V99)+(X5*X99))/AB5</f>
        <v>9.9481316136059608</v>
      </c>
      <c r="AC99" s="2663">
        <v>9.5</v>
      </c>
      <c r="AD99" s="1659">
        <v>10.199999999999999</v>
      </c>
      <c r="AE99" s="839">
        <f>+((AA5*AA99)+(AC5*AC99))/AE5</f>
        <v>9.5</v>
      </c>
      <c r="AF99" s="839">
        <f>+((AB5*AB99)+(AD5*AD99))/AF5</f>
        <v>9.9933472966498247</v>
      </c>
      <c r="AG99" s="2663">
        <v>9.5</v>
      </c>
      <c r="AH99" s="1659">
        <v>10.17</v>
      </c>
      <c r="AI99" s="839">
        <f>+((AE5*AE99)+(AG5*AG99))/AI5</f>
        <v>9.5000000000000018</v>
      </c>
      <c r="AJ99" s="839">
        <f>+((AF5*AF99)+(AH5*AH99))/AJ5</f>
        <v>10.018429139244697</v>
      </c>
      <c r="AK99" s="2663">
        <v>9.5</v>
      </c>
      <c r="AL99" s="1659">
        <v>10.73</v>
      </c>
      <c r="AM99" s="1023">
        <f>+((AC5*AC99)+(AG5*AG99)+(AK5*AK99))/AM5</f>
        <v>9.5</v>
      </c>
      <c r="AN99" s="1023">
        <f>+((AD5*AD99)+(AH5*AH99)+(AL5*AL99))/AN5</f>
        <v>10.37501380878367</v>
      </c>
      <c r="AO99" s="839">
        <f>+((AI5*AI99)+(AK5*AK99))/AO5</f>
        <v>9.5000000000000018</v>
      </c>
      <c r="AP99" s="839">
        <f>+((AJ5*AJ99)+(AL5*AL99))/AP5</f>
        <v>10.115485350660078</v>
      </c>
      <c r="AQ99" s="2663">
        <v>9.5</v>
      </c>
      <c r="AR99" s="1659">
        <v>9.65</v>
      </c>
      <c r="AS99" s="839">
        <f>+((AO5*AO99)+(AQ5*AQ99))/AS5</f>
        <v>9.5</v>
      </c>
      <c r="AT99" s="839">
        <f>+((AP5*AP99)+(AR5*AR99))/AT5</f>
        <v>10.058490004457934</v>
      </c>
      <c r="AU99" s="2663">
        <v>9.5</v>
      </c>
      <c r="AV99" s="1659">
        <v>10.54</v>
      </c>
      <c r="AW99" s="839">
        <f>+((AS5*AS99)+(AU5*AU99))/AW5</f>
        <v>9.5</v>
      </c>
      <c r="AX99" s="839">
        <f>+((AT5*AT99)+(AV5*AV99))/AX5</f>
        <v>10.105877032079478</v>
      </c>
      <c r="AY99" s="2663">
        <v>9.5</v>
      </c>
      <c r="AZ99" s="1659">
        <v>9.98</v>
      </c>
      <c r="BA99" s="1023">
        <f>+((AQ5*AQ99)+(AU5*AU99)+(AY5*AY99))/BA5</f>
        <v>9.5</v>
      </c>
      <c r="BB99" s="1023">
        <f>+((AR5*AR99)+(AV5*AV99)+(AZ5*AZ99))/BB5</f>
        <v>10.038677742963381</v>
      </c>
      <c r="BC99" s="1218">
        <f>+((AM5*AM99)+(BA5*BA99))/BC5</f>
        <v>9.5</v>
      </c>
      <c r="BD99" s="1218">
        <f>+((AN5*AN99)+(BB5*BB99))/BD5</f>
        <v>10.204651025509982</v>
      </c>
      <c r="BE99" s="839">
        <f>+((AW5*AW99)+(AY5*AY99))/BE5</f>
        <v>9.5</v>
      </c>
      <c r="BF99" s="839">
        <f>+((AX5*AX99)+(AZ5*AZ99))/BF5</f>
        <v>10.093446215595458</v>
      </c>
    </row>
    <row r="100" spans="2:58" s="343" customFormat="1" ht="20.100000000000001" customHeight="1" thickBot="1" x14ac:dyDescent="0.3">
      <c r="B100" s="2661" t="s">
        <v>1803</v>
      </c>
      <c r="C100" s="2662" t="s">
        <v>53</v>
      </c>
      <c r="D100" s="3986"/>
      <c r="E100" s="3974"/>
      <c r="F100" s="497">
        <v>120.76</v>
      </c>
      <c r="G100" s="3974"/>
      <c r="H100" s="497">
        <v>150.9</v>
      </c>
      <c r="I100" s="850">
        <f>+E100+G100</f>
        <v>0</v>
      </c>
      <c r="J100" s="606">
        <f>+F100+H100</f>
        <v>271.66000000000003</v>
      </c>
      <c r="K100" s="3974"/>
      <c r="L100" s="497">
        <v>66.06</v>
      </c>
      <c r="M100" s="1019">
        <f>+I100+K100</f>
        <v>0</v>
      </c>
      <c r="N100" s="621">
        <f>+J100+L100</f>
        <v>337.72</v>
      </c>
      <c r="O100" s="3974"/>
      <c r="P100" s="617">
        <v>833.76</v>
      </c>
      <c r="Q100" s="850">
        <f>+M100+O100</f>
        <v>0</v>
      </c>
      <c r="R100" s="606">
        <f>+N100+P100</f>
        <v>1171.48</v>
      </c>
      <c r="S100" s="3974"/>
      <c r="T100" s="617">
        <v>700.88</v>
      </c>
      <c r="U100" s="850">
        <f>+Q100+S100</f>
        <v>0</v>
      </c>
      <c r="V100" s="606">
        <f>+R100+T100</f>
        <v>1872.3600000000001</v>
      </c>
      <c r="W100" s="3974"/>
      <c r="X100" s="617">
        <v>707.09</v>
      </c>
      <c r="Y100" s="3975">
        <f t="shared" ref="Y100" si="321">+W100+S100+O100</f>
        <v>0</v>
      </c>
      <c r="Z100" s="3975">
        <f t="shared" ref="Z100" si="322">+X100+T100+P100</f>
        <v>2241.73</v>
      </c>
      <c r="AA100" s="1214">
        <f>+U100+W100</f>
        <v>0</v>
      </c>
      <c r="AB100" s="1208">
        <f>+V100+X100</f>
        <v>2579.4500000000003</v>
      </c>
      <c r="AC100" s="3974"/>
      <c r="AD100" s="617">
        <v>66</v>
      </c>
      <c r="AE100" s="850">
        <f>+AA100+AC100</f>
        <v>0</v>
      </c>
      <c r="AF100" s="606">
        <f>+AB100+AD100</f>
        <v>2645.4500000000003</v>
      </c>
      <c r="AG100" s="3974"/>
      <c r="AH100" s="617">
        <v>49.1</v>
      </c>
      <c r="AI100" s="850">
        <f>+AE100+AG100</f>
        <v>0</v>
      </c>
      <c r="AJ100" s="606">
        <f>+AF100+AH100</f>
        <v>2694.55</v>
      </c>
      <c r="AK100" s="3974"/>
      <c r="AL100" s="617">
        <v>147.05000000000001</v>
      </c>
      <c r="AM100" s="3975">
        <f t="shared" ref="AM100" si="323">+AK100+AG100+AC100</f>
        <v>0</v>
      </c>
      <c r="AN100" s="3975">
        <f t="shared" ref="AN100" si="324">+AL100+AH100+AD100</f>
        <v>262.14999999999998</v>
      </c>
      <c r="AO100" s="850">
        <f>+AI100+AK100</f>
        <v>0</v>
      </c>
      <c r="AP100" s="606">
        <f>+AJ100+AL100</f>
        <v>2841.6000000000004</v>
      </c>
      <c r="AQ100" s="3974"/>
      <c r="AR100" s="617">
        <v>373.3</v>
      </c>
      <c r="AS100" s="850"/>
      <c r="AT100" s="606">
        <f>+AP100+AR100</f>
        <v>3214.9000000000005</v>
      </c>
      <c r="AU100" s="4004"/>
      <c r="AV100" s="617">
        <v>107.21</v>
      </c>
      <c r="AW100" s="850"/>
      <c r="AX100" s="606">
        <f>+AT100+AV100</f>
        <v>3322.1100000000006</v>
      </c>
      <c r="AY100" s="4247"/>
      <c r="AZ100" s="4625"/>
      <c r="BA100" s="4249">
        <f t="shared" ref="BA100" si="325">+AY100+AU100+AQ100</f>
        <v>0</v>
      </c>
      <c r="BB100" s="4249">
        <f t="shared" ref="BB100" si="326">+AZ100+AV100+AR100</f>
        <v>480.51</v>
      </c>
      <c r="BC100" s="1214"/>
      <c r="BD100" s="1208">
        <f>+AN100+BB100</f>
        <v>742.66</v>
      </c>
      <c r="BE100" s="850"/>
      <c r="BF100" s="606">
        <f>+AX100+AZ100</f>
        <v>3322.1100000000006</v>
      </c>
    </row>
    <row r="101" spans="2:58" s="670" customFormat="1" ht="20.100000000000001" customHeight="1" x14ac:dyDescent="0.25">
      <c r="B101" s="2664" t="s">
        <v>862</v>
      </c>
      <c r="C101" s="2665"/>
      <c r="D101" s="2665"/>
      <c r="E101" s="2666"/>
      <c r="F101" s="679"/>
      <c r="G101" s="2666"/>
      <c r="H101" s="679"/>
      <c r="I101" s="840"/>
      <c r="J101" s="840"/>
      <c r="K101" s="2666"/>
      <c r="L101" s="679"/>
      <c r="M101" s="918"/>
      <c r="N101" s="918"/>
      <c r="O101" s="2666"/>
      <c r="P101" s="679"/>
      <c r="Q101" s="840"/>
      <c r="R101" s="840"/>
      <c r="S101" s="2666"/>
      <c r="T101" s="1731">
        <v>0</v>
      </c>
      <c r="U101" s="840"/>
      <c r="V101" s="840"/>
      <c r="W101" s="2666"/>
      <c r="X101" s="1731"/>
      <c r="Y101" s="918"/>
      <c r="Z101" s="918"/>
      <c r="AA101" s="1219"/>
      <c r="AB101" s="1219"/>
      <c r="AC101" s="2666"/>
      <c r="AD101" s="1731"/>
      <c r="AE101" s="840"/>
      <c r="AF101" s="840"/>
      <c r="AG101" s="2666"/>
      <c r="AH101" s="1731"/>
      <c r="AI101" s="840"/>
      <c r="AJ101" s="840"/>
      <c r="AK101" s="2666"/>
      <c r="AL101" s="1731"/>
      <c r="AM101" s="918"/>
      <c r="AN101" s="918"/>
      <c r="AO101" s="840"/>
      <c r="AP101" s="840"/>
      <c r="AQ101" s="2666"/>
      <c r="AR101" s="1731"/>
      <c r="AS101" s="840"/>
      <c r="AT101" s="840"/>
      <c r="AU101" s="2666"/>
      <c r="AV101" s="1731"/>
      <c r="AW101" s="840"/>
      <c r="AX101" s="840"/>
      <c r="AY101" s="2666"/>
      <c r="AZ101" s="1731"/>
      <c r="BA101" s="918"/>
      <c r="BB101" s="918"/>
      <c r="BC101" s="1219"/>
      <c r="BD101" s="1219"/>
      <c r="BE101" s="840"/>
      <c r="BF101" s="840"/>
    </row>
    <row r="102" spans="2:58" s="670" customFormat="1" ht="20.100000000000001" customHeight="1" x14ac:dyDescent="0.25">
      <c r="B102" s="2667" t="s">
        <v>640</v>
      </c>
      <c r="C102" s="2572" t="s">
        <v>53</v>
      </c>
      <c r="D102" s="2058"/>
      <c r="E102" s="1030"/>
      <c r="F102" s="510">
        <v>2.6070000000000002</v>
      </c>
      <c r="G102" s="1030"/>
      <c r="H102" s="510">
        <v>5.51</v>
      </c>
      <c r="I102" s="518"/>
      <c r="J102" s="518">
        <f>+F102+H102</f>
        <v>8.1170000000000009</v>
      </c>
      <c r="K102" s="1030"/>
      <c r="L102" s="1227">
        <v>0</v>
      </c>
      <c r="M102" s="919"/>
      <c r="N102" s="1228">
        <f>+J102+L102</f>
        <v>8.1170000000000009</v>
      </c>
      <c r="O102" s="1030"/>
      <c r="P102" s="1111">
        <v>0.28499999999999998</v>
      </c>
      <c r="Q102" s="518"/>
      <c r="R102" s="1112">
        <f>+N102+P102</f>
        <v>8.402000000000001</v>
      </c>
      <c r="S102" s="1030"/>
      <c r="T102" s="1227">
        <v>8.8000000000000007</v>
      </c>
      <c r="U102" s="518"/>
      <c r="V102" s="1112">
        <f>+R102+T102</f>
        <v>17.202000000000002</v>
      </c>
      <c r="W102" s="1030"/>
      <c r="X102" s="1227">
        <v>0</v>
      </c>
      <c r="Y102" s="919"/>
      <c r="Z102" s="3528">
        <f t="shared" ref="Z102:Z120" si="327">+X102+T102+P102</f>
        <v>9.0850000000000009</v>
      </c>
      <c r="AA102" s="1220"/>
      <c r="AB102" s="1221">
        <f>+V102+X102</f>
        <v>17.202000000000002</v>
      </c>
      <c r="AC102" s="1030"/>
      <c r="AD102" s="1227">
        <v>0</v>
      </c>
      <c r="AE102" s="518"/>
      <c r="AF102" s="1112">
        <f>+AB102+AD102</f>
        <v>17.202000000000002</v>
      </c>
      <c r="AG102" s="1030"/>
      <c r="AH102" s="1227">
        <v>0</v>
      </c>
      <c r="AI102" s="518"/>
      <c r="AJ102" s="1112">
        <f>+AF102+AH102</f>
        <v>17.202000000000002</v>
      </c>
      <c r="AK102" s="1030"/>
      <c r="AL102" s="1227">
        <v>0</v>
      </c>
      <c r="AM102" s="919"/>
      <c r="AN102" s="3528">
        <f t="shared" ref="AN102:AN121" si="328">+AL102+AH102+AD102</f>
        <v>0</v>
      </c>
      <c r="AO102" s="518"/>
      <c r="AP102" s="1112">
        <f>+AJ102+AL102</f>
        <v>17.202000000000002</v>
      </c>
      <c r="AQ102" s="1030"/>
      <c r="AR102" s="1227">
        <v>0</v>
      </c>
      <c r="AS102" s="518"/>
      <c r="AT102" s="1112">
        <f>+AP102+AR102</f>
        <v>17.202000000000002</v>
      </c>
      <c r="AU102" s="1030"/>
      <c r="AV102" s="1227">
        <v>0</v>
      </c>
      <c r="AW102" s="518"/>
      <c r="AX102" s="1112">
        <f>+AT102+AV102</f>
        <v>17.202000000000002</v>
      </c>
      <c r="AY102" s="1030"/>
      <c r="AZ102" s="1227">
        <v>0</v>
      </c>
      <c r="BA102" s="919"/>
      <c r="BB102" s="4249">
        <f t="shared" ref="BB102:BB121" si="329">+AZ102+AV102+AR102</f>
        <v>0</v>
      </c>
      <c r="BC102" s="1220"/>
      <c r="BD102" s="1221">
        <f t="shared" ref="BD102:BD120" si="330">+AN102+BB102</f>
        <v>0</v>
      </c>
      <c r="BE102" s="518"/>
      <c r="BF102" s="1112">
        <f>+AX102+AZ102</f>
        <v>17.202000000000002</v>
      </c>
    </row>
    <row r="103" spans="2:58" s="902" customFormat="1" ht="20.100000000000001" customHeight="1" x14ac:dyDescent="0.25">
      <c r="B103" s="2667" t="s">
        <v>1021</v>
      </c>
      <c r="C103" s="2572" t="s">
        <v>53</v>
      </c>
      <c r="D103" s="2058"/>
      <c r="E103" s="1030"/>
      <c r="F103" s="510">
        <v>0</v>
      </c>
      <c r="G103" s="1030"/>
      <c r="H103" s="510">
        <v>1.24</v>
      </c>
      <c r="I103" s="518"/>
      <c r="J103" s="518">
        <f t="shared" ref="J103:J120" si="331">+F103+H103</f>
        <v>1.24</v>
      </c>
      <c r="K103" s="1030"/>
      <c r="L103" s="1227">
        <v>12.11</v>
      </c>
      <c r="M103" s="919"/>
      <c r="N103" s="1228">
        <f t="shared" ref="N103:N120" si="332">+J103+L103</f>
        <v>13.35</v>
      </c>
      <c r="O103" s="1030"/>
      <c r="P103" s="1111">
        <v>26.75</v>
      </c>
      <c r="Q103" s="518"/>
      <c r="R103" s="1112">
        <f t="shared" ref="R103:R120" si="333">+N103+P103</f>
        <v>40.1</v>
      </c>
      <c r="S103" s="1030"/>
      <c r="T103" s="1227">
        <v>0</v>
      </c>
      <c r="U103" s="518"/>
      <c r="V103" s="1112">
        <f t="shared" ref="V103:V120" si="334">+R103+T103</f>
        <v>40.1</v>
      </c>
      <c r="W103" s="1030"/>
      <c r="X103" s="1227">
        <v>10</v>
      </c>
      <c r="Y103" s="919"/>
      <c r="Z103" s="3528">
        <f t="shared" si="327"/>
        <v>36.75</v>
      </c>
      <c r="AA103" s="1220"/>
      <c r="AB103" s="1221">
        <f t="shared" ref="AB103:AB120" si="335">+V103+X103</f>
        <v>50.1</v>
      </c>
      <c r="AC103" s="1030"/>
      <c r="AD103" s="1227">
        <v>9.61</v>
      </c>
      <c r="AE103" s="518"/>
      <c r="AF103" s="1112">
        <f t="shared" ref="AF103:AF120" si="336">+AB103+AD103</f>
        <v>59.71</v>
      </c>
      <c r="AG103" s="1030"/>
      <c r="AH103" s="1227">
        <v>6.17</v>
      </c>
      <c r="AI103" s="518"/>
      <c r="AJ103" s="1112">
        <f t="shared" ref="AJ103:AJ120" si="337">+AF103+AH103</f>
        <v>65.88</v>
      </c>
      <c r="AK103" s="1030"/>
      <c r="AL103" s="1227">
        <v>13.048</v>
      </c>
      <c r="AM103" s="919"/>
      <c r="AN103" s="3528">
        <f t="shared" si="328"/>
        <v>28.827999999999999</v>
      </c>
      <c r="AO103" s="518"/>
      <c r="AP103" s="1112">
        <f t="shared" ref="AP103:AP121" si="338">+AJ103+AL103</f>
        <v>78.927999999999997</v>
      </c>
      <c r="AQ103" s="1030"/>
      <c r="AR103" s="1227">
        <v>9.7200000000000006</v>
      </c>
      <c r="AS103" s="518"/>
      <c r="AT103" s="1112">
        <f t="shared" ref="AT103:AT120" si="339">+AP103+AR103</f>
        <v>88.647999999999996</v>
      </c>
      <c r="AU103" s="1030"/>
      <c r="AV103" s="1227">
        <v>12.726000000000001</v>
      </c>
      <c r="AW103" s="518"/>
      <c r="AX103" s="1112">
        <f t="shared" ref="AX103:AX120" si="340">+AT103+AV103</f>
        <v>101.374</v>
      </c>
      <c r="AY103" s="1030"/>
      <c r="AZ103" s="1227">
        <v>7.91</v>
      </c>
      <c r="BA103" s="919"/>
      <c r="BB103" s="4249">
        <f t="shared" si="329"/>
        <v>30.356000000000002</v>
      </c>
      <c r="BC103" s="1220"/>
      <c r="BD103" s="1221">
        <f t="shared" si="330"/>
        <v>59.183999999999997</v>
      </c>
      <c r="BE103" s="518"/>
      <c r="BF103" s="1112">
        <f t="shared" ref="BF103:BF120" si="341">+AX103+AZ103</f>
        <v>109.28399999999999</v>
      </c>
    </row>
    <row r="104" spans="2:58" s="670" customFormat="1" ht="20.100000000000001" customHeight="1" x14ac:dyDescent="0.25">
      <c r="B104" s="2667" t="s">
        <v>639</v>
      </c>
      <c r="C104" s="2572" t="s">
        <v>53</v>
      </c>
      <c r="D104" s="2058"/>
      <c r="E104" s="1030"/>
      <c r="F104" s="510">
        <v>20</v>
      </c>
      <c r="G104" s="1030"/>
      <c r="H104" s="510">
        <v>36</v>
      </c>
      <c r="I104" s="518"/>
      <c r="J104" s="518">
        <f t="shared" si="331"/>
        <v>56</v>
      </c>
      <c r="K104" s="1030"/>
      <c r="L104" s="1227">
        <v>42</v>
      </c>
      <c r="M104" s="919"/>
      <c r="N104" s="1228">
        <f t="shared" si="332"/>
        <v>98</v>
      </c>
      <c r="O104" s="1030"/>
      <c r="P104" s="1111">
        <v>153</v>
      </c>
      <c r="Q104" s="518"/>
      <c r="R104" s="1112">
        <f t="shared" si="333"/>
        <v>251</v>
      </c>
      <c r="S104" s="1030"/>
      <c r="T104" s="1227">
        <v>54</v>
      </c>
      <c r="U104" s="518"/>
      <c r="V104" s="1112">
        <f t="shared" si="334"/>
        <v>305</v>
      </c>
      <c r="W104" s="1030"/>
      <c r="X104" s="1227">
        <v>9</v>
      </c>
      <c r="Y104" s="919"/>
      <c r="Z104" s="3528">
        <f t="shared" si="327"/>
        <v>216</v>
      </c>
      <c r="AA104" s="1220"/>
      <c r="AB104" s="1221">
        <f t="shared" si="335"/>
        <v>314</v>
      </c>
      <c r="AC104" s="1030"/>
      <c r="AD104" s="1227">
        <v>49</v>
      </c>
      <c r="AE104" s="518"/>
      <c r="AF104" s="1112">
        <f t="shared" si="336"/>
        <v>363</v>
      </c>
      <c r="AG104" s="1030"/>
      <c r="AH104" s="1227">
        <v>98</v>
      </c>
      <c r="AI104" s="518"/>
      <c r="AJ104" s="1112">
        <f t="shared" si="337"/>
        <v>461</v>
      </c>
      <c r="AK104" s="1030"/>
      <c r="AL104" s="1227">
        <v>66</v>
      </c>
      <c r="AM104" s="919"/>
      <c r="AN104" s="3528">
        <f t="shared" si="328"/>
        <v>213</v>
      </c>
      <c r="AO104" s="518"/>
      <c r="AP104" s="1112">
        <f t="shared" si="338"/>
        <v>527</v>
      </c>
      <c r="AQ104" s="1030"/>
      <c r="AR104" s="1227">
        <v>72</v>
      </c>
      <c r="AS104" s="518"/>
      <c r="AT104" s="1112">
        <f t="shared" si="339"/>
        <v>599</v>
      </c>
      <c r="AU104" s="1030"/>
      <c r="AV104" s="1227">
        <v>54</v>
      </c>
      <c r="AW104" s="518"/>
      <c r="AX104" s="1112">
        <f t="shared" si="340"/>
        <v>653</v>
      </c>
      <c r="AY104" s="1030"/>
      <c r="AZ104" s="1227">
        <v>50</v>
      </c>
      <c r="BA104" s="919"/>
      <c r="BB104" s="4249">
        <f t="shared" si="329"/>
        <v>176</v>
      </c>
      <c r="BC104" s="1220"/>
      <c r="BD104" s="1221">
        <f t="shared" si="330"/>
        <v>389</v>
      </c>
      <c r="BE104" s="518"/>
      <c r="BF104" s="1112">
        <f t="shared" si="341"/>
        <v>703</v>
      </c>
    </row>
    <row r="105" spans="2:58" s="670" customFormat="1" ht="20.100000000000001" customHeight="1" x14ac:dyDescent="0.25">
      <c r="B105" s="2667" t="s">
        <v>863</v>
      </c>
      <c r="C105" s="2572" t="s">
        <v>53</v>
      </c>
      <c r="D105" s="2058"/>
      <c r="E105" s="1030"/>
      <c r="F105" s="510">
        <v>1.8</v>
      </c>
      <c r="G105" s="1030"/>
      <c r="H105" s="510">
        <v>0.77400000000000002</v>
      </c>
      <c r="I105" s="518"/>
      <c r="J105" s="518">
        <f t="shared" si="331"/>
        <v>2.5739999999999998</v>
      </c>
      <c r="K105" s="1030"/>
      <c r="L105" s="1227">
        <v>0.39300000000000002</v>
      </c>
      <c r="M105" s="919"/>
      <c r="N105" s="1228">
        <f t="shared" si="332"/>
        <v>2.9669999999999996</v>
      </c>
      <c r="O105" s="1030"/>
      <c r="P105" s="1111">
        <v>1.2</v>
      </c>
      <c r="Q105" s="518"/>
      <c r="R105" s="1112">
        <f t="shared" si="333"/>
        <v>4.1669999999999998</v>
      </c>
      <c r="S105" s="1030"/>
      <c r="T105" s="1227">
        <v>7.05</v>
      </c>
      <c r="U105" s="518"/>
      <c r="V105" s="1112">
        <f t="shared" si="334"/>
        <v>11.216999999999999</v>
      </c>
      <c r="W105" s="1030"/>
      <c r="X105" s="1227">
        <v>12.46</v>
      </c>
      <c r="Y105" s="919"/>
      <c r="Z105" s="3528">
        <f t="shared" si="327"/>
        <v>20.71</v>
      </c>
      <c r="AA105" s="1220"/>
      <c r="AB105" s="1221">
        <f t="shared" si="335"/>
        <v>23.677</v>
      </c>
      <c r="AC105" s="1030"/>
      <c r="AD105" s="1227">
        <v>8.48</v>
      </c>
      <c r="AE105" s="518"/>
      <c r="AF105" s="1112">
        <f t="shared" si="336"/>
        <v>32.156999999999996</v>
      </c>
      <c r="AG105" s="1030"/>
      <c r="AH105" s="1227">
        <v>7.04</v>
      </c>
      <c r="AI105" s="518"/>
      <c r="AJ105" s="1112">
        <f t="shared" si="337"/>
        <v>39.196999999999996</v>
      </c>
      <c r="AK105" s="1030"/>
      <c r="AL105" s="1227">
        <v>18.23</v>
      </c>
      <c r="AM105" s="919"/>
      <c r="AN105" s="3528">
        <f t="shared" si="328"/>
        <v>33.75</v>
      </c>
      <c r="AO105" s="518"/>
      <c r="AP105" s="1112">
        <f t="shared" si="338"/>
        <v>57.426999999999992</v>
      </c>
      <c r="AQ105" s="1030"/>
      <c r="AR105" s="1227">
        <v>12.24</v>
      </c>
      <c r="AS105" s="518"/>
      <c r="AT105" s="1112">
        <f t="shared" si="339"/>
        <v>69.666999999999987</v>
      </c>
      <c r="AU105" s="1030"/>
      <c r="AV105" s="1227">
        <v>14.57</v>
      </c>
      <c r="AW105" s="518"/>
      <c r="AX105" s="1112">
        <f t="shared" si="340"/>
        <v>84.236999999999995</v>
      </c>
      <c r="AY105" s="1030"/>
      <c r="AZ105" s="1227">
        <v>25.41</v>
      </c>
      <c r="BA105" s="919"/>
      <c r="BB105" s="4249">
        <f t="shared" si="329"/>
        <v>52.220000000000006</v>
      </c>
      <c r="BC105" s="1220"/>
      <c r="BD105" s="1221">
        <f t="shared" si="330"/>
        <v>85.97</v>
      </c>
      <c r="BE105" s="518"/>
      <c r="BF105" s="1112">
        <f t="shared" si="341"/>
        <v>109.64699999999999</v>
      </c>
    </row>
    <row r="106" spans="2:58" s="670" customFormat="1" ht="20.100000000000001" customHeight="1" x14ac:dyDescent="0.25">
      <c r="B106" s="2667" t="s">
        <v>637</v>
      </c>
      <c r="C106" s="2572" t="s">
        <v>53</v>
      </c>
      <c r="D106" s="2058"/>
      <c r="E106" s="1030"/>
      <c r="F106" s="510">
        <v>0</v>
      </c>
      <c r="G106" s="1030"/>
      <c r="H106" s="510">
        <v>24</v>
      </c>
      <c r="I106" s="518"/>
      <c r="J106" s="518">
        <f t="shared" si="331"/>
        <v>24</v>
      </c>
      <c r="K106" s="1030"/>
      <c r="L106" s="1227">
        <v>68.409000000000006</v>
      </c>
      <c r="M106" s="919"/>
      <c r="N106" s="1228">
        <f t="shared" si="332"/>
        <v>92.409000000000006</v>
      </c>
      <c r="O106" s="1030"/>
      <c r="P106" s="1111">
        <v>62.99</v>
      </c>
      <c r="Q106" s="518"/>
      <c r="R106" s="1112">
        <f t="shared" si="333"/>
        <v>155.399</v>
      </c>
      <c r="S106" s="1030"/>
      <c r="T106" s="1227">
        <v>41.49</v>
      </c>
      <c r="U106" s="518"/>
      <c r="V106" s="1112">
        <f t="shared" si="334"/>
        <v>196.88900000000001</v>
      </c>
      <c r="W106" s="1030"/>
      <c r="X106" s="1227">
        <v>28.41</v>
      </c>
      <c r="Y106" s="919"/>
      <c r="Z106" s="3528">
        <f t="shared" si="327"/>
        <v>132.89000000000001</v>
      </c>
      <c r="AA106" s="1220"/>
      <c r="AB106" s="1221">
        <f t="shared" si="335"/>
        <v>225.29900000000001</v>
      </c>
      <c r="AC106" s="1030"/>
      <c r="AD106" s="1227">
        <v>5.87</v>
      </c>
      <c r="AE106" s="518"/>
      <c r="AF106" s="1112">
        <f t="shared" si="336"/>
        <v>231.16900000000001</v>
      </c>
      <c r="AG106" s="1030"/>
      <c r="AH106" s="1227">
        <v>8.4700000000000006</v>
      </c>
      <c r="AI106" s="518"/>
      <c r="AJ106" s="1112">
        <f t="shared" si="337"/>
        <v>239.63900000000001</v>
      </c>
      <c r="AK106" s="1030"/>
      <c r="AL106" s="1227">
        <v>21</v>
      </c>
      <c r="AM106" s="919"/>
      <c r="AN106" s="3528">
        <f t="shared" si="328"/>
        <v>35.339999999999996</v>
      </c>
      <c r="AO106" s="518"/>
      <c r="AP106" s="1112">
        <f t="shared" si="338"/>
        <v>260.63900000000001</v>
      </c>
      <c r="AQ106" s="1030"/>
      <c r="AR106" s="1227">
        <v>27.96</v>
      </c>
      <c r="AS106" s="518"/>
      <c r="AT106" s="1112">
        <f t="shared" si="339"/>
        <v>288.59899999999999</v>
      </c>
      <c r="AU106" s="1030"/>
      <c r="AV106" s="1227">
        <v>20.59</v>
      </c>
      <c r="AW106" s="518"/>
      <c r="AX106" s="1112">
        <f t="shared" si="340"/>
        <v>309.18899999999996</v>
      </c>
      <c r="AY106" s="1030"/>
      <c r="AZ106" s="1227">
        <v>5.5</v>
      </c>
      <c r="BA106" s="919"/>
      <c r="BB106" s="4249">
        <f t="shared" si="329"/>
        <v>54.05</v>
      </c>
      <c r="BC106" s="1220"/>
      <c r="BD106" s="1221">
        <f t="shared" si="330"/>
        <v>89.389999999999986</v>
      </c>
      <c r="BE106" s="518"/>
      <c r="BF106" s="1112">
        <f t="shared" si="341"/>
        <v>314.68899999999996</v>
      </c>
    </row>
    <row r="107" spans="2:58" s="902" customFormat="1" ht="20.100000000000001" customHeight="1" x14ac:dyDescent="0.25">
      <c r="B107" s="2667" t="s">
        <v>1020</v>
      </c>
      <c r="C107" s="2572" t="s">
        <v>53</v>
      </c>
      <c r="D107" s="2058"/>
      <c r="E107" s="1030"/>
      <c r="F107" s="510">
        <v>28.5</v>
      </c>
      <c r="G107" s="1030"/>
      <c r="H107" s="510">
        <v>7</v>
      </c>
      <c r="I107" s="518"/>
      <c r="J107" s="518">
        <f t="shared" si="331"/>
        <v>35.5</v>
      </c>
      <c r="K107" s="1030"/>
      <c r="L107" s="1227">
        <v>9</v>
      </c>
      <c r="M107" s="919"/>
      <c r="N107" s="1228">
        <f t="shared" si="332"/>
        <v>44.5</v>
      </c>
      <c r="O107" s="1030"/>
      <c r="P107" s="1111">
        <v>31.43</v>
      </c>
      <c r="Q107" s="518"/>
      <c r="R107" s="1112">
        <f t="shared" si="333"/>
        <v>75.930000000000007</v>
      </c>
      <c r="S107" s="1030"/>
      <c r="T107" s="1227">
        <v>4</v>
      </c>
      <c r="U107" s="518"/>
      <c r="V107" s="1112">
        <f t="shared" si="334"/>
        <v>79.930000000000007</v>
      </c>
      <c r="W107" s="1030"/>
      <c r="X107" s="1227">
        <v>2.5</v>
      </c>
      <c r="Y107" s="919"/>
      <c r="Z107" s="3528">
        <f t="shared" si="327"/>
        <v>37.93</v>
      </c>
      <c r="AA107" s="1220"/>
      <c r="AB107" s="1221">
        <f t="shared" si="335"/>
        <v>82.43</v>
      </c>
      <c r="AC107" s="1030"/>
      <c r="AD107" s="1227">
        <v>1</v>
      </c>
      <c r="AE107" s="518"/>
      <c r="AF107" s="1112">
        <f t="shared" si="336"/>
        <v>83.43</v>
      </c>
      <c r="AG107" s="1030"/>
      <c r="AH107" s="1227">
        <v>0</v>
      </c>
      <c r="AI107" s="518"/>
      <c r="AJ107" s="1112">
        <f t="shared" si="337"/>
        <v>83.43</v>
      </c>
      <c r="AK107" s="1030"/>
      <c r="AL107" s="1227">
        <v>0</v>
      </c>
      <c r="AM107" s="919"/>
      <c r="AN107" s="3528">
        <f t="shared" si="328"/>
        <v>1</v>
      </c>
      <c r="AO107" s="518"/>
      <c r="AP107" s="1112">
        <f t="shared" si="338"/>
        <v>83.43</v>
      </c>
      <c r="AQ107" s="1030"/>
      <c r="AR107" s="1227">
        <v>9.5</v>
      </c>
      <c r="AS107" s="518"/>
      <c r="AT107" s="1112">
        <f t="shared" si="339"/>
        <v>92.93</v>
      </c>
      <c r="AU107" s="1030"/>
      <c r="AV107" s="1227">
        <v>0</v>
      </c>
      <c r="AW107" s="518"/>
      <c r="AX107" s="1112">
        <f t="shared" si="340"/>
        <v>92.93</v>
      </c>
      <c r="AY107" s="1030"/>
      <c r="AZ107" s="1227">
        <v>6</v>
      </c>
      <c r="BA107" s="919"/>
      <c r="BB107" s="4249">
        <f t="shared" si="329"/>
        <v>15.5</v>
      </c>
      <c r="BC107" s="1220"/>
      <c r="BD107" s="1221">
        <f t="shared" si="330"/>
        <v>16.5</v>
      </c>
      <c r="BE107" s="518"/>
      <c r="BF107" s="1112">
        <f t="shared" si="341"/>
        <v>98.93</v>
      </c>
    </row>
    <row r="108" spans="2:58" s="670" customFormat="1" ht="20.100000000000001" customHeight="1" x14ac:dyDescent="0.25">
      <c r="B108" s="2667" t="s">
        <v>692</v>
      </c>
      <c r="C108" s="2572" t="s">
        <v>53</v>
      </c>
      <c r="D108" s="2058"/>
      <c r="E108" s="1030"/>
      <c r="F108" s="510">
        <v>33.299999999999997</v>
      </c>
      <c r="G108" s="1030"/>
      <c r="H108" s="510">
        <v>43.7</v>
      </c>
      <c r="I108" s="518"/>
      <c r="J108" s="518">
        <f t="shared" si="331"/>
        <v>77</v>
      </c>
      <c r="K108" s="1030"/>
      <c r="L108" s="1227">
        <v>55.5</v>
      </c>
      <c r="M108" s="919"/>
      <c r="N108" s="1228">
        <f t="shared" si="332"/>
        <v>132.5</v>
      </c>
      <c r="O108" s="1030"/>
      <c r="P108" s="1111">
        <v>58.97</v>
      </c>
      <c r="Q108" s="518"/>
      <c r="R108" s="1112">
        <f t="shared" si="333"/>
        <v>191.47</v>
      </c>
      <c r="S108" s="1030"/>
      <c r="T108" s="1227">
        <v>61.02</v>
      </c>
      <c r="U108" s="518"/>
      <c r="V108" s="1112">
        <f t="shared" si="334"/>
        <v>252.49</v>
      </c>
      <c r="W108" s="1030"/>
      <c r="X108" s="1227">
        <v>63.5</v>
      </c>
      <c r="Y108" s="919"/>
      <c r="Z108" s="3528">
        <f t="shared" si="327"/>
        <v>183.49</v>
      </c>
      <c r="AA108" s="1220"/>
      <c r="AB108" s="1221">
        <f t="shared" si="335"/>
        <v>315.99</v>
      </c>
      <c r="AC108" s="1030"/>
      <c r="AD108" s="1227">
        <v>70</v>
      </c>
      <c r="AE108" s="518"/>
      <c r="AF108" s="1112">
        <f t="shared" si="336"/>
        <v>385.99</v>
      </c>
      <c r="AG108" s="1030"/>
      <c r="AH108" s="1227">
        <v>63</v>
      </c>
      <c r="AI108" s="518"/>
      <c r="AJ108" s="1112">
        <f t="shared" si="337"/>
        <v>448.99</v>
      </c>
      <c r="AK108" s="1030"/>
      <c r="AL108" s="1227">
        <v>63.1</v>
      </c>
      <c r="AM108" s="919"/>
      <c r="AN108" s="3528">
        <f t="shared" si="328"/>
        <v>196.1</v>
      </c>
      <c r="AO108" s="518"/>
      <c r="AP108" s="1112">
        <f t="shared" si="338"/>
        <v>512.09</v>
      </c>
      <c r="AQ108" s="1030"/>
      <c r="AR108" s="1227">
        <v>64</v>
      </c>
      <c r="AS108" s="518"/>
      <c r="AT108" s="1112">
        <f t="shared" si="339"/>
        <v>576.09</v>
      </c>
      <c r="AU108" s="1030"/>
      <c r="AV108" s="1227">
        <v>58.65</v>
      </c>
      <c r="AW108" s="518"/>
      <c r="AX108" s="1112">
        <f t="shared" si="340"/>
        <v>634.74</v>
      </c>
      <c r="AY108" s="1030"/>
      <c r="AZ108" s="1227">
        <v>71.400000000000006</v>
      </c>
      <c r="BA108" s="919"/>
      <c r="BB108" s="4249">
        <f t="shared" si="329"/>
        <v>194.05</v>
      </c>
      <c r="BC108" s="1220"/>
      <c r="BD108" s="1221">
        <f t="shared" si="330"/>
        <v>390.15</v>
      </c>
      <c r="BE108" s="518"/>
      <c r="BF108" s="1112">
        <f t="shared" si="341"/>
        <v>706.14</v>
      </c>
    </row>
    <row r="109" spans="2:58" s="1108" customFormat="1" ht="20.100000000000001" customHeight="1" x14ac:dyDescent="0.25">
      <c r="B109" s="2667" t="s">
        <v>1101</v>
      </c>
      <c r="C109" s="2572" t="s">
        <v>53</v>
      </c>
      <c r="D109" s="2058"/>
      <c r="E109" s="1030"/>
      <c r="F109" s="510">
        <v>0</v>
      </c>
      <c r="G109" s="1030"/>
      <c r="H109" s="510"/>
      <c r="I109" s="518"/>
      <c r="J109" s="518">
        <f t="shared" si="331"/>
        <v>0</v>
      </c>
      <c r="K109" s="1030"/>
      <c r="L109" s="1227"/>
      <c r="M109" s="919"/>
      <c r="N109" s="1228">
        <f t="shared" si="332"/>
        <v>0</v>
      </c>
      <c r="O109" s="1030"/>
      <c r="P109" s="1111">
        <v>0</v>
      </c>
      <c r="Q109" s="518"/>
      <c r="R109" s="1112">
        <f t="shared" si="333"/>
        <v>0</v>
      </c>
      <c r="S109" s="1030"/>
      <c r="T109" s="1227">
        <v>0</v>
      </c>
      <c r="U109" s="518"/>
      <c r="V109" s="1112">
        <f t="shared" si="334"/>
        <v>0</v>
      </c>
      <c r="W109" s="1030"/>
      <c r="X109" s="1227">
        <v>0</v>
      </c>
      <c r="Y109" s="919"/>
      <c r="Z109" s="3528">
        <f t="shared" si="327"/>
        <v>0</v>
      </c>
      <c r="AA109" s="1220"/>
      <c r="AB109" s="1221">
        <f t="shared" si="335"/>
        <v>0</v>
      </c>
      <c r="AC109" s="1030"/>
      <c r="AD109" s="1227">
        <v>0</v>
      </c>
      <c r="AE109" s="518"/>
      <c r="AF109" s="1112">
        <f t="shared" si="336"/>
        <v>0</v>
      </c>
      <c r="AG109" s="1030"/>
      <c r="AH109" s="1227">
        <v>0</v>
      </c>
      <c r="AI109" s="518"/>
      <c r="AJ109" s="1112">
        <f t="shared" si="337"/>
        <v>0</v>
      </c>
      <c r="AK109" s="1030"/>
      <c r="AL109" s="1227">
        <v>0</v>
      </c>
      <c r="AM109" s="919"/>
      <c r="AN109" s="3528">
        <f t="shared" si="328"/>
        <v>0</v>
      </c>
      <c r="AO109" s="518"/>
      <c r="AP109" s="1112">
        <f t="shared" si="338"/>
        <v>0</v>
      </c>
      <c r="AQ109" s="1030"/>
      <c r="AR109" s="1227">
        <v>0</v>
      </c>
      <c r="AS109" s="518"/>
      <c r="AT109" s="1112">
        <f t="shared" si="339"/>
        <v>0</v>
      </c>
      <c r="AU109" s="1030"/>
      <c r="AV109" s="1227">
        <v>0</v>
      </c>
      <c r="AW109" s="518"/>
      <c r="AX109" s="1112">
        <f t="shared" si="340"/>
        <v>0</v>
      </c>
      <c r="AY109" s="1030"/>
      <c r="AZ109" s="1227">
        <v>0</v>
      </c>
      <c r="BA109" s="919"/>
      <c r="BB109" s="4249">
        <f t="shared" si="329"/>
        <v>0</v>
      </c>
      <c r="BC109" s="1220"/>
      <c r="BD109" s="1221">
        <f t="shared" si="330"/>
        <v>0</v>
      </c>
      <c r="BE109" s="518"/>
      <c r="BF109" s="1112">
        <f t="shared" si="341"/>
        <v>0</v>
      </c>
    </row>
    <row r="110" spans="2:58" s="670" customFormat="1" ht="20.100000000000001" customHeight="1" x14ac:dyDescent="0.25">
      <c r="B110" s="2667" t="s">
        <v>864</v>
      </c>
      <c r="C110" s="2572" t="s">
        <v>53</v>
      </c>
      <c r="D110" s="2058"/>
      <c r="E110" s="1030"/>
      <c r="F110" s="510">
        <v>0</v>
      </c>
      <c r="G110" s="1030"/>
      <c r="H110" s="510">
        <v>2.766</v>
      </c>
      <c r="I110" s="518"/>
      <c r="J110" s="518">
        <f t="shared" si="331"/>
        <v>2.766</v>
      </c>
      <c r="K110" s="1030"/>
      <c r="L110" s="1227">
        <v>4.12</v>
      </c>
      <c r="M110" s="919"/>
      <c r="N110" s="1228">
        <f t="shared" si="332"/>
        <v>6.8860000000000001</v>
      </c>
      <c r="O110" s="1030"/>
      <c r="P110" s="1111">
        <v>7.14</v>
      </c>
      <c r="Q110" s="518"/>
      <c r="R110" s="1112">
        <f t="shared" si="333"/>
        <v>14.026</v>
      </c>
      <c r="S110" s="1030"/>
      <c r="T110" s="1227">
        <v>6.03</v>
      </c>
      <c r="U110" s="518"/>
      <c r="V110" s="1112">
        <f t="shared" si="334"/>
        <v>20.056000000000001</v>
      </c>
      <c r="W110" s="1030"/>
      <c r="X110" s="1227">
        <v>2.35</v>
      </c>
      <c r="Y110" s="919"/>
      <c r="Z110" s="3528">
        <f t="shared" si="327"/>
        <v>15.52</v>
      </c>
      <c r="AA110" s="1220"/>
      <c r="AB110" s="1221">
        <f t="shared" si="335"/>
        <v>22.406000000000002</v>
      </c>
      <c r="AC110" s="1030"/>
      <c r="AD110" s="1227">
        <v>3.54</v>
      </c>
      <c r="AE110" s="518"/>
      <c r="AF110" s="1112">
        <f t="shared" si="336"/>
        <v>25.946000000000002</v>
      </c>
      <c r="AG110" s="1030"/>
      <c r="AH110" s="1227">
        <v>4.6100000000000003</v>
      </c>
      <c r="AI110" s="518"/>
      <c r="AJ110" s="1112">
        <f t="shared" si="337"/>
        <v>30.556000000000001</v>
      </c>
      <c r="AK110" s="1030"/>
      <c r="AL110" s="1227">
        <v>8</v>
      </c>
      <c r="AM110" s="919"/>
      <c r="AN110" s="3528">
        <f t="shared" si="328"/>
        <v>16.149999999999999</v>
      </c>
      <c r="AO110" s="518"/>
      <c r="AP110" s="1112">
        <f t="shared" si="338"/>
        <v>38.555999999999997</v>
      </c>
      <c r="AQ110" s="1030"/>
      <c r="AR110" s="1227">
        <v>5.78</v>
      </c>
      <c r="AS110" s="518"/>
      <c r="AT110" s="1112">
        <f t="shared" si="339"/>
        <v>44.335999999999999</v>
      </c>
      <c r="AU110" s="1030"/>
      <c r="AV110" s="1227">
        <v>3.86</v>
      </c>
      <c r="AW110" s="518"/>
      <c r="AX110" s="1112">
        <f t="shared" si="340"/>
        <v>48.195999999999998</v>
      </c>
      <c r="AY110" s="1030"/>
      <c r="AZ110" s="1227">
        <v>3.4</v>
      </c>
      <c r="BA110" s="919"/>
      <c r="BB110" s="4249">
        <f t="shared" si="329"/>
        <v>13.04</v>
      </c>
      <c r="BC110" s="1220"/>
      <c r="BD110" s="1221">
        <f t="shared" si="330"/>
        <v>29.189999999999998</v>
      </c>
      <c r="BE110" s="518"/>
      <c r="BF110" s="1112">
        <f t="shared" si="341"/>
        <v>51.595999999999997</v>
      </c>
    </row>
    <row r="111" spans="2:58" s="670" customFormat="1" ht="20.100000000000001" customHeight="1" x14ac:dyDescent="0.25">
      <c r="B111" s="2667" t="s">
        <v>638</v>
      </c>
      <c r="C111" s="2572" t="s">
        <v>53</v>
      </c>
      <c r="D111" s="2058"/>
      <c r="E111" s="1030"/>
      <c r="F111" s="510">
        <v>0</v>
      </c>
      <c r="G111" s="1030"/>
      <c r="H111" s="510">
        <v>0</v>
      </c>
      <c r="I111" s="518"/>
      <c r="J111" s="518">
        <f t="shared" si="331"/>
        <v>0</v>
      </c>
      <c r="K111" s="1030"/>
      <c r="L111" s="1227"/>
      <c r="M111" s="919"/>
      <c r="N111" s="1228">
        <f t="shared" si="332"/>
        <v>0</v>
      </c>
      <c r="O111" s="1030"/>
      <c r="P111" s="1111">
        <v>0.14000000000000001</v>
      </c>
      <c r="Q111" s="518"/>
      <c r="R111" s="1112">
        <f t="shared" si="333"/>
        <v>0.14000000000000001</v>
      </c>
      <c r="S111" s="1030"/>
      <c r="T111" s="1227">
        <v>0</v>
      </c>
      <c r="U111" s="518"/>
      <c r="V111" s="1112">
        <f t="shared" si="334"/>
        <v>0.14000000000000001</v>
      </c>
      <c r="W111" s="1030"/>
      <c r="X111" s="1227">
        <v>0</v>
      </c>
      <c r="Y111" s="919"/>
      <c r="Z111" s="3528">
        <f t="shared" si="327"/>
        <v>0.14000000000000001</v>
      </c>
      <c r="AA111" s="1220"/>
      <c r="AB111" s="1221">
        <f t="shared" si="335"/>
        <v>0.14000000000000001</v>
      </c>
      <c r="AC111" s="1030"/>
      <c r="AD111" s="1227">
        <v>0.1</v>
      </c>
      <c r="AE111" s="518"/>
      <c r="AF111" s="1112">
        <f t="shared" si="336"/>
        <v>0.24000000000000002</v>
      </c>
      <c r="AG111" s="1030"/>
      <c r="AH111" s="1227">
        <v>0</v>
      </c>
      <c r="AI111" s="518"/>
      <c r="AJ111" s="1112">
        <f t="shared" si="337"/>
        <v>0.24000000000000002</v>
      </c>
      <c r="AK111" s="1030"/>
      <c r="AL111" s="1227">
        <v>0.14299999999999999</v>
      </c>
      <c r="AM111" s="919"/>
      <c r="AN111" s="3528">
        <f t="shared" si="328"/>
        <v>0.24299999999999999</v>
      </c>
      <c r="AO111" s="518"/>
      <c r="AP111" s="1112">
        <f t="shared" si="338"/>
        <v>0.38300000000000001</v>
      </c>
      <c r="AQ111" s="1030"/>
      <c r="AR111" s="1227">
        <v>0</v>
      </c>
      <c r="AS111" s="518"/>
      <c r="AT111" s="1112">
        <f t="shared" si="339"/>
        <v>0.38300000000000001</v>
      </c>
      <c r="AU111" s="1030"/>
      <c r="AV111" s="1227">
        <v>0</v>
      </c>
      <c r="AW111" s="518"/>
      <c r="AX111" s="1112">
        <f t="shared" si="340"/>
        <v>0.38300000000000001</v>
      </c>
      <c r="AY111" s="1030"/>
      <c r="AZ111" s="1227">
        <v>0</v>
      </c>
      <c r="BA111" s="919"/>
      <c r="BB111" s="4249">
        <f t="shared" si="329"/>
        <v>0</v>
      </c>
      <c r="BC111" s="1220"/>
      <c r="BD111" s="1221">
        <f t="shared" si="330"/>
        <v>0.24299999999999999</v>
      </c>
      <c r="BE111" s="518"/>
      <c r="BF111" s="1112">
        <f t="shared" si="341"/>
        <v>0.38300000000000001</v>
      </c>
    </row>
    <row r="112" spans="2:58" s="902" customFormat="1" ht="20.100000000000001" customHeight="1" x14ac:dyDescent="0.25">
      <c r="B112" s="2667" t="s">
        <v>696</v>
      </c>
      <c r="C112" s="2572" t="s">
        <v>53</v>
      </c>
      <c r="D112" s="2058"/>
      <c r="E112" s="1030"/>
      <c r="F112" s="510">
        <v>0</v>
      </c>
      <c r="G112" s="1030"/>
      <c r="H112" s="510"/>
      <c r="I112" s="518"/>
      <c r="J112" s="518">
        <f t="shared" si="331"/>
        <v>0</v>
      </c>
      <c r="K112" s="1030"/>
      <c r="L112" s="1227"/>
      <c r="M112" s="919"/>
      <c r="N112" s="1228">
        <f t="shared" si="332"/>
        <v>0</v>
      </c>
      <c r="O112" s="1030"/>
      <c r="P112" s="1227">
        <v>0</v>
      </c>
      <c r="Q112" s="518"/>
      <c r="R112" s="1112">
        <f t="shared" si="333"/>
        <v>0</v>
      </c>
      <c r="S112" s="1030"/>
      <c r="T112" s="1227">
        <v>0</v>
      </c>
      <c r="U112" s="518"/>
      <c r="V112" s="1112">
        <f t="shared" si="334"/>
        <v>0</v>
      </c>
      <c r="W112" s="1030"/>
      <c r="X112" s="1227">
        <v>0</v>
      </c>
      <c r="Y112" s="919"/>
      <c r="Z112" s="3528">
        <f t="shared" si="327"/>
        <v>0</v>
      </c>
      <c r="AA112" s="1220"/>
      <c r="AB112" s="1221">
        <f t="shared" si="335"/>
        <v>0</v>
      </c>
      <c r="AC112" s="1030"/>
      <c r="AD112" s="1227">
        <v>0</v>
      </c>
      <c r="AE112" s="518"/>
      <c r="AF112" s="1112">
        <f t="shared" si="336"/>
        <v>0</v>
      </c>
      <c r="AG112" s="1030"/>
      <c r="AH112" s="1227">
        <v>0</v>
      </c>
      <c r="AI112" s="518"/>
      <c r="AJ112" s="1112">
        <f t="shared" si="337"/>
        <v>0</v>
      </c>
      <c r="AK112" s="1030"/>
      <c r="AL112" s="1227">
        <v>0.16</v>
      </c>
      <c r="AM112" s="919"/>
      <c r="AN112" s="3528">
        <f t="shared" si="328"/>
        <v>0.16</v>
      </c>
      <c r="AO112" s="518"/>
      <c r="AP112" s="1112">
        <f t="shared" si="338"/>
        <v>0.16</v>
      </c>
      <c r="AQ112" s="1030"/>
      <c r="AR112" s="1227">
        <v>0</v>
      </c>
      <c r="AS112" s="518"/>
      <c r="AT112" s="1112">
        <f t="shared" si="339"/>
        <v>0.16</v>
      </c>
      <c r="AU112" s="1030"/>
      <c r="AV112" s="1227">
        <v>0</v>
      </c>
      <c r="AW112" s="518"/>
      <c r="AX112" s="1112">
        <f t="shared" si="340"/>
        <v>0.16</v>
      </c>
      <c r="AY112" s="1030"/>
      <c r="AZ112" s="1227">
        <v>0</v>
      </c>
      <c r="BA112" s="919"/>
      <c r="BB112" s="4249">
        <f t="shared" si="329"/>
        <v>0</v>
      </c>
      <c r="BC112" s="1220"/>
      <c r="BD112" s="1221">
        <f t="shared" si="330"/>
        <v>0.16</v>
      </c>
      <c r="BE112" s="518"/>
      <c r="BF112" s="1112">
        <f t="shared" si="341"/>
        <v>0.16</v>
      </c>
    </row>
    <row r="113" spans="2:58" s="1726" customFormat="1" ht="20.100000000000001" customHeight="1" x14ac:dyDescent="0.25">
      <c r="B113" s="2667" t="s">
        <v>1246</v>
      </c>
      <c r="C113" s="2572" t="s">
        <v>53</v>
      </c>
      <c r="D113" s="2058"/>
      <c r="E113" s="1030"/>
      <c r="F113" s="510"/>
      <c r="G113" s="1030"/>
      <c r="H113" s="510"/>
      <c r="I113" s="518"/>
      <c r="J113" s="518">
        <f t="shared" si="331"/>
        <v>0</v>
      </c>
      <c r="K113" s="1030"/>
      <c r="L113" s="1227"/>
      <c r="M113" s="919"/>
      <c r="N113" s="1228">
        <f t="shared" si="332"/>
        <v>0</v>
      </c>
      <c r="O113" s="1030"/>
      <c r="P113" s="1227"/>
      <c r="Q113" s="518"/>
      <c r="R113" s="1112">
        <f t="shared" si="333"/>
        <v>0</v>
      </c>
      <c r="S113" s="1030"/>
      <c r="T113" s="1227">
        <v>2146</v>
      </c>
      <c r="U113" s="518"/>
      <c r="V113" s="1112">
        <f t="shared" si="334"/>
        <v>2146</v>
      </c>
      <c r="W113" s="1030"/>
      <c r="X113" s="1227">
        <v>2789.5</v>
      </c>
      <c r="Y113" s="919"/>
      <c r="Z113" s="3528">
        <f t="shared" si="327"/>
        <v>4935.5</v>
      </c>
      <c r="AA113" s="1220"/>
      <c r="AB113" s="1221">
        <f t="shared" si="335"/>
        <v>4935.5</v>
      </c>
      <c r="AC113" s="1030"/>
      <c r="AD113" s="1227">
        <v>1382</v>
      </c>
      <c r="AE113" s="518"/>
      <c r="AF113" s="1112">
        <f t="shared" si="336"/>
        <v>6317.5</v>
      </c>
      <c r="AG113" s="1030"/>
      <c r="AH113" s="1227">
        <v>1830</v>
      </c>
      <c r="AI113" s="518"/>
      <c r="AJ113" s="1112">
        <f t="shared" si="337"/>
        <v>8147.5</v>
      </c>
      <c r="AK113" s="1030"/>
      <c r="AL113" s="1227">
        <v>2622</v>
      </c>
      <c r="AM113" s="919"/>
      <c r="AN113" s="3528">
        <f t="shared" si="328"/>
        <v>5834</v>
      </c>
      <c r="AO113" s="518"/>
      <c r="AP113" s="1112">
        <f t="shared" si="338"/>
        <v>10769.5</v>
      </c>
      <c r="AQ113" s="1030"/>
      <c r="AR113" s="508">
        <v>2000</v>
      </c>
      <c r="AS113" s="518"/>
      <c r="AT113" s="1112">
        <f t="shared" si="339"/>
        <v>12769.5</v>
      </c>
      <c r="AU113" s="1030"/>
      <c r="AV113" s="508">
        <v>2205</v>
      </c>
      <c r="AW113" s="518"/>
      <c r="AX113" s="1112">
        <f t="shared" si="340"/>
        <v>14974.5</v>
      </c>
      <c r="AY113" s="1030"/>
      <c r="AZ113" s="508">
        <v>150</v>
      </c>
      <c r="BA113" s="919"/>
      <c r="BB113" s="4249">
        <f t="shared" si="329"/>
        <v>4355</v>
      </c>
      <c r="BC113" s="1220"/>
      <c r="BD113" s="1221">
        <f t="shared" si="330"/>
        <v>10189</v>
      </c>
      <c r="BE113" s="518"/>
      <c r="BF113" s="1112">
        <f t="shared" si="341"/>
        <v>15124.5</v>
      </c>
    </row>
    <row r="114" spans="2:58" s="1726" customFormat="1" ht="20.100000000000001" customHeight="1" x14ac:dyDescent="0.25">
      <c r="B114" s="2667" t="s">
        <v>1512</v>
      </c>
      <c r="C114" s="2572" t="s">
        <v>53</v>
      </c>
      <c r="D114" s="2058"/>
      <c r="E114" s="1030"/>
      <c r="F114" s="510"/>
      <c r="G114" s="1030"/>
      <c r="H114" s="510"/>
      <c r="I114" s="518"/>
      <c r="J114" s="518">
        <f t="shared" si="331"/>
        <v>0</v>
      </c>
      <c r="K114" s="1030"/>
      <c r="L114" s="1227"/>
      <c r="M114" s="919"/>
      <c r="N114" s="1228">
        <f t="shared" si="332"/>
        <v>0</v>
      </c>
      <c r="O114" s="1030"/>
      <c r="P114" s="1227"/>
      <c r="Q114" s="518"/>
      <c r="R114" s="1112">
        <f t="shared" si="333"/>
        <v>0</v>
      </c>
      <c r="S114" s="1030"/>
      <c r="T114" s="1227">
        <v>1.86</v>
      </c>
      <c r="U114" s="518"/>
      <c r="V114" s="1112">
        <f t="shared" si="334"/>
        <v>1.86</v>
      </c>
      <c r="W114" s="1030"/>
      <c r="X114" s="1227">
        <v>3.59</v>
      </c>
      <c r="Y114" s="919"/>
      <c r="Z114" s="3528">
        <f t="shared" si="327"/>
        <v>5.45</v>
      </c>
      <c r="AA114" s="1220"/>
      <c r="AB114" s="1221">
        <f t="shared" si="335"/>
        <v>5.45</v>
      </c>
      <c r="AC114" s="1030"/>
      <c r="AD114" s="1227">
        <v>5.44</v>
      </c>
      <c r="AE114" s="518"/>
      <c r="AF114" s="1112">
        <f t="shared" si="336"/>
        <v>10.89</v>
      </c>
      <c r="AG114" s="1030"/>
      <c r="AH114" s="1227">
        <v>4.43</v>
      </c>
      <c r="AI114" s="518"/>
      <c r="AJ114" s="1112">
        <f t="shared" si="337"/>
        <v>15.32</v>
      </c>
      <c r="AK114" s="1030"/>
      <c r="AL114" s="1227">
        <v>4.55</v>
      </c>
      <c r="AM114" s="919"/>
      <c r="AN114" s="3528">
        <f t="shared" si="328"/>
        <v>14.420000000000002</v>
      </c>
      <c r="AO114" s="518"/>
      <c r="AP114" s="1112">
        <f t="shared" si="338"/>
        <v>19.87</v>
      </c>
      <c r="AQ114" s="1030"/>
      <c r="AR114" s="1227">
        <v>2.8620000000000001</v>
      </c>
      <c r="AS114" s="518"/>
      <c r="AT114" s="1112">
        <f t="shared" si="339"/>
        <v>22.731999999999999</v>
      </c>
      <c r="AU114" s="1030"/>
      <c r="AV114" s="1227">
        <v>4.0119999999999996</v>
      </c>
      <c r="AW114" s="518"/>
      <c r="AX114" s="1112">
        <f t="shared" si="340"/>
        <v>26.744</v>
      </c>
      <c r="AY114" s="1030"/>
      <c r="AZ114" s="1227">
        <v>7.383</v>
      </c>
      <c r="BA114" s="919"/>
      <c r="BB114" s="4249">
        <f t="shared" si="329"/>
        <v>14.257</v>
      </c>
      <c r="BC114" s="1220"/>
      <c r="BD114" s="1221">
        <f t="shared" si="330"/>
        <v>28.677</v>
      </c>
      <c r="BE114" s="518"/>
      <c r="BF114" s="1112">
        <f t="shared" si="341"/>
        <v>34.127000000000002</v>
      </c>
    </row>
    <row r="115" spans="2:58" s="902" customFormat="1" ht="20.100000000000001" customHeight="1" x14ac:dyDescent="0.25">
      <c r="B115" s="2667" t="s">
        <v>1019</v>
      </c>
      <c r="C115" s="2572" t="s">
        <v>53</v>
      </c>
      <c r="D115" s="2058"/>
      <c r="E115" s="1030"/>
      <c r="F115" s="510">
        <v>0</v>
      </c>
      <c r="G115" s="1030"/>
      <c r="H115" s="510">
        <v>7.96</v>
      </c>
      <c r="I115" s="518"/>
      <c r="J115" s="518">
        <f t="shared" si="331"/>
        <v>7.96</v>
      </c>
      <c r="K115" s="1030"/>
      <c r="L115" s="1227"/>
      <c r="M115" s="919"/>
      <c r="N115" s="1228">
        <f t="shared" si="332"/>
        <v>7.96</v>
      </c>
      <c r="O115" s="1030"/>
      <c r="P115" s="508">
        <v>0</v>
      </c>
      <c r="Q115" s="518"/>
      <c r="R115" s="1112">
        <f t="shared" si="333"/>
        <v>7.96</v>
      </c>
      <c r="S115" s="1030"/>
      <c r="T115" s="1227">
        <v>0</v>
      </c>
      <c r="U115" s="518"/>
      <c r="V115" s="1112">
        <f t="shared" si="334"/>
        <v>7.96</v>
      </c>
      <c r="W115" s="1030"/>
      <c r="X115" s="1227">
        <v>0</v>
      </c>
      <c r="Y115" s="919"/>
      <c r="Z115" s="3528">
        <f t="shared" si="327"/>
        <v>0</v>
      </c>
      <c r="AA115" s="1220"/>
      <c r="AB115" s="1221">
        <f t="shared" si="335"/>
        <v>7.96</v>
      </c>
      <c r="AC115" s="1030"/>
      <c r="AD115" s="1227">
        <v>0</v>
      </c>
      <c r="AE115" s="518"/>
      <c r="AF115" s="1112">
        <f t="shared" si="336"/>
        <v>7.96</v>
      </c>
      <c r="AG115" s="1030"/>
      <c r="AH115" s="1227">
        <v>0</v>
      </c>
      <c r="AI115" s="518"/>
      <c r="AJ115" s="1112">
        <f t="shared" si="337"/>
        <v>7.96</v>
      </c>
      <c r="AK115" s="1030"/>
      <c r="AL115" s="1227">
        <v>0</v>
      </c>
      <c r="AM115" s="919"/>
      <c r="AN115" s="3528">
        <f t="shared" si="328"/>
        <v>0</v>
      </c>
      <c r="AO115" s="518"/>
      <c r="AP115" s="1112">
        <f t="shared" si="338"/>
        <v>7.96</v>
      </c>
      <c r="AQ115" s="1030"/>
      <c r="AR115" s="1227">
        <v>0</v>
      </c>
      <c r="AS115" s="518"/>
      <c r="AT115" s="1112">
        <f t="shared" si="339"/>
        <v>7.96</v>
      </c>
      <c r="AU115" s="1030"/>
      <c r="AV115" s="1227">
        <v>0</v>
      </c>
      <c r="AW115" s="518"/>
      <c r="AX115" s="1112">
        <f t="shared" si="340"/>
        <v>7.96</v>
      </c>
      <c r="AY115" s="1030"/>
      <c r="AZ115" s="1227">
        <v>0</v>
      </c>
      <c r="BA115" s="919"/>
      <c r="BB115" s="4249">
        <f t="shared" si="329"/>
        <v>0</v>
      </c>
      <c r="BC115" s="1220"/>
      <c r="BD115" s="1221">
        <f t="shared" si="330"/>
        <v>0</v>
      </c>
      <c r="BE115" s="518"/>
      <c r="BF115" s="1112">
        <f t="shared" si="341"/>
        <v>7.96</v>
      </c>
    </row>
    <row r="116" spans="2:58" s="4468" customFormat="1" ht="20.100000000000001" customHeight="1" x14ac:dyDescent="0.25">
      <c r="B116" s="2667" t="s">
        <v>1859</v>
      </c>
      <c r="C116" s="2572" t="s">
        <v>53</v>
      </c>
      <c r="D116" s="2058"/>
      <c r="E116" s="1030"/>
      <c r="F116" s="510"/>
      <c r="G116" s="1030"/>
      <c r="H116" s="510"/>
      <c r="I116" s="518"/>
      <c r="J116" s="518"/>
      <c r="K116" s="1030"/>
      <c r="L116" s="1227"/>
      <c r="M116" s="919"/>
      <c r="N116" s="1228"/>
      <c r="O116" s="1030"/>
      <c r="P116" s="508"/>
      <c r="Q116" s="518"/>
      <c r="R116" s="1112"/>
      <c r="S116" s="1030"/>
      <c r="T116" s="1227"/>
      <c r="U116" s="518"/>
      <c r="V116" s="1112"/>
      <c r="W116" s="1030"/>
      <c r="X116" s="1227"/>
      <c r="Y116" s="919"/>
      <c r="Z116" s="4471"/>
      <c r="AA116" s="1220"/>
      <c r="AB116" s="1221"/>
      <c r="AC116" s="1030"/>
      <c r="AD116" s="1227"/>
      <c r="AE116" s="518"/>
      <c r="AF116" s="1112"/>
      <c r="AG116" s="1030"/>
      <c r="AH116" s="1227"/>
      <c r="AI116" s="518"/>
      <c r="AJ116" s="1112"/>
      <c r="AK116" s="1030"/>
      <c r="AL116" s="1227"/>
      <c r="AM116" s="919"/>
      <c r="AN116" s="4471"/>
      <c r="AO116" s="518"/>
      <c r="AP116" s="1112"/>
      <c r="AQ116" s="1030"/>
      <c r="AR116" s="1227"/>
      <c r="AS116" s="518"/>
      <c r="AT116" s="1112"/>
      <c r="AU116" s="1030"/>
      <c r="AV116" s="1227"/>
      <c r="AW116" s="518"/>
      <c r="AX116" s="1112"/>
      <c r="AY116" s="1030"/>
      <c r="AZ116" s="1227">
        <v>105.3</v>
      </c>
      <c r="BA116" s="919"/>
      <c r="BB116" s="4471">
        <f t="shared" si="329"/>
        <v>105.3</v>
      </c>
      <c r="BC116" s="1220"/>
      <c r="BD116" s="1221">
        <f t="shared" si="330"/>
        <v>105.3</v>
      </c>
      <c r="BE116" s="518"/>
      <c r="BF116" s="1112">
        <f t="shared" si="341"/>
        <v>105.3</v>
      </c>
    </row>
    <row r="117" spans="2:58" s="670" customFormat="1" ht="20.100000000000001" customHeight="1" x14ac:dyDescent="0.25">
      <c r="B117" s="2667" t="s">
        <v>1</v>
      </c>
      <c r="C117" s="2572" t="s">
        <v>53</v>
      </c>
      <c r="D117" s="2058"/>
      <c r="E117" s="1030"/>
      <c r="F117" s="510">
        <v>122</v>
      </c>
      <c r="G117" s="1030"/>
      <c r="H117" s="510">
        <v>115</v>
      </c>
      <c r="I117" s="518"/>
      <c r="J117" s="518">
        <f t="shared" si="331"/>
        <v>237</v>
      </c>
      <c r="K117" s="1030"/>
      <c r="L117" s="1227">
        <v>222</v>
      </c>
      <c r="M117" s="919"/>
      <c r="N117" s="1228">
        <f t="shared" si="332"/>
        <v>459</v>
      </c>
      <c r="O117" s="1030"/>
      <c r="P117" s="508">
        <v>400</v>
      </c>
      <c r="Q117" s="518"/>
      <c r="R117" s="1112">
        <f t="shared" si="333"/>
        <v>859</v>
      </c>
      <c r="S117" s="1030"/>
      <c r="T117" s="508">
        <v>353</v>
      </c>
      <c r="U117" s="518"/>
      <c r="V117" s="1112">
        <f t="shared" si="334"/>
        <v>1212</v>
      </c>
      <c r="W117" s="1030"/>
      <c r="X117" s="508">
        <v>94</v>
      </c>
      <c r="Y117" s="919"/>
      <c r="Z117" s="3528">
        <f t="shared" si="327"/>
        <v>847</v>
      </c>
      <c r="AA117" s="1220"/>
      <c r="AB117" s="1221">
        <f t="shared" si="335"/>
        <v>1306</v>
      </c>
      <c r="AC117" s="1030"/>
      <c r="AD117" s="508">
        <v>94</v>
      </c>
      <c r="AE117" s="518"/>
      <c r="AF117" s="1112">
        <f t="shared" si="336"/>
        <v>1400</v>
      </c>
      <c r="AG117" s="1030"/>
      <c r="AH117" s="508">
        <v>165</v>
      </c>
      <c r="AI117" s="518"/>
      <c r="AJ117" s="1112">
        <f t="shared" si="337"/>
        <v>1565</v>
      </c>
      <c r="AK117" s="1030"/>
      <c r="AL117" s="508">
        <v>274</v>
      </c>
      <c r="AM117" s="919"/>
      <c r="AN117" s="3528">
        <f t="shared" si="328"/>
        <v>533</v>
      </c>
      <c r="AO117" s="518"/>
      <c r="AP117" s="1112">
        <f t="shared" si="338"/>
        <v>1839</v>
      </c>
      <c r="AQ117" s="1030"/>
      <c r="AR117" s="508">
        <v>95</v>
      </c>
      <c r="AS117" s="518"/>
      <c r="AT117" s="1112">
        <f t="shared" si="339"/>
        <v>1934</v>
      </c>
      <c r="AU117" s="1030"/>
      <c r="AV117" s="508">
        <v>60</v>
      </c>
      <c r="AW117" s="518"/>
      <c r="AX117" s="1112">
        <f t="shared" si="340"/>
        <v>1994</v>
      </c>
      <c r="AY117" s="1030"/>
      <c r="AZ117" s="508">
        <v>190</v>
      </c>
      <c r="BA117" s="919"/>
      <c r="BB117" s="4249">
        <f t="shared" si="329"/>
        <v>345</v>
      </c>
      <c r="BC117" s="1220"/>
      <c r="BD117" s="1221">
        <f t="shared" si="330"/>
        <v>878</v>
      </c>
      <c r="BE117" s="518"/>
      <c r="BF117" s="1112">
        <f t="shared" si="341"/>
        <v>2184</v>
      </c>
    </row>
    <row r="118" spans="2:58" s="1726" customFormat="1" ht="20.100000000000001" customHeight="1" x14ac:dyDescent="0.25">
      <c r="B118" s="2667" t="s">
        <v>1677</v>
      </c>
      <c r="C118" s="2572" t="s">
        <v>53</v>
      </c>
      <c r="D118" s="2058"/>
      <c r="E118" s="1030"/>
      <c r="F118" s="510"/>
      <c r="G118" s="1030"/>
      <c r="H118" s="510"/>
      <c r="I118" s="518"/>
      <c r="J118" s="518"/>
      <c r="K118" s="1030"/>
      <c r="L118" s="1227"/>
      <c r="M118" s="919"/>
      <c r="N118" s="1228"/>
      <c r="O118" s="1030"/>
      <c r="P118" s="508"/>
      <c r="Q118" s="518"/>
      <c r="R118" s="1112"/>
      <c r="S118" s="1030"/>
      <c r="T118" s="508"/>
      <c r="U118" s="518"/>
      <c r="V118" s="1112"/>
      <c r="W118" s="1030"/>
      <c r="X118" s="508"/>
      <c r="Y118" s="919"/>
      <c r="Z118" s="3528"/>
      <c r="AA118" s="1220"/>
      <c r="AB118" s="1221"/>
      <c r="AC118" s="1030"/>
      <c r="AD118" s="508"/>
      <c r="AE118" s="518"/>
      <c r="AF118" s="1112"/>
      <c r="AG118" s="1030"/>
      <c r="AH118" s="508">
        <v>274</v>
      </c>
      <c r="AI118" s="518"/>
      <c r="AJ118" s="1112">
        <f t="shared" si="337"/>
        <v>274</v>
      </c>
      <c r="AK118" s="1030"/>
      <c r="AL118" s="508">
        <v>0</v>
      </c>
      <c r="AM118" s="919"/>
      <c r="AN118" s="3528">
        <f t="shared" si="328"/>
        <v>274</v>
      </c>
      <c r="AO118" s="518"/>
      <c r="AP118" s="1112">
        <f t="shared" si="338"/>
        <v>274</v>
      </c>
      <c r="AQ118" s="1030"/>
      <c r="AR118" s="508">
        <v>0</v>
      </c>
      <c r="AS118" s="518"/>
      <c r="AT118" s="1112">
        <f t="shared" si="339"/>
        <v>274</v>
      </c>
      <c r="AU118" s="1030"/>
      <c r="AV118" s="508">
        <v>437.5</v>
      </c>
      <c r="AW118" s="518"/>
      <c r="AX118" s="1112">
        <f t="shared" si="340"/>
        <v>711.5</v>
      </c>
      <c r="AY118" s="1030"/>
      <c r="AZ118" s="508">
        <v>570</v>
      </c>
      <c r="BA118" s="919"/>
      <c r="BB118" s="4249">
        <f t="shared" si="329"/>
        <v>1007.5</v>
      </c>
      <c r="BC118" s="1220"/>
      <c r="BD118" s="1221">
        <f t="shared" si="330"/>
        <v>1281.5</v>
      </c>
      <c r="BE118" s="518"/>
      <c r="BF118" s="1112">
        <f t="shared" si="341"/>
        <v>1281.5</v>
      </c>
    </row>
    <row r="119" spans="2:58" s="670" customFormat="1" ht="20.100000000000001" customHeight="1" x14ac:dyDescent="0.25">
      <c r="B119" s="2667" t="s">
        <v>865</v>
      </c>
      <c r="C119" s="2572" t="s">
        <v>53</v>
      </c>
      <c r="D119" s="2058"/>
      <c r="E119" s="1030"/>
      <c r="F119" s="510">
        <v>209</v>
      </c>
      <c r="G119" s="1030"/>
      <c r="H119" s="510">
        <v>450</v>
      </c>
      <c r="I119" s="518"/>
      <c r="J119" s="518">
        <f t="shared" si="331"/>
        <v>659</v>
      </c>
      <c r="K119" s="1030"/>
      <c r="L119" s="1227">
        <v>470.4</v>
      </c>
      <c r="M119" s="919"/>
      <c r="N119" s="1228">
        <f t="shared" si="332"/>
        <v>1129.4000000000001</v>
      </c>
      <c r="O119" s="1030"/>
      <c r="P119" s="508">
        <v>392</v>
      </c>
      <c r="Q119" s="518"/>
      <c r="R119" s="1112">
        <f t="shared" si="333"/>
        <v>1521.4</v>
      </c>
      <c r="S119" s="1030"/>
      <c r="T119" s="508">
        <v>545.44000000000005</v>
      </c>
      <c r="U119" s="518"/>
      <c r="V119" s="1112">
        <f t="shared" si="334"/>
        <v>2066.84</v>
      </c>
      <c r="W119" s="1030"/>
      <c r="X119" s="508">
        <v>558.88</v>
      </c>
      <c r="Y119" s="919"/>
      <c r="Z119" s="3528">
        <f t="shared" si="327"/>
        <v>1496.3200000000002</v>
      </c>
      <c r="AA119" s="1220"/>
      <c r="AB119" s="1221">
        <f t="shared" si="335"/>
        <v>2625.7200000000003</v>
      </c>
      <c r="AC119" s="1030"/>
      <c r="AD119" s="508">
        <v>469.28</v>
      </c>
      <c r="AE119" s="518"/>
      <c r="AF119" s="1112">
        <f t="shared" si="336"/>
        <v>3095</v>
      </c>
      <c r="AG119" s="1030"/>
      <c r="AH119" s="508">
        <v>226.48</v>
      </c>
      <c r="AI119" s="518"/>
      <c r="AJ119" s="1112">
        <f t="shared" si="337"/>
        <v>3321.48</v>
      </c>
      <c r="AK119" s="1030"/>
      <c r="AL119" s="508">
        <v>444.44</v>
      </c>
      <c r="AM119" s="919"/>
      <c r="AN119" s="3528">
        <f t="shared" si="328"/>
        <v>1140.1999999999998</v>
      </c>
      <c r="AO119" s="518"/>
      <c r="AP119" s="1112">
        <f t="shared" si="338"/>
        <v>3765.92</v>
      </c>
      <c r="AQ119" s="1030"/>
      <c r="AR119" s="508">
        <v>435.07</v>
      </c>
      <c r="AS119" s="518"/>
      <c r="AT119" s="1112">
        <f t="shared" si="339"/>
        <v>4200.99</v>
      </c>
      <c r="AU119" s="1030"/>
      <c r="AV119" s="508">
        <v>62.44</v>
      </c>
      <c r="AW119" s="518"/>
      <c r="AX119" s="1112">
        <f t="shared" si="340"/>
        <v>4263.4299999999994</v>
      </c>
      <c r="AY119" s="1030"/>
      <c r="AZ119" s="508">
        <v>0</v>
      </c>
      <c r="BA119" s="919"/>
      <c r="BB119" s="4249">
        <f t="shared" si="329"/>
        <v>497.51</v>
      </c>
      <c r="BC119" s="1220"/>
      <c r="BD119" s="1221">
        <f t="shared" si="330"/>
        <v>1637.7099999999998</v>
      </c>
      <c r="BE119" s="518"/>
      <c r="BF119" s="1112">
        <f t="shared" si="341"/>
        <v>4263.4299999999994</v>
      </c>
    </row>
    <row r="120" spans="2:58" s="670" customFormat="1" ht="20.100000000000001" customHeight="1" x14ac:dyDescent="0.25">
      <c r="B120" s="2667" t="s">
        <v>866</v>
      </c>
      <c r="C120" s="2572" t="s">
        <v>53</v>
      </c>
      <c r="D120" s="2058"/>
      <c r="E120" s="1030"/>
      <c r="F120" s="510">
        <v>28</v>
      </c>
      <c r="G120" s="1030"/>
      <c r="H120" s="510">
        <v>35.92</v>
      </c>
      <c r="I120" s="518"/>
      <c r="J120" s="518">
        <f t="shared" si="331"/>
        <v>63.92</v>
      </c>
      <c r="K120" s="1030"/>
      <c r="L120" s="1227">
        <v>54.5</v>
      </c>
      <c r="M120" s="919"/>
      <c r="N120" s="1228">
        <f t="shared" si="332"/>
        <v>118.42</v>
      </c>
      <c r="O120" s="1030"/>
      <c r="P120" s="508">
        <v>51</v>
      </c>
      <c r="Q120" s="518"/>
      <c r="R120" s="1112">
        <f t="shared" si="333"/>
        <v>169.42000000000002</v>
      </c>
      <c r="S120" s="1030"/>
      <c r="T120" s="508">
        <v>46</v>
      </c>
      <c r="U120" s="518"/>
      <c r="V120" s="1112">
        <f t="shared" si="334"/>
        <v>215.42000000000002</v>
      </c>
      <c r="W120" s="1030"/>
      <c r="X120" s="508">
        <v>52.28</v>
      </c>
      <c r="Y120" s="919"/>
      <c r="Z120" s="3528">
        <f t="shared" si="327"/>
        <v>149.28</v>
      </c>
      <c r="AA120" s="1220"/>
      <c r="AB120" s="1221">
        <f t="shared" si="335"/>
        <v>267.70000000000005</v>
      </c>
      <c r="AC120" s="1030"/>
      <c r="AD120" s="508">
        <v>55.88</v>
      </c>
      <c r="AE120" s="518"/>
      <c r="AF120" s="1112">
        <f t="shared" si="336"/>
        <v>323.58000000000004</v>
      </c>
      <c r="AG120" s="1030"/>
      <c r="AH120" s="508">
        <v>51.72</v>
      </c>
      <c r="AI120" s="518"/>
      <c r="AJ120" s="1112">
        <f t="shared" si="337"/>
        <v>375.30000000000007</v>
      </c>
      <c r="AK120" s="1030"/>
      <c r="AL120" s="508">
        <v>57.2</v>
      </c>
      <c r="AM120" s="919"/>
      <c r="AN120" s="3528">
        <f t="shared" si="328"/>
        <v>164.8</v>
      </c>
      <c r="AO120" s="518"/>
      <c r="AP120" s="1112">
        <f t="shared" si="338"/>
        <v>432.50000000000006</v>
      </c>
      <c r="AQ120" s="1030"/>
      <c r="AR120" s="508">
        <v>62.71</v>
      </c>
      <c r="AS120" s="518"/>
      <c r="AT120" s="1112">
        <f t="shared" si="339"/>
        <v>495.21000000000004</v>
      </c>
      <c r="AU120" s="1030"/>
      <c r="AV120" s="508">
        <v>55.5</v>
      </c>
      <c r="AW120" s="518"/>
      <c r="AX120" s="1112">
        <f t="shared" si="340"/>
        <v>550.71</v>
      </c>
      <c r="AY120" s="1030"/>
      <c r="AZ120" s="508">
        <v>61.25</v>
      </c>
      <c r="BA120" s="919"/>
      <c r="BB120" s="4249">
        <f t="shared" si="329"/>
        <v>179.46</v>
      </c>
      <c r="BC120" s="1220"/>
      <c r="BD120" s="1221">
        <f t="shared" si="330"/>
        <v>344.26</v>
      </c>
      <c r="BE120" s="518"/>
      <c r="BF120" s="1112">
        <f t="shared" si="341"/>
        <v>611.96</v>
      </c>
    </row>
    <row r="121" spans="2:58" ht="20.100000000000001" customHeight="1" thickBot="1" x14ac:dyDescent="0.3">
      <c r="B121" s="2623"/>
      <c r="C121" s="2583" t="s">
        <v>53</v>
      </c>
      <c r="D121" s="2063"/>
      <c r="E121" s="2668"/>
      <c r="F121" s="680"/>
      <c r="G121" s="2668"/>
      <c r="H121" s="680"/>
      <c r="I121" s="841"/>
      <c r="J121" s="841"/>
      <c r="K121" s="2668"/>
      <c r="L121" s="680"/>
      <c r="M121" s="920"/>
      <c r="N121" s="920"/>
      <c r="O121" s="2668"/>
      <c r="P121" s="1660"/>
      <c r="Q121" s="841"/>
      <c r="R121" s="841"/>
      <c r="S121" s="2668"/>
      <c r="T121" s="1660"/>
      <c r="U121" s="841"/>
      <c r="V121" s="841"/>
      <c r="W121" s="2668"/>
      <c r="X121" s="1660"/>
      <c r="Y121" s="920"/>
      <c r="Z121" s="920"/>
      <c r="AA121" s="1222"/>
      <c r="AB121" s="1222"/>
      <c r="AC121" s="2668"/>
      <c r="AD121" s="1660"/>
      <c r="AE121" s="841"/>
      <c r="AF121" s="841"/>
      <c r="AG121" s="2668"/>
      <c r="AH121" s="1660"/>
      <c r="AI121" s="841"/>
      <c r="AJ121" s="841"/>
      <c r="AK121" s="2668"/>
      <c r="AL121" s="1660"/>
      <c r="AM121" s="920"/>
      <c r="AN121" s="3528">
        <f t="shared" si="328"/>
        <v>0</v>
      </c>
      <c r="AO121" s="841"/>
      <c r="AP121" s="1112">
        <f t="shared" si="338"/>
        <v>0</v>
      </c>
      <c r="AQ121" s="2668"/>
      <c r="AR121" s="1660"/>
      <c r="AS121" s="841"/>
      <c r="AT121" s="841"/>
      <c r="AU121" s="2668"/>
      <c r="AV121" s="1660"/>
      <c r="AW121" s="841"/>
      <c r="AX121" s="841"/>
      <c r="AY121" s="2668"/>
      <c r="AZ121" s="1660"/>
      <c r="BA121" s="920"/>
      <c r="BB121" s="4249">
        <f t="shared" si="329"/>
        <v>0</v>
      </c>
      <c r="BC121" s="1222"/>
      <c r="BD121" s="1222"/>
      <c r="BE121" s="841"/>
      <c r="BF121" s="841"/>
    </row>
    <row r="122" spans="2:58" s="334" customFormat="1" ht="20.100000000000001" customHeight="1" thickBot="1" x14ac:dyDescent="0.3">
      <c r="B122" s="991"/>
      <c r="C122" s="991"/>
      <c r="D122" s="991"/>
      <c r="E122" s="991"/>
      <c r="F122" s="991"/>
      <c r="G122" s="991"/>
      <c r="H122" s="991"/>
      <c r="I122" s="991"/>
      <c r="J122" s="991"/>
      <c r="K122" s="991"/>
      <c r="L122" s="991"/>
      <c r="M122" s="991"/>
      <c r="N122" s="991"/>
      <c r="O122" s="991"/>
      <c r="P122" s="991"/>
      <c r="Q122" s="991"/>
      <c r="R122" s="991"/>
      <c r="S122" s="991"/>
      <c r="T122" s="991"/>
      <c r="U122" s="991"/>
      <c r="V122" s="991"/>
      <c r="W122" s="991"/>
      <c r="X122" s="991"/>
      <c r="Y122" s="991"/>
      <c r="Z122" s="991"/>
      <c r="AA122" s="991"/>
      <c r="AB122" s="991"/>
      <c r="AC122" s="991"/>
      <c r="AD122" s="991"/>
      <c r="AE122" s="991"/>
      <c r="AF122" s="991"/>
      <c r="AG122" s="991"/>
      <c r="AH122" s="991"/>
      <c r="AI122" s="991"/>
      <c r="AJ122" s="991"/>
      <c r="AK122" s="991"/>
      <c r="AL122" s="991"/>
      <c r="AM122" s="991"/>
      <c r="AN122" s="991"/>
      <c r="AO122" s="991"/>
      <c r="AP122" s="991"/>
      <c r="AQ122" s="991"/>
      <c r="AR122" s="991"/>
      <c r="AS122" s="991"/>
      <c r="AT122" s="991"/>
      <c r="AU122" s="991"/>
      <c r="AV122" s="991"/>
      <c r="AW122" s="991"/>
      <c r="AX122" s="991"/>
      <c r="AY122" s="991"/>
      <c r="AZ122" s="991"/>
      <c r="BA122" s="991"/>
      <c r="BB122" s="991"/>
      <c r="BC122" s="991"/>
      <c r="BD122" s="991"/>
      <c r="BE122" s="991"/>
      <c r="BF122" s="991"/>
    </row>
    <row r="123" spans="2:58" ht="20.100000000000001" customHeight="1" x14ac:dyDescent="0.25">
      <c r="B123" s="437" t="s">
        <v>631</v>
      </c>
      <c r="C123" s="2669" t="s">
        <v>52</v>
      </c>
      <c r="D123" s="2647"/>
      <c r="E123" s="5199"/>
      <c r="F123" s="501">
        <v>84</v>
      </c>
      <c r="G123" s="5199"/>
      <c r="H123" s="501">
        <v>46</v>
      </c>
      <c r="I123" s="5202"/>
      <c r="J123" s="842">
        <f>+((F123*F7)+(H123*H7))/J7</f>
        <v>68.352941176470594</v>
      </c>
      <c r="K123" s="5199"/>
      <c r="L123" s="501">
        <v>44.94</v>
      </c>
      <c r="M123" s="5213"/>
      <c r="N123" s="1024">
        <f>+((J123*J7)+(L123*L7))/N7</f>
        <v>59.882730375426618</v>
      </c>
      <c r="O123" s="5199"/>
      <c r="P123" s="501">
        <v>44.58</v>
      </c>
      <c r="Q123" s="5202"/>
      <c r="R123" s="842">
        <f>+((N123*N7)+(P123*P7))/R7</f>
        <v>55.506969943135665</v>
      </c>
      <c r="S123" s="5199"/>
      <c r="T123" s="501">
        <v>63.91</v>
      </c>
      <c r="U123" s="5202"/>
      <c r="V123" s="842">
        <f>+((R123*R7)+(T123*T7))/V7</f>
        <v>58.111720852017939</v>
      </c>
      <c r="W123" s="5199"/>
      <c r="X123" s="501">
        <v>39.340000000000003</v>
      </c>
      <c r="Y123" s="5213"/>
      <c r="Z123" s="1025">
        <f>+((P123*P7)+(T123*T7)+(X123*X7))/Z7</f>
        <v>51.443286274509809</v>
      </c>
      <c r="AA123" s="5206"/>
      <c r="AB123" s="1223">
        <f>+((V123*V7)+(X123*X7))/AB7</f>
        <v>54.887237697307334</v>
      </c>
      <c r="AC123" s="5199"/>
      <c r="AD123" s="501">
        <v>55.9</v>
      </c>
      <c r="AE123" s="5202"/>
      <c r="AF123" s="842">
        <f>+((AB123*AB7)+(AD123*AD7))/AF7</f>
        <v>55.01608995137763</v>
      </c>
      <c r="AG123" s="5199"/>
      <c r="AH123" s="501">
        <v>59.39</v>
      </c>
      <c r="AI123" s="5202"/>
      <c r="AJ123" s="842">
        <f>+((AF123*AF7)+(AH123*AH7))/AJ7</f>
        <v>55.720791978246091</v>
      </c>
      <c r="AK123" s="5199"/>
      <c r="AL123" s="501">
        <v>63.28</v>
      </c>
      <c r="AM123" s="5213"/>
      <c r="AN123" s="1025">
        <f>+((AD123*AD7)+(AH123*AH7)+(AL123*AL7))/AN7</f>
        <v>60.079092307692314</v>
      </c>
      <c r="AO123" s="5202"/>
      <c r="AP123" s="842">
        <f>+((AJ123*AJ7)+(AL123*AL7))/AP7</f>
        <v>56.841323103647944</v>
      </c>
      <c r="AQ123" s="5199"/>
      <c r="AR123" s="501">
        <v>66.5</v>
      </c>
      <c r="AS123" s="5202"/>
      <c r="AT123" s="842">
        <f>+((AP123*AP7)+(AR123*AR7))/AT7</f>
        <v>58.22592509920635</v>
      </c>
      <c r="AU123" s="5199"/>
      <c r="AV123" s="501">
        <v>58.36</v>
      </c>
      <c r="AW123" s="5202"/>
      <c r="AX123" s="842">
        <f>+((AT123*AT7)+(AV123*AV7))/AX7</f>
        <v>58.240347498893321</v>
      </c>
      <c r="AY123" s="5199"/>
      <c r="AZ123" s="501">
        <v>46.48</v>
      </c>
      <c r="BA123" s="5213"/>
      <c r="BB123" s="1025">
        <f>+((AR123*AR7)+(AV123*AV7)+(AZ123*AZ7))/BB7</f>
        <v>57.809353363814495</v>
      </c>
      <c r="BC123" s="5206"/>
      <c r="BD123" s="1223">
        <f>+((AN123*AN7)+(BB123*BB7))/BD7</f>
        <v>58.851621335217239</v>
      </c>
      <c r="BE123" s="5202"/>
      <c r="BF123" s="842">
        <f>+((AX123*AX7)+(AZ123*AZ7))/BF7</f>
        <v>57.138625877632897</v>
      </c>
    </row>
    <row r="124" spans="2:58" ht="20.100000000000001" customHeight="1" x14ac:dyDescent="0.25">
      <c r="B124" s="438" t="s">
        <v>630</v>
      </c>
      <c r="C124" s="2670" t="s">
        <v>52</v>
      </c>
      <c r="D124" s="2671"/>
      <c r="E124" s="5200"/>
      <c r="F124" s="502">
        <v>12.12</v>
      </c>
      <c r="G124" s="5200"/>
      <c r="H124" s="502">
        <v>42</v>
      </c>
      <c r="I124" s="5203"/>
      <c r="J124" s="843">
        <f>+((F124*F8)+(H124*H8))/J8</f>
        <v>34.871269035532997</v>
      </c>
      <c r="K124" s="5200"/>
      <c r="L124" s="502">
        <v>56.22</v>
      </c>
      <c r="M124" s="5214"/>
      <c r="N124" s="1025">
        <f>+((J124*J8)+(L124*L8))/N8</f>
        <v>49.709628482972136</v>
      </c>
      <c r="O124" s="5200"/>
      <c r="P124" s="502">
        <v>51.38</v>
      </c>
      <c r="Q124" s="5203"/>
      <c r="R124" s="843">
        <f>+((N124*N8)+(P124*P8))/R8</f>
        <v>50.365845864661651</v>
      </c>
      <c r="S124" s="5200"/>
      <c r="T124" s="502">
        <v>55.39</v>
      </c>
      <c r="U124" s="5203"/>
      <c r="V124" s="843">
        <f>+((R124*R8)+(T124*T8))/V8</f>
        <v>51.470865102639294</v>
      </c>
      <c r="W124" s="5200"/>
      <c r="X124" s="502">
        <v>68.58</v>
      </c>
      <c r="Y124" s="5214"/>
      <c r="Z124" s="1025">
        <f>+((P124*P8)+(T124*T8)+(X124*X8))/Z8</f>
        <v>59.532435064935058</v>
      </c>
      <c r="AA124" s="5207"/>
      <c r="AB124" s="1223">
        <f>+((V124*V8)+(X124*X8))/AB8</f>
        <v>56.153556975505857</v>
      </c>
      <c r="AC124" s="5200"/>
      <c r="AD124" s="502">
        <v>55</v>
      </c>
      <c r="AE124" s="5203"/>
      <c r="AF124" s="843">
        <f>+((AB124*AB8)+(AD124*AD8))/AF8</f>
        <v>55.872484897301653</v>
      </c>
      <c r="AG124" s="5200"/>
      <c r="AH124" s="502">
        <v>53</v>
      </c>
      <c r="AI124" s="5203"/>
      <c r="AJ124" s="843">
        <f>+((AF124*AF8)+(AH124*AH8))/AJ8</f>
        <v>55.460289755087963</v>
      </c>
      <c r="AK124" s="5200"/>
      <c r="AL124" s="502">
        <v>52.36</v>
      </c>
      <c r="AM124" s="5214"/>
      <c r="AN124" s="1025">
        <f>+((AD124*AD8)+(AH124*AH8)+(AL124*AL8))/AN8</f>
        <v>53.603122081387596</v>
      </c>
      <c r="AO124" s="5203"/>
      <c r="AP124" s="843">
        <f>+((AJ124*AJ8)+(AL124*AL8))/AP8</f>
        <v>55.02145691442108</v>
      </c>
      <c r="AQ124" s="5200"/>
      <c r="AR124" s="502">
        <v>63.3</v>
      </c>
      <c r="AS124" s="5203"/>
      <c r="AT124" s="843">
        <f>+((AP124*AP8)+(AR124*AR8))/AT8</f>
        <v>56.159095785440613</v>
      </c>
      <c r="AU124" s="5200"/>
      <c r="AV124" s="502">
        <v>64.37</v>
      </c>
      <c r="AW124" s="5203"/>
      <c r="AX124" s="843">
        <f>+((AT124*AT8)+(AV124*AV8))/AX8</f>
        <v>57.052519918051438</v>
      </c>
      <c r="AY124" s="5200"/>
      <c r="AZ124" s="502">
        <v>48.59</v>
      </c>
      <c r="BA124" s="5214"/>
      <c r="BB124" s="1025">
        <f>+((AR124*AR8)+(AV124*AV8)+(AZ124*AZ8))/BB8</f>
        <v>59.083428377460962</v>
      </c>
      <c r="BC124" s="5207"/>
      <c r="BD124" s="1223">
        <f>+((AN124*AN8)+(BB124*BB8))/BD8</f>
        <v>56.319303499327056</v>
      </c>
      <c r="BE124" s="5203"/>
      <c r="BF124" s="843">
        <f>+((AX124*AX8)+(AZ124*AZ8))/BF8</f>
        <v>56.255123711340204</v>
      </c>
    </row>
    <row r="125" spans="2:58" ht="20.100000000000001" customHeight="1" thickBot="1" x14ac:dyDescent="0.3">
      <c r="B125" s="439" t="s">
        <v>632</v>
      </c>
      <c r="C125" s="3555" t="s">
        <v>52</v>
      </c>
      <c r="D125" s="596"/>
      <c r="E125" s="5201"/>
      <c r="F125" s="503">
        <v>67.959999999999994</v>
      </c>
      <c r="G125" s="5201"/>
      <c r="H125" s="503">
        <v>41</v>
      </c>
      <c r="I125" s="5204"/>
      <c r="J125" s="844">
        <f>+((F125*F9)+(H125*H9))/J9</f>
        <v>58.489274004683836</v>
      </c>
      <c r="K125" s="5201"/>
      <c r="L125" s="503">
        <v>59.32</v>
      </c>
      <c r="M125" s="5215"/>
      <c r="N125" s="1026">
        <f>+((J125*J9)+(L125*L9))/N9</f>
        <v>58.940214132762314</v>
      </c>
      <c r="O125" s="5201"/>
      <c r="P125" s="503">
        <v>58.06</v>
      </c>
      <c r="Q125" s="5204"/>
      <c r="R125" s="844">
        <f>+((N125*N9)+(P125*P9))/R9</f>
        <v>58.645555555555553</v>
      </c>
      <c r="S125" s="5201"/>
      <c r="T125" s="503">
        <v>57.83</v>
      </c>
      <c r="U125" s="5204"/>
      <c r="V125" s="844">
        <f>+((R125*R9)+(T125*T9))/V9</f>
        <v>58.432018927444794</v>
      </c>
      <c r="W125" s="5201"/>
      <c r="X125" s="503">
        <v>56.8</v>
      </c>
      <c r="Y125" s="5215"/>
      <c r="Z125" s="1025">
        <f>+((P125*P9)+(T125*T9)+(X125*X9))/Z9</f>
        <v>57.592783357245338</v>
      </c>
      <c r="AA125" s="5208"/>
      <c r="AB125" s="1223">
        <f>+((V125*V9)+(X125*X9))/AB9</f>
        <v>58.133376288659797</v>
      </c>
      <c r="AC125" s="5201"/>
      <c r="AD125" s="503">
        <v>65</v>
      </c>
      <c r="AE125" s="5204"/>
      <c r="AF125" s="844">
        <f>+((AB125*AB9)+(AD125*AD9))/AF9</f>
        <v>59.30310049893086</v>
      </c>
      <c r="AG125" s="5201"/>
      <c r="AH125" s="503">
        <v>54.8</v>
      </c>
      <c r="AI125" s="5204"/>
      <c r="AJ125" s="844">
        <f>+((AF125*AF9)+(AH125*AH9))/AJ9</f>
        <v>58.73758180118417</v>
      </c>
      <c r="AK125" s="5201"/>
      <c r="AL125" s="503">
        <v>54.49</v>
      </c>
      <c r="AM125" s="5215"/>
      <c r="AN125" s="1025">
        <f>+((AD125*AD9)+(AH125*AH9)+(AL125*AL9))/AN9</f>
        <v>58.349602698650671</v>
      </c>
      <c r="AO125" s="5204"/>
      <c r="AP125" s="844">
        <f>+((AJ125*AJ9)+(AL125*AL9))/AP9</f>
        <v>58.212143637356633</v>
      </c>
      <c r="AQ125" s="5201"/>
      <c r="AR125" s="503">
        <v>41.8</v>
      </c>
      <c r="AS125" s="5204"/>
      <c r="AT125" s="844">
        <f>+((AP125*AP9)+(AR125*AR9))/AT9</f>
        <v>56.814056957282034</v>
      </c>
      <c r="AU125" s="5201"/>
      <c r="AV125" s="503">
        <v>61.8</v>
      </c>
      <c r="AW125" s="5204"/>
      <c r="AX125" s="844">
        <f>+((AT125*AT9)+(AV125*AV9))/AX9</f>
        <v>57.190593533487295</v>
      </c>
      <c r="AY125" s="5201"/>
      <c r="AZ125" s="503">
        <v>53.63</v>
      </c>
      <c r="BA125" s="5215"/>
      <c r="BB125" s="1025">
        <f>+((AR125*AR9)+(AV125*AV9)+(AZ125*AZ9))/BB9</f>
        <v>52.501217895608946</v>
      </c>
      <c r="BC125" s="5208"/>
      <c r="BD125" s="1223">
        <f>+((AN125*AN9)+(BB125*BB9))/BD9</f>
        <v>55.571562377016924</v>
      </c>
      <c r="BE125" s="5204"/>
      <c r="BF125" s="844">
        <f>+((AX125*AX9)+(AZ125*AZ9))/BF9</f>
        <v>56.796434586157318</v>
      </c>
    </row>
    <row r="126" spans="2:58" ht="20.100000000000001" customHeight="1" x14ac:dyDescent="0.25">
      <c r="B126" s="437" t="s">
        <v>647</v>
      </c>
      <c r="C126" s="2669" t="s">
        <v>52</v>
      </c>
      <c r="D126" s="2674"/>
      <c r="E126" s="2675"/>
      <c r="F126" s="501">
        <v>76.069999999999993</v>
      </c>
      <c r="G126" s="2675"/>
      <c r="H126" s="501">
        <v>91.33</v>
      </c>
      <c r="I126" s="2676"/>
      <c r="J126" s="842">
        <f>+((F126*F25)+(H126*H25))/J25</f>
        <v>82.790469244078679</v>
      </c>
      <c r="K126" s="2675"/>
      <c r="L126" s="501">
        <v>72.790000000000006</v>
      </c>
      <c r="M126" s="2677"/>
      <c r="N126" s="1024">
        <f>+((J126*J25)+(L126*L25))/N25</f>
        <v>78.000605009300912</v>
      </c>
      <c r="O126" s="2675"/>
      <c r="P126" s="501">
        <v>67.94</v>
      </c>
      <c r="Q126" s="2676"/>
      <c r="R126" s="842">
        <f>+((N126*N25)+(P126*P25))/R25</f>
        <v>74.719658582293661</v>
      </c>
      <c r="S126" s="2675"/>
      <c r="T126" s="501">
        <v>70.38</v>
      </c>
      <c r="U126" s="2676"/>
      <c r="V126" s="842">
        <f>+((R126*R25)+(T126*T25))/V25</f>
        <v>73.612969878147311</v>
      </c>
      <c r="W126" s="2675"/>
      <c r="X126" s="501">
        <v>74.08</v>
      </c>
      <c r="Y126" s="2677"/>
      <c r="Z126" s="1025">
        <f>+((P126*P25)+(T126*T25)+(X126*X25))/Z25</f>
        <v>70.869451361377941</v>
      </c>
      <c r="AA126" s="2678"/>
      <c r="AB126" s="1223">
        <f>+((V126*V25)+(X126*X25))/AB25</f>
        <v>73.70950540081877</v>
      </c>
      <c r="AC126" s="2675"/>
      <c r="AD126" s="501">
        <v>76.11</v>
      </c>
      <c r="AE126" s="2676"/>
      <c r="AF126" s="842">
        <f>+((AB126*AB25)+(AD126*AD25))/AF25</f>
        <v>74.126599924567287</v>
      </c>
      <c r="AG126" s="2675"/>
      <c r="AH126" s="501">
        <v>69.17</v>
      </c>
      <c r="AI126" s="2676"/>
      <c r="AJ126" s="842">
        <f>+((AF126*AF25)+(AH126*AH25))/AJ25</f>
        <v>73.471429065007484</v>
      </c>
      <c r="AK126" s="2675"/>
      <c r="AL126" s="501">
        <v>82.96</v>
      </c>
      <c r="AM126" s="2677"/>
      <c r="AN126" s="1025">
        <f>+((AD126*AD25)+(AH126*AH25)+(AL126*AL25))/AN25</f>
        <v>76.642949210440648</v>
      </c>
      <c r="AO126" s="2676"/>
      <c r="AP126" s="842">
        <f>+((AJ126*AJ25)+(AL126*AL25))/AP25</f>
        <v>74.843794600352709</v>
      </c>
      <c r="AQ126" s="2675"/>
      <c r="AR126" s="501">
        <v>81.510000000000005</v>
      </c>
      <c r="AS126" s="2676"/>
      <c r="AT126" s="842">
        <f>+((AP126*AP25)+(AR126*AR25))/AT25</f>
        <v>75.634655295866224</v>
      </c>
      <c r="AU126" s="2675"/>
      <c r="AV126" s="501">
        <v>78.59</v>
      </c>
      <c r="AW126" s="2676"/>
      <c r="AX126" s="842">
        <f>+((AT126*AT25)+(AV126*AV25))/AX25</f>
        <v>75.928072735489039</v>
      </c>
      <c r="AY126" s="2675"/>
      <c r="AZ126" s="501">
        <v>80.98</v>
      </c>
      <c r="BA126" s="2677"/>
      <c r="BB126" s="1025">
        <f>+((AR126*AR25)+(AV126*AV25)+(AZ126*AZ25))/BB25</f>
        <v>80.414069080314547</v>
      </c>
      <c r="BC126" s="2678"/>
      <c r="BD126" s="1223">
        <f>+((AN126*AN25)+(BB126*BB25))/BD25</f>
        <v>78.565392959451913</v>
      </c>
      <c r="BE126" s="2676"/>
      <c r="BF126" s="842">
        <f>+((AX126*AX25)+(AZ126*AZ25))/BF25</f>
        <v>76.441273293690344</v>
      </c>
    </row>
    <row r="127" spans="2:58" ht="20.100000000000001" customHeight="1" x14ac:dyDescent="0.25">
      <c r="B127" s="438" t="s">
        <v>648</v>
      </c>
      <c r="C127" s="2670" t="s">
        <v>52</v>
      </c>
      <c r="D127" s="2679"/>
      <c r="E127" s="2680"/>
      <c r="F127" s="502">
        <v>79.72</v>
      </c>
      <c r="G127" s="2680"/>
      <c r="H127" s="502">
        <v>93.67</v>
      </c>
      <c r="I127" s="2681"/>
      <c r="J127" s="843">
        <f>+((F127*F26)+(H127*H26))/J26</f>
        <v>86.186881551220807</v>
      </c>
      <c r="K127" s="2680"/>
      <c r="L127" s="502">
        <v>75.430000000000007</v>
      </c>
      <c r="M127" s="2682"/>
      <c r="N127" s="1025">
        <f>+((J127*J26)+(L127*L26))/N26</f>
        <v>80.802947519051855</v>
      </c>
      <c r="O127" s="2680"/>
      <c r="P127" s="502">
        <v>75.09</v>
      </c>
      <c r="Q127" s="2681"/>
      <c r="R127" s="843">
        <f>+((N127*N26)+(P127*P26))/R26</f>
        <v>78.763745156918091</v>
      </c>
      <c r="S127" s="2680"/>
      <c r="T127" s="502">
        <v>72.150000000000006</v>
      </c>
      <c r="U127" s="2681"/>
      <c r="V127" s="843">
        <f>+((R127*R26)+(T127*T26))/V26</f>
        <v>77.095117651997811</v>
      </c>
      <c r="W127" s="2680"/>
      <c r="X127" s="502">
        <v>77.11</v>
      </c>
      <c r="Y127" s="2682"/>
      <c r="Z127" s="1025">
        <f>+((P127*P26)+(T127*T26)+(X127*X26))/Z26</f>
        <v>74.816613984268812</v>
      </c>
      <c r="AA127" s="2683"/>
      <c r="AB127" s="1223">
        <f>+((V127*V26)+(X127*X26))/AB26</f>
        <v>77.098203042720897</v>
      </c>
      <c r="AC127" s="2680"/>
      <c r="AD127" s="502">
        <v>88.63</v>
      </c>
      <c r="AE127" s="2681"/>
      <c r="AF127" s="843">
        <f>+((AB127*AB26)+(AD127*AD26))/AF26</f>
        <v>79.281334931498776</v>
      </c>
      <c r="AG127" s="2680"/>
      <c r="AH127" s="502">
        <v>77.650000000000006</v>
      </c>
      <c r="AI127" s="2681"/>
      <c r="AJ127" s="843">
        <f>+((AF127*AF26)+(AH127*AH26))/AJ26</f>
        <v>79.043633434695579</v>
      </c>
      <c r="AK127" s="2680"/>
      <c r="AL127" s="502">
        <v>78.459999999999994</v>
      </c>
      <c r="AM127" s="2682"/>
      <c r="AN127" s="1025">
        <f>+((AD127*AD26)+(AH127*AH26)+(AL127*AL26))/AN26</f>
        <v>81.859270625051153</v>
      </c>
      <c r="AO127" s="2681"/>
      <c r="AP127" s="843">
        <f>+((AJ127*AJ26)+(AL127*AL26))/AP26</f>
        <v>78.971194746144988</v>
      </c>
      <c r="AQ127" s="2680"/>
      <c r="AR127" s="502">
        <v>85.36</v>
      </c>
      <c r="AS127" s="2681"/>
      <c r="AT127" s="843">
        <f>+((AP127*AP26)+(AR127*AR26))/AT26</f>
        <v>79.704859543037031</v>
      </c>
      <c r="AU127" s="2680"/>
      <c r="AV127" s="502">
        <v>78.97</v>
      </c>
      <c r="AW127" s="2681"/>
      <c r="AX127" s="843">
        <f>+((AT127*AT26)+(AV127*AV26))/AX26</f>
        <v>79.635087412753123</v>
      </c>
      <c r="AY127" s="2680"/>
      <c r="AZ127" s="502">
        <v>81.56</v>
      </c>
      <c r="BA127" s="2682"/>
      <c r="BB127" s="1025">
        <f>+((AR127*AR26)+(AV127*AV26)+(AZ127*AZ26))/BB26</f>
        <v>82.044975017315906</v>
      </c>
      <c r="BC127" s="2683"/>
      <c r="BD127" s="1223">
        <f>+((AN127*AN26)+(BB127*BB26))/BD26</f>
        <v>81.95095079439092</v>
      </c>
      <c r="BE127" s="2681"/>
      <c r="BF127" s="843">
        <f>+((AX127*AX26)+(AZ127*AZ26))/BF26</f>
        <v>79.823377219063971</v>
      </c>
    </row>
    <row r="128" spans="2:58" ht="20.100000000000001" customHeight="1" thickBot="1" x14ac:dyDescent="0.3">
      <c r="B128" s="439" t="s">
        <v>649</v>
      </c>
      <c r="C128" s="3555" t="s">
        <v>52</v>
      </c>
      <c r="D128" s="596"/>
      <c r="E128" s="485"/>
      <c r="F128" s="503">
        <v>33.04</v>
      </c>
      <c r="G128" s="485"/>
      <c r="H128" s="503">
        <v>32.979999999999997</v>
      </c>
      <c r="I128" s="2684"/>
      <c r="J128" s="844">
        <f>+((F128*F27)+(H128*H27))/J27</f>
        <v>33.016380718064212</v>
      </c>
      <c r="K128" s="485"/>
      <c r="L128" s="503">
        <v>59.08</v>
      </c>
      <c r="M128" s="2685"/>
      <c r="N128" s="1026">
        <f>+((J128*J27)+(L128*L27))/N27</f>
        <v>49.874478135625594</v>
      </c>
      <c r="O128" s="485"/>
      <c r="P128" s="503">
        <v>34.35</v>
      </c>
      <c r="Q128" s="2684"/>
      <c r="R128" s="844">
        <f>+((N128*N27)+(P128*P27))/R27</f>
        <v>45.085910676046282</v>
      </c>
      <c r="S128" s="485"/>
      <c r="T128" s="503">
        <v>51.84</v>
      </c>
      <c r="U128" s="2684"/>
      <c r="V128" s="844">
        <f>+((R128*R27)+(T128*T27))/V27</f>
        <v>47.303005547365089</v>
      </c>
      <c r="W128" s="485"/>
      <c r="X128" s="503">
        <v>52.35</v>
      </c>
      <c r="Y128" s="2685"/>
      <c r="Z128" s="1025">
        <f>+((P128*P27)+(T128*T27)+(X128*X27))/Z27</f>
        <v>47.396763479158253</v>
      </c>
      <c r="AA128" s="2686"/>
      <c r="AB128" s="1223">
        <f>+((V128*V27)+(X128*X27))/AB27</f>
        <v>48.316604200455281</v>
      </c>
      <c r="AC128" s="485"/>
      <c r="AD128" s="503">
        <v>45.27</v>
      </c>
      <c r="AE128" s="2684"/>
      <c r="AF128" s="844">
        <f>+((AB128*AB27)+(AD128*AD27))/AF27</f>
        <v>47.795016542252974</v>
      </c>
      <c r="AG128" s="485"/>
      <c r="AH128" s="503">
        <v>55.85</v>
      </c>
      <c r="AI128" s="2684"/>
      <c r="AJ128" s="844">
        <f>+((AF128*AF27)+(AH128*AH27))/AJ27</f>
        <v>49.078708432362852</v>
      </c>
      <c r="AK128" s="485"/>
      <c r="AL128" s="503">
        <v>54.13</v>
      </c>
      <c r="AM128" s="2685"/>
      <c r="AN128" s="1025">
        <f>+((AD128*AD27)+(AH128*AH27)+(AL128*AL27))/AN27</f>
        <v>52.053540183282855</v>
      </c>
      <c r="AO128" s="2684"/>
      <c r="AP128" s="844">
        <f>+((AJ128*AJ27)+(AL128*AL27))/AP27</f>
        <v>49.844855231019778</v>
      </c>
      <c r="AQ128" s="485"/>
      <c r="AR128" s="503">
        <v>61.29</v>
      </c>
      <c r="AS128" s="2684"/>
      <c r="AT128" s="844">
        <f>+((AP128*AP27)+(AR128*AR27))/AT27</f>
        <v>51.496105733317435</v>
      </c>
      <c r="AU128" s="485"/>
      <c r="AV128" s="503">
        <v>53.87</v>
      </c>
      <c r="AW128" s="2684"/>
      <c r="AX128" s="844">
        <f>+((AT128*AT27)+(AV128*AV27))/AX27</f>
        <v>51.736656037818534</v>
      </c>
      <c r="AY128" s="485"/>
      <c r="AZ128" s="503">
        <v>51.38</v>
      </c>
      <c r="BA128" s="2685"/>
      <c r="BB128" s="1025">
        <f>+((AR128*AR27)+(AV128*AV27)+(AZ128*AZ27))/BB27</f>
        <v>55.903899833413817</v>
      </c>
      <c r="BC128" s="2686"/>
      <c r="BD128" s="1223">
        <f>+((AN128*AN27)+(BB128*BB27))/BD27</f>
        <v>54.053167264404109</v>
      </c>
      <c r="BE128" s="2684"/>
      <c r="BF128" s="844">
        <f>+((AX128*AX27)+(AZ128*AZ27))/BF27</f>
        <v>51.701656956671073</v>
      </c>
    </row>
    <row r="129" spans="2:58" s="1726" customFormat="1" ht="20.100000000000001" hidden="1" customHeight="1" x14ac:dyDescent="0.25">
      <c r="D129" s="1803"/>
      <c r="AY129" s="4240"/>
      <c r="AZ129" s="4240"/>
      <c r="BA129" s="4240"/>
      <c r="BB129" s="4240"/>
      <c r="BC129" s="4240"/>
      <c r="BD129" s="4240"/>
      <c r="BE129" s="4240"/>
      <c r="BF129" s="4240"/>
    </row>
    <row r="130" spans="2:58" s="1726" customFormat="1" ht="20.100000000000001" hidden="1" customHeight="1" x14ac:dyDescent="0.25">
      <c r="D130" s="1803"/>
      <c r="AY130" s="4240"/>
      <c r="AZ130" s="4240"/>
      <c r="BA130" s="4240"/>
      <c r="BB130" s="4240"/>
      <c r="BC130" s="4240"/>
      <c r="BD130" s="4240"/>
      <c r="BE130" s="4240"/>
      <c r="BF130" s="4240"/>
    </row>
    <row r="131" spans="2:58" ht="23.25" hidden="1" customHeight="1" x14ac:dyDescent="0.3">
      <c r="B131" s="1421" t="s">
        <v>1249</v>
      </c>
      <c r="C131" s="1420"/>
      <c r="D131" s="1805"/>
      <c r="F131" s="504"/>
      <c r="G131" s="442"/>
      <c r="H131" s="504"/>
      <c r="I131" s="442"/>
      <c r="J131" s="504"/>
      <c r="K131" s="442"/>
      <c r="L131" s="443"/>
      <c r="M131" s="442"/>
      <c r="N131" s="443"/>
      <c r="O131" s="442"/>
      <c r="P131" s="443"/>
      <c r="Q131" s="442"/>
      <c r="R131" s="443"/>
      <c r="S131" s="442"/>
      <c r="T131" s="443"/>
      <c r="U131" s="442"/>
      <c r="V131" s="443"/>
      <c r="W131" s="442"/>
      <c r="X131" s="443"/>
      <c r="AC131" s="442"/>
      <c r="AD131" s="443"/>
      <c r="AE131" s="442"/>
      <c r="AF131" s="443"/>
      <c r="AG131" s="442"/>
      <c r="AH131" s="443"/>
      <c r="AI131" s="442"/>
      <c r="AJ131" s="443"/>
      <c r="AK131" s="442"/>
      <c r="AL131" s="443"/>
      <c r="AM131" s="1358"/>
      <c r="AN131" s="1358"/>
      <c r="AO131" s="1358"/>
      <c r="AP131" s="1358"/>
      <c r="AQ131" s="442"/>
      <c r="AR131" s="443"/>
      <c r="AS131" s="442"/>
      <c r="AT131" s="443"/>
      <c r="AU131" s="442"/>
      <c r="AV131" s="443"/>
      <c r="AW131" s="442"/>
      <c r="AX131" s="443"/>
      <c r="AY131" s="442"/>
      <c r="AZ131" s="443"/>
      <c r="BE131" s="442"/>
      <c r="BF131" s="443"/>
    </row>
    <row r="132" spans="2:58" ht="23.25" hidden="1" customHeight="1" x14ac:dyDescent="0.3">
      <c r="B132" s="1420" t="s">
        <v>271</v>
      </c>
      <c r="C132" s="1420"/>
      <c r="D132" s="1805"/>
      <c r="F132" s="505"/>
      <c r="G132" s="440"/>
      <c r="H132" s="505"/>
      <c r="I132" s="440"/>
      <c r="J132" s="505"/>
      <c r="K132" s="440"/>
      <c r="L132" s="441"/>
      <c r="M132" s="440"/>
      <c r="N132" s="441"/>
      <c r="O132" s="440"/>
      <c r="P132" s="441"/>
      <c r="Q132" s="440"/>
      <c r="R132" s="441"/>
      <c r="S132" s="440"/>
      <c r="T132" s="441"/>
      <c r="U132" s="440"/>
      <c r="V132" s="441"/>
      <c r="W132" s="440"/>
      <c r="X132" s="441"/>
      <c r="AC132" s="440"/>
      <c r="AD132" s="441"/>
      <c r="AE132" s="440"/>
      <c r="AF132" s="441"/>
      <c r="AG132" s="440"/>
      <c r="AH132" s="441"/>
      <c r="AI132" s="440"/>
      <c r="AJ132" s="441"/>
      <c r="AK132" s="440"/>
      <c r="AL132" s="441"/>
      <c r="AM132" s="1358"/>
      <c r="AN132" s="1358"/>
      <c r="AO132" s="1358"/>
      <c r="AP132" s="1358"/>
      <c r="AQ132" s="440"/>
      <c r="AR132" s="441"/>
      <c r="AS132" s="440"/>
      <c r="AT132" s="441"/>
      <c r="AU132" s="440"/>
      <c r="AV132" s="441"/>
      <c r="AW132" s="440"/>
      <c r="AX132" s="441"/>
      <c r="AY132" s="440"/>
      <c r="AZ132" s="441"/>
      <c r="BE132" s="440"/>
      <c r="BF132" s="441"/>
    </row>
    <row r="133" spans="2:58" ht="18.75" hidden="1" customHeight="1" x14ac:dyDescent="0.3">
      <c r="B133" s="1420" t="s">
        <v>1248</v>
      </c>
      <c r="C133" s="1422" t="s">
        <v>53</v>
      </c>
      <c r="D133" s="1846"/>
      <c r="E133" s="1390"/>
      <c r="F133" s="497">
        <f>+F66</f>
        <v>459</v>
      </c>
      <c r="G133" s="1390"/>
      <c r="H133" s="497">
        <f>+H66</f>
        <v>85</v>
      </c>
      <c r="I133" s="734"/>
      <c r="J133" s="606">
        <f>+J66</f>
        <v>544</v>
      </c>
      <c r="K133" s="1390"/>
      <c r="L133" s="497">
        <f>+L66</f>
        <v>1607</v>
      </c>
      <c r="M133" s="434"/>
      <c r="N133" s="621">
        <f>+N66</f>
        <v>2151</v>
      </c>
      <c r="O133" s="1390"/>
      <c r="P133" s="497">
        <f>+P66</f>
        <v>70.5</v>
      </c>
      <c r="Q133" s="734"/>
      <c r="R133" s="606">
        <f>+R66</f>
        <v>2221.5</v>
      </c>
      <c r="S133" s="1728"/>
      <c r="T133" s="497">
        <f>+T66</f>
        <v>40</v>
      </c>
      <c r="U133" s="734"/>
      <c r="V133" s="606">
        <f>+V66</f>
        <v>2261.5</v>
      </c>
      <c r="W133" s="1786"/>
      <c r="X133" s="497">
        <f>+X66</f>
        <v>1697.3</v>
      </c>
      <c r="Y133" s="1391"/>
      <c r="Z133" s="1011">
        <f>+Z66</f>
        <v>1807.8</v>
      </c>
      <c r="AA133" s="1207"/>
      <c r="AB133" s="1208">
        <f>+AB66</f>
        <v>3958.8</v>
      </c>
      <c r="AC133" s="3146"/>
      <c r="AD133" s="497">
        <f>+AD66</f>
        <v>2735</v>
      </c>
      <c r="AE133" s="734"/>
      <c r="AF133" s="606">
        <f>+AF66</f>
        <v>6693.8</v>
      </c>
      <c r="AG133" s="3247"/>
      <c r="AH133" s="497">
        <f>+AH66</f>
        <v>885</v>
      </c>
      <c r="AI133" s="734"/>
      <c r="AJ133" s="606">
        <f>+AJ66</f>
        <v>7578.8</v>
      </c>
      <c r="AK133" s="3519"/>
      <c r="AL133" s="497">
        <f>+AL66</f>
        <v>1128</v>
      </c>
      <c r="AM133" s="1391"/>
      <c r="AN133" s="1011">
        <f>+AN66</f>
        <v>4748</v>
      </c>
      <c r="AO133" s="734"/>
      <c r="AP133" s="606">
        <f>+AP66</f>
        <v>8706.7999999999993</v>
      </c>
      <c r="AQ133" s="3901"/>
      <c r="AR133" s="497">
        <f>+AR66</f>
        <v>3300</v>
      </c>
      <c r="AS133" s="734"/>
      <c r="AT133" s="606">
        <f>+AT66</f>
        <v>12006.8</v>
      </c>
      <c r="AU133" s="4007"/>
      <c r="AV133" s="497">
        <f>+AV66</f>
        <v>1500</v>
      </c>
      <c r="AW133" s="734"/>
      <c r="AX133" s="606">
        <f>+AX66</f>
        <v>13506.8</v>
      </c>
      <c r="AY133" s="4007"/>
      <c r="AZ133" s="497">
        <f>+AZ66</f>
        <v>6002</v>
      </c>
      <c r="BA133" s="1727"/>
      <c r="BB133" s="4249">
        <f>+BB66</f>
        <v>10802</v>
      </c>
      <c r="BC133" s="1207"/>
      <c r="BD133" s="1208">
        <f>+BD66</f>
        <v>15550</v>
      </c>
      <c r="BE133" s="734"/>
      <c r="BF133" s="606">
        <f>+BF66</f>
        <v>19508.8</v>
      </c>
    </row>
    <row r="134" spans="2:58" ht="18.75" hidden="1" customHeight="1" x14ac:dyDescent="0.3">
      <c r="B134" s="1420" t="s">
        <v>1250</v>
      </c>
      <c r="C134" s="1422" t="s">
        <v>52</v>
      </c>
      <c r="D134" s="1846"/>
      <c r="E134" s="1390"/>
      <c r="F134" s="497">
        <v>20</v>
      </c>
      <c r="G134" s="1390"/>
      <c r="H134" s="497">
        <v>20</v>
      </c>
      <c r="I134" s="734"/>
      <c r="J134" s="606">
        <v>20</v>
      </c>
      <c r="K134" s="1390"/>
      <c r="L134" s="497">
        <v>20</v>
      </c>
      <c r="M134" s="434"/>
      <c r="N134" s="621">
        <v>20</v>
      </c>
      <c r="O134" s="1390"/>
      <c r="P134" s="497">
        <v>20</v>
      </c>
      <c r="Q134" s="734"/>
      <c r="R134" s="606">
        <v>20</v>
      </c>
      <c r="S134" s="1728"/>
      <c r="T134" s="497">
        <v>20</v>
      </c>
      <c r="U134" s="734"/>
      <c r="V134" s="606">
        <v>20</v>
      </c>
      <c r="W134" s="1786"/>
      <c r="X134" s="497">
        <v>20</v>
      </c>
      <c r="Y134" s="1391"/>
      <c r="Z134" s="1011">
        <v>20</v>
      </c>
      <c r="AA134" s="1207"/>
      <c r="AB134" s="1208">
        <v>20</v>
      </c>
      <c r="AC134" s="3146"/>
      <c r="AD134" s="497"/>
      <c r="AE134" s="734"/>
      <c r="AF134" s="606">
        <v>20</v>
      </c>
      <c r="AG134" s="3247"/>
      <c r="AH134" s="497"/>
      <c r="AI134" s="734"/>
      <c r="AJ134" s="606">
        <v>20</v>
      </c>
      <c r="AK134" s="3519"/>
      <c r="AL134" s="497"/>
      <c r="AM134" s="1391"/>
      <c r="AN134" s="1011">
        <v>20</v>
      </c>
      <c r="AO134" s="734"/>
      <c r="AP134" s="606">
        <v>20</v>
      </c>
      <c r="AQ134" s="3901"/>
      <c r="AR134" s="497"/>
      <c r="AS134" s="734"/>
      <c r="AT134" s="606">
        <v>20</v>
      </c>
      <c r="AU134" s="4007"/>
      <c r="AV134" s="497"/>
      <c r="AW134" s="734"/>
      <c r="AX134" s="606">
        <v>20</v>
      </c>
      <c r="AY134" s="4007"/>
      <c r="AZ134" s="497"/>
      <c r="BA134" s="1727"/>
      <c r="BB134" s="4249">
        <v>20</v>
      </c>
      <c r="BC134" s="1207"/>
      <c r="BD134" s="1208">
        <v>20</v>
      </c>
      <c r="BE134" s="734"/>
      <c r="BF134" s="606">
        <v>20</v>
      </c>
    </row>
    <row r="135" spans="2:58" ht="18.75" hidden="1" customHeight="1" x14ac:dyDescent="0.3">
      <c r="B135" s="1420" t="s">
        <v>1243</v>
      </c>
      <c r="C135" s="1422" t="s">
        <v>53</v>
      </c>
      <c r="D135" s="1846"/>
      <c r="E135" s="1390"/>
      <c r="F135" s="497">
        <f>+F133/(100-F134)*F134</f>
        <v>114.75</v>
      </c>
      <c r="G135" s="1390"/>
      <c r="H135" s="497">
        <f>+H133/(100-H134)*H134</f>
        <v>21.25</v>
      </c>
      <c r="I135" s="734"/>
      <c r="J135" s="606">
        <f>+J133/(100-J134)*J134</f>
        <v>136</v>
      </c>
      <c r="K135" s="1390"/>
      <c r="L135" s="497">
        <f>+L133/(100-L134)*L134</f>
        <v>401.75</v>
      </c>
      <c r="M135" s="434"/>
      <c r="N135" s="621">
        <f>+N133/(100-N134)*N134</f>
        <v>537.75</v>
      </c>
      <c r="O135" s="1390"/>
      <c r="P135" s="497">
        <f>+P133/(100-P134)*P134</f>
        <v>17.625</v>
      </c>
      <c r="Q135" s="734"/>
      <c r="R135" s="606">
        <f>+R133/(100-R134)*R134</f>
        <v>555.375</v>
      </c>
      <c r="S135" s="1728"/>
      <c r="T135" s="497">
        <f>+T133/(100-T134)*T134</f>
        <v>10</v>
      </c>
      <c r="U135" s="734"/>
      <c r="V135" s="606">
        <f>+V133/(100-V134)*V134</f>
        <v>565.375</v>
      </c>
      <c r="W135" s="1786"/>
      <c r="X135" s="497">
        <f>+X133/(100-X134)*X134</f>
        <v>424.32499999999999</v>
      </c>
      <c r="Y135" s="1391"/>
      <c r="Z135" s="1011">
        <f>+Z133/(100-Z134)*Z134</f>
        <v>451.95</v>
      </c>
      <c r="AA135" s="1207"/>
      <c r="AB135" s="1208">
        <f>+AB133/(100-AB134)*AB134</f>
        <v>989.7</v>
      </c>
      <c r="AC135" s="3146"/>
      <c r="AD135" s="497">
        <f>+AD133/(100-AD134)*AD134</f>
        <v>0</v>
      </c>
      <c r="AE135" s="734"/>
      <c r="AF135" s="606">
        <f>+AF133/(100-AF134)*AF134</f>
        <v>1673.45</v>
      </c>
      <c r="AG135" s="3247"/>
      <c r="AH135" s="497">
        <f>+AH133/(100-AH134)*AH134</f>
        <v>0</v>
      </c>
      <c r="AI135" s="734"/>
      <c r="AJ135" s="606">
        <f>+AJ133/(100-AJ134)*AJ134</f>
        <v>1894.7</v>
      </c>
      <c r="AK135" s="3519"/>
      <c r="AL135" s="497">
        <f>+AL133/(100-AL134)*AL134</f>
        <v>0</v>
      </c>
      <c r="AM135" s="1391"/>
      <c r="AN135" s="1011">
        <f>+AN133/(100-AN134)*AN134</f>
        <v>1187</v>
      </c>
      <c r="AO135" s="734"/>
      <c r="AP135" s="606">
        <f>+AP133/(100-AP134)*AP134</f>
        <v>2176.6999999999998</v>
      </c>
      <c r="AQ135" s="3901"/>
      <c r="AR135" s="497">
        <f>+AR133/(100-AR134)*AR134</f>
        <v>0</v>
      </c>
      <c r="AS135" s="734"/>
      <c r="AT135" s="606">
        <f>+AT133/(100-AT134)*AT134</f>
        <v>3001.7</v>
      </c>
      <c r="AU135" s="4007"/>
      <c r="AV135" s="497">
        <f>+AV133/(100-AV134)*AV134</f>
        <v>0</v>
      </c>
      <c r="AW135" s="734"/>
      <c r="AX135" s="606">
        <f>+AX133/(100-AX134)*AX134</f>
        <v>3376.7</v>
      </c>
      <c r="AY135" s="4007"/>
      <c r="AZ135" s="497">
        <f>+AZ133/(100-AZ134)*AZ134</f>
        <v>0</v>
      </c>
      <c r="BA135" s="1727"/>
      <c r="BB135" s="4249">
        <f>+BB133/(100-BB134)*BB134</f>
        <v>2700.5</v>
      </c>
      <c r="BC135" s="1207"/>
      <c r="BD135" s="1208">
        <f>+BD133/(100-BD134)*BD134</f>
        <v>3887.5</v>
      </c>
      <c r="BE135" s="734"/>
      <c r="BF135" s="606">
        <f>+BF133/(100-BF134)*BF134</f>
        <v>4877.2</v>
      </c>
    </row>
    <row r="136" spans="2:58" ht="18.75" hidden="1" customHeight="1" x14ac:dyDescent="0.3">
      <c r="B136" s="1420" t="s">
        <v>23</v>
      </c>
      <c r="C136" s="1422" t="s">
        <v>53</v>
      </c>
      <c r="D136" s="1846"/>
      <c r="E136" s="1390"/>
      <c r="F136" s="497">
        <f>+F133+F135</f>
        <v>573.75</v>
      </c>
      <c r="G136" s="1390"/>
      <c r="H136" s="497">
        <f>+H133+H135</f>
        <v>106.25</v>
      </c>
      <c r="I136" s="734"/>
      <c r="J136" s="606">
        <f>+J133+J135</f>
        <v>680</v>
      </c>
      <c r="K136" s="1390"/>
      <c r="L136" s="497">
        <f>+L133+L135</f>
        <v>2008.75</v>
      </c>
      <c r="M136" s="434"/>
      <c r="N136" s="621">
        <f>+N133+N135</f>
        <v>2688.75</v>
      </c>
      <c r="O136" s="1390"/>
      <c r="P136" s="497">
        <f>+P133+P135</f>
        <v>88.125</v>
      </c>
      <c r="Q136" s="734"/>
      <c r="R136" s="606">
        <f>+R133+R135</f>
        <v>2776.875</v>
      </c>
      <c r="S136" s="1728"/>
      <c r="T136" s="497">
        <f>+T133+T135</f>
        <v>50</v>
      </c>
      <c r="U136" s="734"/>
      <c r="V136" s="606">
        <f>+V133+V135</f>
        <v>2826.875</v>
      </c>
      <c r="W136" s="1786"/>
      <c r="X136" s="497">
        <f>+X133+X135</f>
        <v>2121.625</v>
      </c>
      <c r="Y136" s="1391"/>
      <c r="Z136" s="1011">
        <f>+Z133+Z135</f>
        <v>2259.75</v>
      </c>
      <c r="AA136" s="1207"/>
      <c r="AB136" s="1208">
        <f>+AB133+AB135</f>
        <v>4948.5</v>
      </c>
      <c r="AC136" s="3146"/>
      <c r="AD136" s="497">
        <f>+AD133+AD135</f>
        <v>2735</v>
      </c>
      <c r="AE136" s="734"/>
      <c r="AF136" s="606">
        <f>+AF133+AF135</f>
        <v>8367.25</v>
      </c>
      <c r="AG136" s="3247"/>
      <c r="AH136" s="497">
        <f>+AH133+AH135</f>
        <v>885</v>
      </c>
      <c r="AI136" s="734"/>
      <c r="AJ136" s="606">
        <f>+AJ133+AJ135</f>
        <v>9473.5</v>
      </c>
      <c r="AK136" s="3519"/>
      <c r="AL136" s="497">
        <f>+AL133+AL135</f>
        <v>1128</v>
      </c>
      <c r="AM136" s="1391"/>
      <c r="AN136" s="1011">
        <f>+AN133+AN135</f>
        <v>5935</v>
      </c>
      <c r="AO136" s="734"/>
      <c r="AP136" s="606">
        <f>+AP133+AP135</f>
        <v>10883.5</v>
      </c>
      <c r="AQ136" s="3901"/>
      <c r="AR136" s="497">
        <f>+AR133+AR135</f>
        <v>3300</v>
      </c>
      <c r="AS136" s="734"/>
      <c r="AT136" s="606">
        <f>+AT133+AT135</f>
        <v>15008.5</v>
      </c>
      <c r="AU136" s="4007"/>
      <c r="AV136" s="497">
        <f>+AV133+AV135</f>
        <v>1500</v>
      </c>
      <c r="AW136" s="734"/>
      <c r="AX136" s="606">
        <f>+AX133+AX135</f>
        <v>16883.5</v>
      </c>
      <c r="AY136" s="4007"/>
      <c r="AZ136" s="497">
        <f>+AZ133+AZ135</f>
        <v>6002</v>
      </c>
      <c r="BA136" s="1727"/>
      <c r="BB136" s="4249">
        <f>+BB133+BB135</f>
        <v>13502.5</v>
      </c>
      <c r="BC136" s="1207"/>
      <c r="BD136" s="1208">
        <f>+BD133+BD135</f>
        <v>19437.5</v>
      </c>
      <c r="BE136" s="734"/>
      <c r="BF136" s="606">
        <f>+BF133+BF135</f>
        <v>24386</v>
      </c>
    </row>
    <row r="137" spans="2:58" ht="18.75" hidden="1" customHeight="1" x14ac:dyDescent="0.3">
      <c r="B137" s="1420" t="s">
        <v>238</v>
      </c>
      <c r="C137" s="1422" t="s">
        <v>52</v>
      </c>
      <c r="D137" s="1846"/>
      <c r="E137" s="1390"/>
      <c r="F137" s="496">
        <f>+'B-FCE'!F89</f>
        <v>3.9995405467493681</v>
      </c>
      <c r="G137" s="433"/>
      <c r="H137" s="496">
        <f>+'B-FCE'!H89</f>
        <v>4.0003291407076542</v>
      </c>
      <c r="I137" s="435"/>
      <c r="J137" s="834">
        <f>+'B-FCE'!J89</f>
        <v>3.9999302852495302</v>
      </c>
      <c r="K137" s="433"/>
      <c r="L137" s="496">
        <f>+'B-FCE'!L89</f>
        <v>3.9998010049251285</v>
      </c>
      <c r="M137" s="436"/>
      <c r="N137" s="1014">
        <f>+'B-FCE'!N89</f>
        <v>3.9998678432621135</v>
      </c>
      <c r="O137" s="433"/>
      <c r="P137" s="496">
        <f>+'B-FCE'!P89</f>
        <v>4.0002371213468493</v>
      </c>
      <c r="Q137" s="435"/>
      <c r="R137" s="834">
        <f>+'B-FCE'!R89</f>
        <v>3.9999920259634663</v>
      </c>
      <c r="S137" s="433"/>
      <c r="T137" s="496">
        <f>+'B-FCE'!T89</f>
        <v>3.9999061330329591</v>
      </c>
      <c r="U137" s="435"/>
      <c r="V137" s="834">
        <f>+'B-FCE'!V89</f>
        <v>3.9999702417264671</v>
      </c>
      <c r="W137" s="433"/>
      <c r="X137" s="496">
        <f>+'B-FCE'!X89</f>
        <v>4.0005715102157451</v>
      </c>
      <c r="Y137" s="1439"/>
      <c r="Z137" s="1015">
        <f>+'B-FCE'!Z89</f>
        <v>4.0002456257507895</v>
      </c>
      <c r="AA137" s="1212"/>
      <c r="AB137" s="1206">
        <f>+'B-FCE'!AB89</f>
        <v>4.0000983542062905</v>
      </c>
      <c r="AC137" s="433"/>
      <c r="AD137" s="496">
        <f>+'B-FCE'!AD89</f>
        <v>3.9999343735131498</v>
      </c>
      <c r="AE137" s="435"/>
      <c r="AF137" s="834">
        <f>+'B-FCE'!AF89</f>
        <v>4.0000619386807132</v>
      </c>
      <c r="AG137" s="433"/>
      <c r="AH137" s="496">
        <f>+'B-FCE'!AH89</f>
        <v>4</v>
      </c>
      <c r="AI137" s="435"/>
      <c r="AJ137" s="834">
        <f>+'B-FCE'!AJ89</f>
        <v>4.0000524383849028</v>
      </c>
      <c r="AK137" s="433"/>
      <c r="AL137" s="496">
        <f>+'B-FCE'!AL89</f>
        <v>4.0003093561420835</v>
      </c>
      <c r="AM137" s="1439"/>
      <c r="AN137" s="1015">
        <f>+'B-FCE'!AN89</f>
        <v>4.0000681313648343</v>
      </c>
      <c r="AO137" s="435"/>
      <c r="AP137" s="834">
        <f>+'B-FCE'!AP89</f>
        <v>4.0000854766789802</v>
      </c>
      <c r="AQ137" s="433"/>
      <c r="AR137" s="496">
        <f>+'B-FCE'!AR89</f>
        <v>3.9999999999999964</v>
      </c>
      <c r="AS137" s="435"/>
      <c r="AT137" s="834">
        <f>+'B-FCE'!AT89</f>
        <v>4.0000759091154992</v>
      </c>
      <c r="AU137" s="433"/>
      <c r="AV137" s="496">
        <f>+'B-FCE'!AV89</f>
        <v>3.9999999999999996</v>
      </c>
      <c r="AW137" s="435"/>
      <c r="AX137" s="834">
        <f>+'B-FCE'!AX89</f>
        <v>4.0000684345160158</v>
      </c>
      <c r="AY137" s="433"/>
      <c r="AZ137" s="496">
        <f>+'B-FCE'!AZ89</f>
        <v>4.0000000000000098</v>
      </c>
      <c r="BA137" s="1439"/>
      <c r="BB137" s="1015">
        <f>+'B-FCE'!BB89</f>
        <v>4.0000000000000018</v>
      </c>
      <c r="BC137" s="1212"/>
      <c r="BD137" s="1206">
        <f>+'B-FCE'!BD89</f>
        <v>4.0000356550189711</v>
      </c>
      <c r="BE137" s="435"/>
      <c r="BF137" s="834">
        <f>+'B-FCE'!BB89</f>
        <v>4.0000000000000018</v>
      </c>
    </row>
    <row r="138" spans="2:58" ht="18.75" hidden="1" customHeight="1" x14ac:dyDescent="0.3">
      <c r="B138" s="1420" t="s">
        <v>238</v>
      </c>
      <c r="C138" s="1422" t="s">
        <v>53</v>
      </c>
      <c r="D138" s="1846"/>
      <c r="E138" s="1390"/>
      <c r="F138" s="497">
        <f>+F136/(100-F137)*F137</f>
        <v>23.903389647993492</v>
      </c>
      <c r="G138" s="1390"/>
      <c r="H138" s="497">
        <f>+H136/(100-H137)*H137</f>
        <v>4.4274627964419393</v>
      </c>
      <c r="I138" s="734"/>
      <c r="J138" s="606">
        <f>+J136/(100-J137)*J137</f>
        <v>28.332818945357062</v>
      </c>
      <c r="K138" s="1390"/>
      <c r="L138" s="497">
        <f>+L136/(100-L137)*L137</f>
        <v>83.693579312846566</v>
      </c>
      <c r="M138" s="434"/>
      <c r="N138" s="621">
        <f>+N136/(100-N137)*N137</f>
        <v>112.02739435829183</v>
      </c>
      <c r="O138" s="1390"/>
      <c r="P138" s="497">
        <f>+P136/(100-P137)*P137</f>
        <v>3.672101740129182</v>
      </c>
      <c r="Q138" s="734"/>
      <c r="R138" s="606">
        <f>+R136/(100-R137)*R137</f>
        <v>115.70288473414865</v>
      </c>
      <c r="S138" s="1728"/>
      <c r="T138" s="497">
        <f>+T136/(100-T137)*T137</f>
        <v>2.0832824072942384</v>
      </c>
      <c r="U138" s="734"/>
      <c r="V138" s="606">
        <f>+V136/(100-V137)*V137</f>
        <v>117.78554554152109</v>
      </c>
      <c r="W138" s="1786"/>
      <c r="X138" s="497">
        <f>+X136/(100-X137)*X137</f>
        <v>88.414198541449622</v>
      </c>
      <c r="Y138" s="1391"/>
      <c r="Z138" s="1011">
        <f>+Z136/(100-Z137)*Z137</f>
        <v>94.162272723638338</v>
      </c>
      <c r="AA138" s="1207"/>
      <c r="AB138" s="1208">
        <f>+AB136/(100-AB137)*AB137</f>
        <v>206.19278110122039</v>
      </c>
      <c r="AC138" s="3146"/>
      <c r="AD138" s="497">
        <f>+AD136/(100-AD137)*AD137</f>
        <v>113.95638576042931</v>
      </c>
      <c r="AE138" s="734"/>
      <c r="AF138" s="606">
        <f>+AF136/(100-AF137)*AF137</f>
        <v>348.64104011241949</v>
      </c>
      <c r="AG138" s="3247"/>
      <c r="AH138" s="497">
        <f>+AH136/(100-AH137)*AH137</f>
        <v>36.875</v>
      </c>
      <c r="AI138" s="734"/>
      <c r="AJ138" s="606">
        <f>+AJ136/(100-AJ137)*AJ137</f>
        <v>394.73455702377095</v>
      </c>
      <c r="AK138" s="3519"/>
      <c r="AL138" s="497">
        <f>+AL136/(100-AL137)*AL137</f>
        <v>47.003786402482241</v>
      </c>
      <c r="AM138" s="1391"/>
      <c r="AN138" s="1011">
        <f>+AN136/(100-AN137)*AN137</f>
        <v>247.29605425279149</v>
      </c>
      <c r="AO138" s="734"/>
      <c r="AP138" s="606">
        <f>+AP136/(100-AP137)*AP137</f>
        <v>453.48926091866304</v>
      </c>
      <c r="AQ138" s="3901"/>
      <c r="AR138" s="497">
        <f>+AR136/(100-AR137)*AR137</f>
        <v>137.49999999999989</v>
      </c>
      <c r="AS138" s="734"/>
      <c r="AT138" s="606">
        <f>+AT136/(100-AT137)*AT137</f>
        <v>625.3665286768753</v>
      </c>
      <c r="AU138" s="4007"/>
      <c r="AV138" s="497">
        <f>+AV136/(100-AV137)*AV137</f>
        <v>62.499999999999993</v>
      </c>
      <c r="AW138" s="734"/>
      <c r="AX138" s="606">
        <f>+AX136/(100-AX137)*AX137</f>
        <v>703.4917037215148</v>
      </c>
      <c r="AY138" s="4007"/>
      <c r="AZ138" s="497">
        <f>+AZ136/(100-AZ137)*AZ137</f>
        <v>250.08333333333397</v>
      </c>
      <c r="BA138" s="1727"/>
      <c r="BB138" s="4249">
        <f>+BB136/(100-BB137)*BB137</f>
        <v>562.60416666666686</v>
      </c>
      <c r="BC138" s="1207"/>
      <c r="BD138" s="1208">
        <f>+BD136/(100-BD137)*BD137</f>
        <v>809.90335334948622</v>
      </c>
      <c r="BE138" s="734"/>
      <c r="BF138" s="606">
        <f>+BF136/(100-BF137)*BF137</f>
        <v>1016.0833333333338</v>
      </c>
    </row>
    <row r="139" spans="2:58" ht="18.75" hidden="1" customHeight="1" x14ac:dyDescent="0.3">
      <c r="B139" s="1420" t="s">
        <v>1108</v>
      </c>
      <c r="C139" s="1422" t="s">
        <v>52</v>
      </c>
      <c r="D139" s="1846"/>
      <c r="E139" s="1390"/>
      <c r="F139" s="496">
        <v>2.5</v>
      </c>
      <c r="G139" s="433"/>
      <c r="H139" s="496">
        <v>2.5</v>
      </c>
      <c r="I139" s="435"/>
      <c r="J139" s="834">
        <v>2.5</v>
      </c>
      <c r="K139" s="433"/>
      <c r="L139" s="496">
        <v>2.5</v>
      </c>
      <c r="M139" s="436"/>
      <c r="N139" s="1014">
        <v>2.5</v>
      </c>
      <c r="O139" s="433"/>
      <c r="P139" s="496">
        <v>2.5</v>
      </c>
      <c r="Q139" s="435"/>
      <c r="R139" s="834">
        <v>2.5</v>
      </c>
      <c r="S139" s="433"/>
      <c r="T139" s="496">
        <v>2.5</v>
      </c>
      <c r="U139" s="435"/>
      <c r="V139" s="834">
        <v>2.5</v>
      </c>
      <c r="W139" s="433"/>
      <c r="X139" s="496">
        <v>2.5</v>
      </c>
      <c r="Y139" s="1439"/>
      <c r="Z139" s="1015">
        <v>2.5</v>
      </c>
      <c r="AA139" s="1212"/>
      <c r="AB139" s="1206">
        <v>2.5</v>
      </c>
      <c r="AC139" s="433"/>
      <c r="AD139" s="496"/>
      <c r="AE139" s="435"/>
      <c r="AF139" s="834">
        <v>2.5</v>
      </c>
      <c r="AG139" s="433"/>
      <c r="AH139" s="496"/>
      <c r="AI139" s="435"/>
      <c r="AJ139" s="834">
        <v>2.5</v>
      </c>
      <c r="AK139" s="433"/>
      <c r="AL139" s="496"/>
      <c r="AM139" s="1439"/>
      <c r="AN139" s="1015">
        <v>2.5</v>
      </c>
      <c r="AO139" s="435"/>
      <c r="AP139" s="834">
        <v>2.5</v>
      </c>
      <c r="AQ139" s="433"/>
      <c r="AR139" s="496"/>
      <c r="AS139" s="435"/>
      <c r="AT139" s="834">
        <v>2.5</v>
      </c>
      <c r="AU139" s="433"/>
      <c r="AV139" s="496"/>
      <c r="AW139" s="435"/>
      <c r="AX139" s="834">
        <v>2.5</v>
      </c>
      <c r="AY139" s="433"/>
      <c r="AZ139" s="496"/>
      <c r="BA139" s="1439"/>
      <c r="BB139" s="1015">
        <v>2.5</v>
      </c>
      <c r="BC139" s="1212"/>
      <c r="BD139" s="1206">
        <v>2.5</v>
      </c>
      <c r="BE139" s="435"/>
      <c r="BF139" s="834">
        <v>2.5</v>
      </c>
    </row>
    <row r="140" spans="2:58" ht="18.75" hidden="1" customHeight="1" x14ac:dyDescent="0.3">
      <c r="B140" s="1420" t="s">
        <v>1108</v>
      </c>
      <c r="C140" s="1422" t="s">
        <v>53</v>
      </c>
      <c r="D140" s="1846"/>
      <c r="E140" s="1390"/>
      <c r="F140" s="497">
        <f>+F136/(100-F139)*F139</f>
        <v>14.711538461538463</v>
      </c>
      <c r="G140" s="1390"/>
      <c r="H140" s="497">
        <f>+H136/(100-H139)*H139</f>
        <v>2.724358974358974</v>
      </c>
      <c r="I140" s="734"/>
      <c r="J140" s="606">
        <f>+J136/(100-J139)*J139</f>
        <v>17.435897435897438</v>
      </c>
      <c r="K140" s="1390"/>
      <c r="L140" s="497">
        <f>+L136/(100-L139)*L139</f>
        <v>51.506410256410255</v>
      </c>
      <c r="M140" s="434"/>
      <c r="N140" s="621">
        <f>+N136/(100-N139)*N139</f>
        <v>68.942307692307693</v>
      </c>
      <c r="O140" s="1390"/>
      <c r="P140" s="497">
        <f>+P136/(100-P139)*P139</f>
        <v>2.2596153846153846</v>
      </c>
      <c r="Q140" s="734"/>
      <c r="R140" s="606">
        <f>+R136/(100-R139)*R139</f>
        <v>71.20192307692308</v>
      </c>
      <c r="S140" s="1728"/>
      <c r="T140" s="497">
        <f>+T136/(100-T139)*T139</f>
        <v>1.2820512820512819</v>
      </c>
      <c r="U140" s="734"/>
      <c r="V140" s="606">
        <f>+V136/(100-V139)*V139</f>
        <v>72.483974358974365</v>
      </c>
      <c r="W140" s="1786"/>
      <c r="X140" s="497">
        <f>+X136/(100-X139)*X139</f>
        <v>54.400641025641022</v>
      </c>
      <c r="Y140" s="1391"/>
      <c r="Z140" s="1011">
        <f>+Z136/(100-Z139)*Z139</f>
        <v>57.942307692307693</v>
      </c>
      <c r="AA140" s="1207"/>
      <c r="AB140" s="1208">
        <f>+AB136/(100-AB139)*AB139</f>
        <v>126.88461538461539</v>
      </c>
      <c r="AC140" s="3146"/>
      <c r="AD140" s="497">
        <f>+AD136/(100-AD139)*AD139</f>
        <v>0</v>
      </c>
      <c r="AE140" s="734"/>
      <c r="AF140" s="606">
        <f>+AF136/(100-AF139)*AF139</f>
        <v>214.54487179487182</v>
      </c>
      <c r="AG140" s="3247"/>
      <c r="AH140" s="497">
        <f>+AH136/(100-AH139)*AH139</f>
        <v>0</v>
      </c>
      <c r="AI140" s="734"/>
      <c r="AJ140" s="606">
        <f>+AJ136/(100-AJ139)*AJ139</f>
        <v>242.91025641025641</v>
      </c>
      <c r="AK140" s="3519"/>
      <c r="AL140" s="497">
        <f>+AL136/(100-AL139)*AL139</f>
        <v>0</v>
      </c>
      <c r="AM140" s="1391"/>
      <c r="AN140" s="1011">
        <f>+AN136/(100-AN139)*AN139</f>
        <v>152.17948717948718</v>
      </c>
      <c r="AO140" s="734"/>
      <c r="AP140" s="606">
        <f>+AP136/(100-AP139)*AP139</f>
        <v>279.0641025641026</v>
      </c>
      <c r="AQ140" s="3901"/>
      <c r="AR140" s="497">
        <f>+AR136/(100-AR139)*AR139</f>
        <v>0</v>
      </c>
      <c r="AS140" s="734"/>
      <c r="AT140" s="606">
        <f>+AT136/(100-AT139)*AT139</f>
        <v>384.83333333333337</v>
      </c>
      <c r="AU140" s="4007"/>
      <c r="AV140" s="497">
        <f>+AV136/(100-AV139)*AV139</f>
        <v>0</v>
      </c>
      <c r="AW140" s="734"/>
      <c r="AX140" s="606">
        <f>+AX136/(100-AX139)*AX139</f>
        <v>432.91025641025641</v>
      </c>
      <c r="AY140" s="4007"/>
      <c r="AZ140" s="497">
        <f>+AZ136/(100-AZ139)*AZ139</f>
        <v>0</v>
      </c>
      <c r="BA140" s="1727"/>
      <c r="BB140" s="4249">
        <f>+BB136/(100-BB139)*BB139</f>
        <v>346.21794871794867</v>
      </c>
      <c r="BC140" s="1207"/>
      <c r="BD140" s="1208">
        <f>+BD136/(100-BD139)*BD139</f>
        <v>498.39743589743591</v>
      </c>
      <c r="BE140" s="734"/>
      <c r="BF140" s="606">
        <f>+BF136/(100-BF139)*BF139</f>
        <v>625.28205128205127</v>
      </c>
    </row>
    <row r="141" spans="2:58" ht="18.75" hidden="1" customHeight="1" x14ac:dyDescent="0.3">
      <c r="B141" s="1420" t="s">
        <v>1232</v>
      </c>
      <c r="C141" s="1422" t="s">
        <v>53</v>
      </c>
      <c r="D141" s="1846"/>
      <c r="E141" s="1390"/>
      <c r="F141" s="497">
        <f>+F140/(100-F137)*F137</f>
        <v>0.61290742687162814</v>
      </c>
      <c r="G141" s="1390"/>
      <c r="H141" s="497">
        <f>+H140/(100-H137)*H137</f>
        <v>0.11352468708825483</v>
      </c>
      <c r="I141" s="734"/>
      <c r="J141" s="606">
        <f>+J140/(100-J137)*J137</f>
        <v>0.72648253706043753</v>
      </c>
      <c r="K141" s="1390"/>
      <c r="L141" s="497">
        <f>+L140/(100-L137)*L137</f>
        <v>2.1459892131499121</v>
      </c>
      <c r="M141" s="434"/>
      <c r="N141" s="621">
        <f>+N140/(100-N137)*N137</f>
        <v>2.8724972912382518</v>
      </c>
      <c r="O141" s="1390"/>
      <c r="P141" s="497">
        <f>+P140/(100-P137)*P137</f>
        <v>9.4156454875107237E-2</v>
      </c>
      <c r="Q141" s="734"/>
      <c r="R141" s="606">
        <f>+R140/(100-R137)*R137</f>
        <v>2.9667406342089397</v>
      </c>
      <c r="S141" s="1728"/>
      <c r="T141" s="497">
        <f>+T140/(100-T137)*T137</f>
        <v>5.3417497622929189E-2</v>
      </c>
      <c r="U141" s="734"/>
      <c r="V141" s="606">
        <f>+V140/(100-V137)*V137</f>
        <v>3.0201421933723358</v>
      </c>
      <c r="W141" s="1786"/>
      <c r="X141" s="497">
        <f>+X140/(100-X137)*X137</f>
        <v>2.2670307318320417</v>
      </c>
      <c r="Y141" s="1391"/>
      <c r="Z141" s="1011">
        <f>+Z140/(100-Z137)*Z137</f>
        <v>2.4144172493240599</v>
      </c>
      <c r="AA141" s="1207"/>
      <c r="AB141" s="1208">
        <f>+AB140/(100-AB137)*AB137</f>
        <v>5.286994387210779</v>
      </c>
      <c r="AC141" s="3146"/>
      <c r="AD141" s="497">
        <f>+AD140/(100-AD137)*AD137</f>
        <v>0</v>
      </c>
      <c r="AE141" s="734"/>
      <c r="AF141" s="606">
        <f>+AF140/(100-AF137)*AF137</f>
        <v>8.9395138490363983</v>
      </c>
      <c r="AG141" s="3247"/>
      <c r="AH141" s="497">
        <f>+AH140/(100-AH137)*AH137</f>
        <v>0</v>
      </c>
      <c r="AI141" s="734"/>
      <c r="AJ141" s="606">
        <f>+AJ140/(100-AJ137)*AJ137</f>
        <v>10.121398898045408</v>
      </c>
      <c r="AK141" s="3519"/>
      <c r="AL141" s="497">
        <f>+AL140/(100-AL137)*AL137</f>
        <v>0</v>
      </c>
      <c r="AM141" s="1391"/>
      <c r="AN141" s="1011">
        <f>+AN140/(100-AN137)*AN137</f>
        <v>6.3409244680202956</v>
      </c>
      <c r="AO141" s="734"/>
      <c r="AP141" s="606">
        <f>+AP140/(100-AP137)*AP137</f>
        <v>11.62792976714521</v>
      </c>
      <c r="AQ141" s="3901"/>
      <c r="AR141" s="497">
        <f>+AR140/(100-AR137)*AR137</f>
        <v>0</v>
      </c>
      <c r="AS141" s="734"/>
      <c r="AT141" s="606">
        <f>+AT140/(100-AT137)*AT137</f>
        <v>16.035039196842956</v>
      </c>
      <c r="AU141" s="4007"/>
      <c r="AV141" s="497">
        <f>+AV140/(100-AV137)*AV137</f>
        <v>0</v>
      </c>
      <c r="AW141" s="734"/>
      <c r="AX141" s="606">
        <f>+AX140/(100-AX137)*AX137</f>
        <v>18.038248813372171</v>
      </c>
      <c r="AY141" s="4007"/>
      <c r="AZ141" s="497">
        <f>+AZ140/(100-AZ137)*AZ137</f>
        <v>0</v>
      </c>
      <c r="BA141" s="1727"/>
      <c r="BB141" s="4249">
        <f>+BB140/(100-BB137)*BB137</f>
        <v>14.425747863247869</v>
      </c>
      <c r="BC141" s="1207"/>
      <c r="BD141" s="1208">
        <f>+BD140/(100-BD137)*BD137</f>
        <v>20.766752649986831</v>
      </c>
      <c r="BE141" s="734"/>
      <c r="BF141" s="606">
        <f>+BF140/(100-BF137)*BF137</f>
        <v>26.053418803418815</v>
      </c>
    </row>
    <row r="142" spans="2:58" ht="18.75" hidden="1" customHeight="1" x14ac:dyDescent="0.3">
      <c r="B142" s="1420" t="s">
        <v>549</v>
      </c>
      <c r="C142" s="1422" t="s">
        <v>53</v>
      </c>
      <c r="D142" s="1846"/>
      <c r="E142" s="1390"/>
      <c r="F142" s="497">
        <f>+F136+F138+F140+F141</f>
        <v>612.97783553640352</v>
      </c>
      <c r="G142" s="1390"/>
      <c r="H142" s="497">
        <f>+H136+H138+H140+H141</f>
        <v>113.51534645788918</v>
      </c>
      <c r="I142" s="734"/>
      <c r="J142" s="606">
        <f>+J136+J138+J140+J141</f>
        <v>726.49519891831494</v>
      </c>
      <c r="K142" s="1390"/>
      <c r="L142" s="497">
        <f>+L136+L138+L140+L141</f>
        <v>2146.0959787824063</v>
      </c>
      <c r="M142" s="434"/>
      <c r="N142" s="621">
        <f>+N136+N138+N140+N141</f>
        <v>2872.5921993418378</v>
      </c>
      <c r="O142" s="1390"/>
      <c r="P142" s="497">
        <f>+P136+P138+P140+P141</f>
        <v>94.15087357961967</v>
      </c>
      <c r="Q142" s="734"/>
      <c r="R142" s="606">
        <f>+R136+R138+R140+R141</f>
        <v>2966.7465484452805</v>
      </c>
      <c r="S142" s="1728"/>
      <c r="T142" s="497">
        <f>+T136+T138+T140+T141</f>
        <v>53.418751186968457</v>
      </c>
      <c r="U142" s="734"/>
      <c r="V142" s="606">
        <f>+V136+V138+V140+V141</f>
        <v>3020.1646620938682</v>
      </c>
      <c r="W142" s="1786"/>
      <c r="X142" s="497">
        <f>+X136+X138+X140+X141</f>
        <v>2266.7068702989227</v>
      </c>
      <c r="Y142" s="1391"/>
      <c r="Z142" s="1011">
        <f>+Z136+Z138+Z140+Z141</f>
        <v>2414.2689976652696</v>
      </c>
      <c r="AA142" s="1207"/>
      <c r="AB142" s="1208">
        <f>+AB136+AB138+AB140+AB141</f>
        <v>5286.8643908730464</v>
      </c>
      <c r="AC142" s="3146"/>
      <c r="AD142" s="497">
        <f>+AD136+AD138+AD140+AD141</f>
        <v>2848.9563857604294</v>
      </c>
      <c r="AE142" s="734"/>
      <c r="AF142" s="606">
        <f>+AF136+AF138+AF140+AF141</f>
        <v>8939.3754257563269</v>
      </c>
      <c r="AG142" s="3247"/>
      <c r="AH142" s="497">
        <f>+AH136+AH138+AH140+AH141</f>
        <v>921.875</v>
      </c>
      <c r="AI142" s="734"/>
      <c r="AJ142" s="606">
        <f>+AJ136+AJ138+AJ140+AJ141</f>
        <v>10121.266212332072</v>
      </c>
      <c r="AK142" s="3519"/>
      <c r="AL142" s="497">
        <f>+AL136+AL138+AL140+AL141</f>
        <v>1175.0037864024823</v>
      </c>
      <c r="AM142" s="1391"/>
      <c r="AN142" s="1011">
        <f>+AN136+AN138+AN140+AN141</f>
        <v>6340.8164659002996</v>
      </c>
      <c r="AO142" s="734"/>
      <c r="AP142" s="606">
        <f>+AP136+AP138+AP140+AP141</f>
        <v>11627.681293249911</v>
      </c>
      <c r="AQ142" s="3901"/>
      <c r="AR142" s="497">
        <f>+AR136+AR138+AR140+AR141</f>
        <v>3437.5</v>
      </c>
      <c r="AS142" s="734"/>
      <c r="AT142" s="606">
        <f>+AT136+AT138+AT140+AT141</f>
        <v>16034.734901207052</v>
      </c>
      <c r="AU142" s="4007"/>
      <c r="AV142" s="497">
        <f>+AV136+AV138+AV140+AV141</f>
        <v>1562.5</v>
      </c>
      <c r="AW142" s="734"/>
      <c r="AX142" s="606">
        <f>+AX136+AX138+AX140+AX141</f>
        <v>18037.940208945147</v>
      </c>
      <c r="AY142" s="4007"/>
      <c r="AZ142" s="497">
        <f>+AZ136+AZ138+AZ140+AZ141</f>
        <v>6252.0833333333339</v>
      </c>
      <c r="BA142" s="1727"/>
      <c r="BB142" s="4249">
        <f>+BB136+BB138+BB140+BB141</f>
        <v>14425.747863247863</v>
      </c>
      <c r="BC142" s="1207"/>
      <c r="BD142" s="1208">
        <f>+BD136+BD138+BD140+BD141</f>
        <v>20766.567541896911</v>
      </c>
      <c r="BE142" s="734"/>
      <c r="BF142" s="606">
        <f>+BF136+BF138+BF140+BF141</f>
        <v>26053.418803418801</v>
      </c>
    </row>
    <row r="143" spans="2:58" ht="15" hidden="1" customHeight="1" x14ac:dyDescent="0.25">
      <c r="S143" s="189"/>
      <c r="T143" s="1726"/>
      <c r="U143" s="189"/>
      <c r="V143" s="1726"/>
      <c r="W143" s="189"/>
      <c r="X143" s="1726"/>
      <c r="AC143" s="189"/>
      <c r="AD143" s="1726"/>
      <c r="AE143" s="189"/>
      <c r="AF143" s="1726"/>
      <c r="AG143" s="189"/>
      <c r="AH143" s="1726"/>
      <c r="AI143" s="189"/>
      <c r="AJ143" s="1726"/>
      <c r="AK143" s="189"/>
      <c r="AL143" s="1726"/>
      <c r="AM143" s="1358"/>
      <c r="AN143" s="1358"/>
      <c r="AO143" s="1358"/>
      <c r="AP143" s="1358"/>
      <c r="AQ143" s="189"/>
      <c r="AR143" s="1726"/>
      <c r="AS143" s="189"/>
      <c r="AT143" s="1726"/>
      <c r="AU143" s="189"/>
      <c r="AV143" s="1726"/>
      <c r="AW143" s="189"/>
      <c r="AX143" s="1726"/>
      <c r="AY143" s="189"/>
      <c r="AZ143" s="4240"/>
      <c r="BE143" s="189"/>
      <c r="BF143" s="4240"/>
    </row>
    <row r="144" spans="2:58" ht="18.75" hidden="1" customHeight="1" x14ac:dyDescent="0.3">
      <c r="B144" s="1420" t="s">
        <v>1267</v>
      </c>
      <c r="C144" s="1422" t="s">
        <v>53</v>
      </c>
      <c r="D144" s="1846"/>
      <c r="S144" s="189"/>
      <c r="T144" s="1726"/>
      <c r="U144" s="189"/>
      <c r="V144" s="1726"/>
      <c r="W144" s="189"/>
      <c r="X144" s="1726"/>
      <c r="AC144" s="189"/>
      <c r="AD144" s="1726"/>
      <c r="AE144" s="189"/>
      <c r="AF144" s="1726"/>
      <c r="AG144" s="189"/>
      <c r="AH144" s="1726"/>
      <c r="AI144" s="189"/>
      <c r="AJ144" s="1726"/>
      <c r="AK144" s="189"/>
      <c r="AL144" s="1726"/>
      <c r="AM144" s="1358"/>
      <c r="AN144" s="1358"/>
      <c r="AO144" s="1358"/>
      <c r="AP144" s="1358"/>
      <c r="AQ144" s="189"/>
      <c r="AR144" s="1726"/>
      <c r="AS144" s="189"/>
      <c r="AT144" s="1726"/>
      <c r="AU144" s="189"/>
      <c r="AV144" s="1726"/>
      <c r="AW144" s="189"/>
      <c r="AX144" s="1726"/>
      <c r="AY144" s="189"/>
      <c r="AZ144" s="4240"/>
      <c r="BE144" s="189"/>
      <c r="BF144" s="4240"/>
    </row>
    <row r="145" spans="19:58" ht="15" hidden="1" customHeight="1" x14ac:dyDescent="0.25">
      <c r="S145" s="189"/>
      <c r="T145" s="1726"/>
      <c r="U145" s="189"/>
      <c r="V145" s="1726"/>
      <c r="W145" s="189"/>
      <c r="X145" s="1726"/>
      <c r="AC145" s="189"/>
      <c r="AD145" s="1726"/>
      <c r="AE145" s="189"/>
      <c r="AF145" s="1726"/>
      <c r="AG145" s="189"/>
      <c r="AH145" s="1726"/>
      <c r="AI145" s="189"/>
      <c r="AJ145" s="1726"/>
      <c r="AK145" s="189"/>
      <c r="AL145" s="1726"/>
      <c r="AQ145" s="189"/>
      <c r="AR145" s="1726"/>
      <c r="AS145" s="189"/>
      <c r="AT145" s="1726"/>
      <c r="AU145" s="189"/>
      <c r="AV145" s="1726"/>
      <c r="AW145" s="189"/>
      <c r="AX145" s="1726"/>
      <c r="AY145" s="189"/>
      <c r="AZ145" s="4240"/>
      <c r="BE145" s="189"/>
      <c r="BF145" s="4240"/>
    </row>
    <row r="146" spans="19:58" ht="15" hidden="1" customHeight="1" x14ac:dyDescent="0.25">
      <c r="S146" s="189"/>
      <c r="T146" s="1726"/>
      <c r="U146" s="189"/>
      <c r="V146" s="1726"/>
      <c r="W146" s="189"/>
      <c r="X146" s="1726"/>
      <c r="AC146" s="189"/>
      <c r="AD146" s="1726"/>
      <c r="AE146" s="189"/>
      <c r="AF146" s="1726"/>
      <c r="AG146" s="189"/>
      <c r="AH146" s="1726"/>
      <c r="AI146" s="189"/>
      <c r="AJ146" s="1726"/>
      <c r="AK146" s="189"/>
      <c r="AL146" s="1726"/>
      <c r="AQ146" s="189"/>
      <c r="AR146" s="1726"/>
      <c r="AS146" s="189"/>
      <c r="AT146" s="1726"/>
      <c r="AU146" s="189"/>
      <c r="AV146" s="1726"/>
      <c r="AW146" s="189"/>
      <c r="AX146" s="1726"/>
      <c r="AY146" s="189"/>
      <c r="AZ146" s="4240"/>
      <c r="BE146" s="189"/>
      <c r="BF146" s="4240"/>
    </row>
    <row r="147" spans="19:58" ht="15" hidden="1" customHeight="1" x14ac:dyDescent="0.25">
      <c r="S147" s="189"/>
      <c r="T147" s="1726"/>
      <c r="U147" s="189"/>
      <c r="V147" s="1726"/>
      <c r="W147" s="189"/>
      <c r="X147" s="1726"/>
      <c r="AC147" s="189"/>
      <c r="AD147" s="1726"/>
      <c r="AE147" s="189"/>
      <c r="AF147" s="1726"/>
      <c r="AG147" s="189"/>
      <c r="AH147" s="1726"/>
      <c r="AI147" s="189"/>
      <c r="AJ147" s="1726"/>
      <c r="AK147" s="189"/>
      <c r="AL147" s="1726"/>
      <c r="AQ147" s="189"/>
      <c r="AR147" s="1726"/>
      <c r="AS147" s="189"/>
      <c r="AT147" s="1726"/>
      <c r="AU147" s="189"/>
      <c r="AV147" s="1726"/>
      <c r="AW147" s="189"/>
      <c r="AX147" s="1726"/>
      <c r="AY147" s="189"/>
      <c r="AZ147" s="4240"/>
      <c r="BE147" s="189"/>
      <c r="BF147" s="4240"/>
    </row>
    <row r="148" spans="19:58" ht="15" customHeight="1" x14ac:dyDescent="0.25">
      <c r="S148" s="189"/>
      <c r="T148" s="1726"/>
      <c r="U148" s="189"/>
      <c r="V148" s="1726"/>
      <c r="W148" s="189"/>
      <c r="X148" s="1726"/>
      <c r="AC148" s="189"/>
      <c r="AD148" s="1726"/>
      <c r="AE148" s="189"/>
      <c r="AF148" s="1726"/>
      <c r="AG148" s="189"/>
      <c r="AH148" s="1726"/>
      <c r="AI148" s="189"/>
      <c r="AJ148" s="1726"/>
      <c r="AK148" s="189"/>
      <c r="AL148" s="1726"/>
      <c r="AQ148" s="189"/>
      <c r="AR148" s="1726"/>
      <c r="AS148" s="189"/>
      <c r="AT148" s="1726"/>
      <c r="AU148" s="189"/>
      <c r="AV148" s="1726"/>
      <c r="AW148" s="189"/>
      <c r="AX148" s="1726"/>
      <c r="AY148" s="189"/>
      <c r="AZ148" s="4240"/>
      <c r="BE148" s="189"/>
      <c r="BF148" s="4240"/>
    </row>
    <row r="149" spans="19:58" ht="15" customHeight="1" x14ac:dyDescent="0.25">
      <c r="S149" s="189"/>
      <c r="T149" s="1726"/>
      <c r="U149" s="189"/>
      <c r="V149" s="1726"/>
      <c r="W149" s="189"/>
      <c r="X149" s="1726"/>
      <c r="AC149" s="189"/>
      <c r="AD149" s="1726"/>
      <c r="AE149" s="189"/>
      <c r="AF149" s="1726"/>
      <c r="AG149" s="189"/>
      <c r="AH149" s="1726"/>
      <c r="AI149" s="189"/>
      <c r="AJ149" s="1726"/>
      <c r="AK149" s="189"/>
      <c r="AL149" s="1726"/>
      <c r="AQ149" s="189"/>
      <c r="AR149" s="1726"/>
      <c r="AS149" s="189"/>
      <c r="AT149" s="1726"/>
      <c r="AU149" s="189"/>
      <c r="AV149" s="1726"/>
      <c r="AW149" s="189"/>
      <c r="AX149" s="1726"/>
      <c r="AY149" s="189"/>
      <c r="AZ149" s="4240"/>
      <c r="BE149" s="189"/>
      <c r="BF149" s="4240"/>
    </row>
    <row r="150" spans="19:58" ht="15" customHeight="1" x14ac:dyDescent="0.25">
      <c r="S150" s="189"/>
      <c r="T150" s="1726"/>
      <c r="U150" s="189"/>
      <c r="V150" s="1726"/>
      <c r="W150" s="189"/>
      <c r="X150" s="1726"/>
      <c r="AC150" s="189"/>
      <c r="AD150" s="1726"/>
      <c r="AE150" s="189"/>
      <c r="AF150" s="1726"/>
      <c r="AG150" s="189"/>
      <c r="AH150" s="1726"/>
      <c r="AI150" s="189"/>
      <c r="AJ150" s="1726"/>
      <c r="AK150" s="189"/>
      <c r="AL150" s="1726"/>
      <c r="AQ150" s="189"/>
      <c r="AR150" s="1726"/>
      <c r="AS150" s="189"/>
      <c r="AT150" s="1726"/>
      <c r="AU150" s="189"/>
      <c r="AV150" s="1726"/>
      <c r="AW150" s="189"/>
      <c r="AX150" s="1726"/>
      <c r="AY150" s="189"/>
      <c r="AZ150" s="4240"/>
      <c r="BE150" s="189"/>
      <c r="BF150" s="4240"/>
    </row>
    <row r="151" spans="19:58" ht="15" customHeight="1" x14ac:dyDescent="0.25">
      <c r="S151" s="189"/>
      <c r="T151" s="1726"/>
      <c r="U151" s="189"/>
      <c r="V151" s="1726"/>
      <c r="W151" s="189"/>
      <c r="X151" s="1726"/>
      <c r="AC151" s="189"/>
      <c r="AD151" s="1726"/>
      <c r="AE151" s="189"/>
      <c r="AF151" s="1726"/>
      <c r="AG151" s="189"/>
      <c r="AH151" s="1726"/>
      <c r="AI151" s="189"/>
      <c r="AJ151" s="1726"/>
      <c r="AK151" s="189"/>
      <c r="AL151" s="1726"/>
      <c r="AQ151" s="189"/>
      <c r="AR151" s="1726"/>
      <c r="AS151" s="189"/>
      <c r="AT151" s="1726"/>
      <c r="AU151" s="189"/>
      <c r="AV151" s="1726"/>
      <c r="AW151" s="189"/>
      <c r="AX151" s="1726"/>
      <c r="AY151" s="189"/>
      <c r="AZ151" s="4240"/>
      <c r="BE151" s="189"/>
      <c r="BF151" s="4240"/>
    </row>
    <row r="152" spans="19:58" x14ac:dyDescent="0.25">
      <c r="S152" s="189"/>
      <c r="T152" s="1726"/>
      <c r="U152" s="189"/>
      <c r="V152" s="1726"/>
      <c r="W152" s="189"/>
      <c r="X152" s="1726"/>
      <c r="AC152" s="189"/>
      <c r="AD152" s="1726"/>
      <c r="AE152" s="189"/>
      <c r="AF152" s="1726"/>
      <c r="AG152" s="189"/>
      <c r="AH152" s="1726"/>
      <c r="AI152" s="189"/>
      <c r="AJ152" s="1726"/>
      <c r="AK152" s="189"/>
      <c r="AL152" s="1726"/>
      <c r="AQ152" s="189"/>
      <c r="AR152" s="1726"/>
      <c r="AS152" s="189"/>
      <c r="AT152" s="1726"/>
      <c r="AU152" s="189"/>
      <c r="AV152" s="1726"/>
      <c r="AW152" s="189"/>
      <c r="AX152" s="1726"/>
      <c r="AY152" s="189"/>
      <c r="AZ152" s="4240"/>
      <c r="BE152" s="189"/>
      <c r="BF152" s="4240"/>
    </row>
    <row r="153" spans="19:58" x14ac:dyDescent="0.25">
      <c r="S153" s="189"/>
      <c r="T153" s="1726"/>
      <c r="U153" s="189"/>
      <c r="V153" s="1726"/>
      <c r="W153" s="189"/>
      <c r="X153" s="1726"/>
      <c r="AC153" s="189"/>
      <c r="AD153" s="1726"/>
      <c r="AE153" s="189"/>
      <c r="AF153" s="1726"/>
      <c r="AG153" s="189"/>
      <c r="AH153" s="1726"/>
      <c r="AI153" s="189"/>
      <c r="AJ153" s="1726"/>
      <c r="AK153" s="189"/>
      <c r="AL153" s="1726"/>
      <c r="AQ153" s="189"/>
      <c r="AR153" s="1726"/>
      <c r="AS153" s="189"/>
      <c r="AT153" s="1726"/>
      <c r="AU153" s="189"/>
      <c r="AV153" s="1726"/>
      <c r="AW153" s="189"/>
      <c r="AX153" s="1726"/>
      <c r="AY153" s="189"/>
      <c r="AZ153" s="4240"/>
      <c r="BE153" s="189"/>
      <c r="BF153" s="4240"/>
    </row>
    <row r="154" spans="19:58" x14ac:dyDescent="0.25">
      <c r="S154" s="189"/>
      <c r="T154" s="1726"/>
      <c r="U154" s="189"/>
      <c r="V154" s="1726"/>
      <c r="W154" s="189"/>
      <c r="X154" s="1726"/>
      <c r="AC154" s="189"/>
      <c r="AD154" s="1726"/>
      <c r="AE154" s="189"/>
      <c r="AF154" s="1726"/>
      <c r="AG154" s="189"/>
      <c r="AH154" s="1726"/>
      <c r="AI154" s="189"/>
      <c r="AJ154" s="1726"/>
      <c r="AK154" s="189"/>
      <c r="AL154" s="1726"/>
      <c r="AQ154" s="189"/>
      <c r="AR154" s="1726"/>
      <c r="AS154" s="189"/>
      <c r="AT154" s="1726"/>
      <c r="AU154" s="189"/>
      <c r="AV154" s="1726"/>
      <c r="AW154" s="189"/>
      <c r="AX154" s="1726"/>
      <c r="AY154" s="189"/>
      <c r="AZ154" s="4240"/>
      <c r="BE154" s="189"/>
      <c r="BF154" s="4240"/>
    </row>
    <row r="155" spans="19:58" x14ac:dyDescent="0.25">
      <c r="S155" s="189"/>
      <c r="T155" s="1726"/>
      <c r="U155" s="189"/>
      <c r="V155" s="1726"/>
      <c r="W155" s="189"/>
      <c r="X155" s="1726"/>
      <c r="AC155" s="189"/>
      <c r="AD155" s="1726"/>
      <c r="AE155" s="189"/>
      <c r="AF155" s="1726"/>
      <c r="AG155" s="189"/>
      <c r="AH155" s="1726"/>
      <c r="AI155" s="189"/>
      <c r="AJ155" s="1726"/>
      <c r="AK155" s="189"/>
      <c r="AL155" s="1726"/>
      <c r="AQ155" s="189"/>
      <c r="AR155" s="1726"/>
      <c r="AS155" s="189"/>
      <c r="AT155" s="1726"/>
      <c r="AU155" s="189"/>
      <c r="AV155" s="1726"/>
      <c r="AW155" s="189"/>
      <c r="AX155" s="1726"/>
      <c r="AY155" s="189"/>
      <c r="AZ155" s="4240"/>
      <c r="BE155" s="189"/>
      <c r="BF155" s="4240"/>
    </row>
    <row r="156" spans="19:58" x14ac:dyDescent="0.25">
      <c r="S156" s="189"/>
      <c r="T156" s="1726"/>
      <c r="U156" s="189"/>
      <c r="V156" s="1726"/>
      <c r="W156" s="189"/>
      <c r="X156" s="1726"/>
      <c r="AC156" s="189"/>
      <c r="AD156" s="1726"/>
      <c r="AE156" s="189"/>
      <c r="AF156" s="1726"/>
      <c r="AG156" s="189"/>
      <c r="AH156" s="1726"/>
      <c r="AI156" s="189"/>
      <c r="AJ156" s="1726"/>
      <c r="AK156" s="189"/>
      <c r="AL156" s="1726"/>
      <c r="AQ156" s="189"/>
      <c r="AR156" s="1726"/>
      <c r="AS156" s="189"/>
      <c r="AT156" s="1726"/>
      <c r="AU156" s="189"/>
      <c r="AV156" s="1726"/>
      <c r="AW156" s="189"/>
      <c r="AX156" s="1726"/>
      <c r="AY156" s="189"/>
      <c r="AZ156" s="4240"/>
      <c r="BE156" s="189"/>
      <c r="BF156" s="4240"/>
    </row>
    <row r="157" spans="19:58" x14ac:dyDescent="0.25">
      <c r="S157" s="189"/>
      <c r="T157" s="1726"/>
      <c r="U157" s="189"/>
      <c r="V157" s="1726"/>
      <c r="W157" s="189"/>
      <c r="X157" s="1726"/>
      <c r="AC157" s="189"/>
      <c r="AD157" s="1726"/>
      <c r="AE157" s="189"/>
      <c r="AF157" s="1726"/>
      <c r="AG157" s="189"/>
      <c r="AH157" s="1726"/>
      <c r="AI157" s="189"/>
      <c r="AJ157" s="1726"/>
      <c r="AK157" s="189"/>
      <c r="AL157" s="1726"/>
      <c r="AQ157" s="189"/>
      <c r="AR157" s="1726"/>
      <c r="AS157" s="189"/>
      <c r="AT157" s="1726"/>
      <c r="AU157" s="189"/>
      <c r="AV157" s="1726"/>
      <c r="AW157" s="189"/>
      <c r="AX157" s="1726"/>
      <c r="AY157" s="189"/>
      <c r="AZ157" s="4240"/>
      <c r="BE157" s="189"/>
      <c r="BF157" s="4240"/>
    </row>
    <row r="158" spans="19:58" x14ac:dyDescent="0.25">
      <c r="S158" s="189"/>
      <c r="T158" s="1726"/>
      <c r="U158" s="189"/>
      <c r="V158" s="1726"/>
      <c r="W158" s="189"/>
      <c r="X158" s="1726"/>
      <c r="AC158" s="189"/>
      <c r="AD158" s="1726"/>
      <c r="AE158" s="189"/>
      <c r="AF158" s="1726"/>
      <c r="AG158" s="189"/>
      <c r="AH158" s="1726"/>
      <c r="AI158" s="189"/>
      <c r="AJ158" s="1726"/>
      <c r="AK158" s="189"/>
      <c r="AL158" s="1726"/>
      <c r="AQ158" s="189"/>
      <c r="AR158" s="1726"/>
      <c r="AS158" s="189"/>
      <c r="AT158" s="1726"/>
      <c r="AU158" s="189"/>
      <c r="AV158" s="1726"/>
      <c r="AW158" s="189"/>
      <c r="AX158" s="1726"/>
      <c r="AY158" s="189"/>
      <c r="AZ158" s="4240"/>
      <c r="BE158" s="4240"/>
      <c r="BF158" s="4240"/>
    </row>
    <row r="159" spans="19:58" x14ac:dyDescent="0.25">
      <c r="S159" s="189"/>
      <c r="T159" s="1726"/>
      <c r="U159" s="189"/>
      <c r="V159" s="1726"/>
      <c r="W159" s="189"/>
      <c r="X159" s="1726"/>
      <c r="AC159" s="189"/>
      <c r="AD159" s="1726"/>
      <c r="AE159" s="189"/>
      <c r="AF159" s="1726"/>
      <c r="AG159" s="189"/>
      <c r="AH159" s="1726"/>
      <c r="AI159" s="189"/>
      <c r="AJ159" s="1726"/>
      <c r="AK159" s="189"/>
      <c r="AL159" s="1726"/>
      <c r="AQ159" s="189"/>
      <c r="AR159" s="1726"/>
      <c r="AS159" s="189"/>
      <c r="AT159" s="1726"/>
      <c r="AU159" s="189"/>
      <c r="AV159" s="1726"/>
      <c r="AW159" s="189"/>
      <c r="AX159" s="1726"/>
      <c r="AY159" s="189"/>
      <c r="AZ159" s="4240"/>
      <c r="BE159" s="4240"/>
      <c r="BF159" s="4240"/>
    </row>
    <row r="160" spans="19:58" x14ac:dyDescent="0.25">
      <c r="S160" s="189"/>
      <c r="T160" s="1726"/>
      <c r="U160" s="189"/>
      <c r="V160" s="1726"/>
      <c r="W160" s="189"/>
      <c r="X160" s="1726"/>
      <c r="AC160" s="189"/>
      <c r="AD160" s="1726"/>
      <c r="AE160" s="189"/>
      <c r="AF160" s="1726"/>
      <c r="AG160" s="189"/>
      <c r="AH160" s="1726"/>
      <c r="AI160" s="189"/>
      <c r="AJ160" s="1726"/>
      <c r="AK160" s="189"/>
      <c r="AL160" s="1726"/>
      <c r="AQ160" s="189"/>
      <c r="AR160" s="1726"/>
      <c r="AS160" s="189"/>
      <c r="AT160" s="1726"/>
      <c r="AU160" s="189"/>
      <c r="AV160" s="1726"/>
      <c r="AW160" s="189"/>
      <c r="AX160" s="1726"/>
      <c r="BE160" s="4240"/>
    </row>
    <row r="161" spans="19:57" x14ac:dyDescent="0.25">
      <c r="S161" s="189"/>
      <c r="T161" s="1726"/>
      <c r="U161" s="189"/>
      <c r="V161" s="1726"/>
      <c r="W161" s="189"/>
      <c r="X161" s="1726"/>
      <c r="AC161" s="189"/>
      <c r="AD161" s="1726"/>
      <c r="AE161" s="189"/>
      <c r="AF161" s="1726"/>
      <c r="AG161" s="189"/>
      <c r="AH161" s="1726"/>
      <c r="AI161" s="189"/>
      <c r="AJ161" s="1726"/>
      <c r="AK161" s="189"/>
      <c r="AL161" s="1726"/>
      <c r="AQ161" s="189"/>
      <c r="AR161" s="1726"/>
      <c r="AS161" s="189"/>
      <c r="AT161" s="1726"/>
      <c r="AU161" s="189"/>
      <c r="AV161" s="1726"/>
      <c r="AW161" s="189"/>
      <c r="AX161" s="1726"/>
      <c r="BE161" s="4240"/>
    </row>
    <row r="162" spans="19:57" x14ac:dyDescent="0.25">
      <c r="S162" s="189"/>
      <c r="T162" s="1726"/>
      <c r="U162" s="189"/>
      <c r="V162" s="1726"/>
      <c r="W162" s="189"/>
      <c r="X162" s="1726"/>
      <c r="AC162" s="189"/>
      <c r="AD162" s="1726"/>
      <c r="AE162" s="189"/>
      <c r="AF162" s="1726"/>
      <c r="AG162" s="189"/>
      <c r="AH162" s="1726"/>
      <c r="AI162" s="189"/>
      <c r="AJ162" s="1726"/>
      <c r="AK162" s="189"/>
      <c r="AL162" s="1726"/>
      <c r="AQ162" s="189"/>
      <c r="AR162" s="1726"/>
      <c r="AS162" s="189"/>
      <c r="AT162" s="1726"/>
      <c r="AU162" s="189"/>
      <c r="AV162" s="1726"/>
      <c r="AW162" s="189"/>
      <c r="AX162" s="1726"/>
      <c r="BE162" s="4240"/>
    </row>
    <row r="163" spans="19:57" x14ac:dyDescent="0.25">
      <c r="S163" s="189"/>
      <c r="T163" s="1726"/>
      <c r="U163" s="189"/>
      <c r="V163" s="1726"/>
      <c r="W163" s="189"/>
      <c r="X163" s="1726"/>
      <c r="AC163" s="189"/>
      <c r="AD163" s="1726"/>
      <c r="AE163" s="189"/>
      <c r="AF163" s="1726"/>
      <c r="AG163" s="189"/>
      <c r="AH163" s="1726"/>
      <c r="AI163" s="189"/>
      <c r="AJ163" s="1726"/>
      <c r="AK163" s="189"/>
      <c r="AL163" s="1726"/>
      <c r="AQ163" s="189"/>
      <c r="AR163" s="1726"/>
      <c r="AS163" s="189"/>
      <c r="AT163" s="1726"/>
      <c r="AU163" s="189"/>
      <c r="AV163" s="1726"/>
      <c r="AW163" s="189"/>
      <c r="AX163" s="1726"/>
      <c r="BE163" s="4240"/>
    </row>
    <row r="164" spans="19:57" x14ac:dyDescent="0.25">
      <c r="S164" s="189"/>
      <c r="T164" s="1726"/>
      <c r="U164" s="189"/>
      <c r="V164" s="1726"/>
      <c r="W164" s="189"/>
      <c r="X164" s="1726"/>
      <c r="AC164" s="189"/>
      <c r="AD164" s="1726"/>
      <c r="AE164" s="189"/>
      <c r="AF164" s="1726"/>
      <c r="AG164" s="189"/>
      <c r="AH164" s="1726"/>
      <c r="AI164" s="189"/>
      <c r="AJ164" s="1726"/>
      <c r="AK164" s="189"/>
      <c r="AL164" s="1726"/>
      <c r="AQ164" s="189"/>
      <c r="AR164" s="1726"/>
      <c r="AS164" s="189"/>
      <c r="AT164" s="1726"/>
      <c r="AU164" s="189"/>
      <c r="AV164" s="1726"/>
      <c r="AW164" s="189"/>
      <c r="AX164" s="1726"/>
      <c r="BC164" s="1548"/>
      <c r="BD164" s="1548"/>
      <c r="BE164" s="4240"/>
    </row>
    <row r="165" spans="19:57" x14ac:dyDescent="0.25">
      <c r="S165" s="189"/>
      <c r="T165" s="1726"/>
      <c r="U165" s="189"/>
      <c r="V165" s="1726"/>
      <c r="W165" s="189"/>
      <c r="X165" s="1726"/>
      <c r="AC165" s="189"/>
      <c r="AD165" s="1726"/>
      <c r="AE165" s="189"/>
      <c r="AF165" s="1726"/>
      <c r="AG165" s="189"/>
      <c r="AH165" s="1726"/>
      <c r="AI165" s="189"/>
      <c r="AJ165" s="1726"/>
      <c r="AK165" s="189"/>
      <c r="AL165" s="1726"/>
      <c r="AQ165" s="189"/>
      <c r="AR165" s="1726"/>
      <c r="AS165" s="189"/>
      <c r="AT165" s="1726"/>
      <c r="AU165" s="189"/>
      <c r="AV165" s="1726"/>
      <c r="AW165" s="189"/>
      <c r="AX165" s="1726"/>
      <c r="BE165" s="4240"/>
    </row>
    <row r="166" spans="19:57" x14ac:dyDescent="0.25">
      <c r="S166" s="189"/>
      <c r="T166" s="1726"/>
      <c r="U166" s="189"/>
      <c r="V166" s="1726"/>
      <c r="W166" s="189"/>
      <c r="X166" s="1726"/>
      <c r="AC166" s="189"/>
      <c r="AD166" s="1726"/>
      <c r="AE166" s="189"/>
      <c r="AF166" s="1726"/>
      <c r="AG166" s="189"/>
      <c r="AH166" s="1726"/>
      <c r="AI166" s="189"/>
      <c r="AJ166" s="1726"/>
      <c r="AK166" s="189"/>
      <c r="AL166" s="1726"/>
      <c r="AQ166" s="189"/>
      <c r="AR166" s="1726"/>
      <c r="AS166" s="189"/>
      <c r="AT166" s="1726"/>
      <c r="AU166" s="189"/>
      <c r="AV166" s="1726"/>
      <c r="AW166" s="189"/>
      <c r="AX166" s="1726"/>
      <c r="BE166" s="4240"/>
    </row>
    <row r="167" spans="19:57" x14ac:dyDescent="0.25">
      <c r="S167" s="189"/>
      <c r="T167" s="1726"/>
      <c r="U167" s="189"/>
      <c r="V167" s="1726"/>
      <c r="W167" s="189"/>
      <c r="X167" s="1726"/>
      <c r="AC167" s="189"/>
      <c r="AD167" s="1726"/>
      <c r="AE167" s="189"/>
      <c r="AF167" s="1726"/>
      <c r="AG167" s="189"/>
      <c r="AH167" s="1726"/>
      <c r="AI167" s="189"/>
      <c r="AJ167" s="1726"/>
      <c r="AK167" s="189"/>
      <c r="AL167" s="1726"/>
      <c r="AQ167" s="189"/>
      <c r="AR167" s="1726"/>
      <c r="AS167" s="189"/>
      <c r="AT167" s="1726"/>
      <c r="AU167" s="189"/>
      <c r="AV167" s="1726"/>
      <c r="AW167" s="189"/>
      <c r="AX167" s="1726"/>
      <c r="BE167" s="4240"/>
    </row>
    <row r="168" spans="19:57" x14ac:dyDescent="0.25">
      <c r="S168" s="189"/>
      <c r="T168" s="1726"/>
      <c r="U168" s="189"/>
      <c r="V168" s="1726"/>
      <c r="W168" s="189"/>
      <c r="X168" s="1726"/>
      <c r="AC168" s="189"/>
      <c r="AD168" s="1726"/>
      <c r="AE168" s="189"/>
      <c r="AF168" s="1726"/>
      <c r="AG168" s="189"/>
      <c r="AH168" s="1726"/>
      <c r="AI168" s="189"/>
      <c r="AJ168" s="1726"/>
      <c r="AK168" s="189"/>
      <c r="AL168" s="1726"/>
      <c r="AQ168" s="189"/>
      <c r="AR168" s="1726"/>
      <c r="AU168" s="189"/>
      <c r="AV168" s="1726"/>
      <c r="AW168" s="1726"/>
      <c r="AX168" s="1726"/>
      <c r="BE168" s="4240"/>
    </row>
    <row r="169" spans="19:57" x14ac:dyDescent="0.25">
      <c r="S169" s="189"/>
      <c r="T169" s="1726"/>
      <c r="U169" s="189"/>
      <c r="V169" s="1726"/>
      <c r="W169" s="189"/>
      <c r="X169" s="1726"/>
      <c r="AC169" s="189"/>
      <c r="AD169" s="1726"/>
      <c r="AE169" s="189"/>
      <c r="AF169" s="1726"/>
      <c r="AG169" s="189"/>
      <c r="AH169" s="1726"/>
      <c r="AI169" s="189"/>
      <c r="AJ169" s="1726"/>
      <c r="AK169" s="189"/>
      <c r="AL169" s="1726"/>
      <c r="AQ169" s="189"/>
      <c r="AR169" s="1726"/>
      <c r="AU169" s="189"/>
      <c r="AV169" s="1726"/>
      <c r="AW169" s="1726"/>
      <c r="AX169" s="1726"/>
      <c r="BE169" s="4240"/>
    </row>
    <row r="170" spans="19:57" x14ac:dyDescent="0.25">
      <c r="S170" s="189"/>
      <c r="T170" s="1726"/>
      <c r="U170" s="189"/>
      <c r="V170" s="1726"/>
      <c r="W170" s="189"/>
      <c r="X170" s="1726"/>
      <c r="AC170" s="189"/>
      <c r="AD170" s="1726"/>
      <c r="AE170" s="189"/>
      <c r="AF170" s="1726"/>
      <c r="AG170" s="189"/>
      <c r="AH170" s="1726"/>
      <c r="AI170" s="189"/>
      <c r="AJ170" s="1726"/>
      <c r="AK170" s="189"/>
      <c r="AL170" s="1726"/>
      <c r="AQ170" s="189"/>
      <c r="AR170" s="1726"/>
      <c r="AU170" s="189"/>
      <c r="AV170" s="1726"/>
      <c r="AW170" s="1726"/>
      <c r="AX170" s="1726"/>
      <c r="BE170" s="4240"/>
    </row>
    <row r="171" spans="19:57" x14ac:dyDescent="0.25">
      <c r="S171" s="189"/>
      <c r="T171" s="1726"/>
      <c r="U171" s="189"/>
      <c r="V171" s="1726"/>
      <c r="W171" s="189"/>
      <c r="X171" s="1726"/>
      <c r="AC171" s="189"/>
      <c r="AD171" s="1726"/>
      <c r="AE171" s="189"/>
      <c r="AF171" s="1726"/>
      <c r="AG171" s="189"/>
      <c r="AH171" s="1726"/>
      <c r="AI171" s="189"/>
      <c r="AJ171" s="1726"/>
      <c r="AK171" s="189"/>
      <c r="AL171" s="1726"/>
      <c r="AQ171" s="189"/>
      <c r="AR171" s="1726"/>
      <c r="AU171" s="189"/>
      <c r="AV171" s="1726"/>
      <c r="AW171" s="1726"/>
      <c r="AX171" s="1726"/>
    </row>
    <row r="172" spans="19:57" x14ac:dyDescent="0.25">
      <c r="S172" s="189"/>
      <c r="T172" s="1726"/>
      <c r="U172" s="189"/>
      <c r="V172" s="1726"/>
      <c r="W172" s="189"/>
      <c r="X172" s="1726"/>
      <c r="AC172" s="189"/>
      <c r="AD172" s="1726"/>
      <c r="AE172" s="189"/>
      <c r="AF172" s="1726"/>
      <c r="AG172" s="189"/>
      <c r="AH172" s="1726"/>
      <c r="AI172" s="189"/>
      <c r="AJ172" s="1726"/>
      <c r="AK172" s="189"/>
      <c r="AL172" s="1726"/>
      <c r="AQ172" s="189"/>
      <c r="AR172" s="1726"/>
      <c r="AU172" s="189"/>
      <c r="AV172" s="1726"/>
      <c r="AW172" s="1726"/>
      <c r="AX172" s="1726"/>
    </row>
    <row r="173" spans="19:57" x14ac:dyDescent="0.25">
      <c r="S173" s="189"/>
      <c r="T173" s="1726"/>
      <c r="U173" s="189"/>
      <c r="V173" s="1726"/>
      <c r="W173" s="189"/>
      <c r="X173" s="1726"/>
      <c r="AC173" s="189"/>
      <c r="AD173" s="1726"/>
      <c r="AE173" s="189"/>
      <c r="AF173" s="1726"/>
      <c r="AG173" s="189"/>
      <c r="AH173" s="1726"/>
      <c r="AI173" s="189"/>
      <c r="AJ173" s="1726"/>
      <c r="AK173" s="189"/>
      <c r="AL173" s="1726"/>
      <c r="AQ173" s="189"/>
      <c r="AR173" s="1726"/>
      <c r="AU173" s="189"/>
      <c r="AV173" s="1726"/>
      <c r="AW173" s="1726"/>
      <c r="AX173" s="1726"/>
    </row>
    <row r="174" spans="19:57" x14ac:dyDescent="0.25">
      <c r="S174" s="189"/>
      <c r="T174" s="1726"/>
      <c r="U174" s="189"/>
      <c r="V174" s="1726"/>
      <c r="W174" s="189"/>
      <c r="X174" s="1726"/>
      <c r="AC174" s="189"/>
      <c r="AD174" s="1726"/>
      <c r="AE174" s="189"/>
      <c r="AF174" s="1726"/>
      <c r="AG174" s="189"/>
      <c r="AH174" s="1726"/>
      <c r="AI174" s="189"/>
      <c r="AJ174" s="1726"/>
      <c r="AK174" s="189"/>
      <c r="AL174" s="1726"/>
      <c r="AQ174" s="189"/>
      <c r="AR174" s="1726"/>
      <c r="AU174" s="189"/>
      <c r="AV174" s="1726"/>
      <c r="AW174" s="1726"/>
      <c r="AX174" s="1726"/>
    </row>
    <row r="175" spans="19:57" x14ac:dyDescent="0.25">
      <c r="S175" s="189"/>
      <c r="T175" s="1726"/>
      <c r="U175" s="189"/>
      <c r="V175" s="1726"/>
      <c r="W175" s="189"/>
      <c r="X175" s="1726"/>
      <c r="AC175" s="189"/>
      <c r="AD175" s="1726"/>
      <c r="AE175" s="189"/>
      <c r="AF175" s="1726"/>
      <c r="AG175" s="189"/>
      <c r="AH175" s="1726"/>
      <c r="AI175" s="189"/>
      <c r="AJ175" s="1726"/>
      <c r="AK175" s="189"/>
      <c r="AL175" s="1726"/>
      <c r="AQ175" s="189"/>
      <c r="AR175" s="1726"/>
      <c r="AU175" s="189"/>
      <c r="AV175" s="1726"/>
      <c r="AW175" s="1726"/>
      <c r="AX175" s="1726"/>
    </row>
    <row r="176" spans="19:57" x14ac:dyDescent="0.25">
      <c r="S176" s="189"/>
      <c r="T176" s="1726"/>
      <c r="U176" s="189"/>
      <c r="V176" s="1726"/>
      <c r="W176" s="189"/>
      <c r="X176" s="1726"/>
      <c r="AC176" s="189"/>
      <c r="AD176" s="1726"/>
      <c r="AE176" s="189"/>
      <c r="AF176" s="1726"/>
      <c r="AG176" s="189"/>
      <c r="AH176" s="1726"/>
      <c r="AI176" s="189"/>
      <c r="AJ176" s="1726"/>
      <c r="AQ176" s="1726"/>
      <c r="AR176" s="1726"/>
      <c r="AW176" s="1726"/>
      <c r="AX176" s="1726"/>
    </row>
    <row r="177" spans="19:50" x14ac:dyDescent="0.25">
      <c r="S177" s="189"/>
      <c r="T177" s="1726"/>
      <c r="U177" s="189"/>
      <c r="V177" s="1726"/>
      <c r="W177" s="189"/>
      <c r="X177" s="1726"/>
      <c r="AC177" s="189"/>
      <c r="AD177" s="1726"/>
      <c r="AE177" s="189"/>
      <c r="AF177" s="1726"/>
      <c r="AG177" s="189"/>
      <c r="AH177" s="1726"/>
      <c r="AI177" s="189"/>
      <c r="AJ177" s="1726"/>
      <c r="AQ177" s="1726"/>
      <c r="AR177" s="1726"/>
      <c r="AW177" s="1726"/>
      <c r="AX177" s="1726"/>
    </row>
    <row r="178" spans="19:50" x14ac:dyDescent="0.25">
      <c r="S178" s="189"/>
      <c r="T178" s="1726"/>
      <c r="U178" s="189"/>
      <c r="V178" s="1726"/>
      <c r="W178" s="189"/>
      <c r="X178" s="1726"/>
      <c r="AC178" s="189"/>
      <c r="AD178" s="1726"/>
      <c r="AE178" s="189"/>
      <c r="AF178" s="1726"/>
      <c r="AG178" s="189"/>
      <c r="AH178" s="1726"/>
      <c r="AI178" s="189"/>
      <c r="AJ178" s="1726"/>
      <c r="AQ178" s="1726"/>
      <c r="AR178" s="1726"/>
      <c r="AW178" s="1726"/>
      <c r="AX178" s="1726"/>
    </row>
    <row r="179" spans="19:50" x14ac:dyDescent="0.25">
      <c r="S179" s="189"/>
      <c r="T179" s="1726"/>
      <c r="U179" s="189"/>
      <c r="V179" s="1726"/>
      <c r="W179" s="189"/>
      <c r="X179" s="1726"/>
      <c r="AC179" s="189"/>
      <c r="AD179" s="1726"/>
      <c r="AE179" s="189"/>
      <c r="AF179" s="1726"/>
      <c r="AG179" s="189"/>
      <c r="AH179" s="1726"/>
      <c r="AI179" s="189"/>
      <c r="AJ179" s="1726"/>
      <c r="AQ179" s="1726"/>
      <c r="AR179" s="1726"/>
      <c r="AW179" s="1726"/>
      <c r="AX179" s="1726"/>
    </row>
    <row r="180" spans="19:50" x14ac:dyDescent="0.25">
      <c r="S180" s="189"/>
      <c r="T180" s="1726"/>
      <c r="U180" s="189"/>
      <c r="V180" s="1726"/>
      <c r="W180" s="189"/>
      <c r="X180" s="1726"/>
      <c r="AC180" s="189"/>
      <c r="AD180" s="1726"/>
      <c r="AE180" s="189"/>
      <c r="AF180" s="1726"/>
      <c r="AG180" s="189"/>
      <c r="AH180" s="1726"/>
      <c r="AI180" s="189"/>
      <c r="AJ180" s="1726"/>
      <c r="AQ180" s="1726"/>
      <c r="AR180" s="1726"/>
      <c r="AW180" s="1726"/>
      <c r="AX180" s="1726"/>
    </row>
    <row r="181" spans="19:50" x14ac:dyDescent="0.25">
      <c r="S181" s="189"/>
      <c r="T181" s="1726"/>
      <c r="U181" s="189"/>
      <c r="V181" s="1726"/>
      <c r="W181" s="189"/>
      <c r="X181" s="1726"/>
      <c r="AC181" s="189"/>
      <c r="AD181" s="1726"/>
      <c r="AE181" s="189"/>
      <c r="AF181" s="1726"/>
      <c r="AG181" s="189"/>
      <c r="AH181" s="1726"/>
      <c r="AI181" s="189"/>
      <c r="AJ181" s="1726"/>
      <c r="AQ181" s="1726"/>
      <c r="AR181" s="1726"/>
      <c r="AW181" s="1726"/>
      <c r="AX181" s="1726"/>
    </row>
    <row r="182" spans="19:50" x14ac:dyDescent="0.25">
      <c r="S182" s="189"/>
      <c r="T182" s="1726"/>
      <c r="U182" s="189"/>
      <c r="V182" s="1726"/>
      <c r="W182" s="189"/>
      <c r="X182" s="1726"/>
      <c r="AC182" s="189"/>
      <c r="AD182" s="1726"/>
      <c r="AE182" s="189"/>
      <c r="AF182" s="1726"/>
      <c r="AG182" s="189"/>
      <c r="AH182" s="1726"/>
      <c r="AI182" s="189"/>
      <c r="AJ182" s="1726"/>
      <c r="AQ182" s="1726"/>
      <c r="AR182" s="1726"/>
      <c r="AW182" s="1726"/>
      <c r="AX182" s="1726"/>
    </row>
    <row r="183" spans="19:50" x14ac:dyDescent="0.25">
      <c r="S183" s="189"/>
      <c r="T183" s="1726"/>
      <c r="U183" s="189"/>
      <c r="V183" s="1726"/>
      <c r="W183" s="189"/>
      <c r="X183" s="1726"/>
      <c r="AC183" s="189"/>
      <c r="AD183" s="1726"/>
      <c r="AE183" s="189"/>
      <c r="AF183" s="1726"/>
      <c r="AG183" s="189"/>
      <c r="AH183" s="1726"/>
      <c r="AI183" s="189"/>
      <c r="AJ183" s="1726"/>
      <c r="AQ183" s="1726"/>
      <c r="AR183" s="1726"/>
      <c r="AW183" s="1726"/>
      <c r="AX183" s="1726"/>
    </row>
    <row r="184" spans="19:50" x14ac:dyDescent="0.25">
      <c r="S184" s="189"/>
      <c r="T184" s="1726"/>
      <c r="U184" s="189"/>
      <c r="V184" s="1726"/>
      <c r="W184" s="189"/>
      <c r="X184" s="1726"/>
      <c r="AC184" s="189"/>
      <c r="AD184" s="1726"/>
      <c r="AE184" s="189"/>
      <c r="AF184" s="1726"/>
      <c r="AG184" s="189"/>
      <c r="AH184" s="1726"/>
      <c r="AI184" s="189"/>
      <c r="AJ184" s="1726"/>
      <c r="AQ184" s="1726"/>
      <c r="AR184" s="1726"/>
      <c r="AW184" s="1726"/>
      <c r="AX184" s="1726"/>
    </row>
    <row r="185" spans="19:50" x14ac:dyDescent="0.25">
      <c r="S185" s="189"/>
      <c r="T185" s="1726"/>
      <c r="U185" s="189"/>
      <c r="V185" s="1726"/>
      <c r="W185" s="189"/>
      <c r="X185" s="1726"/>
      <c r="AC185" s="189"/>
      <c r="AD185" s="1726"/>
      <c r="AE185" s="189"/>
      <c r="AF185" s="1726"/>
      <c r="AG185" s="189"/>
      <c r="AH185" s="1726"/>
      <c r="AI185" s="189"/>
      <c r="AJ185" s="1726"/>
      <c r="AQ185" s="1726"/>
      <c r="AR185" s="1726"/>
      <c r="AW185" s="1726"/>
      <c r="AX185" s="1726"/>
    </row>
    <row r="186" spans="19:50" x14ac:dyDescent="0.25">
      <c r="S186" s="189"/>
      <c r="T186" s="1726"/>
      <c r="U186" s="189"/>
      <c r="V186" s="1726"/>
      <c r="W186" s="189"/>
      <c r="X186" s="1726"/>
      <c r="AC186" s="189"/>
      <c r="AD186" s="1726"/>
      <c r="AE186" s="189"/>
      <c r="AF186" s="1726"/>
      <c r="AG186" s="189"/>
      <c r="AH186" s="1726"/>
      <c r="AI186" s="189"/>
      <c r="AJ186" s="1726"/>
      <c r="AQ186" s="1726"/>
      <c r="AR186" s="1726"/>
      <c r="AW186" s="1726"/>
      <c r="AX186" s="1726"/>
    </row>
    <row r="187" spans="19:50" x14ac:dyDescent="0.25">
      <c r="S187" s="189"/>
      <c r="T187" s="1726"/>
      <c r="U187" s="189"/>
      <c r="V187" s="1726"/>
      <c r="W187" s="189"/>
      <c r="X187" s="1726"/>
      <c r="AC187" s="189"/>
      <c r="AD187" s="1726"/>
      <c r="AE187" s="189"/>
      <c r="AF187" s="1726"/>
      <c r="AG187" s="189"/>
      <c r="AH187" s="1726"/>
      <c r="AI187" s="189"/>
      <c r="AJ187" s="1726"/>
      <c r="AQ187" s="1726"/>
      <c r="AR187" s="1726"/>
      <c r="AW187" s="1726"/>
      <c r="AX187" s="1726"/>
    </row>
    <row r="188" spans="19:50" x14ac:dyDescent="0.25">
      <c r="S188" s="189"/>
      <c r="T188" s="1726"/>
      <c r="U188" s="189"/>
      <c r="V188" s="1726"/>
      <c r="W188" s="189"/>
      <c r="X188" s="1726"/>
      <c r="AC188" s="189"/>
      <c r="AD188" s="1726"/>
      <c r="AE188" s="189"/>
      <c r="AF188" s="1726"/>
      <c r="AG188" s="189"/>
      <c r="AH188" s="1726"/>
      <c r="AI188" s="189"/>
      <c r="AJ188" s="1726"/>
      <c r="AQ188" s="1726"/>
      <c r="AR188" s="1726"/>
      <c r="AW188" s="1726"/>
      <c r="AX188" s="1726"/>
    </row>
    <row r="189" spans="19:50" x14ac:dyDescent="0.25">
      <c r="S189" s="189"/>
      <c r="T189" s="1726"/>
      <c r="U189" s="189"/>
      <c r="V189" s="1726"/>
      <c r="W189" s="189"/>
      <c r="X189" s="1726"/>
      <c r="AC189" s="189"/>
      <c r="AD189" s="1726"/>
      <c r="AE189" s="189"/>
      <c r="AF189" s="1726"/>
      <c r="AG189" s="189"/>
      <c r="AH189" s="1726"/>
      <c r="AI189" s="189"/>
      <c r="AJ189" s="1726"/>
      <c r="AQ189" s="1726"/>
      <c r="AR189" s="1726"/>
      <c r="AW189" s="1726"/>
      <c r="AX189" s="1726"/>
    </row>
    <row r="190" spans="19:50" x14ac:dyDescent="0.25">
      <c r="S190" s="189"/>
      <c r="T190" s="1726"/>
      <c r="U190" s="189"/>
      <c r="V190" s="1726"/>
      <c r="W190" s="189"/>
      <c r="X190" s="1726"/>
      <c r="AC190" s="189"/>
      <c r="AD190" s="1726"/>
      <c r="AE190" s="189"/>
      <c r="AF190" s="1726"/>
      <c r="AG190" s="189"/>
      <c r="AH190" s="1726"/>
      <c r="AI190" s="189"/>
      <c r="AJ190" s="1726"/>
      <c r="AQ190" s="1726"/>
      <c r="AR190" s="1726"/>
      <c r="AW190" s="1726"/>
      <c r="AX190" s="1726"/>
    </row>
    <row r="191" spans="19:50" x14ac:dyDescent="0.25">
      <c r="S191" s="189"/>
      <c r="T191" s="1726"/>
      <c r="U191" s="189"/>
      <c r="V191" s="1726"/>
      <c r="W191" s="189"/>
      <c r="X191" s="1726"/>
      <c r="AC191" s="189"/>
      <c r="AD191" s="1726"/>
      <c r="AE191" s="189"/>
      <c r="AF191" s="1726"/>
      <c r="AG191" s="189"/>
      <c r="AH191" s="1726"/>
      <c r="AI191" s="189"/>
      <c r="AJ191" s="1726"/>
      <c r="AQ191" s="1726"/>
      <c r="AR191" s="1726"/>
      <c r="AW191" s="1726"/>
      <c r="AX191" s="1726"/>
    </row>
    <row r="192" spans="19:50" x14ac:dyDescent="0.25">
      <c r="S192" s="189"/>
      <c r="T192" s="1726"/>
      <c r="U192" s="189"/>
      <c r="V192" s="1726"/>
      <c r="W192" s="189"/>
      <c r="X192" s="1726"/>
      <c r="AC192" s="189"/>
      <c r="AD192" s="1726"/>
      <c r="AE192" s="189"/>
      <c r="AF192" s="1726"/>
      <c r="AG192" s="189"/>
      <c r="AH192" s="1726"/>
      <c r="AI192" s="189"/>
      <c r="AJ192" s="1726"/>
      <c r="AQ192" s="1726"/>
      <c r="AR192" s="1726"/>
      <c r="AW192" s="1726"/>
      <c r="AX192" s="1726"/>
    </row>
    <row r="193" spans="19:50" x14ac:dyDescent="0.25">
      <c r="S193" s="189"/>
      <c r="T193" s="1726"/>
      <c r="U193" s="189"/>
      <c r="V193" s="1726"/>
      <c r="W193" s="189"/>
      <c r="X193" s="1726"/>
      <c r="AC193" s="189"/>
      <c r="AD193" s="1726"/>
      <c r="AE193" s="189"/>
      <c r="AF193" s="1726"/>
      <c r="AG193" s="189"/>
      <c r="AH193" s="1726"/>
      <c r="AI193" s="189"/>
      <c r="AJ193" s="1726"/>
      <c r="AQ193" s="1726"/>
      <c r="AR193" s="1726"/>
      <c r="AW193" s="1726"/>
      <c r="AX193" s="1726"/>
    </row>
    <row r="194" spans="19:50" x14ac:dyDescent="0.25">
      <c r="S194" s="189"/>
      <c r="T194" s="1726"/>
      <c r="U194" s="189"/>
      <c r="V194" s="1726"/>
      <c r="W194" s="189"/>
      <c r="X194" s="1726"/>
      <c r="AC194" s="189"/>
      <c r="AD194" s="1726"/>
      <c r="AE194" s="189"/>
      <c r="AF194" s="1726"/>
      <c r="AG194" s="189"/>
      <c r="AH194" s="1726"/>
      <c r="AI194" s="189"/>
      <c r="AJ194" s="1726"/>
      <c r="AQ194" s="1726"/>
      <c r="AR194" s="1726"/>
      <c r="AW194" s="1726"/>
      <c r="AX194" s="1726"/>
    </row>
    <row r="195" spans="19:50" x14ac:dyDescent="0.25">
      <c r="S195" s="189"/>
      <c r="T195" s="1726"/>
      <c r="U195" s="189"/>
      <c r="V195" s="1726"/>
      <c r="W195" s="189"/>
      <c r="X195" s="1726"/>
      <c r="AC195" s="189"/>
      <c r="AD195" s="1726"/>
      <c r="AE195" s="189"/>
      <c r="AF195" s="1726"/>
      <c r="AG195" s="189"/>
      <c r="AH195" s="1726"/>
      <c r="AI195" s="189"/>
      <c r="AJ195" s="1726"/>
      <c r="AQ195" s="1726"/>
      <c r="AR195" s="1726"/>
      <c r="AW195" s="1726"/>
      <c r="AX195" s="1726"/>
    </row>
    <row r="196" spans="19:50" x14ac:dyDescent="0.25">
      <c r="S196" s="189"/>
      <c r="T196" s="1726"/>
      <c r="U196" s="189"/>
      <c r="V196" s="1726"/>
      <c r="W196" s="189"/>
      <c r="X196" s="1726"/>
      <c r="AC196" s="189"/>
      <c r="AD196" s="1726"/>
      <c r="AE196" s="189"/>
      <c r="AF196" s="1726"/>
      <c r="AG196" s="189"/>
      <c r="AH196" s="1726"/>
      <c r="AI196" s="189"/>
      <c r="AJ196" s="1726"/>
      <c r="AQ196" s="1726"/>
      <c r="AR196" s="1726"/>
      <c r="AW196" s="1726"/>
      <c r="AX196" s="1726"/>
    </row>
    <row r="197" spans="19:50" x14ac:dyDescent="0.25">
      <c r="S197" s="189"/>
      <c r="T197" s="1726"/>
      <c r="U197" s="189"/>
      <c r="V197" s="1726"/>
      <c r="W197" s="189"/>
      <c r="X197" s="1726"/>
      <c r="AC197" s="189"/>
      <c r="AD197" s="1726"/>
      <c r="AE197" s="189"/>
      <c r="AF197" s="1726"/>
      <c r="AG197" s="189"/>
      <c r="AH197" s="1726"/>
      <c r="AI197" s="189"/>
      <c r="AJ197" s="1726"/>
      <c r="AQ197" s="1726"/>
      <c r="AR197" s="1726"/>
      <c r="AW197" s="1726"/>
      <c r="AX197" s="1726"/>
    </row>
    <row r="198" spans="19:50" x14ac:dyDescent="0.25">
      <c r="S198" s="189"/>
      <c r="T198" s="1726"/>
      <c r="U198" s="189"/>
      <c r="V198" s="1726"/>
      <c r="W198" s="189"/>
      <c r="X198" s="1726"/>
      <c r="AC198" s="189"/>
      <c r="AD198" s="1726"/>
      <c r="AE198" s="189"/>
      <c r="AF198" s="1726"/>
      <c r="AG198" s="189"/>
      <c r="AH198" s="1726"/>
      <c r="AI198" s="189"/>
      <c r="AJ198" s="1726"/>
      <c r="AQ198" s="1726"/>
      <c r="AR198" s="1726"/>
      <c r="AW198" s="1726"/>
      <c r="AX198" s="1726"/>
    </row>
    <row r="199" spans="19:50" x14ac:dyDescent="0.25">
      <c r="S199" s="189"/>
      <c r="T199" s="1726"/>
      <c r="U199" s="189"/>
      <c r="V199" s="1726"/>
      <c r="W199" s="189"/>
      <c r="X199" s="1726"/>
      <c r="AC199" s="189"/>
      <c r="AD199" s="1726"/>
      <c r="AE199" s="189"/>
      <c r="AF199" s="1726"/>
      <c r="AG199" s="189"/>
      <c r="AH199" s="1726"/>
      <c r="AI199" s="189"/>
      <c r="AJ199" s="1726"/>
      <c r="AQ199" s="1726"/>
      <c r="AR199" s="1726"/>
      <c r="AW199" s="1726"/>
      <c r="AX199" s="1726"/>
    </row>
    <row r="200" spans="19:50" x14ac:dyDescent="0.25">
      <c r="S200" s="189"/>
      <c r="T200" s="1726"/>
      <c r="U200" s="189"/>
      <c r="V200" s="1726"/>
      <c r="W200" s="189"/>
      <c r="X200" s="1726"/>
      <c r="AC200" s="189"/>
      <c r="AD200" s="1726"/>
      <c r="AE200" s="189"/>
      <c r="AF200" s="1726"/>
      <c r="AG200" s="189"/>
      <c r="AH200" s="1726"/>
      <c r="AI200" s="189"/>
      <c r="AJ200" s="1726"/>
      <c r="AQ200" s="1726"/>
      <c r="AR200" s="1726"/>
      <c r="AW200" s="1726"/>
      <c r="AX200" s="1726"/>
    </row>
    <row r="201" spans="19:50" x14ac:dyDescent="0.25">
      <c r="S201" s="189"/>
      <c r="T201" s="1726"/>
      <c r="U201" s="189"/>
      <c r="V201" s="1726"/>
      <c r="W201" s="189"/>
      <c r="X201" s="1726"/>
      <c r="AC201" s="189"/>
      <c r="AD201" s="1726"/>
      <c r="AE201" s="189"/>
      <c r="AF201" s="1726"/>
      <c r="AG201" s="189"/>
      <c r="AH201" s="1726"/>
      <c r="AI201" s="189"/>
      <c r="AJ201" s="1726"/>
      <c r="AQ201" s="1726"/>
      <c r="AR201" s="1726"/>
      <c r="AW201" s="1726"/>
      <c r="AX201" s="1726"/>
    </row>
    <row r="202" spans="19:50" x14ac:dyDescent="0.25">
      <c r="S202" s="189"/>
      <c r="T202" s="1726"/>
      <c r="U202" s="189"/>
      <c r="V202" s="1726"/>
      <c r="W202" s="189"/>
      <c r="X202" s="1726"/>
      <c r="AC202" s="189"/>
      <c r="AD202" s="1726"/>
      <c r="AE202" s="189"/>
      <c r="AF202" s="1726"/>
      <c r="AG202" s="189"/>
      <c r="AH202" s="1726"/>
      <c r="AI202" s="189"/>
      <c r="AJ202" s="1726"/>
      <c r="AQ202" s="1726"/>
      <c r="AR202" s="1726"/>
      <c r="AW202" s="1726"/>
      <c r="AX202" s="1726"/>
    </row>
    <row r="203" spans="19:50" x14ac:dyDescent="0.25">
      <c r="S203" s="189"/>
      <c r="T203" s="1726"/>
      <c r="U203" s="189"/>
      <c r="V203" s="1726"/>
      <c r="W203" s="189"/>
      <c r="X203" s="1726"/>
      <c r="AC203" s="189"/>
      <c r="AD203" s="1726"/>
      <c r="AE203" s="189"/>
      <c r="AF203" s="1726"/>
      <c r="AG203" s="189"/>
      <c r="AH203" s="1726"/>
      <c r="AI203" s="189"/>
      <c r="AJ203" s="1726"/>
      <c r="AQ203" s="1726"/>
      <c r="AR203" s="1726"/>
      <c r="AW203" s="1726"/>
      <c r="AX203" s="1726"/>
    </row>
    <row r="204" spans="19:50" x14ac:dyDescent="0.25">
      <c r="S204" s="189"/>
      <c r="T204" s="1726"/>
      <c r="U204" s="189"/>
      <c r="V204" s="1726"/>
      <c r="W204" s="189"/>
      <c r="X204" s="1726"/>
      <c r="AC204" s="189"/>
      <c r="AD204" s="1726"/>
      <c r="AE204" s="189"/>
      <c r="AF204" s="1726"/>
      <c r="AG204" s="189"/>
      <c r="AH204" s="1726"/>
      <c r="AI204" s="189"/>
      <c r="AJ204" s="1726"/>
      <c r="AQ204" s="1726"/>
      <c r="AR204" s="1726"/>
      <c r="AW204" s="1726"/>
      <c r="AX204" s="1726"/>
    </row>
    <row r="205" spans="19:50" x14ac:dyDescent="0.25">
      <c r="S205" s="189"/>
      <c r="T205" s="1726"/>
      <c r="U205" s="189"/>
      <c r="V205" s="1726"/>
      <c r="W205" s="189"/>
      <c r="X205" s="1726"/>
      <c r="AC205" s="189"/>
      <c r="AD205" s="1726"/>
      <c r="AE205" s="189"/>
      <c r="AF205" s="1726"/>
      <c r="AG205" s="189"/>
      <c r="AH205" s="1726"/>
      <c r="AI205" s="189"/>
      <c r="AJ205" s="1726"/>
      <c r="AQ205" s="1726"/>
      <c r="AR205" s="1726"/>
      <c r="AW205" s="1726"/>
      <c r="AX205" s="1726"/>
    </row>
    <row r="206" spans="19:50" x14ac:dyDescent="0.25">
      <c r="S206" s="189"/>
      <c r="T206" s="1726"/>
      <c r="U206" s="189"/>
      <c r="V206" s="1726"/>
      <c r="W206" s="189"/>
      <c r="X206" s="1726"/>
      <c r="AC206" s="189"/>
      <c r="AD206" s="1726"/>
      <c r="AE206" s="189"/>
      <c r="AF206" s="1726"/>
      <c r="AG206" s="189"/>
      <c r="AH206" s="1726"/>
      <c r="AI206" s="189"/>
      <c r="AJ206" s="1726"/>
      <c r="AQ206" s="1726"/>
      <c r="AR206" s="1726"/>
      <c r="AW206" s="1726"/>
      <c r="AX206" s="1726"/>
    </row>
    <row r="207" spans="19:50" x14ac:dyDescent="0.25">
      <c r="S207" s="189"/>
      <c r="T207" s="1726"/>
      <c r="U207" s="189"/>
      <c r="V207" s="1726"/>
      <c r="W207" s="189"/>
      <c r="X207" s="1726"/>
      <c r="AC207" s="189"/>
      <c r="AD207" s="1726"/>
      <c r="AE207" s="189"/>
      <c r="AF207" s="1726"/>
      <c r="AG207" s="189"/>
      <c r="AH207" s="1726"/>
      <c r="AI207" s="189"/>
      <c r="AJ207" s="1726"/>
      <c r="AQ207" s="1726"/>
      <c r="AR207" s="1726"/>
      <c r="AW207" s="1726"/>
      <c r="AX207" s="1726"/>
    </row>
    <row r="208" spans="19:50" x14ac:dyDescent="0.25">
      <c r="S208" s="189"/>
      <c r="T208" s="1726"/>
      <c r="U208" s="189"/>
      <c r="V208" s="1726"/>
      <c r="W208" s="189"/>
      <c r="X208" s="1726"/>
      <c r="AC208" s="189"/>
      <c r="AD208" s="1726"/>
      <c r="AE208" s="189"/>
      <c r="AF208" s="1726"/>
      <c r="AG208" s="189"/>
      <c r="AH208" s="1726"/>
      <c r="AI208" s="189"/>
      <c r="AJ208" s="1726"/>
      <c r="AQ208" s="1726"/>
      <c r="AR208" s="1726"/>
      <c r="AW208" s="1726"/>
      <c r="AX208" s="1726"/>
    </row>
    <row r="209" spans="19:50" x14ac:dyDescent="0.25">
      <c r="S209" s="189"/>
      <c r="T209" s="1726"/>
      <c r="U209" s="189"/>
      <c r="V209" s="1726"/>
      <c r="W209" s="189"/>
      <c r="X209" s="1726"/>
      <c r="AC209" s="189"/>
      <c r="AD209" s="1726"/>
      <c r="AE209" s="189"/>
      <c r="AF209" s="1726"/>
      <c r="AG209" s="189"/>
      <c r="AH209" s="1726"/>
      <c r="AI209" s="189"/>
      <c r="AJ209" s="1726"/>
      <c r="AQ209" s="1726"/>
      <c r="AR209" s="1726"/>
      <c r="AW209" s="1726"/>
      <c r="AX209" s="1726"/>
    </row>
    <row r="210" spans="19:50" x14ac:dyDescent="0.25">
      <c r="S210" s="189"/>
      <c r="T210" s="1726"/>
      <c r="U210" s="189"/>
      <c r="V210" s="1726"/>
      <c r="W210" s="189"/>
      <c r="X210" s="1726"/>
      <c r="AC210" s="189"/>
      <c r="AD210" s="1726"/>
      <c r="AE210" s="189"/>
      <c r="AF210" s="1726"/>
      <c r="AG210" s="189"/>
      <c r="AH210" s="1726"/>
      <c r="AI210" s="189"/>
      <c r="AJ210" s="1726"/>
      <c r="AQ210" s="1726"/>
      <c r="AR210" s="1726"/>
      <c r="AW210" s="1726"/>
      <c r="AX210" s="1726"/>
    </row>
    <row r="211" spans="19:50" x14ac:dyDescent="0.25">
      <c r="S211" s="189"/>
      <c r="T211" s="1726"/>
      <c r="U211" s="189"/>
      <c r="V211" s="1726"/>
      <c r="W211" s="189"/>
      <c r="X211" s="1726"/>
      <c r="AG211" s="1726"/>
      <c r="AH211" s="1726"/>
      <c r="AI211" s="1726"/>
      <c r="AJ211" s="1726"/>
      <c r="AQ211" s="1726"/>
      <c r="AR211" s="1726"/>
      <c r="AW211" s="1726"/>
      <c r="AX211" s="1726"/>
    </row>
    <row r="212" spans="19:50" x14ac:dyDescent="0.25">
      <c r="S212" s="189"/>
      <c r="T212" s="1726"/>
      <c r="U212" s="189"/>
      <c r="V212" s="1726"/>
      <c r="W212" s="189"/>
      <c r="X212" s="1726"/>
      <c r="AG212" s="1726"/>
      <c r="AH212" s="1726"/>
      <c r="AI212" s="1726"/>
      <c r="AJ212" s="1726"/>
      <c r="AQ212" s="1726"/>
      <c r="AR212" s="1726"/>
      <c r="AW212" s="1726"/>
      <c r="AX212" s="1726"/>
    </row>
    <row r="213" spans="19:50" x14ac:dyDescent="0.25">
      <c r="S213" s="189"/>
      <c r="T213" s="1726"/>
      <c r="U213" s="189"/>
      <c r="V213" s="1726"/>
      <c r="W213" s="189"/>
      <c r="X213" s="1726"/>
      <c r="AG213" s="1726"/>
      <c r="AH213" s="1726"/>
      <c r="AI213" s="1726"/>
      <c r="AJ213" s="1726"/>
      <c r="AQ213" s="1726"/>
      <c r="AR213" s="1726"/>
      <c r="AW213" s="1726"/>
      <c r="AX213" s="1726"/>
    </row>
    <row r="214" spans="19:50" x14ac:dyDescent="0.25">
      <c r="S214" s="189"/>
      <c r="T214" s="1726"/>
      <c r="U214" s="189"/>
      <c r="V214" s="1726"/>
      <c r="W214" s="189"/>
      <c r="X214" s="1726"/>
      <c r="AG214" s="1726"/>
      <c r="AH214" s="1726"/>
      <c r="AI214" s="1726"/>
      <c r="AJ214" s="1726"/>
      <c r="AQ214" s="1726"/>
      <c r="AR214" s="1726"/>
      <c r="AW214" s="1726"/>
      <c r="AX214" s="1726"/>
    </row>
    <row r="215" spans="19:50" x14ac:dyDescent="0.25">
      <c r="S215" s="189"/>
      <c r="T215" s="1726"/>
      <c r="U215" s="189"/>
      <c r="V215" s="1726"/>
      <c r="W215" s="189"/>
      <c r="X215" s="1726"/>
      <c r="AG215" s="1726"/>
      <c r="AH215" s="1726"/>
      <c r="AI215" s="1726"/>
      <c r="AJ215" s="1726"/>
      <c r="AQ215" s="1726"/>
      <c r="AR215" s="1726"/>
      <c r="AW215" s="1726"/>
      <c r="AX215" s="1726"/>
    </row>
    <row r="216" spans="19:50" x14ac:dyDescent="0.25">
      <c r="S216" s="189"/>
      <c r="T216" s="1726"/>
      <c r="U216" s="189"/>
      <c r="V216" s="1726"/>
      <c r="W216" s="189"/>
      <c r="X216" s="1726"/>
      <c r="AG216" s="1726"/>
      <c r="AH216" s="1726"/>
      <c r="AI216" s="1726"/>
      <c r="AJ216" s="1726"/>
      <c r="AQ216" s="1726"/>
      <c r="AR216" s="1726"/>
      <c r="AW216" s="1726"/>
      <c r="AX216" s="1726"/>
    </row>
    <row r="217" spans="19:50" x14ac:dyDescent="0.25">
      <c r="S217" s="189"/>
      <c r="T217" s="1726"/>
      <c r="U217" s="189"/>
      <c r="V217" s="1726"/>
      <c r="W217" s="189"/>
      <c r="X217" s="1726"/>
      <c r="AG217" s="1726"/>
      <c r="AH217" s="1726"/>
      <c r="AI217" s="1726"/>
      <c r="AJ217" s="1726"/>
      <c r="AQ217" s="1726"/>
      <c r="AR217" s="1726"/>
      <c r="AW217" s="1726"/>
      <c r="AX217" s="1726"/>
    </row>
    <row r="218" spans="19:50" x14ac:dyDescent="0.25">
      <c r="S218" s="189"/>
      <c r="T218" s="1726"/>
      <c r="U218" s="189"/>
      <c r="V218" s="1726"/>
      <c r="W218" s="189"/>
      <c r="X218" s="1726"/>
      <c r="AG218" s="1726"/>
      <c r="AH218" s="1726"/>
      <c r="AI218" s="1726"/>
      <c r="AJ218" s="1726"/>
      <c r="AQ218" s="1726"/>
      <c r="AR218" s="1726"/>
      <c r="AW218" s="1726"/>
      <c r="AX218" s="1726"/>
    </row>
    <row r="219" spans="19:50" x14ac:dyDescent="0.25">
      <c r="S219" s="189"/>
      <c r="T219" s="1726"/>
      <c r="U219" s="189"/>
      <c r="V219" s="1726"/>
      <c r="W219" s="189"/>
      <c r="X219" s="1726"/>
      <c r="AG219" s="1726"/>
      <c r="AH219" s="1726"/>
      <c r="AI219" s="1726"/>
      <c r="AJ219" s="1726"/>
      <c r="AQ219" s="1726"/>
      <c r="AR219" s="1726"/>
      <c r="AW219" s="1726"/>
      <c r="AX219" s="1726"/>
    </row>
    <row r="220" spans="19:50" x14ac:dyDescent="0.25">
      <c r="S220" s="189"/>
      <c r="T220" s="1726"/>
      <c r="U220" s="189"/>
      <c r="V220" s="1726"/>
      <c r="W220" s="189"/>
      <c r="X220" s="1726"/>
      <c r="AG220" s="1726"/>
      <c r="AH220" s="1726"/>
      <c r="AI220" s="1726"/>
      <c r="AJ220" s="1726"/>
      <c r="AQ220" s="1726"/>
      <c r="AR220" s="1726"/>
      <c r="AW220" s="1726"/>
      <c r="AX220" s="1726"/>
    </row>
    <row r="221" spans="19:50" x14ac:dyDescent="0.25">
      <c r="S221" s="189"/>
      <c r="T221" s="1726"/>
      <c r="U221" s="189"/>
      <c r="V221" s="1726"/>
      <c r="W221" s="189"/>
      <c r="X221" s="1726"/>
      <c r="AG221" s="1726"/>
      <c r="AH221" s="1726"/>
      <c r="AI221" s="1726"/>
      <c r="AJ221" s="1726"/>
      <c r="AQ221" s="1726"/>
      <c r="AR221" s="1726"/>
      <c r="AW221" s="1726"/>
      <c r="AX221" s="1726"/>
    </row>
    <row r="222" spans="19:50" x14ac:dyDescent="0.25">
      <c r="S222" s="189"/>
      <c r="T222" s="1726"/>
      <c r="U222" s="189"/>
      <c r="V222" s="1726"/>
      <c r="W222" s="189"/>
      <c r="X222" s="1726"/>
      <c r="AG222" s="1726"/>
      <c r="AH222" s="1726"/>
      <c r="AI222" s="1726"/>
      <c r="AJ222" s="1726"/>
      <c r="AQ222" s="1726"/>
      <c r="AR222" s="1726"/>
      <c r="AW222" s="1726"/>
      <c r="AX222" s="1726"/>
    </row>
    <row r="223" spans="19:50" x14ac:dyDescent="0.25">
      <c r="S223" s="189"/>
      <c r="T223" s="1726"/>
      <c r="U223" s="189"/>
      <c r="V223" s="1726"/>
      <c r="W223" s="189"/>
      <c r="X223" s="1726"/>
      <c r="AG223" s="1726"/>
      <c r="AH223" s="1726"/>
      <c r="AI223" s="1726"/>
      <c r="AJ223" s="1726"/>
      <c r="AQ223" s="1726"/>
      <c r="AR223" s="1726"/>
      <c r="AW223" s="1726"/>
      <c r="AX223" s="1726"/>
    </row>
    <row r="224" spans="19:50" x14ac:dyDescent="0.25">
      <c r="S224" s="189"/>
      <c r="T224" s="1726"/>
      <c r="U224" s="189"/>
      <c r="V224" s="1726"/>
      <c r="W224" s="189"/>
      <c r="X224" s="1726"/>
      <c r="AG224" s="1726"/>
      <c r="AH224" s="1726"/>
      <c r="AI224" s="1726"/>
      <c r="AJ224" s="1726"/>
      <c r="AQ224" s="1726"/>
      <c r="AR224" s="1726"/>
      <c r="AW224" s="1726"/>
      <c r="AX224" s="1726"/>
    </row>
    <row r="225" spans="19:50" x14ac:dyDescent="0.25">
      <c r="S225" s="189"/>
      <c r="T225" s="1726"/>
      <c r="U225" s="189"/>
      <c r="V225" s="1726"/>
      <c r="W225" s="189"/>
      <c r="X225" s="1726"/>
      <c r="AG225" s="1726"/>
      <c r="AH225" s="1726"/>
      <c r="AI225" s="1726"/>
      <c r="AJ225" s="1726"/>
      <c r="AQ225" s="1726"/>
      <c r="AR225" s="1726"/>
      <c r="AW225" s="1726"/>
      <c r="AX225" s="1726"/>
    </row>
    <row r="226" spans="19:50" x14ac:dyDescent="0.25">
      <c r="S226" s="189"/>
      <c r="T226" s="1726"/>
      <c r="U226" s="189"/>
      <c r="V226" s="1726"/>
      <c r="W226" s="189"/>
      <c r="X226" s="1726"/>
      <c r="AG226" s="1726"/>
      <c r="AH226" s="1726"/>
      <c r="AI226" s="1726"/>
      <c r="AJ226" s="1726"/>
      <c r="AQ226" s="1726"/>
      <c r="AR226" s="1726"/>
      <c r="AW226" s="1726"/>
      <c r="AX226" s="1726"/>
    </row>
    <row r="227" spans="19:50" x14ac:dyDescent="0.25">
      <c r="S227" s="189"/>
      <c r="T227" s="1726"/>
      <c r="U227" s="189"/>
      <c r="V227" s="1726"/>
      <c r="W227" s="189"/>
      <c r="X227" s="1726"/>
      <c r="AG227" s="1726"/>
      <c r="AH227" s="1726"/>
      <c r="AI227" s="1726"/>
      <c r="AJ227" s="1726"/>
      <c r="AQ227" s="1726"/>
      <c r="AR227" s="1726"/>
      <c r="AW227" s="1726"/>
      <c r="AX227" s="1726"/>
    </row>
    <row r="228" spans="19:50" x14ac:dyDescent="0.25">
      <c r="S228" s="189"/>
      <c r="T228" s="1726"/>
      <c r="U228" s="189"/>
      <c r="V228" s="1726"/>
      <c r="W228" s="189"/>
      <c r="X228" s="1726"/>
      <c r="AG228" s="1726"/>
      <c r="AH228" s="1726"/>
      <c r="AI228" s="1726"/>
      <c r="AJ228" s="1726"/>
      <c r="AQ228" s="1726"/>
      <c r="AR228" s="1726"/>
      <c r="AW228" s="1726"/>
      <c r="AX228" s="1726"/>
    </row>
    <row r="229" spans="19:50" x14ac:dyDescent="0.25">
      <c r="S229" s="189"/>
      <c r="T229" s="1726"/>
      <c r="U229" s="189"/>
      <c r="V229" s="1726"/>
      <c r="W229" s="189"/>
      <c r="X229" s="1726"/>
      <c r="AG229" s="1726"/>
      <c r="AH229" s="1726"/>
      <c r="AI229" s="1726"/>
      <c r="AJ229" s="1726"/>
      <c r="AQ229" s="1726"/>
      <c r="AR229" s="1726"/>
      <c r="AW229" s="1726"/>
      <c r="AX229" s="1726"/>
    </row>
    <row r="230" spans="19:50" x14ac:dyDescent="0.25">
      <c r="S230" s="189"/>
      <c r="T230" s="1726"/>
      <c r="U230" s="189"/>
      <c r="V230" s="1726"/>
      <c r="W230" s="189"/>
      <c r="X230" s="1726"/>
      <c r="AG230" s="1726"/>
      <c r="AH230" s="1726"/>
      <c r="AI230" s="1726"/>
      <c r="AJ230" s="1726"/>
      <c r="AQ230" s="1726"/>
      <c r="AR230" s="1726"/>
      <c r="AW230" s="1726"/>
      <c r="AX230" s="1726"/>
    </row>
    <row r="231" spans="19:50" x14ac:dyDescent="0.25">
      <c r="S231" s="189"/>
      <c r="T231" s="1726"/>
      <c r="U231" s="189"/>
      <c r="V231" s="1726"/>
      <c r="W231" s="189"/>
      <c r="X231" s="1726"/>
      <c r="AG231" s="1726"/>
      <c r="AH231" s="1726"/>
      <c r="AI231" s="1726"/>
      <c r="AJ231" s="1726"/>
      <c r="AQ231" s="1726"/>
      <c r="AR231" s="1726"/>
      <c r="AW231" s="1726"/>
      <c r="AX231" s="1726"/>
    </row>
    <row r="232" spans="19:50" x14ac:dyDescent="0.25">
      <c r="S232" s="189"/>
      <c r="T232" s="1726"/>
      <c r="U232" s="189"/>
      <c r="V232" s="1726"/>
      <c r="W232" s="189"/>
      <c r="X232" s="1726"/>
      <c r="AG232" s="1726"/>
      <c r="AH232" s="1726"/>
      <c r="AI232" s="1726"/>
      <c r="AJ232" s="1726"/>
      <c r="AQ232" s="1726"/>
      <c r="AR232" s="1726"/>
      <c r="AW232" s="1726"/>
      <c r="AX232" s="1726"/>
    </row>
    <row r="233" spans="19:50" x14ac:dyDescent="0.25">
      <c r="S233" s="189"/>
      <c r="T233" s="1726"/>
      <c r="U233" s="189"/>
      <c r="V233" s="1726"/>
      <c r="W233" s="189"/>
      <c r="X233" s="1726"/>
      <c r="AG233" s="1726"/>
      <c r="AH233" s="1726"/>
      <c r="AI233" s="1726"/>
      <c r="AJ233" s="1726"/>
      <c r="AQ233" s="1726"/>
      <c r="AR233" s="1726"/>
    </row>
    <row r="234" spans="19:50" x14ac:dyDescent="0.25">
      <c r="S234" s="189"/>
      <c r="T234" s="1726"/>
      <c r="U234" s="189"/>
      <c r="V234" s="1726"/>
      <c r="W234" s="189"/>
      <c r="X234" s="1726"/>
      <c r="AG234" s="1726"/>
      <c r="AH234" s="1726"/>
      <c r="AI234" s="1726"/>
      <c r="AJ234" s="1726"/>
      <c r="AQ234" s="1726"/>
      <c r="AR234" s="1726"/>
    </row>
    <row r="235" spans="19:50" x14ac:dyDescent="0.25">
      <c r="S235" s="189"/>
      <c r="T235" s="1726"/>
      <c r="U235" s="189"/>
      <c r="V235" s="1726"/>
      <c r="W235" s="189"/>
      <c r="X235" s="1726"/>
      <c r="AG235" s="1726"/>
      <c r="AH235" s="1726"/>
      <c r="AI235" s="1726"/>
      <c r="AJ235" s="1726"/>
      <c r="AQ235" s="1726"/>
      <c r="AR235" s="1726"/>
    </row>
    <row r="236" spans="19:50" x14ac:dyDescent="0.25">
      <c r="S236" s="189"/>
      <c r="T236" s="1726"/>
      <c r="U236" s="189"/>
      <c r="V236" s="1726"/>
      <c r="W236" s="189"/>
      <c r="X236" s="1726"/>
      <c r="AG236" s="1726"/>
      <c r="AH236" s="1726"/>
      <c r="AI236" s="1726"/>
      <c r="AJ236" s="1726"/>
      <c r="AQ236" s="1726"/>
      <c r="AR236" s="1726"/>
    </row>
    <row r="237" spans="19:50" x14ac:dyDescent="0.25">
      <c r="S237" s="189"/>
      <c r="T237" s="1726"/>
      <c r="U237" s="189"/>
      <c r="V237" s="1726"/>
      <c r="W237" s="189"/>
      <c r="X237" s="1726"/>
      <c r="AG237" s="1726"/>
      <c r="AH237" s="1726"/>
      <c r="AI237" s="1726"/>
      <c r="AJ237" s="1726"/>
      <c r="AQ237" s="1726"/>
      <c r="AR237" s="1726"/>
    </row>
    <row r="238" spans="19:50" x14ac:dyDescent="0.25">
      <c r="S238" s="189"/>
      <c r="T238" s="1726"/>
      <c r="U238" s="189"/>
      <c r="V238" s="1726"/>
      <c r="W238" s="189"/>
      <c r="X238" s="1726"/>
      <c r="AG238" s="1726"/>
      <c r="AH238" s="1726"/>
      <c r="AI238" s="1726"/>
      <c r="AJ238" s="1726"/>
      <c r="AQ238" s="1726"/>
      <c r="AR238" s="1726"/>
    </row>
    <row r="239" spans="19:50" x14ac:dyDescent="0.25">
      <c r="S239" s="189"/>
      <c r="T239" s="1726"/>
      <c r="U239" s="189"/>
      <c r="V239" s="1726"/>
      <c r="W239" s="189"/>
      <c r="X239" s="1726"/>
      <c r="AG239" s="1726"/>
      <c r="AH239" s="1726"/>
      <c r="AI239" s="1726"/>
      <c r="AJ239" s="1726"/>
      <c r="AQ239" s="1726"/>
      <c r="AR239" s="1726"/>
    </row>
    <row r="240" spans="19:50" x14ac:dyDescent="0.25">
      <c r="S240" s="189"/>
      <c r="T240" s="1726"/>
      <c r="U240" s="189"/>
      <c r="V240" s="1726"/>
      <c r="W240" s="189"/>
      <c r="X240" s="1726"/>
      <c r="AG240" s="1726"/>
      <c r="AH240" s="1726"/>
      <c r="AI240" s="1726"/>
      <c r="AJ240" s="1726"/>
      <c r="AQ240" s="1726"/>
      <c r="AR240" s="1726"/>
    </row>
    <row r="241" spans="19:44" x14ac:dyDescent="0.25">
      <c r="S241" s="189"/>
      <c r="T241" s="1726"/>
      <c r="U241" s="189"/>
      <c r="V241" s="1726"/>
      <c r="W241" s="189"/>
      <c r="X241" s="1726"/>
      <c r="AG241" s="1726"/>
      <c r="AH241" s="1726"/>
      <c r="AI241" s="1726"/>
      <c r="AJ241" s="1726"/>
      <c r="AQ241" s="1726"/>
      <c r="AR241" s="1726"/>
    </row>
    <row r="242" spans="19:44" x14ac:dyDescent="0.25">
      <c r="S242" s="189"/>
      <c r="T242" s="1726"/>
      <c r="U242" s="189"/>
      <c r="V242" s="1726"/>
      <c r="W242" s="189"/>
      <c r="X242" s="1726"/>
      <c r="AG242" s="1726"/>
      <c r="AH242" s="1726"/>
      <c r="AI242" s="1726"/>
      <c r="AJ242" s="1726"/>
      <c r="AQ242" s="1726"/>
      <c r="AR242" s="1726"/>
    </row>
    <row r="243" spans="19:44" x14ac:dyDescent="0.25">
      <c r="S243" s="189"/>
      <c r="T243" s="1726"/>
      <c r="U243" s="189"/>
      <c r="V243" s="1726"/>
      <c r="W243" s="189"/>
      <c r="X243" s="1726"/>
      <c r="AG243" s="1726"/>
      <c r="AH243" s="1726"/>
      <c r="AI243" s="1726"/>
      <c r="AJ243" s="1726"/>
      <c r="AQ243" s="1726"/>
      <c r="AR243" s="1726"/>
    </row>
    <row r="244" spans="19:44" x14ac:dyDescent="0.25">
      <c r="S244" s="189"/>
      <c r="T244" s="1726"/>
      <c r="U244" s="189"/>
      <c r="V244" s="1726"/>
      <c r="W244" s="189"/>
      <c r="X244" s="1726"/>
      <c r="AG244" s="1726"/>
      <c r="AH244" s="1726"/>
      <c r="AI244" s="1726"/>
      <c r="AJ244" s="1726"/>
      <c r="AQ244" s="1726"/>
      <c r="AR244" s="1726"/>
    </row>
    <row r="245" spans="19:44" x14ac:dyDescent="0.25">
      <c r="S245" s="189"/>
      <c r="T245" s="1726"/>
      <c r="U245" s="189"/>
      <c r="V245" s="1726"/>
      <c r="W245" s="189"/>
      <c r="X245" s="1726"/>
      <c r="AG245" s="1726"/>
      <c r="AH245" s="1726"/>
      <c r="AI245" s="1726"/>
      <c r="AJ245" s="1726"/>
      <c r="AQ245" s="1726"/>
      <c r="AR245" s="1726"/>
    </row>
    <row r="246" spans="19:44" x14ac:dyDescent="0.25">
      <c r="S246" s="189"/>
      <c r="T246" s="1726"/>
      <c r="U246" s="189"/>
      <c r="V246" s="1726"/>
      <c r="W246" s="189"/>
      <c r="X246" s="1726"/>
      <c r="AG246" s="1726"/>
      <c r="AH246" s="1726"/>
      <c r="AI246" s="1726"/>
      <c r="AJ246" s="1726"/>
    </row>
    <row r="247" spans="19:44" x14ac:dyDescent="0.25">
      <c r="S247" s="189"/>
      <c r="T247" s="1726"/>
      <c r="U247" s="189"/>
      <c r="V247" s="1726"/>
      <c r="W247" s="189"/>
      <c r="X247" s="1726"/>
      <c r="AG247" s="1726"/>
      <c r="AH247" s="1726"/>
      <c r="AI247" s="1726"/>
      <c r="AJ247" s="1726"/>
    </row>
    <row r="248" spans="19:44" x14ac:dyDescent="0.25">
      <c r="S248" s="189"/>
      <c r="T248" s="1726"/>
      <c r="U248" s="189"/>
      <c r="V248" s="1726"/>
      <c r="W248" s="189"/>
      <c r="X248" s="1726"/>
      <c r="AG248" s="1726"/>
      <c r="AH248" s="1726"/>
      <c r="AI248" s="1726"/>
      <c r="AJ248" s="1726"/>
    </row>
    <row r="249" spans="19:44" x14ac:dyDescent="0.25">
      <c r="S249" s="189"/>
      <c r="T249" s="1726"/>
      <c r="U249" s="189"/>
      <c r="V249" s="1726"/>
      <c r="W249" s="189"/>
      <c r="X249" s="1726"/>
      <c r="AG249" s="1726"/>
      <c r="AH249" s="1726"/>
      <c r="AI249" s="1726"/>
      <c r="AJ249" s="1726"/>
    </row>
    <row r="250" spans="19:44" x14ac:dyDescent="0.25">
      <c r="S250" s="189"/>
      <c r="T250" s="1726"/>
      <c r="U250" s="189"/>
      <c r="V250" s="1726"/>
      <c r="W250" s="189"/>
      <c r="X250" s="1726"/>
      <c r="AG250" s="1726"/>
      <c r="AH250" s="1726"/>
      <c r="AI250" s="1726"/>
      <c r="AJ250" s="1726"/>
    </row>
    <row r="251" spans="19:44" x14ac:dyDescent="0.25">
      <c r="S251" s="189"/>
      <c r="T251" s="1726"/>
      <c r="U251" s="189"/>
      <c r="V251" s="1726"/>
      <c r="W251" s="189"/>
      <c r="X251" s="1726"/>
      <c r="AG251" s="1726"/>
      <c r="AH251" s="1726"/>
      <c r="AI251" s="1726"/>
      <c r="AJ251" s="1726"/>
    </row>
    <row r="252" spans="19:44" x14ac:dyDescent="0.25">
      <c r="S252" s="189"/>
      <c r="T252" s="1726"/>
      <c r="U252" s="189"/>
      <c r="V252" s="1726"/>
      <c r="W252" s="189"/>
      <c r="X252" s="1726"/>
      <c r="AG252" s="1726"/>
      <c r="AH252" s="1726"/>
      <c r="AI252" s="1726"/>
      <c r="AJ252" s="1726"/>
    </row>
    <row r="253" spans="19:44" x14ac:dyDescent="0.25">
      <c r="S253" s="189"/>
      <c r="T253" s="1726"/>
      <c r="U253" s="189"/>
      <c r="V253" s="1726"/>
      <c r="W253" s="189"/>
      <c r="X253" s="1726"/>
      <c r="AG253" s="1726"/>
      <c r="AH253" s="1726"/>
      <c r="AI253" s="1726"/>
      <c r="AJ253" s="1726"/>
    </row>
    <row r="254" spans="19:44" x14ac:dyDescent="0.25">
      <c r="S254" s="189"/>
      <c r="T254" s="1726"/>
      <c r="U254" s="189"/>
      <c r="V254" s="1726"/>
      <c r="W254" s="189"/>
      <c r="X254" s="1726"/>
      <c r="AG254" s="1726"/>
      <c r="AH254" s="1726"/>
      <c r="AI254" s="1726"/>
      <c r="AJ254" s="1726"/>
    </row>
    <row r="255" spans="19:44" x14ac:dyDescent="0.25">
      <c r="S255" s="189"/>
      <c r="T255" s="1726"/>
      <c r="U255" s="189"/>
      <c r="V255" s="1726"/>
      <c r="W255" s="189"/>
      <c r="X255" s="1726"/>
      <c r="AG255" s="1726"/>
      <c r="AH255" s="1726"/>
      <c r="AI255" s="1726"/>
      <c r="AJ255" s="1726"/>
    </row>
    <row r="256" spans="19:44" x14ac:dyDescent="0.25">
      <c r="S256" s="189"/>
      <c r="T256" s="1726"/>
      <c r="U256" s="189"/>
      <c r="V256" s="1726"/>
      <c r="W256" s="189"/>
      <c r="X256" s="1726"/>
      <c r="AG256" s="1726"/>
      <c r="AH256" s="1726"/>
      <c r="AI256" s="1726"/>
      <c r="AJ256" s="1726"/>
    </row>
    <row r="257" spans="19:36" x14ac:dyDescent="0.25">
      <c r="S257" s="189"/>
      <c r="T257" s="1726"/>
      <c r="U257" s="189"/>
      <c r="V257" s="1726"/>
      <c r="W257" s="189"/>
      <c r="X257" s="1726"/>
      <c r="AG257" s="1726"/>
      <c r="AH257" s="1726"/>
      <c r="AI257" s="1726"/>
      <c r="AJ257" s="1726"/>
    </row>
    <row r="258" spans="19:36" x14ac:dyDescent="0.25">
      <c r="S258" s="189"/>
      <c r="T258" s="1726"/>
      <c r="U258" s="189"/>
      <c r="V258" s="1726"/>
      <c r="W258" s="189"/>
      <c r="X258" s="1726"/>
      <c r="AG258" s="1726"/>
      <c r="AH258" s="1726"/>
      <c r="AI258" s="1726"/>
      <c r="AJ258" s="1726"/>
    </row>
    <row r="259" spans="19:36" x14ac:dyDescent="0.25">
      <c r="S259" s="189"/>
      <c r="T259" s="1726"/>
      <c r="U259" s="189"/>
      <c r="V259" s="1726"/>
      <c r="W259" s="189"/>
      <c r="X259" s="1726"/>
      <c r="AG259" s="1726"/>
      <c r="AH259" s="1726"/>
      <c r="AI259" s="1726"/>
      <c r="AJ259" s="1726"/>
    </row>
    <row r="260" spans="19:36" x14ac:dyDescent="0.25">
      <c r="S260" s="189"/>
      <c r="T260" s="1726"/>
      <c r="U260" s="189"/>
      <c r="V260" s="1726"/>
      <c r="W260" s="189"/>
      <c r="X260" s="1726"/>
      <c r="AG260" s="1726"/>
      <c r="AH260" s="1726"/>
      <c r="AI260" s="1726"/>
      <c r="AJ260" s="1726"/>
    </row>
    <row r="261" spans="19:36" x14ac:dyDescent="0.25">
      <c r="S261" s="189"/>
      <c r="T261" s="1726"/>
      <c r="U261" s="189"/>
      <c r="V261" s="1726"/>
      <c r="W261" s="189"/>
      <c r="X261" s="1726"/>
      <c r="AG261" s="1726"/>
      <c r="AH261" s="1726"/>
      <c r="AI261" s="1726"/>
      <c r="AJ261" s="1726"/>
    </row>
    <row r="262" spans="19:36" x14ac:dyDescent="0.25">
      <c r="S262" s="189"/>
      <c r="T262" s="1726"/>
      <c r="U262" s="189"/>
      <c r="V262" s="1726"/>
      <c r="W262" s="189"/>
      <c r="X262" s="1726"/>
      <c r="AG262" s="1726"/>
      <c r="AH262" s="1726"/>
      <c r="AI262" s="1726"/>
      <c r="AJ262" s="1726"/>
    </row>
    <row r="263" spans="19:36" x14ac:dyDescent="0.25">
      <c r="S263" s="189"/>
      <c r="T263" s="1726"/>
      <c r="U263" s="189"/>
      <c r="V263" s="1726"/>
      <c r="W263" s="189"/>
      <c r="X263" s="1726"/>
      <c r="AG263" s="1726"/>
      <c r="AH263" s="1726"/>
      <c r="AI263" s="1726"/>
      <c r="AJ263" s="1726"/>
    </row>
    <row r="264" spans="19:36" x14ac:dyDescent="0.25">
      <c r="S264" s="189"/>
      <c r="T264" s="1726"/>
      <c r="U264" s="189"/>
      <c r="V264" s="1726"/>
      <c r="W264" s="189"/>
      <c r="X264" s="1726"/>
      <c r="AG264" s="1726"/>
      <c r="AH264" s="1726"/>
      <c r="AI264" s="1726"/>
      <c r="AJ264" s="1726"/>
    </row>
    <row r="265" spans="19:36" x14ac:dyDescent="0.25">
      <c r="S265" s="189"/>
      <c r="T265" s="1726"/>
      <c r="U265" s="189"/>
      <c r="V265" s="1726"/>
      <c r="W265" s="189"/>
      <c r="X265" s="1726"/>
      <c r="AG265" s="1726"/>
      <c r="AH265" s="1726"/>
      <c r="AI265" s="1726"/>
      <c r="AJ265" s="1726"/>
    </row>
    <row r="266" spans="19:36" x14ac:dyDescent="0.25">
      <c r="S266" s="189"/>
      <c r="T266" s="1726"/>
      <c r="U266" s="189"/>
      <c r="V266" s="1726"/>
      <c r="W266" s="189"/>
      <c r="X266" s="1726"/>
      <c r="AG266" s="1726"/>
      <c r="AH266" s="1726"/>
      <c r="AI266" s="1726"/>
      <c r="AJ266" s="1726"/>
    </row>
    <row r="267" spans="19:36" x14ac:dyDescent="0.25">
      <c r="S267" s="189"/>
      <c r="T267" s="1726"/>
      <c r="U267" s="189"/>
      <c r="V267" s="1726"/>
      <c r="W267" s="189"/>
      <c r="X267" s="1726"/>
      <c r="AG267" s="1726"/>
      <c r="AH267" s="1726"/>
      <c r="AI267" s="1726"/>
      <c r="AJ267" s="1726"/>
    </row>
    <row r="268" spans="19:36" x14ac:dyDescent="0.25">
      <c r="S268" s="189"/>
      <c r="T268" s="1726"/>
      <c r="U268" s="189"/>
      <c r="V268" s="1726"/>
      <c r="W268" s="189"/>
      <c r="X268" s="1726"/>
      <c r="AG268" s="1726"/>
      <c r="AH268" s="1726"/>
      <c r="AI268" s="1726"/>
      <c r="AJ268" s="1726"/>
    </row>
    <row r="269" spans="19:36" x14ac:dyDescent="0.25">
      <c r="S269" s="189"/>
      <c r="T269" s="1726"/>
      <c r="U269" s="189"/>
      <c r="V269" s="1726"/>
      <c r="W269" s="189"/>
      <c r="X269" s="1726"/>
      <c r="AG269" s="1726"/>
      <c r="AH269" s="1726"/>
      <c r="AI269" s="1726"/>
      <c r="AJ269" s="1726"/>
    </row>
    <row r="270" spans="19:36" x14ac:dyDescent="0.25">
      <c r="S270" s="189"/>
      <c r="T270" s="1726"/>
      <c r="U270" s="189"/>
      <c r="V270" s="1726"/>
      <c r="W270" s="189"/>
      <c r="X270" s="1726"/>
      <c r="AG270" s="1726"/>
      <c r="AH270" s="1726"/>
      <c r="AI270" s="1726"/>
      <c r="AJ270" s="1726"/>
    </row>
    <row r="271" spans="19:36" x14ac:dyDescent="0.25">
      <c r="S271" s="189"/>
      <c r="T271" s="1726"/>
      <c r="U271" s="189"/>
      <c r="V271" s="1726"/>
      <c r="W271" s="189"/>
      <c r="X271" s="1726"/>
      <c r="AG271" s="1726"/>
      <c r="AH271" s="1726"/>
      <c r="AI271" s="1726"/>
      <c r="AJ271" s="1726"/>
    </row>
    <row r="272" spans="19:36" x14ac:dyDescent="0.25">
      <c r="S272" s="189"/>
      <c r="T272" s="1726"/>
      <c r="U272" s="189"/>
      <c r="V272" s="1726"/>
      <c r="W272" s="189"/>
      <c r="X272" s="1726"/>
    </row>
    <row r="273" spans="19:24" x14ac:dyDescent="0.25">
      <c r="S273" s="189"/>
      <c r="T273" s="1726"/>
      <c r="U273" s="189"/>
      <c r="V273" s="1726"/>
      <c r="W273" s="189"/>
      <c r="X273" s="1726"/>
    </row>
    <row r="274" spans="19:24" x14ac:dyDescent="0.25">
      <c r="S274" s="189"/>
      <c r="T274" s="1726"/>
      <c r="U274" s="189"/>
      <c r="V274" s="1726"/>
      <c r="W274" s="189"/>
      <c r="X274" s="1726"/>
    </row>
    <row r="275" spans="19:24" x14ac:dyDescent="0.25">
      <c r="S275" s="189"/>
      <c r="T275" s="1726"/>
      <c r="U275" s="189"/>
      <c r="V275" s="1726"/>
      <c r="W275" s="189"/>
      <c r="X275" s="1726"/>
    </row>
    <row r="276" spans="19:24" x14ac:dyDescent="0.25">
      <c r="S276" s="189"/>
      <c r="T276" s="1726"/>
      <c r="U276" s="189"/>
      <c r="V276" s="1726"/>
      <c r="W276" s="189"/>
      <c r="X276" s="1726"/>
    </row>
    <row r="277" spans="19:24" x14ac:dyDescent="0.25">
      <c r="S277" s="189"/>
      <c r="T277" s="1726"/>
      <c r="U277" s="189"/>
      <c r="V277" s="1726"/>
      <c r="W277" s="189"/>
      <c r="X277" s="1726"/>
    </row>
    <row r="278" spans="19:24" x14ac:dyDescent="0.25">
      <c r="S278" s="189"/>
      <c r="T278" s="1726"/>
      <c r="U278" s="189"/>
      <c r="V278" s="1726"/>
      <c r="W278" s="189"/>
      <c r="X278" s="1726"/>
    </row>
    <row r="279" spans="19:24" x14ac:dyDescent="0.25">
      <c r="S279" s="189"/>
      <c r="T279" s="1726"/>
      <c r="U279" s="189"/>
      <c r="V279" s="1726"/>
      <c r="W279" s="189"/>
      <c r="X279" s="1726"/>
    </row>
    <row r="280" spans="19:24" x14ac:dyDescent="0.25">
      <c r="S280" s="189"/>
      <c r="T280" s="1726"/>
      <c r="U280" s="189"/>
      <c r="V280" s="1726"/>
      <c r="W280" s="189"/>
      <c r="X280" s="1726"/>
    </row>
    <row r="281" spans="19:24" x14ac:dyDescent="0.25">
      <c r="S281" s="189"/>
      <c r="T281" s="1726"/>
      <c r="U281" s="189"/>
      <c r="V281" s="1726"/>
      <c r="W281" s="189"/>
      <c r="X281" s="1726"/>
    </row>
    <row r="282" spans="19:24" x14ac:dyDescent="0.25">
      <c r="S282" s="189"/>
      <c r="T282" s="1726"/>
      <c r="U282" s="189"/>
      <c r="V282" s="1726"/>
      <c r="W282" s="189"/>
      <c r="X282" s="1726"/>
    </row>
    <row r="283" spans="19:24" x14ac:dyDescent="0.25">
      <c r="S283" s="189"/>
      <c r="T283" s="1726"/>
      <c r="U283" s="189"/>
      <c r="V283" s="1726"/>
      <c r="W283" s="189"/>
      <c r="X283" s="1726"/>
    </row>
    <row r="284" spans="19:24" x14ac:dyDescent="0.25">
      <c r="S284" s="189"/>
      <c r="T284" s="1726"/>
      <c r="U284" s="189"/>
      <c r="V284" s="1726"/>
      <c r="W284" s="189"/>
      <c r="X284" s="1726"/>
    </row>
    <row r="285" spans="19:24" x14ac:dyDescent="0.25">
      <c r="S285" s="189"/>
      <c r="T285" s="1726"/>
      <c r="U285" s="189"/>
      <c r="V285" s="1726"/>
      <c r="W285" s="189"/>
      <c r="X285" s="1726"/>
    </row>
    <row r="286" spans="19:24" x14ac:dyDescent="0.25">
      <c r="S286" s="189"/>
      <c r="T286" s="1726"/>
      <c r="U286" s="189"/>
      <c r="V286" s="1726"/>
      <c r="W286" s="189"/>
      <c r="X286" s="1726"/>
    </row>
    <row r="287" spans="19:24" x14ac:dyDescent="0.25">
      <c r="S287" s="189"/>
      <c r="T287" s="1726"/>
      <c r="U287" s="189"/>
      <c r="V287" s="1726"/>
      <c r="W287" s="189"/>
      <c r="X287" s="1726"/>
    </row>
    <row r="288" spans="19:24" x14ac:dyDescent="0.25">
      <c r="S288" s="189"/>
      <c r="T288" s="1726"/>
      <c r="U288" s="189"/>
      <c r="V288" s="1726"/>
      <c r="W288" s="189"/>
      <c r="X288" s="1726"/>
    </row>
    <row r="289" spans="19:24" x14ac:dyDescent="0.25">
      <c r="S289" s="189"/>
      <c r="T289" s="1726"/>
      <c r="U289" s="189"/>
      <c r="V289" s="1726"/>
      <c r="W289" s="189"/>
      <c r="X289" s="1726"/>
    </row>
    <row r="290" spans="19:24" x14ac:dyDescent="0.25">
      <c r="S290" s="189"/>
      <c r="T290" s="1726"/>
      <c r="U290" s="189"/>
      <c r="V290" s="1726"/>
      <c r="W290" s="189"/>
      <c r="X290" s="1726"/>
    </row>
    <row r="291" spans="19:24" x14ac:dyDescent="0.25">
      <c r="S291" s="189"/>
      <c r="T291" s="1726"/>
      <c r="U291" s="189"/>
      <c r="V291" s="1726"/>
      <c r="W291" s="189"/>
      <c r="X291" s="1726"/>
    </row>
    <row r="292" spans="19:24" x14ac:dyDescent="0.25">
      <c r="S292" s="189"/>
      <c r="T292" s="1726"/>
      <c r="U292" s="189"/>
      <c r="V292" s="1726"/>
      <c r="W292" s="189"/>
      <c r="X292" s="1726"/>
    </row>
    <row r="293" spans="19:24" x14ac:dyDescent="0.25">
      <c r="S293" s="189"/>
      <c r="T293" s="1726"/>
      <c r="U293" s="189"/>
      <c r="V293" s="1726"/>
      <c r="W293" s="189"/>
      <c r="X293" s="1726"/>
    </row>
    <row r="294" spans="19:24" x14ac:dyDescent="0.25">
      <c r="S294" s="189"/>
      <c r="T294" s="1726"/>
      <c r="U294" s="189"/>
      <c r="V294" s="1726"/>
      <c r="W294" s="189"/>
      <c r="X294" s="1726"/>
    </row>
    <row r="295" spans="19:24" x14ac:dyDescent="0.25">
      <c r="S295" s="189"/>
      <c r="T295" s="1726"/>
      <c r="U295" s="189"/>
      <c r="V295" s="1726"/>
      <c r="W295" s="189"/>
      <c r="X295" s="1726"/>
    </row>
    <row r="296" spans="19:24" x14ac:dyDescent="0.25">
      <c r="S296" s="189"/>
      <c r="T296" s="1726"/>
      <c r="U296" s="189"/>
      <c r="V296" s="1726"/>
      <c r="W296" s="189"/>
      <c r="X296" s="1726"/>
    </row>
    <row r="297" spans="19:24" x14ac:dyDescent="0.25">
      <c r="S297" s="189"/>
      <c r="T297" s="1726"/>
      <c r="U297" s="189"/>
      <c r="V297" s="1726"/>
      <c r="W297" s="189"/>
      <c r="X297" s="1726"/>
    </row>
    <row r="298" spans="19:24" x14ac:dyDescent="0.25">
      <c r="S298" s="189"/>
      <c r="T298" s="1726"/>
      <c r="U298" s="189"/>
      <c r="V298" s="1726"/>
      <c r="W298" s="189"/>
      <c r="X298" s="1726"/>
    </row>
    <row r="299" spans="19:24" x14ac:dyDescent="0.25">
      <c r="S299" s="189"/>
      <c r="T299" s="1726"/>
      <c r="U299" s="189"/>
      <c r="V299" s="1726"/>
      <c r="W299" s="189"/>
      <c r="X299" s="1726"/>
    </row>
    <row r="300" spans="19:24" x14ac:dyDescent="0.25">
      <c r="S300" s="189"/>
      <c r="T300" s="1726"/>
      <c r="U300" s="189"/>
      <c r="V300" s="1726"/>
      <c r="W300" s="189"/>
      <c r="X300" s="1726"/>
    </row>
    <row r="301" spans="19:24" x14ac:dyDescent="0.25">
      <c r="S301" s="189"/>
      <c r="T301" s="1726"/>
      <c r="U301" s="189"/>
      <c r="V301" s="1726"/>
      <c r="W301" s="189"/>
      <c r="X301" s="1726"/>
    </row>
    <row r="302" spans="19:24" x14ac:dyDescent="0.25">
      <c r="S302" s="189"/>
      <c r="T302" s="1726"/>
      <c r="U302" s="189"/>
      <c r="V302" s="1726"/>
      <c r="W302" s="189"/>
      <c r="X302" s="1726"/>
    </row>
    <row r="303" spans="19:24" x14ac:dyDescent="0.25">
      <c r="S303" s="189"/>
      <c r="T303" s="1726"/>
      <c r="U303" s="189"/>
      <c r="V303" s="1726"/>
      <c r="W303" s="189"/>
      <c r="X303" s="1726"/>
    </row>
    <row r="304" spans="19:24" x14ac:dyDescent="0.25">
      <c r="S304" s="189"/>
      <c r="T304" s="1726"/>
      <c r="U304" s="189"/>
      <c r="V304" s="1726"/>
      <c r="W304" s="189"/>
      <c r="X304" s="1726"/>
    </row>
    <row r="305" spans="19:24" x14ac:dyDescent="0.25">
      <c r="S305" s="189"/>
      <c r="T305" s="1726"/>
      <c r="U305" s="189"/>
      <c r="V305" s="1726"/>
      <c r="W305" s="189"/>
      <c r="X305" s="1726"/>
    </row>
    <row r="306" spans="19:24" x14ac:dyDescent="0.25">
      <c r="S306" s="189"/>
      <c r="T306" s="1726"/>
      <c r="U306" s="189"/>
      <c r="V306" s="1726"/>
      <c r="W306" s="189"/>
      <c r="X306" s="1726"/>
    </row>
    <row r="307" spans="19:24" x14ac:dyDescent="0.25">
      <c r="S307" s="189"/>
      <c r="T307" s="1726"/>
      <c r="U307" s="189"/>
      <c r="V307" s="1726"/>
      <c r="W307" s="189"/>
      <c r="X307" s="1726"/>
    </row>
    <row r="308" spans="19:24" x14ac:dyDescent="0.25">
      <c r="S308" s="189"/>
      <c r="T308" s="1726"/>
      <c r="U308" s="189"/>
      <c r="V308" s="1726"/>
      <c r="W308" s="189"/>
      <c r="X308" s="1726"/>
    </row>
    <row r="309" spans="19:24" x14ac:dyDescent="0.25">
      <c r="S309" s="189"/>
      <c r="T309" s="1726"/>
      <c r="U309" s="189"/>
      <c r="V309" s="1726"/>
      <c r="W309" s="189"/>
      <c r="X309" s="1726"/>
    </row>
    <row r="310" spans="19:24" x14ac:dyDescent="0.25">
      <c r="S310" s="189"/>
      <c r="T310" s="1726"/>
      <c r="U310" s="189"/>
      <c r="V310" s="1726"/>
      <c r="W310" s="189"/>
      <c r="X310" s="1726"/>
    </row>
    <row r="311" spans="19:24" x14ac:dyDescent="0.25">
      <c r="S311" s="189"/>
      <c r="T311" s="1726"/>
      <c r="U311" s="189"/>
      <c r="V311" s="1726"/>
      <c r="W311" s="189"/>
      <c r="X311" s="1726"/>
    </row>
    <row r="312" spans="19:24" x14ac:dyDescent="0.25">
      <c r="S312" s="189"/>
      <c r="T312" s="1726"/>
      <c r="U312" s="189"/>
      <c r="V312" s="1726"/>
      <c r="W312" s="189"/>
      <c r="X312" s="1726"/>
    </row>
    <row r="313" spans="19:24" x14ac:dyDescent="0.25">
      <c r="S313" s="189"/>
      <c r="T313" s="1726"/>
      <c r="U313" s="189"/>
      <c r="V313" s="1726"/>
      <c r="W313" s="189"/>
      <c r="X313" s="1726"/>
    </row>
    <row r="314" spans="19:24" x14ac:dyDescent="0.25">
      <c r="S314" s="189"/>
      <c r="T314" s="1726"/>
      <c r="U314" s="189"/>
      <c r="V314" s="1726"/>
      <c r="W314" s="189"/>
      <c r="X314" s="1726"/>
    </row>
    <row r="315" spans="19:24" x14ac:dyDescent="0.25">
      <c r="S315" s="189"/>
      <c r="T315" s="1726"/>
      <c r="U315" s="189"/>
      <c r="V315" s="1726"/>
      <c r="W315" s="189"/>
      <c r="X315" s="1726"/>
    </row>
    <row r="316" spans="19:24" x14ac:dyDescent="0.25">
      <c r="S316" s="189"/>
      <c r="T316" s="1726"/>
      <c r="U316" s="189"/>
      <c r="V316" s="1726"/>
      <c r="W316" s="189"/>
      <c r="X316" s="1726"/>
    </row>
    <row r="317" spans="19:24" x14ac:dyDescent="0.25">
      <c r="S317" s="189"/>
      <c r="T317" s="1726"/>
      <c r="U317" s="189"/>
      <c r="V317" s="1726"/>
      <c r="W317" s="189"/>
      <c r="X317" s="1726"/>
    </row>
    <row r="318" spans="19:24" x14ac:dyDescent="0.25">
      <c r="S318" s="189"/>
      <c r="T318" s="1726"/>
      <c r="U318" s="189"/>
      <c r="V318" s="1726"/>
      <c r="W318" s="189"/>
      <c r="X318" s="1726"/>
    </row>
    <row r="319" spans="19:24" x14ac:dyDescent="0.25">
      <c r="S319" s="189"/>
      <c r="T319" s="1726"/>
      <c r="U319" s="189"/>
      <c r="V319" s="1726"/>
      <c r="W319" s="189"/>
      <c r="X319" s="1726"/>
    </row>
    <row r="320" spans="19:24" x14ac:dyDescent="0.25">
      <c r="S320" s="189"/>
      <c r="T320" s="1726"/>
      <c r="U320" s="189"/>
      <c r="V320" s="1726"/>
      <c r="W320" s="189"/>
      <c r="X320" s="1726"/>
    </row>
    <row r="321" spans="19:24" x14ac:dyDescent="0.25">
      <c r="S321" s="189"/>
      <c r="T321" s="1726"/>
      <c r="U321" s="189"/>
      <c r="V321" s="1726"/>
      <c r="W321" s="189"/>
      <c r="X321" s="1726"/>
    </row>
    <row r="322" spans="19:24" x14ac:dyDescent="0.25">
      <c r="S322" s="189"/>
      <c r="T322" s="1726"/>
      <c r="U322" s="189"/>
      <c r="V322" s="1726"/>
      <c r="W322" s="189"/>
      <c r="X322" s="1726"/>
    </row>
    <row r="323" spans="19:24" x14ac:dyDescent="0.25">
      <c r="S323" s="189"/>
      <c r="T323" s="1726"/>
      <c r="U323" s="189"/>
      <c r="V323" s="1726"/>
      <c r="W323" s="189"/>
      <c r="X323" s="1726"/>
    </row>
    <row r="324" spans="19:24" x14ac:dyDescent="0.25">
      <c r="S324" s="189"/>
      <c r="T324" s="1726"/>
      <c r="U324" s="189"/>
      <c r="V324" s="1726"/>
      <c r="W324" s="189"/>
      <c r="X324" s="1726"/>
    </row>
    <row r="325" spans="19:24" x14ac:dyDescent="0.25">
      <c r="S325" s="189"/>
      <c r="T325" s="1726"/>
      <c r="U325" s="189"/>
      <c r="V325" s="1726"/>
      <c r="W325" s="189"/>
      <c r="X325" s="1726"/>
    </row>
    <row r="326" spans="19:24" x14ac:dyDescent="0.25">
      <c r="S326" s="189"/>
      <c r="T326" s="1726"/>
      <c r="U326" s="189"/>
      <c r="V326" s="1726"/>
      <c r="W326" s="189"/>
      <c r="X326" s="1726"/>
    </row>
    <row r="327" spans="19:24" x14ac:dyDescent="0.25">
      <c r="S327" s="189"/>
      <c r="T327" s="1726"/>
      <c r="U327" s="189"/>
      <c r="V327" s="1726"/>
      <c r="W327" s="189"/>
      <c r="X327" s="1726"/>
    </row>
    <row r="328" spans="19:24" x14ac:dyDescent="0.25">
      <c r="S328" s="189"/>
      <c r="T328" s="1726"/>
      <c r="U328" s="189"/>
      <c r="V328" s="1726"/>
      <c r="W328" s="189"/>
      <c r="X328" s="1726"/>
    </row>
    <row r="329" spans="19:24" x14ac:dyDescent="0.25">
      <c r="S329" s="189"/>
      <c r="T329" s="1726"/>
      <c r="U329" s="189"/>
      <c r="V329" s="1726"/>
      <c r="W329" s="189"/>
      <c r="X329" s="1726"/>
    </row>
    <row r="330" spans="19:24" x14ac:dyDescent="0.25">
      <c r="S330" s="189"/>
      <c r="T330" s="1726"/>
      <c r="U330" s="189"/>
      <c r="V330" s="1726"/>
      <c r="W330" s="189"/>
      <c r="X330" s="1726"/>
    </row>
    <row r="331" spans="19:24" x14ac:dyDescent="0.25">
      <c r="S331" s="189"/>
      <c r="T331" s="1726"/>
      <c r="U331" s="189"/>
      <c r="V331" s="1726"/>
      <c r="W331" s="189"/>
      <c r="X331" s="1726"/>
    </row>
    <row r="332" spans="19:24" x14ac:dyDescent="0.25">
      <c r="S332" s="189"/>
      <c r="T332" s="1726"/>
      <c r="U332" s="189"/>
      <c r="V332" s="1726"/>
      <c r="W332" s="189"/>
      <c r="X332" s="1726"/>
    </row>
    <row r="333" spans="19:24" x14ac:dyDescent="0.25">
      <c r="S333" s="189"/>
      <c r="T333" s="1726"/>
      <c r="U333" s="189"/>
      <c r="V333" s="1726"/>
      <c r="W333" s="189"/>
      <c r="X333" s="1726"/>
    </row>
    <row r="334" spans="19:24" x14ac:dyDescent="0.25">
      <c r="S334" s="189"/>
      <c r="T334" s="1726"/>
      <c r="U334" s="189"/>
      <c r="V334" s="1726"/>
      <c r="W334" s="189"/>
      <c r="X334" s="1726"/>
    </row>
    <row r="335" spans="19:24" x14ac:dyDescent="0.25">
      <c r="S335" s="189"/>
      <c r="T335" s="1726"/>
      <c r="U335" s="189"/>
      <c r="V335" s="1726"/>
      <c r="W335" s="189"/>
      <c r="X335" s="1726"/>
    </row>
    <row r="336" spans="19:24" x14ac:dyDescent="0.25">
      <c r="S336" s="189"/>
      <c r="T336" s="1726"/>
      <c r="U336" s="189"/>
      <c r="V336" s="1726"/>
      <c r="W336" s="189"/>
      <c r="X336" s="1726"/>
    </row>
    <row r="337" spans="19:24" x14ac:dyDescent="0.25">
      <c r="S337" s="189"/>
      <c r="T337" s="1726"/>
      <c r="U337" s="189"/>
      <c r="V337" s="1726"/>
      <c r="W337" s="189"/>
      <c r="X337" s="1726"/>
    </row>
    <row r="338" spans="19:24" x14ac:dyDescent="0.25">
      <c r="S338" s="189"/>
      <c r="T338" s="1726"/>
      <c r="U338" s="189"/>
      <c r="V338" s="1726"/>
      <c r="W338" s="189"/>
      <c r="X338" s="1726"/>
    </row>
    <row r="339" spans="19:24" x14ac:dyDescent="0.25">
      <c r="S339" s="189"/>
      <c r="T339" s="1726"/>
      <c r="U339" s="189"/>
      <c r="V339" s="1726"/>
      <c r="W339" s="189"/>
      <c r="X339" s="1726"/>
    </row>
    <row r="340" spans="19:24" x14ac:dyDescent="0.25">
      <c r="S340" s="189"/>
      <c r="T340" s="1726"/>
      <c r="U340" s="189"/>
      <c r="V340" s="1726"/>
      <c r="W340" s="189"/>
      <c r="X340" s="1726"/>
    </row>
    <row r="341" spans="19:24" x14ac:dyDescent="0.25">
      <c r="S341" s="189"/>
      <c r="T341" s="1726"/>
      <c r="U341" s="189"/>
      <c r="V341" s="1726"/>
      <c r="W341" s="189"/>
      <c r="X341" s="1726"/>
    </row>
    <row r="342" spans="19:24" x14ac:dyDescent="0.25">
      <c r="S342" s="189"/>
      <c r="T342" s="1726"/>
      <c r="U342" s="189"/>
      <c r="V342" s="1726"/>
      <c r="W342" s="189"/>
      <c r="X342" s="1726"/>
    </row>
    <row r="343" spans="19:24" x14ac:dyDescent="0.25">
      <c r="S343" s="189"/>
      <c r="T343" s="1726"/>
      <c r="U343" s="189"/>
      <c r="V343" s="1726"/>
      <c r="W343" s="189"/>
      <c r="X343" s="1726"/>
    </row>
    <row r="344" spans="19:24" x14ac:dyDescent="0.25">
      <c r="S344" s="189"/>
      <c r="T344" s="1726"/>
      <c r="U344" s="189"/>
      <c r="V344" s="1726"/>
      <c r="W344" s="189"/>
      <c r="X344" s="1726"/>
    </row>
    <row r="345" spans="19:24" x14ac:dyDescent="0.25">
      <c r="S345" s="189"/>
      <c r="T345" s="1726"/>
      <c r="U345" s="189"/>
      <c r="V345" s="1726"/>
      <c r="W345" s="189"/>
      <c r="X345" s="1726"/>
    </row>
    <row r="346" spans="19:24" x14ac:dyDescent="0.25">
      <c r="S346" s="189"/>
      <c r="T346" s="1726"/>
      <c r="U346" s="189"/>
      <c r="V346" s="1726"/>
      <c r="W346" s="189"/>
      <c r="X346" s="1726"/>
    </row>
    <row r="347" spans="19:24" x14ac:dyDescent="0.25">
      <c r="S347" s="189"/>
      <c r="T347" s="1726"/>
      <c r="U347" s="189"/>
      <c r="V347" s="1726"/>
      <c r="W347" s="189"/>
      <c r="X347" s="1726"/>
    </row>
    <row r="348" spans="19:24" x14ac:dyDescent="0.25">
      <c r="S348" s="189"/>
      <c r="T348" s="1726"/>
      <c r="U348" s="189"/>
      <c r="V348" s="1726"/>
      <c r="W348" s="189"/>
      <c r="X348" s="1726"/>
    </row>
    <row r="349" spans="19:24" x14ac:dyDescent="0.25">
      <c r="S349" s="189"/>
      <c r="T349" s="1726"/>
      <c r="U349" s="189"/>
      <c r="V349" s="1726"/>
      <c r="W349" s="189"/>
      <c r="X349" s="1726"/>
    </row>
    <row r="350" spans="19:24" x14ac:dyDescent="0.25">
      <c r="S350" s="189"/>
      <c r="T350" s="1726"/>
      <c r="U350" s="189"/>
      <c r="V350" s="1726"/>
      <c r="W350" s="189"/>
      <c r="X350" s="1726"/>
    </row>
    <row r="351" spans="19:24" x14ac:dyDescent="0.25">
      <c r="S351" s="189"/>
      <c r="T351" s="1726"/>
      <c r="U351" s="189"/>
      <c r="V351" s="1726"/>
      <c r="W351" s="189"/>
      <c r="X351" s="1726"/>
    </row>
    <row r="352" spans="19:24" x14ac:dyDescent="0.25">
      <c r="S352" s="189"/>
      <c r="T352" s="1726"/>
      <c r="U352" s="189"/>
      <c r="V352" s="1726"/>
      <c r="W352" s="189"/>
      <c r="X352" s="1726"/>
    </row>
    <row r="353" spans="19:24" x14ac:dyDescent="0.25">
      <c r="S353" s="189"/>
      <c r="T353" s="1726"/>
      <c r="U353" s="189"/>
      <c r="V353" s="1726"/>
      <c r="W353" s="189"/>
      <c r="X353" s="1726"/>
    </row>
    <row r="354" spans="19:24" x14ac:dyDescent="0.25">
      <c r="S354" s="189"/>
      <c r="T354" s="1726"/>
      <c r="U354" s="189"/>
      <c r="V354" s="1726"/>
      <c r="W354" s="189"/>
      <c r="X354" s="1726"/>
    </row>
    <row r="355" spans="19:24" x14ac:dyDescent="0.25">
      <c r="S355" s="189"/>
      <c r="T355" s="1726"/>
      <c r="U355" s="189"/>
      <c r="V355" s="1726"/>
    </row>
    <row r="356" spans="19:24" x14ac:dyDescent="0.25">
      <c r="S356" s="189"/>
      <c r="T356" s="1726"/>
      <c r="U356" s="189"/>
      <c r="V356" s="1726"/>
    </row>
    <row r="357" spans="19:24" x14ac:dyDescent="0.25">
      <c r="S357" s="189"/>
      <c r="T357" s="1726"/>
      <c r="U357" s="189"/>
      <c r="V357" s="1726"/>
    </row>
    <row r="358" spans="19:24" x14ac:dyDescent="0.25">
      <c r="S358" s="189"/>
      <c r="T358" s="1726"/>
      <c r="U358" s="189"/>
      <c r="V358" s="1726"/>
    </row>
    <row r="359" spans="19:24" x14ac:dyDescent="0.25">
      <c r="S359" s="189"/>
      <c r="T359" s="1726"/>
      <c r="U359" s="189"/>
      <c r="V359" s="1726"/>
    </row>
    <row r="360" spans="19:24" x14ac:dyDescent="0.25">
      <c r="S360" s="189"/>
      <c r="T360" s="1726"/>
      <c r="U360" s="189"/>
      <c r="V360" s="1726"/>
    </row>
    <row r="361" spans="19:24" x14ac:dyDescent="0.25">
      <c r="S361" s="189"/>
      <c r="T361" s="1726"/>
      <c r="U361" s="189"/>
      <c r="V361" s="1726"/>
    </row>
    <row r="362" spans="19:24" x14ac:dyDescent="0.25">
      <c r="S362" s="189"/>
      <c r="T362" s="1726"/>
      <c r="U362" s="189"/>
      <c r="V362" s="1726"/>
    </row>
    <row r="363" spans="19:24" x14ac:dyDescent="0.25">
      <c r="S363" s="189"/>
      <c r="T363" s="1726"/>
      <c r="U363" s="189"/>
      <c r="V363" s="1726"/>
    </row>
    <row r="364" spans="19:24" x14ac:dyDescent="0.25">
      <c r="S364" s="189"/>
      <c r="T364" s="1726"/>
      <c r="U364" s="189"/>
      <c r="V364" s="1726"/>
    </row>
    <row r="365" spans="19:24" x14ac:dyDescent="0.25">
      <c r="S365" s="189"/>
      <c r="T365" s="1726"/>
      <c r="U365" s="189"/>
      <c r="V365" s="1726"/>
    </row>
    <row r="366" spans="19:24" x14ac:dyDescent="0.25">
      <c r="S366" s="189"/>
      <c r="T366" s="1726"/>
      <c r="U366" s="189"/>
      <c r="V366" s="1726"/>
    </row>
    <row r="367" spans="19:24" x14ac:dyDescent="0.25">
      <c r="S367" s="189"/>
      <c r="T367" s="1726"/>
      <c r="U367" s="189"/>
      <c r="V367" s="1726"/>
    </row>
    <row r="368" spans="19:24" x14ac:dyDescent="0.25">
      <c r="S368" s="189"/>
      <c r="T368" s="1726"/>
      <c r="U368" s="189"/>
      <c r="V368" s="1726"/>
    </row>
    <row r="369" spans="19:22" x14ac:dyDescent="0.25">
      <c r="S369" s="189"/>
      <c r="T369" s="1726"/>
      <c r="U369" s="189"/>
      <c r="V369" s="1726"/>
    </row>
    <row r="370" spans="19:22" x14ac:dyDescent="0.25">
      <c r="S370" s="189"/>
      <c r="T370" s="1726"/>
      <c r="U370" s="189"/>
      <c r="V370" s="1726"/>
    </row>
    <row r="371" spans="19:22" x14ac:dyDescent="0.25">
      <c r="S371" s="189"/>
      <c r="T371" s="1726"/>
      <c r="U371" s="189"/>
      <c r="V371" s="1726"/>
    </row>
    <row r="372" spans="19:22" x14ac:dyDescent="0.25">
      <c r="S372" s="189"/>
      <c r="T372" s="1726"/>
      <c r="U372" s="189"/>
      <c r="V372" s="1726"/>
    </row>
    <row r="373" spans="19:22" x14ac:dyDescent="0.25">
      <c r="S373" s="189"/>
      <c r="T373" s="1726"/>
      <c r="U373" s="189"/>
      <c r="V373" s="1726"/>
    </row>
    <row r="374" spans="19:22" x14ac:dyDescent="0.25">
      <c r="S374" s="189"/>
      <c r="T374" s="1726"/>
      <c r="U374" s="189"/>
      <c r="V374" s="1726"/>
    </row>
    <row r="375" spans="19:22" x14ac:dyDescent="0.25">
      <c r="S375" s="189"/>
      <c r="T375" s="1726"/>
      <c r="U375" s="189"/>
      <c r="V375" s="1726"/>
    </row>
    <row r="376" spans="19:22" x14ac:dyDescent="0.25">
      <c r="S376" s="189"/>
      <c r="T376" s="1726"/>
      <c r="U376" s="189"/>
      <c r="V376" s="1726"/>
    </row>
    <row r="377" spans="19:22" x14ac:dyDescent="0.25">
      <c r="S377" s="189"/>
      <c r="T377" s="1726"/>
      <c r="U377" s="189"/>
      <c r="V377" s="1726"/>
    </row>
    <row r="378" spans="19:22" x14ac:dyDescent="0.25">
      <c r="S378" s="189"/>
      <c r="T378" s="1726"/>
      <c r="U378" s="189"/>
      <c r="V378" s="1726"/>
    </row>
    <row r="379" spans="19:22" x14ac:dyDescent="0.25">
      <c r="S379" s="189"/>
      <c r="T379" s="1726"/>
      <c r="U379" s="189"/>
      <c r="V379" s="1726"/>
    </row>
    <row r="380" spans="19:22" x14ac:dyDescent="0.25">
      <c r="S380" s="189"/>
      <c r="T380" s="1726"/>
      <c r="U380" s="189"/>
      <c r="V380" s="1726"/>
    </row>
    <row r="381" spans="19:22" x14ac:dyDescent="0.25">
      <c r="S381" s="189"/>
      <c r="T381" s="1726"/>
      <c r="U381" s="189"/>
      <c r="V381" s="1726"/>
    </row>
    <row r="382" spans="19:22" x14ac:dyDescent="0.25">
      <c r="S382" s="189"/>
      <c r="T382" s="1726"/>
      <c r="U382" s="189"/>
      <c r="V382" s="1726"/>
    </row>
    <row r="383" spans="19:22" x14ac:dyDescent="0.25">
      <c r="S383" s="189"/>
      <c r="T383" s="1726"/>
      <c r="U383" s="189"/>
      <c r="V383" s="1726"/>
    </row>
    <row r="384" spans="19:22" x14ac:dyDescent="0.25">
      <c r="S384" s="189"/>
      <c r="T384" s="1726"/>
      <c r="U384" s="189"/>
      <c r="V384" s="1726"/>
    </row>
    <row r="385" spans="19:22" x14ac:dyDescent="0.25">
      <c r="S385" s="189"/>
      <c r="T385" s="1726"/>
      <c r="U385" s="189"/>
      <c r="V385" s="1726"/>
    </row>
    <row r="386" spans="19:22" x14ac:dyDescent="0.25">
      <c r="S386" s="189"/>
      <c r="T386" s="1726"/>
      <c r="U386" s="189"/>
      <c r="V386" s="1726"/>
    </row>
    <row r="387" spans="19:22" x14ac:dyDescent="0.25">
      <c r="S387" s="189"/>
      <c r="T387" s="1726"/>
      <c r="U387" s="189"/>
      <c r="V387" s="1726"/>
    </row>
    <row r="388" spans="19:22" x14ac:dyDescent="0.25">
      <c r="S388" s="189"/>
      <c r="T388" s="1726"/>
      <c r="U388" s="189"/>
      <c r="V388" s="1726"/>
    </row>
    <row r="389" spans="19:22" x14ac:dyDescent="0.25">
      <c r="S389" s="189"/>
      <c r="T389" s="1726"/>
      <c r="U389" s="189"/>
      <c r="V389" s="1726"/>
    </row>
    <row r="390" spans="19:22" x14ac:dyDescent="0.25">
      <c r="S390" s="189"/>
      <c r="T390" s="1726"/>
      <c r="U390" s="189"/>
      <c r="V390" s="1726"/>
    </row>
    <row r="391" spans="19:22" x14ac:dyDescent="0.25">
      <c r="S391" s="189"/>
      <c r="T391" s="1726"/>
      <c r="U391" s="189"/>
      <c r="V391" s="1726"/>
    </row>
    <row r="392" spans="19:22" x14ac:dyDescent="0.25">
      <c r="S392" s="189"/>
      <c r="T392" s="1726"/>
      <c r="U392" s="189"/>
      <c r="V392" s="1726"/>
    </row>
    <row r="393" spans="19:22" x14ac:dyDescent="0.25">
      <c r="S393" s="189"/>
      <c r="T393" s="1726"/>
      <c r="U393" s="189"/>
      <c r="V393" s="1726"/>
    </row>
    <row r="394" spans="19:22" x14ac:dyDescent="0.25">
      <c r="S394" s="189"/>
      <c r="T394" s="1726"/>
      <c r="U394" s="189"/>
      <c r="V394" s="1726"/>
    </row>
    <row r="395" spans="19:22" x14ac:dyDescent="0.25">
      <c r="S395" s="189"/>
      <c r="T395" s="1726"/>
      <c r="U395" s="189"/>
      <c r="V395" s="1726"/>
    </row>
    <row r="396" spans="19:22" x14ac:dyDescent="0.25">
      <c r="S396" s="189"/>
      <c r="T396" s="1726"/>
      <c r="U396" s="189"/>
      <c r="V396" s="1726"/>
    </row>
    <row r="397" spans="19:22" x14ac:dyDescent="0.25">
      <c r="S397" s="189"/>
      <c r="T397" s="1726"/>
      <c r="U397" s="189"/>
      <c r="V397" s="1726"/>
    </row>
    <row r="398" spans="19:22" x14ac:dyDescent="0.25">
      <c r="S398" s="189"/>
      <c r="T398" s="1726"/>
      <c r="U398" s="189"/>
      <c r="V398" s="1726"/>
    </row>
    <row r="399" spans="19:22" x14ac:dyDescent="0.25">
      <c r="S399" s="189"/>
      <c r="T399" s="1726"/>
      <c r="U399" s="189"/>
      <c r="V399" s="1726"/>
    </row>
    <row r="400" spans="19:22" x14ac:dyDescent="0.25">
      <c r="S400" s="189"/>
      <c r="T400" s="1726"/>
      <c r="U400" s="189"/>
      <c r="V400" s="1726"/>
    </row>
    <row r="401" spans="19:22" x14ac:dyDescent="0.25">
      <c r="S401" s="189"/>
      <c r="T401" s="1726"/>
      <c r="U401" s="189"/>
      <c r="V401" s="1726"/>
    </row>
    <row r="402" spans="19:22" x14ac:dyDescent="0.25">
      <c r="S402" s="189"/>
      <c r="T402" s="1726"/>
      <c r="U402" s="189"/>
      <c r="V402" s="1726"/>
    </row>
    <row r="403" spans="19:22" x14ac:dyDescent="0.25">
      <c r="S403" s="189"/>
      <c r="T403" s="1726"/>
      <c r="U403" s="189"/>
      <c r="V403" s="1726"/>
    </row>
    <row r="404" spans="19:22" x14ac:dyDescent="0.25">
      <c r="S404" s="189"/>
      <c r="T404" s="1726"/>
      <c r="U404" s="189"/>
      <c r="V404" s="1726"/>
    </row>
    <row r="405" spans="19:22" x14ac:dyDescent="0.25">
      <c r="S405" s="189"/>
      <c r="T405" s="1726"/>
      <c r="U405" s="189"/>
      <c r="V405" s="1726"/>
    </row>
    <row r="406" spans="19:22" x14ac:dyDescent="0.25">
      <c r="S406" s="189"/>
      <c r="T406" s="1726"/>
      <c r="U406" s="189"/>
      <c r="V406" s="1726"/>
    </row>
    <row r="407" spans="19:22" x14ac:dyDescent="0.25">
      <c r="S407" s="189"/>
      <c r="T407" s="1726"/>
      <c r="U407" s="189"/>
      <c r="V407" s="1726"/>
    </row>
    <row r="408" spans="19:22" x14ac:dyDescent="0.25">
      <c r="S408" s="189"/>
      <c r="T408" s="1726"/>
      <c r="U408" s="189"/>
      <c r="V408" s="1726"/>
    </row>
    <row r="409" spans="19:22" x14ac:dyDescent="0.25">
      <c r="S409" s="189"/>
      <c r="T409" s="1726"/>
      <c r="U409" s="189"/>
      <c r="V409" s="1726"/>
    </row>
    <row r="410" spans="19:22" x14ac:dyDescent="0.25">
      <c r="S410" s="189"/>
      <c r="T410" s="1726"/>
      <c r="U410" s="189"/>
      <c r="V410" s="1726"/>
    </row>
    <row r="411" spans="19:22" x14ac:dyDescent="0.25">
      <c r="S411" s="189"/>
      <c r="T411" s="1726"/>
      <c r="U411" s="189"/>
      <c r="V411" s="1726"/>
    </row>
    <row r="412" spans="19:22" x14ac:dyDescent="0.25">
      <c r="S412" s="189"/>
      <c r="T412" s="1726"/>
      <c r="U412" s="189"/>
      <c r="V412" s="1726"/>
    </row>
    <row r="413" spans="19:22" x14ac:dyDescent="0.25">
      <c r="S413" s="189"/>
      <c r="T413" s="1726"/>
      <c r="U413" s="189"/>
      <c r="V413" s="1726"/>
    </row>
    <row r="414" spans="19:22" x14ac:dyDescent="0.25">
      <c r="S414" s="189"/>
      <c r="T414" s="1726"/>
      <c r="U414" s="189"/>
      <c r="V414" s="1726"/>
    </row>
    <row r="415" spans="19:22" x14ac:dyDescent="0.25">
      <c r="S415" s="189"/>
      <c r="T415" s="1726"/>
      <c r="U415" s="189"/>
      <c r="V415" s="1726"/>
    </row>
    <row r="416" spans="19:22" x14ac:dyDescent="0.25">
      <c r="S416" s="189"/>
      <c r="T416" s="1726"/>
      <c r="U416" s="189"/>
      <c r="V416" s="1726"/>
    </row>
    <row r="417" spans="19:22" x14ac:dyDescent="0.25">
      <c r="S417" s="189"/>
      <c r="T417" s="1726"/>
      <c r="U417" s="189"/>
      <c r="V417" s="1726"/>
    </row>
    <row r="418" spans="19:22" x14ac:dyDescent="0.25">
      <c r="S418" s="189"/>
      <c r="T418" s="1726"/>
      <c r="U418" s="189"/>
      <c r="V418" s="1726"/>
    </row>
    <row r="419" spans="19:22" x14ac:dyDescent="0.25">
      <c r="S419" s="189"/>
      <c r="T419" s="1726"/>
      <c r="U419" s="189"/>
      <c r="V419" s="1726"/>
    </row>
    <row r="420" spans="19:22" x14ac:dyDescent="0.25">
      <c r="S420" s="189"/>
      <c r="T420" s="1726"/>
      <c r="U420" s="189"/>
      <c r="V420" s="1726"/>
    </row>
    <row r="421" spans="19:22" x14ac:dyDescent="0.25">
      <c r="S421" s="189"/>
      <c r="T421" s="1726"/>
      <c r="U421" s="189"/>
      <c r="V421" s="1726"/>
    </row>
    <row r="422" spans="19:22" x14ac:dyDescent="0.25">
      <c r="S422" s="189"/>
      <c r="T422" s="1726"/>
      <c r="U422" s="189"/>
      <c r="V422" s="1726"/>
    </row>
    <row r="423" spans="19:22" x14ac:dyDescent="0.25">
      <c r="S423" s="189"/>
      <c r="T423" s="1726"/>
      <c r="U423" s="189"/>
      <c r="V423" s="1726"/>
    </row>
    <row r="424" spans="19:22" x14ac:dyDescent="0.25">
      <c r="S424" s="189"/>
      <c r="T424" s="1726"/>
      <c r="U424" s="189"/>
      <c r="V424" s="1726"/>
    </row>
    <row r="425" spans="19:22" x14ac:dyDescent="0.25">
      <c r="S425" s="189"/>
      <c r="T425" s="1726"/>
      <c r="U425" s="189"/>
      <c r="V425" s="1726"/>
    </row>
    <row r="426" spans="19:22" x14ac:dyDescent="0.25">
      <c r="S426" s="189"/>
      <c r="T426" s="1726"/>
      <c r="U426" s="189"/>
      <c r="V426" s="1726"/>
    </row>
    <row r="427" spans="19:22" x14ac:dyDescent="0.25">
      <c r="S427" s="189"/>
      <c r="T427" s="1726"/>
      <c r="U427" s="189"/>
      <c r="V427" s="1726"/>
    </row>
    <row r="428" spans="19:22" x14ac:dyDescent="0.25">
      <c r="S428" s="189"/>
      <c r="T428" s="1726"/>
      <c r="U428" s="189"/>
      <c r="V428" s="1726"/>
    </row>
    <row r="429" spans="19:22" x14ac:dyDescent="0.25">
      <c r="S429" s="189"/>
      <c r="T429" s="1726"/>
      <c r="U429" s="189"/>
      <c r="V429" s="1726"/>
    </row>
    <row r="430" spans="19:22" x14ac:dyDescent="0.25">
      <c r="S430" s="189"/>
      <c r="T430" s="1726"/>
      <c r="U430" s="189"/>
      <c r="V430" s="1726"/>
    </row>
    <row r="431" spans="19:22" x14ac:dyDescent="0.25">
      <c r="S431" s="189"/>
      <c r="T431" s="1726"/>
      <c r="U431" s="189"/>
      <c r="V431" s="1726"/>
    </row>
    <row r="432" spans="19:22" x14ac:dyDescent="0.25">
      <c r="S432" s="189"/>
      <c r="T432" s="1726"/>
      <c r="U432" s="189"/>
      <c r="V432" s="1726"/>
    </row>
    <row r="433" spans="19:22" x14ac:dyDescent="0.25">
      <c r="S433" s="189"/>
      <c r="T433" s="1726"/>
      <c r="U433" s="189"/>
      <c r="V433" s="1726"/>
    </row>
    <row r="434" spans="19:22" x14ac:dyDescent="0.25">
      <c r="S434" s="189"/>
      <c r="T434" s="1726"/>
      <c r="U434" s="189"/>
      <c r="V434" s="1726"/>
    </row>
    <row r="435" spans="19:22" x14ac:dyDescent="0.25">
      <c r="S435" s="189"/>
      <c r="T435" s="1726"/>
      <c r="U435" s="189"/>
      <c r="V435" s="1726"/>
    </row>
    <row r="436" spans="19:22" x14ac:dyDescent="0.25">
      <c r="S436" s="189"/>
      <c r="T436" s="1726"/>
      <c r="U436" s="189"/>
      <c r="V436" s="1726"/>
    </row>
    <row r="437" spans="19:22" x14ac:dyDescent="0.25">
      <c r="S437" s="189"/>
      <c r="T437" s="1726"/>
      <c r="U437" s="189"/>
      <c r="V437" s="1726"/>
    </row>
    <row r="438" spans="19:22" x14ac:dyDescent="0.25">
      <c r="S438" s="189"/>
      <c r="T438" s="1726"/>
      <c r="U438" s="189"/>
      <c r="V438" s="1726"/>
    </row>
    <row r="439" spans="19:22" x14ac:dyDescent="0.25">
      <c r="S439" s="189"/>
      <c r="T439" s="1726"/>
      <c r="U439" s="189"/>
      <c r="V439" s="1726"/>
    </row>
    <row r="440" spans="19:22" x14ac:dyDescent="0.25">
      <c r="S440" s="189"/>
      <c r="T440" s="1726"/>
      <c r="U440" s="189"/>
      <c r="V440" s="1726"/>
    </row>
    <row r="441" spans="19:22" x14ac:dyDescent="0.25">
      <c r="S441" s="189"/>
      <c r="T441" s="1726"/>
      <c r="U441" s="189"/>
      <c r="V441" s="1726"/>
    </row>
    <row r="442" spans="19:22" x14ac:dyDescent="0.25">
      <c r="S442" s="189"/>
      <c r="T442" s="1726"/>
      <c r="U442" s="189"/>
      <c r="V442" s="1726"/>
    </row>
    <row r="443" spans="19:22" x14ac:dyDescent="0.25">
      <c r="S443" s="189"/>
      <c r="T443" s="1726"/>
      <c r="U443" s="189"/>
      <c r="V443" s="1726"/>
    </row>
    <row r="444" spans="19:22" x14ac:dyDescent="0.25">
      <c r="S444" s="189"/>
      <c r="T444" s="1726"/>
      <c r="U444" s="189"/>
      <c r="V444" s="1726"/>
    </row>
    <row r="445" spans="19:22" x14ac:dyDescent="0.25">
      <c r="S445" s="189"/>
      <c r="T445" s="1726"/>
      <c r="U445" s="189"/>
      <c r="V445" s="1726"/>
    </row>
    <row r="446" spans="19:22" x14ac:dyDescent="0.25">
      <c r="S446" s="189"/>
      <c r="T446" s="1726"/>
      <c r="U446" s="189"/>
      <c r="V446" s="1726"/>
    </row>
    <row r="447" spans="19:22" x14ac:dyDescent="0.25">
      <c r="S447" s="189"/>
      <c r="T447" s="1726"/>
      <c r="U447" s="189"/>
      <c r="V447" s="1726"/>
    </row>
    <row r="448" spans="19:22" x14ac:dyDescent="0.25">
      <c r="S448" s="189"/>
      <c r="T448" s="1726"/>
      <c r="U448" s="189"/>
      <c r="V448" s="1726"/>
    </row>
    <row r="449" spans="19:22" x14ac:dyDescent="0.25">
      <c r="S449" s="189"/>
      <c r="T449" s="1726"/>
      <c r="U449" s="189"/>
      <c r="V449" s="1726"/>
    </row>
    <row r="450" spans="19:22" x14ac:dyDescent="0.25">
      <c r="S450" s="189"/>
      <c r="T450" s="1726"/>
      <c r="U450" s="189"/>
      <c r="V450" s="1726"/>
    </row>
    <row r="451" spans="19:22" x14ac:dyDescent="0.25">
      <c r="S451" s="189"/>
      <c r="T451" s="1726"/>
      <c r="U451" s="189"/>
      <c r="V451" s="1726"/>
    </row>
    <row r="452" spans="19:22" x14ac:dyDescent="0.25">
      <c r="S452" s="189"/>
      <c r="T452" s="1726"/>
      <c r="U452" s="189"/>
      <c r="V452" s="1726"/>
    </row>
    <row r="453" spans="19:22" x14ac:dyDescent="0.25">
      <c r="S453" s="189"/>
      <c r="T453" s="1726"/>
      <c r="U453" s="189"/>
      <c r="V453" s="1726"/>
    </row>
    <row r="454" spans="19:22" x14ac:dyDescent="0.25">
      <c r="S454" s="189"/>
      <c r="T454" s="1726"/>
      <c r="U454" s="189"/>
      <c r="V454" s="1726"/>
    </row>
    <row r="455" spans="19:22" x14ac:dyDescent="0.25">
      <c r="S455" s="189"/>
      <c r="T455" s="1726"/>
      <c r="U455" s="189"/>
      <c r="V455" s="1726"/>
    </row>
    <row r="456" spans="19:22" x14ac:dyDescent="0.25">
      <c r="S456" s="189"/>
      <c r="T456" s="1726"/>
      <c r="U456" s="189"/>
      <c r="V456" s="1726"/>
    </row>
    <row r="457" spans="19:22" x14ac:dyDescent="0.25">
      <c r="S457" s="189"/>
      <c r="T457" s="1726"/>
      <c r="U457" s="189"/>
      <c r="V457" s="1726"/>
    </row>
    <row r="458" spans="19:22" x14ac:dyDescent="0.25">
      <c r="S458" s="189"/>
      <c r="T458" s="1726"/>
      <c r="U458" s="189"/>
      <c r="V458" s="1726"/>
    </row>
    <row r="459" spans="19:22" x14ac:dyDescent="0.25">
      <c r="S459" s="189"/>
      <c r="T459" s="1726"/>
      <c r="U459" s="189"/>
      <c r="V459" s="1726"/>
    </row>
    <row r="460" spans="19:22" x14ac:dyDescent="0.25">
      <c r="S460" s="189"/>
      <c r="T460" s="1726"/>
      <c r="U460" s="189"/>
      <c r="V460" s="1726"/>
    </row>
    <row r="461" spans="19:22" x14ac:dyDescent="0.25">
      <c r="S461" s="189"/>
      <c r="T461" s="1726"/>
      <c r="U461" s="189"/>
      <c r="V461" s="1726"/>
    </row>
    <row r="462" spans="19:22" x14ac:dyDescent="0.25">
      <c r="S462" s="189"/>
      <c r="T462" s="1726"/>
      <c r="U462" s="189"/>
      <c r="V462" s="1726"/>
    </row>
    <row r="463" spans="19:22" x14ac:dyDescent="0.25">
      <c r="S463" s="189"/>
      <c r="T463" s="1726"/>
      <c r="U463" s="189"/>
      <c r="V463" s="1726"/>
    </row>
    <row r="464" spans="19:22" x14ac:dyDescent="0.25">
      <c r="S464" s="189"/>
      <c r="T464" s="1726"/>
      <c r="U464" s="189"/>
      <c r="V464" s="1726"/>
    </row>
    <row r="465" spans="19:22" x14ac:dyDescent="0.25">
      <c r="S465" s="189"/>
      <c r="T465" s="1726"/>
      <c r="U465" s="189"/>
      <c r="V465" s="1726"/>
    </row>
    <row r="466" spans="19:22" x14ac:dyDescent="0.25">
      <c r="S466" s="189"/>
      <c r="T466" s="1726"/>
      <c r="U466" s="189"/>
      <c r="V466" s="1726"/>
    </row>
    <row r="467" spans="19:22" x14ac:dyDescent="0.25">
      <c r="S467" s="189"/>
      <c r="T467" s="1726"/>
      <c r="U467" s="189"/>
      <c r="V467" s="1726"/>
    </row>
    <row r="468" spans="19:22" x14ac:dyDescent="0.25">
      <c r="S468" s="189"/>
      <c r="T468" s="1726"/>
      <c r="U468" s="189"/>
      <c r="V468" s="1726"/>
    </row>
    <row r="469" spans="19:22" x14ac:dyDescent="0.25">
      <c r="S469" s="189"/>
      <c r="T469" s="1726"/>
      <c r="U469" s="189"/>
      <c r="V469" s="1726"/>
    </row>
    <row r="470" spans="19:22" x14ac:dyDescent="0.25">
      <c r="S470" s="189"/>
      <c r="T470" s="1726"/>
      <c r="U470" s="189"/>
      <c r="V470" s="1726"/>
    </row>
    <row r="471" spans="19:22" x14ac:dyDescent="0.25">
      <c r="S471" s="189"/>
      <c r="T471" s="1726"/>
      <c r="U471" s="189"/>
      <c r="V471" s="1726"/>
    </row>
    <row r="472" spans="19:22" x14ac:dyDescent="0.25">
      <c r="S472" s="189"/>
      <c r="T472" s="1726"/>
      <c r="U472" s="189"/>
      <c r="V472" s="1726"/>
    </row>
    <row r="473" spans="19:22" x14ac:dyDescent="0.25">
      <c r="S473" s="189"/>
      <c r="T473" s="1726"/>
      <c r="U473" s="189"/>
      <c r="V473" s="1726"/>
    </row>
    <row r="474" spans="19:22" x14ac:dyDescent="0.25">
      <c r="S474" s="189"/>
      <c r="T474" s="1726"/>
      <c r="U474" s="189"/>
      <c r="V474" s="1726"/>
    </row>
    <row r="475" spans="19:22" x14ac:dyDescent="0.25">
      <c r="S475" s="189"/>
      <c r="T475" s="1726"/>
      <c r="U475" s="189"/>
      <c r="V475" s="1726"/>
    </row>
    <row r="476" spans="19:22" x14ac:dyDescent="0.25">
      <c r="S476" s="189"/>
      <c r="T476" s="1726"/>
      <c r="U476" s="189"/>
      <c r="V476" s="1726"/>
    </row>
    <row r="477" spans="19:22" x14ac:dyDescent="0.25">
      <c r="S477" s="189"/>
      <c r="T477" s="1726"/>
      <c r="U477" s="189"/>
      <c r="V477" s="1726"/>
    </row>
    <row r="478" spans="19:22" x14ac:dyDescent="0.25">
      <c r="S478" s="189"/>
      <c r="T478" s="1726"/>
      <c r="U478" s="189"/>
      <c r="V478" s="1726"/>
    </row>
    <row r="479" spans="19:22" x14ac:dyDescent="0.25">
      <c r="S479" s="189"/>
      <c r="T479" s="1726"/>
      <c r="U479" s="189"/>
      <c r="V479" s="1726"/>
    </row>
    <row r="480" spans="19:22" x14ac:dyDescent="0.25">
      <c r="S480" s="189"/>
      <c r="T480" s="1726"/>
      <c r="U480" s="189"/>
      <c r="V480" s="1726"/>
    </row>
    <row r="481" spans="19:22" x14ac:dyDescent="0.25">
      <c r="S481" s="189"/>
      <c r="T481" s="1726"/>
      <c r="U481" s="189"/>
      <c r="V481" s="1726"/>
    </row>
    <row r="482" spans="19:22" x14ac:dyDescent="0.25">
      <c r="S482" s="189"/>
      <c r="T482" s="1726"/>
      <c r="U482" s="189"/>
      <c r="V482" s="1726"/>
    </row>
    <row r="483" spans="19:22" x14ac:dyDescent="0.25">
      <c r="S483" s="189"/>
      <c r="T483" s="1726"/>
      <c r="U483" s="189"/>
      <c r="V483" s="1726"/>
    </row>
    <row r="484" spans="19:22" x14ac:dyDescent="0.25">
      <c r="S484" s="189"/>
      <c r="T484" s="1726"/>
      <c r="U484" s="189"/>
      <c r="V484" s="1726"/>
    </row>
    <row r="485" spans="19:22" x14ac:dyDescent="0.25">
      <c r="S485" s="189"/>
      <c r="T485" s="1726"/>
      <c r="U485" s="189"/>
      <c r="V485" s="1726"/>
    </row>
    <row r="486" spans="19:22" x14ac:dyDescent="0.25">
      <c r="S486" s="189"/>
      <c r="T486" s="1726"/>
      <c r="U486" s="189"/>
      <c r="V486" s="1726"/>
    </row>
    <row r="487" spans="19:22" x14ac:dyDescent="0.25">
      <c r="S487" s="189"/>
      <c r="T487" s="1726"/>
      <c r="U487" s="189"/>
      <c r="V487" s="1726"/>
    </row>
    <row r="488" spans="19:22" x14ac:dyDescent="0.25">
      <c r="S488" s="189"/>
      <c r="T488" s="1726"/>
      <c r="U488" s="189"/>
      <c r="V488" s="1726"/>
    </row>
    <row r="489" spans="19:22" x14ac:dyDescent="0.25">
      <c r="S489" s="189"/>
      <c r="T489" s="1726"/>
      <c r="U489" s="189"/>
      <c r="V489" s="1726"/>
    </row>
    <row r="490" spans="19:22" x14ac:dyDescent="0.25">
      <c r="S490" s="189"/>
      <c r="T490" s="1726"/>
      <c r="U490" s="189"/>
      <c r="V490" s="1726"/>
    </row>
    <row r="491" spans="19:22" x14ac:dyDescent="0.25">
      <c r="S491" s="189"/>
      <c r="T491" s="1726"/>
      <c r="U491" s="189"/>
      <c r="V491" s="1726"/>
    </row>
    <row r="492" spans="19:22" x14ac:dyDescent="0.25">
      <c r="S492" s="189"/>
      <c r="T492" s="1726"/>
      <c r="U492" s="189"/>
      <c r="V492" s="1726"/>
    </row>
    <row r="493" spans="19:22" x14ac:dyDescent="0.25">
      <c r="S493" s="189"/>
      <c r="T493" s="1726"/>
      <c r="U493" s="189"/>
      <c r="V493" s="1726"/>
    </row>
    <row r="494" spans="19:22" x14ac:dyDescent="0.25">
      <c r="S494" s="189"/>
      <c r="T494" s="1726"/>
      <c r="U494" s="189"/>
      <c r="V494" s="1726"/>
    </row>
    <row r="495" spans="19:22" x14ac:dyDescent="0.25">
      <c r="S495" s="189"/>
      <c r="T495" s="1726"/>
      <c r="U495" s="189"/>
      <c r="V495" s="1726"/>
    </row>
    <row r="496" spans="19:22" x14ac:dyDescent="0.25">
      <c r="S496" s="189"/>
      <c r="T496" s="1726"/>
      <c r="U496" s="189"/>
      <c r="V496" s="1726"/>
    </row>
  </sheetData>
  <mergeCells count="199">
    <mergeCell ref="BA32:BA40"/>
    <mergeCell ref="BA41:BA45"/>
    <mergeCell ref="BA46:BA48"/>
    <mergeCell ref="BA123:BA125"/>
    <mergeCell ref="D3:D4"/>
    <mergeCell ref="D7:D10"/>
    <mergeCell ref="D25:D26"/>
    <mergeCell ref="D32:D40"/>
    <mergeCell ref="D41:D45"/>
    <mergeCell ref="D46:D48"/>
    <mergeCell ref="AK123:AK125"/>
    <mergeCell ref="AM123:AM125"/>
    <mergeCell ref="AO123:AO125"/>
    <mergeCell ref="AA123:AA125"/>
    <mergeCell ref="Y46:Y48"/>
    <mergeCell ref="Y123:Y125"/>
    <mergeCell ref="W123:W125"/>
    <mergeCell ref="S123:S125"/>
    <mergeCell ref="U123:U125"/>
    <mergeCell ref="S46:S48"/>
    <mergeCell ref="U46:U48"/>
    <mergeCell ref="AC123:AC125"/>
    <mergeCell ref="W46:W48"/>
    <mergeCell ref="AA46:AA48"/>
    <mergeCell ref="Q25:Q26"/>
    <mergeCell ref="O32:O40"/>
    <mergeCell ref="Q32:Q40"/>
    <mergeCell ref="M25:M26"/>
    <mergeCell ref="Q46:Q48"/>
    <mergeCell ref="S32:S40"/>
    <mergeCell ref="U32:U40"/>
    <mergeCell ref="S41:S45"/>
    <mergeCell ref="U41:U45"/>
    <mergeCell ref="O25:O26"/>
    <mergeCell ref="AK3:AL3"/>
    <mergeCell ref="AM3:AN3"/>
    <mergeCell ref="AO3:AP3"/>
    <mergeCell ref="AK7:AK10"/>
    <mergeCell ref="AM7:AM10"/>
    <mergeCell ref="AO7:AO10"/>
    <mergeCell ref="AK25:AK26"/>
    <mergeCell ref="AM25:AM26"/>
    <mergeCell ref="AO25:AO26"/>
    <mergeCell ref="AK32:AK40"/>
    <mergeCell ref="AM32:AM40"/>
    <mergeCell ref="AO32:AO40"/>
    <mergeCell ref="AK41:AK45"/>
    <mergeCell ref="AM41:AM45"/>
    <mergeCell ref="AO41:AO45"/>
    <mergeCell ref="AK46:AK48"/>
    <mergeCell ref="AM46:AM48"/>
    <mergeCell ref="AO46:AO48"/>
    <mergeCell ref="I41:I45"/>
    <mergeCell ref="I46:I48"/>
    <mergeCell ref="O41:O45"/>
    <mergeCell ref="K46:K48"/>
    <mergeCell ref="M46:M48"/>
    <mergeCell ref="O46:O48"/>
    <mergeCell ref="M3:N3"/>
    <mergeCell ref="K7:K10"/>
    <mergeCell ref="M7:M10"/>
    <mergeCell ref="M32:M40"/>
    <mergeCell ref="M41:M45"/>
    <mergeCell ref="I123:I125"/>
    <mergeCell ref="K123:K125"/>
    <mergeCell ref="Q123:Q125"/>
    <mergeCell ref="B3:B4"/>
    <mergeCell ref="C3:C4"/>
    <mergeCell ref="E3:F3"/>
    <mergeCell ref="G3:H3"/>
    <mergeCell ref="I3:J3"/>
    <mergeCell ref="G46:G48"/>
    <mergeCell ref="K3:L3"/>
    <mergeCell ref="E7:E10"/>
    <mergeCell ref="G7:G10"/>
    <mergeCell ref="I7:I10"/>
    <mergeCell ref="K32:K40"/>
    <mergeCell ref="K41:K45"/>
    <mergeCell ref="E32:E40"/>
    <mergeCell ref="G32:G40"/>
    <mergeCell ref="I32:I40"/>
    <mergeCell ref="E25:E26"/>
    <mergeCell ref="E46:E48"/>
    <mergeCell ref="G41:G45"/>
    <mergeCell ref="Q3:R3"/>
    <mergeCell ref="O7:O10"/>
    <mergeCell ref="O3:P3"/>
    <mergeCell ref="W3:X3"/>
    <mergeCell ref="AA3:AB3"/>
    <mergeCell ref="A7:A10"/>
    <mergeCell ref="A46:A48"/>
    <mergeCell ref="O123:O125"/>
    <mergeCell ref="M123:M125"/>
    <mergeCell ref="G25:G26"/>
    <mergeCell ref="I25:I26"/>
    <mergeCell ref="K25:K26"/>
    <mergeCell ref="E41:E45"/>
    <mergeCell ref="Q41:Q45"/>
    <mergeCell ref="Q7:Q10"/>
    <mergeCell ref="E123:E125"/>
    <mergeCell ref="U3:V3"/>
    <mergeCell ref="S7:S10"/>
    <mergeCell ref="U7:U10"/>
    <mergeCell ref="S25:S26"/>
    <mergeCell ref="U25:U26"/>
    <mergeCell ref="S3:T3"/>
    <mergeCell ref="Y3:Z3"/>
    <mergeCell ref="Y7:Y10"/>
    <mergeCell ref="Y25:Y26"/>
    <mergeCell ref="W7:W10"/>
    <mergeCell ref="G123:G125"/>
    <mergeCell ref="AE41:AE45"/>
    <mergeCell ref="AC46:AC48"/>
    <mergeCell ref="AE46:AE48"/>
    <mergeCell ref="AA7:AA10"/>
    <mergeCell ref="W25:W26"/>
    <mergeCell ref="AA25:AA26"/>
    <mergeCell ref="W32:W40"/>
    <mergeCell ref="AA32:AA40"/>
    <mergeCell ref="W41:W45"/>
    <mergeCell ref="AA41:AA45"/>
    <mergeCell ref="Y32:Y40"/>
    <mergeCell ref="Y41:Y45"/>
    <mergeCell ref="AC3:AD3"/>
    <mergeCell ref="AE3:AF3"/>
    <mergeCell ref="AC7:AC10"/>
    <mergeCell ref="AE7:AE10"/>
    <mergeCell ref="AC25:AC26"/>
    <mergeCell ref="AE25:AE26"/>
    <mergeCell ref="AG46:AG48"/>
    <mergeCell ref="AI46:AI48"/>
    <mergeCell ref="AG123:AG125"/>
    <mergeCell ref="AI123:AI125"/>
    <mergeCell ref="AG3:AH3"/>
    <mergeCell ref="AI3:AJ3"/>
    <mergeCell ref="AG7:AG10"/>
    <mergeCell ref="AI7:AI10"/>
    <mergeCell ref="AG25:AG26"/>
    <mergeCell ref="AI25:AI26"/>
    <mergeCell ref="AG32:AG40"/>
    <mergeCell ref="AI32:AI40"/>
    <mergeCell ref="AG41:AG45"/>
    <mergeCell ref="AI41:AI45"/>
    <mergeCell ref="AE123:AE125"/>
    <mergeCell ref="AC32:AC40"/>
    <mergeCell ref="AE32:AE40"/>
    <mergeCell ref="AC41:AC45"/>
    <mergeCell ref="AQ3:AR3"/>
    <mergeCell ref="AQ7:AQ10"/>
    <mergeCell ref="AQ25:AQ26"/>
    <mergeCell ref="AQ32:AQ40"/>
    <mergeCell ref="AQ41:AQ45"/>
    <mergeCell ref="AQ46:AQ48"/>
    <mergeCell ref="AQ123:AQ125"/>
    <mergeCell ref="AS3:AT3"/>
    <mergeCell ref="AS7:AS10"/>
    <mergeCell ref="AS25:AS26"/>
    <mergeCell ref="AS32:AS40"/>
    <mergeCell ref="AS41:AS45"/>
    <mergeCell ref="AS46:AS48"/>
    <mergeCell ref="AS123:AS125"/>
    <mergeCell ref="AU46:AU48"/>
    <mergeCell ref="AW46:AW48"/>
    <mergeCell ref="AU123:AU125"/>
    <mergeCell ref="AW123:AW125"/>
    <mergeCell ref="AU3:AV3"/>
    <mergeCell ref="AW3:AX3"/>
    <mergeCell ref="AU7:AU10"/>
    <mergeCell ref="AW7:AW10"/>
    <mergeCell ref="AU25:AU26"/>
    <mergeCell ref="AW25:AW26"/>
    <mergeCell ref="AU32:AU40"/>
    <mergeCell ref="AW32:AW40"/>
    <mergeCell ref="AU41:AU45"/>
    <mergeCell ref="AW41:AW45"/>
    <mergeCell ref="AY3:AZ3"/>
    <mergeCell ref="AY7:AY10"/>
    <mergeCell ref="AY25:AY26"/>
    <mergeCell ref="AY32:AY40"/>
    <mergeCell ref="AY41:AY45"/>
    <mergeCell ref="AY46:AY48"/>
    <mergeCell ref="AY123:AY125"/>
    <mergeCell ref="BE123:BE125"/>
    <mergeCell ref="BC3:BD3"/>
    <mergeCell ref="BC7:BC10"/>
    <mergeCell ref="BC25:BC26"/>
    <mergeCell ref="BC32:BC40"/>
    <mergeCell ref="BC41:BC45"/>
    <mergeCell ref="BC46:BC48"/>
    <mergeCell ref="BC123:BC125"/>
    <mergeCell ref="BE7:BE10"/>
    <mergeCell ref="BE25:BE26"/>
    <mergeCell ref="BE32:BE40"/>
    <mergeCell ref="BE41:BE45"/>
    <mergeCell ref="BE3:BF3"/>
    <mergeCell ref="BE46:BE48"/>
    <mergeCell ref="BA3:BB3"/>
    <mergeCell ref="BA7:BA10"/>
    <mergeCell ref="BA25:BA26"/>
  </mergeCells>
  <printOptions horizontalCentered="1" verticalCentered="1"/>
  <pageMargins left="0" right="0" top="0" bottom="0" header="0" footer="0"/>
  <pageSetup scale="22" orientation="landscape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517AC"/>
    <pageSetUpPr fitToPage="1"/>
  </sheetPr>
  <dimension ref="A1:BJ169"/>
  <sheetViews>
    <sheetView topLeftCell="A67" zoomScaleNormal="100" workbookViewId="0">
      <pane xSplit="4" topLeftCell="AY1" activePane="topRight" state="frozen"/>
      <selection pane="topRight" activeCell="AR87" sqref="AR87"/>
    </sheetView>
  </sheetViews>
  <sheetFormatPr defaultColWidth="8.85546875" defaultRowHeight="15" x14ac:dyDescent="0.25"/>
  <cols>
    <col min="2" max="2" width="39.28515625" bestFit="1" customWidth="1"/>
    <col min="3" max="3" width="32.5703125" style="1321" bestFit="1" customWidth="1"/>
    <col min="4" max="4" width="15.140625" customWidth="1"/>
    <col min="5" max="5" width="10.28515625" style="189" customWidth="1"/>
    <col min="6" max="6" width="13.5703125" style="200" customWidth="1"/>
    <col min="7" max="7" width="11.28515625" style="1547" customWidth="1"/>
    <col min="8" max="8" width="13.42578125" style="200" customWidth="1"/>
    <col min="9" max="9" width="12.28515625" style="189" hidden="1" customWidth="1"/>
    <col min="10" max="10" width="11.140625" style="200" hidden="1" customWidth="1"/>
    <col min="11" max="11" width="9" style="189" customWidth="1"/>
    <col min="12" max="12" width="9" style="200" customWidth="1"/>
    <col min="13" max="13" width="10.140625" style="189" customWidth="1"/>
    <col min="14" max="14" width="10.140625" style="200" customWidth="1"/>
    <col min="15" max="15" width="9" style="189" customWidth="1"/>
    <col min="16" max="16" width="9" style="200" customWidth="1"/>
    <col min="17" max="17" width="10.140625" style="189" hidden="1" customWidth="1"/>
    <col min="18" max="18" width="10.140625" style="200" hidden="1" customWidth="1"/>
    <col min="19" max="19" width="9" customWidth="1"/>
    <col min="20" max="20" width="9.5703125" customWidth="1"/>
    <col min="21" max="22" width="10.140625" hidden="1" customWidth="1"/>
    <col min="23" max="24" width="8.85546875" customWidth="1"/>
    <col min="25" max="25" width="10.140625" customWidth="1"/>
    <col min="26" max="26" width="13.42578125" customWidth="1"/>
    <col min="27" max="28" width="10.140625" customWidth="1"/>
    <col min="29" max="29" width="8.85546875" customWidth="1"/>
    <col min="31" max="32" width="8.85546875" hidden="1" customWidth="1"/>
    <col min="33" max="33" width="11.28515625" customWidth="1"/>
    <col min="34" max="34" width="11.140625" customWidth="1"/>
    <col min="35" max="36" width="8.85546875" hidden="1" customWidth="1"/>
    <col min="37" max="37" width="8.7109375" customWidth="1"/>
    <col min="38" max="38" width="8.7109375" bestFit="1" customWidth="1"/>
    <col min="39" max="40" width="8.7109375" style="1726" customWidth="1"/>
    <col min="41" max="42" width="8.85546875" hidden="1" customWidth="1"/>
    <col min="45" max="46" width="0" hidden="1" customWidth="1"/>
    <col min="47" max="48" width="8.7109375" bestFit="1" customWidth="1"/>
    <col min="49" max="50" width="0" hidden="1" customWidth="1"/>
    <col min="53" max="56" width="8.85546875" style="4240"/>
  </cols>
  <sheetData>
    <row r="1" spans="1:58" ht="22.5" x14ac:dyDescent="0.3">
      <c r="B1" s="971" t="s">
        <v>54</v>
      </c>
      <c r="C1" s="971"/>
      <c r="D1" s="106"/>
      <c r="E1" s="106"/>
      <c r="F1" s="106"/>
      <c r="G1" s="2687"/>
      <c r="H1" s="106"/>
      <c r="I1" s="106"/>
      <c r="J1" s="106"/>
      <c r="K1" s="200"/>
      <c r="M1" s="200"/>
      <c r="O1" s="200"/>
      <c r="Q1" s="200"/>
      <c r="S1" s="200"/>
      <c r="T1" s="200"/>
      <c r="U1" s="200"/>
      <c r="V1" s="200"/>
      <c r="W1" s="5224" t="s">
        <v>1637</v>
      </c>
      <c r="X1" s="5224"/>
      <c r="Y1" s="200"/>
      <c r="Z1" s="200"/>
      <c r="AA1" s="200"/>
      <c r="AB1" s="200"/>
    </row>
    <row r="2" spans="1:58" ht="15.75" thickBot="1" x14ac:dyDescent="0.3">
      <c r="B2" s="106"/>
      <c r="C2" s="106"/>
      <c r="D2" s="106"/>
      <c r="E2" s="207">
        <v>30</v>
      </c>
      <c r="F2" s="207">
        <v>30</v>
      </c>
      <c r="G2" s="2688">
        <v>31</v>
      </c>
      <c r="H2" s="207">
        <v>31</v>
      </c>
      <c r="I2" s="207">
        <f>+E2+G2</f>
        <v>61</v>
      </c>
      <c r="J2" s="207">
        <f>+F2+H2</f>
        <v>61</v>
      </c>
      <c r="K2" s="207">
        <v>30</v>
      </c>
      <c r="L2" s="207">
        <v>30</v>
      </c>
      <c r="M2" s="207">
        <f>+I2+K2</f>
        <v>91</v>
      </c>
      <c r="N2" s="207">
        <f>+J2+L2</f>
        <v>91</v>
      </c>
      <c r="O2" s="207">
        <v>31</v>
      </c>
      <c r="P2" s="207">
        <v>31</v>
      </c>
      <c r="Q2" s="207">
        <f>+M2+O2</f>
        <v>122</v>
      </c>
      <c r="R2" s="207">
        <f>+N2+P2</f>
        <v>122</v>
      </c>
      <c r="S2" s="207">
        <v>31</v>
      </c>
      <c r="T2" s="207">
        <v>31</v>
      </c>
      <c r="U2" s="207">
        <f>+Q2+S2</f>
        <v>153</v>
      </c>
      <c r="V2" s="207">
        <f>+R2+T2</f>
        <v>153</v>
      </c>
      <c r="W2" s="207">
        <v>30</v>
      </c>
      <c r="X2" s="207">
        <v>30</v>
      </c>
      <c r="Y2" s="207">
        <f>+O2+S2+W2</f>
        <v>92</v>
      </c>
      <c r="Z2" s="207">
        <f>+P2+T2+X2</f>
        <v>92</v>
      </c>
      <c r="AA2" s="207">
        <f>M2+Y2</f>
        <v>183</v>
      </c>
      <c r="AB2" s="207">
        <f>N2+Z2</f>
        <v>183</v>
      </c>
      <c r="AC2" s="207">
        <v>31</v>
      </c>
      <c r="AD2" s="207">
        <v>31</v>
      </c>
      <c r="AE2" s="207">
        <f>+AA2+AC2</f>
        <v>214</v>
      </c>
      <c r="AF2" s="207">
        <f>+AB2+AD2</f>
        <v>214</v>
      </c>
      <c r="AG2" s="207">
        <v>30</v>
      </c>
      <c r="AH2" s="207">
        <v>30</v>
      </c>
      <c r="AI2" s="207">
        <f>+AE2+AG2</f>
        <v>244</v>
      </c>
      <c r="AJ2" s="207">
        <f>+AF2+AH2</f>
        <v>244</v>
      </c>
      <c r="AK2" s="207">
        <v>31</v>
      </c>
      <c r="AL2" s="207">
        <v>31</v>
      </c>
      <c r="AM2" s="207">
        <f>+AC2+AG2+AK2</f>
        <v>92</v>
      </c>
      <c r="AN2" s="207">
        <f>+AD2+AH2+AL2</f>
        <v>92</v>
      </c>
      <c r="AO2" s="207">
        <f>+AI2+AK2</f>
        <v>275</v>
      </c>
      <c r="AP2" s="207">
        <f>+AJ2+AL2</f>
        <v>275</v>
      </c>
      <c r="AQ2" s="207">
        <v>31</v>
      </c>
      <c r="AR2" s="207">
        <v>31</v>
      </c>
      <c r="AS2" s="207">
        <f>+AO2+AQ2</f>
        <v>306</v>
      </c>
      <c r="AT2" s="207">
        <f>+AP2+AR2</f>
        <v>306</v>
      </c>
      <c r="AU2" s="207">
        <v>28</v>
      </c>
      <c r="AV2" s="207">
        <v>28</v>
      </c>
      <c r="AW2" s="207">
        <f>+AS2+AU2</f>
        <v>334</v>
      </c>
      <c r="AX2" s="207">
        <f>+AT2+AV2</f>
        <v>334</v>
      </c>
      <c r="AY2" s="207">
        <v>31</v>
      </c>
      <c r="AZ2" s="207">
        <v>31</v>
      </c>
      <c r="BA2" s="207">
        <f>+AQ2+AU2+AY2</f>
        <v>90</v>
      </c>
      <c r="BB2" s="207">
        <f>+AR2+AV2+AZ2</f>
        <v>90</v>
      </c>
      <c r="BC2" s="207">
        <f>+AM2+BA2</f>
        <v>182</v>
      </c>
      <c r="BD2" s="207">
        <f>+AN2+BB2</f>
        <v>182</v>
      </c>
      <c r="BE2" s="207">
        <f>+AW2+AY2</f>
        <v>365</v>
      </c>
      <c r="BF2" s="207">
        <f>+AX2+AZ2</f>
        <v>365</v>
      </c>
    </row>
    <row r="3" spans="1:58" ht="16.5" customHeight="1" thickBot="1" x14ac:dyDescent="0.3">
      <c r="B3" s="5073" t="s">
        <v>197</v>
      </c>
      <c r="C3" s="5226" t="s">
        <v>1119</v>
      </c>
      <c r="D3" s="5225" t="s">
        <v>198</v>
      </c>
      <c r="E3" s="4840" t="s">
        <v>1323</v>
      </c>
      <c r="F3" s="4840"/>
      <c r="G3" s="4840" t="s">
        <v>1384</v>
      </c>
      <c r="H3" s="5225"/>
      <c r="I3" s="4841" t="s">
        <v>15</v>
      </c>
      <c r="J3" s="4841"/>
      <c r="K3" s="4875" t="s">
        <v>1397</v>
      </c>
      <c r="L3" s="4875"/>
      <c r="M3" s="4858" t="s">
        <v>741</v>
      </c>
      <c r="N3" s="4859"/>
      <c r="O3" s="4875" t="s">
        <v>1424</v>
      </c>
      <c r="P3" s="4875"/>
      <c r="Q3" s="4877" t="s">
        <v>18</v>
      </c>
      <c r="R3" s="4878"/>
      <c r="S3" s="4875" t="s">
        <v>1496</v>
      </c>
      <c r="T3" s="4875"/>
      <c r="U3" s="4877" t="s">
        <v>19</v>
      </c>
      <c r="V3" s="4878"/>
      <c r="W3" s="4875" t="s">
        <v>1573</v>
      </c>
      <c r="X3" s="4875"/>
      <c r="Y3" s="4858" t="s">
        <v>788</v>
      </c>
      <c r="Z3" s="4859"/>
      <c r="AA3" s="4850" t="s">
        <v>784</v>
      </c>
      <c r="AB3" s="4851"/>
      <c r="AC3" s="4875" t="s">
        <v>1634</v>
      </c>
      <c r="AD3" s="4875"/>
      <c r="AE3" s="4877" t="s">
        <v>26</v>
      </c>
      <c r="AF3" s="4878"/>
      <c r="AG3" s="4875" t="s">
        <v>1671</v>
      </c>
      <c r="AH3" s="4875"/>
      <c r="AI3" s="4877" t="s">
        <v>29</v>
      </c>
      <c r="AJ3" s="4878"/>
      <c r="AK3" s="4875" t="s">
        <v>1696</v>
      </c>
      <c r="AL3" s="4875"/>
      <c r="AM3" s="4858" t="s">
        <v>799</v>
      </c>
      <c r="AN3" s="4859"/>
      <c r="AO3" s="4877" t="s">
        <v>30</v>
      </c>
      <c r="AP3" s="4878"/>
      <c r="AQ3" s="4875" t="s">
        <v>1760</v>
      </c>
      <c r="AR3" s="4875"/>
      <c r="AS3" s="4877" t="s">
        <v>31</v>
      </c>
      <c r="AT3" s="4878"/>
      <c r="AU3" s="4875" t="s">
        <v>1812</v>
      </c>
      <c r="AV3" s="4875"/>
      <c r="AW3" s="4877" t="s">
        <v>33</v>
      </c>
      <c r="AX3" s="4878"/>
      <c r="AY3" s="4875" t="s">
        <v>1844</v>
      </c>
      <c r="AZ3" s="4875"/>
      <c r="BA3" s="4858" t="s">
        <v>800</v>
      </c>
      <c r="BB3" s="4859"/>
      <c r="BC3" s="4850" t="s">
        <v>817</v>
      </c>
      <c r="BD3" s="4851"/>
      <c r="BE3" s="4877" t="s">
        <v>1314</v>
      </c>
      <c r="BF3" s="4878"/>
    </row>
    <row r="4" spans="1:58" ht="15.75" customHeight="1" thickBot="1" x14ac:dyDescent="0.3">
      <c r="B4" s="5098"/>
      <c r="C4" s="5227"/>
      <c r="D4" s="5229"/>
      <c r="E4" s="1989" t="s">
        <v>199</v>
      </c>
      <c r="F4" s="1989" t="s">
        <v>200</v>
      </c>
      <c r="G4" s="1546" t="s">
        <v>199</v>
      </c>
      <c r="H4" s="1624" t="s">
        <v>200</v>
      </c>
      <c r="I4" s="1990" t="s">
        <v>199</v>
      </c>
      <c r="J4" s="1990" t="s">
        <v>200</v>
      </c>
      <c r="K4" s="1977" t="s">
        <v>199</v>
      </c>
      <c r="L4" s="2388" t="s">
        <v>200</v>
      </c>
      <c r="M4" s="1980" t="s">
        <v>199</v>
      </c>
      <c r="N4" s="395" t="s">
        <v>200</v>
      </c>
      <c r="O4" s="1977" t="s">
        <v>199</v>
      </c>
      <c r="P4" s="2230" t="s">
        <v>200</v>
      </c>
      <c r="Q4" s="1978" t="s">
        <v>199</v>
      </c>
      <c r="R4" s="381" t="s">
        <v>200</v>
      </c>
      <c r="S4" s="1977" t="s">
        <v>199</v>
      </c>
      <c r="T4" s="2230" t="s">
        <v>200</v>
      </c>
      <c r="U4" s="1978" t="s">
        <v>199</v>
      </c>
      <c r="V4" s="381" t="s">
        <v>200</v>
      </c>
      <c r="W4" s="1977" t="s">
        <v>199</v>
      </c>
      <c r="X4" s="2230" t="s">
        <v>200</v>
      </c>
      <c r="Y4" s="1980" t="s">
        <v>199</v>
      </c>
      <c r="Z4" s="395" t="s">
        <v>200</v>
      </c>
      <c r="AA4" s="1979" t="s">
        <v>199</v>
      </c>
      <c r="AB4" s="1137" t="s">
        <v>200</v>
      </c>
      <c r="AC4" s="3144" t="s">
        <v>199</v>
      </c>
      <c r="AD4" s="3148" t="s">
        <v>200</v>
      </c>
      <c r="AE4" s="3145" t="s">
        <v>199</v>
      </c>
      <c r="AF4" s="381" t="s">
        <v>200</v>
      </c>
      <c r="AG4" s="3245" t="s">
        <v>199</v>
      </c>
      <c r="AH4" s="3248" t="s">
        <v>200</v>
      </c>
      <c r="AI4" s="3246" t="s">
        <v>199</v>
      </c>
      <c r="AJ4" s="381" t="s">
        <v>200</v>
      </c>
      <c r="AK4" s="3431" t="s">
        <v>199</v>
      </c>
      <c r="AL4" s="3434" t="s">
        <v>200</v>
      </c>
      <c r="AM4" s="3592" t="s">
        <v>199</v>
      </c>
      <c r="AN4" s="395" t="s">
        <v>200</v>
      </c>
      <c r="AO4" s="3595" t="s">
        <v>199</v>
      </c>
      <c r="AP4" s="381" t="s">
        <v>200</v>
      </c>
      <c r="AQ4" s="3878" t="s">
        <v>199</v>
      </c>
      <c r="AR4" s="3884" t="s">
        <v>200</v>
      </c>
      <c r="AS4" s="3880" t="s">
        <v>199</v>
      </c>
      <c r="AT4" s="381" t="s">
        <v>200</v>
      </c>
      <c r="AU4" s="4065" t="s">
        <v>199</v>
      </c>
      <c r="AV4" s="4072" t="s">
        <v>200</v>
      </c>
      <c r="AW4" s="4066" t="s">
        <v>199</v>
      </c>
      <c r="AX4" s="381" t="s">
        <v>200</v>
      </c>
      <c r="AY4" s="4236" t="s">
        <v>199</v>
      </c>
      <c r="AZ4" s="4263" t="s">
        <v>200</v>
      </c>
      <c r="BA4" s="4235" t="s">
        <v>199</v>
      </c>
      <c r="BB4" s="395" t="s">
        <v>200</v>
      </c>
      <c r="BC4" s="4234" t="s">
        <v>199</v>
      </c>
      <c r="BD4" s="1137" t="s">
        <v>200</v>
      </c>
      <c r="BE4" s="4237" t="s">
        <v>199</v>
      </c>
      <c r="BF4" s="381" t="s">
        <v>200</v>
      </c>
    </row>
    <row r="5" spans="1:58" ht="16.5" thickBot="1" x14ac:dyDescent="0.3">
      <c r="B5" s="2330" t="s">
        <v>1115</v>
      </c>
      <c r="C5" s="5228"/>
      <c r="D5" s="5230"/>
      <c r="E5" s="946">
        <v>34375</v>
      </c>
      <c r="F5" s="946">
        <v>34113.78</v>
      </c>
      <c r="G5" s="2689">
        <v>43229.167000000001</v>
      </c>
      <c r="H5" s="1663">
        <v>26090.01</v>
      </c>
      <c r="I5" s="948">
        <f>+E5+G5</f>
        <v>77604.167000000001</v>
      </c>
      <c r="J5" s="948">
        <f>+F5+H5</f>
        <v>60203.789999999994</v>
      </c>
      <c r="K5" s="302">
        <v>43229.166666666672</v>
      </c>
      <c r="L5" s="1664">
        <v>40604.277999999998</v>
      </c>
      <c r="M5" s="2690">
        <f>+I5+K5</f>
        <v>120833.33366666667</v>
      </c>
      <c r="N5" s="636">
        <f>+J5+L5</f>
        <v>100808.068</v>
      </c>
      <c r="O5" s="302">
        <v>45312.5</v>
      </c>
      <c r="P5" s="1664">
        <v>40002.482000000004</v>
      </c>
      <c r="Q5" s="2691">
        <f>+M5+O5</f>
        <v>166145.83366666667</v>
      </c>
      <c r="R5" s="1573">
        <f>+N5+P5</f>
        <v>140810.54999999999</v>
      </c>
      <c r="S5" s="302">
        <v>45312.5</v>
      </c>
      <c r="T5" s="1664">
        <v>43168.268000000004</v>
      </c>
      <c r="U5" s="2691">
        <f>+Q5+S5</f>
        <v>211458.33366666667</v>
      </c>
      <c r="V5" s="1573">
        <f>+R5+T5</f>
        <v>183978.818</v>
      </c>
      <c r="W5" s="302">
        <v>43750</v>
      </c>
      <c r="X5" s="1664">
        <v>41911.701000000008</v>
      </c>
      <c r="Y5" s="2690">
        <f>O5++S5+W5</f>
        <v>134375</v>
      </c>
      <c r="Z5" s="636">
        <f>P5++T5+X5</f>
        <v>125082.451</v>
      </c>
      <c r="AA5" s="2692">
        <f>M5+Y5</f>
        <v>255208.33366666667</v>
      </c>
      <c r="AB5" s="1853">
        <f>N5+Z5</f>
        <v>225890.519</v>
      </c>
      <c r="AC5" s="302">
        <v>45312.5</v>
      </c>
      <c r="AD5" s="1664">
        <v>45200.389000000003</v>
      </c>
      <c r="AE5" s="2691">
        <f>+AA5+AC5</f>
        <v>300520.83366666664</v>
      </c>
      <c r="AF5" s="1573">
        <f>+AB5+AD5</f>
        <v>271090.908</v>
      </c>
      <c r="AG5" s="302">
        <v>43750</v>
      </c>
      <c r="AH5" s="1664">
        <v>38902.721000000012</v>
      </c>
      <c r="AI5" s="2691">
        <f>+AE5+AG5</f>
        <v>344270.83366666664</v>
      </c>
      <c r="AJ5" s="1573">
        <f>+AF5+AH5</f>
        <v>309993.62900000002</v>
      </c>
      <c r="AK5" s="302">
        <v>45312.5</v>
      </c>
      <c r="AL5" s="1664">
        <v>41826.941000000006</v>
      </c>
      <c r="AM5" s="2690">
        <f>AC5++AG5+AK5</f>
        <v>134375</v>
      </c>
      <c r="AN5" s="636">
        <f>AD5++AH5+AL5</f>
        <v>125930.05100000002</v>
      </c>
      <c r="AO5" s="2691">
        <f>+AI5+AK5</f>
        <v>389583.33366666664</v>
      </c>
      <c r="AP5" s="1573">
        <f>+AJ5+AL5</f>
        <v>351820.57</v>
      </c>
      <c r="AQ5" s="302">
        <v>45312.5</v>
      </c>
      <c r="AR5" s="1664">
        <v>41960.438000000009</v>
      </c>
      <c r="AS5" s="2691">
        <f>+AO5+AQ5</f>
        <v>434895.83366666664</v>
      </c>
      <c r="AT5" s="1573">
        <f>+AP5+AR5</f>
        <v>393781.00800000003</v>
      </c>
      <c r="AU5" s="302">
        <v>40625</v>
      </c>
      <c r="AV5" s="1664">
        <v>45486.454000000005</v>
      </c>
      <c r="AW5" s="2691">
        <f>+AS5+AU5</f>
        <v>475520.83366666664</v>
      </c>
      <c r="AX5" s="1573">
        <f>+AT5+AV5</f>
        <v>439267.46200000006</v>
      </c>
      <c r="AY5" s="302">
        <v>45312.5</v>
      </c>
      <c r="AZ5" s="1664">
        <v>47976.279000000002</v>
      </c>
      <c r="BA5" s="2690">
        <f>AQ5++AU5+AY5</f>
        <v>131250</v>
      </c>
      <c r="BB5" s="636">
        <f>AR5++AV5+AZ5</f>
        <v>135423.17100000003</v>
      </c>
      <c r="BC5" s="2692">
        <f>+BA5+AM5</f>
        <v>265625</v>
      </c>
      <c r="BD5" s="2692">
        <f>+BB5+AN5</f>
        <v>261353.22200000007</v>
      </c>
      <c r="BE5" s="2691">
        <f>+AW5+AY5</f>
        <v>520833.33366666664</v>
      </c>
      <c r="BF5" s="1573">
        <f>+AX5+AZ5</f>
        <v>487243.74100000004</v>
      </c>
    </row>
    <row r="6" spans="1:58" s="334" customFormat="1" ht="15.75" x14ac:dyDescent="0.25">
      <c r="B6" s="2495" t="s">
        <v>345</v>
      </c>
      <c r="C6" s="2693"/>
      <c r="D6" s="685"/>
      <c r="E6" s="705"/>
      <c r="F6" s="706"/>
      <c r="G6" s="705"/>
      <c r="H6" s="706"/>
      <c r="I6" s="706"/>
      <c r="J6" s="706"/>
      <c r="K6" s="686"/>
      <c r="L6" s="686"/>
      <c r="M6" s="686"/>
      <c r="N6" s="686"/>
      <c r="O6" s="686"/>
      <c r="P6" s="686"/>
      <c r="Q6" s="686"/>
      <c r="R6" s="686"/>
      <c r="S6" s="686"/>
      <c r="T6" s="686"/>
      <c r="U6" s="686"/>
      <c r="V6" s="686"/>
      <c r="W6" s="686"/>
      <c r="X6" s="686"/>
      <c r="Y6" s="685"/>
      <c r="Z6" s="685"/>
      <c r="AA6" s="685"/>
      <c r="AB6" s="685"/>
      <c r="AC6" s="686"/>
      <c r="AD6" s="686"/>
      <c r="AE6" s="686"/>
      <c r="AF6" s="686"/>
      <c r="AG6" s="686"/>
      <c r="AH6" s="686"/>
      <c r="AI6" s="686"/>
      <c r="AJ6" s="686"/>
      <c r="AK6" s="686"/>
      <c r="AL6" s="686"/>
      <c r="AM6" s="685"/>
      <c r="AN6" s="685"/>
      <c r="AO6" s="686"/>
      <c r="AP6" s="686"/>
      <c r="AQ6" s="686"/>
      <c r="AR6" s="686"/>
      <c r="AS6" s="686"/>
      <c r="AT6" s="686"/>
      <c r="AU6" s="686"/>
      <c r="AV6" s="686"/>
      <c r="AW6" s="686"/>
      <c r="AX6" s="686"/>
      <c r="AY6" s="686"/>
      <c r="AZ6" s="686"/>
      <c r="BA6" s="685"/>
      <c r="BB6" s="685"/>
      <c r="BC6" s="685"/>
      <c r="BD6" s="685"/>
      <c r="BE6" s="686"/>
      <c r="BF6" s="686"/>
    </row>
    <row r="7" spans="1:58" s="334" customFormat="1" ht="15.75" x14ac:dyDescent="0.25">
      <c r="A7" s="1486">
        <f>+SUM(X7:X19)</f>
        <v>3825.3</v>
      </c>
      <c r="B7" s="2694" t="s">
        <v>75</v>
      </c>
      <c r="C7" s="3417" t="s">
        <v>1353</v>
      </c>
      <c r="D7" s="111" t="s">
        <v>53</v>
      </c>
      <c r="E7" s="2328"/>
      <c r="F7" s="238">
        <f>503.88-4.048</f>
        <v>499.83199999999999</v>
      </c>
      <c r="G7" s="2696"/>
      <c r="H7" s="238"/>
      <c r="I7" s="2339"/>
      <c r="J7" s="2339">
        <f>+F7+H7</f>
        <v>499.83199999999999</v>
      </c>
      <c r="K7" s="2697"/>
      <c r="L7" s="238"/>
      <c r="M7" s="1568"/>
      <c r="N7" s="1568">
        <f>+J7+L7</f>
        <v>499.83199999999999</v>
      </c>
      <c r="O7" s="2697"/>
      <c r="P7" s="238"/>
      <c r="Q7" s="1586"/>
      <c r="R7" s="1586">
        <f>+N7+P7</f>
        <v>499.83199999999999</v>
      </c>
      <c r="S7" s="2697"/>
      <c r="T7" s="238">
        <v>522.75</v>
      </c>
      <c r="U7" s="1586"/>
      <c r="V7" s="1586">
        <f>+R7+T7</f>
        <v>1022.582</v>
      </c>
      <c r="W7" s="2697"/>
      <c r="X7" s="238">
        <v>0</v>
      </c>
      <c r="Y7" s="1568"/>
      <c r="Z7" s="1568">
        <f>P7+T7+X7</f>
        <v>522.75</v>
      </c>
      <c r="AA7" s="1854"/>
      <c r="AB7" s="1854">
        <f t="shared" ref="AB7:AB111" si="0">N7+Z7</f>
        <v>1022.582</v>
      </c>
      <c r="AC7" s="2697"/>
      <c r="AD7" s="238">
        <v>0</v>
      </c>
      <c r="AE7" s="3152"/>
      <c r="AF7" s="3152">
        <f>+AB7+AD7</f>
        <v>1022.582</v>
      </c>
      <c r="AG7" s="2697"/>
      <c r="AH7" s="238">
        <v>0</v>
      </c>
      <c r="AI7" s="3251"/>
      <c r="AJ7" s="3251">
        <f>+AF7+AH7</f>
        <v>1022.582</v>
      </c>
      <c r="AK7" s="2697"/>
      <c r="AL7" s="238">
        <v>787.2</v>
      </c>
      <c r="AM7" s="3613"/>
      <c r="AN7" s="3613">
        <f>AD7+AH7+AL7</f>
        <v>787.2</v>
      </c>
      <c r="AO7" s="3612"/>
      <c r="AP7" s="3612">
        <f>+AJ7+AL7</f>
        <v>1809.7820000000002</v>
      </c>
      <c r="AQ7" s="2697"/>
      <c r="AR7" s="3872">
        <v>668.3</v>
      </c>
      <c r="AS7" s="3894"/>
      <c r="AT7" s="3894">
        <f>+AP7+AR7</f>
        <v>2478.0820000000003</v>
      </c>
      <c r="AU7" s="2697"/>
      <c r="AV7" s="4060"/>
      <c r="AW7" s="4081"/>
      <c r="AX7" s="4081">
        <f>+AT7+AV7</f>
        <v>2478.0820000000003</v>
      </c>
      <c r="AY7" s="2697"/>
      <c r="AZ7" s="4223"/>
      <c r="BA7" s="4269"/>
      <c r="BB7" s="4269">
        <f>AR7+AV7+AZ7</f>
        <v>668.3</v>
      </c>
      <c r="BC7" s="1854"/>
      <c r="BD7" s="1854">
        <f>AN7+BB7</f>
        <v>1455.5</v>
      </c>
      <c r="BE7" s="4268"/>
      <c r="BF7" s="4268">
        <f>+AX7+AZ7</f>
        <v>2478.0820000000003</v>
      </c>
    </row>
    <row r="8" spans="1:58" s="334" customFormat="1" ht="15.75" x14ac:dyDescent="0.25">
      <c r="B8" s="2694" t="s">
        <v>75</v>
      </c>
      <c r="C8" s="3417" t="s">
        <v>1145</v>
      </c>
      <c r="D8" s="111" t="s">
        <v>53</v>
      </c>
      <c r="E8" s="2328"/>
      <c r="F8" s="238">
        <v>0</v>
      </c>
      <c r="G8" s="2696"/>
      <c r="H8" s="238"/>
      <c r="I8" s="2339"/>
      <c r="J8" s="2339">
        <f t="shared" ref="J8:J99" si="1">+F8+H8</f>
        <v>0</v>
      </c>
      <c r="K8" s="2697"/>
      <c r="L8" s="238">
        <v>1574.3999999999999</v>
      </c>
      <c r="M8" s="1568"/>
      <c r="N8" s="1568">
        <f t="shared" ref="N8:N99" si="2">+J8+L8</f>
        <v>1574.3999999999999</v>
      </c>
      <c r="O8" s="2697"/>
      <c r="P8" s="238">
        <v>1217.6999999999998</v>
      </c>
      <c r="Q8" s="1586"/>
      <c r="R8" s="1586">
        <f t="shared" ref="R8:R99" si="3">+N8+P8</f>
        <v>2792.0999999999995</v>
      </c>
      <c r="S8" s="2697"/>
      <c r="T8" s="238">
        <f>1824.5-2.05</f>
        <v>1822.45</v>
      </c>
      <c r="U8" s="1586"/>
      <c r="V8" s="1586">
        <f t="shared" ref="V8:V99" si="4">+R8+T8</f>
        <v>4614.5499999999993</v>
      </c>
      <c r="W8" s="2697"/>
      <c r="X8" s="238">
        <v>0</v>
      </c>
      <c r="Y8" s="1568"/>
      <c r="Z8" s="1568">
        <f t="shared" ref="Z8:Z99" si="5">P8+T8+X8</f>
        <v>3040.1499999999996</v>
      </c>
      <c r="AA8" s="1854"/>
      <c r="AB8" s="1854">
        <f t="shared" si="0"/>
        <v>4614.5499999999993</v>
      </c>
      <c r="AC8" s="2697"/>
      <c r="AD8" s="238">
        <v>0</v>
      </c>
      <c r="AE8" s="3152"/>
      <c r="AF8" s="3152">
        <f t="shared" ref="AF8:AF87" si="6">+AB8+AD8</f>
        <v>4614.5499999999993</v>
      </c>
      <c r="AG8" s="2697"/>
      <c r="AH8" s="238">
        <v>0</v>
      </c>
      <c r="AI8" s="3251"/>
      <c r="AJ8" s="3251">
        <f t="shared" ref="AJ8:AJ87" si="7">+AF8+AH8</f>
        <v>4614.5499999999993</v>
      </c>
      <c r="AK8" s="2697"/>
      <c r="AL8" s="238">
        <v>0</v>
      </c>
      <c r="AM8" s="3613"/>
      <c r="AN8" s="3613">
        <f t="shared" ref="AN8:AN91" si="8">AD8+AH8+AL8</f>
        <v>0</v>
      </c>
      <c r="AO8" s="3612"/>
      <c r="AP8" s="3612">
        <f t="shared" ref="AP8:AP87" si="9">+AJ8+AL8</f>
        <v>4614.5499999999993</v>
      </c>
      <c r="AQ8" s="2697"/>
      <c r="AR8" s="3872">
        <v>1033.1999999999998</v>
      </c>
      <c r="AS8" s="3894"/>
      <c r="AT8" s="3894">
        <f t="shared" ref="AT8:AT75" si="10">+AP8+AR8</f>
        <v>5647.7499999999991</v>
      </c>
      <c r="AU8" s="2697"/>
      <c r="AV8" s="4060"/>
      <c r="AW8" s="4081"/>
      <c r="AX8" s="4096">
        <f t="shared" ref="AX8:AX71" si="11">+AT8+AV8</f>
        <v>5647.7499999999991</v>
      </c>
      <c r="AY8" s="2697"/>
      <c r="AZ8" s="4223"/>
      <c r="BA8" s="4269"/>
      <c r="BB8" s="4565">
        <f t="shared" ref="BB8:BB71" si="12">AR8+AV8+AZ8</f>
        <v>1033.1999999999998</v>
      </c>
      <c r="BC8" s="1854"/>
      <c r="BD8" s="1854">
        <f t="shared" ref="BD8:BD71" si="13">AN8+BB8</f>
        <v>1033.1999999999998</v>
      </c>
      <c r="BE8" s="4564"/>
      <c r="BF8" s="4564">
        <f t="shared" ref="BF8:BF71" si="14">+AX8+AZ8</f>
        <v>5647.7499999999991</v>
      </c>
    </row>
    <row r="9" spans="1:58" s="334" customFormat="1" ht="15.75" x14ac:dyDescent="0.25">
      <c r="B9" s="2694" t="s">
        <v>75</v>
      </c>
      <c r="C9" s="3417" t="s">
        <v>1355</v>
      </c>
      <c r="D9" s="111" t="s">
        <v>53</v>
      </c>
      <c r="E9" s="2328"/>
      <c r="F9" s="238">
        <f>862.92-6.072</f>
        <v>856.84799999999996</v>
      </c>
      <c r="G9" s="2696"/>
      <c r="H9" s="238"/>
      <c r="I9" s="2339"/>
      <c r="J9" s="2339">
        <f t="shared" si="1"/>
        <v>856.84799999999996</v>
      </c>
      <c r="K9" s="2697"/>
      <c r="L9" s="238">
        <f>592.45-6.15</f>
        <v>586.30000000000007</v>
      </c>
      <c r="M9" s="1568"/>
      <c r="N9" s="1568">
        <f t="shared" si="2"/>
        <v>1443.1480000000001</v>
      </c>
      <c r="O9" s="2697"/>
      <c r="P9" s="238">
        <f>2677.3-2.05-2.05</f>
        <v>2673.2</v>
      </c>
      <c r="Q9" s="1586"/>
      <c r="R9" s="1586">
        <f t="shared" si="3"/>
        <v>4116.348</v>
      </c>
      <c r="S9" s="2697"/>
      <c r="T9" s="238">
        <f>518.65+516.6</f>
        <v>1035.25</v>
      </c>
      <c r="U9" s="1586"/>
      <c r="V9" s="1586">
        <f t="shared" si="4"/>
        <v>5151.598</v>
      </c>
      <c r="W9" s="2697"/>
      <c r="X9" s="238">
        <v>643.69999999999993</v>
      </c>
      <c r="Y9" s="1568"/>
      <c r="Z9" s="1568">
        <f t="shared" si="5"/>
        <v>4352.1499999999996</v>
      </c>
      <c r="AA9" s="1854"/>
      <c r="AB9" s="1854">
        <f t="shared" si="0"/>
        <v>5795.2979999999998</v>
      </c>
      <c r="AC9" s="2697"/>
      <c r="AD9" s="238">
        <v>861</v>
      </c>
      <c r="AE9" s="3152"/>
      <c r="AF9" s="3152">
        <f t="shared" si="6"/>
        <v>6656.2979999999998</v>
      </c>
      <c r="AG9" s="2697"/>
      <c r="AH9" s="238">
        <v>325.95</v>
      </c>
      <c r="AI9" s="3251"/>
      <c r="AJ9" s="3251">
        <f t="shared" si="7"/>
        <v>6982.2479999999996</v>
      </c>
      <c r="AK9" s="2697"/>
      <c r="AL9" s="238">
        <v>846.65</v>
      </c>
      <c r="AM9" s="3613"/>
      <c r="AN9" s="3613">
        <f t="shared" si="8"/>
        <v>2033.6</v>
      </c>
      <c r="AO9" s="3612"/>
      <c r="AP9" s="3612">
        <f t="shared" si="9"/>
        <v>7828.8979999999992</v>
      </c>
      <c r="AQ9" s="2714"/>
      <c r="AR9" s="3872">
        <f>1443.2-14.35</f>
        <v>1428.8500000000001</v>
      </c>
      <c r="AS9" s="3894"/>
      <c r="AT9" s="3894">
        <f t="shared" si="10"/>
        <v>9257.7479999999996</v>
      </c>
      <c r="AU9" s="2714"/>
      <c r="AV9" s="4060"/>
      <c r="AW9" s="4081"/>
      <c r="AX9" s="4096">
        <f t="shared" si="11"/>
        <v>9257.7479999999996</v>
      </c>
      <c r="AY9" s="2714"/>
      <c r="AZ9" s="4223">
        <f>2150.45</f>
        <v>2150.4499999999998</v>
      </c>
      <c r="BA9" s="4269"/>
      <c r="BB9" s="4565">
        <f t="shared" si="12"/>
        <v>3579.3</v>
      </c>
      <c r="BC9" s="1854"/>
      <c r="BD9" s="1854">
        <f t="shared" si="13"/>
        <v>5612.9</v>
      </c>
      <c r="BE9" s="4564"/>
      <c r="BF9" s="4564">
        <f t="shared" si="14"/>
        <v>11408.198</v>
      </c>
    </row>
    <row r="10" spans="1:58" s="334" customFormat="1" ht="15.75" x14ac:dyDescent="0.25">
      <c r="B10" s="2694" t="s">
        <v>75</v>
      </c>
      <c r="C10" s="3417" t="s">
        <v>1444</v>
      </c>
      <c r="D10" s="111" t="s">
        <v>53</v>
      </c>
      <c r="E10" s="2328"/>
      <c r="F10" s="238">
        <v>0</v>
      </c>
      <c r="G10" s="2696"/>
      <c r="H10" s="238"/>
      <c r="I10" s="2339"/>
      <c r="J10" s="2339">
        <f t="shared" si="1"/>
        <v>0</v>
      </c>
      <c r="K10" s="2697"/>
      <c r="L10" s="238"/>
      <c r="M10" s="1568"/>
      <c r="N10" s="1568">
        <f t="shared" si="2"/>
        <v>0</v>
      </c>
      <c r="O10" s="2697"/>
      <c r="P10" s="238">
        <v>586.29999999999995</v>
      </c>
      <c r="Q10" s="1586"/>
      <c r="R10" s="1586">
        <f t="shared" si="3"/>
        <v>586.29999999999995</v>
      </c>
      <c r="S10" s="2697"/>
      <c r="T10" s="238">
        <v>0</v>
      </c>
      <c r="U10" s="1586"/>
      <c r="V10" s="1586">
        <f t="shared" si="4"/>
        <v>586.29999999999995</v>
      </c>
      <c r="W10" s="2697"/>
      <c r="X10" s="238">
        <v>0</v>
      </c>
      <c r="Y10" s="1568"/>
      <c r="Z10" s="1568">
        <f t="shared" si="5"/>
        <v>586.29999999999995</v>
      </c>
      <c r="AA10" s="1854"/>
      <c r="AB10" s="1854">
        <f t="shared" si="0"/>
        <v>586.29999999999995</v>
      </c>
      <c r="AC10" s="2697"/>
      <c r="AD10" s="238">
        <f>524.8-12.3-4.1</f>
        <v>508.4</v>
      </c>
      <c r="AE10" s="3152"/>
      <c r="AF10" s="3152">
        <f t="shared" si="6"/>
        <v>1094.6999999999998</v>
      </c>
      <c r="AG10" s="2697"/>
      <c r="AH10" s="238">
        <v>0</v>
      </c>
      <c r="AI10" s="3251"/>
      <c r="AJ10" s="3251">
        <f t="shared" si="7"/>
        <v>1094.6999999999998</v>
      </c>
      <c r="AK10" s="2697"/>
      <c r="AL10" s="238">
        <v>0</v>
      </c>
      <c r="AM10" s="3613"/>
      <c r="AN10" s="3613">
        <f t="shared" si="8"/>
        <v>508.4</v>
      </c>
      <c r="AO10" s="3612"/>
      <c r="AP10" s="3612">
        <f t="shared" si="9"/>
        <v>1094.6999999999998</v>
      </c>
      <c r="AQ10" s="2697"/>
      <c r="AR10" s="3872">
        <v>0</v>
      </c>
      <c r="AS10" s="3894"/>
      <c r="AT10" s="3894">
        <f t="shared" si="10"/>
        <v>1094.6999999999998</v>
      </c>
      <c r="AU10" s="2697"/>
      <c r="AV10" s="4060"/>
      <c r="AW10" s="4081"/>
      <c r="AX10" s="4096">
        <f t="shared" si="11"/>
        <v>1094.6999999999998</v>
      </c>
      <c r="AY10" s="2697"/>
      <c r="AZ10" s="4223"/>
      <c r="BA10" s="4269"/>
      <c r="BB10" s="4565">
        <f t="shared" si="12"/>
        <v>0</v>
      </c>
      <c r="BC10" s="1854"/>
      <c r="BD10" s="1854">
        <f t="shared" si="13"/>
        <v>508.4</v>
      </c>
      <c r="BE10" s="4564"/>
      <c r="BF10" s="4564">
        <f t="shared" si="14"/>
        <v>1094.6999999999998</v>
      </c>
    </row>
    <row r="11" spans="1:58" s="334" customFormat="1" ht="15.75" x14ac:dyDescent="0.25">
      <c r="B11" s="2694" t="s">
        <v>75</v>
      </c>
      <c r="C11" s="3417" t="s">
        <v>1144</v>
      </c>
      <c r="D11" s="111" t="s">
        <v>53</v>
      </c>
      <c r="E11" s="2328"/>
      <c r="F11" s="238"/>
      <c r="G11" s="2696"/>
      <c r="H11" s="238"/>
      <c r="I11" s="2339"/>
      <c r="J11" s="2339"/>
      <c r="K11" s="2697"/>
      <c r="L11" s="238"/>
      <c r="M11" s="1568"/>
      <c r="N11" s="1568"/>
      <c r="O11" s="2697"/>
      <c r="P11" s="238"/>
      <c r="Q11" s="1586"/>
      <c r="R11" s="1586"/>
      <c r="S11" s="2697"/>
      <c r="T11" s="238"/>
      <c r="U11" s="1586"/>
      <c r="V11" s="1586"/>
      <c r="W11" s="2697"/>
      <c r="X11" s="3103">
        <v>422.29999999999995</v>
      </c>
      <c r="Y11" s="1568"/>
      <c r="Z11" s="1568">
        <f t="shared" si="5"/>
        <v>422.29999999999995</v>
      </c>
      <c r="AA11" s="1854"/>
      <c r="AB11" s="1854">
        <f t="shared" si="0"/>
        <v>422.29999999999995</v>
      </c>
      <c r="AC11" s="2697"/>
      <c r="AD11" s="238">
        <v>397.7</v>
      </c>
      <c r="AE11" s="3152"/>
      <c r="AF11" s="3152">
        <f t="shared" si="6"/>
        <v>820</v>
      </c>
      <c r="AG11" s="2697"/>
      <c r="AH11" s="238">
        <v>2464.1</v>
      </c>
      <c r="AI11" s="3251"/>
      <c r="AJ11" s="3251">
        <f t="shared" si="7"/>
        <v>3284.1</v>
      </c>
      <c r="AK11" s="2697"/>
      <c r="AL11" s="238">
        <v>918.4</v>
      </c>
      <c r="AM11" s="3613"/>
      <c r="AN11" s="3613">
        <f t="shared" si="8"/>
        <v>3780.2</v>
      </c>
      <c r="AO11" s="3612"/>
      <c r="AP11" s="3612">
        <f t="shared" si="9"/>
        <v>4202.5</v>
      </c>
      <c r="AQ11" s="2697"/>
      <c r="AR11" s="3872">
        <f>514.55-24.6</f>
        <v>489.94999999999993</v>
      </c>
      <c r="AS11" s="3894"/>
      <c r="AT11" s="3894">
        <f t="shared" si="10"/>
        <v>4692.45</v>
      </c>
      <c r="AU11" s="2697"/>
      <c r="AV11" s="4060"/>
      <c r="AW11" s="4081"/>
      <c r="AX11" s="4096">
        <f t="shared" si="11"/>
        <v>4692.45</v>
      </c>
      <c r="AY11" s="2697"/>
      <c r="AZ11" s="4223"/>
      <c r="BA11" s="4269"/>
      <c r="BB11" s="4565">
        <f t="shared" si="12"/>
        <v>489.94999999999993</v>
      </c>
      <c r="BC11" s="1854"/>
      <c r="BD11" s="1854">
        <f t="shared" si="13"/>
        <v>4270.1499999999996</v>
      </c>
      <c r="BE11" s="4564"/>
      <c r="BF11" s="4564">
        <f t="shared" si="14"/>
        <v>4692.45</v>
      </c>
    </row>
    <row r="12" spans="1:58" s="334" customFormat="1" ht="15.75" x14ac:dyDescent="0.25">
      <c r="B12" s="2694" t="s">
        <v>75</v>
      </c>
      <c r="C12" s="3417" t="s">
        <v>1146</v>
      </c>
      <c r="D12" s="111" t="s">
        <v>53</v>
      </c>
      <c r="E12" s="2328"/>
      <c r="F12" s="238">
        <v>0</v>
      </c>
      <c r="G12" s="2696"/>
      <c r="H12" s="238"/>
      <c r="I12" s="2339"/>
      <c r="J12" s="2339">
        <f t="shared" si="1"/>
        <v>0</v>
      </c>
      <c r="K12" s="2697"/>
      <c r="L12" s="238">
        <v>243.95</v>
      </c>
      <c r="M12" s="1568"/>
      <c r="N12" s="1568">
        <f t="shared" si="2"/>
        <v>243.95</v>
      </c>
      <c r="O12" s="2697"/>
      <c r="P12" s="238">
        <f>590.4-4.1</f>
        <v>586.29999999999995</v>
      </c>
      <c r="Q12" s="1586"/>
      <c r="R12" s="1586">
        <f t="shared" si="3"/>
        <v>830.25</v>
      </c>
      <c r="S12" s="2697"/>
      <c r="T12" s="238">
        <f>1291.5-4.1-34.85</f>
        <v>1252.5500000000002</v>
      </c>
      <c r="U12" s="1586"/>
      <c r="V12" s="1586">
        <f t="shared" si="4"/>
        <v>2082.8000000000002</v>
      </c>
      <c r="W12" s="2697"/>
      <c r="X12" s="238">
        <v>0</v>
      </c>
      <c r="Y12" s="1568"/>
      <c r="Z12" s="1568">
        <f t="shared" si="5"/>
        <v>1838.8500000000001</v>
      </c>
      <c r="AA12" s="1854"/>
      <c r="AB12" s="1854">
        <f t="shared" si="0"/>
        <v>2082.8000000000002</v>
      </c>
      <c r="AC12" s="2697"/>
      <c r="AD12" s="238">
        <v>0</v>
      </c>
      <c r="AE12" s="3152"/>
      <c r="AF12" s="3152">
        <f t="shared" si="6"/>
        <v>2082.8000000000002</v>
      </c>
      <c r="AG12" s="2697"/>
      <c r="AH12" s="238">
        <v>1135.7</v>
      </c>
      <c r="AI12" s="3251"/>
      <c r="AJ12" s="3251">
        <f t="shared" si="7"/>
        <v>3218.5</v>
      </c>
      <c r="AK12" s="2697"/>
      <c r="AL12" s="238">
        <v>1185.0559999999998</v>
      </c>
      <c r="AM12" s="3613"/>
      <c r="AN12" s="3613">
        <f t="shared" si="8"/>
        <v>2320.7559999999999</v>
      </c>
      <c r="AO12" s="3612"/>
      <c r="AP12" s="3612">
        <f t="shared" si="9"/>
        <v>4403.5559999999996</v>
      </c>
      <c r="AQ12" s="2697"/>
      <c r="AR12" s="3872">
        <v>1018.85</v>
      </c>
      <c r="AS12" s="3894"/>
      <c r="AT12" s="3894">
        <f t="shared" si="10"/>
        <v>5422.4059999999999</v>
      </c>
      <c r="AU12" s="2697"/>
      <c r="AV12" s="4060"/>
      <c r="AW12" s="4081"/>
      <c r="AX12" s="4096">
        <f t="shared" si="11"/>
        <v>5422.4059999999999</v>
      </c>
      <c r="AY12" s="2697"/>
      <c r="AZ12" s="4223">
        <v>844.6</v>
      </c>
      <c r="BA12" s="4269"/>
      <c r="BB12" s="4565">
        <f t="shared" si="12"/>
        <v>1863.45</v>
      </c>
      <c r="BC12" s="1854"/>
      <c r="BD12" s="1854">
        <f t="shared" si="13"/>
        <v>4184.2060000000001</v>
      </c>
      <c r="BE12" s="4564"/>
      <c r="BF12" s="4564">
        <f t="shared" si="14"/>
        <v>6267.0060000000003</v>
      </c>
    </row>
    <row r="13" spans="1:58" s="334" customFormat="1" ht="15.75" x14ac:dyDescent="0.25">
      <c r="B13" s="2694" t="s">
        <v>75</v>
      </c>
      <c r="C13" s="3417" t="s">
        <v>1354</v>
      </c>
      <c r="D13" s="111" t="s">
        <v>53</v>
      </c>
      <c r="E13" s="2328"/>
      <c r="F13" s="238">
        <v>0</v>
      </c>
      <c r="G13" s="2696"/>
      <c r="H13" s="238"/>
      <c r="I13" s="2339"/>
      <c r="J13" s="2339">
        <f t="shared" si="1"/>
        <v>0</v>
      </c>
      <c r="K13" s="2697"/>
      <c r="L13" s="238">
        <f>875.35-4.1</f>
        <v>871.25</v>
      </c>
      <c r="M13" s="1568"/>
      <c r="N13" s="1568">
        <f t="shared" si="2"/>
        <v>871.25</v>
      </c>
      <c r="O13" s="2697"/>
      <c r="P13" s="238">
        <v>0</v>
      </c>
      <c r="Q13" s="1586"/>
      <c r="R13" s="1586">
        <f t="shared" si="3"/>
        <v>871.25</v>
      </c>
      <c r="S13" s="2697"/>
      <c r="T13" s="238">
        <v>512.5</v>
      </c>
      <c r="U13" s="1586"/>
      <c r="V13" s="1586">
        <f t="shared" si="4"/>
        <v>1383.75</v>
      </c>
      <c r="W13" s="2697"/>
      <c r="X13" s="238">
        <f>1439.1-4.1</f>
        <v>1435</v>
      </c>
      <c r="Y13" s="1568"/>
      <c r="Z13" s="1568">
        <f t="shared" si="5"/>
        <v>1947.5</v>
      </c>
      <c r="AA13" s="1854"/>
      <c r="AB13" s="1854">
        <f t="shared" si="0"/>
        <v>2818.75</v>
      </c>
      <c r="AC13" s="2697"/>
      <c r="AD13" s="238">
        <f>789.25-14.35</f>
        <v>774.9</v>
      </c>
      <c r="AE13" s="3152"/>
      <c r="AF13" s="3152">
        <f t="shared" si="6"/>
        <v>3593.65</v>
      </c>
      <c r="AG13" s="2697"/>
      <c r="AH13" s="238">
        <v>1277.1499999999999</v>
      </c>
      <c r="AI13" s="3251"/>
      <c r="AJ13" s="3251">
        <f t="shared" si="7"/>
        <v>4870.8</v>
      </c>
      <c r="AK13" s="2697"/>
      <c r="AL13" s="238">
        <v>0</v>
      </c>
      <c r="AM13" s="3613"/>
      <c r="AN13" s="3613">
        <f t="shared" si="8"/>
        <v>2052.0499999999997</v>
      </c>
      <c r="AO13" s="3612"/>
      <c r="AP13" s="3612">
        <f t="shared" si="9"/>
        <v>4870.8</v>
      </c>
      <c r="AQ13" s="2697"/>
      <c r="AR13" s="3872">
        <v>504.29999999999995</v>
      </c>
      <c r="AS13" s="3894"/>
      <c r="AT13" s="3894">
        <f t="shared" si="10"/>
        <v>5375.1</v>
      </c>
      <c r="AU13" s="2697"/>
      <c r="AV13" s="4060"/>
      <c r="AW13" s="4081"/>
      <c r="AX13" s="4096">
        <f t="shared" si="11"/>
        <v>5375.1</v>
      </c>
      <c r="AY13" s="2697"/>
      <c r="AZ13" s="4223">
        <v>1213.5999999999999</v>
      </c>
      <c r="BA13" s="4269"/>
      <c r="BB13" s="4565">
        <f t="shared" si="12"/>
        <v>1717.8999999999999</v>
      </c>
      <c r="BC13" s="1854"/>
      <c r="BD13" s="1854">
        <f t="shared" si="13"/>
        <v>3769.95</v>
      </c>
      <c r="BE13" s="4564"/>
      <c r="BF13" s="4564">
        <f t="shared" si="14"/>
        <v>6588.7000000000007</v>
      </c>
    </row>
    <row r="14" spans="1:58" s="334" customFormat="1" ht="15.75" x14ac:dyDescent="0.25">
      <c r="B14" s="2694" t="s">
        <v>75</v>
      </c>
      <c r="C14" s="3417" t="s">
        <v>1793</v>
      </c>
      <c r="D14" s="3899" t="s">
        <v>53</v>
      </c>
      <c r="E14" s="2328"/>
      <c r="F14" s="3872"/>
      <c r="G14" s="2696"/>
      <c r="H14" s="3872"/>
      <c r="I14" s="3874"/>
      <c r="J14" s="3874"/>
      <c r="K14" s="2697"/>
      <c r="L14" s="3872"/>
      <c r="M14" s="3895"/>
      <c r="N14" s="3895"/>
      <c r="O14" s="2697"/>
      <c r="P14" s="3872"/>
      <c r="Q14" s="3894"/>
      <c r="R14" s="3894"/>
      <c r="S14" s="2697"/>
      <c r="T14" s="3872"/>
      <c r="U14" s="3894"/>
      <c r="V14" s="3894"/>
      <c r="W14" s="2697"/>
      <c r="X14" s="3872"/>
      <c r="Y14" s="3895"/>
      <c r="Z14" s="3895"/>
      <c r="AA14" s="1854"/>
      <c r="AB14" s="1854"/>
      <c r="AC14" s="2697"/>
      <c r="AD14" s="3872"/>
      <c r="AE14" s="3894"/>
      <c r="AF14" s="3894"/>
      <c r="AG14" s="2697"/>
      <c r="AH14" s="3872"/>
      <c r="AI14" s="3894"/>
      <c r="AJ14" s="3894"/>
      <c r="AK14" s="2697"/>
      <c r="AL14" s="3872"/>
      <c r="AM14" s="3895"/>
      <c r="AN14" s="3895"/>
      <c r="AO14" s="3894"/>
      <c r="AP14" s="3894"/>
      <c r="AQ14" s="2697"/>
      <c r="AR14" s="3872">
        <v>207.05</v>
      </c>
      <c r="AS14" s="3894"/>
      <c r="AT14" s="3894">
        <f t="shared" si="10"/>
        <v>207.05</v>
      </c>
      <c r="AU14" s="2697"/>
      <c r="AV14" s="4060"/>
      <c r="AW14" s="4081"/>
      <c r="AX14" s="4096">
        <f t="shared" si="11"/>
        <v>207.05</v>
      </c>
      <c r="AY14" s="2697"/>
      <c r="AZ14" s="4223"/>
      <c r="BA14" s="4269"/>
      <c r="BB14" s="4565">
        <f t="shared" si="12"/>
        <v>207.05</v>
      </c>
      <c r="BC14" s="1854"/>
      <c r="BD14" s="1854">
        <f t="shared" si="13"/>
        <v>207.05</v>
      </c>
      <c r="BE14" s="4564"/>
      <c r="BF14" s="4564">
        <f t="shared" si="14"/>
        <v>207.05</v>
      </c>
    </row>
    <row r="15" spans="1:58" s="334" customFormat="1" ht="15.75" x14ac:dyDescent="0.25">
      <c r="B15" s="2694" t="s">
        <v>75</v>
      </c>
      <c r="C15" s="3417" t="s">
        <v>1356</v>
      </c>
      <c r="D15" s="111" t="s">
        <v>53</v>
      </c>
      <c r="E15" s="2328"/>
      <c r="F15" s="238">
        <f>373.32-6.072</f>
        <v>367.24799999999999</v>
      </c>
      <c r="G15" s="2696"/>
      <c r="H15" s="238"/>
      <c r="I15" s="2339"/>
      <c r="J15" s="2339">
        <f t="shared" si="1"/>
        <v>367.24799999999999</v>
      </c>
      <c r="K15" s="2697"/>
      <c r="L15" s="238">
        <f>403.85-10.25</f>
        <v>393.6</v>
      </c>
      <c r="M15" s="1568"/>
      <c r="N15" s="1568">
        <f t="shared" si="2"/>
        <v>760.84799999999996</v>
      </c>
      <c r="O15" s="2697"/>
      <c r="P15" s="238">
        <v>1066</v>
      </c>
      <c r="Q15" s="1586"/>
      <c r="R15" s="1586">
        <f t="shared" si="3"/>
        <v>1826.848</v>
      </c>
      <c r="S15" s="2697"/>
      <c r="T15" s="238">
        <v>518.65</v>
      </c>
      <c r="U15" s="1586"/>
      <c r="V15" s="1586">
        <f t="shared" si="4"/>
        <v>2345.498</v>
      </c>
      <c r="W15" s="2697"/>
      <c r="X15" s="238">
        <f>524.8-2.05</f>
        <v>522.75</v>
      </c>
      <c r="Y15" s="1568"/>
      <c r="Z15" s="1568">
        <f t="shared" si="5"/>
        <v>2107.4</v>
      </c>
      <c r="AA15" s="1854"/>
      <c r="AB15" s="1854">
        <f t="shared" si="0"/>
        <v>2868.248</v>
      </c>
      <c r="AC15" s="2697"/>
      <c r="AD15" s="238">
        <v>0</v>
      </c>
      <c r="AE15" s="3152"/>
      <c r="AF15" s="3152">
        <f t="shared" si="6"/>
        <v>2868.248</v>
      </c>
      <c r="AG15" s="2697"/>
      <c r="AH15" s="238">
        <v>990.15</v>
      </c>
      <c r="AI15" s="3251"/>
      <c r="AJ15" s="3251">
        <f t="shared" si="7"/>
        <v>3858.3980000000001</v>
      </c>
      <c r="AK15" s="2697"/>
      <c r="AL15" s="238">
        <v>1232.0499999999997</v>
      </c>
      <c r="AM15" s="3613"/>
      <c r="AN15" s="3613">
        <f t="shared" si="8"/>
        <v>2222.1999999999998</v>
      </c>
      <c r="AO15" s="3612"/>
      <c r="AP15" s="3612">
        <f t="shared" si="9"/>
        <v>5090.4480000000003</v>
      </c>
      <c r="AQ15" s="2697"/>
      <c r="AR15" s="3872">
        <v>1012.7</v>
      </c>
      <c r="AS15" s="3894"/>
      <c r="AT15" s="3894">
        <f t="shared" si="10"/>
        <v>6103.1480000000001</v>
      </c>
      <c r="AU15" s="2697"/>
      <c r="AV15" s="4060"/>
      <c r="AW15" s="4081"/>
      <c r="AX15" s="4096">
        <f t="shared" si="11"/>
        <v>6103.1480000000001</v>
      </c>
      <c r="AY15" s="2697"/>
      <c r="AZ15" s="4223"/>
      <c r="BA15" s="4269"/>
      <c r="BB15" s="4565">
        <f t="shared" si="12"/>
        <v>1012.7</v>
      </c>
      <c r="BC15" s="1854"/>
      <c r="BD15" s="1854">
        <f t="shared" si="13"/>
        <v>3234.8999999999996</v>
      </c>
      <c r="BE15" s="4564"/>
      <c r="BF15" s="4564">
        <f t="shared" si="14"/>
        <v>6103.1480000000001</v>
      </c>
    </row>
    <row r="16" spans="1:58" s="334" customFormat="1" ht="15.75" x14ac:dyDescent="0.25">
      <c r="B16" s="2694" t="s">
        <v>75</v>
      </c>
      <c r="C16" s="3417" t="s">
        <v>1357</v>
      </c>
      <c r="D16" s="111" t="s">
        <v>53</v>
      </c>
      <c r="E16" s="2328"/>
      <c r="F16" s="238"/>
      <c r="G16" s="2696"/>
      <c r="H16" s="238"/>
      <c r="I16" s="2339"/>
      <c r="J16" s="2339"/>
      <c r="K16" s="2697"/>
      <c r="L16" s="238"/>
      <c r="M16" s="1568"/>
      <c r="N16" s="1568"/>
      <c r="O16" s="2697"/>
      <c r="P16" s="238"/>
      <c r="Q16" s="1586"/>
      <c r="R16" s="1586"/>
      <c r="S16" s="2697"/>
      <c r="T16" s="238"/>
      <c r="U16" s="1586"/>
      <c r="V16" s="1586"/>
      <c r="W16" s="2697"/>
      <c r="X16" s="3103">
        <v>43.05</v>
      </c>
      <c r="Y16" s="1568"/>
      <c r="Z16" s="1568">
        <f t="shared" si="5"/>
        <v>43.05</v>
      </c>
      <c r="AA16" s="1854"/>
      <c r="AB16" s="1854">
        <f t="shared" si="0"/>
        <v>43.05</v>
      </c>
      <c r="AC16" s="2697"/>
      <c r="AD16" s="238">
        <f>604.75-10.25</f>
        <v>594.5</v>
      </c>
      <c r="AE16" s="3152"/>
      <c r="AF16" s="3152">
        <f t="shared" si="6"/>
        <v>637.54999999999995</v>
      </c>
      <c r="AG16" s="2697"/>
      <c r="AH16" s="238">
        <v>0</v>
      </c>
      <c r="AI16" s="3251"/>
      <c r="AJ16" s="3251">
        <f t="shared" si="7"/>
        <v>637.54999999999995</v>
      </c>
      <c r="AK16" s="2697"/>
      <c r="AL16" s="238">
        <v>0</v>
      </c>
      <c r="AM16" s="3613"/>
      <c r="AN16" s="3613">
        <f t="shared" si="8"/>
        <v>594.5</v>
      </c>
      <c r="AO16" s="3612"/>
      <c r="AP16" s="3612">
        <f t="shared" si="9"/>
        <v>637.54999999999995</v>
      </c>
      <c r="AQ16" s="2697"/>
      <c r="AR16" s="3872">
        <v>0</v>
      </c>
      <c r="AS16" s="3894"/>
      <c r="AT16" s="3894">
        <f t="shared" si="10"/>
        <v>637.54999999999995</v>
      </c>
      <c r="AU16" s="2697"/>
      <c r="AV16" s="4060"/>
      <c r="AW16" s="4081"/>
      <c r="AX16" s="4096">
        <f t="shared" si="11"/>
        <v>637.54999999999995</v>
      </c>
      <c r="AY16" s="2697"/>
      <c r="AZ16" s="4223"/>
      <c r="BA16" s="4269"/>
      <c r="BB16" s="4565">
        <f t="shared" si="12"/>
        <v>0</v>
      </c>
      <c r="BC16" s="1854"/>
      <c r="BD16" s="1854">
        <f t="shared" si="13"/>
        <v>594.5</v>
      </c>
      <c r="BE16" s="4564"/>
      <c r="BF16" s="4564">
        <f t="shared" si="14"/>
        <v>637.54999999999995</v>
      </c>
    </row>
    <row r="17" spans="2:58" s="334" customFormat="1" ht="15.75" x14ac:dyDescent="0.25">
      <c r="B17" s="2694" t="s">
        <v>75</v>
      </c>
      <c r="C17" s="3417" t="s">
        <v>1794</v>
      </c>
      <c r="D17" s="3899" t="s">
        <v>53</v>
      </c>
      <c r="E17" s="2328"/>
      <c r="F17" s="3872"/>
      <c r="G17" s="2696"/>
      <c r="H17" s="3872"/>
      <c r="I17" s="3874"/>
      <c r="J17" s="3874"/>
      <c r="K17" s="2697"/>
      <c r="L17" s="3872"/>
      <c r="M17" s="3895"/>
      <c r="N17" s="3895"/>
      <c r="O17" s="2697"/>
      <c r="P17" s="3872"/>
      <c r="Q17" s="3894"/>
      <c r="R17" s="3894"/>
      <c r="S17" s="2697"/>
      <c r="T17" s="3872"/>
      <c r="U17" s="3894"/>
      <c r="V17" s="3894"/>
      <c r="W17" s="2697"/>
      <c r="X17" s="3873"/>
      <c r="Y17" s="3895"/>
      <c r="Z17" s="3895"/>
      <c r="AA17" s="1854"/>
      <c r="AB17" s="1854"/>
      <c r="AC17" s="2697"/>
      <c r="AD17" s="3872"/>
      <c r="AE17" s="3894"/>
      <c r="AF17" s="3894"/>
      <c r="AG17" s="2697"/>
      <c r="AH17" s="3872"/>
      <c r="AI17" s="3894"/>
      <c r="AJ17" s="3894"/>
      <c r="AK17" s="2697"/>
      <c r="AL17" s="3872"/>
      <c r="AM17" s="3895"/>
      <c r="AN17" s="3895"/>
      <c r="AO17" s="3894"/>
      <c r="AP17" s="3894"/>
      <c r="AQ17" s="2697"/>
      <c r="AR17" s="3872">
        <v>104.55</v>
      </c>
      <c r="AS17" s="3894"/>
      <c r="AT17" s="3894">
        <f t="shared" si="10"/>
        <v>104.55</v>
      </c>
      <c r="AU17" s="2697"/>
      <c r="AV17" s="4060"/>
      <c r="AW17" s="4081"/>
      <c r="AX17" s="4096">
        <f t="shared" si="11"/>
        <v>104.55</v>
      </c>
      <c r="AY17" s="2697"/>
      <c r="AZ17" s="4223"/>
      <c r="BA17" s="4269"/>
      <c r="BB17" s="4565">
        <f t="shared" si="12"/>
        <v>104.55</v>
      </c>
      <c r="BC17" s="1854"/>
      <c r="BD17" s="1854">
        <f t="shared" si="13"/>
        <v>104.55</v>
      </c>
      <c r="BE17" s="4564"/>
      <c r="BF17" s="4564">
        <f t="shared" si="14"/>
        <v>104.55</v>
      </c>
    </row>
    <row r="18" spans="2:58" s="334" customFormat="1" ht="15.75" x14ac:dyDescent="0.25">
      <c r="B18" s="2694" t="s">
        <v>75</v>
      </c>
      <c r="C18" s="3417" t="s">
        <v>1358</v>
      </c>
      <c r="D18" s="111" t="s">
        <v>53</v>
      </c>
      <c r="E18" s="2328"/>
      <c r="F18" s="238">
        <f>1032.24-4.048</f>
        <v>1028.192</v>
      </c>
      <c r="G18" s="2696"/>
      <c r="H18" s="238"/>
      <c r="I18" s="2339"/>
      <c r="J18" s="2339">
        <f t="shared" si="1"/>
        <v>1028.192</v>
      </c>
      <c r="K18" s="2697"/>
      <c r="L18" s="238">
        <f>1560.05-2.05</f>
        <v>1558</v>
      </c>
      <c r="M18" s="1568"/>
      <c r="N18" s="1568">
        <f t="shared" si="2"/>
        <v>2586.192</v>
      </c>
      <c r="O18" s="2697"/>
      <c r="P18" s="238">
        <v>1033.1999999999998</v>
      </c>
      <c r="Q18" s="1586"/>
      <c r="R18" s="1586">
        <f t="shared" si="3"/>
        <v>3619.3919999999998</v>
      </c>
      <c r="S18" s="2697"/>
      <c r="T18" s="238">
        <v>491.99999999999994</v>
      </c>
      <c r="U18" s="1586"/>
      <c r="V18" s="1586">
        <f t="shared" si="4"/>
        <v>4111.3919999999998</v>
      </c>
      <c r="W18" s="2697"/>
      <c r="X18" s="238">
        <v>758.49999999999989</v>
      </c>
      <c r="Y18" s="1568"/>
      <c r="Z18" s="1568">
        <f t="shared" si="5"/>
        <v>2283.6999999999998</v>
      </c>
      <c r="AA18" s="1854"/>
      <c r="AB18" s="1854">
        <f t="shared" si="0"/>
        <v>4869.8919999999998</v>
      </c>
      <c r="AC18" s="2697"/>
      <c r="AD18" s="238">
        <v>0</v>
      </c>
      <c r="AE18" s="3152"/>
      <c r="AF18" s="3152">
        <f t="shared" si="6"/>
        <v>4869.8919999999998</v>
      </c>
      <c r="AG18" s="2697"/>
      <c r="AH18" s="238">
        <v>984</v>
      </c>
      <c r="AI18" s="3251"/>
      <c r="AJ18" s="3251">
        <f t="shared" si="7"/>
        <v>5853.8919999999998</v>
      </c>
      <c r="AK18" s="2697"/>
      <c r="AL18" s="238">
        <v>1430.9</v>
      </c>
      <c r="AM18" s="3613"/>
      <c r="AN18" s="3613">
        <f t="shared" si="8"/>
        <v>2414.9</v>
      </c>
      <c r="AO18" s="3612"/>
      <c r="AP18" s="3612">
        <f t="shared" si="9"/>
        <v>7284.7919999999995</v>
      </c>
      <c r="AQ18" s="2697"/>
      <c r="AR18" s="3872">
        <v>984</v>
      </c>
      <c r="AS18" s="3894"/>
      <c r="AT18" s="3894">
        <f t="shared" si="10"/>
        <v>8268.7919999999995</v>
      </c>
      <c r="AU18" s="2697"/>
      <c r="AV18" s="4060"/>
      <c r="AW18" s="4081"/>
      <c r="AX18" s="4096">
        <f t="shared" si="11"/>
        <v>8268.7919999999995</v>
      </c>
      <c r="AY18" s="2697"/>
      <c r="AZ18" s="4223">
        <v>709.30000000000007</v>
      </c>
      <c r="BA18" s="4269"/>
      <c r="BB18" s="4565">
        <f t="shared" si="12"/>
        <v>1693.3000000000002</v>
      </c>
      <c r="BC18" s="1854"/>
      <c r="BD18" s="1854">
        <f t="shared" si="13"/>
        <v>4108.2000000000007</v>
      </c>
      <c r="BE18" s="4564"/>
      <c r="BF18" s="4564">
        <f t="shared" si="14"/>
        <v>8978.0919999999987</v>
      </c>
    </row>
    <row r="19" spans="2:58" s="334" customFormat="1" ht="15.75" x14ac:dyDescent="0.25">
      <c r="B19" s="2694" t="s">
        <v>75</v>
      </c>
      <c r="C19" s="3417" t="s">
        <v>1359</v>
      </c>
      <c r="D19" s="111" t="s">
        <v>53</v>
      </c>
      <c r="E19" s="2328"/>
      <c r="F19" s="238">
        <v>42.84</v>
      </c>
      <c r="G19" s="2696"/>
      <c r="H19" s="238"/>
      <c r="I19" s="2339"/>
      <c r="J19" s="2339">
        <f t="shared" si="1"/>
        <v>42.84</v>
      </c>
      <c r="K19" s="2697"/>
      <c r="L19" s="238"/>
      <c r="M19" s="1568"/>
      <c r="N19" s="1568">
        <f t="shared" si="2"/>
        <v>42.84</v>
      </c>
      <c r="O19" s="2697"/>
      <c r="P19" s="238">
        <v>0</v>
      </c>
      <c r="Q19" s="1586"/>
      <c r="R19" s="1586">
        <f t="shared" si="3"/>
        <v>42.84</v>
      </c>
      <c r="S19" s="2697"/>
      <c r="T19" s="238">
        <v>0</v>
      </c>
      <c r="U19" s="1586"/>
      <c r="V19" s="1586">
        <f t="shared" si="4"/>
        <v>42.84</v>
      </c>
      <c r="W19" s="2697"/>
      <c r="X19" s="238">
        <v>0</v>
      </c>
      <c r="Y19" s="1568"/>
      <c r="Z19" s="1568">
        <f t="shared" si="5"/>
        <v>0</v>
      </c>
      <c r="AA19" s="1854"/>
      <c r="AB19" s="1854">
        <f t="shared" si="0"/>
        <v>42.84</v>
      </c>
      <c r="AC19" s="2697"/>
      <c r="AD19" s="238">
        <v>0</v>
      </c>
      <c r="AE19" s="3152"/>
      <c r="AF19" s="3152">
        <f t="shared" si="6"/>
        <v>42.84</v>
      </c>
      <c r="AG19" s="2697"/>
      <c r="AH19" s="238">
        <v>328</v>
      </c>
      <c r="AI19" s="3251"/>
      <c r="AJ19" s="3251">
        <f t="shared" si="7"/>
        <v>370.84000000000003</v>
      </c>
      <c r="AK19" s="2697"/>
      <c r="AL19" s="238">
        <v>0</v>
      </c>
      <c r="AM19" s="3613"/>
      <c r="AN19" s="3613">
        <f t="shared" si="8"/>
        <v>328</v>
      </c>
      <c r="AO19" s="3612"/>
      <c r="AP19" s="3612">
        <f t="shared" si="9"/>
        <v>370.84000000000003</v>
      </c>
      <c r="AQ19" s="2697"/>
      <c r="AR19" s="3872"/>
      <c r="AS19" s="3894"/>
      <c r="AT19" s="3894">
        <f t="shared" si="10"/>
        <v>370.84000000000003</v>
      </c>
      <c r="AU19" s="2697"/>
      <c r="AV19" s="4060"/>
      <c r="AW19" s="4081"/>
      <c r="AX19" s="4096">
        <f t="shared" si="11"/>
        <v>370.84000000000003</v>
      </c>
      <c r="AY19" s="2697"/>
      <c r="AZ19" s="4223"/>
      <c r="BA19" s="4269"/>
      <c r="BB19" s="4565">
        <f t="shared" si="12"/>
        <v>0</v>
      </c>
      <c r="BC19" s="1854"/>
      <c r="BD19" s="1854">
        <f t="shared" si="13"/>
        <v>328</v>
      </c>
      <c r="BE19" s="4564"/>
      <c r="BF19" s="4564">
        <f t="shared" si="14"/>
        <v>370.84000000000003</v>
      </c>
    </row>
    <row r="20" spans="2:58" s="334" customFormat="1" ht="15.75" x14ac:dyDescent="0.25">
      <c r="B20" s="2694" t="s">
        <v>77</v>
      </c>
      <c r="C20" s="3417" t="s">
        <v>1353</v>
      </c>
      <c r="D20" s="111" t="s">
        <v>53</v>
      </c>
      <c r="E20" s="2328"/>
      <c r="F20" s="238">
        <f>3692.76-4.08-87.032</f>
        <v>3601.6480000000001</v>
      </c>
      <c r="G20" s="2696"/>
      <c r="H20" s="238"/>
      <c r="I20" s="2339"/>
      <c r="J20" s="2339">
        <f t="shared" si="1"/>
        <v>3601.6480000000001</v>
      </c>
      <c r="K20" s="2697"/>
      <c r="L20" s="238">
        <f>2796.2-12.3</f>
        <v>2783.8999999999996</v>
      </c>
      <c r="M20" s="1568"/>
      <c r="N20" s="1568">
        <f t="shared" si="2"/>
        <v>6385.5479999999998</v>
      </c>
      <c r="O20" s="2697"/>
      <c r="P20" s="238">
        <f>842.55-22.55-6.15</f>
        <v>813.85</v>
      </c>
      <c r="Q20" s="1586"/>
      <c r="R20" s="1586">
        <f t="shared" si="3"/>
        <v>7199.3980000000001</v>
      </c>
      <c r="S20" s="2697"/>
      <c r="T20" s="238">
        <v>922.49999999999989</v>
      </c>
      <c r="U20" s="1586"/>
      <c r="V20" s="1586">
        <f t="shared" si="4"/>
        <v>8121.8980000000001</v>
      </c>
      <c r="W20" s="2697"/>
      <c r="X20" s="238">
        <f>3296.4-2.05-2.05</f>
        <v>3292.2999999999997</v>
      </c>
      <c r="Y20" s="1568"/>
      <c r="Z20" s="1568">
        <f t="shared" si="5"/>
        <v>5028.6499999999996</v>
      </c>
      <c r="AA20" s="1854"/>
      <c r="AB20" s="1854">
        <f t="shared" si="0"/>
        <v>11414.198</v>
      </c>
      <c r="AC20" s="2697"/>
      <c r="AD20" s="238">
        <v>3396.85</v>
      </c>
      <c r="AE20" s="3152"/>
      <c r="AF20" s="3152">
        <f t="shared" si="6"/>
        <v>14811.048000000001</v>
      </c>
      <c r="AG20" s="2697"/>
      <c r="AH20" s="238">
        <v>2759.3</v>
      </c>
      <c r="AI20" s="3251"/>
      <c r="AJ20" s="3251">
        <f t="shared" si="7"/>
        <v>17570.348000000002</v>
      </c>
      <c r="AK20" s="2697"/>
      <c r="AL20" s="238">
        <v>3200.076</v>
      </c>
      <c r="AM20" s="3613"/>
      <c r="AN20" s="3613">
        <f t="shared" si="8"/>
        <v>9356.2259999999987</v>
      </c>
      <c r="AO20" s="3612"/>
      <c r="AP20" s="3612">
        <f t="shared" si="9"/>
        <v>20770.424000000003</v>
      </c>
      <c r="AQ20" s="2697"/>
      <c r="AR20" s="3872">
        <v>1574.4</v>
      </c>
      <c r="AS20" s="3894"/>
      <c r="AT20" s="3894">
        <f t="shared" si="10"/>
        <v>22344.824000000004</v>
      </c>
      <c r="AU20" s="2697"/>
      <c r="AV20" s="4060">
        <v>8737.0999999999985</v>
      </c>
      <c r="AW20" s="4081"/>
      <c r="AX20" s="4096">
        <f t="shared" si="11"/>
        <v>31081.924000000003</v>
      </c>
      <c r="AY20" s="2697"/>
      <c r="AZ20" s="4223">
        <v>4952.7999999999984</v>
      </c>
      <c r="BA20" s="4269"/>
      <c r="BB20" s="4565">
        <f t="shared" si="12"/>
        <v>15264.299999999996</v>
      </c>
      <c r="BC20" s="1854"/>
      <c r="BD20" s="1854">
        <f t="shared" si="13"/>
        <v>24620.525999999994</v>
      </c>
      <c r="BE20" s="4564"/>
      <c r="BF20" s="4564">
        <f t="shared" si="14"/>
        <v>36034.724000000002</v>
      </c>
    </row>
    <row r="21" spans="2:58" s="334" customFormat="1" ht="15.75" x14ac:dyDescent="0.25">
      <c r="B21" s="2694" t="s">
        <v>77</v>
      </c>
      <c r="C21" s="3417" t="s">
        <v>1145</v>
      </c>
      <c r="D21" s="111" t="s">
        <v>53</v>
      </c>
      <c r="E21" s="2328"/>
      <c r="F21" s="238">
        <f>4860.71-40.48-26.312</f>
        <v>4793.9180000000006</v>
      </c>
      <c r="G21" s="2696"/>
      <c r="H21" s="238">
        <f>3567-14.168-30.75</f>
        <v>3522.0819999999999</v>
      </c>
      <c r="I21" s="2339"/>
      <c r="J21" s="2339">
        <f t="shared" si="1"/>
        <v>8316</v>
      </c>
      <c r="K21" s="2697"/>
      <c r="L21" s="238">
        <f>5543.2-22.55-2.05</f>
        <v>5518.5999999999995</v>
      </c>
      <c r="M21" s="1568"/>
      <c r="N21" s="1568">
        <f t="shared" si="2"/>
        <v>13834.599999999999</v>
      </c>
      <c r="O21" s="2697"/>
      <c r="P21" s="238">
        <f>1250.5-8.2</f>
        <v>1242.3</v>
      </c>
      <c r="Q21" s="1586"/>
      <c r="R21" s="1586">
        <f t="shared" si="3"/>
        <v>15076.899999999998</v>
      </c>
      <c r="S21" s="2697"/>
      <c r="T21" s="238">
        <f>3589.55-16.4</f>
        <v>3573.15</v>
      </c>
      <c r="U21" s="1586"/>
      <c r="V21" s="1586">
        <f t="shared" si="4"/>
        <v>18650.05</v>
      </c>
      <c r="W21" s="2697"/>
      <c r="X21" s="238">
        <f>6654.3-14.35-4.1</f>
        <v>6635.8499999999995</v>
      </c>
      <c r="Y21" s="1568"/>
      <c r="Z21" s="1568">
        <f t="shared" si="5"/>
        <v>11451.3</v>
      </c>
      <c r="AA21" s="1854"/>
      <c r="AB21" s="1854">
        <f t="shared" si="0"/>
        <v>25285.899999999998</v>
      </c>
      <c r="AC21" s="2697"/>
      <c r="AD21" s="238">
        <f>2300.1-2.05-2.05</f>
        <v>2295.9999999999995</v>
      </c>
      <c r="AE21" s="3152"/>
      <c r="AF21" s="3152">
        <f t="shared" si="6"/>
        <v>27581.899999999998</v>
      </c>
      <c r="AG21" s="2697"/>
      <c r="AH21" s="238">
        <v>2142.25</v>
      </c>
      <c r="AI21" s="3251"/>
      <c r="AJ21" s="3251">
        <f t="shared" si="7"/>
        <v>29724.149999999998</v>
      </c>
      <c r="AK21" s="2697"/>
      <c r="AL21" s="238">
        <v>3253.3499999999995</v>
      </c>
      <c r="AM21" s="3613"/>
      <c r="AN21" s="3613">
        <f t="shared" si="8"/>
        <v>7691.5999999999995</v>
      </c>
      <c r="AO21" s="3612"/>
      <c r="AP21" s="3612">
        <f t="shared" si="9"/>
        <v>32977.5</v>
      </c>
      <c r="AQ21" s="2697"/>
      <c r="AR21" s="3872"/>
      <c r="AS21" s="3894"/>
      <c r="AT21" s="3894">
        <f t="shared" si="10"/>
        <v>32977.5</v>
      </c>
      <c r="AU21" s="2697"/>
      <c r="AV21" s="4060">
        <v>2144.2999999999997</v>
      </c>
      <c r="AW21" s="4081"/>
      <c r="AX21" s="4096">
        <f t="shared" si="11"/>
        <v>35121.800000000003</v>
      </c>
      <c r="AY21" s="2697"/>
      <c r="AZ21" s="4223">
        <f>3031.95-18.45</f>
        <v>3013.5</v>
      </c>
      <c r="BA21" s="4269"/>
      <c r="BB21" s="4565">
        <f t="shared" si="12"/>
        <v>5157.7999999999993</v>
      </c>
      <c r="BC21" s="1854"/>
      <c r="BD21" s="1854">
        <f t="shared" si="13"/>
        <v>12849.399999999998</v>
      </c>
      <c r="BE21" s="4564"/>
      <c r="BF21" s="4564">
        <f t="shared" si="14"/>
        <v>38135.300000000003</v>
      </c>
    </row>
    <row r="22" spans="2:58" s="334" customFormat="1" ht="15.75" x14ac:dyDescent="0.25">
      <c r="B22" s="2694" t="s">
        <v>77</v>
      </c>
      <c r="C22" s="3417" t="s">
        <v>1355</v>
      </c>
      <c r="D22" s="111" t="s">
        <v>53</v>
      </c>
      <c r="E22" s="2328"/>
      <c r="F22" s="238">
        <f>4223.53-36.432-30.36</f>
        <v>4156.7380000000003</v>
      </c>
      <c r="G22" s="2696"/>
      <c r="H22" s="238">
        <f>1707.65-10.12</f>
        <v>1697.5300000000002</v>
      </c>
      <c r="I22" s="2339"/>
      <c r="J22" s="2339">
        <f t="shared" si="1"/>
        <v>5854.268</v>
      </c>
      <c r="K22" s="2697"/>
      <c r="L22" s="238">
        <f>1797.85-12.3-2.05</f>
        <v>1783.5</v>
      </c>
      <c r="M22" s="1568"/>
      <c r="N22" s="1568">
        <f t="shared" si="2"/>
        <v>7637.768</v>
      </c>
      <c r="O22" s="2697"/>
      <c r="P22" s="238">
        <f>7714.15-65.6-24.496</f>
        <v>7624.0539999999992</v>
      </c>
      <c r="Q22" s="1586"/>
      <c r="R22" s="1586">
        <f t="shared" si="3"/>
        <v>15261.822</v>
      </c>
      <c r="S22" s="2697"/>
      <c r="T22" s="238">
        <v>0</v>
      </c>
      <c r="U22" s="1586"/>
      <c r="V22" s="1586">
        <f t="shared" si="4"/>
        <v>15261.822</v>
      </c>
      <c r="W22" s="2697"/>
      <c r="X22" s="238">
        <v>426.4</v>
      </c>
      <c r="Y22" s="1568"/>
      <c r="Z22" s="1568">
        <f t="shared" si="5"/>
        <v>8050.4539999999988</v>
      </c>
      <c r="AA22" s="1854"/>
      <c r="AB22" s="1854">
        <f t="shared" si="0"/>
        <v>15688.221999999998</v>
      </c>
      <c r="AC22" s="2697"/>
      <c r="AD22" s="238">
        <v>1959.8</v>
      </c>
      <c r="AE22" s="3152"/>
      <c r="AF22" s="3152">
        <f t="shared" si="6"/>
        <v>17648.021999999997</v>
      </c>
      <c r="AG22" s="2697"/>
      <c r="AH22" s="238">
        <v>1662.55</v>
      </c>
      <c r="AI22" s="3251"/>
      <c r="AJ22" s="3251">
        <f t="shared" si="7"/>
        <v>19310.571999999996</v>
      </c>
      <c r="AK22" s="2697"/>
      <c r="AL22" s="238">
        <v>4481.2999999999993</v>
      </c>
      <c r="AM22" s="3613"/>
      <c r="AN22" s="3613">
        <f t="shared" si="8"/>
        <v>8103.65</v>
      </c>
      <c r="AO22" s="3612"/>
      <c r="AP22" s="3612">
        <f t="shared" si="9"/>
        <v>23791.871999999996</v>
      </c>
      <c r="AQ22" s="2697"/>
      <c r="AR22" s="3872">
        <f>1674.85-4.1</f>
        <v>1670.75</v>
      </c>
      <c r="AS22" s="3894"/>
      <c r="AT22" s="3894">
        <f t="shared" si="10"/>
        <v>25462.621999999996</v>
      </c>
      <c r="AU22" s="2697"/>
      <c r="AV22" s="4060">
        <f>813.85-16.4</f>
        <v>797.45</v>
      </c>
      <c r="AW22" s="4081"/>
      <c r="AX22" s="4096">
        <f t="shared" si="11"/>
        <v>26260.071999999996</v>
      </c>
      <c r="AY22" s="2697"/>
      <c r="AZ22" s="4223"/>
      <c r="BA22" s="4269"/>
      <c r="BB22" s="4565">
        <f t="shared" si="12"/>
        <v>2468.1999999999998</v>
      </c>
      <c r="BC22" s="1854"/>
      <c r="BD22" s="1854">
        <f t="shared" si="13"/>
        <v>10571.849999999999</v>
      </c>
      <c r="BE22" s="4564"/>
      <c r="BF22" s="4564">
        <f t="shared" si="14"/>
        <v>26260.071999999996</v>
      </c>
    </row>
    <row r="23" spans="2:58" s="334" customFormat="1" ht="15.75" x14ac:dyDescent="0.25">
      <c r="B23" s="2694" t="s">
        <v>77</v>
      </c>
      <c r="C23" s="3417" t="s">
        <v>1736</v>
      </c>
      <c r="D23" s="111" t="s">
        <v>53</v>
      </c>
      <c r="E23" s="2328"/>
      <c r="F23" s="3640"/>
      <c r="G23" s="2696"/>
      <c r="H23" s="3640"/>
      <c r="I23" s="3597"/>
      <c r="J23" s="3597"/>
      <c r="K23" s="2697"/>
      <c r="L23" s="3640"/>
      <c r="M23" s="3613"/>
      <c r="N23" s="3613"/>
      <c r="O23" s="2697"/>
      <c r="P23" s="3640"/>
      <c r="Q23" s="3612"/>
      <c r="R23" s="3612"/>
      <c r="S23" s="2697"/>
      <c r="T23" s="3640"/>
      <c r="U23" s="3612"/>
      <c r="V23" s="3612"/>
      <c r="W23" s="2697"/>
      <c r="X23" s="3640"/>
      <c r="Y23" s="3613"/>
      <c r="Z23" s="3613"/>
      <c r="AA23" s="1854"/>
      <c r="AB23" s="1854"/>
      <c r="AC23" s="2697"/>
      <c r="AD23" s="3640"/>
      <c r="AE23" s="3612"/>
      <c r="AF23" s="3612"/>
      <c r="AG23" s="2697"/>
      <c r="AH23" s="3640"/>
      <c r="AI23" s="3612"/>
      <c r="AJ23" s="3612"/>
      <c r="AK23" s="2697"/>
      <c r="AL23" s="3640">
        <v>516.678</v>
      </c>
      <c r="AM23" s="3613"/>
      <c r="AN23" s="3613">
        <f t="shared" si="8"/>
        <v>516.678</v>
      </c>
      <c r="AO23" s="3612"/>
      <c r="AP23" s="3612">
        <f t="shared" si="9"/>
        <v>516.678</v>
      </c>
      <c r="AQ23" s="2697"/>
      <c r="AR23" s="3872"/>
      <c r="AS23" s="3894"/>
      <c r="AT23" s="3894">
        <f t="shared" si="10"/>
        <v>516.678</v>
      </c>
      <c r="AU23" s="2697"/>
      <c r="AV23" s="4060">
        <v>530.94999999999993</v>
      </c>
      <c r="AW23" s="4081"/>
      <c r="AX23" s="4096">
        <f t="shared" si="11"/>
        <v>1047.6279999999999</v>
      </c>
      <c r="AY23" s="2697"/>
      <c r="AZ23" s="4223">
        <f>594.5-2.05</f>
        <v>592.45000000000005</v>
      </c>
      <c r="BA23" s="4269"/>
      <c r="BB23" s="4565">
        <f t="shared" si="12"/>
        <v>1123.4000000000001</v>
      </c>
      <c r="BC23" s="1854"/>
      <c r="BD23" s="1854">
        <f t="shared" si="13"/>
        <v>1640.078</v>
      </c>
      <c r="BE23" s="4564"/>
      <c r="BF23" s="4564">
        <f t="shared" si="14"/>
        <v>1640.078</v>
      </c>
    </row>
    <row r="24" spans="2:58" s="334" customFormat="1" ht="15.75" x14ac:dyDescent="0.25">
      <c r="B24" s="2694" t="s">
        <v>77</v>
      </c>
      <c r="C24" s="3417" t="s">
        <v>1802</v>
      </c>
      <c r="D24" s="3899" t="s">
        <v>53</v>
      </c>
      <c r="E24" s="2328"/>
      <c r="F24" s="3872"/>
      <c r="G24" s="2696"/>
      <c r="H24" s="3872"/>
      <c r="I24" s="3874"/>
      <c r="J24" s="3874"/>
      <c r="K24" s="2697"/>
      <c r="L24" s="3872"/>
      <c r="M24" s="3895"/>
      <c r="N24" s="3895"/>
      <c r="O24" s="2697"/>
      <c r="P24" s="3872"/>
      <c r="Q24" s="3894"/>
      <c r="R24" s="3894"/>
      <c r="S24" s="2697"/>
      <c r="T24" s="3872"/>
      <c r="U24" s="3894"/>
      <c r="V24" s="3894"/>
      <c r="W24" s="2697"/>
      <c r="X24" s="3872"/>
      <c r="Y24" s="3895"/>
      <c r="Z24" s="3895"/>
      <c r="AA24" s="1854"/>
      <c r="AB24" s="1854"/>
      <c r="AC24" s="2697"/>
      <c r="AD24" s="3872"/>
      <c r="AE24" s="3894"/>
      <c r="AF24" s="3894"/>
      <c r="AG24" s="2697"/>
      <c r="AH24" s="3872"/>
      <c r="AI24" s="3894"/>
      <c r="AJ24" s="3894"/>
      <c r="AK24" s="2697"/>
      <c r="AL24" s="3872"/>
      <c r="AM24" s="3895"/>
      <c r="AN24" s="3895"/>
      <c r="AO24" s="3894"/>
      <c r="AP24" s="3894"/>
      <c r="AQ24" s="2697"/>
      <c r="AR24" s="3872">
        <v>1492.4000000000003</v>
      </c>
      <c r="AS24" s="3894"/>
      <c r="AT24" s="3894">
        <f t="shared" si="10"/>
        <v>1492.4000000000003</v>
      </c>
      <c r="AU24" s="2697"/>
      <c r="AV24" s="4060">
        <f>2259.1-16.4</f>
        <v>2242.6999999999998</v>
      </c>
      <c r="AW24" s="4081"/>
      <c r="AX24" s="4096">
        <f t="shared" si="11"/>
        <v>3735.1000000000004</v>
      </c>
      <c r="AY24" s="2697"/>
      <c r="AZ24" s="4223">
        <v>422.3</v>
      </c>
      <c r="BA24" s="4269"/>
      <c r="BB24" s="4565">
        <f t="shared" si="12"/>
        <v>4157.4000000000005</v>
      </c>
      <c r="BC24" s="1854"/>
      <c r="BD24" s="1854">
        <f t="shared" si="13"/>
        <v>4157.4000000000005</v>
      </c>
      <c r="BE24" s="4564"/>
      <c r="BF24" s="4564">
        <f t="shared" si="14"/>
        <v>4157.4000000000005</v>
      </c>
    </row>
    <row r="25" spans="2:58" s="334" customFormat="1" ht="15.75" x14ac:dyDescent="0.25">
      <c r="B25" s="2694" t="s">
        <v>77</v>
      </c>
      <c r="C25" s="3417" t="s">
        <v>1360</v>
      </c>
      <c r="D25" s="111" t="s">
        <v>53</v>
      </c>
      <c r="E25" s="2328"/>
      <c r="F25" s="238">
        <v>436.65</v>
      </c>
      <c r="G25" s="2696"/>
      <c r="H25" s="238">
        <f>1002.45-10.25</f>
        <v>992.2</v>
      </c>
      <c r="I25" s="2339"/>
      <c r="J25" s="2339">
        <f t="shared" si="1"/>
        <v>1428.85</v>
      </c>
      <c r="K25" s="2697"/>
      <c r="L25" s="238"/>
      <c r="M25" s="1568"/>
      <c r="N25" s="1568">
        <f t="shared" si="2"/>
        <v>1428.85</v>
      </c>
      <c r="O25" s="2697"/>
      <c r="P25" s="238">
        <v>0</v>
      </c>
      <c r="Q25" s="1586"/>
      <c r="R25" s="1586">
        <f t="shared" si="3"/>
        <v>1428.85</v>
      </c>
      <c r="S25" s="2697"/>
      <c r="T25" s="238">
        <v>0</v>
      </c>
      <c r="U25" s="1586"/>
      <c r="V25" s="1586">
        <f t="shared" si="4"/>
        <v>1428.85</v>
      </c>
      <c r="W25" s="2697"/>
      <c r="X25" s="238">
        <v>0</v>
      </c>
      <c r="Y25" s="1568"/>
      <c r="Z25" s="1568">
        <f t="shared" si="5"/>
        <v>0</v>
      </c>
      <c r="AA25" s="1854"/>
      <c r="AB25" s="1854">
        <f t="shared" si="0"/>
        <v>1428.85</v>
      </c>
      <c r="AC25" s="2697"/>
      <c r="AD25" s="238">
        <f>664.2-10.25</f>
        <v>653.95000000000005</v>
      </c>
      <c r="AE25" s="3152"/>
      <c r="AF25" s="3152">
        <f t="shared" si="6"/>
        <v>2082.8000000000002</v>
      </c>
      <c r="AG25" s="2697"/>
      <c r="AH25" s="238">
        <v>0</v>
      </c>
      <c r="AI25" s="3251"/>
      <c r="AJ25" s="3251">
        <f t="shared" si="7"/>
        <v>2082.8000000000002</v>
      </c>
      <c r="AK25" s="2697"/>
      <c r="AL25" s="3640">
        <v>0</v>
      </c>
      <c r="AM25" s="3613"/>
      <c r="AN25" s="3613">
        <f t="shared" si="8"/>
        <v>653.95000000000005</v>
      </c>
      <c r="AO25" s="3612"/>
      <c r="AP25" s="3612">
        <f t="shared" si="9"/>
        <v>2082.8000000000002</v>
      </c>
      <c r="AQ25" s="2697"/>
      <c r="AR25" s="3872">
        <f>410-2.05</f>
        <v>407.95</v>
      </c>
      <c r="AS25" s="3894"/>
      <c r="AT25" s="3894">
        <f t="shared" si="10"/>
        <v>2490.75</v>
      </c>
      <c r="AU25" s="2697"/>
      <c r="AV25" s="4060"/>
      <c r="AW25" s="4081"/>
      <c r="AX25" s="4096">
        <f t="shared" si="11"/>
        <v>2490.75</v>
      </c>
      <c r="AY25" s="2697"/>
      <c r="AZ25" s="4223"/>
      <c r="BA25" s="4269"/>
      <c r="BB25" s="4565">
        <f t="shared" si="12"/>
        <v>407.95</v>
      </c>
      <c r="BC25" s="1854"/>
      <c r="BD25" s="1854">
        <f t="shared" si="13"/>
        <v>1061.9000000000001</v>
      </c>
      <c r="BE25" s="4564"/>
      <c r="BF25" s="4564">
        <f t="shared" si="14"/>
        <v>2490.75</v>
      </c>
    </row>
    <row r="26" spans="2:58" s="334" customFormat="1" ht="15.75" x14ac:dyDescent="0.25">
      <c r="B26" s="2694" t="s">
        <v>77</v>
      </c>
      <c r="C26" s="3417" t="s">
        <v>1144</v>
      </c>
      <c r="D26" s="111" t="s">
        <v>53</v>
      </c>
      <c r="E26" s="2328"/>
      <c r="F26" s="238">
        <f>8967.02-20.24-54.648</f>
        <v>8892.1320000000014</v>
      </c>
      <c r="G26" s="2696"/>
      <c r="H26" s="238">
        <f>2013.1-2.024</f>
        <v>2011.076</v>
      </c>
      <c r="I26" s="2339"/>
      <c r="J26" s="2339">
        <f t="shared" si="1"/>
        <v>10903.208000000002</v>
      </c>
      <c r="K26" s="2697"/>
      <c r="L26" s="238">
        <f>4858.5-38.95-53.3</f>
        <v>4766.25</v>
      </c>
      <c r="M26" s="1568"/>
      <c r="N26" s="1568">
        <f t="shared" si="2"/>
        <v>15669.458000000002</v>
      </c>
      <c r="O26" s="2697"/>
      <c r="P26" s="238">
        <f>4618.65-30.75-16.4</f>
        <v>4571.5</v>
      </c>
      <c r="Q26" s="1586"/>
      <c r="R26" s="1586">
        <f t="shared" si="3"/>
        <v>20240.958000000002</v>
      </c>
      <c r="S26" s="2697"/>
      <c r="T26" s="238">
        <f>7785.9-10.25</f>
        <v>7775.65</v>
      </c>
      <c r="U26" s="1586"/>
      <c r="V26" s="1586">
        <f t="shared" si="4"/>
        <v>28016.608</v>
      </c>
      <c r="W26" s="2697"/>
      <c r="X26" s="238">
        <f>5965.5-18.45-18.45</f>
        <v>5928.6</v>
      </c>
      <c r="Y26" s="1568"/>
      <c r="Z26" s="1568">
        <f t="shared" si="5"/>
        <v>18275.75</v>
      </c>
      <c r="AA26" s="1854"/>
      <c r="AB26" s="1854">
        <f t="shared" si="0"/>
        <v>33945.207999999999</v>
      </c>
      <c r="AC26" s="2697"/>
      <c r="AD26" s="238">
        <v>4760.1000000000004</v>
      </c>
      <c r="AE26" s="3152"/>
      <c r="AF26" s="3152">
        <f t="shared" si="6"/>
        <v>38705.307999999997</v>
      </c>
      <c r="AG26" s="2697"/>
      <c r="AH26" s="238">
        <v>5633.5820000000003</v>
      </c>
      <c r="AI26" s="3251"/>
      <c r="AJ26" s="3251">
        <f t="shared" si="7"/>
        <v>44338.89</v>
      </c>
      <c r="AK26" s="2697"/>
      <c r="AL26" s="238">
        <v>4052.849999999999</v>
      </c>
      <c r="AM26" s="3613"/>
      <c r="AN26" s="3613">
        <f t="shared" si="8"/>
        <v>14446.531999999999</v>
      </c>
      <c r="AO26" s="3612"/>
      <c r="AP26" s="3612">
        <f t="shared" si="9"/>
        <v>48391.74</v>
      </c>
      <c r="AQ26" s="2697"/>
      <c r="AR26" s="3872">
        <v>2587.0999999999995</v>
      </c>
      <c r="AS26" s="3894"/>
      <c r="AT26" s="3894">
        <f t="shared" si="10"/>
        <v>50978.84</v>
      </c>
      <c r="AU26" s="2697"/>
      <c r="AV26" s="4060">
        <f>4692.45-2.05</f>
        <v>4690.3999999999996</v>
      </c>
      <c r="AW26" s="4081"/>
      <c r="AX26" s="4096">
        <f t="shared" si="11"/>
        <v>55669.24</v>
      </c>
      <c r="AY26" s="2697"/>
      <c r="AZ26" s="4223">
        <f>4321.4-22.55</f>
        <v>4298.8499999999995</v>
      </c>
      <c r="BA26" s="4269"/>
      <c r="BB26" s="4565">
        <f t="shared" si="12"/>
        <v>11576.349999999999</v>
      </c>
      <c r="BC26" s="1854"/>
      <c r="BD26" s="1854">
        <f t="shared" si="13"/>
        <v>26022.881999999998</v>
      </c>
      <c r="BE26" s="4564"/>
      <c r="BF26" s="4564">
        <f t="shared" si="14"/>
        <v>59968.09</v>
      </c>
    </row>
    <row r="27" spans="2:58" s="334" customFormat="1" ht="15.75" x14ac:dyDescent="0.25">
      <c r="B27" s="2694" t="s">
        <v>77</v>
      </c>
      <c r="C27" s="3417" t="s">
        <v>1357</v>
      </c>
      <c r="D27" s="111" t="s">
        <v>53</v>
      </c>
      <c r="E27" s="2328"/>
      <c r="F27" s="238">
        <v>0</v>
      </c>
      <c r="G27" s="2696"/>
      <c r="H27" s="238">
        <v>332.09999999999997</v>
      </c>
      <c r="I27" s="2339"/>
      <c r="J27" s="2339">
        <f t="shared" si="1"/>
        <v>332.09999999999997</v>
      </c>
      <c r="K27" s="2697"/>
      <c r="L27" s="238"/>
      <c r="M27" s="1568"/>
      <c r="N27" s="1568">
        <f t="shared" si="2"/>
        <v>332.09999999999997</v>
      </c>
      <c r="O27" s="2697"/>
      <c r="P27" s="238">
        <v>0</v>
      </c>
      <c r="Q27" s="1586"/>
      <c r="R27" s="1586">
        <f t="shared" si="3"/>
        <v>332.09999999999997</v>
      </c>
      <c r="S27" s="2697"/>
      <c r="T27" s="238">
        <v>0</v>
      </c>
      <c r="U27" s="1586"/>
      <c r="V27" s="1586">
        <f t="shared" si="4"/>
        <v>332.09999999999997</v>
      </c>
      <c r="W27" s="2697"/>
      <c r="X27" s="238">
        <v>0</v>
      </c>
      <c r="Y27" s="1568"/>
      <c r="Z27" s="1568">
        <f t="shared" si="5"/>
        <v>0</v>
      </c>
      <c r="AA27" s="1854"/>
      <c r="AB27" s="1854">
        <f t="shared" si="0"/>
        <v>332.09999999999997</v>
      </c>
      <c r="AC27" s="2697"/>
      <c r="AD27" s="238">
        <v>0</v>
      </c>
      <c r="AE27" s="3152"/>
      <c r="AF27" s="3152">
        <f t="shared" si="6"/>
        <v>332.09999999999997</v>
      </c>
      <c r="AG27" s="2697"/>
      <c r="AH27" s="238">
        <v>0</v>
      </c>
      <c r="AI27" s="3251"/>
      <c r="AJ27" s="3251">
        <f t="shared" si="7"/>
        <v>332.09999999999997</v>
      </c>
      <c r="AK27" s="2697"/>
      <c r="AL27" s="3640">
        <v>0</v>
      </c>
      <c r="AM27" s="3613"/>
      <c r="AN27" s="3613">
        <f t="shared" si="8"/>
        <v>0</v>
      </c>
      <c r="AO27" s="3612"/>
      <c r="AP27" s="3612">
        <f t="shared" si="9"/>
        <v>332.09999999999997</v>
      </c>
      <c r="AQ27" s="2697"/>
      <c r="AR27" s="3872"/>
      <c r="AS27" s="3894"/>
      <c r="AT27" s="3894">
        <f t="shared" si="10"/>
        <v>332.09999999999997</v>
      </c>
      <c r="AU27" s="2697"/>
      <c r="AV27" s="4060"/>
      <c r="AW27" s="4081"/>
      <c r="AX27" s="4096">
        <f t="shared" si="11"/>
        <v>332.09999999999997</v>
      </c>
      <c r="AY27" s="2697"/>
      <c r="AZ27" s="4223"/>
      <c r="BA27" s="4269"/>
      <c r="BB27" s="4565">
        <f t="shared" si="12"/>
        <v>0</v>
      </c>
      <c r="BC27" s="1854"/>
      <c r="BD27" s="1854">
        <f t="shared" si="13"/>
        <v>0</v>
      </c>
      <c r="BE27" s="4564"/>
      <c r="BF27" s="4564">
        <f t="shared" si="14"/>
        <v>332.09999999999997</v>
      </c>
    </row>
    <row r="28" spans="2:58" s="334" customFormat="1" ht="15.75" x14ac:dyDescent="0.25">
      <c r="B28" s="2694" t="s">
        <v>77</v>
      </c>
      <c r="C28" s="3417" t="s">
        <v>1356</v>
      </c>
      <c r="D28" s="111" t="s">
        <v>53</v>
      </c>
      <c r="E28" s="2328"/>
      <c r="F28" s="238"/>
      <c r="G28" s="2696"/>
      <c r="H28" s="238"/>
      <c r="I28" s="3187"/>
      <c r="J28" s="3187"/>
      <c r="K28" s="2697"/>
      <c r="L28" s="238"/>
      <c r="M28" s="3191"/>
      <c r="N28" s="3191"/>
      <c r="O28" s="2697"/>
      <c r="P28" s="238"/>
      <c r="Q28" s="3190"/>
      <c r="R28" s="3190"/>
      <c r="S28" s="2697"/>
      <c r="T28" s="238"/>
      <c r="U28" s="3190"/>
      <c r="V28" s="3190"/>
      <c r="W28" s="2697"/>
      <c r="X28" s="238"/>
      <c r="Y28" s="3191"/>
      <c r="Z28" s="3191"/>
      <c r="AA28" s="1854"/>
      <c r="AB28" s="1854">
        <f t="shared" ref="AB28" si="15">N28+Z28</f>
        <v>0</v>
      </c>
      <c r="AC28" s="2697"/>
      <c r="AD28" s="238">
        <v>53.3</v>
      </c>
      <c r="AE28" s="3190"/>
      <c r="AF28" s="3190">
        <f t="shared" si="6"/>
        <v>53.3</v>
      </c>
      <c r="AG28" s="2697"/>
      <c r="AH28" s="238">
        <v>0</v>
      </c>
      <c r="AI28" s="3251"/>
      <c r="AJ28" s="3251">
        <f t="shared" si="7"/>
        <v>53.3</v>
      </c>
      <c r="AK28" s="2697"/>
      <c r="AL28" s="3640">
        <v>0</v>
      </c>
      <c r="AM28" s="3613"/>
      <c r="AN28" s="3613">
        <f t="shared" si="8"/>
        <v>53.3</v>
      </c>
      <c r="AO28" s="3612"/>
      <c r="AP28" s="3612">
        <f t="shared" si="9"/>
        <v>53.3</v>
      </c>
      <c r="AQ28" s="2697"/>
      <c r="AR28" s="3872"/>
      <c r="AS28" s="3894"/>
      <c r="AT28" s="3894">
        <f t="shared" si="10"/>
        <v>53.3</v>
      </c>
      <c r="AU28" s="2697"/>
      <c r="AV28" s="4060"/>
      <c r="AW28" s="4081"/>
      <c r="AX28" s="4096">
        <f t="shared" si="11"/>
        <v>53.3</v>
      </c>
      <c r="AY28" s="2697"/>
      <c r="AZ28" s="4223"/>
      <c r="BA28" s="4269"/>
      <c r="BB28" s="4565">
        <f t="shared" si="12"/>
        <v>0</v>
      </c>
      <c r="BC28" s="1854"/>
      <c r="BD28" s="1854">
        <f t="shared" si="13"/>
        <v>53.3</v>
      </c>
      <c r="BE28" s="4564"/>
      <c r="BF28" s="4564">
        <f t="shared" si="14"/>
        <v>53.3</v>
      </c>
    </row>
    <row r="29" spans="2:58" s="334" customFormat="1" ht="15.75" x14ac:dyDescent="0.25">
      <c r="B29" s="2694" t="s">
        <v>77</v>
      </c>
      <c r="C29" s="3417" t="s">
        <v>1358</v>
      </c>
      <c r="D29" s="111" t="s">
        <v>53</v>
      </c>
      <c r="E29" s="2328"/>
      <c r="F29" s="238">
        <v>0</v>
      </c>
      <c r="G29" s="2696"/>
      <c r="H29" s="238">
        <v>313.64999999999998</v>
      </c>
      <c r="I29" s="2339"/>
      <c r="J29" s="2339">
        <f t="shared" si="1"/>
        <v>313.64999999999998</v>
      </c>
      <c r="K29" s="2697"/>
      <c r="L29" s="238"/>
      <c r="M29" s="1568"/>
      <c r="N29" s="1568">
        <f t="shared" si="2"/>
        <v>313.64999999999998</v>
      </c>
      <c r="O29" s="2697"/>
      <c r="P29" s="238">
        <v>0</v>
      </c>
      <c r="Q29" s="1586"/>
      <c r="R29" s="1586">
        <f t="shared" si="3"/>
        <v>313.64999999999998</v>
      </c>
      <c r="S29" s="2697"/>
      <c r="T29" s="238">
        <v>0</v>
      </c>
      <c r="U29" s="1586"/>
      <c r="V29" s="1586">
        <f t="shared" si="4"/>
        <v>313.64999999999998</v>
      </c>
      <c r="W29" s="2697"/>
      <c r="X29" s="238">
        <v>0</v>
      </c>
      <c r="Y29" s="1568"/>
      <c r="Z29" s="1568">
        <f t="shared" si="5"/>
        <v>0</v>
      </c>
      <c r="AA29" s="1854"/>
      <c r="AB29" s="1854">
        <f t="shared" si="0"/>
        <v>313.64999999999998</v>
      </c>
      <c r="AC29" s="2697"/>
      <c r="AD29" s="238">
        <f>1227.95-6.15</f>
        <v>1221.8</v>
      </c>
      <c r="AE29" s="3152"/>
      <c r="AF29" s="3190">
        <f t="shared" si="6"/>
        <v>1535.4499999999998</v>
      </c>
      <c r="AG29" s="2697"/>
      <c r="AH29" s="238">
        <v>0</v>
      </c>
      <c r="AI29" s="3251"/>
      <c r="AJ29" s="3251">
        <f t="shared" si="7"/>
        <v>1535.4499999999998</v>
      </c>
      <c r="AK29" s="2697"/>
      <c r="AL29" s="238">
        <v>1104.95</v>
      </c>
      <c r="AM29" s="3613"/>
      <c r="AN29" s="3613">
        <f t="shared" si="8"/>
        <v>2326.75</v>
      </c>
      <c r="AO29" s="3612"/>
      <c r="AP29" s="3612">
        <f t="shared" si="9"/>
        <v>2640.3999999999996</v>
      </c>
      <c r="AQ29" s="2697"/>
      <c r="AR29" s="3872"/>
      <c r="AS29" s="3894"/>
      <c r="AT29" s="3894">
        <f t="shared" si="10"/>
        <v>2640.3999999999996</v>
      </c>
      <c r="AU29" s="2697"/>
      <c r="AV29" s="4060"/>
      <c r="AW29" s="4081"/>
      <c r="AX29" s="4096">
        <f t="shared" si="11"/>
        <v>2640.3999999999996</v>
      </c>
      <c r="AY29" s="2697"/>
      <c r="AZ29" s="4223"/>
      <c r="BA29" s="4269"/>
      <c r="BB29" s="4565">
        <f t="shared" si="12"/>
        <v>0</v>
      </c>
      <c r="BC29" s="1854"/>
      <c r="BD29" s="1854">
        <f t="shared" si="13"/>
        <v>2326.75</v>
      </c>
      <c r="BE29" s="4564"/>
      <c r="BF29" s="4564">
        <f t="shared" si="14"/>
        <v>2640.3999999999996</v>
      </c>
    </row>
    <row r="30" spans="2:58" s="334" customFormat="1" ht="15.75" x14ac:dyDescent="0.25">
      <c r="B30" s="2694" t="s">
        <v>1445</v>
      </c>
      <c r="C30" s="3417" t="s">
        <v>1355</v>
      </c>
      <c r="D30" s="111" t="s">
        <v>53</v>
      </c>
      <c r="E30" s="2328"/>
      <c r="F30" s="238">
        <v>0</v>
      </c>
      <c r="G30" s="2696"/>
      <c r="H30" s="238"/>
      <c r="I30" s="2339"/>
      <c r="J30" s="2339">
        <f t="shared" si="1"/>
        <v>0</v>
      </c>
      <c r="K30" s="2697"/>
      <c r="L30" s="238"/>
      <c r="M30" s="1568"/>
      <c r="N30" s="1568">
        <f t="shared" si="2"/>
        <v>0</v>
      </c>
      <c r="O30" s="2697"/>
      <c r="P30" s="238">
        <f>3999.55-4.1-16.4</f>
        <v>3979.05</v>
      </c>
      <c r="Q30" s="1586"/>
      <c r="R30" s="1586">
        <f t="shared" si="3"/>
        <v>3979.05</v>
      </c>
      <c r="S30" s="2697"/>
      <c r="T30" s="238">
        <v>3228.7499999999995</v>
      </c>
      <c r="U30" s="1586"/>
      <c r="V30" s="1586">
        <f t="shared" si="4"/>
        <v>7207.7999999999993</v>
      </c>
      <c r="W30" s="2697"/>
      <c r="X30" s="238">
        <v>0</v>
      </c>
      <c r="Y30" s="1568"/>
      <c r="Z30" s="1568">
        <f t="shared" si="5"/>
        <v>7207.7999999999993</v>
      </c>
      <c r="AA30" s="1854"/>
      <c r="AB30" s="1854">
        <f t="shared" si="0"/>
        <v>7207.7999999999993</v>
      </c>
      <c r="AC30" s="2697"/>
      <c r="AD30" s="238">
        <v>0</v>
      </c>
      <c r="AE30" s="3152"/>
      <c r="AF30" s="3152">
        <f t="shared" si="6"/>
        <v>7207.7999999999993</v>
      </c>
      <c r="AG30" s="2697"/>
      <c r="AH30" s="238">
        <v>0</v>
      </c>
      <c r="AI30" s="3251"/>
      <c r="AJ30" s="3251">
        <f t="shared" si="7"/>
        <v>7207.7999999999993</v>
      </c>
      <c r="AK30" s="2697"/>
      <c r="AL30" s="3640">
        <v>0</v>
      </c>
      <c r="AM30" s="3613"/>
      <c r="AN30" s="3613">
        <f t="shared" si="8"/>
        <v>0</v>
      </c>
      <c r="AO30" s="3612"/>
      <c r="AP30" s="3612">
        <f t="shared" si="9"/>
        <v>7207.7999999999993</v>
      </c>
      <c r="AQ30" s="2697"/>
      <c r="AR30" s="3872"/>
      <c r="AS30" s="3894"/>
      <c r="AT30" s="3894">
        <f t="shared" si="10"/>
        <v>7207.7999999999993</v>
      </c>
      <c r="AU30" s="2697"/>
      <c r="AV30" s="4060"/>
      <c r="AW30" s="4081"/>
      <c r="AX30" s="4096">
        <f t="shared" si="11"/>
        <v>7207.7999999999993</v>
      </c>
      <c r="AY30" s="2697"/>
      <c r="AZ30" s="4223"/>
      <c r="BA30" s="4269"/>
      <c r="BB30" s="4565">
        <f t="shared" si="12"/>
        <v>0</v>
      </c>
      <c r="BC30" s="1854"/>
      <c r="BD30" s="1854">
        <f t="shared" si="13"/>
        <v>0</v>
      </c>
      <c r="BE30" s="4564"/>
      <c r="BF30" s="4564">
        <f t="shared" si="14"/>
        <v>7207.7999999999993</v>
      </c>
    </row>
    <row r="31" spans="2:58" s="334" customFormat="1" ht="15.75" x14ac:dyDescent="0.25">
      <c r="B31" s="2694" t="s">
        <v>1445</v>
      </c>
      <c r="C31" s="3417" t="s">
        <v>1802</v>
      </c>
      <c r="D31" s="111" t="s">
        <v>53</v>
      </c>
      <c r="E31" s="2328"/>
      <c r="F31" s="238">
        <v>0</v>
      </c>
      <c r="G31" s="2696"/>
      <c r="H31" s="238"/>
      <c r="I31" s="2339"/>
      <c r="J31" s="2339">
        <f t="shared" si="1"/>
        <v>0</v>
      </c>
      <c r="K31" s="2697"/>
      <c r="L31" s="238"/>
      <c r="M31" s="1568"/>
      <c r="N31" s="1568">
        <f t="shared" si="2"/>
        <v>0</v>
      </c>
      <c r="O31" s="2697"/>
      <c r="P31" s="238">
        <v>71.75</v>
      </c>
      <c r="Q31" s="1586"/>
      <c r="R31" s="1586">
        <f t="shared" si="3"/>
        <v>71.75</v>
      </c>
      <c r="S31" s="2697"/>
      <c r="T31" s="238">
        <v>0</v>
      </c>
      <c r="U31" s="1586"/>
      <c r="V31" s="1586">
        <f t="shared" si="4"/>
        <v>71.75</v>
      </c>
      <c r="W31" s="2697"/>
      <c r="X31" s="238">
        <v>0</v>
      </c>
      <c r="Y31" s="1568"/>
      <c r="Z31" s="1568">
        <f t="shared" si="5"/>
        <v>71.75</v>
      </c>
      <c r="AA31" s="1854"/>
      <c r="AB31" s="1854">
        <f t="shared" si="0"/>
        <v>71.75</v>
      </c>
      <c r="AC31" s="2697"/>
      <c r="AD31" s="238">
        <v>0</v>
      </c>
      <c r="AE31" s="3152"/>
      <c r="AF31" s="3152">
        <f t="shared" si="6"/>
        <v>71.75</v>
      </c>
      <c r="AG31" s="2697"/>
      <c r="AH31" s="238">
        <v>0</v>
      </c>
      <c r="AI31" s="3251"/>
      <c r="AJ31" s="3251">
        <f t="shared" si="7"/>
        <v>71.75</v>
      </c>
      <c r="AK31" s="2697"/>
      <c r="AL31" s="3640">
        <v>0</v>
      </c>
      <c r="AM31" s="3613"/>
      <c r="AN31" s="3613">
        <f t="shared" si="8"/>
        <v>0</v>
      </c>
      <c r="AO31" s="3612"/>
      <c r="AP31" s="3612">
        <f t="shared" si="9"/>
        <v>71.75</v>
      </c>
      <c r="AQ31" s="2697"/>
      <c r="AR31" s="3872"/>
      <c r="AS31" s="3894"/>
      <c r="AT31" s="3894">
        <f t="shared" si="10"/>
        <v>71.75</v>
      </c>
      <c r="AU31" s="2697"/>
      <c r="AV31" s="4060"/>
      <c r="AW31" s="4081"/>
      <c r="AX31" s="4096">
        <f t="shared" si="11"/>
        <v>71.75</v>
      </c>
      <c r="AY31" s="2697"/>
      <c r="AZ31" s="4223"/>
      <c r="BA31" s="4269"/>
      <c r="BB31" s="4565">
        <f t="shared" si="12"/>
        <v>0</v>
      </c>
      <c r="BC31" s="1854"/>
      <c r="BD31" s="1854">
        <f t="shared" si="13"/>
        <v>0</v>
      </c>
      <c r="BE31" s="4564"/>
      <c r="BF31" s="4564">
        <f t="shared" si="14"/>
        <v>71.75</v>
      </c>
    </row>
    <row r="32" spans="2:58" s="334" customFormat="1" ht="15.75" x14ac:dyDescent="0.25">
      <c r="B32" s="2694" t="s">
        <v>1139</v>
      </c>
      <c r="C32" s="3417" t="s">
        <v>1145</v>
      </c>
      <c r="D32" s="111" t="s">
        <v>53</v>
      </c>
      <c r="E32" s="2328"/>
      <c r="F32" s="238">
        <v>1625.88</v>
      </c>
      <c r="G32" s="2696"/>
      <c r="H32" s="238"/>
      <c r="I32" s="2339"/>
      <c r="J32" s="2339">
        <f t="shared" si="1"/>
        <v>1625.88</v>
      </c>
      <c r="K32" s="2697"/>
      <c r="L32" s="238">
        <v>528.9</v>
      </c>
      <c r="M32" s="1568"/>
      <c r="N32" s="1568">
        <f t="shared" si="2"/>
        <v>2154.7800000000002</v>
      </c>
      <c r="O32" s="2697"/>
      <c r="P32" s="238">
        <v>906.09999999999991</v>
      </c>
      <c r="Q32" s="1586"/>
      <c r="R32" s="1586">
        <f t="shared" si="3"/>
        <v>3060.88</v>
      </c>
      <c r="S32" s="2697"/>
      <c r="T32" s="238">
        <v>0</v>
      </c>
      <c r="U32" s="1586"/>
      <c r="V32" s="1586">
        <f t="shared" si="4"/>
        <v>3060.88</v>
      </c>
      <c r="W32" s="2697"/>
      <c r="X32" s="238">
        <v>0</v>
      </c>
      <c r="Y32" s="1568"/>
      <c r="Z32" s="1568">
        <f t="shared" si="5"/>
        <v>906.09999999999991</v>
      </c>
      <c r="AA32" s="1854"/>
      <c r="AB32" s="1854">
        <f t="shared" si="0"/>
        <v>3060.88</v>
      </c>
      <c r="AC32" s="2697"/>
      <c r="AD32" s="238">
        <f>1047.55-4.1</f>
        <v>1043.45</v>
      </c>
      <c r="AE32" s="3152"/>
      <c r="AF32" s="3152">
        <f t="shared" si="6"/>
        <v>4104.33</v>
      </c>
      <c r="AG32" s="2697"/>
      <c r="AH32" s="238">
        <v>1141.8500000000001</v>
      </c>
      <c r="AI32" s="3251"/>
      <c r="AJ32" s="3251">
        <f t="shared" si="7"/>
        <v>5246.18</v>
      </c>
      <c r="AK32" s="2697"/>
      <c r="AL32" s="3640">
        <v>0</v>
      </c>
      <c r="AM32" s="3613"/>
      <c r="AN32" s="3613">
        <f t="shared" si="8"/>
        <v>2185.3000000000002</v>
      </c>
      <c r="AO32" s="3612"/>
      <c r="AP32" s="3612">
        <f t="shared" si="9"/>
        <v>5246.18</v>
      </c>
      <c r="AQ32" s="2697"/>
      <c r="AR32" s="3872">
        <f>1330.45-8.2</f>
        <v>1322.25</v>
      </c>
      <c r="AS32" s="3894"/>
      <c r="AT32" s="3894">
        <f t="shared" si="10"/>
        <v>6568.43</v>
      </c>
      <c r="AU32" s="2697"/>
      <c r="AV32" s="4060">
        <f>1033.2-6.15</f>
        <v>1027.05</v>
      </c>
      <c r="AW32" s="4081"/>
      <c r="AX32" s="4096">
        <f t="shared" si="11"/>
        <v>7595.4800000000005</v>
      </c>
      <c r="AY32" s="2697"/>
      <c r="AZ32" s="4223">
        <f>1808.1-20.5</f>
        <v>1787.6</v>
      </c>
      <c r="BA32" s="4269"/>
      <c r="BB32" s="4565">
        <f t="shared" si="12"/>
        <v>4136.8999999999996</v>
      </c>
      <c r="BC32" s="1854"/>
      <c r="BD32" s="1854">
        <f t="shared" si="13"/>
        <v>6322.2</v>
      </c>
      <c r="BE32" s="4564"/>
      <c r="BF32" s="4564">
        <f t="shared" si="14"/>
        <v>9383.08</v>
      </c>
    </row>
    <row r="33" spans="2:58" s="334" customFormat="1" ht="15.75" x14ac:dyDescent="0.25">
      <c r="B33" s="2694" t="s">
        <v>1536</v>
      </c>
      <c r="C33" s="3417" t="s">
        <v>1353</v>
      </c>
      <c r="D33" s="111" t="s">
        <v>53</v>
      </c>
      <c r="E33" s="2328"/>
      <c r="F33" s="238"/>
      <c r="G33" s="2696"/>
      <c r="H33" s="238"/>
      <c r="I33" s="3321"/>
      <c r="J33" s="3321"/>
      <c r="K33" s="2697"/>
      <c r="L33" s="238"/>
      <c r="M33" s="3328"/>
      <c r="N33" s="3328"/>
      <c r="O33" s="2697"/>
      <c r="P33" s="238"/>
      <c r="Q33" s="3326"/>
      <c r="R33" s="3326"/>
      <c r="S33" s="2697"/>
      <c r="T33" s="238"/>
      <c r="U33" s="3326"/>
      <c r="V33" s="3326"/>
      <c r="W33" s="2697"/>
      <c r="X33" s="238"/>
      <c r="Y33" s="3328"/>
      <c r="Z33" s="3328"/>
      <c r="AA33" s="1854"/>
      <c r="AB33" s="1854"/>
      <c r="AC33" s="2697"/>
      <c r="AD33" s="238"/>
      <c r="AE33" s="3326"/>
      <c r="AF33" s="3326"/>
      <c r="AG33" s="2697"/>
      <c r="AH33" s="238">
        <v>520.70000000000005</v>
      </c>
      <c r="AI33" s="3326"/>
      <c r="AJ33" s="3326">
        <f t="shared" si="7"/>
        <v>520.70000000000005</v>
      </c>
      <c r="AK33" s="2697"/>
      <c r="AL33" s="3640">
        <v>0</v>
      </c>
      <c r="AM33" s="3613"/>
      <c r="AN33" s="3613">
        <f t="shared" si="8"/>
        <v>520.70000000000005</v>
      </c>
      <c r="AO33" s="3612"/>
      <c r="AP33" s="3612">
        <f t="shared" si="9"/>
        <v>520.70000000000005</v>
      </c>
      <c r="AQ33" s="2697"/>
      <c r="AR33" s="3872"/>
      <c r="AS33" s="3894"/>
      <c r="AT33" s="3894">
        <f t="shared" si="10"/>
        <v>520.70000000000005</v>
      </c>
      <c r="AU33" s="2697"/>
      <c r="AV33" s="4060"/>
      <c r="AW33" s="4081"/>
      <c r="AX33" s="4096">
        <f t="shared" si="11"/>
        <v>520.70000000000005</v>
      </c>
      <c r="AY33" s="2697"/>
      <c r="AZ33" s="4223"/>
      <c r="BA33" s="4269"/>
      <c r="BB33" s="4565">
        <f t="shared" si="12"/>
        <v>0</v>
      </c>
      <c r="BC33" s="1854"/>
      <c r="BD33" s="1854">
        <f t="shared" si="13"/>
        <v>520.70000000000005</v>
      </c>
      <c r="BE33" s="4564"/>
      <c r="BF33" s="4564">
        <f t="shared" si="14"/>
        <v>520.70000000000005</v>
      </c>
    </row>
    <row r="34" spans="2:58" s="334" customFormat="1" ht="15.75" x14ac:dyDescent="0.25">
      <c r="B34" s="2694" t="s">
        <v>1139</v>
      </c>
      <c r="C34" s="3417" t="s">
        <v>1355</v>
      </c>
      <c r="D34" s="111" t="s">
        <v>53</v>
      </c>
      <c r="E34" s="2328"/>
      <c r="F34" s="238">
        <v>161.16</v>
      </c>
      <c r="G34" s="2696"/>
      <c r="H34" s="238"/>
      <c r="I34" s="2339"/>
      <c r="J34" s="2339">
        <f t="shared" si="1"/>
        <v>161.16</v>
      </c>
      <c r="K34" s="2697"/>
      <c r="L34" s="238">
        <v>200.89999999999998</v>
      </c>
      <c r="M34" s="1568"/>
      <c r="N34" s="1568">
        <f t="shared" si="2"/>
        <v>362.05999999999995</v>
      </c>
      <c r="O34" s="2697"/>
      <c r="P34" s="238">
        <f>902-6.15</f>
        <v>895.85</v>
      </c>
      <c r="Q34" s="1586"/>
      <c r="R34" s="1586">
        <f t="shared" si="3"/>
        <v>1257.9099999999999</v>
      </c>
      <c r="S34" s="2697"/>
      <c r="T34" s="238">
        <f>457.15-2.05</f>
        <v>455.09999999999997</v>
      </c>
      <c r="U34" s="1586"/>
      <c r="V34" s="1586">
        <f t="shared" si="4"/>
        <v>1713.0099999999998</v>
      </c>
      <c r="W34" s="2697"/>
      <c r="X34" s="238">
        <f>1974.15-38.95-2.05</f>
        <v>1933.15</v>
      </c>
      <c r="Y34" s="1568"/>
      <c r="Z34" s="1568">
        <f t="shared" si="5"/>
        <v>3284.1000000000004</v>
      </c>
      <c r="AA34" s="1854"/>
      <c r="AB34" s="1854">
        <f t="shared" si="0"/>
        <v>3646.1600000000003</v>
      </c>
      <c r="AC34" s="2697"/>
      <c r="AD34" s="238">
        <v>137.35</v>
      </c>
      <c r="AE34" s="3152"/>
      <c r="AF34" s="3152">
        <f t="shared" si="6"/>
        <v>3783.51</v>
      </c>
      <c r="AG34" s="2697"/>
      <c r="AH34" s="238">
        <v>143.5</v>
      </c>
      <c r="AI34" s="3251"/>
      <c r="AJ34" s="3251">
        <f t="shared" si="7"/>
        <v>3927.01</v>
      </c>
      <c r="AK34" s="2697"/>
      <c r="AL34" s="238">
        <v>106.6</v>
      </c>
      <c r="AM34" s="3613"/>
      <c r="AN34" s="3613">
        <f t="shared" si="8"/>
        <v>387.45000000000005</v>
      </c>
      <c r="AO34" s="3612"/>
      <c r="AP34" s="3612">
        <f t="shared" si="9"/>
        <v>4033.61</v>
      </c>
      <c r="AQ34" s="2697"/>
      <c r="AR34" s="3872">
        <v>57.399999999999991</v>
      </c>
      <c r="AS34" s="3894"/>
      <c r="AT34" s="3894">
        <f t="shared" si="10"/>
        <v>4091.01</v>
      </c>
      <c r="AU34" s="2697"/>
      <c r="AV34" s="4060">
        <f>457.15-20.5</f>
        <v>436.65</v>
      </c>
      <c r="AW34" s="4081"/>
      <c r="AX34" s="4096">
        <f t="shared" si="11"/>
        <v>4527.66</v>
      </c>
      <c r="AY34" s="2697"/>
      <c r="AZ34" s="4223"/>
      <c r="BA34" s="4269"/>
      <c r="BB34" s="4565">
        <f t="shared" si="12"/>
        <v>494.04999999999995</v>
      </c>
      <c r="BC34" s="1854"/>
      <c r="BD34" s="1854">
        <f t="shared" si="13"/>
        <v>881.5</v>
      </c>
      <c r="BE34" s="4564"/>
      <c r="BF34" s="4564">
        <f t="shared" si="14"/>
        <v>4527.66</v>
      </c>
    </row>
    <row r="35" spans="2:58" s="334" customFormat="1" ht="15.75" x14ac:dyDescent="0.25">
      <c r="B35" s="2694" t="s">
        <v>1139</v>
      </c>
      <c r="C35" s="3417" t="s">
        <v>1802</v>
      </c>
      <c r="D35" s="111" t="s">
        <v>53</v>
      </c>
      <c r="E35" s="2328"/>
      <c r="F35" s="238">
        <f>512.04-2.024</f>
        <v>510.01599999999996</v>
      </c>
      <c r="G35" s="2696"/>
      <c r="H35" s="238"/>
      <c r="I35" s="2339"/>
      <c r="J35" s="2339">
        <f t="shared" si="1"/>
        <v>510.01599999999996</v>
      </c>
      <c r="K35" s="2697"/>
      <c r="L35" s="238">
        <v>1031.1499999999999</v>
      </c>
      <c r="M35" s="1568"/>
      <c r="N35" s="1568">
        <f t="shared" si="2"/>
        <v>1541.1659999999997</v>
      </c>
      <c r="O35" s="2697"/>
      <c r="P35" s="238">
        <v>0</v>
      </c>
      <c r="Q35" s="1586"/>
      <c r="R35" s="1586">
        <f t="shared" si="3"/>
        <v>1541.1659999999997</v>
      </c>
      <c r="S35" s="2697"/>
      <c r="T35" s="238">
        <v>990.14999999999986</v>
      </c>
      <c r="U35" s="1586"/>
      <c r="V35" s="1586">
        <f t="shared" si="4"/>
        <v>2531.3159999999998</v>
      </c>
      <c r="W35" s="2697"/>
      <c r="X35" s="238">
        <f>1457.55-34.85-2.05</f>
        <v>1420.65</v>
      </c>
      <c r="Y35" s="1568"/>
      <c r="Z35" s="1568">
        <f t="shared" si="5"/>
        <v>2410.8000000000002</v>
      </c>
      <c r="AA35" s="1854"/>
      <c r="AB35" s="1854">
        <f t="shared" si="0"/>
        <v>3951.9659999999999</v>
      </c>
      <c r="AC35" s="2697"/>
      <c r="AD35" s="238">
        <v>1082.4000000000001</v>
      </c>
      <c r="AE35" s="3152"/>
      <c r="AF35" s="3152">
        <f t="shared" si="6"/>
        <v>5034.366</v>
      </c>
      <c r="AG35" s="2697"/>
      <c r="AH35" s="238">
        <v>2443.5999999999995</v>
      </c>
      <c r="AI35" s="3251"/>
      <c r="AJ35" s="3251">
        <f t="shared" si="7"/>
        <v>7477.9659999999994</v>
      </c>
      <c r="AK35" s="2697"/>
      <c r="AL35" s="3640">
        <v>0</v>
      </c>
      <c r="AM35" s="3613"/>
      <c r="AN35" s="3613">
        <f t="shared" si="8"/>
        <v>3525.9999999999995</v>
      </c>
      <c r="AO35" s="3612"/>
      <c r="AP35" s="3612">
        <f t="shared" si="9"/>
        <v>7477.9659999999994</v>
      </c>
      <c r="AQ35" s="2697"/>
      <c r="AR35" s="3872">
        <f>5016.35-30.75</f>
        <v>4985.6000000000004</v>
      </c>
      <c r="AS35" s="3894"/>
      <c r="AT35" s="3894">
        <f t="shared" si="10"/>
        <v>12463.565999999999</v>
      </c>
      <c r="AU35" s="2697"/>
      <c r="AV35" s="4060">
        <v>1635.9</v>
      </c>
      <c r="AW35" s="4081"/>
      <c r="AX35" s="4096">
        <f t="shared" si="11"/>
        <v>14099.465999999999</v>
      </c>
      <c r="AY35" s="2697"/>
      <c r="AZ35" s="4223">
        <v>1853.2</v>
      </c>
      <c r="BA35" s="4269"/>
      <c r="BB35" s="4565">
        <f t="shared" si="12"/>
        <v>8474.7000000000007</v>
      </c>
      <c r="BC35" s="1854"/>
      <c r="BD35" s="1854">
        <f t="shared" si="13"/>
        <v>12000.7</v>
      </c>
      <c r="BE35" s="4564"/>
      <c r="BF35" s="4564">
        <f t="shared" si="14"/>
        <v>15952.665999999999</v>
      </c>
    </row>
    <row r="36" spans="2:58" s="334" customFormat="1" ht="15.75" x14ac:dyDescent="0.25">
      <c r="B36" s="2694" t="s">
        <v>1536</v>
      </c>
      <c r="C36" s="3417" t="s">
        <v>1360</v>
      </c>
      <c r="D36" s="111" t="s">
        <v>53</v>
      </c>
      <c r="E36" s="2328"/>
      <c r="F36" s="238"/>
      <c r="G36" s="2696"/>
      <c r="H36" s="238"/>
      <c r="I36" s="2339"/>
      <c r="J36" s="2339">
        <f t="shared" si="1"/>
        <v>0</v>
      </c>
      <c r="K36" s="2697"/>
      <c r="L36" s="238"/>
      <c r="M36" s="1568"/>
      <c r="N36" s="1568">
        <f t="shared" si="2"/>
        <v>0</v>
      </c>
      <c r="O36" s="2697"/>
      <c r="P36" s="238">
        <v>0</v>
      </c>
      <c r="Q36" s="1586"/>
      <c r="R36" s="1586">
        <f t="shared" si="3"/>
        <v>0</v>
      </c>
      <c r="S36" s="2697"/>
      <c r="T36" s="238">
        <f>471.5-2.05</f>
        <v>469.45</v>
      </c>
      <c r="U36" s="1586"/>
      <c r="V36" s="1586">
        <f t="shared" si="4"/>
        <v>469.45</v>
      </c>
      <c r="W36" s="2697"/>
      <c r="X36" s="238">
        <v>0</v>
      </c>
      <c r="Y36" s="1568"/>
      <c r="Z36" s="1568">
        <f t="shared" si="5"/>
        <v>469.45</v>
      </c>
      <c r="AA36" s="1854"/>
      <c r="AB36" s="1854">
        <f t="shared" si="0"/>
        <v>469.45</v>
      </c>
      <c r="AC36" s="2697"/>
      <c r="AD36" s="238">
        <f>1391.95-45.1</f>
        <v>1346.8500000000001</v>
      </c>
      <c r="AE36" s="3152"/>
      <c r="AF36" s="3152">
        <f t="shared" si="6"/>
        <v>1816.3000000000002</v>
      </c>
      <c r="AG36" s="2697"/>
      <c r="AH36" s="238">
        <v>0</v>
      </c>
      <c r="AI36" s="3251"/>
      <c r="AJ36" s="3251">
        <f t="shared" si="7"/>
        <v>1816.3000000000002</v>
      </c>
      <c r="AK36" s="2697"/>
      <c r="AL36" s="3640">
        <v>0</v>
      </c>
      <c r="AM36" s="3613"/>
      <c r="AN36" s="3613">
        <f t="shared" si="8"/>
        <v>1346.8500000000001</v>
      </c>
      <c r="AO36" s="3612"/>
      <c r="AP36" s="3612">
        <f t="shared" si="9"/>
        <v>1816.3000000000002</v>
      </c>
      <c r="AQ36" s="2697"/>
      <c r="AR36" s="3872"/>
      <c r="AS36" s="3894"/>
      <c r="AT36" s="3894">
        <f t="shared" si="10"/>
        <v>1816.3000000000002</v>
      </c>
      <c r="AU36" s="2697"/>
      <c r="AV36" s="4060"/>
      <c r="AW36" s="4081"/>
      <c r="AX36" s="4096">
        <f t="shared" si="11"/>
        <v>1816.3000000000002</v>
      </c>
      <c r="AY36" s="2697"/>
      <c r="AZ36" s="4223">
        <f>1117.25-8.2</f>
        <v>1109.05</v>
      </c>
      <c r="BA36" s="4269"/>
      <c r="BB36" s="4565">
        <f t="shared" si="12"/>
        <v>1109.05</v>
      </c>
      <c r="BC36" s="1854"/>
      <c r="BD36" s="1854">
        <f t="shared" si="13"/>
        <v>2455.9</v>
      </c>
      <c r="BE36" s="4564"/>
      <c r="BF36" s="4564">
        <f t="shared" si="14"/>
        <v>2925.3500000000004</v>
      </c>
    </row>
    <row r="37" spans="2:58" s="334" customFormat="1" ht="15.75" x14ac:dyDescent="0.25">
      <c r="B37" s="2694" t="s">
        <v>1139</v>
      </c>
      <c r="C37" s="3417" t="s">
        <v>1144</v>
      </c>
      <c r="D37" s="111" t="s">
        <v>53</v>
      </c>
      <c r="E37" s="2328"/>
      <c r="F37" s="238">
        <v>705.84</v>
      </c>
      <c r="G37" s="2696"/>
      <c r="H37" s="238">
        <f>194.75-8.2</f>
        <v>186.55</v>
      </c>
      <c r="I37" s="2339"/>
      <c r="J37" s="2339">
        <f t="shared" si="1"/>
        <v>892.3900000000001</v>
      </c>
      <c r="K37" s="2697"/>
      <c r="L37" s="238">
        <f>1225.9-8.2-2.05</f>
        <v>1215.6500000000001</v>
      </c>
      <c r="M37" s="1568"/>
      <c r="N37" s="1568">
        <f t="shared" si="2"/>
        <v>2108.04</v>
      </c>
      <c r="O37" s="2697"/>
      <c r="P37" s="238">
        <f>934.8-8.2</f>
        <v>926.59999999999991</v>
      </c>
      <c r="Q37" s="1586"/>
      <c r="R37" s="1586">
        <f t="shared" si="3"/>
        <v>3034.64</v>
      </c>
      <c r="S37" s="2697"/>
      <c r="T37" s="238">
        <v>635.5</v>
      </c>
      <c r="U37" s="1586"/>
      <c r="V37" s="1586">
        <f t="shared" si="4"/>
        <v>3670.14</v>
      </c>
      <c r="W37" s="2697"/>
      <c r="X37" s="238">
        <v>438.7</v>
      </c>
      <c r="Y37" s="1568"/>
      <c r="Z37" s="1568">
        <f t="shared" si="5"/>
        <v>2000.8</v>
      </c>
      <c r="AA37" s="1854"/>
      <c r="AB37" s="1854">
        <f t="shared" si="0"/>
        <v>4108.84</v>
      </c>
      <c r="AC37" s="2697"/>
      <c r="AD37" s="238">
        <v>346.45</v>
      </c>
      <c r="AE37" s="3152"/>
      <c r="AF37" s="3152">
        <f t="shared" si="6"/>
        <v>4455.29</v>
      </c>
      <c r="AG37" s="2697"/>
      <c r="AH37" s="238">
        <v>1656.4</v>
      </c>
      <c r="AI37" s="3251"/>
      <c r="AJ37" s="3251">
        <f t="shared" si="7"/>
        <v>6111.6900000000005</v>
      </c>
      <c r="AK37" s="2697"/>
      <c r="AL37" s="238">
        <v>713.39999999999986</v>
      </c>
      <c r="AM37" s="3613"/>
      <c r="AN37" s="3613">
        <f t="shared" si="8"/>
        <v>2716.25</v>
      </c>
      <c r="AO37" s="3612"/>
      <c r="AP37" s="3612">
        <f t="shared" si="9"/>
        <v>6825.09</v>
      </c>
      <c r="AQ37" s="2697"/>
      <c r="AR37" s="3872">
        <v>301.34999999999997</v>
      </c>
      <c r="AS37" s="3894"/>
      <c r="AT37" s="3894">
        <f t="shared" si="10"/>
        <v>7126.4400000000005</v>
      </c>
      <c r="AU37" s="2697"/>
      <c r="AV37" s="4060">
        <v>530.94999999999993</v>
      </c>
      <c r="AW37" s="4081"/>
      <c r="AX37" s="4096">
        <f t="shared" si="11"/>
        <v>7657.39</v>
      </c>
      <c r="AY37" s="2697"/>
      <c r="AZ37" s="4223">
        <f>1217.7-4.1</f>
        <v>1213.6000000000001</v>
      </c>
      <c r="BA37" s="4269"/>
      <c r="BB37" s="4565">
        <f t="shared" si="12"/>
        <v>2045.9</v>
      </c>
      <c r="BC37" s="1854"/>
      <c r="BD37" s="1854">
        <f t="shared" si="13"/>
        <v>4762.1499999999996</v>
      </c>
      <c r="BE37" s="4564"/>
      <c r="BF37" s="4564">
        <f t="shared" si="14"/>
        <v>8870.99</v>
      </c>
    </row>
    <row r="38" spans="2:58" s="334" customFormat="1" ht="15.75" x14ac:dyDescent="0.25">
      <c r="B38" s="2694" t="s">
        <v>1139</v>
      </c>
      <c r="C38" s="3417" t="s">
        <v>1354</v>
      </c>
      <c r="D38" s="111" t="s">
        <v>53</v>
      </c>
      <c r="E38" s="2328"/>
      <c r="F38" s="238"/>
      <c r="G38" s="2696"/>
      <c r="H38" s="238"/>
      <c r="I38" s="2339"/>
      <c r="J38" s="2339">
        <f t="shared" si="1"/>
        <v>0</v>
      </c>
      <c r="K38" s="2697"/>
      <c r="L38" s="238">
        <v>407.95</v>
      </c>
      <c r="M38" s="1568"/>
      <c r="N38" s="1568">
        <f t="shared" si="2"/>
        <v>407.95</v>
      </c>
      <c r="O38" s="2697"/>
      <c r="P38" s="238">
        <v>0</v>
      </c>
      <c r="Q38" s="1586"/>
      <c r="R38" s="1586">
        <f t="shared" si="3"/>
        <v>407.95</v>
      </c>
      <c r="S38" s="2697"/>
      <c r="T38" s="238">
        <v>338.24999999999994</v>
      </c>
      <c r="U38" s="1586"/>
      <c r="V38" s="1586">
        <f t="shared" si="4"/>
        <v>746.19999999999993</v>
      </c>
      <c r="W38" s="2697"/>
      <c r="X38" s="238">
        <v>0</v>
      </c>
      <c r="Y38" s="1568"/>
      <c r="Z38" s="1568">
        <f t="shared" si="5"/>
        <v>338.24999999999994</v>
      </c>
      <c r="AA38" s="1854"/>
      <c r="AB38" s="1854">
        <f t="shared" si="0"/>
        <v>746.19999999999993</v>
      </c>
      <c r="AC38" s="2697"/>
      <c r="AD38" s="238">
        <f>215.25-2.05</f>
        <v>213.2</v>
      </c>
      <c r="AE38" s="3152"/>
      <c r="AF38" s="3152">
        <f t="shared" si="6"/>
        <v>959.39999999999986</v>
      </c>
      <c r="AG38" s="2697"/>
      <c r="AH38" s="238">
        <v>0</v>
      </c>
      <c r="AI38" s="3251"/>
      <c r="AJ38" s="3251">
        <f t="shared" si="7"/>
        <v>959.39999999999986</v>
      </c>
      <c r="AK38" s="2697"/>
      <c r="AL38" s="238">
        <v>227.55</v>
      </c>
      <c r="AM38" s="3613"/>
      <c r="AN38" s="3613">
        <f t="shared" si="8"/>
        <v>440.75</v>
      </c>
      <c r="AO38" s="3612"/>
      <c r="AP38" s="3612">
        <f t="shared" si="9"/>
        <v>1186.9499999999998</v>
      </c>
      <c r="AQ38" s="2697"/>
      <c r="AR38" s="3872"/>
      <c r="AS38" s="3894"/>
      <c r="AT38" s="3894">
        <f t="shared" si="10"/>
        <v>1186.9499999999998</v>
      </c>
      <c r="AU38" s="2697"/>
      <c r="AV38" s="4060"/>
      <c r="AW38" s="4081"/>
      <c r="AX38" s="4096">
        <f t="shared" si="11"/>
        <v>1186.9499999999998</v>
      </c>
      <c r="AY38" s="2697"/>
      <c r="AZ38" s="4223"/>
      <c r="BA38" s="4269"/>
      <c r="BB38" s="4565">
        <f t="shared" si="12"/>
        <v>0</v>
      </c>
      <c r="BC38" s="1854"/>
      <c r="BD38" s="1854">
        <f t="shared" si="13"/>
        <v>440.75</v>
      </c>
      <c r="BE38" s="4564"/>
      <c r="BF38" s="4564">
        <f t="shared" si="14"/>
        <v>1186.9499999999998</v>
      </c>
    </row>
    <row r="39" spans="2:58" s="334" customFormat="1" ht="15.75" x14ac:dyDescent="0.25">
      <c r="B39" s="2694" t="s">
        <v>1139</v>
      </c>
      <c r="C39" s="3417" t="s">
        <v>1357</v>
      </c>
      <c r="D39" s="111" t="s">
        <v>53</v>
      </c>
      <c r="E39" s="2328"/>
      <c r="F39" s="238">
        <v>516.12</v>
      </c>
      <c r="G39" s="2696"/>
      <c r="H39" s="238"/>
      <c r="I39" s="2339"/>
      <c r="J39" s="2339">
        <f t="shared" si="1"/>
        <v>516.12</v>
      </c>
      <c r="K39" s="2697"/>
      <c r="L39" s="238"/>
      <c r="M39" s="1568"/>
      <c r="N39" s="1568">
        <f t="shared" si="2"/>
        <v>516.12</v>
      </c>
      <c r="O39" s="2697"/>
      <c r="P39" s="238">
        <v>0</v>
      </c>
      <c r="Q39" s="1586"/>
      <c r="R39" s="1586">
        <f t="shared" si="3"/>
        <v>516.12</v>
      </c>
      <c r="S39" s="2697"/>
      <c r="T39" s="238">
        <v>0</v>
      </c>
      <c r="U39" s="1586"/>
      <c r="V39" s="1586">
        <f t="shared" si="4"/>
        <v>516.12</v>
      </c>
      <c r="W39" s="2697"/>
      <c r="X39" s="238">
        <v>0</v>
      </c>
      <c r="Y39" s="1568"/>
      <c r="Z39" s="1568">
        <f t="shared" si="5"/>
        <v>0</v>
      </c>
      <c r="AA39" s="1854"/>
      <c r="AB39" s="1854">
        <f t="shared" si="0"/>
        <v>516.12</v>
      </c>
      <c r="AC39" s="2697"/>
      <c r="AD39" s="238">
        <v>145.54999999999998</v>
      </c>
      <c r="AE39" s="3152"/>
      <c r="AF39" s="3152">
        <f t="shared" si="6"/>
        <v>661.67</v>
      </c>
      <c r="AG39" s="2697"/>
      <c r="AH39" s="238">
        <v>0</v>
      </c>
      <c r="AI39" s="3251"/>
      <c r="AJ39" s="3251">
        <f t="shared" si="7"/>
        <v>661.67</v>
      </c>
      <c r="AK39" s="2697"/>
      <c r="AL39" s="3640">
        <v>0</v>
      </c>
      <c r="AM39" s="3613"/>
      <c r="AN39" s="3613">
        <f t="shared" si="8"/>
        <v>145.54999999999998</v>
      </c>
      <c r="AO39" s="3612"/>
      <c r="AP39" s="3612">
        <f t="shared" si="9"/>
        <v>661.67</v>
      </c>
      <c r="AQ39" s="2697"/>
      <c r="AR39" s="3872"/>
      <c r="AS39" s="3894"/>
      <c r="AT39" s="3894">
        <f t="shared" si="10"/>
        <v>661.67</v>
      </c>
      <c r="AU39" s="2697"/>
      <c r="AV39" s="4060"/>
      <c r="AW39" s="4081"/>
      <c r="AX39" s="4096">
        <f t="shared" si="11"/>
        <v>661.67</v>
      </c>
      <c r="AY39" s="2697"/>
      <c r="AZ39" s="4223"/>
      <c r="BA39" s="4269"/>
      <c r="BB39" s="4565">
        <f t="shared" si="12"/>
        <v>0</v>
      </c>
      <c r="BC39" s="1854"/>
      <c r="BD39" s="1854">
        <f t="shared" si="13"/>
        <v>145.54999999999998</v>
      </c>
      <c r="BE39" s="4564"/>
      <c r="BF39" s="4564">
        <f t="shared" si="14"/>
        <v>661.67</v>
      </c>
    </row>
    <row r="40" spans="2:58" s="334" customFormat="1" ht="15.75" x14ac:dyDescent="0.25">
      <c r="B40" s="2694" t="s">
        <v>1139</v>
      </c>
      <c r="C40" s="3417" t="s">
        <v>1356</v>
      </c>
      <c r="D40" s="111" t="s">
        <v>53</v>
      </c>
      <c r="E40" s="2328"/>
      <c r="F40" s="238"/>
      <c r="G40" s="2696"/>
      <c r="H40" s="238"/>
      <c r="I40" s="2339"/>
      <c r="J40" s="2339">
        <f t="shared" si="1"/>
        <v>0</v>
      </c>
      <c r="K40" s="2697"/>
      <c r="L40" s="238"/>
      <c r="M40" s="1568"/>
      <c r="N40" s="1568">
        <f t="shared" si="2"/>
        <v>0</v>
      </c>
      <c r="O40" s="2697"/>
      <c r="P40" s="238">
        <v>455.09999999999997</v>
      </c>
      <c r="Q40" s="1586"/>
      <c r="R40" s="1586">
        <f t="shared" si="3"/>
        <v>455.09999999999997</v>
      </c>
      <c r="S40" s="2697"/>
      <c r="T40" s="238">
        <v>223.45</v>
      </c>
      <c r="U40" s="1586"/>
      <c r="V40" s="1586">
        <f t="shared" si="4"/>
        <v>678.55</v>
      </c>
      <c r="W40" s="2697"/>
      <c r="X40" s="238">
        <f>311.6-4.1</f>
        <v>307.5</v>
      </c>
      <c r="Y40" s="1568"/>
      <c r="Z40" s="1568">
        <f t="shared" si="5"/>
        <v>986.05</v>
      </c>
      <c r="AA40" s="1854"/>
      <c r="AB40" s="1854">
        <f t="shared" si="0"/>
        <v>986.05</v>
      </c>
      <c r="AC40" s="2697"/>
      <c r="AD40" s="238">
        <v>1512.9</v>
      </c>
      <c r="AE40" s="3152"/>
      <c r="AF40" s="3152">
        <f t="shared" si="6"/>
        <v>2498.9499999999998</v>
      </c>
      <c r="AG40" s="2697"/>
      <c r="AH40" s="238">
        <v>0</v>
      </c>
      <c r="AI40" s="3251"/>
      <c r="AJ40" s="3251">
        <f t="shared" si="7"/>
        <v>2498.9499999999998</v>
      </c>
      <c r="AK40" s="2697"/>
      <c r="AL40" s="3640">
        <v>0</v>
      </c>
      <c r="AM40" s="3613"/>
      <c r="AN40" s="3613">
        <f t="shared" si="8"/>
        <v>1512.9</v>
      </c>
      <c r="AO40" s="3612"/>
      <c r="AP40" s="3612">
        <f t="shared" si="9"/>
        <v>2498.9499999999998</v>
      </c>
      <c r="AQ40" s="2697"/>
      <c r="AR40" s="3872"/>
      <c r="AS40" s="3894"/>
      <c r="AT40" s="3894">
        <f t="shared" si="10"/>
        <v>2498.9499999999998</v>
      </c>
      <c r="AU40" s="2697"/>
      <c r="AV40" s="4060">
        <v>1371.4499999999998</v>
      </c>
      <c r="AW40" s="4081"/>
      <c r="AX40" s="4096">
        <f t="shared" si="11"/>
        <v>3870.3999999999996</v>
      </c>
      <c r="AY40" s="2697"/>
      <c r="AZ40" s="4223">
        <v>301.35000000000002</v>
      </c>
      <c r="BA40" s="4269"/>
      <c r="BB40" s="4565">
        <f t="shared" si="12"/>
        <v>1672.7999999999997</v>
      </c>
      <c r="BC40" s="1854"/>
      <c r="BD40" s="1854">
        <f t="shared" si="13"/>
        <v>3185.7</v>
      </c>
      <c r="BE40" s="4564"/>
      <c r="BF40" s="4564">
        <f t="shared" si="14"/>
        <v>4171.75</v>
      </c>
    </row>
    <row r="41" spans="2:58" s="334" customFormat="1" ht="15.75" x14ac:dyDescent="0.25">
      <c r="B41" s="2694" t="s">
        <v>1139</v>
      </c>
      <c r="C41" s="3417" t="s">
        <v>1836</v>
      </c>
      <c r="D41" s="4088" t="s">
        <v>53</v>
      </c>
      <c r="E41" s="2328"/>
      <c r="F41" s="4060"/>
      <c r="G41" s="2696"/>
      <c r="H41" s="4060"/>
      <c r="I41" s="4062"/>
      <c r="J41" s="4062"/>
      <c r="K41" s="2697"/>
      <c r="L41" s="4060"/>
      <c r="M41" s="4082"/>
      <c r="N41" s="4082"/>
      <c r="O41" s="2697"/>
      <c r="P41" s="4060"/>
      <c r="Q41" s="4081"/>
      <c r="R41" s="4081"/>
      <c r="S41" s="2697"/>
      <c r="T41" s="4060"/>
      <c r="U41" s="4081"/>
      <c r="V41" s="4081"/>
      <c r="W41" s="2697"/>
      <c r="X41" s="4060"/>
      <c r="Y41" s="4082"/>
      <c r="Z41" s="4082"/>
      <c r="AA41" s="1854"/>
      <c r="AB41" s="1854"/>
      <c r="AC41" s="2697"/>
      <c r="AD41" s="4060"/>
      <c r="AE41" s="4081"/>
      <c r="AF41" s="4081"/>
      <c r="AG41" s="2697"/>
      <c r="AH41" s="4060"/>
      <c r="AI41" s="4081"/>
      <c r="AJ41" s="4081"/>
      <c r="AK41" s="2697"/>
      <c r="AL41" s="4060"/>
      <c r="AM41" s="4082"/>
      <c r="AN41" s="4082"/>
      <c r="AO41" s="4081"/>
      <c r="AP41" s="4081"/>
      <c r="AQ41" s="2697"/>
      <c r="AR41" s="4060"/>
      <c r="AS41" s="4081"/>
      <c r="AT41" s="4081"/>
      <c r="AU41" s="2697"/>
      <c r="AV41" s="4060">
        <v>397.7</v>
      </c>
      <c r="AW41" s="4081"/>
      <c r="AX41" s="4096">
        <f t="shared" si="11"/>
        <v>397.7</v>
      </c>
      <c r="AY41" s="2697"/>
      <c r="AZ41" s="4223"/>
      <c r="BA41" s="4269"/>
      <c r="BB41" s="4565">
        <f t="shared" si="12"/>
        <v>397.7</v>
      </c>
      <c r="BC41" s="1854"/>
      <c r="BD41" s="1854">
        <f t="shared" si="13"/>
        <v>397.7</v>
      </c>
      <c r="BE41" s="4564"/>
      <c r="BF41" s="4564">
        <f t="shared" si="14"/>
        <v>397.7</v>
      </c>
    </row>
    <row r="42" spans="2:58" s="334" customFormat="1" ht="15.75" x14ac:dyDescent="0.25">
      <c r="B42" s="2694" t="s">
        <v>1139</v>
      </c>
      <c r="C42" s="3417" t="s">
        <v>1359</v>
      </c>
      <c r="D42" s="3899" t="s">
        <v>53</v>
      </c>
      <c r="E42" s="2328"/>
      <c r="F42" s="3872"/>
      <c r="G42" s="2696"/>
      <c r="H42" s="3872"/>
      <c r="I42" s="3874"/>
      <c r="J42" s="3874"/>
      <c r="K42" s="2697"/>
      <c r="L42" s="3872"/>
      <c r="M42" s="3895"/>
      <c r="N42" s="3895"/>
      <c r="O42" s="2697"/>
      <c r="P42" s="3872"/>
      <c r="Q42" s="3894"/>
      <c r="R42" s="3894"/>
      <c r="S42" s="2697"/>
      <c r="T42" s="3872"/>
      <c r="U42" s="3894"/>
      <c r="V42" s="3894"/>
      <c r="W42" s="2697"/>
      <c r="X42" s="3872"/>
      <c r="Y42" s="3895"/>
      <c r="Z42" s="3895"/>
      <c r="AA42" s="1854"/>
      <c r="AB42" s="1854"/>
      <c r="AC42" s="2697"/>
      <c r="AD42" s="3872"/>
      <c r="AE42" s="3894"/>
      <c r="AF42" s="3894"/>
      <c r="AG42" s="2697"/>
      <c r="AH42" s="3872"/>
      <c r="AI42" s="3894"/>
      <c r="AJ42" s="3894"/>
      <c r="AK42" s="2697"/>
      <c r="AL42" s="3872"/>
      <c r="AM42" s="3895"/>
      <c r="AN42" s="3895"/>
      <c r="AO42" s="3894"/>
      <c r="AP42" s="3894"/>
      <c r="AQ42" s="2697"/>
      <c r="AR42" s="3872">
        <v>112.74999999999999</v>
      </c>
      <c r="AS42" s="3894"/>
      <c r="AT42" s="3894">
        <f t="shared" si="10"/>
        <v>112.74999999999999</v>
      </c>
      <c r="AU42" s="2697"/>
      <c r="AV42" s="4060"/>
      <c r="AW42" s="4081"/>
      <c r="AX42" s="4096">
        <f t="shared" si="11"/>
        <v>112.74999999999999</v>
      </c>
      <c r="AY42" s="2697"/>
      <c r="AZ42" s="4223"/>
      <c r="BA42" s="4269"/>
      <c r="BB42" s="4565">
        <f t="shared" si="12"/>
        <v>112.74999999999999</v>
      </c>
      <c r="BC42" s="1854"/>
      <c r="BD42" s="1854">
        <f t="shared" si="13"/>
        <v>112.74999999999999</v>
      </c>
      <c r="BE42" s="4564"/>
      <c r="BF42" s="4564">
        <f t="shared" si="14"/>
        <v>112.74999999999999</v>
      </c>
    </row>
    <row r="43" spans="2:58" s="334" customFormat="1" ht="15.75" x14ac:dyDescent="0.25">
      <c r="B43" s="2694" t="s">
        <v>1139</v>
      </c>
      <c r="C43" s="3417" t="s">
        <v>1842</v>
      </c>
      <c r="D43" s="111" t="s">
        <v>53</v>
      </c>
      <c r="E43" s="2328"/>
      <c r="F43" s="238">
        <f>2815.2-58.696</f>
        <v>2756.5039999999999</v>
      </c>
      <c r="G43" s="2696"/>
      <c r="H43" s="238">
        <v>2271.3999999999996</v>
      </c>
      <c r="I43" s="2339"/>
      <c r="J43" s="2339">
        <f t="shared" si="1"/>
        <v>5027.9039999999995</v>
      </c>
      <c r="K43" s="2697"/>
      <c r="L43" s="238">
        <f>6816.25-2.05</f>
        <v>6814.2</v>
      </c>
      <c r="M43" s="1568"/>
      <c r="N43" s="1568">
        <f t="shared" si="2"/>
        <v>11842.103999999999</v>
      </c>
      <c r="O43" s="2697"/>
      <c r="P43" s="238">
        <f>5100.4-59.45</f>
        <v>5040.95</v>
      </c>
      <c r="Q43" s="1586"/>
      <c r="R43" s="1586">
        <f t="shared" si="3"/>
        <v>16883.054</v>
      </c>
      <c r="S43" s="2697"/>
      <c r="T43" s="238">
        <f>6309.9-47.15</f>
        <v>6262.75</v>
      </c>
      <c r="U43" s="1586"/>
      <c r="V43" s="1586">
        <f t="shared" si="4"/>
        <v>23145.804</v>
      </c>
      <c r="W43" s="2697"/>
      <c r="X43" s="238">
        <f>7488.65-41</f>
        <v>7447.65</v>
      </c>
      <c r="Y43" s="1568"/>
      <c r="Z43" s="1568">
        <f t="shared" si="5"/>
        <v>18751.349999999999</v>
      </c>
      <c r="AA43" s="1854"/>
      <c r="AB43" s="1854">
        <f t="shared" si="0"/>
        <v>30593.453999999998</v>
      </c>
      <c r="AC43" s="2697"/>
      <c r="AD43" s="238">
        <f>7080.7-28.7</f>
        <v>7052</v>
      </c>
      <c r="AE43" s="3152"/>
      <c r="AF43" s="3152">
        <f t="shared" si="6"/>
        <v>37645.453999999998</v>
      </c>
      <c r="AG43" s="2697"/>
      <c r="AH43" s="238">
        <v>7953.9999999999991</v>
      </c>
      <c r="AI43" s="3251"/>
      <c r="AJ43" s="3251">
        <f t="shared" si="7"/>
        <v>45599.453999999998</v>
      </c>
      <c r="AK43" s="2697"/>
      <c r="AL43" s="238">
        <v>3208.25</v>
      </c>
      <c r="AM43" s="3613"/>
      <c r="AN43" s="3613">
        <f t="shared" si="8"/>
        <v>18214.25</v>
      </c>
      <c r="AO43" s="3612"/>
      <c r="AP43" s="3612">
        <f t="shared" si="9"/>
        <v>48807.703999999998</v>
      </c>
      <c r="AQ43" s="2697"/>
      <c r="AR43" s="3872">
        <f>5381.25-2.05</f>
        <v>5379.2</v>
      </c>
      <c r="AS43" s="3894"/>
      <c r="AT43" s="3894">
        <f t="shared" si="10"/>
        <v>54186.903999999995</v>
      </c>
      <c r="AU43" s="2697"/>
      <c r="AV43" s="4060">
        <v>8107.7499999999991</v>
      </c>
      <c r="AW43" s="4081"/>
      <c r="AX43" s="4096">
        <f t="shared" si="11"/>
        <v>62294.653999999995</v>
      </c>
      <c r="AY43" s="2697"/>
      <c r="AZ43" s="4223">
        <v>7994.9999999999991</v>
      </c>
      <c r="BA43" s="4269"/>
      <c r="BB43" s="4565">
        <f t="shared" si="12"/>
        <v>21481.949999999997</v>
      </c>
      <c r="BC43" s="1854"/>
      <c r="BD43" s="1854">
        <f t="shared" si="13"/>
        <v>39696.199999999997</v>
      </c>
      <c r="BE43" s="4564"/>
      <c r="BF43" s="4564">
        <f t="shared" si="14"/>
        <v>70289.653999999995</v>
      </c>
    </row>
    <row r="44" spans="2:58" s="334" customFormat="1" ht="15.75" x14ac:dyDescent="0.25">
      <c r="B44" s="2694" t="s">
        <v>55</v>
      </c>
      <c r="C44" s="3417" t="s">
        <v>1355</v>
      </c>
      <c r="D44" s="111" t="s">
        <v>53</v>
      </c>
      <c r="E44" s="2328"/>
      <c r="F44" s="238"/>
      <c r="G44" s="2696"/>
      <c r="H44" s="238"/>
      <c r="I44" s="2339"/>
      <c r="J44" s="2339">
        <f t="shared" si="1"/>
        <v>0</v>
      </c>
      <c r="K44" s="2697"/>
      <c r="L44" s="238"/>
      <c r="M44" s="1568"/>
      <c r="N44" s="1568">
        <f t="shared" si="2"/>
        <v>0</v>
      </c>
      <c r="O44" s="2697"/>
      <c r="P44" s="238">
        <v>1576.4499999999998</v>
      </c>
      <c r="Q44" s="1586"/>
      <c r="R44" s="1586">
        <f t="shared" si="3"/>
        <v>1576.4499999999998</v>
      </c>
      <c r="S44" s="2697"/>
      <c r="T44" s="238">
        <v>0</v>
      </c>
      <c r="U44" s="1586"/>
      <c r="V44" s="1586">
        <f t="shared" si="4"/>
        <v>1576.4499999999998</v>
      </c>
      <c r="W44" s="2697"/>
      <c r="X44" s="238">
        <v>366.94999999999993</v>
      </c>
      <c r="Y44" s="1568"/>
      <c r="Z44" s="1568">
        <f t="shared" si="5"/>
        <v>1943.3999999999996</v>
      </c>
      <c r="AA44" s="1854"/>
      <c r="AB44" s="1854">
        <f t="shared" si="0"/>
        <v>1943.3999999999996</v>
      </c>
      <c r="AC44" s="2697"/>
      <c r="AD44" s="238">
        <v>0</v>
      </c>
      <c r="AE44" s="3152"/>
      <c r="AF44" s="3152">
        <f t="shared" si="6"/>
        <v>1943.3999999999996</v>
      </c>
      <c r="AG44" s="2697"/>
      <c r="AH44" s="238">
        <v>533</v>
      </c>
      <c r="AI44" s="3251"/>
      <c r="AJ44" s="3251">
        <f t="shared" si="7"/>
        <v>2476.3999999999996</v>
      </c>
      <c r="AK44" s="2697"/>
      <c r="AL44" s="3640">
        <v>0</v>
      </c>
      <c r="AM44" s="3613"/>
      <c r="AN44" s="3613">
        <f t="shared" si="8"/>
        <v>533</v>
      </c>
      <c r="AO44" s="3612"/>
      <c r="AP44" s="3612">
        <f t="shared" si="9"/>
        <v>2476.3999999999996</v>
      </c>
      <c r="AQ44" s="2697"/>
      <c r="AR44" s="3872"/>
      <c r="AS44" s="3894"/>
      <c r="AT44" s="3894">
        <f t="shared" si="10"/>
        <v>2476.3999999999996</v>
      </c>
      <c r="AU44" s="2697"/>
      <c r="AV44" s="4060"/>
      <c r="AW44" s="4081"/>
      <c r="AX44" s="4096">
        <f t="shared" si="11"/>
        <v>2476.3999999999996</v>
      </c>
      <c r="AY44" s="2697"/>
      <c r="AZ44" s="4223"/>
      <c r="BA44" s="4269"/>
      <c r="BB44" s="4565">
        <f t="shared" si="12"/>
        <v>0</v>
      </c>
      <c r="BC44" s="1854"/>
      <c r="BD44" s="1854">
        <f t="shared" si="13"/>
        <v>533</v>
      </c>
      <c r="BE44" s="4564"/>
      <c r="BF44" s="4564">
        <f t="shared" si="14"/>
        <v>2476.3999999999996</v>
      </c>
    </row>
    <row r="45" spans="2:58" s="334" customFormat="1" ht="15.75" x14ac:dyDescent="0.25">
      <c r="B45" s="2694" t="s">
        <v>55</v>
      </c>
      <c r="C45" s="3417" t="s">
        <v>1842</v>
      </c>
      <c r="D45" s="111" t="s">
        <v>53</v>
      </c>
      <c r="E45" s="2328"/>
      <c r="F45" s="238"/>
      <c r="G45" s="2696"/>
      <c r="H45" s="238">
        <f>744.15-2.05</f>
        <v>742.1</v>
      </c>
      <c r="I45" s="2339"/>
      <c r="J45" s="2339">
        <f t="shared" si="1"/>
        <v>742.1</v>
      </c>
      <c r="K45" s="2697"/>
      <c r="L45" s="238"/>
      <c r="M45" s="1568"/>
      <c r="N45" s="1568">
        <f t="shared" si="2"/>
        <v>742.1</v>
      </c>
      <c r="O45" s="2697"/>
      <c r="P45" s="238">
        <f>297.25-4.1</f>
        <v>293.14999999999998</v>
      </c>
      <c r="Q45" s="1586"/>
      <c r="R45" s="1586">
        <f t="shared" si="3"/>
        <v>1035.25</v>
      </c>
      <c r="S45" s="2697"/>
      <c r="T45" s="238">
        <v>0</v>
      </c>
      <c r="U45" s="1586"/>
      <c r="V45" s="1586">
        <f t="shared" si="4"/>
        <v>1035.25</v>
      </c>
      <c r="W45" s="2697"/>
      <c r="X45" s="238">
        <f>1881.9-28.7</f>
        <v>1853.2</v>
      </c>
      <c r="Y45" s="1568"/>
      <c r="Z45" s="1568">
        <f t="shared" si="5"/>
        <v>2146.35</v>
      </c>
      <c r="AA45" s="1854"/>
      <c r="AB45" s="1854">
        <f t="shared" si="0"/>
        <v>2888.45</v>
      </c>
      <c r="AC45" s="2697"/>
      <c r="AD45" s="238">
        <v>0</v>
      </c>
      <c r="AE45" s="3152"/>
      <c r="AF45" s="3152">
        <f t="shared" si="6"/>
        <v>2888.45</v>
      </c>
      <c r="AG45" s="2697"/>
      <c r="AH45" s="238">
        <v>2269.35</v>
      </c>
      <c r="AI45" s="3251"/>
      <c r="AJ45" s="3251">
        <f t="shared" si="7"/>
        <v>5157.7999999999993</v>
      </c>
      <c r="AK45" s="2697"/>
      <c r="AL45" s="3640">
        <v>0</v>
      </c>
      <c r="AM45" s="3613"/>
      <c r="AN45" s="3613">
        <f t="shared" si="8"/>
        <v>2269.35</v>
      </c>
      <c r="AO45" s="3612"/>
      <c r="AP45" s="3612">
        <f t="shared" si="9"/>
        <v>5157.7999999999993</v>
      </c>
      <c r="AQ45" s="2697"/>
      <c r="AR45" s="3872"/>
      <c r="AS45" s="3894"/>
      <c r="AT45" s="3894">
        <f t="shared" si="10"/>
        <v>5157.7999999999993</v>
      </c>
      <c r="AU45" s="2697"/>
      <c r="AV45" s="4060"/>
      <c r="AW45" s="4081"/>
      <c r="AX45" s="4096">
        <f t="shared" si="11"/>
        <v>5157.7999999999993</v>
      </c>
      <c r="AY45" s="2697"/>
      <c r="AZ45" s="4223"/>
      <c r="BA45" s="4269"/>
      <c r="BB45" s="4565">
        <f t="shared" si="12"/>
        <v>0</v>
      </c>
      <c r="BC45" s="1854"/>
      <c r="BD45" s="1854">
        <f t="shared" si="13"/>
        <v>2269.35</v>
      </c>
      <c r="BE45" s="4564"/>
      <c r="BF45" s="4564">
        <f t="shared" si="14"/>
        <v>5157.7999999999993</v>
      </c>
    </row>
    <row r="46" spans="2:58" s="334" customFormat="1" ht="15.75" x14ac:dyDescent="0.25">
      <c r="B46" s="2694" t="s">
        <v>55</v>
      </c>
      <c r="C46" s="3417" t="s">
        <v>1802</v>
      </c>
      <c r="D46" s="111" t="s">
        <v>53</v>
      </c>
      <c r="E46" s="2328"/>
      <c r="F46" s="238"/>
      <c r="G46" s="2696"/>
      <c r="H46" s="238"/>
      <c r="I46" s="2339"/>
      <c r="J46" s="2339">
        <f t="shared" si="1"/>
        <v>0</v>
      </c>
      <c r="K46" s="2697"/>
      <c r="L46" s="238"/>
      <c r="M46" s="1568"/>
      <c r="N46" s="1568">
        <f t="shared" si="2"/>
        <v>0</v>
      </c>
      <c r="O46" s="2697"/>
      <c r="P46" s="238">
        <f>703.15-2.05-10.25</f>
        <v>690.85</v>
      </c>
      <c r="Q46" s="1586"/>
      <c r="R46" s="1586">
        <f t="shared" si="3"/>
        <v>690.85</v>
      </c>
      <c r="S46" s="2697"/>
      <c r="T46" s="238">
        <v>0</v>
      </c>
      <c r="U46" s="1586"/>
      <c r="V46" s="1586">
        <f t="shared" si="4"/>
        <v>690.85</v>
      </c>
      <c r="W46" s="2697"/>
      <c r="X46" s="238">
        <v>455.09999999999997</v>
      </c>
      <c r="Y46" s="1568"/>
      <c r="Z46" s="1568">
        <f t="shared" si="5"/>
        <v>1145.95</v>
      </c>
      <c r="AA46" s="1854"/>
      <c r="AB46" s="1854">
        <f t="shared" si="0"/>
        <v>1145.95</v>
      </c>
      <c r="AC46" s="2697"/>
      <c r="AD46" s="238">
        <v>0</v>
      </c>
      <c r="AE46" s="3152"/>
      <c r="AF46" s="3152">
        <f t="shared" si="6"/>
        <v>1145.95</v>
      </c>
      <c r="AG46" s="2697"/>
      <c r="AH46" s="238">
        <v>528.9</v>
      </c>
      <c r="AI46" s="3251"/>
      <c r="AJ46" s="3251">
        <f t="shared" si="7"/>
        <v>1674.85</v>
      </c>
      <c r="AK46" s="2697"/>
      <c r="AL46" s="3640">
        <v>0</v>
      </c>
      <c r="AM46" s="3613"/>
      <c r="AN46" s="3613">
        <f t="shared" si="8"/>
        <v>528.9</v>
      </c>
      <c r="AO46" s="3612"/>
      <c r="AP46" s="3612">
        <f t="shared" si="9"/>
        <v>1674.85</v>
      </c>
      <c r="AQ46" s="2697"/>
      <c r="AR46" s="3872"/>
      <c r="AS46" s="3894"/>
      <c r="AT46" s="3894">
        <f t="shared" si="10"/>
        <v>1674.85</v>
      </c>
      <c r="AU46" s="2697"/>
      <c r="AV46" s="4060"/>
      <c r="AW46" s="4081"/>
      <c r="AX46" s="4096">
        <f t="shared" si="11"/>
        <v>1674.85</v>
      </c>
      <c r="AY46" s="2697"/>
      <c r="AZ46" s="4223"/>
      <c r="BA46" s="4269"/>
      <c r="BB46" s="4565">
        <f t="shared" si="12"/>
        <v>0</v>
      </c>
      <c r="BC46" s="1854"/>
      <c r="BD46" s="1854">
        <f t="shared" si="13"/>
        <v>528.9</v>
      </c>
      <c r="BE46" s="4564"/>
      <c r="BF46" s="4564">
        <f t="shared" si="14"/>
        <v>1674.85</v>
      </c>
    </row>
    <row r="47" spans="2:58" s="334" customFormat="1" ht="15.75" x14ac:dyDescent="0.25">
      <c r="B47" s="2694" t="s">
        <v>1138</v>
      </c>
      <c r="C47" s="3417" t="s">
        <v>1356</v>
      </c>
      <c r="D47" s="111" t="s">
        <v>53</v>
      </c>
      <c r="E47" s="2328"/>
      <c r="F47" s="238"/>
      <c r="G47" s="2696"/>
      <c r="H47" s="238"/>
      <c r="I47" s="2339"/>
      <c r="J47" s="2339"/>
      <c r="K47" s="2697"/>
      <c r="L47" s="238"/>
      <c r="M47" s="1568"/>
      <c r="N47" s="1568"/>
      <c r="O47" s="2697"/>
      <c r="P47" s="238"/>
      <c r="Q47" s="1586"/>
      <c r="R47" s="1586"/>
      <c r="S47" s="2697"/>
      <c r="T47" s="238"/>
      <c r="U47" s="1586"/>
      <c r="V47" s="1586"/>
      <c r="W47" s="2697"/>
      <c r="X47" s="3103">
        <v>14.349999999999998</v>
      </c>
      <c r="Y47" s="1568"/>
      <c r="Z47" s="1568">
        <f t="shared" si="5"/>
        <v>14.349999999999998</v>
      </c>
      <c r="AA47" s="1854"/>
      <c r="AB47" s="1854">
        <f t="shared" si="0"/>
        <v>14.349999999999998</v>
      </c>
      <c r="AC47" s="2697"/>
      <c r="AD47" s="238">
        <v>0</v>
      </c>
      <c r="AE47" s="3152"/>
      <c r="AF47" s="3152">
        <f t="shared" si="6"/>
        <v>14.349999999999998</v>
      </c>
      <c r="AG47" s="2697"/>
      <c r="AH47" s="238">
        <v>0</v>
      </c>
      <c r="AI47" s="3251"/>
      <c r="AJ47" s="3251">
        <f t="shared" si="7"/>
        <v>14.349999999999998</v>
      </c>
      <c r="AK47" s="2697"/>
      <c r="AL47" s="3640">
        <v>0</v>
      </c>
      <c r="AM47" s="3613"/>
      <c r="AN47" s="3613">
        <f t="shared" si="8"/>
        <v>0</v>
      </c>
      <c r="AO47" s="3612"/>
      <c r="AP47" s="3612">
        <f t="shared" si="9"/>
        <v>14.349999999999998</v>
      </c>
      <c r="AQ47" s="2697"/>
      <c r="AR47" s="3872"/>
      <c r="AS47" s="3894"/>
      <c r="AT47" s="3894">
        <f t="shared" si="10"/>
        <v>14.349999999999998</v>
      </c>
      <c r="AU47" s="2697"/>
      <c r="AV47" s="4060"/>
      <c r="AW47" s="4081"/>
      <c r="AX47" s="4096">
        <f t="shared" si="11"/>
        <v>14.349999999999998</v>
      </c>
      <c r="AY47" s="2697"/>
      <c r="AZ47" s="4223"/>
      <c r="BA47" s="4269"/>
      <c r="BB47" s="4565">
        <f t="shared" si="12"/>
        <v>0</v>
      </c>
      <c r="BC47" s="1854"/>
      <c r="BD47" s="1854">
        <f t="shared" si="13"/>
        <v>0</v>
      </c>
      <c r="BE47" s="4564"/>
      <c r="BF47" s="4564">
        <f t="shared" si="14"/>
        <v>14.349999999999998</v>
      </c>
    </row>
    <row r="48" spans="2:58" s="334" customFormat="1" ht="15.75" x14ac:dyDescent="0.25">
      <c r="B48" s="2694" t="s">
        <v>1138</v>
      </c>
      <c r="C48" s="3417" t="s">
        <v>1359</v>
      </c>
      <c r="D48" s="111" t="s">
        <v>53</v>
      </c>
      <c r="E48" s="2328"/>
      <c r="F48" s="238"/>
      <c r="G48" s="2696"/>
      <c r="H48" s="238"/>
      <c r="I48" s="3321"/>
      <c r="J48" s="3321"/>
      <c r="K48" s="2697"/>
      <c r="L48" s="238"/>
      <c r="M48" s="3328"/>
      <c r="N48" s="3328"/>
      <c r="O48" s="2697"/>
      <c r="P48" s="238"/>
      <c r="Q48" s="3326"/>
      <c r="R48" s="3326"/>
      <c r="S48" s="2697"/>
      <c r="T48" s="238"/>
      <c r="U48" s="3326"/>
      <c r="V48" s="3326"/>
      <c r="W48" s="2697"/>
      <c r="X48" s="3327"/>
      <c r="Y48" s="3328"/>
      <c r="Z48" s="3328"/>
      <c r="AA48" s="1854"/>
      <c r="AB48" s="1854"/>
      <c r="AC48" s="2697"/>
      <c r="AD48" s="238"/>
      <c r="AE48" s="3326"/>
      <c r="AF48" s="3326"/>
      <c r="AG48" s="2697"/>
      <c r="AH48" s="238">
        <v>77.900000000000006</v>
      </c>
      <c r="AI48" s="3326"/>
      <c r="AJ48" s="3326">
        <f t="shared" si="7"/>
        <v>77.900000000000006</v>
      </c>
      <c r="AK48" s="2697"/>
      <c r="AL48" s="3640">
        <v>0</v>
      </c>
      <c r="AM48" s="3613"/>
      <c r="AN48" s="3613">
        <f t="shared" si="8"/>
        <v>77.900000000000006</v>
      </c>
      <c r="AO48" s="3612"/>
      <c r="AP48" s="3612">
        <f t="shared" si="9"/>
        <v>77.900000000000006</v>
      </c>
      <c r="AQ48" s="2697"/>
      <c r="AR48" s="3872"/>
      <c r="AS48" s="3894"/>
      <c r="AT48" s="3894">
        <f t="shared" si="10"/>
        <v>77.900000000000006</v>
      </c>
      <c r="AU48" s="2697"/>
      <c r="AV48" s="4060"/>
      <c r="AW48" s="4081"/>
      <c r="AX48" s="4096">
        <f t="shared" si="11"/>
        <v>77.900000000000006</v>
      </c>
      <c r="AY48" s="2697"/>
      <c r="AZ48" s="4223"/>
      <c r="BA48" s="4269"/>
      <c r="BB48" s="4565">
        <f t="shared" si="12"/>
        <v>0</v>
      </c>
      <c r="BC48" s="1854"/>
      <c r="BD48" s="1854">
        <f t="shared" si="13"/>
        <v>77.900000000000006</v>
      </c>
      <c r="BE48" s="4564"/>
      <c r="BF48" s="4564">
        <f t="shared" si="14"/>
        <v>77.900000000000006</v>
      </c>
    </row>
    <row r="49" spans="2:58" s="334" customFormat="1" ht="15.75" x14ac:dyDescent="0.25">
      <c r="B49" s="2694" t="s">
        <v>1138</v>
      </c>
      <c r="C49" s="3417" t="s">
        <v>1357</v>
      </c>
      <c r="D49" s="111" t="s">
        <v>53</v>
      </c>
      <c r="E49" s="2328"/>
      <c r="F49" s="238"/>
      <c r="G49" s="2696"/>
      <c r="H49" s="238"/>
      <c r="I49" s="2339"/>
      <c r="J49" s="2339"/>
      <c r="K49" s="2697"/>
      <c r="L49" s="238"/>
      <c r="M49" s="1568"/>
      <c r="N49" s="1568"/>
      <c r="O49" s="2697"/>
      <c r="P49" s="238"/>
      <c r="Q49" s="1586"/>
      <c r="R49" s="1586"/>
      <c r="S49" s="2697"/>
      <c r="T49" s="238"/>
      <c r="U49" s="1586"/>
      <c r="V49" s="1586"/>
      <c r="W49" s="2697"/>
      <c r="X49" s="3103">
        <v>485.84999999999997</v>
      </c>
      <c r="Y49" s="1568"/>
      <c r="Z49" s="1568">
        <f t="shared" si="5"/>
        <v>485.84999999999997</v>
      </c>
      <c r="AA49" s="1854"/>
      <c r="AB49" s="1854">
        <f t="shared" si="0"/>
        <v>485.84999999999997</v>
      </c>
      <c r="AC49" s="2697"/>
      <c r="AD49" s="238">
        <v>0</v>
      </c>
      <c r="AE49" s="3152"/>
      <c r="AF49" s="3152">
        <f t="shared" si="6"/>
        <v>485.84999999999997</v>
      </c>
      <c r="AG49" s="2697"/>
      <c r="AH49" s="238">
        <v>0</v>
      </c>
      <c r="AI49" s="3251"/>
      <c r="AJ49" s="3251">
        <f t="shared" si="7"/>
        <v>485.84999999999997</v>
      </c>
      <c r="AK49" s="2697"/>
      <c r="AL49" s="3640">
        <v>0</v>
      </c>
      <c r="AM49" s="3613"/>
      <c r="AN49" s="3613">
        <f t="shared" si="8"/>
        <v>0</v>
      </c>
      <c r="AO49" s="3612"/>
      <c r="AP49" s="3612">
        <f t="shared" si="9"/>
        <v>485.84999999999997</v>
      </c>
      <c r="AQ49" s="2697"/>
      <c r="AR49" s="3872"/>
      <c r="AS49" s="3894"/>
      <c r="AT49" s="3894">
        <f t="shared" si="10"/>
        <v>485.84999999999997</v>
      </c>
      <c r="AU49" s="2697"/>
      <c r="AV49" s="4060"/>
      <c r="AW49" s="4081"/>
      <c r="AX49" s="4096">
        <f t="shared" si="11"/>
        <v>485.84999999999997</v>
      </c>
      <c r="AY49" s="2697"/>
      <c r="AZ49" s="4223"/>
      <c r="BA49" s="4269"/>
      <c r="BB49" s="4565">
        <f t="shared" si="12"/>
        <v>0</v>
      </c>
      <c r="BC49" s="1854"/>
      <c r="BD49" s="1854">
        <f t="shared" si="13"/>
        <v>0</v>
      </c>
      <c r="BE49" s="4564"/>
      <c r="BF49" s="4564">
        <f t="shared" si="14"/>
        <v>485.84999999999997</v>
      </c>
    </row>
    <row r="50" spans="2:58" s="334" customFormat="1" ht="15.75" x14ac:dyDescent="0.25">
      <c r="B50" s="2694" t="s">
        <v>55</v>
      </c>
      <c r="C50" s="3417" t="s">
        <v>1360</v>
      </c>
      <c r="D50" s="111" t="s">
        <v>53</v>
      </c>
      <c r="E50" s="2328"/>
      <c r="F50" s="238"/>
      <c r="G50" s="2696"/>
      <c r="H50" s="238">
        <v>1787.6</v>
      </c>
      <c r="I50" s="2339"/>
      <c r="J50" s="2339">
        <f t="shared" si="1"/>
        <v>1787.6</v>
      </c>
      <c r="K50" s="2697"/>
      <c r="L50" s="238"/>
      <c r="M50" s="1568"/>
      <c r="N50" s="1568">
        <f t="shared" si="2"/>
        <v>1787.6</v>
      </c>
      <c r="O50" s="2697"/>
      <c r="P50" s="238">
        <f>1783.5-4.1</f>
        <v>1779.4</v>
      </c>
      <c r="Q50" s="1586"/>
      <c r="R50" s="1586">
        <f t="shared" si="3"/>
        <v>3567</v>
      </c>
      <c r="S50" s="2697"/>
      <c r="T50" s="238">
        <v>0</v>
      </c>
      <c r="U50" s="1586"/>
      <c r="V50" s="1586">
        <f t="shared" si="4"/>
        <v>3567</v>
      </c>
      <c r="W50" s="2697"/>
      <c r="X50" s="3103">
        <v>2224.25</v>
      </c>
      <c r="Y50" s="1568"/>
      <c r="Z50" s="1568">
        <f t="shared" si="5"/>
        <v>4003.65</v>
      </c>
      <c r="AA50" s="1854"/>
      <c r="AB50" s="1854">
        <f t="shared" si="0"/>
        <v>5791.25</v>
      </c>
      <c r="AC50" s="2697"/>
      <c r="AD50" s="238">
        <v>0</v>
      </c>
      <c r="AE50" s="3152"/>
      <c r="AF50" s="3152">
        <f t="shared" si="6"/>
        <v>5791.25</v>
      </c>
      <c r="AG50" s="2697"/>
      <c r="AH50" s="238">
        <v>0</v>
      </c>
      <c r="AI50" s="3251"/>
      <c r="AJ50" s="3251">
        <f t="shared" si="7"/>
        <v>5791.25</v>
      </c>
      <c r="AK50" s="2697"/>
      <c r="AL50" s="3640">
        <v>0</v>
      </c>
      <c r="AM50" s="3613"/>
      <c r="AN50" s="3613">
        <f t="shared" si="8"/>
        <v>0</v>
      </c>
      <c r="AO50" s="3612"/>
      <c r="AP50" s="3612">
        <f t="shared" si="9"/>
        <v>5791.25</v>
      </c>
      <c r="AQ50" s="2697"/>
      <c r="AR50" s="3872"/>
      <c r="AS50" s="3894"/>
      <c r="AT50" s="3894">
        <f t="shared" si="10"/>
        <v>5791.25</v>
      </c>
      <c r="AU50" s="2697"/>
      <c r="AV50" s="4060"/>
      <c r="AW50" s="4081"/>
      <c r="AX50" s="4096">
        <f t="shared" si="11"/>
        <v>5791.25</v>
      </c>
      <c r="AY50" s="2697"/>
      <c r="AZ50" s="4223"/>
      <c r="BA50" s="4269"/>
      <c r="BB50" s="4565">
        <f t="shared" si="12"/>
        <v>0</v>
      </c>
      <c r="BC50" s="1854"/>
      <c r="BD50" s="1854">
        <f t="shared" si="13"/>
        <v>0</v>
      </c>
      <c r="BE50" s="4564"/>
      <c r="BF50" s="4564">
        <f t="shared" si="14"/>
        <v>5791.25</v>
      </c>
    </row>
    <row r="51" spans="2:58" s="334" customFormat="1" ht="15.75" x14ac:dyDescent="0.25">
      <c r="B51" s="2694" t="s">
        <v>1582</v>
      </c>
      <c r="C51" s="3417" t="s">
        <v>1360</v>
      </c>
      <c r="D51" s="111" t="s">
        <v>53</v>
      </c>
      <c r="E51" s="2328"/>
      <c r="F51" s="238"/>
      <c r="G51" s="2696"/>
      <c r="H51" s="238"/>
      <c r="I51" s="2339"/>
      <c r="J51" s="2339"/>
      <c r="K51" s="2697"/>
      <c r="L51" s="238"/>
      <c r="M51" s="1568"/>
      <c r="N51" s="1568"/>
      <c r="O51" s="2698"/>
      <c r="P51" s="238"/>
      <c r="Q51" s="1586"/>
      <c r="R51" s="1586"/>
      <c r="S51" s="2698"/>
      <c r="T51" s="238"/>
      <c r="U51" s="1586"/>
      <c r="V51" s="1586"/>
      <c r="W51" s="2698"/>
      <c r="X51" s="475">
        <v>51.249999999999993</v>
      </c>
      <c r="Y51" s="1568"/>
      <c r="Z51" s="1568">
        <f t="shared" si="5"/>
        <v>51.249999999999993</v>
      </c>
      <c r="AA51" s="1854"/>
      <c r="AB51" s="1854">
        <f t="shared" si="0"/>
        <v>51.249999999999993</v>
      </c>
      <c r="AC51" s="2698"/>
      <c r="AD51" s="238">
        <v>0</v>
      </c>
      <c r="AE51" s="3152"/>
      <c r="AF51" s="3152">
        <f t="shared" si="6"/>
        <v>51.249999999999993</v>
      </c>
      <c r="AG51" s="2698"/>
      <c r="AH51" s="238">
        <v>0</v>
      </c>
      <c r="AI51" s="3251"/>
      <c r="AJ51" s="3251">
        <f t="shared" si="7"/>
        <v>51.249999999999993</v>
      </c>
      <c r="AK51" s="2698"/>
      <c r="AL51" s="3640">
        <v>0</v>
      </c>
      <c r="AM51" s="3613"/>
      <c r="AN51" s="3613">
        <f t="shared" si="8"/>
        <v>0</v>
      </c>
      <c r="AO51" s="3612"/>
      <c r="AP51" s="3612">
        <f t="shared" si="9"/>
        <v>51.249999999999993</v>
      </c>
      <c r="AQ51" s="2698"/>
      <c r="AR51" s="3872"/>
      <c r="AS51" s="3894"/>
      <c r="AT51" s="3894">
        <f t="shared" si="10"/>
        <v>51.249999999999993</v>
      </c>
      <c r="AU51" s="2698"/>
      <c r="AV51" s="4060">
        <v>822.04999999999984</v>
      </c>
      <c r="AW51" s="4081"/>
      <c r="AX51" s="4096">
        <f t="shared" si="11"/>
        <v>873.29999999999984</v>
      </c>
      <c r="AY51" s="2698"/>
      <c r="AZ51" s="4223"/>
      <c r="BA51" s="4269"/>
      <c r="BB51" s="4565">
        <f t="shared" si="12"/>
        <v>822.04999999999984</v>
      </c>
      <c r="BC51" s="1854"/>
      <c r="BD51" s="1854">
        <f t="shared" si="13"/>
        <v>822.04999999999984</v>
      </c>
      <c r="BE51" s="4564"/>
      <c r="BF51" s="4564">
        <f t="shared" si="14"/>
        <v>873.29999999999984</v>
      </c>
    </row>
    <row r="52" spans="2:58" s="334" customFormat="1" ht="15.75" x14ac:dyDescent="0.25">
      <c r="B52" s="2694" t="s">
        <v>1582</v>
      </c>
      <c r="C52" s="3417" t="s">
        <v>1802</v>
      </c>
      <c r="D52" s="4088" t="s">
        <v>53</v>
      </c>
      <c r="E52" s="2328"/>
      <c r="F52" s="4060"/>
      <c r="G52" s="2696"/>
      <c r="H52" s="4060"/>
      <c r="I52" s="4062"/>
      <c r="J52" s="4062"/>
      <c r="K52" s="2697"/>
      <c r="L52" s="4060"/>
      <c r="M52" s="4082"/>
      <c r="N52" s="4082"/>
      <c r="O52" s="2698"/>
      <c r="P52" s="4060"/>
      <c r="Q52" s="4081"/>
      <c r="R52" s="4081"/>
      <c r="S52" s="2698"/>
      <c r="T52" s="4060"/>
      <c r="U52" s="4081"/>
      <c r="V52" s="4081"/>
      <c r="W52" s="2698"/>
      <c r="X52" s="4061"/>
      <c r="Y52" s="4082"/>
      <c r="Z52" s="4082"/>
      <c r="AA52" s="1854"/>
      <c r="AB52" s="1854"/>
      <c r="AC52" s="2698"/>
      <c r="AD52" s="4060"/>
      <c r="AE52" s="4081"/>
      <c r="AF52" s="4081"/>
      <c r="AG52" s="2698"/>
      <c r="AH52" s="4060"/>
      <c r="AI52" s="4081"/>
      <c r="AJ52" s="4081"/>
      <c r="AK52" s="2698"/>
      <c r="AL52" s="4060"/>
      <c r="AM52" s="4082"/>
      <c r="AN52" s="4082"/>
      <c r="AO52" s="4081"/>
      <c r="AP52" s="4081"/>
      <c r="AQ52" s="2698"/>
      <c r="AR52" s="4060"/>
      <c r="AS52" s="4081"/>
      <c r="AT52" s="4081"/>
      <c r="AU52" s="2698"/>
      <c r="AV52" s="4060">
        <f>824.1-26.65</f>
        <v>797.45</v>
      </c>
      <c r="AW52" s="4081"/>
      <c r="AX52" s="4096">
        <f t="shared" si="11"/>
        <v>797.45</v>
      </c>
      <c r="AY52" s="2698"/>
      <c r="AZ52" s="4223"/>
      <c r="BA52" s="4269"/>
      <c r="BB52" s="4565">
        <f t="shared" si="12"/>
        <v>797.45</v>
      </c>
      <c r="BC52" s="1854"/>
      <c r="BD52" s="1854">
        <f t="shared" si="13"/>
        <v>797.45</v>
      </c>
      <c r="BE52" s="4564"/>
      <c r="BF52" s="4564">
        <f t="shared" si="14"/>
        <v>797.45</v>
      </c>
    </row>
    <row r="53" spans="2:58" s="570" customFormat="1" ht="15.75" x14ac:dyDescent="0.25">
      <c r="B53" s="2694" t="s">
        <v>1137</v>
      </c>
      <c r="C53" s="3417" t="s">
        <v>1527</v>
      </c>
      <c r="D53" s="111" t="s">
        <v>53</v>
      </c>
      <c r="E53" s="2328"/>
      <c r="F53" s="238"/>
      <c r="G53" s="2699"/>
      <c r="H53" s="238">
        <v>98.399999999999991</v>
      </c>
      <c r="I53" s="2700"/>
      <c r="J53" s="2339">
        <f t="shared" si="1"/>
        <v>98.399999999999991</v>
      </c>
      <c r="K53" s="2701"/>
      <c r="L53" s="238"/>
      <c r="M53" s="1568"/>
      <c r="N53" s="1568">
        <f t="shared" si="2"/>
        <v>98.399999999999991</v>
      </c>
      <c r="O53" s="2702"/>
      <c r="P53" s="238"/>
      <c r="Q53" s="1586"/>
      <c r="R53" s="1586">
        <f t="shared" si="3"/>
        <v>98.399999999999991</v>
      </c>
      <c r="S53" s="2702"/>
      <c r="T53" s="238">
        <v>0</v>
      </c>
      <c r="U53" s="1586"/>
      <c r="V53" s="1586">
        <f t="shared" si="4"/>
        <v>98.399999999999991</v>
      </c>
      <c r="W53" s="2702"/>
      <c r="X53" s="238">
        <v>0</v>
      </c>
      <c r="Y53" s="1568"/>
      <c r="Z53" s="1568">
        <f t="shared" si="5"/>
        <v>0</v>
      </c>
      <c r="AA53" s="1854"/>
      <c r="AB53" s="1854">
        <f t="shared" si="0"/>
        <v>98.399999999999991</v>
      </c>
      <c r="AC53" s="2702"/>
      <c r="AD53" s="238">
        <v>0</v>
      </c>
      <c r="AE53" s="3152"/>
      <c r="AF53" s="3152">
        <f t="shared" si="6"/>
        <v>98.399999999999991</v>
      </c>
      <c r="AG53" s="2702"/>
      <c r="AH53" s="238">
        <v>0</v>
      </c>
      <c r="AI53" s="3251"/>
      <c r="AJ53" s="3251">
        <f t="shared" si="7"/>
        <v>98.399999999999991</v>
      </c>
      <c r="AK53" s="2702"/>
      <c r="AL53" s="3640">
        <v>0</v>
      </c>
      <c r="AM53" s="3613"/>
      <c r="AN53" s="3613">
        <f t="shared" si="8"/>
        <v>0</v>
      </c>
      <c r="AO53" s="3612"/>
      <c r="AP53" s="3612">
        <f t="shared" si="9"/>
        <v>98.399999999999991</v>
      </c>
      <c r="AQ53" s="2702"/>
      <c r="AR53" s="3872"/>
      <c r="AS53" s="3894"/>
      <c r="AT53" s="3894">
        <f t="shared" si="10"/>
        <v>98.399999999999991</v>
      </c>
      <c r="AU53" s="2702"/>
      <c r="AV53" s="4060"/>
      <c r="AW53" s="4081"/>
      <c r="AX53" s="4096">
        <f t="shared" si="11"/>
        <v>98.399999999999991</v>
      </c>
      <c r="AY53" s="2702"/>
      <c r="AZ53" s="4223"/>
      <c r="BA53" s="4269"/>
      <c r="BB53" s="4565">
        <f t="shared" si="12"/>
        <v>0</v>
      </c>
      <c r="BC53" s="1854"/>
      <c r="BD53" s="1854">
        <f t="shared" si="13"/>
        <v>0</v>
      </c>
      <c r="BE53" s="4564"/>
      <c r="BF53" s="4564">
        <f t="shared" si="14"/>
        <v>98.399999999999991</v>
      </c>
    </row>
    <row r="54" spans="2:58" s="1726" customFormat="1" ht="15.75" x14ac:dyDescent="0.25">
      <c r="B54" s="2694" t="s">
        <v>1537</v>
      </c>
      <c r="C54" s="3417" t="s">
        <v>1802</v>
      </c>
      <c r="D54" s="111" t="s">
        <v>53</v>
      </c>
      <c r="E54" s="2328"/>
      <c r="F54" s="238"/>
      <c r="G54" s="2699"/>
      <c r="H54" s="238"/>
      <c r="I54" s="2700"/>
      <c r="J54" s="2339">
        <f t="shared" si="1"/>
        <v>0</v>
      </c>
      <c r="K54" s="2701"/>
      <c r="L54" s="238"/>
      <c r="M54" s="1568"/>
      <c r="N54" s="1568">
        <f t="shared" si="2"/>
        <v>0</v>
      </c>
      <c r="O54" s="2702"/>
      <c r="P54" s="238"/>
      <c r="Q54" s="1586"/>
      <c r="R54" s="1586">
        <f t="shared" si="3"/>
        <v>0</v>
      </c>
      <c r="S54" s="2702"/>
      <c r="T54" s="238">
        <f>943-2.05-2.05</f>
        <v>938.90000000000009</v>
      </c>
      <c r="U54" s="1586"/>
      <c r="V54" s="1586">
        <f t="shared" si="4"/>
        <v>938.90000000000009</v>
      </c>
      <c r="W54" s="2702"/>
      <c r="X54" s="238">
        <v>0</v>
      </c>
      <c r="Y54" s="1568"/>
      <c r="Z54" s="1568">
        <f t="shared" si="5"/>
        <v>938.90000000000009</v>
      </c>
      <c r="AA54" s="1854"/>
      <c r="AB54" s="1854">
        <f t="shared" si="0"/>
        <v>938.90000000000009</v>
      </c>
      <c r="AC54" s="2702"/>
      <c r="AD54" s="238">
        <v>0</v>
      </c>
      <c r="AE54" s="3152"/>
      <c r="AF54" s="3152">
        <f t="shared" si="6"/>
        <v>938.90000000000009</v>
      </c>
      <c r="AG54" s="2702"/>
      <c r="AH54" s="238">
        <v>0</v>
      </c>
      <c r="AI54" s="3251"/>
      <c r="AJ54" s="3251">
        <f t="shared" si="7"/>
        <v>938.90000000000009</v>
      </c>
      <c r="AK54" s="2702"/>
      <c r="AL54" s="3640">
        <v>0</v>
      </c>
      <c r="AM54" s="3613"/>
      <c r="AN54" s="3613">
        <f t="shared" si="8"/>
        <v>0</v>
      </c>
      <c r="AO54" s="3612"/>
      <c r="AP54" s="3612">
        <f t="shared" si="9"/>
        <v>938.90000000000009</v>
      </c>
      <c r="AQ54" s="2702"/>
      <c r="AR54" s="3872">
        <v>1145.95</v>
      </c>
      <c r="AS54" s="3894"/>
      <c r="AT54" s="3894">
        <f t="shared" si="10"/>
        <v>2084.8500000000004</v>
      </c>
      <c r="AU54" s="2702"/>
      <c r="AV54" s="4060">
        <v>924.55</v>
      </c>
      <c r="AW54" s="4081"/>
      <c r="AX54" s="4096">
        <f t="shared" si="11"/>
        <v>3009.4000000000005</v>
      </c>
      <c r="AY54" s="2702"/>
      <c r="AZ54" s="4223"/>
      <c r="BA54" s="4269"/>
      <c r="BB54" s="4565">
        <f t="shared" si="12"/>
        <v>2070.5</v>
      </c>
      <c r="BC54" s="1854"/>
      <c r="BD54" s="1854">
        <f t="shared" si="13"/>
        <v>2070.5</v>
      </c>
      <c r="BE54" s="4564"/>
      <c r="BF54" s="4564">
        <f t="shared" si="14"/>
        <v>3009.4000000000005</v>
      </c>
    </row>
    <row r="55" spans="2:58" s="1482" customFormat="1" ht="15.75" x14ac:dyDescent="0.25">
      <c r="B55" s="2694" t="s">
        <v>1137</v>
      </c>
      <c r="C55" s="3417" t="s">
        <v>1360</v>
      </c>
      <c r="D55" s="111" t="s">
        <v>53</v>
      </c>
      <c r="E55" s="2328"/>
      <c r="F55" s="238"/>
      <c r="G55" s="2699"/>
      <c r="H55" s="238">
        <f>3821.2-2.05</f>
        <v>3819.1499999999996</v>
      </c>
      <c r="I55" s="2700"/>
      <c r="J55" s="2339">
        <f t="shared" si="1"/>
        <v>3819.1499999999996</v>
      </c>
      <c r="K55" s="2701"/>
      <c r="L55" s="238"/>
      <c r="M55" s="1568"/>
      <c r="N55" s="1568">
        <f t="shared" si="2"/>
        <v>3819.1499999999996</v>
      </c>
      <c r="O55" s="2702"/>
      <c r="P55" s="238"/>
      <c r="Q55" s="1586"/>
      <c r="R55" s="1586">
        <f t="shared" si="3"/>
        <v>3819.1499999999996</v>
      </c>
      <c r="S55" s="2702"/>
      <c r="T55" s="238">
        <f>3560.85-4.1</f>
        <v>3556.75</v>
      </c>
      <c r="U55" s="1586"/>
      <c r="V55" s="1586">
        <f t="shared" si="4"/>
        <v>7375.9</v>
      </c>
      <c r="W55" s="2702"/>
      <c r="X55" s="238">
        <v>0</v>
      </c>
      <c r="Y55" s="1568"/>
      <c r="Z55" s="1568">
        <f t="shared" si="5"/>
        <v>3556.75</v>
      </c>
      <c r="AA55" s="1854"/>
      <c r="AB55" s="1854">
        <f t="shared" si="0"/>
        <v>7375.9</v>
      </c>
      <c r="AC55" s="2702"/>
      <c r="AD55" s="238">
        <v>0</v>
      </c>
      <c r="AE55" s="3152"/>
      <c r="AF55" s="3152">
        <f t="shared" si="6"/>
        <v>7375.9</v>
      </c>
      <c r="AG55" s="2702"/>
      <c r="AH55" s="238">
        <v>0</v>
      </c>
      <c r="AI55" s="3251"/>
      <c r="AJ55" s="3251">
        <f t="shared" si="7"/>
        <v>7375.9</v>
      </c>
      <c r="AK55" s="2702"/>
      <c r="AL55" s="3640">
        <v>0</v>
      </c>
      <c r="AM55" s="3613"/>
      <c r="AN55" s="3613">
        <f t="shared" si="8"/>
        <v>0</v>
      </c>
      <c r="AO55" s="3612"/>
      <c r="AP55" s="3612">
        <f t="shared" si="9"/>
        <v>7375.9</v>
      </c>
      <c r="AQ55" s="2702"/>
      <c r="AR55" s="3872">
        <v>2855.6499999999996</v>
      </c>
      <c r="AS55" s="3894"/>
      <c r="AT55" s="3894">
        <f t="shared" si="10"/>
        <v>10231.549999999999</v>
      </c>
      <c r="AU55" s="2702"/>
      <c r="AV55" s="4060">
        <v>2341.1</v>
      </c>
      <c r="AW55" s="4081"/>
      <c r="AX55" s="4096">
        <f t="shared" si="11"/>
        <v>12572.65</v>
      </c>
      <c r="AY55" s="2702"/>
      <c r="AZ55" s="4223"/>
      <c r="BA55" s="4269"/>
      <c r="BB55" s="4565">
        <f t="shared" si="12"/>
        <v>5196.75</v>
      </c>
      <c r="BC55" s="1854"/>
      <c r="BD55" s="1854">
        <f t="shared" si="13"/>
        <v>5196.75</v>
      </c>
      <c r="BE55" s="4564"/>
      <c r="BF55" s="4564">
        <f t="shared" si="14"/>
        <v>12572.65</v>
      </c>
    </row>
    <row r="56" spans="2:58" s="1726" customFormat="1" ht="15.75" x14ac:dyDescent="0.25">
      <c r="B56" s="2694" t="s">
        <v>1137</v>
      </c>
      <c r="C56" s="3417" t="s">
        <v>1837</v>
      </c>
      <c r="D56" s="4088" t="s">
        <v>53</v>
      </c>
      <c r="E56" s="2328"/>
      <c r="F56" s="4060"/>
      <c r="G56" s="2699"/>
      <c r="H56" s="4060"/>
      <c r="I56" s="2700"/>
      <c r="J56" s="4062"/>
      <c r="K56" s="2701"/>
      <c r="L56" s="4060"/>
      <c r="M56" s="4082"/>
      <c r="N56" s="4082"/>
      <c r="O56" s="2702"/>
      <c r="P56" s="4060"/>
      <c r="Q56" s="4081"/>
      <c r="R56" s="4081"/>
      <c r="S56" s="2702"/>
      <c r="T56" s="4060"/>
      <c r="U56" s="4081"/>
      <c r="V56" s="4081"/>
      <c r="W56" s="2702"/>
      <c r="X56" s="4060"/>
      <c r="Y56" s="4082"/>
      <c r="Z56" s="4082"/>
      <c r="AA56" s="1854"/>
      <c r="AB56" s="1854"/>
      <c r="AC56" s="2702"/>
      <c r="AD56" s="4060"/>
      <c r="AE56" s="4081"/>
      <c r="AF56" s="4081"/>
      <c r="AG56" s="2702"/>
      <c r="AH56" s="4060"/>
      <c r="AI56" s="4081"/>
      <c r="AJ56" s="4081"/>
      <c r="AK56" s="2702"/>
      <c r="AL56" s="4060"/>
      <c r="AM56" s="4082"/>
      <c r="AN56" s="4082"/>
      <c r="AO56" s="4081"/>
      <c r="AP56" s="4081"/>
      <c r="AQ56" s="2702"/>
      <c r="AR56" s="4060"/>
      <c r="AS56" s="4081"/>
      <c r="AT56" s="4081"/>
      <c r="AU56" s="2702"/>
      <c r="AV56" s="4060">
        <v>6.1499999999999995</v>
      </c>
      <c r="AW56" s="4081"/>
      <c r="AX56" s="4096">
        <f t="shared" si="11"/>
        <v>6.1499999999999995</v>
      </c>
      <c r="AY56" s="2702"/>
      <c r="AZ56" s="4223"/>
      <c r="BA56" s="4269"/>
      <c r="BB56" s="4565">
        <f t="shared" si="12"/>
        <v>6.1499999999999995</v>
      </c>
      <c r="BC56" s="1854"/>
      <c r="BD56" s="1854">
        <f t="shared" si="13"/>
        <v>6.1499999999999995</v>
      </c>
      <c r="BE56" s="4564"/>
      <c r="BF56" s="4564">
        <f t="shared" si="14"/>
        <v>6.1499999999999995</v>
      </c>
    </row>
    <row r="57" spans="2:58" s="1545" customFormat="1" ht="15.75" x14ac:dyDescent="0.25">
      <c r="B57" s="2694" t="s">
        <v>1137</v>
      </c>
      <c r="C57" s="3417" t="s">
        <v>1385</v>
      </c>
      <c r="D57" s="111" t="s">
        <v>53</v>
      </c>
      <c r="E57" s="2328"/>
      <c r="F57" s="238"/>
      <c r="G57" s="2699"/>
      <c r="H57" s="238">
        <v>143.5</v>
      </c>
      <c r="I57" s="2700"/>
      <c r="J57" s="2339">
        <f t="shared" si="1"/>
        <v>143.5</v>
      </c>
      <c r="K57" s="2701"/>
      <c r="L57" s="238"/>
      <c r="M57" s="1568"/>
      <c r="N57" s="1568">
        <f t="shared" si="2"/>
        <v>143.5</v>
      </c>
      <c r="O57" s="2702"/>
      <c r="P57" s="238"/>
      <c r="Q57" s="1586"/>
      <c r="R57" s="1586">
        <f t="shared" si="3"/>
        <v>143.5</v>
      </c>
      <c r="S57" s="2702"/>
      <c r="T57" s="238">
        <v>0</v>
      </c>
      <c r="U57" s="1586"/>
      <c r="V57" s="1586">
        <f t="shared" si="4"/>
        <v>143.5</v>
      </c>
      <c r="W57" s="2702"/>
      <c r="X57" s="238">
        <v>0</v>
      </c>
      <c r="Y57" s="1568"/>
      <c r="Z57" s="1568">
        <f t="shared" si="5"/>
        <v>0</v>
      </c>
      <c r="AA57" s="1854"/>
      <c r="AB57" s="1854">
        <f t="shared" si="0"/>
        <v>143.5</v>
      </c>
      <c r="AC57" s="2702"/>
      <c r="AD57" s="238">
        <v>0</v>
      </c>
      <c r="AE57" s="3152"/>
      <c r="AF57" s="3152">
        <f t="shared" si="6"/>
        <v>143.5</v>
      </c>
      <c r="AG57" s="2702"/>
      <c r="AH57" s="238">
        <v>0</v>
      </c>
      <c r="AI57" s="3251"/>
      <c r="AJ57" s="3251">
        <f t="shared" si="7"/>
        <v>143.5</v>
      </c>
      <c r="AK57" s="2702"/>
      <c r="AL57" s="3640">
        <v>0</v>
      </c>
      <c r="AM57" s="3613"/>
      <c r="AN57" s="3613">
        <f t="shared" si="8"/>
        <v>0</v>
      </c>
      <c r="AO57" s="3612"/>
      <c r="AP57" s="3612">
        <f t="shared" si="9"/>
        <v>143.5</v>
      </c>
      <c r="AQ57" s="2702"/>
      <c r="AR57" s="3872"/>
      <c r="AS57" s="3894"/>
      <c r="AT57" s="3894">
        <f t="shared" si="10"/>
        <v>143.5</v>
      </c>
      <c r="AU57" s="2702"/>
      <c r="AV57" s="4060"/>
      <c r="AW57" s="4081"/>
      <c r="AX57" s="4096">
        <f t="shared" si="11"/>
        <v>143.5</v>
      </c>
      <c r="AY57" s="2702"/>
      <c r="AZ57" s="4223"/>
      <c r="BA57" s="4269"/>
      <c r="BB57" s="4565">
        <f t="shared" si="12"/>
        <v>0</v>
      </c>
      <c r="BC57" s="1854"/>
      <c r="BD57" s="1854">
        <f t="shared" si="13"/>
        <v>0</v>
      </c>
      <c r="BE57" s="4564"/>
      <c r="BF57" s="4564">
        <f t="shared" si="14"/>
        <v>143.5</v>
      </c>
    </row>
    <row r="58" spans="2:58" s="1726" customFormat="1" ht="15.75" x14ac:dyDescent="0.25">
      <c r="B58" s="2694" t="s">
        <v>1137</v>
      </c>
      <c r="C58" s="3417" t="s">
        <v>1359</v>
      </c>
      <c r="D58" s="111" t="s">
        <v>53</v>
      </c>
      <c r="E58" s="2328"/>
      <c r="F58" s="238"/>
      <c r="G58" s="2699"/>
      <c r="H58" s="238"/>
      <c r="I58" s="2700"/>
      <c r="J58" s="2339">
        <f t="shared" si="1"/>
        <v>0</v>
      </c>
      <c r="K58" s="2701"/>
      <c r="L58" s="238"/>
      <c r="M58" s="1568"/>
      <c r="N58" s="1568">
        <f t="shared" si="2"/>
        <v>0</v>
      </c>
      <c r="O58" s="2702"/>
      <c r="P58" s="238"/>
      <c r="Q58" s="1586"/>
      <c r="R58" s="1586">
        <f t="shared" si="3"/>
        <v>0</v>
      </c>
      <c r="S58" s="2702"/>
      <c r="T58" s="238">
        <v>153.75</v>
      </c>
      <c r="U58" s="1586"/>
      <c r="V58" s="1586">
        <f t="shared" si="4"/>
        <v>153.75</v>
      </c>
      <c r="W58" s="2702"/>
      <c r="X58" s="238">
        <v>0</v>
      </c>
      <c r="Y58" s="1568"/>
      <c r="Z58" s="1568">
        <f t="shared" si="5"/>
        <v>153.75</v>
      </c>
      <c r="AA58" s="1854"/>
      <c r="AB58" s="1854">
        <f t="shared" si="0"/>
        <v>153.75</v>
      </c>
      <c r="AC58" s="2702"/>
      <c r="AD58" s="238">
        <v>0</v>
      </c>
      <c r="AE58" s="3152"/>
      <c r="AF58" s="3152">
        <f t="shared" si="6"/>
        <v>153.75</v>
      </c>
      <c r="AG58" s="2702"/>
      <c r="AH58" s="238">
        <v>0</v>
      </c>
      <c r="AI58" s="3251"/>
      <c r="AJ58" s="3251">
        <f t="shared" si="7"/>
        <v>153.75</v>
      </c>
      <c r="AK58" s="2702"/>
      <c r="AL58" s="3640">
        <v>0</v>
      </c>
      <c r="AM58" s="3613"/>
      <c r="AN58" s="3613">
        <f t="shared" si="8"/>
        <v>0</v>
      </c>
      <c r="AO58" s="3612"/>
      <c r="AP58" s="3612">
        <f t="shared" si="9"/>
        <v>153.75</v>
      </c>
      <c r="AQ58" s="2702"/>
      <c r="AR58" s="3872"/>
      <c r="AS58" s="3894"/>
      <c r="AT58" s="3894">
        <f t="shared" si="10"/>
        <v>153.75</v>
      </c>
      <c r="AU58" s="2702"/>
      <c r="AV58" s="4060"/>
      <c r="AW58" s="4081"/>
      <c r="AX58" s="4096">
        <f t="shared" si="11"/>
        <v>153.75</v>
      </c>
      <c r="AY58" s="2702"/>
      <c r="AZ58" s="4223"/>
      <c r="BA58" s="4269"/>
      <c r="BB58" s="4565">
        <f t="shared" si="12"/>
        <v>0</v>
      </c>
      <c r="BC58" s="1854"/>
      <c r="BD58" s="1854">
        <f t="shared" si="13"/>
        <v>0</v>
      </c>
      <c r="BE58" s="4564"/>
      <c r="BF58" s="4564">
        <f t="shared" si="14"/>
        <v>153.75</v>
      </c>
    </row>
    <row r="59" spans="2:58" s="1726" customFormat="1" ht="15.75" x14ac:dyDescent="0.25">
      <c r="B59" s="2694" t="s">
        <v>1137</v>
      </c>
      <c r="C59" s="3417" t="s">
        <v>1842</v>
      </c>
      <c r="D59" s="3899" t="s">
        <v>53</v>
      </c>
      <c r="E59" s="2328"/>
      <c r="F59" s="3872"/>
      <c r="G59" s="2699"/>
      <c r="H59" s="3872"/>
      <c r="I59" s="2700"/>
      <c r="J59" s="3874"/>
      <c r="K59" s="2701"/>
      <c r="L59" s="3872"/>
      <c r="M59" s="3895"/>
      <c r="N59" s="3895"/>
      <c r="O59" s="2702"/>
      <c r="P59" s="3872"/>
      <c r="Q59" s="3894"/>
      <c r="R59" s="3894"/>
      <c r="S59" s="2702"/>
      <c r="T59" s="3872"/>
      <c r="U59" s="3894"/>
      <c r="V59" s="3894"/>
      <c r="W59" s="2702"/>
      <c r="X59" s="3872"/>
      <c r="Y59" s="3895"/>
      <c r="Z59" s="3895"/>
      <c r="AA59" s="1854"/>
      <c r="AB59" s="1854"/>
      <c r="AC59" s="2702"/>
      <c r="AD59" s="3872"/>
      <c r="AE59" s="3894"/>
      <c r="AF59" s="3894"/>
      <c r="AG59" s="2702"/>
      <c r="AH59" s="3872"/>
      <c r="AI59" s="3894"/>
      <c r="AJ59" s="3894"/>
      <c r="AK59" s="2702"/>
      <c r="AL59" s="3872"/>
      <c r="AM59" s="3895"/>
      <c r="AN59" s="3895"/>
      <c r="AO59" s="3894"/>
      <c r="AP59" s="3894"/>
      <c r="AQ59" s="2702"/>
      <c r="AR59" s="3872">
        <v>215.25</v>
      </c>
      <c r="AS59" s="3894"/>
      <c r="AT59" s="3894">
        <f t="shared" si="10"/>
        <v>215.25</v>
      </c>
      <c r="AU59" s="2702"/>
      <c r="AV59" s="4060">
        <v>334.15</v>
      </c>
      <c r="AW59" s="4081"/>
      <c r="AX59" s="4096">
        <f t="shared" si="11"/>
        <v>549.4</v>
      </c>
      <c r="AY59" s="2702"/>
      <c r="AZ59" s="4223"/>
      <c r="BA59" s="4269"/>
      <c r="BB59" s="4565">
        <f t="shared" si="12"/>
        <v>549.4</v>
      </c>
      <c r="BC59" s="1854"/>
      <c r="BD59" s="1854">
        <f t="shared" si="13"/>
        <v>549.4</v>
      </c>
      <c r="BE59" s="4564"/>
      <c r="BF59" s="4564">
        <f t="shared" si="14"/>
        <v>549.4</v>
      </c>
    </row>
    <row r="60" spans="2:58" s="1726" customFormat="1" ht="15.75" x14ac:dyDescent="0.25">
      <c r="B60" s="2694" t="s">
        <v>1137</v>
      </c>
      <c r="C60" s="3417" t="s">
        <v>1326</v>
      </c>
      <c r="D60" s="3899" t="s">
        <v>53</v>
      </c>
      <c r="E60" s="2328"/>
      <c r="F60" s="3872"/>
      <c r="G60" s="2699"/>
      <c r="H60" s="3872"/>
      <c r="I60" s="2700"/>
      <c r="J60" s="3874"/>
      <c r="K60" s="2701"/>
      <c r="L60" s="3872"/>
      <c r="M60" s="3895"/>
      <c r="N60" s="3895"/>
      <c r="O60" s="2702"/>
      <c r="P60" s="3872"/>
      <c r="Q60" s="3894"/>
      <c r="R60" s="3894"/>
      <c r="S60" s="2702"/>
      <c r="T60" s="3872"/>
      <c r="U60" s="3894"/>
      <c r="V60" s="3894"/>
      <c r="W60" s="2702"/>
      <c r="X60" s="3872"/>
      <c r="Y60" s="3895"/>
      <c r="Z60" s="3895"/>
      <c r="AA60" s="1854"/>
      <c r="AB60" s="1854"/>
      <c r="AC60" s="2702"/>
      <c r="AD60" s="3872"/>
      <c r="AE60" s="3894"/>
      <c r="AF60" s="3894"/>
      <c r="AG60" s="2702"/>
      <c r="AH60" s="3872"/>
      <c r="AI60" s="3894"/>
      <c r="AJ60" s="3894"/>
      <c r="AK60" s="2702"/>
      <c r="AL60" s="3872"/>
      <c r="AM60" s="3895"/>
      <c r="AN60" s="3895"/>
      <c r="AO60" s="3894"/>
      <c r="AP60" s="3894"/>
      <c r="AQ60" s="2702"/>
      <c r="AR60" s="3872">
        <v>707.25</v>
      </c>
      <c r="AS60" s="3894"/>
      <c r="AT60" s="3894">
        <f t="shared" si="10"/>
        <v>707.25</v>
      </c>
      <c r="AU60" s="2702"/>
      <c r="AV60" s="4060"/>
      <c r="AW60" s="4081"/>
      <c r="AX60" s="4096">
        <f t="shared" si="11"/>
        <v>707.25</v>
      </c>
      <c r="AY60" s="2702"/>
      <c r="AZ60" s="4223"/>
      <c r="BA60" s="4269"/>
      <c r="BB60" s="4565">
        <f t="shared" si="12"/>
        <v>707.25</v>
      </c>
      <c r="BC60" s="1854"/>
      <c r="BD60" s="1854">
        <f t="shared" si="13"/>
        <v>707.25</v>
      </c>
      <c r="BE60" s="4564"/>
      <c r="BF60" s="4564">
        <f t="shared" si="14"/>
        <v>707.25</v>
      </c>
    </row>
    <row r="61" spans="2:58" s="1482" customFormat="1" ht="15" customHeight="1" x14ac:dyDescent="0.25">
      <c r="B61" s="2694" t="s">
        <v>1137</v>
      </c>
      <c r="C61" s="3417" t="s">
        <v>1225</v>
      </c>
      <c r="D61" s="111" t="s">
        <v>53</v>
      </c>
      <c r="E61" s="2328"/>
      <c r="F61" s="238">
        <v>0</v>
      </c>
      <c r="G61" s="2699"/>
      <c r="H61" s="238">
        <v>157.85</v>
      </c>
      <c r="I61" s="2700"/>
      <c r="J61" s="2339">
        <f t="shared" si="1"/>
        <v>157.85</v>
      </c>
      <c r="K61" s="2701"/>
      <c r="L61" s="238"/>
      <c r="M61" s="1568"/>
      <c r="N61" s="1568">
        <f t="shared" si="2"/>
        <v>157.85</v>
      </c>
      <c r="O61" s="2702"/>
      <c r="P61" s="238"/>
      <c r="Q61" s="1586"/>
      <c r="R61" s="1586">
        <f t="shared" si="3"/>
        <v>157.85</v>
      </c>
      <c r="S61" s="2702"/>
      <c r="T61" s="238">
        <v>0</v>
      </c>
      <c r="U61" s="1586"/>
      <c r="V61" s="1586">
        <f t="shared" si="4"/>
        <v>157.85</v>
      </c>
      <c r="W61" s="2702"/>
      <c r="X61" s="238">
        <v>0</v>
      </c>
      <c r="Y61" s="1568"/>
      <c r="Z61" s="1568">
        <f t="shared" si="5"/>
        <v>0</v>
      </c>
      <c r="AA61" s="1854"/>
      <c r="AB61" s="1854">
        <f t="shared" si="0"/>
        <v>157.85</v>
      </c>
      <c r="AC61" s="2702"/>
      <c r="AD61" s="238">
        <v>0</v>
      </c>
      <c r="AE61" s="3152"/>
      <c r="AF61" s="3152">
        <f t="shared" si="6"/>
        <v>157.85</v>
      </c>
      <c r="AG61" s="2702"/>
      <c r="AH61" s="238">
        <v>0</v>
      </c>
      <c r="AI61" s="3251"/>
      <c r="AJ61" s="3251">
        <f t="shared" si="7"/>
        <v>157.85</v>
      </c>
      <c r="AK61" s="2702"/>
      <c r="AL61" s="3640">
        <v>0</v>
      </c>
      <c r="AM61" s="3613"/>
      <c r="AN61" s="3613">
        <f t="shared" si="8"/>
        <v>0</v>
      </c>
      <c r="AO61" s="3612"/>
      <c r="AP61" s="3612">
        <f t="shared" si="9"/>
        <v>157.85</v>
      </c>
      <c r="AQ61" s="2702"/>
      <c r="AR61" s="3872"/>
      <c r="AS61" s="3894"/>
      <c r="AT61" s="3894">
        <f t="shared" si="10"/>
        <v>157.85</v>
      </c>
      <c r="AU61" s="2702"/>
      <c r="AV61" s="4060"/>
      <c r="AW61" s="4081"/>
      <c r="AX61" s="4096">
        <f t="shared" si="11"/>
        <v>157.85</v>
      </c>
      <c r="AY61" s="2702"/>
      <c r="AZ61" s="4223"/>
      <c r="BA61" s="4269"/>
      <c r="BB61" s="4565">
        <f t="shared" si="12"/>
        <v>0</v>
      </c>
      <c r="BC61" s="1854"/>
      <c r="BD61" s="1854">
        <f t="shared" si="13"/>
        <v>0</v>
      </c>
      <c r="BE61" s="4564"/>
      <c r="BF61" s="4564">
        <f t="shared" si="14"/>
        <v>157.85</v>
      </c>
    </row>
    <row r="62" spans="2:58" s="1726" customFormat="1" ht="15" customHeight="1" x14ac:dyDescent="0.25">
      <c r="B62" s="2694" t="s">
        <v>1795</v>
      </c>
      <c r="C62" s="3417" t="s">
        <v>1528</v>
      </c>
      <c r="D62" s="3899" t="s">
        <v>53</v>
      </c>
      <c r="E62" s="2328"/>
      <c r="F62" s="3872"/>
      <c r="G62" s="2699"/>
      <c r="H62" s="3872"/>
      <c r="I62" s="2700"/>
      <c r="J62" s="3874"/>
      <c r="K62" s="2701"/>
      <c r="L62" s="3872"/>
      <c r="M62" s="3895"/>
      <c r="N62" s="3895"/>
      <c r="O62" s="2702"/>
      <c r="P62" s="3872"/>
      <c r="Q62" s="3894"/>
      <c r="R62" s="3894"/>
      <c r="S62" s="2702"/>
      <c r="T62" s="3872"/>
      <c r="U62" s="3894"/>
      <c r="V62" s="3894"/>
      <c r="W62" s="2702"/>
      <c r="X62" s="3872"/>
      <c r="Y62" s="3895"/>
      <c r="Z62" s="3895"/>
      <c r="AA62" s="1854"/>
      <c r="AB62" s="1854"/>
      <c r="AC62" s="2702"/>
      <c r="AD62" s="3872"/>
      <c r="AE62" s="3894"/>
      <c r="AF62" s="3894"/>
      <c r="AG62" s="2702"/>
      <c r="AH62" s="3872"/>
      <c r="AI62" s="3894"/>
      <c r="AJ62" s="3894"/>
      <c r="AK62" s="2702"/>
      <c r="AL62" s="3872"/>
      <c r="AM62" s="3895"/>
      <c r="AN62" s="3895"/>
      <c r="AO62" s="3894"/>
      <c r="AP62" s="3894"/>
      <c r="AQ62" s="2702"/>
      <c r="AR62" s="3872">
        <v>38.949999999999996</v>
      </c>
      <c r="AS62" s="3894"/>
      <c r="AT62" s="3894">
        <f t="shared" si="10"/>
        <v>38.949999999999996</v>
      </c>
      <c r="AU62" s="2702"/>
      <c r="AV62" s="4060"/>
      <c r="AW62" s="4081"/>
      <c r="AX62" s="4096">
        <f t="shared" si="11"/>
        <v>38.949999999999996</v>
      </c>
      <c r="AY62" s="2702"/>
      <c r="AZ62" s="4223"/>
      <c r="BA62" s="4269"/>
      <c r="BB62" s="4565">
        <f t="shared" si="12"/>
        <v>38.949999999999996</v>
      </c>
      <c r="BC62" s="1854"/>
      <c r="BD62" s="1854">
        <f t="shared" si="13"/>
        <v>38.949999999999996</v>
      </c>
      <c r="BE62" s="4564"/>
      <c r="BF62" s="4564">
        <f t="shared" si="14"/>
        <v>38.949999999999996</v>
      </c>
    </row>
    <row r="63" spans="2:58" ht="15" customHeight="1" x14ac:dyDescent="0.25">
      <c r="B63" s="2694" t="s">
        <v>1136</v>
      </c>
      <c r="C63" s="3417" t="s">
        <v>1360</v>
      </c>
      <c r="D63" s="3899" t="s">
        <v>53</v>
      </c>
      <c r="E63" s="2328"/>
      <c r="F63" s="238">
        <v>764.26</v>
      </c>
      <c r="G63" s="2699"/>
      <c r="H63" s="238">
        <f>3587.5-26.468-74.966</f>
        <v>3486.0660000000003</v>
      </c>
      <c r="I63" s="2700"/>
      <c r="J63" s="2339">
        <f t="shared" si="1"/>
        <v>4250.326</v>
      </c>
      <c r="K63" s="2701"/>
      <c r="L63" s="238"/>
      <c r="M63" s="1568"/>
      <c r="N63" s="1568">
        <f t="shared" si="2"/>
        <v>4250.326</v>
      </c>
      <c r="O63" s="2702"/>
      <c r="P63" s="238"/>
      <c r="Q63" s="1586"/>
      <c r="R63" s="1586">
        <f t="shared" si="3"/>
        <v>4250.326</v>
      </c>
      <c r="S63" s="2702"/>
      <c r="T63" s="238">
        <f>4831.85-18.45</f>
        <v>4813.4000000000005</v>
      </c>
      <c r="U63" s="1586"/>
      <c r="V63" s="1586">
        <f t="shared" si="4"/>
        <v>9063.7260000000006</v>
      </c>
      <c r="W63" s="2702"/>
      <c r="X63" s="238">
        <v>0</v>
      </c>
      <c r="Y63" s="1568"/>
      <c r="Z63" s="1568">
        <f t="shared" si="5"/>
        <v>4813.4000000000005</v>
      </c>
      <c r="AA63" s="1854"/>
      <c r="AB63" s="1854">
        <f t="shared" si="0"/>
        <v>9063.7260000000006</v>
      </c>
      <c r="AC63" s="2702"/>
      <c r="AD63" s="238">
        <f>6203.3-2.05</f>
        <v>6201.25</v>
      </c>
      <c r="AE63" s="3152"/>
      <c r="AF63" s="3152">
        <f t="shared" si="6"/>
        <v>15264.976000000001</v>
      </c>
      <c r="AG63" s="2702"/>
      <c r="AH63" s="238">
        <v>0</v>
      </c>
      <c r="AI63" s="3251"/>
      <c r="AJ63" s="3251">
        <f t="shared" si="7"/>
        <v>15264.976000000001</v>
      </c>
      <c r="AK63" s="2702"/>
      <c r="AL63" s="3640">
        <v>0</v>
      </c>
      <c r="AM63" s="3613"/>
      <c r="AN63" s="3613">
        <f t="shared" si="8"/>
        <v>6201.25</v>
      </c>
      <c r="AO63" s="3612"/>
      <c r="AP63" s="3612">
        <f t="shared" si="9"/>
        <v>15264.976000000001</v>
      </c>
      <c r="AQ63" s="2702"/>
      <c r="AR63" s="3872"/>
      <c r="AS63" s="3894"/>
      <c r="AT63" s="3894">
        <f t="shared" si="10"/>
        <v>15264.976000000001</v>
      </c>
      <c r="AU63" s="2702"/>
      <c r="AV63" s="4060">
        <f>4102.05-59.45</f>
        <v>4042.6000000000004</v>
      </c>
      <c r="AW63" s="4081"/>
      <c r="AX63" s="4096">
        <f t="shared" si="11"/>
        <v>19307.576000000001</v>
      </c>
      <c r="AY63" s="2702"/>
      <c r="AZ63" s="4223">
        <v>3374.2999999999997</v>
      </c>
      <c r="BA63" s="4269"/>
      <c r="BB63" s="4565">
        <f t="shared" si="12"/>
        <v>7416.9</v>
      </c>
      <c r="BC63" s="1854"/>
      <c r="BD63" s="1854">
        <f t="shared" si="13"/>
        <v>13618.15</v>
      </c>
      <c r="BE63" s="4564"/>
      <c r="BF63" s="4564">
        <f t="shared" si="14"/>
        <v>22681.876</v>
      </c>
    </row>
    <row r="64" spans="2:58" s="1726" customFormat="1" ht="15" customHeight="1" x14ac:dyDescent="0.25">
      <c r="B64" s="2694" t="s">
        <v>1538</v>
      </c>
      <c r="C64" s="3417" t="s">
        <v>1802</v>
      </c>
      <c r="D64" s="3899" t="s">
        <v>53</v>
      </c>
      <c r="E64" s="2328"/>
      <c r="F64" s="238"/>
      <c r="G64" s="2699"/>
      <c r="H64" s="238"/>
      <c r="I64" s="2700"/>
      <c r="J64" s="2339">
        <f t="shared" si="1"/>
        <v>0</v>
      </c>
      <c r="K64" s="2701"/>
      <c r="L64" s="238"/>
      <c r="M64" s="1568"/>
      <c r="N64" s="1568">
        <f t="shared" si="2"/>
        <v>0</v>
      </c>
      <c r="O64" s="2702"/>
      <c r="P64" s="238"/>
      <c r="Q64" s="1586"/>
      <c r="R64" s="1586">
        <f t="shared" si="3"/>
        <v>0</v>
      </c>
      <c r="S64" s="2702"/>
      <c r="T64" s="238">
        <v>682.65</v>
      </c>
      <c r="U64" s="1586"/>
      <c r="V64" s="1586">
        <f t="shared" si="4"/>
        <v>682.65</v>
      </c>
      <c r="W64" s="2702"/>
      <c r="X64" s="238">
        <v>0</v>
      </c>
      <c r="Y64" s="1568"/>
      <c r="Z64" s="1568">
        <f t="shared" si="5"/>
        <v>682.65</v>
      </c>
      <c r="AA64" s="1854"/>
      <c r="AB64" s="1854">
        <f t="shared" si="0"/>
        <v>682.65</v>
      </c>
      <c r="AC64" s="2702"/>
      <c r="AD64" s="238">
        <v>0</v>
      </c>
      <c r="AE64" s="3152"/>
      <c r="AF64" s="3152">
        <f t="shared" si="6"/>
        <v>682.65</v>
      </c>
      <c r="AG64" s="2702"/>
      <c r="AH64" s="238">
        <v>0</v>
      </c>
      <c r="AI64" s="3251"/>
      <c r="AJ64" s="3251">
        <f t="shared" si="7"/>
        <v>682.65</v>
      </c>
      <c r="AK64" s="2702"/>
      <c r="AL64" s="3640">
        <v>0</v>
      </c>
      <c r="AM64" s="3613"/>
      <c r="AN64" s="3613">
        <f t="shared" si="8"/>
        <v>0</v>
      </c>
      <c r="AO64" s="3612"/>
      <c r="AP64" s="3612">
        <f t="shared" si="9"/>
        <v>682.65</v>
      </c>
      <c r="AQ64" s="2702"/>
      <c r="AR64" s="3872"/>
      <c r="AS64" s="3894"/>
      <c r="AT64" s="3894">
        <f t="shared" si="10"/>
        <v>682.65</v>
      </c>
      <c r="AU64" s="2702"/>
      <c r="AV64" s="4060">
        <f>1644.1-10.25</f>
        <v>1633.85</v>
      </c>
      <c r="AW64" s="4081"/>
      <c r="AX64" s="4096">
        <f t="shared" si="11"/>
        <v>2316.5</v>
      </c>
      <c r="AY64" s="2702"/>
      <c r="AZ64" s="4223">
        <f>3101.65-2.05</f>
        <v>3099.6</v>
      </c>
      <c r="BA64" s="4269"/>
      <c r="BB64" s="4565">
        <f t="shared" si="12"/>
        <v>4733.45</v>
      </c>
      <c r="BC64" s="1854"/>
      <c r="BD64" s="1854">
        <f t="shared" si="13"/>
        <v>4733.45</v>
      </c>
      <c r="BE64" s="4564"/>
      <c r="BF64" s="4564">
        <f t="shared" si="14"/>
        <v>5416.1</v>
      </c>
    </row>
    <row r="65" spans="2:58" s="1365" customFormat="1" ht="15" customHeight="1" x14ac:dyDescent="0.25">
      <c r="B65" s="2694" t="s">
        <v>1136</v>
      </c>
      <c r="C65" s="3417" t="s">
        <v>1205</v>
      </c>
      <c r="D65" s="3899" t="s">
        <v>53</v>
      </c>
      <c r="E65" s="2328"/>
      <c r="F65" s="238">
        <f>222.48-2.024</f>
        <v>220.45599999999999</v>
      </c>
      <c r="G65" s="2699"/>
      <c r="H65" s="238"/>
      <c r="I65" s="2700"/>
      <c r="J65" s="2339">
        <f t="shared" si="1"/>
        <v>220.45599999999999</v>
      </c>
      <c r="K65" s="2701"/>
      <c r="L65" s="238"/>
      <c r="M65" s="1568"/>
      <c r="N65" s="1568">
        <f t="shared" si="2"/>
        <v>220.45599999999999</v>
      </c>
      <c r="O65" s="2702"/>
      <c r="P65" s="238"/>
      <c r="Q65" s="1586"/>
      <c r="R65" s="1586">
        <f t="shared" si="3"/>
        <v>220.45599999999999</v>
      </c>
      <c r="S65" s="2702"/>
      <c r="T65" s="238">
        <v>0</v>
      </c>
      <c r="U65" s="1586"/>
      <c r="V65" s="1586">
        <f t="shared" si="4"/>
        <v>220.45599999999999</v>
      </c>
      <c r="W65" s="2702"/>
      <c r="X65" s="238">
        <v>0</v>
      </c>
      <c r="Y65" s="1568"/>
      <c r="Z65" s="1568">
        <f t="shared" si="5"/>
        <v>0</v>
      </c>
      <c r="AA65" s="1854"/>
      <c r="AB65" s="1854">
        <f t="shared" si="0"/>
        <v>220.45599999999999</v>
      </c>
      <c r="AC65" s="2702"/>
      <c r="AD65" s="238">
        <v>0</v>
      </c>
      <c r="AE65" s="3152"/>
      <c r="AF65" s="3152">
        <f t="shared" si="6"/>
        <v>220.45599999999999</v>
      </c>
      <c r="AG65" s="2702"/>
      <c r="AH65" s="238">
        <v>0</v>
      </c>
      <c r="AI65" s="3251"/>
      <c r="AJ65" s="3251">
        <f t="shared" si="7"/>
        <v>220.45599999999999</v>
      </c>
      <c r="AK65" s="2702"/>
      <c r="AL65" s="3640">
        <v>0</v>
      </c>
      <c r="AM65" s="3613"/>
      <c r="AN65" s="3613">
        <f t="shared" si="8"/>
        <v>0</v>
      </c>
      <c r="AO65" s="3612"/>
      <c r="AP65" s="3612">
        <f t="shared" si="9"/>
        <v>220.45599999999999</v>
      </c>
      <c r="AQ65" s="2702"/>
      <c r="AR65" s="3872"/>
      <c r="AS65" s="3894"/>
      <c r="AT65" s="3894">
        <f t="shared" si="10"/>
        <v>220.45599999999999</v>
      </c>
      <c r="AU65" s="2702"/>
      <c r="AV65" s="4060"/>
      <c r="AW65" s="4081"/>
      <c r="AX65" s="4096">
        <f t="shared" si="11"/>
        <v>220.45599999999999</v>
      </c>
      <c r="AY65" s="2702"/>
      <c r="AZ65" s="4223"/>
      <c r="BA65" s="4269"/>
      <c r="BB65" s="4565">
        <f t="shared" si="12"/>
        <v>0</v>
      </c>
      <c r="BC65" s="1854"/>
      <c r="BD65" s="1854">
        <f t="shared" si="13"/>
        <v>0</v>
      </c>
      <c r="BE65" s="4564"/>
      <c r="BF65" s="4564">
        <f t="shared" si="14"/>
        <v>220.45599999999999</v>
      </c>
    </row>
    <row r="66" spans="2:58" s="1365" customFormat="1" ht="15" customHeight="1" x14ac:dyDescent="0.25">
      <c r="B66" s="2694" t="s">
        <v>1136</v>
      </c>
      <c r="C66" s="3417" t="s">
        <v>1225</v>
      </c>
      <c r="D66" s="3899" t="s">
        <v>53</v>
      </c>
      <c r="E66" s="2328"/>
      <c r="F66" s="238">
        <v>121.54</v>
      </c>
      <c r="G66" s="2699"/>
      <c r="H66" s="238"/>
      <c r="I66" s="2700"/>
      <c r="J66" s="2339">
        <f t="shared" si="1"/>
        <v>121.54</v>
      </c>
      <c r="K66" s="2701"/>
      <c r="L66" s="238"/>
      <c r="M66" s="1568"/>
      <c r="N66" s="1568">
        <f t="shared" si="2"/>
        <v>121.54</v>
      </c>
      <c r="O66" s="2702"/>
      <c r="P66" s="238"/>
      <c r="Q66" s="1586"/>
      <c r="R66" s="1586">
        <f t="shared" si="3"/>
        <v>121.54</v>
      </c>
      <c r="S66" s="2702"/>
      <c r="T66" s="238">
        <v>0</v>
      </c>
      <c r="U66" s="1586"/>
      <c r="V66" s="1586">
        <f t="shared" si="4"/>
        <v>121.54</v>
      </c>
      <c r="W66" s="2702"/>
      <c r="X66" s="238">
        <v>0</v>
      </c>
      <c r="Y66" s="1568"/>
      <c r="Z66" s="1568">
        <f t="shared" si="5"/>
        <v>0</v>
      </c>
      <c r="AA66" s="1854"/>
      <c r="AB66" s="1854">
        <f t="shared" si="0"/>
        <v>121.54</v>
      </c>
      <c r="AC66" s="2702"/>
      <c r="AD66" s="238">
        <v>0</v>
      </c>
      <c r="AE66" s="3152"/>
      <c r="AF66" s="3152">
        <f t="shared" si="6"/>
        <v>121.54</v>
      </c>
      <c r="AG66" s="2702"/>
      <c r="AH66" s="238">
        <v>0</v>
      </c>
      <c r="AI66" s="3251"/>
      <c r="AJ66" s="3251">
        <f t="shared" si="7"/>
        <v>121.54</v>
      </c>
      <c r="AK66" s="2702"/>
      <c r="AL66" s="3640">
        <v>0</v>
      </c>
      <c r="AM66" s="3613"/>
      <c r="AN66" s="3613">
        <f t="shared" si="8"/>
        <v>0</v>
      </c>
      <c r="AO66" s="3612"/>
      <c r="AP66" s="3612">
        <f t="shared" si="9"/>
        <v>121.54</v>
      </c>
      <c r="AQ66" s="2702"/>
      <c r="AR66" s="3872"/>
      <c r="AS66" s="3894"/>
      <c r="AT66" s="3894">
        <f t="shared" si="10"/>
        <v>121.54</v>
      </c>
      <c r="AU66" s="2702"/>
      <c r="AV66" s="4060"/>
      <c r="AW66" s="4081"/>
      <c r="AX66" s="4096">
        <f t="shared" si="11"/>
        <v>121.54</v>
      </c>
      <c r="AY66" s="2702"/>
      <c r="AZ66" s="4223"/>
      <c r="BA66" s="4269"/>
      <c r="BB66" s="4565">
        <f t="shared" si="12"/>
        <v>0</v>
      </c>
      <c r="BC66" s="1854"/>
      <c r="BD66" s="1854">
        <f t="shared" si="13"/>
        <v>0</v>
      </c>
      <c r="BE66" s="4564"/>
      <c r="BF66" s="4564">
        <f t="shared" si="14"/>
        <v>121.54</v>
      </c>
    </row>
    <row r="67" spans="2:58" s="1726" customFormat="1" ht="15" customHeight="1" x14ac:dyDescent="0.25">
      <c r="B67" s="2694" t="s">
        <v>1796</v>
      </c>
      <c r="C67" s="3417" t="s">
        <v>1528</v>
      </c>
      <c r="D67" s="3899" t="s">
        <v>53</v>
      </c>
      <c r="E67" s="2328"/>
      <c r="F67" s="3872"/>
      <c r="G67" s="2699"/>
      <c r="H67" s="3872"/>
      <c r="I67" s="2700"/>
      <c r="J67" s="3874"/>
      <c r="K67" s="2701"/>
      <c r="L67" s="3872"/>
      <c r="M67" s="3895"/>
      <c r="N67" s="3895"/>
      <c r="O67" s="2702"/>
      <c r="P67" s="3872"/>
      <c r="Q67" s="3894"/>
      <c r="R67" s="3894"/>
      <c r="S67" s="2702"/>
      <c r="T67" s="3872"/>
      <c r="U67" s="3894"/>
      <c r="V67" s="3894"/>
      <c r="W67" s="2702"/>
      <c r="X67" s="3872"/>
      <c r="Y67" s="3895"/>
      <c r="Z67" s="3895"/>
      <c r="AA67" s="1854"/>
      <c r="AB67" s="1854"/>
      <c r="AC67" s="2702"/>
      <c r="AD67" s="3872"/>
      <c r="AE67" s="3894"/>
      <c r="AF67" s="3894"/>
      <c r="AG67" s="2702"/>
      <c r="AH67" s="3872"/>
      <c r="AI67" s="3894"/>
      <c r="AJ67" s="3894"/>
      <c r="AK67" s="2702"/>
      <c r="AL67" s="3872"/>
      <c r="AM67" s="3895"/>
      <c r="AN67" s="3895"/>
      <c r="AO67" s="3894"/>
      <c r="AP67" s="3894"/>
      <c r="AQ67" s="2702"/>
      <c r="AR67" s="3872">
        <v>43.05</v>
      </c>
      <c r="AS67" s="3894"/>
      <c r="AT67" s="3894">
        <f t="shared" si="10"/>
        <v>43.05</v>
      </c>
      <c r="AU67" s="2702"/>
      <c r="AV67" s="4060"/>
      <c r="AW67" s="4081"/>
      <c r="AX67" s="4096">
        <f t="shared" si="11"/>
        <v>43.05</v>
      </c>
      <c r="AY67" s="2702"/>
      <c r="AZ67" s="4223"/>
      <c r="BA67" s="4269"/>
      <c r="BB67" s="4565">
        <f t="shared" si="12"/>
        <v>43.05</v>
      </c>
      <c r="BC67" s="1854"/>
      <c r="BD67" s="1854">
        <f t="shared" si="13"/>
        <v>43.05</v>
      </c>
      <c r="BE67" s="4564"/>
      <c r="BF67" s="4564">
        <f t="shared" si="14"/>
        <v>43.05</v>
      </c>
    </row>
    <row r="68" spans="2:58" s="1726" customFormat="1" ht="15" customHeight="1" x14ac:dyDescent="0.25">
      <c r="B68" s="2694" t="s">
        <v>1797</v>
      </c>
      <c r="C68" s="3417" t="s">
        <v>1528</v>
      </c>
      <c r="D68" s="3899" t="s">
        <v>53</v>
      </c>
      <c r="E68" s="2328"/>
      <c r="F68" s="3872"/>
      <c r="G68" s="2699"/>
      <c r="H68" s="3872"/>
      <c r="I68" s="2700"/>
      <c r="J68" s="3874"/>
      <c r="K68" s="2701"/>
      <c r="L68" s="3872"/>
      <c r="M68" s="3895"/>
      <c r="N68" s="3895"/>
      <c r="O68" s="2702"/>
      <c r="P68" s="3872"/>
      <c r="Q68" s="3894"/>
      <c r="R68" s="3894"/>
      <c r="S68" s="2702"/>
      <c r="T68" s="3872"/>
      <c r="U68" s="3894"/>
      <c r="V68" s="3894"/>
      <c r="W68" s="2702"/>
      <c r="X68" s="3872"/>
      <c r="Y68" s="3895"/>
      <c r="Z68" s="3895"/>
      <c r="AA68" s="1854"/>
      <c r="AB68" s="1854"/>
      <c r="AC68" s="2702"/>
      <c r="AD68" s="3872"/>
      <c r="AE68" s="3894"/>
      <c r="AF68" s="3894"/>
      <c r="AG68" s="2702"/>
      <c r="AH68" s="3872"/>
      <c r="AI68" s="3894"/>
      <c r="AJ68" s="3894"/>
      <c r="AK68" s="2702"/>
      <c r="AL68" s="3872"/>
      <c r="AM68" s="3895"/>
      <c r="AN68" s="3895"/>
      <c r="AO68" s="3894"/>
      <c r="AP68" s="3894"/>
      <c r="AQ68" s="2702"/>
      <c r="AR68" s="3872">
        <v>43.05</v>
      </c>
      <c r="AS68" s="3894"/>
      <c r="AT68" s="3894">
        <f t="shared" si="10"/>
        <v>43.05</v>
      </c>
      <c r="AU68" s="2702"/>
      <c r="AV68" s="4060"/>
      <c r="AW68" s="4081"/>
      <c r="AX68" s="4096">
        <f t="shared" si="11"/>
        <v>43.05</v>
      </c>
      <c r="AY68" s="2702"/>
      <c r="AZ68" s="4223"/>
      <c r="BA68" s="4269"/>
      <c r="BB68" s="4565">
        <f t="shared" si="12"/>
        <v>43.05</v>
      </c>
      <c r="BC68" s="1854"/>
      <c r="BD68" s="1854">
        <f t="shared" si="13"/>
        <v>43.05</v>
      </c>
      <c r="BE68" s="4564"/>
      <c r="BF68" s="4564">
        <f t="shared" si="14"/>
        <v>43.05</v>
      </c>
    </row>
    <row r="69" spans="2:58" s="1726" customFormat="1" ht="15" customHeight="1" x14ac:dyDescent="0.25">
      <c r="B69" s="2694" t="s">
        <v>1149</v>
      </c>
      <c r="C69" s="3417" t="s">
        <v>1714</v>
      </c>
      <c r="D69" s="111" t="s">
        <v>53</v>
      </c>
      <c r="E69" s="2328"/>
      <c r="F69" s="3640"/>
      <c r="G69" s="2699"/>
      <c r="H69" s="3640"/>
      <c r="I69" s="2700"/>
      <c r="J69" s="3597"/>
      <c r="K69" s="2701"/>
      <c r="L69" s="3640"/>
      <c r="M69" s="3613"/>
      <c r="N69" s="3613"/>
      <c r="O69" s="2702"/>
      <c r="P69" s="3640"/>
      <c r="Q69" s="3612"/>
      <c r="R69" s="3612"/>
      <c r="S69" s="2702"/>
      <c r="T69" s="3640"/>
      <c r="U69" s="3612"/>
      <c r="V69" s="3612"/>
      <c r="W69" s="2702"/>
      <c r="X69" s="3640"/>
      <c r="Y69" s="3613"/>
      <c r="Z69" s="3613"/>
      <c r="AA69" s="1854"/>
      <c r="AB69" s="1854"/>
      <c r="AC69" s="2702"/>
      <c r="AD69" s="3640"/>
      <c r="AE69" s="3612"/>
      <c r="AF69" s="3612"/>
      <c r="AG69" s="2702"/>
      <c r="AH69" s="3640"/>
      <c r="AI69" s="3612"/>
      <c r="AJ69" s="3612"/>
      <c r="AK69" s="2702"/>
      <c r="AL69" s="3640">
        <v>219.35</v>
      </c>
      <c r="AM69" s="3613"/>
      <c r="AN69" s="3613">
        <f t="shared" si="8"/>
        <v>219.35</v>
      </c>
      <c r="AO69" s="3612"/>
      <c r="AP69" s="3612">
        <f t="shared" si="9"/>
        <v>219.35</v>
      </c>
      <c r="AQ69" s="2702"/>
      <c r="AR69" s="3872"/>
      <c r="AS69" s="3894"/>
      <c r="AT69" s="3894">
        <f t="shared" si="10"/>
        <v>219.35</v>
      </c>
      <c r="AU69" s="2702"/>
      <c r="AV69" s="4060"/>
      <c r="AW69" s="4081"/>
      <c r="AX69" s="4096">
        <f t="shared" si="11"/>
        <v>219.35</v>
      </c>
      <c r="AY69" s="2702"/>
      <c r="AZ69" s="4223"/>
      <c r="BA69" s="4269"/>
      <c r="BB69" s="4565">
        <f t="shared" si="12"/>
        <v>0</v>
      </c>
      <c r="BC69" s="1854"/>
      <c r="BD69" s="1854">
        <f t="shared" si="13"/>
        <v>219.35</v>
      </c>
      <c r="BE69" s="4564"/>
      <c r="BF69" s="4564">
        <f t="shared" si="14"/>
        <v>219.35</v>
      </c>
    </row>
    <row r="70" spans="2:58" s="1726" customFormat="1" ht="15" customHeight="1" x14ac:dyDescent="0.25">
      <c r="B70" s="2694" t="s">
        <v>1149</v>
      </c>
      <c r="C70" s="3417" t="s">
        <v>1225</v>
      </c>
      <c r="D70" s="111" t="s">
        <v>53</v>
      </c>
      <c r="E70" s="2328"/>
      <c r="F70" s="3640"/>
      <c r="G70" s="2699"/>
      <c r="H70" s="3640"/>
      <c r="I70" s="2700"/>
      <c r="J70" s="3597"/>
      <c r="K70" s="2701"/>
      <c r="L70" s="3640"/>
      <c r="M70" s="3613"/>
      <c r="N70" s="3613"/>
      <c r="O70" s="2702"/>
      <c r="P70" s="3640"/>
      <c r="Q70" s="3612"/>
      <c r="R70" s="3612"/>
      <c r="S70" s="2702"/>
      <c r="T70" s="3640"/>
      <c r="U70" s="3612"/>
      <c r="V70" s="3612"/>
      <c r="W70" s="2702"/>
      <c r="X70" s="3640"/>
      <c r="Y70" s="3613"/>
      <c r="Z70" s="3613"/>
      <c r="AA70" s="1854"/>
      <c r="AB70" s="1854"/>
      <c r="AC70" s="2702"/>
      <c r="AD70" s="3640"/>
      <c r="AE70" s="3612"/>
      <c r="AF70" s="3612"/>
      <c r="AG70" s="2702"/>
      <c r="AH70" s="3640"/>
      <c r="AI70" s="3612"/>
      <c r="AJ70" s="3612"/>
      <c r="AK70" s="2702"/>
      <c r="AL70" s="3640">
        <v>914.3</v>
      </c>
      <c r="AM70" s="3613"/>
      <c r="AN70" s="3613">
        <f t="shared" si="8"/>
        <v>914.3</v>
      </c>
      <c r="AO70" s="3612"/>
      <c r="AP70" s="3612">
        <f t="shared" si="9"/>
        <v>914.3</v>
      </c>
      <c r="AQ70" s="2702"/>
      <c r="AR70" s="3872"/>
      <c r="AS70" s="3894"/>
      <c r="AT70" s="3894">
        <f t="shared" si="10"/>
        <v>914.3</v>
      </c>
      <c r="AU70" s="2702"/>
      <c r="AV70" s="4060"/>
      <c r="AW70" s="4081"/>
      <c r="AX70" s="4096">
        <f t="shared" si="11"/>
        <v>914.3</v>
      </c>
      <c r="AY70" s="2702"/>
      <c r="AZ70" s="4223"/>
      <c r="BA70" s="4269"/>
      <c r="BB70" s="4565">
        <f t="shared" si="12"/>
        <v>0</v>
      </c>
      <c r="BC70" s="1854"/>
      <c r="BD70" s="1854">
        <f t="shared" si="13"/>
        <v>914.3</v>
      </c>
      <c r="BE70" s="4564"/>
      <c r="BF70" s="4564">
        <f t="shared" si="14"/>
        <v>914.3</v>
      </c>
    </row>
    <row r="71" spans="2:58" s="1726" customFormat="1" ht="15" customHeight="1" x14ac:dyDescent="0.25">
      <c r="B71" s="2694" t="s">
        <v>1149</v>
      </c>
      <c r="C71" s="3417" t="s">
        <v>1802</v>
      </c>
      <c r="D71" s="111" t="s">
        <v>53</v>
      </c>
      <c r="E71" s="2328"/>
      <c r="F71" s="3640"/>
      <c r="G71" s="2699"/>
      <c r="H71" s="3640"/>
      <c r="I71" s="2700"/>
      <c r="J71" s="3597"/>
      <c r="K71" s="2701"/>
      <c r="L71" s="3640"/>
      <c r="M71" s="3613"/>
      <c r="N71" s="3613"/>
      <c r="O71" s="2702"/>
      <c r="P71" s="3640"/>
      <c r="Q71" s="3612"/>
      <c r="R71" s="3612"/>
      <c r="S71" s="2702"/>
      <c r="T71" s="3640"/>
      <c r="U71" s="3612"/>
      <c r="V71" s="3612"/>
      <c r="W71" s="2702"/>
      <c r="X71" s="3640"/>
      <c r="Y71" s="3613"/>
      <c r="Z71" s="3613"/>
      <c r="AA71" s="1854"/>
      <c r="AB71" s="1854"/>
      <c r="AC71" s="2702"/>
      <c r="AD71" s="3640"/>
      <c r="AE71" s="3612"/>
      <c r="AF71" s="3612"/>
      <c r="AG71" s="2702"/>
      <c r="AH71" s="3640"/>
      <c r="AI71" s="3612"/>
      <c r="AJ71" s="3612"/>
      <c r="AK71" s="2702"/>
      <c r="AL71" s="3640">
        <v>412.04999999999995</v>
      </c>
      <c r="AM71" s="3613"/>
      <c r="AN71" s="3613">
        <f t="shared" si="8"/>
        <v>412.04999999999995</v>
      </c>
      <c r="AO71" s="3612"/>
      <c r="AP71" s="3612">
        <f t="shared" si="9"/>
        <v>412.04999999999995</v>
      </c>
      <c r="AQ71" s="2702"/>
      <c r="AR71" s="3872"/>
      <c r="AS71" s="3894"/>
      <c r="AT71" s="3894">
        <f t="shared" si="10"/>
        <v>412.04999999999995</v>
      </c>
      <c r="AU71" s="2702"/>
      <c r="AV71" s="4060"/>
      <c r="AW71" s="4081"/>
      <c r="AX71" s="4096">
        <f t="shared" si="11"/>
        <v>412.04999999999995</v>
      </c>
      <c r="AY71" s="2702"/>
      <c r="AZ71" s="4223"/>
      <c r="BA71" s="4269"/>
      <c r="BB71" s="4565">
        <f t="shared" si="12"/>
        <v>0</v>
      </c>
      <c r="BC71" s="1854"/>
      <c r="BD71" s="1854">
        <f t="shared" si="13"/>
        <v>412.04999999999995</v>
      </c>
      <c r="BE71" s="4564"/>
      <c r="BF71" s="4564">
        <f t="shared" si="14"/>
        <v>412.04999999999995</v>
      </c>
    </row>
    <row r="72" spans="2:58" s="1726" customFormat="1" ht="15" customHeight="1" x14ac:dyDescent="0.25">
      <c r="B72" s="2694" t="s">
        <v>1149</v>
      </c>
      <c r="C72" s="3417" t="s">
        <v>1528</v>
      </c>
      <c r="D72" s="111" t="s">
        <v>53</v>
      </c>
      <c r="E72" s="2328"/>
      <c r="F72" s="3640"/>
      <c r="G72" s="2699"/>
      <c r="H72" s="3640"/>
      <c r="I72" s="2700"/>
      <c r="J72" s="3597"/>
      <c r="K72" s="2701"/>
      <c r="L72" s="3640"/>
      <c r="M72" s="3613"/>
      <c r="N72" s="3613"/>
      <c r="O72" s="2702"/>
      <c r="P72" s="3640"/>
      <c r="Q72" s="3612"/>
      <c r="R72" s="3612"/>
      <c r="S72" s="2702"/>
      <c r="T72" s="3640"/>
      <c r="U72" s="3612"/>
      <c r="V72" s="3612"/>
      <c r="W72" s="2702"/>
      <c r="X72" s="3640"/>
      <c r="Y72" s="3613"/>
      <c r="Z72" s="3613"/>
      <c r="AA72" s="1854"/>
      <c r="AB72" s="1854"/>
      <c r="AC72" s="2702"/>
      <c r="AD72" s="3640"/>
      <c r="AE72" s="3612"/>
      <c r="AF72" s="3612"/>
      <c r="AG72" s="2702"/>
      <c r="AH72" s="3640"/>
      <c r="AI72" s="3612"/>
      <c r="AJ72" s="3612"/>
      <c r="AK72" s="2702"/>
      <c r="AL72" s="3640">
        <v>418.2</v>
      </c>
      <c r="AM72" s="3613"/>
      <c r="AN72" s="3613">
        <f t="shared" si="8"/>
        <v>418.2</v>
      </c>
      <c r="AO72" s="3612"/>
      <c r="AP72" s="3612">
        <f t="shared" si="9"/>
        <v>418.2</v>
      </c>
      <c r="AQ72" s="2702"/>
      <c r="AR72" s="3872"/>
      <c r="AS72" s="3894"/>
      <c r="AT72" s="3894">
        <f t="shared" si="10"/>
        <v>418.2</v>
      </c>
      <c r="AU72" s="2702"/>
      <c r="AV72" s="4060"/>
      <c r="AW72" s="4081"/>
      <c r="AX72" s="4096">
        <f t="shared" ref="AX72:AX87" si="16">+AT72+AV72</f>
        <v>418.2</v>
      </c>
      <c r="AY72" s="2702"/>
      <c r="AZ72" s="4223"/>
      <c r="BA72" s="4269"/>
      <c r="BB72" s="4565">
        <f t="shared" ref="BB72:BB87" si="17">AR72+AV72+AZ72</f>
        <v>0</v>
      </c>
      <c r="BC72" s="1854"/>
      <c r="BD72" s="1854">
        <f t="shared" ref="BD72:BD87" si="18">AN72+BB72</f>
        <v>418.2</v>
      </c>
      <c r="BE72" s="4564"/>
      <c r="BF72" s="4564">
        <f t="shared" ref="BF72:BF87" si="19">+AX72+AZ72</f>
        <v>418.2</v>
      </c>
    </row>
    <row r="73" spans="2:58" ht="15.75" x14ac:dyDescent="0.25">
      <c r="B73" s="2694" t="s">
        <v>1135</v>
      </c>
      <c r="C73" s="3417" t="s">
        <v>1527</v>
      </c>
      <c r="D73" s="111" t="s">
        <v>53</v>
      </c>
      <c r="E73" s="2701"/>
      <c r="F73" s="238"/>
      <c r="G73" s="2699"/>
      <c r="H73" s="238"/>
      <c r="I73" s="2700"/>
      <c r="J73" s="2339">
        <f t="shared" si="1"/>
        <v>0</v>
      </c>
      <c r="K73" s="2701"/>
      <c r="L73" s="238">
        <v>1422.6999999999998</v>
      </c>
      <c r="M73" s="1568"/>
      <c r="N73" s="1568">
        <f t="shared" si="2"/>
        <v>1422.6999999999998</v>
      </c>
      <c r="O73" s="2702"/>
      <c r="P73" s="238"/>
      <c r="Q73" s="1586"/>
      <c r="R73" s="1586">
        <f t="shared" si="3"/>
        <v>1422.6999999999998</v>
      </c>
      <c r="S73" s="2702"/>
      <c r="T73" s="238">
        <v>0</v>
      </c>
      <c r="U73" s="1586"/>
      <c r="V73" s="1586">
        <f t="shared" si="4"/>
        <v>1422.6999999999998</v>
      </c>
      <c r="W73" s="2702"/>
      <c r="X73" s="3103">
        <v>0</v>
      </c>
      <c r="Y73" s="1568"/>
      <c r="Z73" s="1568">
        <f t="shared" si="5"/>
        <v>0</v>
      </c>
      <c r="AA73" s="1854"/>
      <c r="AB73" s="1854">
        <f t="shared" si="0"/>
        <v>1422.6999999999998</v>
      </c>
      <c r="AC73" s="2702"/>
      <c r="AD73" s="238">
        <v>934.8</v>
      </c>
      <c r="AE73" s="3152"/>
      <c r="AF73" s="3152">
        <f t="shared" si="6"/>
        <v>2357.5</v>
      </c>
      <c r="AG73" s="2702"/>
      <c r="AH73" s="238">
        <v>0</v>
      </c>
      <c r="AI73" s="3251"/>
      <c r="AJ73" s="3251">
        <f t="shared" si="7"/>
        <v>2357.5</v>
      </c>
      <c r="AK73" s="2702"/>
      <c r="AL73" s="3830">
        <v>760.55</v>
      </c>
      <c r="AM73" s="3613"/>
      <c r="AN73" s="3613">
        <f t="shared" si="8"/>
        <v>1695.35</v>
      </c>
      <c r="AO73" s="3612"/>
      <c r="AP73" s="3612">
        <f t="shared" si="9"/>
        <v>3118.05</v>
      </c>
      <c r="AQ73" s="2702"/>
      <c r="AR73" s="3872"/>
      <c r="AS73" s="3894"/>
      <c r="AT73" s="3894">
        <f t="shared" si="10"/>
        <v>3118.05</v>
      </c>
      <c r="AU73" s="2702"/>
      <c r="AV73" s="4060"/>
      <c r="AW73" s="4081"/>
      <c r="AX73" s="4096">
        <f t="shared" si="16"/>
        <v>3118.05</v>
      </c>
      <c r="AY73" s="2702"/>
      <c r="AZ73" s="4223"/>
      <c r="BA73" s="4269"/>
      <c r="BB73" s="4565">
        <f t="shared" si="17"/>
        <v>0</v>
      </c>
      <c r="BC73" s="1854"/>
      <c r="BD73" s="1854">
        <f t="shared" si="18"/>
        <v>1695.35</v>
      </c>
      <c r="BE73" s="4564"/>
      <c r="BF73" s="4564">
        <f t="shared" si="19"/>
        <v>3118.05</v>
      </c>
    </row>
    <row r="74" spans="2:58" s="4468" customFormat="1" ht="15.75" x14ac:dyDescent="0.25">
      <c r="B74" s="2694" t="s">
        <v>1135</v>
      </c>
      <c r="C74" s="3417" t="s">
        <v>1802</v>
      </c>
      <c r="D74" s="4478" t="s">
        <v>53</v>
      </c>
      <c r="E74" s="2701"/>
      <c r="F74" s="4460"/>
      <c r="G74" s="2699"/>
      <c r="H74" s="4460"/>
      <c r="I74" s="2700"/>
      <c r="J74" s="4463"/>
      <c r="K74" s="2701"/>
      <c r="L74" s="4460"/>
      <c r="M74" s="4475"/>
      <c r="N74" s="4475"/>
      <c r="O74" s="2702"/>
      <c r="P74" s="4460"/>
      <c r="Q74" s="4474"/>
      <c r="R74" s="4474"/>
      <c r="S74" s="2702"/>
      <c r="T74" s="4460"/>
      <c r="U74" s="4474"/>
      <c r="V74" s="4474"/>
      <c r="W74" s="2702"/>
      <c r="X74" s="4461"/>
      <c r="Y74" s="4475"/>
      <c r="Z74" s="4475"/>
      <c r="AA74" s="1854"/>
      <c r="AB74" s="1854"/>
      <c r="AC74" s="2702"/>
      <c r="AD74" s="4460"/>
      <c r="AE74" s="4474"/>
      <c r="AF74" s="4474"/>
      <c r="AG74" s="2702"/>
      <c r="AH74" s="4460"/>
      <c r="AI74" s="4474"/>
      <c r="AJ74" s="4474"/>
      <c r="AK74" s="2702"/>
      <c r="AL74" s="4460"/>
      <c r="AM74" s="4475"/>
      <c r="AN74" s="4475"/>
      <c r="AO74" s="4474"/>
      <c r="AP74" s="4474"/>
      <c r="AQ74" s="2702"/>
      <c r="AR74" s="4460"/>
      <c r="AS74" s="4474"/>
      <c r="AT74" s="4474"/>
      <c r="AU74" s="2702"/>
      <c r="AV74" s="4460"/>
      <c r="AW74" s="4474"/>
      <c r="AX74" s="4474"/>
      <c r="AY74" s="2702"/>
      <c r="AZ74" s="4460">
        <v>2164.7999999999997</v>
      </c>
      <c r="BA74" s="4475"/>
      <c r="BB74" s="4565">
        <f t="shared" si="17"/>
        <v>2164.7999999999997</v>
      </c>
      <c r="BC74" s="1854"/>
      <c r="BD74" s="1854">
        <f t="shared" si="18"/>
        <v>2164.7999999999997</v>
      </c>
      <c r="BE74" s="4564"/>
      <c r="BF74" s="4564">
        <f t="shared" si="19"/>
        <v>2164.7999999999997</v>
      </c>
    </row>
    <row r="75" spans="2:58" s="1726" customFormat="1" ht="15.75" x14ac:dyDescent="0.25">
      <c r="B75" s="2694" t="s">
        <v>1135</v>
      </c>
      <c r="C75" s="3417" t="s">
        <v>1583</v>
      </c>
      <c r="D75" s="111" t="s">
        <v>53</v>
      </c>
      <c r="E75" s="2701"/>
      <c r="F75" s="238"/>
      <c r="G75" s="2699"/>
      <c r="H75" s="238"/>
      <c r="I75" s="2700"/>
      <c r="J75" s="2339"/>
      <c r="K75" s="2701"/>
      <c r="L75" s="238"/>
      <c r="M75" s="1568"/>
      <c r="N75" s="1568"/>
      <c r="O75" s="2702"/>
      <c r="P75" s="238"/>
      <c r="Q75" s="1586"/>
      <c r="R75" s="1586"/>
      <c r="S75" s="2702"/>
      <c r="T75" s="238"/>
      <c r="U75" s="1586"/>
      <c r="V75" s="1586"/>
      <c r="W75" s="2702"/>
      <c r="X75" s="3103">
        <v>143.5</v>
      </c>
      <c r="Y75" s="1568"/>
      <c r="Z75" s="1568">
        <f t="shared" si="5"/>
        <v>143.5</v>
      </c>
      <c r="AA75" s="1854"/>
      <c r="AB75" s="1854">
        <f t="shared" si="0"/>
        <v>143.5</v>
      </c>
      <c r="AC75" s="2702"/>
      <c r="AD75" s="238">
        <v>0</v>
      </c>
      <c r="AE75" s="3152"/>
      <c r="AF75" s="3152">
        <f t="shared" si="6"/>
        <v>143.5</v>
      </c>
      <c r="AG75" s="2702"/>
      <c r="AH75" s="238">
        <v>0</v>
      </c>
      <c r="AI75" s="3251"/>
      <c r="AJ75" s="3251">
        <f t="shared" si="7"/>
        <v>143.5</v>
      </c>
      <c r="AK75" s="2702"/>
      <c r="AL75" s="3830">
        <v>0</v>
      </c>
      <c r="AM75" s="3613"/>
      <c r="AN75" s="3613">
        <f t="shared" si="8"/>
        <v>0</v>
      </c>
      <c r="AO75" s="3612"/>
      <c r="AP75" s="3612">
        <f t="shared" si="9"/>
        <v>143.5</v>
      </c>
      <c r="AQ75" s="2702"/>
      <c r="AR75" s="3872"/>
      <c r="AS75" s="3894"/>
      <c r="AT75" s="3894">
        <f t="shared" si="10"/>
        <v>143.5</v>
      </c>
      <c r="AU75" s="2702"/>
      <c r="AV75" s="4060"/>
      <c r="AW75" s="4081"/>
      <c r="AX75" s="4096">
        <f t="shared" si="16"/>
        <v>143.5</v>
      </c>
      <c r="AY75" s="2702"/>
      <c r="AZ75" s="4223"/>
      <c r="BA75" s="4269"/>
      <c r="BB75" s="4565">
        <f t="shared" si="17"/>
        <v>0</v>
      </c>
      <c r="BC75" s="1854"/>
      <c r="BD75" s="1854">
        <f t="shared" si="18"/>
        <v>0</v>
      </c>
      <c r="BE75" s="4564"/>
      <c r="BF75" s="4564">
        <f t="shared" si="19"/>
        <v>143.5</v>
      </c>
    </row>
    <row r="76" spans="2:58" s="1726" customFormat="1" ht="15.75" x14ac:dyDescent="0.25">
      <c r="B76" s="2694" t="s">
        <v>1135</v>
      </c>
      <c r="C76" s="3417" t="s">
        <v>1584</v>
      </c>
      <c r="D76" s="111" t="s">
        <v>53</v>
      </c>
      <c r="E76" s="2701"/>
      <c r="F76" s="238"/>
      <c r="G76" s="2699"/>
      <c r="H76" s="238"/>
      <c r="I76" s="2700"/>
      <c r="J76" s="2339"/>
      <c r="K76" s="2701"/>
      <c r="L76" s="238"/>
      <c r="M76" s="1568"/>
      <c r="N76" s="1568"/>
      <c r="O76" s="2702"/>
      <c r="P76" s="238"/>
      <c r="Q76" s="1586"/>
      <c r="R76" s="1586"/>
      <c r="S76" s="2702"/>
      <c r="T76" s="238"/>
      <c r="U76" s="1586"/>
      <c r="V76" s="1586"/>
      <c r="W76" s="2702"/>
      <c r="X76" s="3103">
        <v>8.1999999999999993</v>
      </c>
      <c r="Y76" s="1568"/>
      <c r="Z76" s="1568">
        <f t="shared" si="5"/>
        <v>8.1999999999999993</v>
      </c>
      <c r="AA76" s="1854"/>
      <c r="AB76" s="1854">
        <f t="shared" si="0"/>
        <v>8.1999999999999993</v>
      </c>
      <c r="AC76" s="2702"/>
      <c r="AD76" s="238">
        <v>0</v>
      </c>
      <c r="AE76" s="3152"/>
      <c r="AF76" s="3152">
        <f t="shared" si="6"/>
        <v>8.1999999999999993</v>
      </c>
      <c r="AG76" s="2702"/>
      <c r="AH76" s="238">
        <v>0</v>
      </c>
      <c r="AI76" s="3251"/>
      <c r="AJ76" s="3251">
        <f t="shared" si="7"/>
        <v>8.1999999999999993</v>
      </c>
      <c r="AK76" s="2702"/>
      <c r="AL76" s="3830">
        <v>0</v>
      </c>
      <c r="AM76" s="3613"/>
      <c r="AN76" s="3613">
        <f t="shared" si="8"/>
        <v>0</v>
      </c>
      <c r="AO76" s="3612"/>
      <c r="AP76" s="3612">
        <f t="shared" si="9"/>
        <v>8.1999999999999993</v>
      </c>
      <c r="AQ76" s="2702"/>
      <c r="AR76" s="3872"/>
      <c r="AS76" s="3894"/>
      <c r="AT76" s="3894">
        <f t="shared" ref="AT76:AT87" si="20">+AP76+AR76</f>
        <v>8.1999999999999993</v>
      </c>
      <c r="AU76" s="2702"/>
      <c r="AV76" s="4060"/>
      <c r="AW76" s="4081"/>
      <c r="AX76" s="4096">
        <f t="shared" si="16"/>
        <v>8.1999999999999993</v>
      </c>
      <c r="AY76" s="2702"/>
      <c r="AZ76" s="4223"/>
      <c r="BA76" s="4269"/>
      <c r="BB76" s="4565">
        <f t="shared" si="17"/>
        <v>0</v>
      </c>
      <c r="BC76" s="1854"/>
      <c r="BD76" s="1854">
        <f t="shared" si="18"/>
        <v>0</v>
      </c>
      <c r="BE76" s="4564"/>
      <c r="BF76" s="4564">
        <f t="shared" si="19"/>
        <v>8.1999999999999993</v>
      </c>
    </row>
    <row r="77" spans="2:58" s="1726" customFormat="1" ht="15.75" x14ac:dyDescent="0.25">
      <c r="B77" s="2694" t="s">
        <v>1135</v>
      </c>
      <c r="C77" s="3417" t="s">
        <v>1737</v>
      </c>
      <c r="D77" s="111" t="s">
        <v>53</v>
      </c>
      <c r="E77" s="2701"/>
      <c r="F77" s="3640"/>
      <c r="G77" s="2699"/>
      <c r="H77" s="3640"/>
      <c r="I77" s="2700"/>
      <c r="J77" s="3597"/>
      <c r="K77" s="2701"/>
      <c r="L77" s="3640"/>
      <c r="M77" s="3613"/>
      <c r="N77" s="3613"/>
      <c r="O77" s="2702"/>
      <c r="P77" s="3640"/>
      <c r="Q77" s="3612"/>
      <c r="R77" s="3612"/>
      <c r="S77" s="2702"/>
      <c r="T77" s="3640"/>
      <c r="U77" s="3612"/>
      <c r="V77" s="3612"/>
      <c r="W77" s="2702"/>
      <c r="X77" s="3601"/>
      <c r="Y77" s="3613"/>
      <c r="Z77" s="3613"/>
      <c r="AA77" s="1854"/>
      <c r="AB77" s="1854"/>
      <c r="AC77" s="2702"/>
      <c r="AD77" s="3640"/>
      <c r="AE77" s="3612"/>
      <c r="AF77" s="3612"/>
      <c r="AG77" s="2702"/>
      <c r="AH77" s="3640"/>
      <c r="AI77" s="3612"/>
      <c r="AJ77" s="3612"/>
      <c r="AK77" s="2702"/>
      <c r="AL77" s="3830">
        <v>86.1</v>
      </c>
      <c r="AM77" s="3613"/>
      <c r="AN77" s="3613">
        <f t="shared" si="8"/>
        <v>86.1</v>
      </c>
      <c r="AO77" s="3612"/>
      <c r="AP77" s="3612">
        <f t="shared" si="9"/>
        <v>86.1</v>
      </c>
      <c r="AQ77" s="2702"/>
      <c r="AR77" s="3872"/>
      <c r="AS77" s="3894"/>
      <c r="AT77" s="3894">
        <f t="shared" si="20"/>
        <v>86.1</v>
      </c>
      <c r="AU77" s="2702"/>
      <c r="AV77" s="4060"/>
      <c r="AW77" s="4081"/>
      <c r="AX77" s="4096">
        <f t="shared" si="16"/>
        <v>86.1</v>
      </c>
      <c r="AY77" s="2702"/>
      <c r="AZ77" s="4223"/>
      <c r="BA77" s="4269"/>
      <c r="BB77" s="4565">
        <f t="shared" si="17"/>
        <v>0</v>
      </c>
      <c r="BC77" s="1854"/>
      <c r="BD77" s="1854">
        <f t="shared" si="18"/>
        <v>86.1</v>
      </c>
      <c r="BE77" s="4564"/>
      <c r="BF77" s="4564">
        <f t="shared" si="19"/>
        <v>86.1</v>
      </c>
    </row>
    <row r="78" spans="2:58" s="1726" customFormat="1" ht="15.75" x14ac:dyDescent="0.25">
      <c r="B78" s="2694" t="s">
        <v>1135</v>
      </c>
      <c r="C78" s="3417" t="s">
        <v>1225</v>
      </c>
      <c r="D78" s="111" t="s">
        <v>53</v>
      </c>
      <c r="E78" s="2701"/>
      <c r="F78" s="238"/>
      <c r="G78" s="2699"/>
      <c r="H78" s="238"/>
      <c r="I78" s="2700"/>
      <c r="J78" s="2339"/>
      <c r="K78" s="2701"/>
      <c r="L78" s="238"/>
      <c r="M78" s="1568"/>
      <c r="N78" s="1568"/>
      <c r="O78" s="2702"/>
      <c r="P78" s="238"/>
      <c r="Q78" s="1586"/>
      <c r="R78" s="1586"/>
      <c r="S78" s="2702"/>
      <c r="T78" s="238"/>
      <c r="U78" s="1586"/>
      <c r="V78" s="1586"/>
      <c r="W78" s="2702"/>
      <c r="X78" s="3103">
        <v>20.5</v>
      </c>
      <c r="Y78" s="1568"/>
      <c r="Z78" s="1568">
        <f t="shared" si="5"/>
        <v>20.5</v>
      </c>
      <c r="AA78" s="1854"/>
      <c r="AB78" s="1854">
        <f t="shared" si="0"/>
        <v>20.5</v>
      </c>
      <c r="AC78" s="2702"/>
      <c r="AD78" s="238">
        <v>0</v>
      </c>
      <c r="AE78" s="3152"/>
      <c r="AF78" s="3152">
        <f t="shared" si="6"/>
        <v>20.5</v>
      </c>
      <c r="AG78" s="2702"/>
      <c r="AH78" s="238">
        <v>0</v>
      </c>
      <c r="AI78" s="3251"/>
      <c r="AJ78" s="3251">
        <f t="shared" si="7"/>
        <v>20.5</v>
      </c>
      <c r="AK78" s="2702"/>
      <c r="AL78" s="3830">
        <v>262.39999999999998</v>
      </c>
      <c r="AM78" s="3613"/>
      <c r="AN78" s="3613">
        <f t="shared" si="8"/>
        <v>262.39999999999998</v>
      </c>
      <c r="AO78" s="3612"/>
      <c r="AP78" s="3612">
        <f t="shared" si="9"/>
        <v>282.89999999999998</v>
      </c>
      <c r="AQ78" s="2702"/>
      <c r="AR78" s="3872">
        <v>51.249999999999993</v>
      </c>
      <c r="AS78" s="3894"/>
      <c r="AT78" s="3894">
        <f t="shared" si="20"/>
        <v>334.15</v>
      </c>
      <c r="AU78" s="2702"/>
      <c r="AV78" s="4060"/>
      <c r="AW78" s="4081"/>
      <c r="AX78" s="4096">
        <f t="shared" si="16"/>
        <v>334.15</v>
      </c>
      <c r="AY78" s="2702"/>
      <c r="AZ78" s="4223"/>
      <c r="BA78" s="4269"/>
      <c r="BB78" s="4565">
        <f t="shared" si="17"/>
        <v>51.249999999999993</v>
      </c>
      <c r="BC78" s="1854"/>
      <c r="BD78" s="1854">
        <f t="shared" si="18"/>
        <v>313.64999999999998</v>
      </c>
      <c r="BE78" s="4564"/>
      <c r="BF78" s="4564">
        <f t="shared" si="19"/>
        <v>334.15</v>
      </c>
    </row>
    <row r="79" spans="2:58" s="1726" customFormat="1" ht="15.75" x14ac:dyDescent="0.25">
      <c r="B79" s="2694" t="s">
        <v>1135</v>
      </c>
      <c r="C79" s="3417" t="s">
        <v>1650</v>
      </c>
      <c r="D79" s="111" t="s">
        <v>53</v>
      </c>
      <c r="E79" s="2701"/>
      <c r="F79" s="238"/>
      <c r="G79" s="2699"/>
      <c r="H79" s="238"/>
      <c r="I79" s="2700"/>
      <c r="J79" s="3187"/>
      <c r="K79" s="2701"/>
      <c r="L79" s="238"/>
      <c r="M79" s="3191"/>
      <c r="N79" s="3191"/>
      <c r="O79" s="2702"/>
      <c r="P79" s="238"/>
      <c r="Q79" s="3190"/>
      <c r="R79" s="3190"/>
      <c r="S79" s="2702"/>
      <c r="T79" s="238"/>
      <c r="U79" s="3190"/>
      <c r="V79" s="3190"/>
      <c r="W79" s="2702"/>
      <c r="X79" s="3189"/>
      <c r="Y79" s="3191"/>
      <c r="Z79" s="3191"/>
      <c r="AA79" s="1854"/>
      <c r="AB79" s="1854"/>
      <c r="AC79" s="2702"/>
      <c r="AD79" s="238">
        <v>41</v>
      </c>
      <c r="AE79" s="3190"/>
      <c r="AF79" s="3190">
        <f t="shared" si="6"/>
        <v>41</v>
      </c>
      <c r="AG79" s="2702"/>
      <c r="AH79" s="238">
        <v>0</v>
      </c>
      <c r="AI79" s="3251"/>
      <c r="AJ79" s="3251">
        <f t="shared" si="7"/>
        <v>41</v>
      </c>
      <c r="AK79" s="2702"/>
      <c r="AL79" s="3830">
        <v>0</v>
      </c>
      <c r="AM79" s="3613"/>
      <c r="AN79" s="3613">
        <f t="shared" si="8"/>
        <v>41</v>
      </c>
      <c r="AO79" s="3612"/>
      <c r="AP79" s="3612">
        <f t="shared" si="9"/>
        <v>41</v>
      </c>
      <c r="AQ79" s="2702"/>
      <c r="AR79" s="3872"/>
      <c r="AS79" s="3894"/>
      <c r="AT79" s="3894">
        <f t="shared" si="20"/>
        <v>41</v>
      </c>
      <c r="AU79" s="2702"/>
      <c r="AV79" s="4060"/>
      <c r="AW79" s="4081"/>
      <c r="AX79" s="4096">
        <f t="shared" si="16"/>
        <v>41</v>
      </c>
      <c r="AY79" s="2702"/>
      <c r="AZ79" s="4223"/>
      <c r="BA79" s="4269"/>
      <c r="BB79" s="4565">
        <f t="shared" si="17"/>
        <v>0</v>
      </c>
      <c r="BC79" s="1854"/>
      <c r="BD79" s="1854">
        <f t="shared" si="18"/>
        <v>41</v>
      </c>
      <c r="BE79" s="4564"/>
      <c r="BF79" s="4564">
        <f t="shared" si="19"/>
        <v>41</v>
      </c>
    </row>
    <row r="80" spans="2:58" s="1365" customFormat="1" ht="15.75" x14ac:dyDescent="0.25">
      <c r="B80" s="2694" t="s">
        <v>1135</v>
      </c>
      <c r="C80" s="3417" t="s">
        <v>1528</v>
      </c>
      <c r="D80" s="111" t="s">
        <v>53</v>
      </c>
      <c r="E80" s="2701"/>
      <c r="F80" s="238"/>
      <c r="G80" s="2699"/>
      <c r="H80" s="238"/>
      <c r="I80" s="2700"/>
      <c r="J80" s="2339">
        <f t="shared" si="1"/>
        <v>0</v>
      </c>
      <c r="K80" s="2701"/>
      <c r="L80" s="238">
        <f>3722.8-2.05-44.07</f>
        <v>3676.68</v>
      </c>
      <c r="M80" s="1568"/>
      <c r="N80" s="1568">
        <f t="shared" si="2"/>
        <v>3676.68</v>
      </c>
      <c r="O80" s="2702"/>
      <c r="P80" s="238"/>
      <c r="Q80" s="1586"/>
      <c r="R80" s="1586">
        <f t="shared" si="3"/>
        <v>3676.68</v>
      </c>
      <c r="S80" s="2702"/>
      <c r="T80" s="238">
        <v>0</v>
      </c>
      <c r="U80" s="1586"/>
      <c r="V80" s="1586">
        <f t="shared" si="4"/>
        <v>3676.68</v>
      </c>
      <c r="W80" s="2702"/>
      <c r="X80" s="238">
        <v>2669.1</v>
      </c>
      <c r="Y80" s="1568"/>
      <c r="Z80" s="1568">
        <f t="shared" si="5"/>
        <v>2669.1</v>
      </c>
      <c r="AA80" s="1854"/>
      <c r="AB80" s="1854">
        <f t="shared" si="0"/>
        <v>6345.78</v>
      </c>
      <c r="AC80" s="2702"/>
      <c r="AD80" s="238">
        <f>3409.15-4.1</f>
        <v>3405.05</v>
      </c>
      <c r="AE80" s="3152"/>
      <c r="AF80" s="3152">
        <f t="shared" si="6"/>
        <v>9750.83</v>
      </c>
      <c r="AG80" s="2702"/>
      <c r="AH80" s="238">
        <v>0</v>
      </c>
      <c r="AI80" s="3251"/>
      <c r="AJ80" s="3251">
        <f t="shared" si="7"/>
        <v>9750.83</v>
      </c>
      <c r="AK80" s="2702"/>
      <c r="AL80" s="3830">
        <v>3634.6499999999996</v>
      </c>
      <c r="AM80" s="3613"/>
      <c r="AN80" s="3613">
        <f t="shared" si="8"/>
        <v>7039.7</v>
      </c>
      <c r="AO80" s="3612"/>
      <c r="AP80" s="3612">
        <f t="shared" si="9"/>
        <v>13385.48</v>
      </c>
      <c r="AQ80" s="2702"/>
      <c r="AR80" s="3872"/>
      <c r="AS80" s="3894"/>
      <c r="AT80" s="3894">
        <f t="shared" si="20"/>
        <v>13385.48</v>
      </c>
      <c r="AU80" s="2702"/>
      <c r="AV80" s="4060"/>
      <c r="AW80" s="4081"/>
      <c r="AX80" s="4096">
        <f t="shared" si="16"/>
        <v>13385.48</v>
      </c>
      <c r="AY80" s="2702"/>
      <c r="AZ80" s="4223"/>
      <c r="BA80" s="4269"/>
      <c r="BB80" s="4565">
        <f t="shared" si="17"/>
        <v>0</v>
      </c>
      <c r="BC80" s="1854"/>
      <c r="BD80" s="1854">
        <f t="shared" si="18"/>
        <v>7039.7</v>
      </c>
      <c r="BE80" s="4564"/>
      <c r="BF80" s="4564">
        <f t="shared" si="19"/>
        <v>13385.48</v>
      </c>
    </row>
    <row r="81" spans="2:58" s="1726" customFormat="1" ht="15.75" x14ac:dyDescent="0.25">
      <c r="B81" s="2694" t="s">
        <v>1135</v>
      </c>
      <c r="C81" s="3417" t="s">
        <v>1360</v>
      </c>
      <c r="D81" s="3899" t="s">
        <v>53</v>
      </c>
      <c r="E81" s="2701"/>
      <c r="F81" s="3872"/>
      <c r="G81" s="2699"/>
      <c r="H81" s="3872"/>
      <c r="I81" s="2700"/>
      <c r="J81" s="3874"/>
      <c r="K81" s="2701"/>
      <c r="L81" s="3872"/>
      <c r="M81" s="3895"/>
      <c r="N81" s="3895"/>
      <c r="O81" s="2702"/>
      <c r="P81" s="3872"/>
      <c r="Q81" s="3894"/>
      <c r="R81" s="3894"/>
      <c r="S81" s="2702"/>
      <c r="T81" s="3872"/>
      <c r="U81" s="3894"/>
      <c r="V81" s="3894"/>
      <c r="W81" s="2702"/>
      <c r="X81" s="3872"/>
      <c r="Y81" s="3895"/>
      <c r="Z81" s="3895"/>
      <c r="AA81" s="1854"/>
      <c r="AB81" s="1854"/>
      <c r="AC81" s="2702"/>
      <c r="AD81" s="3872"/>
      <c r="AE81" s="3894"/>
      <c r="AF81" s="3894"/>
      <c r="AG81" s="2702"/>
      <c r="AH81" s="3872"/>
      <c r="AI81" s="3894"/>
      <c r="AJ81" s="3894"/>
      <c r="AK81" s="2702"/>
      <c r="AL81" s="3872"/>
      <c r="AM81" s="3895"/>
      <c r="AN81" s="3895"/>
      <c r="AO81" s="3894"/>
      <c r="AP81" s="3894"/>
      <c r="AQ81" s="2702"/>
      <c r="AR81" s="3872">
        <v>127.1</v>
      </c>
      <c r="AS81" s="3894"/>
      <c r="AT81" s="3894">
        <f t="shared" si="20"/>
        <v>127.1</v>
      </c>
      <c r="AU81" s="2702"/>
      <c r="AV81" s="4060"/>
      <c r="AW81" s="4081"/>
      <c r="AX81" s="4096">
        <f t="shared" si="16"/>
        <v>127.1</v>
      </c>
      <c r="AY81" s="2702"/>
      <c r="AZ81" s="4223">
        <f>4762.15-2.05</f>
        <v>4760.0999999999995</v>
      </c>
      <c r="BA81" s="4269"/>
      <c r="BB81" s="4565">
        <f t="shared" si="17"/>
        <v>4887.2</v>
      </c>
      <c r="BC81" s="1854"/>
      <c r="BD81" s="1854">
        <f t="shared" si="18"/>
        <v>4887.2</v>
      </c>
      <c r="BE81" s="4564"/>
      <c r="BF81" s="4564">
        <f t="shared" si="19"/>
        <v>4887.2</v>
      </c>
    </row>
    <row r="82" spans="2:58" ht="15" customHeight="1" x14ac:dyDescent="0.25">
      <c r="B82" s="2694" t="s">
        <v>1156</v>
      </c>
      <c r="C82" s="3417" t="s">
        <v>1527</v>
      </c>
      <c r="D82" s="111" t="s">
        <v>53</v>
      </c>
      <c r="E82" s="2701"/>
      <c r="F82" s="238"/>
      <c r="G82" s="2699"/>
      <c r="H82" s="238"/>
      <c r="I82" s="2700"/>
      <c r="J82" s="2339">
        <f t="shared" si="1"/>
        <v>0</v>
      </c>
      <c r="K82" s="2701"/>
      <c r="L82" s="238">
        <v>2353.3999999999996</v>
      </c>
      <c r="M82" s="1568"/>
      <c r="N82" s="1568">
        <f t="shared" si="2"/>
        <v>2353.3999999999996</v>
      </c>
      <c r="O82" s="2702"/>
      <c r="P82" s="238">
        <v>12.299999999999999</v>
      </c>
      <c r="Q82" s="1586"/>
      <c r="R82" s="1586">
        <f t="shared" si="3"/>
        <v>2365.6999999999998</v>
      </c>
      <c r="S82" s="2702"/>
      <c r="T82" s="238">
        <v>0</v>
      </c>
      <c r="U82" s="1586"/>
      <c r="V82" s="1586">
        <f t="shared" si="4"/>
        <v>2365.6999999999998</v>
      </c>
      <c r="W82" s="2702"/>
      <c r="X82" s="238">
        <v>0</v>
      </c>
      <c r="Y82" s="1568"/>
      <c r="Z82" s="1568">
        <f t="shared" si="5"/>
        <v>12.299999999999999</v>
      </c>
      <c r="AA82" s="1854"/>
      <c r="AB82" s="1854">
        <f t="shared" si="0"/>
        <v>2365.6999999999998</v>
      </c>
      <c r="AC82" s="2702"/>
      <c r="AD82" s="238">
        <v>0</v>
      </c>
      <c r="AE82" s="3152"/>
      <c r="AF82" s="3152">
        <f t="shared" si="6"/>
        <v>2365.6999999999998</v>
      </c>
      <c r="AG82" s="2702"/>
      <c r="AH82" s="238">
        <v>0</v>
      </c>
      <c r="AI82" s="3251"/>
      <c r="AJ82" s="3251">
        <f t="shared" si="7"/>
        <v>2365.6999999999998</v>
      </c>
      <c r="AK82" s="2702"/>
      <c r="AL82" s="3640">
        <v>0</v>
      </c>
      <c r="AM82" s="3613"/>
      <c r="AN82" s="3613">
        <f t="shared" si="8"/>
        <v>0</v>
      </c>
      <c r="AO82" s="3612"/>
      <c r="AP82" s="3612">
        <f t="shared" si="9"/>
        <v>2365.6999999999998</v>
      </c>
      <c r="AQ82" s="2702"/>
      <c r="AR82" s="3872">
        <f>1469.85-38.95</f>
        <v>1430.8999999999999</v>
      </c>
      <c r="AS82" s="3894"/>
      <c r="AT82" s="3894">
        <f t="shared" si="20"/>
        <v>3796.5999999999995</v>
      </c>
      <c r="AU82" s="2702"/>
      <c r="AV82" s="4060"/>
      <c r="AW82" s="4081"/>
      <c r="AX82" s="4096">
        <f t="shared" si="16"/>
        <v>3796.5999999999995</v>
      </c>
      <c r="AY82" s="2702"/>
      <c r="AZ82" s="4223"/>
      <c r="BA82" s="4269"/>
      <c r="BB82" s="4565">
        <f t="shared" si="17"/>
        <v>1430.8999999999999</v>
      </c>
      <c r="BC82" s="1854"/>
      <c r="BD82" s="1854">
        <f t="shared" si="18"/>
        <v>1430.8999999999999</v>
      </c>
      <c r="BE82" s="4564"/>
      <c r="BF82" s="4564">
        <f t="shared" si="19"/>
        <v>3796.5999999999995</v>
      </c>
    </row>
    <row r="83" spans="2:58" s="570" customFormat="1" ht="15.75" x14ac:dyDescent="0.25">
      <c r="B83" s="2694" t="s">
        <v>1156</v>
      </c>
      <c r="C83" s="3417" t="s">
        <v>1528</v>
      </c>
      <c r="D83" s="111" t="s">
        <v>53</v>
      </c>
      <c r="E83" s="2701"/>
      <c r="F83" s="238"/>
      <c r="G83" s="2699"/>
      <c r="H83" s="238"/>
      <c r="I83" s="2700"/>
      <c r="J83" s="2339">
        <f t="shared" si="1"/>
        <v>0</v>
      </c>
      <c r="K83" s="2701"/>
      <c r="L83" s="238">
        <f>906.1-14.35</f>
        <v>891.75</v>
      </c>
      <c r="M83" s="1568"/>
      <c r="N83" s="1568">
        <f t="shared" si="2"/>
        <v>891.75</v>
      </c>
      <c r="O83" s="2702"/>
      <c r="P83" s="238"/>
      <c r="Q83" s="1586"/>
      <c r="R83" s="1586">
        <f t="shared" si="3"/>
        <v>891.75</v>
      </c>
      <c r="S83" s="2702"/>
      <c r="T83" s="238">
        <v>0</v>
      </c>
      <c r="U83" s="1586"/>
      <c r="V83" s="1586">
        <f t="shared" si="4"/>
        <v>891.75</v>
      </c>
      <c r="W83" s="2702"/>
      <c r="X83" s="238">
        <v>0</v>
      </c>
      <c r="Y83" s="1568"/>
      <c r="Z83" s="1568">
        <f t="shared" si="5"/>
        <v>0</v>
      </c>
      <c r="AA83" s="1854"/>
      <c r="AB83" s="1854">
        <f t="shared" si="0"/>
        <v>891.75</v>
      </c>
      <c r="AC83" s="2702"/>
      <c r="AD83" s="238">
        <v>0</v>
      </c>
      <c r="AE83" s="3152"/>
      <c r="AF83" s="3152">
        <f t="shared" si="6"/>
        <v>891.75</v>
      </c>
      <c r="AG83" s="2702"/>
      <c r="AH83" s="238">
        <v>0</v>
      </c>
      <c r="AI83" s="3251"/>
      <c r="AJ83" s="3251">
        <f t="shared" si="7"/>
        <v>891.75</v>
      </c>
      <c r="AK83" s="2702"/>
      <c r="AL83" s="3640">
        <v>0</v>
      </c>
      <c r="AM83" s="3613"/>
      <c r="AN83" s="3613">
        <f t="shared" si="8"/>
        <v>0</v>
      </c>
      <c r="AO83" s="3612"/>
      <c r="AP83" s="3612">
        <f t="shared" si="9"/>
        <v>891.75</v>
      </c>
      <c r="AQ83" s="2702"/>
      <c r="AR83" s="3872">
        <v>399.75</v>
      </c>
      <c r="AS83" s="3894"/>
      <c r="AT83" s="3894">
        <f t="shared" si="20"/>
        <v>1291.5</v>
      </c>
      <c r="AU83" s="2702"/>
      <c r="AV83" s="4060"/>
      <c r="AW83" s="4081"/>
      <c r="AX83" s="4096">
        <f t="shared" si="16"/>
        <v>1291.5</v>
      </c>
      <c r="AY83" s="2702"/>
      <c r="AZ83" s="4223"/>
      <c r="BA83" s="4269"/>
      <c r="BB83" s="4565">
        <f t="shared" si="17"/>
        <v>399.75</v>
      </c>
      <c r="BC83" s="1854"/>
      <c r="BD83" s="1854">
        <f t="shared" si="18"/>
        <v>399.75</v>
      </c>
      <c r="BE83" s="4564"/>
      <c r="BF83" s="4564">
        <f t="shared" si="19"/>
        <v>1291.5</v>
      </c>
    </row>
    <row r="84" spans="2:58" s="1726" customFormat="1" ht="15.75" x14ac:dyDescent="0.25">
      <c r="B84" s="2694" t="s">
        <v>1134</v>
      </c>
      <c r="C84" s="3417" t="s">
        <v>1528</v>
      </c>
      <c r="D84" s="111" t="s">
        <v>53</v>
      </c>
      <c r="E84" s="2701"/>
      <c r="F84" s="238"/>
      <c r="G84" s="2699"/>
      <c r="H84" s="238"/>
      <c r="I84" s="2700"/>
      <c r="J84" s="3187"/>
      <c r="K84" s="2701"/>
      <c r="L84" s="238"/>
      <c r="M84" s="3191"/>
      <c r="N84" s="3191"/>
      <c r="O84" s="2702"/>
      <c r="P84" s="238"/>
      <c r="Q84" s="3190"/>
      <c r="R84" s="3190"/>
      <c r="S84" s="2702"/>
      <c r="T84" s="238"/>
      <c r="U84" s="3190"/>
      <c r="V84" s="3190"/>
      <c r="W84" s="2702"/>
      <c r="X84" s="238"/>
      <c r="Y84" s="3191"/>
      <c r="Z84" s="3191"/>
      <c r="AA84" s="1854"/>
      <c r="AB84" s="1854">
        <f t="shared" si="0"/>
        <v>0</v>
      </c>
      <c r="AC84" s="2702"/>
      <c r="AD84" s="238">
        <f>742.1-20.5</f>
        <v>721.6</v>
      </c>
      <c r="AE84" s="3190"/>
      <c r="AF84" s="3190">
        <f t="shared" si="6"/>
        <v>721.6</v>
      </c>
      <c r="AG84" s="2702"/>
      <c r="AH84" s="238">
        <v>0</v>
      </c>
      <c r="AI84" s="3251"/>
      <c r="AJ84" s="3251">
        <f t="shared" si="7"/>
        <v>721.6</v>
      </c>
      <c r="AK84" s="2702"/>
      <c r="AL84" s="3640">
        <v>0</v>
      </c>
      <c r="AM84" s="3613"/>
      <c r="AN84" s="3613">
        <f t="shared" si="8"/>
        <v>721.6</v>
      </c>
      <c r="AO84" s="3612"/>
      <c r="AP84" s="3612">
        <f t="shared" si="9"/>
        <v>721.6</v>
      </c>
      <c r="AQ84" s="2702"/>
      <c r="AR84" s="3872"/>
      <c r="AS84" s="3894"/>
      <c r="AT84" s="3894">
        <f t="shared" si="20"/>
        <v>721.6</v>
      </c>
      <c r="AU84" s="2702"/>
      <c r="AV84" s="4060"/>
      <c r="AW84" s="4081"/>
      <c r="AX84" s="4096">
        <f t="shared" si="16"/>
        <v>721.6</v>
      </c>
      <c r="AY84" s="2702"/>
      <c r="AZ84" s="4223"/>
      <c r="BA84" s="4269"/>
      <c r="BB84" s="4565">
        <f t="shared" si="17"/>
        <v>0</v>
      </c>
      <c r="BC84" s="1854"/>
      <c r="BD84" s="1854">
        <f t="shared" si="18"/>
        <v>721.6</v>
      </c>
      <c r="BE84" s="4564"/>
      <c r="BF84" s="4564">
        <f t="shared" si="19"/>
        <v>721.6</v>
      </c>
    </row>
    <row r="85" spans="2:58" s="1726" customFormat="1" ht="15.75" x14ac:dyDescent="0.25">
      <c r="B85" s="2694" t="s">
        <v>1134</v>
      </c>
      <c r="C85" s="3417" t="s">
        <v>1527</v>
      </c>
      <c r="D85" s="111" t="s">
        <v>53</v>
      </c>
      <c r="E85" s="2701"/>
      <c r="F85" s="238"/>
      <c r="G85" s="2699"/>
      <c r="H85" s="238"/>
      <c r="I85" s="2700"/>
      <c r="J85" s="3187"/>
      <c r="K85" s="2701"/>
      <c r="L85" s="238"/>
      <c r="M85" s="3191"/>
      <c r="N85" s="3191"/>
      <c r="O85" s="2702"/>
      <c r="P85" s="238"/>
      <c r="Q85" s="3190"/>
      <c r="R85" s="3190"/>
      <c r="S85" s="2702"/>
      <c r="T85" s="238"/>
      <c r="U85" s="3190"/>
      <c r="V85" s="3190"/>
      <c r="W85" s="2702"/>
      <c r="X85" s="238"/>
      <c r="Y85" s="3191"/>
      <c r="Z85" s="3191"/>
      <c r="AA85" s="1854"/>
      <c r="AB85" s="1854">
        <f t="shared" si="0"/>
        <v>0</v>
      </c>
      <c r="AC85" s="2702"/>
      <c r="AD85" s="238">
        <f>1498.55-43.05</f>
        <v>1455.5</v>
      </c>
      <c r="AE85" s="3190"/>
      <c r="AF85" s="3190">
        <f t="shared" si="6"/>
        <v>1455.5</v>
      </c>
      <c r="AG85" s="2702"/>
      <c r="AH85" s="238">
        <v>0</v>
      </c>
      <c r="AI85" s="3251"/>
      <c r="AJ85" s="3251">
        <f t="shared" si="7"/>
        <v>1455.5</v>
      </c>
      <c r="AK85" s="2702"/>
      <c r="AL85" s="3640">
        <v>0</v>
      </c>
      <c r="AM85" s="3613"/>
      <c r="AN85" s="3613">
        <f t="shared" si="8"/>
        <v>1455.5</v>
      </c>
      <c r="AO85" s="3612"/>
      <c r="AP85" s="3612">
        <f t="shared" si="9"/>
        <v>1455.5</v>
      </c>
      <c r="AQ85" s="2702"/>
      <c r="AR85" s="3872"/>
      <c r="AS85" s="3894"/>
      <c r="AT85" s="3894">
        <f t="shared" si="20"/>
        <v>1455.5</v>
      </c>
      <c r="AU85" s="2702"/>
      <c r="AV85" s="4060"/>
      <c r="AW85" s="4081"/>
      <c r="AX85" s="4096">
        <f t="shared" si="16"/>
        <v>1455.5</v>
      </c>
      <c r="AY85" s="2702"/>
      <c r="AZ85" s="4223"/>
      <c r="BA85" s="4269"/>
      <c r="BB85" s="4565">
        <f t="shared" si="17"/>
        <v>0</v>
      </c>
      <c r="BC85" s="1854"/>
      <c r="BD85" s="1854">
        <f t="shared" si="18"/>
        <v>1455.5</v>
      </c>
      <c r="BE85" s="4564"/>
      <c r="BF85" s="4564">
        <f t="shared" si="19"/>
        <v>1455.5</v>
      </c>
    </row>
    <row r="86" spans="2:58" s="1726" customFormat="1" ht="15.75" x14ac:dyDescent="0.25">
      <c r="B86" s="2694" t="s">
        <v>1143</v>
      </c>
      <c r="C86" s="2695" t="s">
        <v>1780</v>
      </c>
      <c r="D86" s="3899" t="s">
        <v>53</v>
      </c>
      <c r="E86" s="2701"/>
      <c r="F86" s="3872"/>
      <c r="G86" s="2699"/>
      <c r="H86" s="3872"/>
      <c r="I86" s="2700"/>
      <c r="J86" s="3874"/>
      <c r="K86" s="2701"/>
      <c r="L86" s="3872"/>
      <c r="M86" s="3895"/>
      <c r="N86" s="3895"/>
      <c r="O86" s="2702"/>
      <c r="P86" s="3872"/>
      <c r="Q86" s="3894"/>
      <c r="R86" s="3894"/>
      <c r="S86" s="2702"/>
      <c r="T86" s="3872"/>
      <c r="U86" s="3894"/>
      <c r="V86" s="3894"/>
      <c r="W86" s="2702"/>
      <c r="X86" s="3872"/>
      <c r="Y86" s="3895"/>
      <c r="Z86" s="3895"/>
      <c r="AA86" s="1854"/>
      <c r="AB86" s="1854"/>
      <c r="AC86" s="2702"/>
      <c r="AD86" s="3872"/>
      <c r="AE86" s="3894"/>
      <c r="AF86" s="3894"/>
      <c r="AG86" s="2702"/>
      <c r="AH86" s="3872"/>
      <c r="AI86" s="3894"/>
      <c r="AJ86" s="3894"/>
      <c r="AK86" s="2702"/>
      <c r="AL86" s="3872"/>
      <c r="AM86" s="3895"/>
      <c r="AN86" s="3895"/>
      <c r="AO86" s="3894"/>
      <c r="AP86" s="3894"/>
      <c r="AQ86" s="2702"/>
      <c r="AR86" s="3872">
        <v>1022.95</v>
      </c>
      <c r="AS86" s="3894"/>
      <c r="AT86" s="3894">
        <f t="shared" si="20"/>
        <v>1022.95</v>
      </c>
      <c r="AU86" s="2702"/>
      <c r="AV86" s="4060"/>
      <c r="AW86" s="4081"/>
      <c r="AX86" s="4096">
        <f t="shared" si="16"/>
        <v>1022.95</v>
      </c>
      <c r="AY86" s="2702"/>
      <c r="AZ86" s="4223"/>
      <c r="BA86" s="4269"/>
      <c r="BB86" s="4565">
        <f t="shared" si="17"/>
        <v>1022.95</v>
      </c>
      <c r="BC86" s="1854"/>
      <c r="BD86" s="1854">
        <f t="shared" si="18"/>
        <v>1022.95</v>
      </c>
      <c r="BE86" s="4564"/>
      <c r="BF86" s="4564">
        <f t="shared" si="19"/>
        <v>1022.95</v>
      </c>
    </row>
    <row r="87" spans="2:58" ht="15.75" x14ac:dyDescent="0.25">
      <c r="B87" s="2694" t="s">
        <v>1143</v>
      </c>
      <c r="C87" s="2695" t="s">
        <v>1148</v>
      </c>
      <c r="D87" s="111" t="s">
        <v>53</v>
      </c>
      <c r="E87" s="2701"/>
      <c r="F87" s="238"/>
      <c r="G87" s="2699"/>
      <c r="H87" s="475">
        <v>3030.0800000000004</v>
      </c>
      <c r="I87" s="2700"/>
      <c r="J87" s="2339">
        <f t="shared" si="1"/>
        <v>3030.0800000000004</v>
      </c>
      <c r="K87" s="2701"/>
      <c r="L87" s="238">
        <v>0</v>
      </c>
      <c r="M87" s="1568"/>
      <c r="N87" s="1568">
        <f t="shared" si="2"/>
        <v>3030.0800000000004</v>
      </c>
      <c r="O87" s="2702"/>
      <c r="P87" s="238"/>
      <c r="Q87" s="1586"/>
      <c r="R87" s="1586">
        <f t="shared" si="3"/>
        <v>3030.0800000000004</v>
      </c>
      <c r="S87" s="2702"/>
      <c r="T87" s="238">
        <v>0</v>
      </c>
      <c r="U87" s="1586"/>
      <c r="V87" s="1586">
        <f t="shared" si="4"/>
        <v>3030.0800000000004</v>
      </c>
      <c r="W87" s="2702"/>
      <c r="X87" s="238">
        <v>0</v>
      </c>
      <c r="Y87" s="1568"/>
      <c r="Z87" s="1568">
        <f t="shared" si="5"/>
        <v>0</v>
      </c>
      <c r="AA87" s="1854"/>
      <c r="AB87" s="1854">
        <f t="shared" si="0"/>
        <v>3030.0800000000004</v>
      </c>
      <c r="AC87" s="2702"/>
      <c r="AD87" s="238">
        <v>0</v>
      </c>
      <c r="AE87" s="3152"/>
      <c r="AF87" s="3152">
        <f t="shared" si="6"/>
        <v>3030.0800000000004</v>
      </c>
      <c r="AG87" s="2702"/>
      <c r="AH87" s="238">
        <v>0</v>
      </c>
      <c r="AI87" s="3251"/>
      <c r="AJ87" s="3251">
        <f t="shared" si="7"/>
        <v>3030.0800000000004</v>
      </c>
      <c r="AK87" s="2702"/>
      <c r="AL87" s="238">
        <v>5938.85</v>
      </c>
      <c r="AM87" s="3613"/>
      <c r="AN87" s="3613">
        <f t="shared" si="8"/>
        <v>5938.85</v>
      </c>
      <c r="AO87" s="3612"/>
      <c r="AP87" s="3612">
        <f t="shared" si="9"/>
        <v>8968.93</v>
      </c>
      <c r="AQ87" s="2702"/>
      <c r="AR87" s="3872">
        <v>4633</v>
      </c>
      <c r="AS87" s="3894"/>
      <c r="AT87" s="3894">
        <f t="shared" si="20"/>
        <v>13601.93</v>
      </c>
      <c r="AU87" s="2702"/>
      <c r="AV87" s="4060"/>
      <c r="AW87" s="4081"/>
      <c r="AX87" s="4096">
        <f t="shared" si="16"/>
        <v>13601.93</v>
      </c>
      <c r="AY87" s="2702"/>
      <c r="AZ87" s="4223"/>
      <c r="BA87" s="4269"/>
      <c r="BB87" s="4565">
        <f t="shared" si="17"/>
        <v>4633</v>
      </c>
      <c r="BC87" s="1854"/>
      <c r="BD87" s="1854">
        <f t="shared" si="18"/>
        <v>10571.85</v>
      </c>
      <c r="BE87" s="4564"/>
      <c r="BF87" s="4564">
        <f t="shared" si="19"/>
        <v>13601.93</v>
      </c>
    </row>
    <row r="88" spans="2:58" s="334" customFormat="1" ht="15.75" x14ac:dyDescent="0.25">
      <c r="B88" s="2703" t="s">
        <v>1569</v>
      </c>
      <c r="C88" s="2704"/>
      <c r="D88" s="2705"/>
      <c r="E88" s="2706"/>
      <c r="F88" s="475"/>
      <c r="G88" s="2706"/>
      <c r="H88" s="475"/>
      <c r="I88" s="2706"/>
      <c r="J88" s="475"/>
      <c r="K88" s="2706"/>
      <c r="L88" s="475"/>
      <c r="M88" s="1614"/>
      <c r="N88" s="1614"/>
      <c r="O88" s="2707"/>
      <c r="P88" s="475"/>
      <c r="Q88" s="1614"/>
      <c r="R88" s="1614"/>
      <c r="S88" s="2707"/>
      <c r="T88" s="475"/>
      <c r="U88" s="1614"/>
      <c r="V88" s="1614"/>
      <c r="W88" s="2707"/>
      <c r="X88" s="475"/>
      <c r="Y88" s="1614"/>
      <c r="Z88" s="1614"/>
      <c r="AA88" s="1614"/>
      <c r="AB88" s="1614"/>
      <c r="AC88" s="2707"/>
      <c r="AD88" s="3189"/>
      <c r="AE88" s="1614"/>
      <c r="AF88" s="1614"/>
      <c r="AG88" s="2707"/>
      <c r="AH88" s="3252"/>
      <c r="AI88" s="1614"/>
      <c r="AJ88" s="1614"/>
      <c r="AK88" s="2707"/>
      <c r="AL88" s="3437"/>
      <c r="AM88" s="1614"/>
      <c r="AN88" s="1614"/>
      <c r="AO88" s="1614"/>
      <c r="AP88" s="1614"/>
      <c r="AQ88" s="2707"/>
      <c r="AR88" s="3873"/>
      <c r="AS88" s="1614"/>
      <c r="AT88" s="1614"/>
      <c r="AU88" s="2707"/>
      <c r="AV88" s="4061"/>
      <c r="AW88" s="1614"/>
      <c r="AX88" s="1614"/>
      <c r="AY88" s="2707"/>
      <c r="AZ88" s="4224"/>
      <c r="BA88" s="1614"/>
      <c r="BB88" s="1614"/>
      <c r="BC88" s="1614"/>
      <c r="BD88" s="1614"/>
      <c r="BE88" s="1614"/>
      <c r="BF88" s="1614"/>
    </row>
    <row r="89" spans="2:58" s="1726" customFormat="1" ht="15.75" x14ac:dyDescent="0.25">
      <c r="B89" s="2708" t="s">
        <v>1526</v>
      </c>
      <c r="C89" s="2709" t="s">
        <v>1570</v>
      </c>
      <c r="D89" s="2710" t="s">
        <v>53</v>
      </c>
      <c r="E89" s="2701"/>
      <c r="F89" s="238">
        <v>10.119999999999999</v>
      </c>
      <c r="G89" s="2699"/>
      <c r="H89" s="475"/>
      <c r="I89" s="2700"/>
      <c r="J89" s="2339">
        <f t="shared" si="1"/>
        <v>10.119999999999999</v>
      </c>
      <c r="K89" s="2701"/>
      <c r="L89" s="238">
        <v>6.15</v>
      </c>
      <c r="M89" s="1568"/>
      <c r="N89" s="1568">
        <f t="shared" si="2"/>
        <v>16.27</v>
      </c>
      <c r="O89" s="2702"/>
      <c r="P89" s="238">
        <v>2.0499999999999998</v>
      </c>
      <c r="Q89" s="1586"/>
      <c r="R89" s="1586">
        <f t="shared" si="3"/>
        <v>18.32</v>
      </c>
      <c r="S89" s="2702"/>
      <c r="T89" s="238">
        <v>34.85</v>
      </c>
      <c r="U89" s="1586"/>
      <c r="V89" s="1586">
        <f t="shared" si="4"/>
        <v>53.17</v>
      </c>
      <c r="W89" s="2702"/>
      <c r="X89" s="238"/>
      <c r="Y89" s="1568"/>
      <c r="Z89" s="1568">
        <f t="shared" si="5"/>
        <v>36.9</v>
      </c>
      <c r="AA89" s="1854"/>
      <c r="AB89" s="1854">
        <f t="shared" si="0"/>
        <v>53.17</v>
      </c>
      <c r="AC89" s="2702"/>
      <c r="AD89" s="230">
        <v>12.3</v>
      </c>
      <c r="AE89" s="3152"/>
      <c r="AF89" s="3152">
        <f t="shared" ref="AF89:AF100" si="21">+AB89+AD89</f>
        <v>65.47</v>
      </c>
      <c r="AG89" s="2702"/>
      <c r="AH89" s="230">
        <v>14.35</v>
      </c>
      <c r="AI89" s="3251"/>
      <c r="AJ89" s="3251">
        <f t="shared" ref="AJ89:AJ100" si="22">+AF89+AH89</f>
        <v>79.819999999999993</v>
      </c>
      <c r="AK89" s="2702"/>
      <c r="AL89" s="230">
        <v>12.144</v>
      </c>
      <c r="AM89" s="3613"/>
      <c r="AN89" s="3613">
        <f t="shared" si="8"/>
        <v>38.793999999999997</v>
      </c>
      <c r="AO89" s="3612"/>
      <c r="AP89" s="3612">
        <f t="shared" ref="AP89:AP92" si="23">+AJ89+AL89</f>
        <v>91.963999999999999</v>
      </c>
      <c r="AQ89" s="2702"/>
      <c r="AR89" s="230">
        <v>38.950000000000003</v>
      </c>
      <c r="AS89" s="3894"/>
      <c r="AT89" s="3894">
        <f t="shared" ref="AT89:AT100" si="24">+AP89+AR89</f>
        <v>130.91399999999999</v>
      </c>
      <c r="AU89" s="2702"/>
      <c r="AV89" s="230"/>
      <c r="AW89" s="4081"/>
      <c r="AX89" s="4081">
        <f t="shared" ref="AX89:AX100" si="25">+AT89+AV89</f>
        <v>130.91399999999999</v>
      </c>
      <c r="AY89" s="2702"/>
      <c r="AZ89" s="230"/>
      <c r="BA89" s="4269"/>
      <c r="BB89" s="4565">
        <f t="shared" ref="BB89:BB100" si="26">AR89+AV89+AZ89</f>
        <v>38.950000000000003</v>
      </c>
      <c r="BC89" s="1854"/>
      <c r="BD89" s="1854">
        <f t="shared" ref="BD89:BD100" si="27">AN89+BB89</f>
        <v>77.744</v>
      </c>
      <c r="BE89" s="4564"/>
      <c r="BF89" s="4564">
        <f t="shared" ref="BF89:BF100" si="28">+AX89+AZ89</f>
        <v>130.91399999999999</v>
      </c>
    </row>
    <row r="90" spans="2:58" s="1726" customFormat="1" ht="15.75" x14ac:dyDescent="0.25">
      <c r="B90" s="2708" t="s">
        <v>1525</v>
      </c>
      <c r="C90" s="2709" t="s">
        <v>1570</v>
      </c>
      <c r="D90" s="2710" t="s">
        <v>53</v>
      </c>
      <c r="E90" s="2701"/>
      <c r="F90" s="238">
        <v>198.352</v>
      </c>
      <c r="G90" s="2699"/>
      <c r="H90" s="475">
        <v>32.774000000000001</v>
      </c>
      <c r="I90" s="2700"/>
      <c r="J90" s="2339">
        <f t="shared" si="1"/>
        <v>231.126</v>
      </c>
      <c r="K90" s="2701"/>
      <c r="L90" s="238">
        <v>69.7</v>
      </c>
      <c r="M90" s="1568"/>
      <c r="N90" s="1568">
        <f t="shared" si="2"/>
        <v>300.82600000000002</v>
      </c>
      <c r="O90" s="2702"/>
      <c r="P90" s="238">
        <v>47.045999999999999</v>
      </c>
      <c r="Q90" s="1586"/>
      <c r="R90" s="1586">
        <f t="shared" si="3"/>
        <v>347.87200000000001</v>
      </c>
      <c r="S90" s="2702"/>
      <c r="T90" s="238">
        <v>16.399999999999999</v>
      </c>
      <c r="U90" s="1586"/>
      <c r="V90" s="1586">
        <f t="shared" si="4"/>
        <v>364.27199999999999</v>
      </c>
      <c r="W90" s="2702"/>
      <c r="X90" s="238">
        <v>34.85</v>
      </c>
      <c r="Y90" s="1568"/>
      <c r="Z90" s="1568">
        <f t="shared" si="5"/>
        <v>98.295999999999992</v>
      </c>
      <c r="AA90" s="1854"/>
      <c r="AB90" s="1854">
        <f t="shared" si="0"/>
        <v>399.12200000000001</v>
      </c>
      <c r="AC90" s="2702"/>
      <c r="AD90" s="230">
        <v>2.0499999999999998</v>
      </c>
      <c r="AE90" s="3152"/>
      <c r="AF90" s="3152">
        <f t="shared" si="21"/>
        <v>401.17200000000003</v>
      </c>
      <c r="AG90" s="2702"/>
      <c r="AH90" s="230">
        <v>16.218</v>
      </c>
      <c r="AI90" s="3251"/>
      <c r="AJ90" s="3251">
        <f t="shared" si="22"/>
        <v>417.39000000000004</v>
      </c>
      <c r="AK90" s="2702"/>
      <c r="AL90" s="230">
        <v>77.8</v>
      </c>
      <c r="AM90" s="3613"/>
      <c r="AN90" s="3613">
        <f t="shared" si="8"/>
        <v>96.067999999999998</v>
      </c>
      <c r="AO90" s="3612"/>
      <c r="AP90" s="3612">
        <f t="shared" si="23"/>
        <v>495.19000000000005</v>
      </c>
      <c r="AQ90" s="2702"/>
      <c r="AR90" s="230">
        <v>6.15</v>
      </c>
      <c r="AS90" s="3894"/>
      <c r="AT90" s="3894">
        <f t="shared" si="24"/>
        <v>501.34000000000003</v>
      </c>
      <c r="AU90" s="2702"/>
      <c r="AV90" s="230">
        <v>34.85</v>
      </c>
      <c r="AW90" s="4081"/>
      <c r="AX90" s="4081">
        <f t="shared" si="25"/>
        <v>536.19000000000005</v>
      </c>
      <c r="AY90" s="2702"/>
      <c r="AZ90" s="230">
        <f>22.55+18.45+2.05</f>
        <v>43.05</v>
      </c>
      <c r="BA90" s="4269"/>
      <c r="BB90" s="4565">
        <f t="shared" si="26"/>
        <v>84.05</v>
      </c>
      <c r="BC90" s="1854"/>
      <c r="BD90" s="1854">
        <f t="shared" si="27"/>
        <v>180.11799999999999</v>
      </c>
      <c r="BE90" s="4564"/>
      <c r="BF90" s="4564">
        <f t="shared" si="28"/>
        <v>579.24</v>
      </c>
    </row>
    <row r="91" spans="2:58" s="1726" customFormat="1" ht="15.75" x14ac:dyDescent="0.25">
      <c r="B91" s="2708" t="s">
        <v>1524</v>
      </c>
      <c r="C91" s="2709" t="s">
        <v>1570</v>
      </c>
      <c r="D91" s="2710" t="s">
        <v>53</v>
      </c>
      <c r="E91" s="2701"/>
      <c r="F91" s="238">
        <v>0</v>
      </c>
      <c r="G91" s="2699"/>
      <c r="H91" s="475"/>
      <c r="I91" s="2700"/>
      <c r="J91" s="2339">
        <f t="shared" si="1"/>
        <v>0</v>
      </c>
      <c r="K91" s="2701"/>
      <c r="L91" s="238"/>
      <c r="M91" s="1568"/>
      <c r="N91" s="1568">
        <f t="shared" si="2"/>
        <v>0</v>
      </c>
      <c r="O91" s="2702"/>
      <c r="P91" s="238">
        <v>16.399999999999999</v>
      </c>
      <c r="Q91" s="1586"/>
      <c r="R91" s="1586">
        <f t="shared" si="3"/>
        <v>16.399999999999999</v>
      </c>
      <c r="S91" s="2702"/>
      <c r="T91" s="238">
        <v>0</v>
      </c>
      <c r="U91" s="1586"/>
      <c r="V91" s="1586">
        <f t="shared" si="4"/>
        <v>16.399999999999999</v>
      </c>
      <c r="W91" s="2702"/>
      <c r="X91" s="238"/>
      <c r="Y91" s="1568"/>
      <c r="Z91" s="1568">
        <f t="shared" si="5"/>
        <v>16.399999999999999</v>
      </c>
      <c r="AA91" s="1854"/>
      <c r="AB91" s="1854">
        <f t="shared" si="0"/>
        <v>16.399999999999999</v>
      </c>
      <c r="AC91" s="2702"/>
      <c r="AD91" s="230">
        <v>0</v>
      </c>
      <c r="AE91" s="3152"/>
      <c r="AF91" s="3152">
        <f t="shared" si="21"/>
        <v>16.399999999999999</v>
      </c>
      <c r="AG91" s="2702"/>
      <c r="AH91" s="230">
        <v>0</v>
      </c>
      <c r="AI91" s="3251"/>
      <c r="AJ91" s="3251">
        <f t="shared" si="22"/>
        <v>16.399999999999999</v>
      </c>
      <c r="AK91" s="2702"/>
      <c r="AL91" s="230">
        <v>0</v>
      </c>
      <c r="AM91" s="3613"/>
      <c r="AN91" s="3613">
        <f t="shared" si="8"/>
        <v>0</v>
      </c>
      <c r="AO91" s="3612"/>
      <c r="AP91" s="3612">
        <f t="shared" si="23"/>
        <v>16.399999999999999</v>
      </c>
      <c r="AQ91" s="2702"/>
      <c r="AR91" s="230"/>
      <c r="AS91" s="3894"/>
      <c r="AT91" s="3894">
        <f t="shared" si="24"/>
        <v>16.399999999999999</v>
      </c>
      <c r="AU91" s="2702"/>
      <c r="AV91" s="230"/>
      <c r="AW91" s="4081"/>
      <c r="AX91" s="4081">
        <f t="shared" si="25"/>
        <v>16.399999999999999</v>
      </c>
      <c r="AY91" s="2702"/>
      <c r="AZ91" s="230"/>
      <c r="BA91" s="4269"/>
      <c r="BB91" s="4565">
        <f t="shared" si="26"/>
        <v>0</v>
      </c>
      <c r="BC91" s="1854"/>
      <c r="BD91" s="1854">
        <f t="shared" si="27"/>
        <v>0</v>
      </c>
      <c r="BE91" s="4564"/>
      <c r="BF91" s="4564">
        <f t="shared" si="28"/>
        <v>16.399999999999999</v>
      </c>
    </row>
    <row r="92" spans="2:58" s="1726" customFormat="1" ht="15.75" x14ac:dyDescent="0.25">
      <c r="B92" s="2708" t="s">
        <v>1522</v>
      </c>
      <c r="C92" s="2709" t="s">
        <v>1570</v>
      </c>
      <c r="D92" s="2710" t="s">
        <v>53</v>
      </c>
      <c r="E92" s="2701"/>
      <c r="F92" s="238">
        <v>2.024</v>
      </c>
      <c r="G92" s="2699"/>
      <c r="H92" s="475"/>
      <c r="I92" s="2700"/>
      <c r="J92" s="2339">
        <f t="shared" si="1"/>
        <v>2.024</v>
      </c>
      <c r="K92" s="2701"/>
      <c r="L92" s="238">
        <v>2.0499999999999998</v>
      </c>
      <c r="M92" s="1568"/>
      <c r="N92" s="1568">
        <f t="shared" si="2"/>
        <v>4.0739999999999998</v>
      </c>
      <c r="O92" s="2702"/>
      <c r="P92" s="238">
        <v>14.35</v>
      </c>
      <c r="Q92" s="1586"/>
      <c r="R92" s="1586">
        <f t="shared" si="3"/>
        <v>18.423999999999999</v>
      </c>
      <c r="S92" s="2702"/>
      <c r="T92" s="238">
        <v>4.0999999999999996</v>
      </c>
      <c r="U92" s="1586"/>
      <c r="V92" s="1586">
        <f t="shared" si="4"/>
        <v>22.524000000000001</v>
      </c>
      <c r="W92" s="2702"/>
      <c r="X92" s="238">
        <v>73.8</v>
      </c>
      <c r="Y92" s="1568"/>
      <c r="Z92" s="1568">
        <f t="shared" si="5"/>
        <v>92.25</v>
      </c>
      <c r="AA92" s="1854"/>
      <c r="AB92" s="1854">
        <f t="shared" si="0"/>
        <v>96.323999999999998</v>
      </c>
      <c r="AC92" s="2702"/>
      <c r="AD92" s="230">
        <v>49.2</v>
      </c>
      <c r="AE92" s="3152"/>
      <c r="AF92" s="3152">
        <f t="shared" si="21"/>
        <v>145.524</v>
      </c>
      <c r="AG92" s="2702"/>
      <c r="AH92" s="230">
        <v>6.15</v>
      </c>
      <c r="AI92" s="3251"/>
      <c r="AJ92" s="3251">
        <f t="shared" si="22"/>
        <v>151.67400000000001</v>
      </c>
      <c r="AK92" s="2702"/>
      <c r="AL92" s="230">
        <v>4.0999999999999996</v>
      </c>
      <c r="AM92" s="3613"/>
      <c r="AN92" s="3613">
        <f t="shared" ref="AN92:AN100" si="29">AD92+AH92+AL92</f>
        <v>59.45</v>
      </c>
      <c r="AO92" s="3612"/>
      <c r="AP92" s="3612">
        <f t="shared" si="23"/>
        <v>155.774</v>
      </c>
      <c r="AQ92" s="2702"/>
      <c r="AR92" s="230">
        <v>41</v>
      </c>
      <c r="AS92" s="3894"/>
      <c r="AT92" s="3894">
        <f t="shared" si="24"/>
        <v>196.774</v>
      </c>
      <c r="AU92" s="2702"/>
      <c r="AV92" s="230">
        <v>26.65</v>
      </c>
      <c r="AW92" s="4081"/>
      <c r="AX92" s="4081">
        <f t="shared" si="25"/>
        <v>223.42400000000001</v>
      </c>
      <c r="AY92" s="2702"/>
      <c r="AZ92" s="230">
        <v>4.0999999999999996</v>
      </c>
      <c r="BA92" s="4269"/>
      <c r="BB92" s="4565">
        <f t="shared" si="26"/>
        <v>71.75</v>
      </c>
      <c r="BC92" s="1854"/>
      <c r="BD92" s="1854">
        <f t="shared" si="27"/>
        <v>131.19999999999999</v>
      </c>
      <c r="BE92" s="4564"/>
      <c r="BF92" s="4564">
        <f t="shared" si="28"/>
        <v>227.524</v>
      </c>
    </row>
    <row r="93" spans="2:58" s="4560" customFormat="1" ht="15.75" x14ac:dyDescent="0.25">
      <c r="B93" s="2708" t="s">
        <v>1522</v>
      </c>
      <c r="C93" s="2709" t="s">
        <v>1893</v>
      </c>
      <c r="D93" s="2710" t="s">
        <v>53</v>
      </c>
      <c r="E93" s="2701"/>
      <c r="F93" s="4555"/>
      <c r="G93" s="2699"/>
      <c r="H93" s="4556"/>
      <c r="I93" s="2700"/>
      <c r="J93" s="4557"/>
      <c r="K93" s="2701"/>
      <c r="L93" s="4555"/>
      <c r="M93" s="4565"/>
      <c r="N93" s="4565"/>
      <c r="O93" s="2702"/>
      <c r="P93" s="4555"/>
      <c r="Q93" s="4564"/>
      <c r="R93" s="4564"/>
      <c r="S93" s="2702"/>
      <c r="T93" s="4555"/>
      <c r="U93" s="4564"/>
      <c r="V93" s="4564"/>
      <c r="W93" s="2702"/>
      <c r="X93" s="4555"/>
      <c r="Y93" s="4565"/>
      <c r="Z93" s="4565"/>
      <c r="AA93" s="1854"/>
      <c r="AB93" s="1854"/>
      <c r="AC93" s="2702"/>
      <c r="AD93" s="230"/>
      <c r="AE93" s="4564"/>
      <c r="AF93" s="4564"/>
      <c r="AG93" s="2702"/>
      <c r="AH93" s="230"/>
      <c r="AI93" s="4564"/>
      <c r="AJ93" s="4564"/>
      <c r="AK93" s="2702"/>
      <c r="AL93" s="230"/>
      <c r="AM93" s="4565"/>
      <c r="AN93" s="4565"/>
      <c r="AO93" s="4564"/>
      <c r="AP93" s="4564"/>
      <c r="AQ93" s="2702"/>
      <c r="AR93" s="230"/>
      <c r="AS93" s="4564"/>
      <c r="AT93" s="4564"/>
      <c r="AU93" s="2702"/>
      <c r="AV93" s="230"/>
      <c r="AW93" s="4564"/>
      <c r="AX93" s="4564"/>
      <c r="AY93" s="2702"/>
      <c r="AZ93" s="230">
        <f>20.5+73.8+8.2</f>
        <v>102.5</v>
      </c>
      <c r="BA93" s="4565"/>
      <c r="BB93" s="4565">
        <f t="shared" ref="BB93" si="30">AR93+AV93+AZ93</f>
        <v>102.5</v>
      </c>
      <c r="BC93" s="1854"/>
      <c r="BD93" s="1854">
        <f t="shared" ref="BD93" si="31">AN93+BB93</f>
        <v>102.5</v>
      </c>
      <c r="BE93" s="4564"/>
      <c r="BF93" s="4564">
        <f t="shared" ref="BF93" si="32">+AX93+AZ93</f>
        <v>102.5</v>
      </c>
    </row>
    <row r="94" spans="2:58" s="1726" customFormat="1" ht="15.75" x14ac:dyDescent="0.25">
      <c r="B94" s="2708" t="s">
        <v>1523</v>
      </c>
      <c r="C94" s="2709" t="s">
        <v>1570</v>
      </c>
      <c r="D94" s="2710" t="s">
        <v>53</v>
      </c>
      <c r="E94" s="2701"/>
      <c r="F94" s="238">
        <v>0</v>
      </c>
      <c r="G94" s="2699"/>
      <c r="H94" s="475"/>
      <c r="I94" s="2700"/>
      <c r="J94" s="2339">
        <f t="shared" si="1"/>
        <v>0</v>
      </c>
      <c r="K94" s="2701"/>
      <c r="L94" s="238"/>
      <c r="M94" s="1568"/>
      <c r="N94" s="1568">
        <f t="shared" si="2"/>
        <v>0</v>
      </c>
      <c r="O94" s="2702"/>
      <c r="P94" s="238">
        <v>14.35</v>
      </c>
      <c r="Q94" s="1586"/>
      <c r="R94" s="1586">
        <f t="shared" si="3"/>
        <v>14.35</v>
      </c>
      <c r="S94" s="2702"/>
      <c r="T94" s="238">
        <v>0</v>
      </c>
      <c r="U94" s="1586"/>
      <c r="V94" s="1586">
        <f t="shared" si="4"/>
        <v>14.35</v>
      </c>
      <c r="W94" s="2702"/>
      <c r="X94" s="238"/>
      <c r="Y94" s="1568"/>
      <c r="Z94" s="1568">
        <f t="shared" si="5"/>
        <v>14.35</v>
      </c>
      <c r="AA94" s="1854"/>
      <c r="AB94" s="1854">
        <f t="shared" si="0"/>
        <v>14.35</v>
      </c>
      <c r="AC94" s="2702"/>
      <c r="AD94" s="230">
        <v>0</v>
      </c>
      <c r="AE94" s="3152"/>
      <c r="AF94" s="3152">
        <f t="shared" si="21"/>
        <v>14.35</v>
      </c>
      <c r="AG94" s="2702"/>
      <c r="AH94" s="230">
        <v>0</v>
      </c>
      <c r="AI94" s="3251"/>
      <c r="AJ94" s="3251">
        <f t="shared" si="22"/>
        <v>14.35</v>
      </c>
      <c r="AK94" s="2702"/>
      <c r="AL94" s="230">
        <v>0</v>
      </c>
      <c r="AM94" s="3613"/>
      <c r="AN94" s="3613">
        <f t="shared" si="29"/>
        <v>0</v>
      </c>
      <c r="AO94" s="3612"/>
      <c r="AP94" s="3612">
        <f t="shared" ref="AP94:AP100" si="33">+AJ94+AL94</f>
        <v>14.35</v>
      </c>
      <c r="AQ94" s="2702"/>
      <c r="AR94" s="230"/>
      <c r="AS94" s="3894"/>
      <c r="AT94" s="3894">
        <f t="shared" si="24"/>
        <v>14.35</v>
      </c>
      <c r="AU94" s="2702"/>
      <c r="AV94" s="230"/>
      <c r="AW94" s="4081"/>
      <c r="AX94" s="4081">
        <f t="shared" si="25"/>
        <v>14.35</v>
      </c>
      <c r="AY94" s="2702"/>
      <c r="AZ94" s="230"/>
      <c r="BA94" s="4269"/>
      <c r="BB94" s="4565">
        <f t="shared" si="26"/>
        <v>0</v>
      </c>
      <c r="BC94" s="1854"/>
      <c r="BD94" s="1854">
        <f t="shared" si="27"/>
        <v>0</v>
      </c>
      <c r="BE94" s="4564"/>
      <c r="BF94" s="4564">
        <f t="shared" si="28"/>
        <v>14.35</v>
      </c>
    </row>
    <row r="95" spans="2:58" s="1726" customFormat="1" ht="15.75" x14ac:dyDescent="0.25">
      <c r="B95" s="2708" t="s">
        <v>1843</v>
      </c>
      <c r="C95" s="2709" t="s">
        <v>1570</v>
      </c>
      <c r="D95" s="2710" t="s">
        <v>53</v>
      </c>
      <c r="E95" s="2701"/>
      <c r="F95" s="4091"/>
      <c r="G95" s="2699"/>
      <c r="H95" s="4092"/>
      <c r="I95" s="2700"/>
      <c r="J95" s="4094"/>
      <c r="K95" s="2701"/>
      <c r="L95" s="4091"/>
      <c r="M95" s="4097"/>
      <c r="N95" s="4097"/>
      <c r="O95" s="2702"/>
      <c r="P95" s="4091"/>
      <c r="Q95" s="4096"/>
      <c r="R95" s="4096"/>
      <c r="S95" s="2702"/>
      <c r="T95" s="4091"/>
      <c r="U95" s="4096"/>
      <c r="V95" s="4096"/>
      <c r="W95" s="2702"/>
      <c r="X95" s="4091"/>
      <c r="Y95" s="4097"/>
      <c r="Z95" s="4097"/>
      <c r="AA95" s="1854"/>
      <c r="AB95" s="1854"/>
      <c r="AC95" s="2702"/>
      <c r="AD95" s="230"/>
      <c r="AE95" s="4096"/>
      <c r="AF95" s="4096"/>
      <c r="AG95" s="2702"/>
      <c r="AH95" s="230"/>
      <c r="AI95" s="4096"/>
      <c r="AJ95" s="4096"/>
      <c r="AK95" s="2702"/>
      <c r="AL95" s="230"/>
      <c r="AM95" s="4097"/>
      <c r="AN95" s="4097"/>
      <c r="AO95" s="4096"/>
      <c r="AP95" s="4096"/>
      <c r="AQ95" s="2702"/>
      <c r="AR95" s="230"/>
      <c r="AS95" s="4096"/>
      <c r="AT95" s="4096"/>
      <c r="AU95" s="2702"/>
      <c r="AV95" s="230">
        <v>26.65</v>
      </c>
      <c r="AW95" s="4096"/>
      <c r="AX95" s="4096">
        <f t="shared" si="25"/>
        <v>26.65</v>
      </c>
      <c r="AY95" s="2702"/>
      <c r="AZ95" s="230"/>
      <c r="BA95" s="4269"/>
      <c r="BB95" s="4565">
        <f t="shared" si="26"/>
        <v>26.65</v>
      </c>
      <c r="BC95" s="1854"/>
      <c r="BD95" s="1854">
        <f t="shared" si="27"/>
        <v>26.65</v>
      </c>
      <c r="BE95" s="4564"/>
      <c r="BF95" s="4564">
        <f t="shared" si="28"/>
        <v>26.65</v>
      </c>
    </row>
    <row r="96" spans="2:58" s="1726" customFormat="1" ht="15.75" x14ac:dyDescent="0.25">
      <c r="B96" s="2708" t="s">
        <v>1521</v>
      </c>
      <c r="C96" s="2709" t="s">
        <v>1570</v>
      </c>
      <c r="D96" s="2710" t="s">
        <v>53</v>
      </c>
      <c r="E96" s="2701"/>
      <c r="F96" s="238">
        <v>0</v>
      </c>
      <c r="G96" s="2699"/>
      <c r="H96" s="475"/>
      <c r="I96" s="2700"/>
      <c r="J96" s="2339">
        <f t="shared" si="1"/>
        <v>0</v>
      </c>
      <c r="K96" s="2701"/>
      <c r="L96" s="238"/>
      <c r="M96" s="1568"/>
      <c r="N96" s="1568">
        <f t="shared" si="2"/>
        <v>0</v>
      </c>
      <c r="O96" s="2702"/>
      <c r="P96" s="238"/>
      <c r="Q96" s="1586"/>
      <c r="R96" s="1586">
        <f t="shared" si="3"/>
        <v>0</v>
      </c>
      <c r="S96" s="2702"/>
      <c r="T96" s="238">
        <v>6.15</v>
      </c>
      <c r="U96" s="1586"/>
      <c r="V96" s="1586">
        <f t="shared" si="4"/>
        <v>6.15</v>
      </c>
      <c r="W96" s="2702"/>
      <c r="X96" s="238"/>
      <c r="Y96" s="1568"/>
      <c r="Z96" s="1568">
        <f t="shared" si="5"/>
        <v>6.15</v>
      </c>
      <c r="AA96" s="1854"/>
      <c r="AB96" s="1854">
        <f t="shared" si="0"/>
        <v>6.15</v>
      </c>
      <c r="AC96" s="2702"/>
      <c r="AD96" s="230">
        <v>0</v>
      </c>
      <c r="AE96" s="3152"/>
      <c r="AF96" s="3152">
        <f t="shared" si="21"/>
        <v>6.15</v>
      </c>
      <c r="AG96" s="2702"/>
      <c r="AH96" s="230">
        <v>0</v>
      </c>
      <c r="AI96" s="3251"/>
      <c r="AJ96" s="3251">
        <f t="shared" si="22"/>
        <v>6.15</v>
      </c>
      <c r="AK96" s="2702"/>
      <c r="AL96" s="230">
        <v>0</v>
      </c>
      <c r="AM96" s="3613"/>
      <c r="AN96" s="3613">
        <f t="shared" si="29"/>
        <v>0</v>
      </c>
      <c r="AO96" s="3612"/>
      <c r="AP96" s="3612">
        <f t="shared" si="33"/>
        <v>6.15</v>
      </c>
      <c r="AQ96" s="2702"/>
      <c r="AR96" s="230"/>
      <c r="AS96" s="3894"/>
      <c r="AT96" s="3894">
        <f t="shared" si="24"/>
        <v>6.15</v>
      </c>
      <c r="AU96" s="2702"/>
      <c r="AV96" s="230"/>
      <c r="AW96" s="4081"/>
      <c r="AX96" s="4081">
        <f t="shared" si="25"/>
        <v>6.15</v>
      </c>
      <c r="AY96" s="2702"/>
      <c r="AZ96" s="230"/>
      <c r="BA96" s="4269"/>
      <c r="BB96" s="4565">
        <f t="shared" si="26"/>
        <v>0</v>
      </c>
      <c r="BC96" s="1854"/>
      <c r="BD96" s="1854">
        <f t="shared" si="27"/>
        <v>0</v>
      </c>
      <c r="BE96" s="4564"/>
      <c r="BF96" s="4564">
        <f t="shared" si="28"/>
        <v>6.15</v>
      </c>
    </row>
    <row r="97" spans="2:58" s="1726" customFormat="1" ht="15.75" x14ac:dyDescent="0.25">
      <c r="B97" s="2708" t="s">
        <v>1519</v>
      </c>
      <c r="C97" s="2709" t="s">
        <v>1570</v>
      </c>
      <c r="D97" s="2710" t="s">
        <v>53</v>
      </c>
      <c r="E97" s="2701"/>
      <c r="F97" s="238">
        <v>2.024</v>
      </c>
      <c r="G97" s="2699"/>
      <c r="H97" s="475">
        <v>74.965999999999994</v>
      </c>
      <c r="I97" s="2700"/>
      <c r="J97" s="2339">
        <f t="shared" si="1"/>
        <v>76.989999999999995</v>
      </c>
      <c r="K97" s="2701"/>
      <c r="L97" s="238">
        <v>0</v>
      </c>
      <c r="M97" s="1568"/>
      <c r="N97" s="1568">
        <f t="shared" si="2"/>
        <v>76.989999999999995</v>
      </c>
      <c r="O97" s="2702"/>
      <c r="P97" s="238"/>
      <c r="Q97" s="1586"/>
      <c r="R97" s="1586">
        <f t="shared" si="3"/>
        <v>76.989999999999995</v>
      </c>
      <c r="S97" s="2702"/>
      <c r="T97" s="238">
        <v>18.45</v>
      </c>
      <c r="U97" s="1586"/>
      <c r="V97" s="1586">
        <f t="shared" si="4"/>
        <v>95.44</v>
      </c>
      <c r="W97" s="2702"/>
      <c r="X97" s="238"/>
      <c r="Y97" s="1568"/>
      <c r="Z97" s="1568">
        <f t="shared" si="5"/>
        <v>18.45</v>
      </c>
      <c r="AA97" s="1854"/>
      <c r="AB97" s="1854">
        <f t="shared" si="0"/>
        <v>95.44</v>
      </c>
      <c r="AC97" s="2702"/>
      <c r="AD97" s="230">
        <v>0</v>
      </c>
      <c r="AE97" s="3152"/>
      <c r="AF97" s="3152">
        <f t="shared" si="21"/>
        <v>95.44</v>
      </c>
      <c r="AG97" s="2702"/>
      <c r="AH97" s="230">
        <v>0</v>
      </c>
      <c r="AI97" s="3251"/>
      <c r="AJ97" s="3251">
        <f t="shared" si="22"/>
        <v>95.44</v>
      </c>
      <c r="AK97" s="2702"/>
      <c r="AL97" s="230">
        <v>0</v>
      </c>
      <c r="AM97" s="3613"/>
      <c r="AN97" s="3613">
        <f t="shared" si="29"/>
        <v>0</v>
      </c>
      <c r="AO97" s="3612"/>
      <c r="AP97" s="3612">
        <f t="shared" si="33"/>
        <v>95.44</v>
      </c>
      <c r="AQ97" s="2702"/>
      <c r="AR97" s="230"/>
      <c r="AS97" s="3894"/>
      <c r="AT97" s="3894">
        <f t="shared" si="24"/>
        <v>95.44</v>
      </c>
      <c r="AU97" s="2702"/>
      <c r="AV97" s="230">
        <v>69.7</v>
      </c>
      <c r="AW97" s="4081"/>
      <c r="AX97" s="4081">
        <f t="shared" si="25"/>
        <v>165.14</v>
      </c>
      <c r="AY97" s="2702"/>
      <c r="AZ97" s="230">
        <v>2.0499999999999998</v>
      </c>
      <c r="BA97" s="4269"/>
      <c r="BB97" s="4565">
        <f t="shared" si="26"/>
        <v>71.75</v>
      </c>
      <c r="BC97" s="1854"/>
      <c r="BD97" s="1854">
        <f t="shared" si="27"/>
        <v>71.75</v>
      </c>
      <c r="BE97" s="4564"/>
      <c r="BF97" s="4564">
        <f t="shared" si="28"/>
        <v>167.19</v>
      </c>
    </row>
    <row r="98" spans="2:58" s="1726" customFormat="1" ht="15.75" x14ac:dyDescent="0.25">
      <c r="B98" s="2708" t="s">
        <v>1518</v>
      </c>
      <c r="C98" s="2709" t="s">
        <v>1570</v>
      </c>
      <c r="D98" s="2710" t="s">
        <v>53</v>
      </c>
      <c r="E98" s="2701"/>
      <c r="F98" s="238">
        <v>0</v>
      </c>
      <c r="G98" s="2699"/>
      <c r="H98" s="475"/>
      <c r="I98" s="2700"/>
      <c r="J98" s="2339">
        <f t="shared" si="1"/>
        <v>0</v>
      </c>
      <c r="K98" s="2701"/>
      <c r="L98" s="238">
        <v>44.07</v>
      </c>
      <c r="M98" s="1568"/>
      <c r="N98" s="1568">
        <f t="shared" si="2"/>
        <v>44.07</v>
      </c>
      <c r="O98" s="2702"/>
      <c r="P98" s="238"/>
      <c r="Q98" s="1586"/>
      <c r="R98" s="1586">
        <f t="shared" si="3"/>
        <v>44.07</v>
      </c>
      <c r="S98" s="2702"/>
      <c r="T98" s="238">
        <v>0</v>
      </c>
      <c r="U98" s="1586"/>
      <c r="V98" s="1586">
        <f t="shared" si="4"/>
        <v>44.07</v>
      </c>
      <c r="W98" s="2702"/>
      <c r="X98" s="238"/>
      <c r="Y98" s="1568"/>
      <c r="Z98" s="1568">
        <f t="shared" si="5"/>
        <v>0</v>
      </c>
      <c r="AA98" s="1854"/>
      <c r="AB98" s="1854">
        <f t="shared" si="0"/>
        <v>44.07</v>
      </c>
      <c r="AC98" s="2702"/>
      <c r="AD98" s="230">
        <v>4.0999999999999996</v>
      </c>
      <c r="AE98" s="3152"/>
      <c r="AF98" s="3152">
        <f t="shared" si="21"/>
        <v>48.17</v>
      </c>
      <c r="AG98" s="2702"/>
      <c r="AH98" s="230">
        <v>0</v>
      </c>
      <c r="AI98" s="3251"/>
      <c r="AJ98" s="3251">
        <f t="shared" si="22"/>
        <v>48.17</v>
      </c>
      <c r="AK98" s="2702"/>
      <c r="AL98" s="230">
        <v>0</v>
      </c>
      <c r="AM98" s="3613"/>
      <c r="AN98" s="3613">
        <f t="shared" si="29"/>
        <v>4.0999999999999996</v>
      </c>
      <c r="AO98" s="3612"/>
      <c r="AP98" s="3612">
        <f t="shared" si="33"/>
        <v>48.17</v>
      </c>
      <c r="AQ98" s="2702"/>
      <c r="AR98" s="230"/>
      <c r="AS98" s="3894"/>
      <c r="AT98" s="3894">
        <f t="shared" si="24"/>
        <v>48.17</v>
      </c>
      <c r="AU98" s="2702"/>
      <c r="AV98" s="230"/>
      <c r="AW98" s="4081"/>
      <c r="AX98" s="4081">
        <f t="shared" si="25"/>
        <v>48.17</v>
      </c>
      <c r="AY98" s="2702"/>
      <c r="AZ98" s="230">
        <v>2.0499999999999998</v>
      </c>
      <c r="BA98" s="4269"/>
      <c r="BB98" s="4565">
        <f t="shared" si="26"/>
        <v>2.0499999999999998</v>
      </c>
      <c r="BC98" s="1854"/>
      <c r="BD98" s="1854">
        <f t="shared" si="27"/>
        <v>6.1499999999999995</v>
      </c>
      <c r="BE98" s="4564"/>
      <c r="BF98" s="4564">
        <f t="shared" si="28"/>
        <v>50.22</v>
      </c>
    </row>
    <row r="99" spans="2:58" s="1726" customFormat="1" ht="15.75" x14ac:dyDescent="0.25">
      <c r="B99" s="2711" t="s">
        <v>1520</v>
      </c>
      <c r="C99" s="2709" t="s">
        <v>1570</v>
      </c>
      <c r="D99" s="2710" t="s">
        <v>53</v>
      </c>
      <c r="E99" s="2701"/>
      <c r="F99" s="238">
        <v>0</v>
      </c>
      <c r="G99" s="2699"/>
      <c r="H99" s="475"/>
      <c r="I99" s="2700"/>
      <c r="J99" s="2339">
        <f t="shared" si="1"/>
        <v>0</v>
      </c>
      <c r="K99" s="2701"/>
      <c r="L99" s="238">
        <v>14.35</v>
      </c>
      <c r="M99" s="1568"/>
      <c r="N99" s="1568">
        <f t="shared" si="2"/>
        <v>14.35</v>
      </c>
      <c r="O99" s="2702"/>
      <c r="P99" s="238"/>
      <c r="Q99" s="1586"/>
      <c r="R99" s="1586">
        <f t="shared" si="3"/>
        <v>14.35</v>
      </c>
      <c r="S99" s="2702"/>
      <c r="T99" s="238">
        <v>0</v>
      </c>
      <c r="U99" s="1586"/>
      <c r="V99" s="1586">
        <f t="shared" si="4"/>
        <v>14.35</v>
      </c>
      <c r="W99" s="2702"/>
      <c r="X99" s="238"/>
      <c r="Y99" s="1568"/>
      <c r="Z99" s="1568">
        <f t="shared" si="5"/>
        <v>0</v>
      </c>
      <c r="AA99" s="1854"/>
      <c r="AB99" s="1854">
        <f t="shared" si="0"/>
        <v>14.35</v>
      </c>
      <c r="AC99" s="2702"/>
      <c r="AD99" s="230">
        <v>0</v>
      </c>
      <c r="AE99" s="3152"/>
      <c r="AF99" s="3152">
        <f t="shared" si="21"/>
        <v>14.35</v>
      </c>
      <c r="AG99" s="2702"/>
      <c r="AH99" s="230">
        <v>0</v>
      </c>
      <c r="AI99" s="3251"/>
      <c r="AJ99" s="3251">
        <f t="shared" si="22"/>
        <v>14.35</v>
      </c>
      <c r="AK99" s="2702"/>
      <c r="AL99" s="230">
        <v>0</v>
      </c>
      <c r="AM99" s="3613"/>
      <c r="AN99" s="3613">
        <f t="shared" si="29"/>
        <v>0</v>
      </c>
      <c r="AO99" s="3612"/>
      <c r="AP99" s="3612">
        <f t="shared" si="33"/>
        <v>14.35</v>
      </c>
      <c r="AQ99" s="2702"/>
      <c r="AR99" s="230">
        <v>38.950000000000003</v>
      </c>
      <c r="AS99" s="3894"/>
      <c r="AT99" s="3894">
        <f t="shared" si="24"/>
        <v>53.300000000000004</v>
      </c>
      <c r="AU99" s="2702"/>
      <c r="AV99" s="230"/>
      <c r="AW99" s="4081"/>
      <c r="AX99" s="4081">
        <f t="shared" si="25"/>
        <v>53.300000000000004</v>
      </c>
      <c r="AY99" s="2702"/>
      <c r="AZ99" s="230"/>
      <c r="BA99" s="4269"/>
      <c r="BB99" s="4565">
        <f t="shared" si="26"/>
        <v>38.950000000000003</v>
      </c>
      <c r="BC99" s="1854"/>
      <c r="BD99" s="1854">
        <f t="shared" si="27"/>
        <v>38.950000000000003</v>
      </c>
      <c r="BE99" s="4564"/>
      <c r="BF99" s="4564">
        <f t="shared" si="28"/>
        <v>53.300000000000004</v>
      </c>
    </row>
    <row r="100" spans="2:58" s="1726" customFormat="1" ht="15.75" x14ac:dyDescent="0.25">
      <c r="B100" s="2711" t="s">
        <v>1651</v>
      </c>
      <c r="C100" s="2709" t="s">
        <v>1570</v>
      </c>
      <c r="D100" s="2710" t="s">
        <v>53</v>
      </c>
      <c r="E100" s="2701"/>
      <c r="F100" s="238"/>
      <c r="G100" s="2699"/>
      <c r="H100" s="3189"/>
      <c r="I100" s="2700"/>
      <c r="J100" s="3187"/>
      <c r="K100" s="2701"/>
      <c r="L100" s="238"/>
      <c r="M100" s="3191"/>
      <c r="N100" s="3191"/>
      <c r="O100" s="2702"/>
      <c r="P100" s="238"/>
      <c r="Q100" s="3190"/>
      <c r="R100" s="3190"/>
      <c r="S100" s="2702"/>
      <c r="T100" s="238"/>
      <c r="U100" s="3190"/>
      <c r="V100" s="3190"/>
      <c r="W100" s="2702"/>
      <c r="X100" s="238"/>
      <c r="Y100" s="3191"/>
      <c r="Z100" s="3191"/>
      <c r="AA100" s="1854"/>
      <c r="AB100" s="1854">
        <f t="shared" si="0"/>
        <v>0</v>
      </c>
      <c r="AC100" s="2702"/>
      <c r="AD100" s="230">
        <f>43.05+20.5</f>
        <v>63.55</v>
      </c>
      <c r="AE100" s="3190"/>
      <c r="AF100" s="3190">
        <f t="shared" si="21"/>
        <v>63.55</v>
      </c>
      <c r="AG100" s="2702"/>
      <c r="AH100" s="230">
        <v>0</v>
      </c>
      <c r="AI100" s="3251"/>
      <c r="AJ100" s="3251">
        <f t="shared" si="22"/>
        <v>63.55</v>
      </c>
      <c r="AK100" s="2702"/>
      <c r="AL100" s="230">
        <v>0</v>
      </c>
      <c r="AM100" s="3613"/>
      <c r="AN100" s="3613">
        <f t="shared" si="29"/>
        <v>63.55</v>
      </c>
      <c r="AO100" s="3612"/>
      <c r="AP100" s="3612">
        <f t="shared" si="33"/>
        <v>63.55</v>
      </c>
      <c r="AQ100" s="2702"/>
      <c r="AR100" s="230"/>
      <c r="AS100" s="3894"/>
      <c r="AT100" s="3894">
        <f t="shared" si="24"/>
        <v>63.55</v>
      </c>
      <c r="AU100" s="2702"/>
      <c r="AV100" s="230"/>
      <c r="AW100" s="4081"/>
      <c r="AX100" s="4081">
        <f t="shared" si="25"/>
        <v>63.55</v>
      </c>
      <c r="AY100" s="2702"/>
      <c r="AZ100" s="230"/>
      <c r="BA100" s="4269"/>
      <c r="BB100" s="4565">
        <f t="shared" si="26"/>
        <v>0</v>
      </c>
      <c r="BC100" s="1854"/>
      <c r="BD100" s="1854">
        <f t="shared" si="27"/>
        <v>63.55</v>
      </c>
      <c r="BE100" s="4564"/>
      <c r="BF100" s="4564">
        <f t="shared" si="28"/>
        <v>63.55</v>
      </c>
    </row>
    <row r="101" spans="2:58" s="334" customFormat="1" ht="15.75" customHeight="1" x14ac:dyDescent="0.25">
      <c r="B101" s="2708" t="s">
        <v>1061</v>
      </c>
      <c r="C101" s="2712"/>
      <c r="D101" s="2713"/>
      <c r="E101" s="2714"/>
      <c r="F101" s="3252"/>
      <c r="G101" s="2706"/>
      <c r="H101" s="3252"/>
      <c r="I101" s="2714"/>
      <c r="J101" s="3252"/>
      <c r="K101" s="2714"/>
      <c r="L101" s="3252"/>
      <c r="M101" s="1614"/>
      <c r="N101" s="1614"/>
      <c r="O101" s="2715"/>
      <c r="P101" s="3252"/>
      <c r="Q101" s="1614"/>
      <c r="R101" s="1614"/>
      <c r="S101" s="2715"/>
      <c r="T101" s="3252"/>
      <c r="U101" s="1614"/>
      <c r="V101" s="1614"/>
      <c r="W101" s="2715"/>
      <c r="X101" s="3252"/>
      <c r="Y101" s="1614"/>
      <c r="Z101" s="1614"/>
      <c r="AA101" s="1614"/>
      <c r="AB101" s="1614"/>
      <c r="AC101" s="2715"/>
      <c r="AD101" s="3252"/>
      <c r="AE101" s="1614"/>
      <c r="AF101" s="1614"/>
      <c r="AG101" s="2715"/>
      <c r="AH101" s="3252"/>
      <c r="AI101" s="1614"/>
      <c r="AJ101" s="1614"/>
      <c r="AK101" s="2715"/>
      <c r="AL101" s="3437"/>
      <c r="AM101" s="1614"/>
      <c r="AN101" s="1614"/>
      <c r="AO101" s="1614"/>
      <c r="AP101" s="1614"/>
      <c r="AQ101" s="2715"/>
      <c r="AR101" s="3873"/>
      <c r="AS101" s="1614"/>
      <c r="AT101" s="1614"/>
      <c r="AU101" s="2715"/>
      <c r="AV101" s="4061"/>
      <c r="AW101" s="1614"/>
      <c r="AX101" s="1614"/>
      <c r="AY101" s="2715"/>
      <c r="AZ101" s="4224"/>
      <c r="BA101" s="1614"/>
      <c r="BB101" s="1614"/>
      <c r="BC101" s="1614"/>
      <c r="BD101" s="1614"/>
      <c r="BE101" s="1614"/>
      <c r="BF101" s="1614"/>
    </row>
    <row r="102" spans="2:58" ht="15.75" customHeight="1" x14ac:dyDescent="0.25">
      <c r="B102" s="2708" t="s">
        <v>1526</v>
      </c>
      <c r="C102" s="2712"/>
      <c r="D102" s="2710" t="s">
        <v>53</v>
      </c>
      <c r="E102" s="2716"/>
      <c r="F102" s="2717">
        <v>10.119999999999999</v>
      </c>
      <c r="G102" s="2699"/>
      <c r="H102" s="2717"/>
      <c r="I102" s="2718"/>
      <c r="J102" s="2339">
        <f t="shared" ref="J102:J114" si="34">+F102+H102</f>
        <v>10.119999999999999</v>
      </c>
      <c r="K102" s="2716"/>
      <c r="L102" s="2717">
        <v>16.399999999999999</v>
      </c>
      <c r="M102" s="1568"/>
      <c r="N102" s="1568">
        <f t="shared" ref="N102:N114" si="35">+J102+L102</f>
        <v>26.519999999999996</v>
      </c>
      <c r="O102" s="2719"/>
      <c r="P102" s="2717">
        <v>6.15</v>
      </c>
      <c r="Q102" s="1586"/>
      <c r="R102" s="1586">
        <f t="shared" ref="R102:R114" si="36">+N102+P102</f>
        <v>32.669999999999995</v>
      </c>
      <c r="S102" s="2719"/>
      <c r="T102" s="2717">
        <v>6.15</v>
      </c>
      <c r="U102" s="1586"/>
      <c r="V102" s="1586">
        <f t="shared" ref="V102:V114" si="37">+R102+T102</f>
        <v>38.819999999999993</v>
      </c>
      <c r="W102" s="2719"/>
      <c r="X102" s="2717">
        <f>4.1+2.05</f>
        <v>6.1499999999999995</v>
      </c>
      <c r="Y102" s="1568"/>
      <c r="Z102" s="1568">
        <f t="shared" ref="Z102:Z113" si="38">P102+T102+X102</f>
        <v>18.45</v>
      </c>
      <c r="AA102" s="1854"/>
      <c r="AB102" s="1854">
        <f t="shared" si="0"/>
        <v>44.97</v>
      </c>
      <c r="AC102" s="2719"/>
      <c r="AD102" s="230">
        <v>28.7</v>
      </c>
      <c r="AE102" s="3152"/>
      <c r="AF102" s="3152">
        <f t="shared" ref="AF102:AF114" si="39">+AB102+AD102</f>
        <v>73.67</v>
      </c>
      <c r="AG102" s="2719"/>
      <c r="AH102" s="230">
        <v>22.549999999999997</v>
      </c>
      <c r="AI102" s="3251"/>
      <c r="AJ102" s="3251">
        <f t="shared" ref="AJ102:AJ114" si="40">+AF102+AH102</f>
        <v>96.22</v>
      </c>
      <c r="AK102" s="2719"/>
      <c r="AL102" s="230">
        <v>10.25</v>
      </c>
      <c r="AM102" s="3613"/>
      <c r="AN102" s="3613">
        <f t="shared" ref="AN102:AN114" si="41">AD102+AH102+AL102</f>
        <v>61.5</v>
      </c>
      <c r="AO102" s="3612"/>
      <c r="AP102" s="3612">
        <f t="shared" ref="AP102:AP114" si="42">+AJ102+AL102</f>
        <v>106.47</v>
      </c>
      <c r="AQ102" s="2719"/>
      <c r="AR102" s="230">
        <v>2.0499999999999998</v>
      </c>
      <c r="AS102" s="3894"/>
      <c r="AT102" s="3894">
        <f t="shared" ref="AT102:AT114" si="43">+AP102+AR102</f>
        <v>108.52</v>
      </c>
      <c r="AU102" s="2719"/>
      <c r="AV102" s="230"/>
      <c r="AW102" s="4081"/>
      <c r="AX102" s="4081">
        <f t="shared" ref="AX102:AX114" si="44">+AT102+AV102</f>
        <v>108.52</v>
      </c>
      <c r="AY102" s="2719"/>
      <c r="AZ102" s="230">
        <v>8.1999999999999993</v>
      </c>
      <c r="BA102" s="4269"/>
      <c r="BB102" s="4565">
        <f t="shared" ref="BB102:BB114" si="45">AR102+AV102+AZ102</f>
        <v>10.25</v>
      </c>
      <c r="BC102" s="1854"/>
      <c r="BD102" s="1854">
        <f t="shared" ref="BD102:BD114" si="46">AN102+BB102</f>
        <v>71.75</v>
      </c>
      <c r="BE102" s="4564"/>
      <c r="BF102" s="4564">
        <f t="shared" ref="BF102:BF114" si="47">+AX102+AZ102</f>
        <v>116.72</v>
      </c>
    </row>
    <row r="103" spans="2:58" s="1365" customFormat="1" ht="15.75" customHeight="1" x14ac:dyDescent="0.25">
      <c r="B103" s="2708" t="s">
        <v>1525</v>
      </c>
      <c r="C103" s="2712"/>
      <c r="D103" s="2710" t="s">
        <v>53</v>
      </c>
      <c r="E103" s="2716"/>
      <c r="F103" s="2717">
        <v>101.232</v>
      </c>
      <c r="G103" s="2699"/>
      <c r="H103" s="2717">
        <v>34.537999999999997</v>
      </c>
      <c r="I103" s="2718"/>
      <c r="J103" s="2339">
        <f t="shared" si="34"/>
        <v>135.76999999999998</v>
      </c>
      <c r="K103" s="2716"/>
      <c r="L103" s="2717">
        <v>73.8</v>
      </c>
      <c r="M103" s="1568"/>
      <c r="N103" s="1568">
        <f t="shared" si="35"/>
        <v>209.57</v>
      </c>
      <c r="O103" s="2719"/>
      <c r="P103" s="2717">
        <v>127.1</v>
      </c>
      <c r="Q103" s="1586"/>
      <c r="R103" s="1586">
        <f t="shared" si="36"/>
        <v>336.66999999999996</v>
      </c>
      <c r="S103" s="2719"/>
      <c r="T103" s="2717">
        <v>10.25</v>
      </c>
      <c r="U103" s="1586"/>
      <c r="V103" s="1586">
        <f t="shared" si="37"/>
        <v>346.91999999999996</v>
      </c>
      <c r="W103" s="2719"/>
      <c r="X103" s="2717">
        <v>24.6</v>
      </c>
      <c r="Y103" s="1568"/>
      <c r="Z103" s="1568">
        <f t="shared" si="38"/>
        <v>161.94999999999999</v>
      </c>
      <c r="AA103" s="1854"/>
      <c r="AB103" s="1854">
        <f t="shared" si="0"/>
        <v>371.52</v>
      </c>
      <c r="AC103" s="2719"/>
      <c r="AD103" s="230">
        <v>18.45</v>
      </c>
      <c r="AE103" s="3152"/>
      <c r="AF103" s="3152">
        <f t="shared" si="39"/>
        <v>389.96999999999997</v>
      </c>
      <c r="AG103" s="2719"/>
      <c r="AH103" s="230">
        <v>82</v>
      </c>
      <c r="AI103" s="3251"/>
      <c r="AJ103" s="3251">
        <f t="shared" si="40"/>
        <v>471.96999999999997</v>
      </c>
      <c r="AK103" s="2719"/>
      <c r="AL103" s="230">
        <v>24.6</v>
      </c>
      <c r="AM103" s="3613"/>
      <c r="AN103" s="3613">
        <f t="shared" si="41"/>
        <v>125.05000000000001</v>
      </c>
      <c r="AO103" s="3612"/>
      <c r="AP103" s="3612">
        <f t="shared" si="42"/>
        <v>496.57</v>
      </c>
      <c r="AQ103" s="2719"/>
      <c r="AR103" s="230">
        <v>14.350000000000001</v>
      </c>
      <c r="AS103" s="3894"/>
      <c r="AT103" s="3894">
        <f t="shared" si="43"/>
        <v>510.92</v>
      </c>
      <c r="AU103" s="2719"/>
      <c r="AV103" s="230">
        <v>16.399999999999999</v>
      </c>
      <c r="AW103" s="4081"/>
      <c r="AX103" s="4081">
        <f t="shared" si="44"/>
        <v>527.32000000000005</v>
      </c>
      <c r="AY103" s="2719"/>
      <c r="AZ103" s="230">
        <v>8.1999999999999993</v>
      </c>
      <c r="BA103" s="4269"/>
      <c r="BB103" s="4565">
        <f t="shared" si="45"/>
        <v>38.950000000000003</v>
      </c>
      <c r="BC103" s="1854"/>
      <c r="BD103" s="1854">
        <f t="shared" si="46"/>
        <v>164</v>
      </c>
      <c r="BE103" s="4564"/>
      <c r="BF103" s="4564">
        <f t="shared" si="47"/>
        <v>535.5200000000001</v>
      </c>
    </row>
    <row r="104" spans="2:58" ht="17.25" customHeight="1" x14ac:dyDescent="0.25">
      <c r="B104" s="2708" t="s">
        <v>1524</v>
      </c>
      <c r="C104" s="2712"/>
      <c r="D104" s="2710" t="s">
        <v>53</v>
      </c>
      <c r="E104" s="2716"/>
      <c r="F104" s="2717">
        <v>0</v>
      </c>
      <c r="G104" s="2699"/>
      <c r="H104" s="2717"/>
      <c r="I104" s="2718"/>
      <c r="J104" s="2339">
        <f t="shared" si="34"/>
        <v>0</v>
      </c>
      <c r="K104" s="2716"/>
      <c r="L104" s="2717">
        <v>0</v>
      </c>
      <c r="M104" s="1568"/>
      <c r="N104" s="1568">
        <f t="shared" si="35"/>
        <v>0</v>
      </c>
      <c r="O104" s="2719"/>
      <c r="P104" s="2717">
        <v>4.0999999999999996</v>
      </c>
      <c r="Q104" s="1586"/>
      <c r="R104" s="1586">
        <f t="shared" si="36"/>
        <v>4.0999999999999996</v>
      </c>
      <c r="S104" s="2719"/>
      <c r="T104" s="2717">
        <v>0</v>
      </c>
      <c r="U104" s="1586"/>
      <c r="V104" s="1586">
        <f t="shared" si="37"/>
        <v>4.0999999999999996</v>
      </c>
      <c r="W104" s="2719"/>
      <c r="X104" s="2717"/>
      <c r="Y104" s="1568"/>
      <c r="Z104" s="1568">
        <f t="shared" si="38"/>
        <v>4.0999999999999996</v>
      </c>
      <c r="AA104" s="1854"/>
      <c r="AB104" s="1854">
        <f t="shared" si="0"/>
        <v>4.0999999999999996</v>
      </c>
      <c r="AC104" s="2719"/>
      <c r="AD104" s="230">
        <v>0</v>
      </c>
      <c r="AE104" s="3152"/>
      <c r="AF104" s="3152">
        <f t="shared" si="39"/>
        <v>4.0999999999999996</v>
      </c>
      <c r="AG104" s="2719"/>
      <c r="AH104" s="230">
        <v>0</v>
      </c>
      <c r="AI104" s="3251"/>
      <c r="AJ104" s="3251">
        <f t="shared" si="40"/>
        <v>4.0999999999999996</v>
      </c>
      <c r="AK104" s="2719"/>
      <c r="AL104" s="230">
        <v>0</v>
      </c>
      <c r="AM104" s="3613"/>
      <c r="AN104" s="3613">
        <f t="shared" si="41"/>
        <v>0</v>
      </c>
      <c r="AO104" s="3612"/>
      <c r="AP104" s="3612">
        <f t="shared" si="42"/>
        <v>4.0999999999999996</v>
      </c>
      <c r="AQ104" s="2719"/>
      <c r="AR104" s="230">
        <v>0</v>
      </c>
      <c r="AS104" s="3894"/>
      <c r="AT104" s="3894">
        <f t="shared" si="43"/>
        <v>4.0999999999999996</v>
      </c>
      <c r="AU104" s="2719"/>
      <c r="AV104" s="230"/>
      <c r="AW104" s="4081"/>
      <c r="AX104" s="4081">
        <f t="shared" si="44"/>
        <v>4.0999999999999996</v>
      </c>
      <c r="AY104" s="2719"/>
      <c r="AZ104" s="230"/>
      <c r="BA104" s="4269"/>
      <c r="BB104" s="4565">
        <f t="shared" si="45"/>
        <v>0</v>
      </c>
      <c r="BC104" s="1854"/>
      <c r="BD104" s="1854">
        <f t="shared" si="46"/>
        <v>0</v>
      </c>
      <c r="BE104" s="4564"/>
      <c r="BF104" s="4564">
        <f t="shared" si="47"/>
        <v>4.0999999999999996</v>
      </c>
    </row>
    <row r="105" spans="2:58" s="1482" customFormat="1" ht="17.25" customHeight="1" x14ac:dyDescent="0.25">
      <c r="B105" s="2708" t="s">
        <v>1522</v>
      </c>
      <c r="C105" s="2712"/>
      <c r="D105" s="2710" t="s">
        <v>53</v>
      </c>
      <c r="E105" s="2716"/>
      <c r="F105" s="2717">
        <v>58.695999999999998</v>
      </c>
      <c r="G105" s="2699"/>
      <c r="H105" s="2717">
        <v>8.1999999999999993</v>
      </c>
      <c r="I105" s="2718"/>
      <c r="J105" s="2339">
        <f t="shared" si="34"/>
        <v>66.896000000000001</v>
      </c>
      <c r="K105" s="2716"/>
      <c r="L105" s="2717">
        <v>10.25</v>
      </c>
      <c r="M105" s="1568"/>
      <c r="N105" s="1568">
        <f t="shared" si="35"/>
        <v>77.146000000000001</v>
      </c>
      <c r="O105" s="2719"/>
      <c r="P105" s="2717">
        <v>59.45</v>
      </c>
      <c r="Q105" s="1586"/>
      <c r="R105" s="1586">
        <f t="shared" si="36"/>
        <v>136.596</v>
      </c>
      <c r="S105" s="2719"/>
      <c r="T105" s="2717">
        <v>47.15</v>
      </c>
      <c r="U105" s="1586"/>
      <c r="V105" s="1586">
        <f t="shared" si="37"/>
        <v>183.74600000000001</v>
      </c>
      <c r="W105" s="2719"/>
      <c r="X105" s="2717">
        <v>49.2</v>
      </c>
      <c r="Y105" s="1568"/>
      <c r="Z105" s="1568">
        <f t="shared" si="38"/>
        <v>155.80000000000001</v>
      </c>
      <c r="AA105" s="1854"/>
      <c r="AB105" s="1854">
        <f t="shared" si="0"/>
        <v>232.94600000000003</v>
      </c>
      <c r="AC105" s="2719"/>
      <c r="AD105" s="230">
        <v>30.75</v>
      </c>
      <c r="AE105" s="3152"/>
      <c r="AF105" s="3152">
        <f t="shared" si="39"/>
        <v>263.69600000000003</v>
      </c>
      <c r="AG105" s="2719"/>
      <c r="AH105" s="230">
        <v>53.3</v>
      </c>
      <c r="AI105" s="3251"/>
      <c r="AJ105" s="3251">
        <f t="shared" si="40"/>
        <v>316.99600000000004</v>
      </c>
      <c r="AK105" s="2719"/>
      <c r="AL105" s="230">
        <v>20.5</v>
      </c>
      <c r="AM105" s="3613"/>
      <c r="AN105" s="3613">
        <f t="shared" si="41"/>
        <v>104.55</v>
      </c>
      <c r="AO105" s="3612"/>
      <c r="AP105" s="3612">
        <f t="shared" si="42"/>
        <v>337.49600000000004</v>
      </c>
      <c r="AQ105" s="2719"/>
      <c r="AR105" s="230">
        <v>41</v>
      </c>
      <c r="AS105" s="3894"/>
      <c r="AT105" s="3894">
        <f t="shared" si="43"/>
        <v>378.49600000000004</v>
      </c>
      <c r="AU105" s="2719"/>
      <c r="AV105" s="230">
        <v>6.1499999999999995</v>
      </c>
      <c r="AW105" s="4081"/>
      <c r="AX105" s="4081">
        <f t="shared" si="44"/>
        <v>384.64600000000002</v>
      </c>
      <c r="AY105" s="2719"/>
      <c r="AZ105" s="230">
        <v>36.9</v>
      </c>
      <c r="BA105" s="4269"/>
      <c r="BB105" s="4565">
        <f t="shared" si="45"/>
        <v>84.05</v>
      </c>
      <c r="BC105" s="1854"/>
      <c r="BD105" s="1854">
        <f t="shared" si="46"/>
        <v>188.6</v>
      </c>
      <c r="BE105" s="4564"/>
      <c r="BF105" s="4564">
        <f t="shared" si="47"/>
        <v>421.54599999999999</v>
      </c>
    </row>
    <row r="106" spans="2:58" ht="15.75" x14ac:dyDescent="0.25">
      <c r="B106" s="2708" t="s">
        <v>1739</v>
      </c>
      <c r="C106" s="2712"/>
      <c r="D106" s="2710" t="s">
        <v>53</v>
      </c>
      <c r="E106" s="2716"/>
      <c r="F106" s="2717">
        <v>0</v>
      </c>
      <c r="G106" s="2699"/>
      <c r="H106" s="2717">
        <v>2.0499999999999998</v>
      </c>
      <c r="I106" s="2718"/>
      <c r="J106" s="2339">
        <f t="shared" si="34"/>
        <v>2.0499999999999998</v>
      </c>
      <c r="K106" s="2716"/>
      <c r="L106" s="2717">
        <v>0</v>
      </c>
      <c r="M106" s="1568"/>
      <c r="N106" s="1568">
        <f t="shared" si="35"/>
        <v>2.0499999999999998</v>
      </c>
      <c r="O106" s="2719"/>
      <c r="P106" s="2717">
        <v>6.15</v>
      </c>
      <c r="Q106" s="1586"/>
      <c r="R106" s="1586">
        <f t="shared" si="36"/>
        <v>8.1999999999999993</v>
      </c>
      <c r="S106" s="2719"/>
      <c r="T106" s="2717">
        <v>0</v>
      </c>
      <c r="U106" s="1586"/>
      <c r="V106" s="1586">
        <f t="shared" si="37"/>
        <v>8.1999999999999993</v>
      </c>
      <c r="W106" s="2719"/>
      <c r="X106" s="2717">
        <v>28.7</v>
      </c>
      <c r="Y106" s="1568"/>
      <c r="Z106" s="1568">
        <f t="shared" si="38"/>
        <v>34.85</v>
      </c>
      <c r="AA106" s="1854"/>
      <c r="AB106" s="1854">
        <f t="shared" si="0"/>
        <v>36.9</v>
      </c>
      <c r="AC106" s="2719"/>
      <c r="AD106" s="230">
        <v>0</v>
      </c>
      <c r="AE106" s="3152"/>
      <c r="AF106" s="3152">
        <f t="shared" si="39"/>
        <v>36.9</v>
      </c>
      <c r="AG106" s="2719"/>
      <c r="AH106" s="230">
        <v>6.1499999999999995</v>
      </c>
      <c r="AI106" s="3251"/>
      <c r="AJ106" s="3251">
        <f t="shared" si="40"/>
        <v>43.05</v>
      </c>
      <c r="AK106" s="2719"/>
      <c r="AL106" s="230">
        <v>0</v>
      </c>
      <c r="AM106" s="3613"/>
      <c r="AN106" s="3613">
        <f t="shared" si="41"/>
        <v>6.1499999999999995</v>
      </c>
      <c r="AO106" s="3612"/>
      <c r="AP106" s="3612">
        <f t="shared" si="42"/>
        <v>43.05</v>
      </c>
      <c r="AQ106" s="2719"/>
      <c r="AR106" s="230"/>
      <c r="AS106" s="3894"/>
      <c r="AT106" s="3894">
        <f t="shared" si="43"/>
        <v>43.05</v>
      </c>
      <c r="AU106" s="2719"/>
      <c r="AV106" s="230"/>
      <c r="AW106" s="4081"/>
      <c r="AX106" s="4081">
        <f t="shared" si="44"/>
        <v>43.05</v>
      </c>
      <c r="AY106" s="2719"/>
      <c r="AZ106" s="230"/>
      <c r="BA106" s="4269"/>
      <c r="BB106" s="4565">
        <f t="shared" si="45"/>
        <v>0</v>
      </c>
      <c r="BC106" s="1854"/>
      <c r="BD106" s="1854">
        <f t="shared" si="46"/>
        <v>6.1499999999999995</v>
      </c>
      <c r="BE106" s="4564"/>
      <c r="BF106" s="4564">
        <f t="shared" si="47"/>
        <v>43.05</v>
      </c>
    </row>
    <row r="107" spans="2:58" s="1726" customFormat="1" ht="15.75" x14ac:dyDescent="0.25">
      <c r="B107" s="2708" t="s">
        <v>1740</v>
      </c>
      <c r="C107" s="2712"/>
      <c r="D107" s="2710" t="s">
        <v>53</v>
      </c>
      <c r="E107" s="2716"/>
      <c r="F107" s="2717"/>
      <c r="G107" s="2699"/>
      <c r="H107" s="2717"/>
      <c r="I107" s="2718"/>
      <c r="J107" s="3597"/>
      <c r="K107" s="2716"/>
      <c r="L107" s="2717"/>
      <c r="M107" s="3613"/>
      <c r="N107" s="3613"/>
      <c r="O107" s="2719"/>
      <c r="P107" s="2717"/>
      <c r="Q107" s="3612"/>
      <c r="R107" s="3612"/>
      <c r="S107" s="2719"/>
      <c r="T107" s="2717"/>
      <c r="U107" s="3612"/>
      <c r="V107" s="3612"/>
      <c r="W107" s="2719"/>
      <c r="X107" s="2717"/>
      <c r="Y107" s="3613"/>
      <c r="Z107" s="3613"/>
      <c r="AA107" s="1854"/>
      <c r="AB107" s="1854"/>
      <c r="AC107" s="2719"/>
      <c r="AD107" s="230"/>
      <c r="AE107" s="3612"/>
      <c r="AF107" s="3612"/>
      <c r="AG107" s="2719"/>
      <c r="AH107" s="230"/>
      <c r="AI107" s="3612"/>
      <c r="AJ107" s="3612"/>
      <c r="AK107" s="2719"/>
      <c r="AL107" s="230">
        <v>16.399999999999999</v>
      </c>
      <c r="AM107" s="3613"/>
      <c r="AN107" s="3613">
        <f t="shared" si="41"/>
        <v>16.399999999999999</v>
      </c>
      <c r="AO107" s="3612"/>
      <c r="AP107" s="3612">
        <f t="shared" si="42"/>
        <v>16.399999999999999</v>
      </c>
      <c r="AQ107" s="2719"/>
      <c r="AR107" s="230">
        <v>2.0499999999999998</v>
      </c>
      <c r="AS107" s="3894"/>
      <c r="AT107" s="3894">
        <f t="shared" si="43"/>
        <v>18.45</v>
      </c>
      <c r="AU107" s="2719"/>
      <c r="AV107" s="230"/>
      <c r="AW107" s="4081"/>
      <c r="AX107" s="4081">
        <f t="shared" si="44"/>
        <v>18.45</v>
      </c>
      <c r="AY107" s="2719"/>
      <c r="AZ107" s="230"/>
      <c r="BA107" s="4269"/>
      <c r="BB107" s="4565">
        <f t="shared" si="45"/>
        <v>2.0499999999999998</v>
      </c>
      <c r="BC107" s="1854"/>
      <c r="BD107" s="1854">
        <f t="shared" si="46"/>
        <v>18.45</v>
      </c>
      <c r="BE107" s="4564"/>
      <c r="BF107" s="4564">
        <f t="shared" si="47"/>
        <v>18.45</v>
      </c>
    </row>
    <row r="108" spans="2:58" s="1726" customFormat="1" ht="15.75" x14ac:dyDescent="0.25">
      <c r="B108" s="2708" t="s">
        <v>1838</v>
      </c>
      <c r="C108" s="2712"/>
      <c r="D108" s="2710" t="s">
        <v>53</v>
      </c>
      <c r="E108" s="2716"/>
      <c r="F108" s="2717"/>
      <c r="G108" s="2699"/>
      <c r="H108" s="2717"/>
      <c r="I108" s="2718"/>
      <c r="J108" s="4094"/>
      <c r="K108" s="2716"/>
      <c r="L108" s="2717"/>
      <c r="M108" s="4097"/>
      <c r="N108" s="4097"/>
      <c r="O108" s="2719"/>
      <c r="P108" s="2717"/>
      <c r="Q108" s="4096"/>
      <c r="R108" s="4096"/>
      <c r="S108" s="2719"/>
      <c r="T108" s="2717"/>
      <c r="U108" s="4096"/>
      <c r="V108" s="4096"/>
      <c r="W108" s="2719"/>
      <c r="X108" s="2717"/>
      <c r="Y108" s="4097"/>
      <c r="Z108" s="4097"/>
      <c r="AA108" s="1854"/>
      <c r="AB108" s="1854"/>
      <c r="AC108" s="2719"/>
      <c r="AD108" s="230"/>
      <c r="AE108" s="4096"/>
      <c r="AF108" s="4096"/>
      <c r="AG108" s="2719"/>
      <c r="AH108" s="230"/>
      <c r="AI108" s="4096"/>
      <c r="AJ108" s="4096"/>
      <c r="AK108" s="2719"/>
      <c r="AL108" s="230"/>
      <c r="AM108" s="4097"/>
      <c r="AN108" s="4097"/>
      <c r="AO108" s="4096"/>
      <c r="AP108" s="4096"/>
      <c r="AQ108" s="2719"/>
      <c r="AR108" s="230"/>
      <c r="AS108" s="4096"/>
      <c r="AT108" s="4096"/>
      <c r="AU108" s="2719"/>
      <c r="AV108" s="230">
        <v>6.1499999999999995</v>
      </c>
      <c r="AW108" s="4096"/>
      <c r="AX108" s="4096">
        <f t="shared" si="44"/>
        <v>6.1499999999999995</v>
      </c>
      <c r="AY108" s="2719"/>
      <c r="AZ108" s="230"/>
      <c r="BA108" s="4269"/>
      <c r="BB108" s="4565">
        <f t="shared" si="45"/>
        <v>6.1499999999999995</v>
      </c>
      <c r="BC108" s="1854"/>
      <c r="BD108" s="1854">
        <f t="shared" si="46"/>
        <v>6.1499999999999995</v>
      </c>
      <c r="BE108" s="4564"/>
      <c r="BF108" s="4564">
        <f t="shared" si="47"/>
        <v>6.1499999999999995</v>
      </c>
    </row>
    <row r="109" spans="2:58" s="570" customFormat="1" ht="15.75" x14ac:dyDescent="0.25">
      <c r="B109" s="2708" t="s">
        <v>1521</v>
      </c>
      <c r="C109" s="2712"/>
      <c r="D109" s="2710" t="s">
        <v>53</v>
      </c>
      <c r="E109" s="2716"/>
      <c r="F109" s="2717">
        <v>0</v>
      </c>
      <c r="G109" s="2699"/>
      <c r="H109" s="2717">
        <v>2.0499999999999998</v>
      </c>
      <c r="I109" s="2718"/>
      <c r="J109" s="2339">
        <f t="shared" si="34"/>
        <v>2.0499999999999998</v>
      </c>
      <c r="K109" s="2716"/>
      <c r="L109" s="2717">
        <v>0</v>
      </c>
      <c r="M109" s="1568"/>
      <c r="N109" s="1568">
        <f t="shared" si="35"/>
        <v>2.0499999999999998</v>
      </c>
      <c r="O109" s="2719"/>
      <c r="P109" s="2717"/>
      <c r="Q109" s="1586"/>
      <c r="R109" s="1586">
        <f t="shared" si="36"/>
        <v>2.0499999999999998</v>
      </c>
      <c r="S109" s="2719"/>
      <c r="T109" s="2717">
        <v>2.0499999999999998</v>
      </c>
      <c r="U109" s="1586"/>
      <c r="V109" s="1586">
        <f t="shared" si="37"/>
        <v>4.0999999999999996</v>
      </c>
      <c r="W109" s="2719"/>
      <c r="X109" s="2717"/>
      <c r="Y109" s="1568"/>
      <c r="Z109" s="1568">
        <f t="shared" si="38"/>
        <v>2.0499999999999998</v>
      </c>
      <c r="AA109" s="1854"/>
      <c r="AB109" s="1854">
        <f t="shared" si="0"/>
        <v>4.0999999999999996</v>
      </c>
      <c r="AC109" s="2719"/>
      <c r="AD109" s="230">
        <v>0</v>
      </c>
      <c r="AE109" s="3152"/>
      <c r="AF109" s="3152">
        <f t="shared" si="39"/>
        <v>4.0999999999999996</v>
      </c>
      <c r="AG109" s="2719"/>
      <c r="AH109" s="230">
        <v>0</v>
      </c>
      <c r="AI109" s="3251"/>
      <c r="AJ109" s="3251">
        <f t="shared" si="40"/>
        <v>4.0999999999999996</v>
      </c>
      <c r="AK109" s="2719"/>
      <c r="AL109" s="230">
        <v>0</v>
      </c>
      <c r="AM109" s="3613"/>
      <c r="AN109" s="3613">
        <f t="shared" si="41"/>
        <v>0</v>
      </c>
      <c r="AO109" s="3612"/>
      <c r="AP109" s="3612">
        <f t="shared" si="42"/>
        <v>4.0999999999999996</v>
      </c>
      <c r="AQ109" s="2719"/>
      <c r="AR109" s="230">
        <v>4.0999999999999996</v>
      </c>
      <c r="AS109" s="3894"/>
      <c r="AT109" s="3894">
        <f t="shared" si="43"/>
        <v>8.1999999999999993</v>
      </c>
      <c r="AU109" s="2719"/>
      <c r="AV109" s="230"/>
      <c r="AW109" s="4081"/>
      <c r="AX109" s="4096">
        <f t="shared" si="44"/>
        <v>8.1999999999999993</v>
      </c>
      <c r="AY109" s="2719"/>
      <c r="AZ109" s="230"/>
      <c r="BA109" s="4269"/>
      <c r="BB109" s="4565">
        <f t="shared" si="45"/>
        <v>4.0999999999999996</v>
      </c>
      <c r="BC109" s="1854"/>
      <c r="BD109" s="1854">
        <f t="shared" si="46"/>
        <v>4.0999999999999996</v>
      </c>
      <c r="BE109" s="4564"/>
      <c r="BF109" s="4564">
        <f t="shared" si="47"/>
        <v>8.1999999999999993</v>
      </c>
    </row>
    <row r="110" spans="2:58" s="1726" customFormat="1" ht="15.75" x14ac:dyDescent="0.25">
      <c r="B110" s="2708" t="s">
        <v>1792</v>
      </c>
      <c r="C110" s="2712"/>
      <c r="D110" s="2710" t="s">
        <v>53</v>
      </c>
      <c r="E110" s="2716"/>
      <c r="F110" s="2717"/>
      <c r="G110" s="2699"/>
      <c r="H110" s="2717"/>
      <c r="I110" s="2718"/>
      <c r="J110" s="3874"/>
      <c r="K110" s="2716"/>
      <c r="L110" s="2717"/>
      <c r="M110" s="3895"/>
      <c r="N110" s="3895"/>
      <c r="O110" s="2719"/>
      <c r="P110" s="2717"/>
      <c r="Q110" s="3894"/>
      <c r="R110" s="3894"/>
      <c r="S110" s="2719"/>
      <c r="T110" s="2717"/>
      <c r="U110" s="3894"/>
      <c r="V110" s="3894"/>
      <c r="W110" s="2719"/>
      <c r="X110" s="2717"/>
      <c r="Y110" s="3895"/>
      <c r="Z110" s="3895"/>
      <c r="AA110" s="1854"/>
      <c r="AB110" s="1854"/>
      <c r="AC110" s="2719"/>
      <c r="AD110" s="230"/>
      <c r="AE110" s="3894"/>
      <c r="AF110" s="3894"/>
      <c r="AG110" s="2719"/>
      <c r="AH110" s="230"/>
      <c r="AI110" s="3894"/>
      <c r="AJ110" s="3894"/>
      <c r="AK110" s="2719"/>
      <c r="AL110" s="230"/>
      <c r="AM110" s="3895"/>
      <c r="AN110" s="3895"/>
      <c r="AO110" s="3894"/>
      <c r="AP110" s="3894"/>
      <c r="AQ110" s="2719"/>
      <c r="AR110" s="230">
        <v>4.0999999999999996</v>
      </c>
      <c r="AS110" s="3894"/>
      <c r="AT110" s="3894">
        <f t="shared" si="43"/>
        <v>4.0999999999999996</v>
      </c>
      <c r="AU110" s="2719"/>
      <c r="AV110" s="230"/>
      <c r="AW110" s="4081"/>
      <c r="AX110" s="4081">
        <f t="shared" si="44"/>
        <v>4.0999999999999996</v>
      </c>
      <c r="AY110" s="2719"/>
      <c r="AZ110" s="230"/>
      <c r="BA110" s="4269"/>
      <c r="BB110" s="4565">
        <f t="shared" si="45"/>
        <v>4.0999999999999996</v>
      </c>
      <c r="BC110" s="1854"/>
      <c r="BD110" s="1854">
        <f t="shared" si="46"/>
        <v>4.0999999999999996</v>
      </c>
      <c r="BE110" s="4564"/>
      <c r="BF110" s="4564">
        <f t="shared" si="47"/>
        <v>4.0999999999999996</v>
      </c>
    </row>
    <row r="111" spans="2:58" ht="15.75" x14ac:dyDescent="0.25">
      <c r="B111" s="2708" t="s">
        <v>1519</v>
      </c>
      <c r="C111" s="2712"/>
      <c r="D111" s="2710" t="s">
        <v>53</v>
      </c>
      <c r="E111" s="2716"/>
      <c r="F111" s="2717">
        <v>0</v>
      </c>
      <c r="G111" s="2699"/>
      <c r="H111" s="2717">
        <v>26.468</v>
      </c>
      <c r="I111" s="2718"/>
      <c r="J111" s="2339">
        <f t="shared" si="34"/>
        <v>26.468</v>
      </c>
      <c r="K111" s="2716"/>
      <c r="L111" s="2717">
        <v>0</v>
      </c>
      <c r="M111" s="1568"/>
      <c r="N111" s="1568">
        <f t="shared" si="35"/>
        <v>26.468</v>
      </c>
      <c r="O111" s="2719"/>
      <c r="P111" s="2717"/>
      <c r="Q111" s="1586"/>
      <c r="R111" s="1586">
        <f t="shared" si="36"/>
        <v>26.468</v>
      </c>
      <c r="S111" s="2719"/>
      <c r="T111" s="2717">
        <v>0</v>
      </c>
      <c r="U111" s="1586"/>
      <c r="V111" s="1586">
        <f t="shared" si="37"/>
        <v>26.468</v>
      </c>
      <c r="W111" s="2719"/>
      <c r="X111" s="2717"/>
      <c r="Y111" s="1568"/>
      <c r="Z111" s="1568">
        <f t="shared" si="38"/>
        <v>0</v>
      </c>
      <c r="AA111" s="1854"/>
      <c r="AB111" s="1854">
        <f t="shared" si="0"/>
        <v>26.468</v>
      </c>
      <c r="AC111" s="2719"/>
      <c r="AD111" s="230">
        <v>2.0499999999999998</v>
      </c>
      <c r="AE111" s="3152"/>
      <c r="AF111" s="3152">
        <f t="shared" si="39"/>
        <v>28.518000000000001</v>
      </c>
      <c r="AG111" s="2719"/>
      <c r="AH111" s="230">
        <v>0</v>
      </c>
      <c r="AI111" s="3251"/>
      <c r="AJ111" s="3251">
        <f t="shared" si="40"/>
        <v>28.518000000000001</v>
      </c>
      <c r="AK111" s="2719"/>
      <c r="AL111" s="230">
        <v>0</v>
      </c>
      <c r="AM111" s="3613"/>
      <c r="AN111" s="3613">
        <f t="shared" si="41"/>
        <v>2.0499999999999998</v>
      </c>
      <c r="AO111" s="3612"/>
      <c r="AP111" s="3612">
        <f t="shared" si="42"/>
        <v>28.518000000000001</v>
      </c>
      <c r="AQ111" s="2719"/>
      <c r="AR111" s="230"/>
      <c r="AS111" s="3894"/>
      <c r="AT111" s="3894">
        <f t="shared" si="43"/>
        <v>28.518000000000001</v>
      </c>
      <c r="AU111" s="2719"/>
      <c r="AV111" s="230"/>
      <c r="AW111" s="4081"/>
      <c r="AX111" s="4081">
        <f t="shared" si="44"/>
        <v>28.518000000000001</v>
      </c>
      <c r="AY111" s="2719"/>
      <c r="AZ111" s="230"/>
      <c r="BA111" s="4269"/>
      <c r="BB111" s="4565">
        <f t="shared" si="45"/>
        <v>0</v>
      </c>
      <c r="BC111" s="1854"/>
      <c r="BD111" s="1854">
        <f t="shared" si="46"/>
        <v>2.0499999999999998</v>
      </c>
      <c r="BE111" s="4564"/>
      <c r="BF111" s="4564">
        <f t="shared" si="47"/>
        <v>28.518000000000001</v>
      </c>
    </row>
    <row r="112" spans="2:58" s="1726" customFormat="1" ht="15.75" x14ac:dyDescent="0.25">
      <c r="B112" s="2708" t="s">
        <v>1738</v>
      </c>
      <c r="C112" s="2712"/>
      <c r="D112" s="2710" t="s">
        <v>53</v>
      </c>
      <c r="E112" s="2716"/>
      <c r="F112" s="2717"/>
      <c r="G112" s="2699"/>
      <c r="H112" s="2717"/>
      <c r="I112" s="2718"/>
      <c r="J112" s="3597"/>
      <c r="K112" s="2716"/>
      <c r="L112" s="2717"/>
      <c r="M112" s="3613"/>
      <c r="N112" s="3613"/>
      <c r="O112" s="2719"/>
      <c r="P112" s="2717"/>
      <c r="Q112" s="3612"/>
      <c r="R112" s="3612"/>
      <c r="S112" s="2719"/>
      <c r="T112" s="2717"/>
      <c r="U112" s="3612"/>
      <c r="V112" s="3612"/>
      <c r="W112" s="2719"/>
      <c r="X112" s="2717"/>
      <c r="Y112" s="3613"/>
      <c r="Z112" s="3613"/>
      <c r="AA112" s="1854"/>
      <c r="AB112" s="1854"/>
      <c r="AC112" s="2719"/>
      <c r="AD112" s="230"/>
      <c r="AE112" s="3612"/>
      <c r="AF112" s="3612"/>
      <c r="AG112" s="2719"/>
      <c r="AH112" s="230"/>
      <c r="AI112" s="3612"/>
      <c r="AJ112" s="3612"/>
      <c r="AK112" s="2719"/>
      <c r="AL112" s="230">
        <v>0</v>
      </c>
      <c r="AM112" s="3613"/>
      <c r="AN112" s="3613">
        <f t="shared" si="41"/>
        <v>0</v>
      </c>
      <c r="AO112" s="3612"/>
      <c r="AP112" s="3612">
        <f t="shared" si="42"/>
        <v>0</v>
      </c>
      <c r="AQ112" s="2719"/>
      <c r="AR112" s="230"/>
      <c r="AS112" s="3894"/>
      <c r="AT112" s="3894">
        <f t="shared" si="43"/>
        <v>0</v>
      </c>
      <c r="AU112" s="2719"/>
      <c r="AV112" s="230"/>
      <c r="AW112" s="4081"/>
      <c r="AX112" s="4081">
        <f t="shared" si="44"/>
        <v>0</v>
      </c>
      <c r="AY112" s="2719"/>
      <c r="AZ112" s="230"/>
      <c r="BA112" s="4269"/>
      <c r="BB112" s="4565">
        <f t="shared" si="45"/>
        <v>0</v>
      </c>
      <c r="BC112" s="1854"/>
      <c r="BD112" s="1854">
        <f t="shared" si="46"/>
        <v>0</v>
      </c>
      <c r="BE112" s="4564"/>
      <c r="BF112" s="4564">
        <f t="shared" si="47"/>
        <v>0</v>
      </c>
    </row>
    <row r="113" spans="2:62" ht="15.75" customHeight="1" x14ac:dyDescent="0.25">
      <c r="B113" s="2708" t="s">
        <v>1518</v>
      </c>
      <c r="C113" s="2712"/>
      <c r="D113" s="2710" t="s">
        <v>53</v>
      </c>
      <c r="E113" s="2716"/>
      <c r="F113" s="2717">
        <v>0</v>
      </c>
      <c r="G113" s="2699"/>
      <c r="H113" s="2717"/>
      <c r="I113" s="2718"/>
      <c r="J113" s="2339">
        <f t="shared" si="34"/>
        <v>0</v>
      </c>
      <c r="K113" s="2716"/>
      <c r="L113" s="2717">
        <v>2.0499999999999998</v>
      </c>
      <c r="M113" s="1568"/>
      <c r="N113" s="1568">
        <f t="shared" si="35"/>
        <v>2.0499999999999998</v>
      </c>
      <c r="O113" s="2719"/>
      <c r="P113" s="2717"/>
      <c r="Q113" s="1586"/>
      <c r="R113" s="1586">
        <f t="shared" si="36"/>
        <v>2.0499999999999998</v>
      </c>
      <c r="S113" s="2719"/>
      <c r="T113" s="2717">
        <v>0</v>
      </c>
      <c r="U113" s="1586"/>
      <c r="V113" s="1586">
        <f t="shared" si="37"/>
        <v>2.0499999999999998</v>
      </c>
      <c r="W113" s="2719"/>
      <c r="X113" s="2717"/>
      <c r="Y113" s="1568"/>
      <c r="Z113" s="1568">
        <f t="shared" si="38"/>
        <v>0</v>
      </c>
      <c r="AA113" s="1854"/>
      <c r="AB113" s="1854">
        <f t="shared" ref="AB113:AB114" si="48">N113+Z113</f>
        <v>2.0499999999999998</v>
      </c>
      <c r="AC113" s="2719"/>
      <c r="AD113" s="230">
        <v>0</v>
      </c>
      <c r="AE113" s="3152"/>
      <c r="AF113" s="3152">
        <f t="shared" si="39"/>
        <v>2.0499999999999998</v>
      </c>
      <c r="AG113" s="2719"/>
      <c r="AH113" s="230">
        <v>0</v>
      </c>
      <c r="AI113" s="3251"/>
      <c r="AJ113" s="3251">
        <f t="shared" si="40"/>
        <v>2.0499999999999998</v>
      </c>
      <c r="AK113" s="2719"/>
      <c r="AL113" s="230">
        <v>0</v>
      </c>
      <c r="AM113" s="3613"/>
      <c r="AN113" s="3613">
        <f t="shared" si="41"/>
        <v>0</v>
      </c>
      <c r="AO113" s="3612"/>
      <c r="AP113" s="3612">
        <f t="shared" si="42"/>
        <v>2.0499999999999998</v>
      </c>
      <c r="AQ113" s="2719"/>
      <c r="AR113" s="230"/>
      <c r="AS113" s="3894"/>
      <c r="AT113" s="3894">
        <f t="shared" si="43"/>
        <v>2.0499999999999998</v>
      </c>
      <c r="AU113" s="2719"/>
      <c r="AV113" s="230"/>
      <c r="AW113" s="4081"/>
      <c r="AX113" s="4081">
        <f t="shared" si="44"/>
        <v>2.0499999999999998</v>
      </c>
      <c r="AY113" s="2719"/>
      <c r="AZ113" s="230"/>
      <c r="BA113" s="4269"/>
      <c r="BB113" s="4565">
        <f t="shared" si="45"/>
        <v>0</v>
      </c>
      <c r="BC113" s="1854"/>
      <c r="BD113" s="1854">
        <f t="shared" si="46"/>
        <v>0</v>
      </c>
      <c r="BE113" s="4564"/>
      <c r="BF113" s="4564">
        <f t="shared" si="47"/>
        <v>2.0499999999999998</v>
      </c>
    </row>
    <row r="114" spans="2:62" ht="15.75" customHeight="1" x14ac:dyDescent="0.25">
      <c r="B114" s="2711" t="s">
        <v>1520</v>
      </c>
      <c r="C114" s="2720"/>
      <c r="D114" s="2721" t="s">
        <v>53</v>
      </c>
      <c r="E114" s="2722"/>
      <c r="F114" s="2723">
        <v>0</v>
      </c>
      <c r="G114" s="2724"/>
      <c r="H114" s="2723"/>
      <c r="I114" s="2725"/>
      <c r="J114" s="716">
        <f t="shared" si="34"/>
        <v>0</v>
      </c>
      <c r="K114" s="2722"/>
      <c r="L114" s="2723">
        <v>0</v>
      </c>
      <c r="M114" s="2726"/>
      <c r="N114" s="2726">
        <f t="shared" si="35"/>
        <v>0</v>
      </c>
      <c r="O114" s="2727"/>
      <c r="P114" s="2723"/>
      <c r="Q114" s="692"/>
      <c r="R114" s="692">
        <f t="shared" si="36"/>
        <v>0</v>
      </c>
      <c r="S114" s="2727"/>
      <c r="T114" s="2723">
        <v>0</v>
      </c>
      <c r="U114" s="692"/>
      <c r="V114" s="692">
        <f t="shared" si="37"/>
        <v>0</v>
      </c>
      <c r="W114" s="2727"/>
      <c r="X114" s="2723"/>
      <c r="Y114" s="2726"/>
      <c r="Z114" s="2726">
        <f t="shared" ref="Z114" si="49">P114+T114+X114</f>
        <v>0</v>
      </c>
      <c r="AA114" s="2728"/>
      <c r="AB114" s="2728">
        <f t="shared" si="48"/>
        <v>0</v>
      </c>
      <c r="AC114" s="2727"/>
      <c r="AD114" s="230">
        <v>0</v>
      </c>
      <c r="AE114" s="692"/>
      <c r="AF114" s="3152">
        <f t="shared" si="39"/>
        <v>0</v>
      </c>
      <c r="AG114" s="2727"/>
      <c r="AH114" s="230">
        <v>0</v>
      </c>
      <c r="AI114" s="692"/>
      <c r="AJ114" s="3251">
        <f t="shared" si="40"/>
        <v>0</v>
      </c>
      <c r="AK114" s="2727"/>
      <c r="AL114" s="230">
        <v>0</v>
      </c>
      <c r="AM114" s="2726"/>
      <c r="AN114" s="3613">
        <f t="shared" si="41"/>
        <v>0</v>
      </c>
      <c r="AO114" s="692"/>
      <c r="AP114" s="3612">
        <f t="shared" si="42"/>
        <v>0</v>
      </c>
      <c r="AQ114" s="2727"/>
      <c r="AR114" s="230"/>
      <c r="AS114" s="692"/>
      <c r="AT114" s="3894">
        <f t="shared" si="43"/>
        <v>0</v>
      </c>
      <c r="AU114" s="2727"/>
      <c r="AV114" s="230"/>
      <c r="AW114" s="692"/>
      <c r="AX114" s="4081">
        <f t="shared" si="44"/>
        <v>0</v>
      </c>
      <c r="AY114" s="2727"/>
      <c r="AZ114" s="230"/>
      <c r="BA114" s="2726"/>
      <c r="BB114" s="4565">
        <f t="shared" si="45"/>
        <v>0</v>
      </c>
      <c r="BC114" s="1854"/>
      <c r="BD114" s="1854">
        <f t="shared" si="46"/>
        <v>0</v>
      </c>
      <c r="BE114" s="4564"/>
      <c r="BF114" s="4564">
        <f t="shared" si="47"/>
        <v>0</v>
      </c>
      <c r="BH114" s="4621"/>
    </row>
    <row r="115" spans="2:62" s="189" customFormat="1" ht="15.75" x14ac:dyDescent="0.25">
      <c r="B115" s="2729" t="s">
        <v>331</v>
      </c>
      <c r="C115" s="2729"/>
      <c r="D115" s="2427" t="s">
        <v>53</v>
      </c>
      <c r="E115" s="1574">
        <f>+'Maj Production Summ'!E28</f>
        <v>33000</v>
      </c>
      <c r="F115" s="1574">
        <f>SUM(F7:F114)</f>
        <v>32440.39</v>
      </c>
      <c r="G115" s="1574">
        <f>+'Maj Production Summ'!G28</f>
        <v>41500</v>
      </c>
      <c r="H115" s="1574">
        <f>SUM(H7:H114)</f>
        <v>24772.379999999997</v>
      </c>
      <c r="I115" s="1574">
        <f>+'Maj Production Summ'!I28</f>
        <v>74500</v>
      </c>
      <c r="J115" s="1574">
        <f>SUM(J7:J114)</f>
        <v>57212.770000000011</v>
      </c>
      <c r="K115" s="1574">
        <f>+'Maj Production Summ'!K28</f>
        <v>41500</v>
      </c>
      <c r="L115" s="1574">
        <f>SUM(L7:L114)</f>
        <v>38861.850000000013</v>
      </c>
      <c r="M115" s="1574">
        <f>+'Maj Production Summ'!M28</f>
        <v>116000</v>
      </c>
      <c r="N115" s="1574">
        <f>SUM(N7:N114)</f>
        <v>96074.620000000024</v>
      </c>
      <c r="O115" s="1574">
        <f>+'Maj Production Summ'!O28</f>
        <v>43500</v>
      </c>
      <c r="P115" s="1574">
        <f>SUM(P7:P114)</f>
        <v>38339.099999999991</v>
      </c>
      <c r="Q115" s="1574">
        <f>+'Maj Production Summ'!Q28</f>
        <v>159500</v>
      </c>
      <c r="R115" s="1574">
        <f>SUM(R7:R114)</f>
        <v>134413.72</v>
      </c>
      <c r="S115" s="1574">
        <f>+'Maj Production Summ'!S28</f>
        <v>43500</v>
      </c>
      <c r="T115" s="1574">
        <f>SUM(T7:T114)</f>
        <v>41321.850000000006</v>
      </c>
      <c r="U115" s="1574">
        <f>+'Maj Production Summ'!U28</f>
        <v>203000</v>
      </c>
      <c r="V115" s="1574">
        <f>SUM(V7:V114)</f>
        <v>175735.57000000007</v>
      </c>
      <c r="W115" s="1574">
        <f>+'Maj Production Summ'!W28</f>
        <v>42000</v>
      </c>
      <c r="X115" s="1574">
        <f>SUM(X7:X114)</f>
        <v>40165.649999999994</v>
      </c>
      <c r="Y115" s="1574">
        <f>+'Maj Production Summ'!Y28</f>
        <v>129000</v>
      </c>
      <c r="Z115" s="1574">
        <f>SUM(Z7:Z114)</f>
        <v>119826.6</v>
      </c>
      <c r="AA115" s="1574">
        <f>+'Maj Production Summ'!AA28</f>
        <v>245000</v>
      </c>
      <c r="AB115" s="1574">
        <f>SUM(AB7:AB114)</f>
        <v>215901.22000000003</v>
      </c>
      <c r="AC115" s="3154">
        <f>+'Maj Production Summ'!AC28</f>
        <v>43500</v>
      </c>
      <c r="AD115" s="3222">
        <f>SUM(AD7:AD114)</f>
        <v>43328.800000000003</v>
      </c>
      <c r="AE115" s="3154">
        <f>+'Maj Production Summ'!AE28</f>
        <v>288500</v>
      </c>
      <c r="AF115" s="3154">
        <f>SUM(AF7:AF114)</f>
        <v>259230.02000000005</v>
      </c>
      <c r="AG115" s="3258">
        <f>+'Maj Production Summ'!AG28</f>
        <v>42000</v>
      </c>
      <c r="AH115" s="3336">
        <f>SUM(AH7:AH114)</f>
        <v>37172.65</v>
      </c>
      <c r="AI115" s="3336">
        <f>+'Maj Production Summ'!AI28</f>
        <v>330500</v>
      </c>
      <c r="AJ115" s="3336">
        <f>SUM(AJ7:AJ114)</f>
        <v>296402.66999999987</v>
      </c>
      <c r="AK115" s="3628">
        <f>+'Maj Production Summ'!AK28</f>
        <v>43500</v>
      </c>
      <c r="AL115" s="3628">
        <f>SUM(AL7:AL114)</f>
        <v>40077.503999999994</v>
      </c>
      <c r="AM115" s="3628">
        <f>+'Maj Production Summ'!AM28</f>
        <v>129000</v>
      </c>
      <c r="AN115" s="3628">
        <f>SUM(AN7:AN114)</f>
        <v>120578.95400000001</v>
      </c>
      <c r="AO115" s="3628">
        <f>+'Maj Production Summ'!AO28</f>
        <v>374000</v>
      </c>
      <c r="AP115" s="3628">
        <f>SUM(AP7:AP114)</f>
        <v>336480.17399999977</v>
      </c>
      <c r="AQ115" s="3628">
        <f>+'Maj Production Summ'!AQ28</f>
        <v>43500</v>
      </c>
      <c r="AR115" s="3628">
        <f>SUM(AR7:AR114)</f>
        <v>40249.69999999999</v>
      </c>
      <c r="AS115" s="3628">
        <f>+'Maj Production Summ'!AS28</f>
        <v>417500</v>
      </c>
      <c r="AT115" s="3628">
        <f>SUM(AT7:AT114)</f>
        <v>376729.87399999972</v>
      </c>
      <c r="AU115" s="3628">
        <f>+'Maj Production Summ'!AU28</f>
        <v>39000</v>
      </c>
      <c r="AV115" s="3628">
        <f>SUM(AV7:AV114)</f>
        <v>43738.80000000001</v>
      </c>
      <c r="AW115" s="3628">
        <f>+'Maj Production Summ'!AW28</f>
        <v>456500</v>
      </c>
      <c r="AX115" s="3628">
        <f>SUM(AX7:AX114)</f>
        <v>420468.67399999994</v>
      </c>
      <c r="AY115" s="3628">
        <f>+'Maj Production Summ'!AY28</f>
        <v>43500</v>
      </c>
      <c r="AZ115" s="3628">
        <f>SUM(AZ7:AZ114)</f>
        <v>46063.5</v>
      </c>
      <c r="BA115" s="3628">
        <f>+'Maj Production Summ'!BA28</f>
        <v>126000</v>
      </c>
      <c r="BB115" s="3628">
        <f>SUM(BB7:BB114)</f>
        <v>130051.99999999997</v>
      </c>
      <c r="BC115" s="3628">
        <f>+'Maj Production Summ'!BC28</f>
        <v>255000</v>
      </c>
      <c r="BD115" s="3628">
        <f>SUM(BD7:BD114)</f>
        <v>250630.95399999994</v>
      </c>
      <c r="BE115" s="3628">
        <f>+'Maj Production Summ'!BE28</f>
        <v>500000</v>
      </c>
      <c r="BF115" s="3628">
        <f>SUM(BF7:BF114)</f>
        <v>466532.17399999971</v>
      </c>
      <c r="BH115" s="189">
        <v>465957.79</v>
      </c>
      <c r="BI115" s="189">
        <v>614</v>
      </c>
      <c r="BJ115" s="4656">
        <f>+BH115-BI115</f>
        <v>465343.79</v>
      </c>
    </row>
    <row r="116" spans="2:62" s="1076" customFormat="1" ht="15.75" x14ac:dyDescent="0.25">
      <c r="B116" s="2730" t="s">
        <v>1056</v>
      </c>
      <c r="C116" s="2730"/>
      <c r="D116" s="2731" t="s">
        <v>53</v>
      </c>
      <c r="E116" s="1574">
        <f>+E115</f>
        <v>33000</v>
      </c>
      <c r="F116" s="1574">
        <f>+F115-SUM(F102:F114)</f>
        <v>32270.342000000001</v>
      </c>
      <c r="G116" s="1574">
        <f>+G115</f>
        <v>41500</v>
      </c>
      <c r="H116" s="1574">
        <f>+H115-SUM(H102:H114)</f>
        <v>24699.073999999997</v>
      </c>
      <c r="I116" s="1574">
        <f>+I115</f>
        <v>74500</v>
      </c>
      <c r="J116" s="1574">
        <f t="shared" ref="J116:V116" si="50">+J115-SUM(J102:J114)</f>
        <v>56969.416000000012</v>
      </c>
      <c r="K116" s="1574">
        <f>+K115</f>
        <v>41500</v>
      </c>
      <c r="L116" s="1574">
        <f t="shared" si="50"/>
        <v>38759.350000000013</v>
      </c>
      <c r="M116" s="1574">
        <f>+M115</f>
        <v>116000</v>
      </c>
      <c r="N116" s="1574">
        <f t="shared" si="50"/>
        <v>95728.766000000018</v>
      </c>
      <c r="O116" s="1574">
        <f>+O115</f>
        <v>43500</v>
      </c>
      <c r="P116" s="1574">
        <f t="shared" si="50"/>
        <v>38136.149999999994</v>
      </c>
      <c r="Q116" s="1574">
        <f>+Q115</f>
        <v>159500</v>
      </c>
      <c r="R116" s="1574">
        <f t="shared" si="50"/>
        <v>133864.916</v>
      </c>
      <c r="S116" s="1574">
        <f>+S115</f>
        <v>43500</v>
      </c>
      <c r="T116" s="1574">
        <f>+T115-SUM(T102:T114)</f>
        <v>41256.250000000007</v>
      </c>
      <c r="U116" s="1574">
        <f>+U115</f>
        <v>203000</v>
      </c>
      <c r="V116" s="1574">
        <f t="shared" si="50"/>
        <v>175121.16600000006</v>
      </c>
      <c r="W116" s="1574">
        <f>+W115</f>
        <v>42000</v>
      </c>
      <c r="X116" s="1574">
        <f>+X115-SUM(X102:X114)</f>
        <v>40056.999999999993</v>
      </c>
      <c r="Y116" s="1574">
        <f>+Y115</f>
        <v>129000</v>
      </c>
      <c r="Z116" s="1574">
        <f>+Z115-SUM(Z102:Z114)</f>
        <v>119449.40000000001</v>
      </c>
      <c r="AA116" s="1574">
        <f>+AA115</f>
        <v>245000</v>
      </c>
      <c r="AB116" s="1574">
        <f>+AB115-SUM(AB102:AB114)</f>
        <v>215178.16600000003</v>
      </c>
      <c r="AC116" s="3154">
        <f>+AC115</f>
        <v>43500</v>
      </c>
      <c r="AD116" s="3154">
        <f>+AD115-SUM(AD102:AD114)</f>
        <v>43248.850000000006</v>
      </c>
      <c r="AE116" s="3154">
        <f>+AE115</f>
        <v>288500</v>
      </c>
      <c r="AF116" s="3154">
        <f>+AF115-SUM(AF102:AF114)</f>
        <v>258427.01600000006</v>
      </c>
      <c r="AG116" s="3258">
        <f>+AG115</f>
        <v>42000</v>
      </c>
      <c r="AH116" s="3358">
        <f>+AH115-SUM(AH102:AH114)</f>
        <v>37008.65</v>
      </c>
      <c r="AI116" s="3336">
        <f>+AI115</f>
        <v>330500</v>
      </c>
      <c r="AJ116" s="3336">
        <f>+AJ115-SUM(AJ102:AJ114)</f>
        <v>295435.66599999985</v>
      </c>
      <c r="AK116" s="3628">
        <f>+AK115</f>
        <v>43500</v>
      </c>
      <c r="AL116" s="3628">
        <f>+AL115-SUM(AL102:AL114)</f>
        <v>40005.753999999994</v>
      </c>
      <c r="AM116" s="3628">
        <f>+AM115</f>
        <v>129000</v>
      </c>
      <c r="AN116" s="3628">
        <f>+AN115-SUM(AN102:AN114)</f>
        <v>120263.25400000002</v>
      </c>
      <c r="AO116" s="3628">
        <f>+AO115</f>
        <v>374000</v>
      </c>
      <c r="AP116" s="3628">
        <f>+AP115-SUM(AP102:AP114)</f>
        <v>335441.41999999975</v>
      </c>
      <c r="AQ116" s="3628">
        <f>+AQ115</f>
        <v>43500</v>
      </c>
      <c r="AR116" s="3628">
        <f>+AR115-SUM(AR102:AR114)</f>
        <v>40182.049999999988</v>
      </c>
      <c r="AS116" s="3628">
        <f>+AS115</f>
        <v>417500</v>
      </c>
      <c r="AT116" s="3628">
        <f>+AT115-SUM(AT102:AT114)</f>
        <v>375623.46999999974</v>
      </c>
      <c r="AU116" s="3628">
        <f>+AU115</f>
        <v>39000</v>
      </c>
      <c r="AV116" s="3628">
        <f>+AV115-SUM(AV102:AV114)</f>
        <v>43710.100000000013</v>
      </c>
      <c r="AW116" s="3628">
        <f>+AW115</f>
        <v>456500</v>
      </c>
      <c r="AX116" s="3628">
        <f>+AX115-SUM(AX102:AX114)</f>
        <v>419333.56999999995</v>
      </c>
      <c r="AY116" s="3628">
        <f>+AY115</f>
        <v>43500</v>
      </c>
      <c r="AZ116" s="3628">
        <f>+AZ115-SUM(AZ102:AZ114)</f>
        <v>46010.2</v>
      </c>
      <c r="BA116" s="3628">
        <f>+BA115</f>
        <v>126000</v>
      </c>
      <c r="BB116" s="3628">
        <f>+BB115-SUM(BB102:BB114)</f>
        <v>129902.34999999998</v>
      </c>
      <c r="BC116" s="3628">
        <f>+BC115</f>
        <v>255000</v>
      </c>
      <c r="BD116" s="3628">
        <f>+BD115-SUM(BD102:BD114)</f>
        <v>250165.60399999993</v>
      </c>
      <c r="BE116" s="3628">
        <f>+BE115</f>
        <v>500000</v>
      </c>
      <c r="BF116" s="3628">
        <f>+BF115-SUM(BF102:BF114)</f>
        <v>465343.76999999973</v>
      </c>
    </row>
    <row r="117" spans="2:62" s="334" customFormat="1" ht="15.75" x14ac:dyDescent="0.25">
      <c r="B117" s="2732" t="s">
        <v>1055</v>
      </c>
      <c r="C117" s="2732"/>
      <c r="D117" s="2733" t="s">
        <v>53</v>
      </c>
      <c r="E117" s="1574"/>
      <c r="F117" s="1574">
        <f>+SUM(F102:F114)</f>
        <v>170.048</v>
      </c>
      <c r="G117" s="1574"/>
      <c r="H117" s="1574">
        <f>+SUM(H102:H114)</f>
        <v>73.305999999999997</v>
      </c>
      <c r="I117" s="1574"/>
      <c r="J117" s="1574">
        <f>+SUM(J102:J114)</f>
        <v>243.35400000000001</v>
      </c>
      <c r="K117" s="1574"/>
      <c r="L117" s="1574">
        <f>+SUM(L102:L114)</f>
        <v>102.49999999999999</v>
      </c>
      <c r="M117" s="1574"/>
      <c r="N117" s="1574">
        <f>+SUM(N102:N114)</f>
        <v>345.85400000000004</v>
      </c>
      <c r="O117" s="1574"/>
      <c r="P117" s="1574">
        <f>+SUM(P102:P114)</f>
        <v>202.95000000000002</v>
      </c>
      <c r="Q117" s="1574"/>
      <c r="R117" s="1574">
        <f>+SUM(R102:R114)</f>
        <v>548.80399999999986</v>
      </c>
      <c r="S117" s="1574"/>
      <c r="T117" s="1574">
        <f>+SUM(T102:T114)</f>
        <v>65.599999999999994</v>
      </c>
      <c r="U117" s="1574"/>
      <c r="V117" s="1574">
        <f>+SUM(V102:V114)</f>
        <v>614.404</v>
      </c>
      <c r="W117" s="1574"/>
      <c r="X117" s="1574">
        <f>+SUM(X102:X114)</f>
        <v>108.65</v>
      </c>
      <c r="Y117" s="1574"/>
      <c r="Z117" s="1574">
        <f>+SUM(Z102:Z114)</f>
        <v>377.2</v>
      </c>
      <c r="AA117" s="1574"/>
      <c r="AB117" s="1574">
        <f>+SUM(AB102:AB114)</f>
        <v>723.05399999999997</v>
      </c>
      <c r="AC117" s="3154"/>
      <c r="AD117" s="3154">
        <f>+SUM(AD102:AD114)</f>
        <v>79.95</v>
      </c>
      <c r="AE117" s="3154"/>
      <c r="AF117" s="3154">
        <f>+SUM(AF102:AF114)</f>
        <v>803.00400000000002</v>
      </c>
      <c r="AG117" s="3258"/>
      <c r="AH117" s="3336">
        <f>+SUM(AH102:AH114)</f>
        <v>164</v>
      </c>
      <c r="AI117" s="3336"/>
      <c r="AJ117" s="3336">
        <f>+SUM(AJ102:AJ114)</f>
        <v>967.00400000000002</v>
      </c>
      <c r="AK117" s="3628"/>
      <c r="AL117" s="3689">
        <f>+SUM(AL102:AL114)</f>
        <v>71.75</v>
      </c>
      <c r="AM117" s="3628"/>
      <c r="AN117" s="3628">
        <f>+SUM(AN102:AN114)</f>
        <v>315.7</v>
      </c>
      <c r="AO117" s="3628"/>
      <c r="AP117" s="3628">
        <f>+SUM(AP102:AP114)</f>
        <v>1038.7539999999999</v>
      </c>
      <c r="AQ117" s="3628"/>
      <c r="AR117" s="3689">
        <f>+SUM(AR102:AR114)</f>
        <v>67.650000000000006</v>
      </c>
      <c r="AS117" s="3628"/>
      <c r="AT117" s="3628">
        <f>+SUM(AT102:AT114)</f>
        <v>1106.404</v>
      </c>
      <c r="AU117" s="3628"/>
      <c r="AV117" s="3689">
        <f>+SUM(AV102:AV114)</f>
        <v>28.699999999999996</v>
      </c>
      <c r="AW117" s="3628"/>
      <c r="AX117" s="3628">
        <f>+SUM(AX102:AX114)</f>
        <v>1135.104</v>
      </c>
      <c r="AY117" s="3628"/>
      <c r="AZ117" s="3689">
        <f>+SUM(AZ102:AZ114)</f>
        <v>53.3</v>
      </c>
      <c r="BA117" s="3628"/>
      <c r="BB117" s="3628">
        <f>+SUM(BB102:BB114)</f>
        <v>149.65</v>
      </c>
      <c r="BC117" s="3628"/>
      <c r="BD117" s="3628">
        <f>+SUM(BD102:BD114)</f>
        <v>465.35</v>
      </c>
      <c r="BE117" s="3628"/>
      <c r="BF117" s="3628">
        <f>+SUM(BF102:BF114)</f>
        <v>1188.4040000000002</v>
      </c>
    </row>
    <row r="118" spans="2:62" ht="15.75" x14ac:dyDescent="0.25">
      <c r="B118" s="2452" t="s">
        <v>346</v>
      </c>
      <c r="C118" s="2452"/>
      <c r="D118" s="2427" t="s">
        <v>52</v>
      </c>
      <c r="E118" s="3630">
        <f>+E116*100/E5</f>
        <v>96</v>
      </c>
      <c r="F118" s="3630">
        <f t="shared" ref="F118:BF118" si="51">+F116*100/F5</f>
        <v>94.596207163205023</v>
      </c>
      <c r="G118" s="3630">
        <f t="shared" si="51"/>
        <v>95.999999259759036</v>
      </c>
      <c r="H118" s="3630">
        <f t="shared" si="51"/>
        <v>94.668702695016222</v>
      </c>
      <c r="I118" s="3630">
        <f t="shared" si="51"/>
        <v>95.999999587651004</v>
      </c>
      <c r="J118" s="3630">
        <f t="shared" si="51"/>
        <v>94.627623941947874</v>
      </c>
      <c r="K118" s="3630">
        <f t="shared" si="51"/>
        <v>95.999999999999986</v>
      </c>
      <c r="L118" s="3630">
        <f t="shared" si="51"/>
        <v>95.456321129512546</v>
      </c>
      <c r="M118" s="3630">
        <f t="shared" si="51"/>
        <v>95.999999735172409</v>
      </c>
      <c r="N118" s="3630">
        <f t="shared" si="51"/>
        <v>94.961413207522256</v>
      </c>
      <c r="O118" s="3630">
        <f t="shared" si="51"/>
        <v>96</v>
      </c>
      <c r="P118" s="3630">
        <f t="shared" si="51"/>
        <v>95.334459496788199</v>
      </c>
      <c r="Q118" s="3630">
        <f t="shared" si="51"/>
        <v>95.999999807398112</v>
      </c>
      <c r="R118" s="3630">
        <f t="shared" si="51"/>
        <v>95.067390902173173</v>
      </c>
      <c r="S118" s="3630">
        <f t="shared" si="51"/>
        <v>96</v>
      </c>
      <c r="T118" s="3630">
        <f t="shared" si="51"/>
        <v>95.570778980523386</v>
      </c>
      <c r="U118" s="3630">
        <f t="shared" si="51"/>
        <v>95.999999848669944</v>
      </c>
      <c r="V118" s="3630">
        <f t="shared" si="51"/>
        <v>95.185504453018098</v>
      </c>
      <c r="W118" s="3630">
        <f t="shared" si="51"/>
        <v>96</v>
      </c>
      <c r="X118" s="3630">
        <f t="shared" si="51"/>
        <v>95.574741764835508</v>
      </c>
      <c r="Y118" s="3630">
        <f t="shared" si="51"/>
        <v>96</v>
      </c>
      <c r="Z118" s="3630">
        <f t="shared" si="51"/>
        <v>95.496529725021134</v>
      </c>
      <c r="AA118" s="3630">
        <f t="shared" si="51"/>
        <v>95.999999874612243</v>
      </c>
      <c r="AB118" s="3630">
        <f t="shared" si="51"/>
        <v>95.257723499231957</v>
      </c>
      <c r="AC118" s="3630">
        <f t="shared" si="51"/>
        <v>96</v>
      </c>
      <c r="AD118" s="3630">
        <f t="shared" si="51"/>
        <v>95.682472998185943</v>
      </c>
      <c r="AE118" s="3630">
        <f t="shared" si="51"/>
        <v>95.999999893518208</v>
      </c>
      <c r="AF118" s="3630">
        <f t="shared" si="51"/>
        <v>95.328544179725881</v>
      </c>
      <c r="AG118" s="3630">
        <f t="shared" si="51"/>
        <v>96</v>
      </c>
      <c r="AH118" s="3630">
        <f t="shared" si="51"/>
        <v>95.131263440415879</v>
      </c>
      <c r="AI118" s="3630">
        <f t="shared" si="51"/>
        <v>95.999999907049926</v>
      </c>
      <c r="AJ118" s="3630">
        <f t="shared" si="51"/>
        <v>95.303786388461504</v>
      </c>
      <c r="AK118" s="3630">
        <f t="shared" si="51"/>
        <v>96</v>
      </c>
      <c r="AL118" s="3630">
        <f t="shared" si="51"/>
        <v>95.645899612883454</v>
      </c>
      <c r="AM118" s="3630">
        <f t="shared" si="51"/>
        <v>96</v>
      </c>
      <c r="AN118" s="3630">
        <f t="shared" si="51"/>
        <v>95.50004390929692</v>
      </c>
      <c r="AO118" s="3630">
        <f t="shared" si="51"/>
        <v>95.999999917860961</v>
      </c>
      <c r="AP118" s="3630">
        <f t="shared" si="51"/>
        <v>95.344459250918646</v>
      </c>
      <c r="AQ118" s="3630">
        <f t="shared" si="51"/>
        <v>96</v>
      </c>
      <c r="AR118" s="3630">
        <f t="shared" si="51"/>
        <v>95.761750628055836</v>
      </c>
      <c r="AS118" s="3630">
        <f t="shared" si="51"/>
        <v>95.999999926419164</v>
      </c>
      <c r="AT118" s="3630">
        <f t="shared" si="51"/>
        <v>95.388924902137404</v>
      </c>
      <c r="AU118" s="3630">
        <f t="shared" si="51"/>
        <v>96</v>
      </c>
      <c r="AV118" s="3630">
        <f t="shared" si="51"/>
        <v>96.094762629771068</v>
      </c>
      <c r="AW118" s="3630">
        <f t="shared" si="51"/>
        <v>95.999999932705379</v>
      </c>
      <c r="AX118" s="3630">
        <f t="shared" si="51"/>
        <v>95.462014894242245</v>
      </c>
      <c r="AY118" s="3630">
        <f t="shared" si="51"/>
        <v>96</v>
      </c>
      <c r="AZ118" s="3630">
        <f t="shared" si="51"/>
        <v>95.901976891538411</v>
      </c>
      <c r="BA118" s="3630">
        <f t="shared" si="51"/>
        <v>96</v>
      </c>
      <c r="BB118" s="3630">
        <f t="shared" si="51"/>
        <v>95.923281843695676</v>
      </c>
      <c r="BC118" s="3630">
        <f t="shared" si="51"/>
        <v>96</v>
      </c>
      <c r="BD118" s="3630">
        <f t="shared" si="51"/>
        <v>95.719349501648722</v>
      </c>
      <c r="BE118" s="3630">
        <f t="shared" si="51"/>
        <v>95.999999938560009</v>
      </c>
      <c r="BF118" s="3630">
        <f t="shared" si="51"/>
        <v>95.505335593423183</v>
      </c>
    </row>
    <row r="119" spans="2:62" s="334" customFormat="1" x14ac:dyDescent="0.25">
      <c r="B119" s="2734" t="s">
        <v>1048</v>
      </c>
      <c r="C119" s="2734"/>
      <c r="D119" s="2454" t="s">
        <v>53</v>
      </c>
      <c r="E119" s="1123"/>
      <c r="F119" s="1123">
        <f>+'Special Steel Production '!G33</f>
        <v>30346.896000000001</v>
      </c>
      <c r="G119" s="1123"/>
      <c r="H119" s="1123">
        <f>+'Special Steel Production '!I33</f>
        <v>14506.318000000001</v>
      </c>
      <c r="I119" s="1123"/>
      <c r="J119" s="1123">
        <f>+'Special Steel Production '!K33</f>
        <v>44853.214</v>
      </c>
      <c r="K119" s="1123"/>
      <c r="L119" s="1123">
        <f>+'Special Steel Production '!M33</f>
        <v>37591.880000000005</v>
      </c>
      <c r="M119" s="1123"/>
      <c r="N119" s="1123">
        <f>+'Special Steel Production '!O33</f>
        <v>82445.094000000012</v>
      </c>
      <c r="O119" s="1123"/>
      <c r="P119" s="1123">
        <f>+'Special Steel Production '!Q33</f>
        <v>35499.953999999998</v>
      </c>
      <c r="Q119" s="1123"/>
      <c r="R119" s="1123">
        <f>+'Special Steel Production '!S33</f>
        <v>117945.04800000001</v>
      </c>
      <c r="S119" s="1123"/>
      <c r="T119" s="1123">
        <f>+'Special Steel Production '!U33</f>
        <v>29725</v>
      </c>
      <c r="U119" s="1123"/>
      <c r="V119" s="1123">
        <f>+'Special Steel Production '!W33</f>
        <v>147670.04800000001</v>
      </c>
      <c r="W119" s="1123"/>
      <c r="X119" s="1123">
        <f>+'Special Steel Production '!Y33</f>
        <v>35797.1</v>
      </c>
      <c r="Y119" s="1123"/>
      <c r="Z119" s="1123">
        <f>+'Special Steel Production '!AA33</f>
        <v>101022.054</v>
      </c>
      <c r="AA119" s="1123"/>
      <c r="AB119" s="1123">
        <f>+'Special Steel Production '!AC33</f>
        <v>183467.14799999999</v>
      </c>
      <c r="AC119" s="1123"/>
      <c r="AD119" s="1123">
        <f>+'Special Steel Production '!AE33</f>
        <v>33833.199999999997</v>
      </c>
      <c r="AE119" s="1123"/>
      <c r="AF119" s="1123">
        <f>+'Special Steel Production '!AG33</f>
        <v>217300.348</v>
      </c>
      <c r="AG119" s="1123"/>
      <c r="AH119" s="1123">
        <f>+'Special Steel Production '!AI33</f>
        <v>33999.432000000001</v>
      </c>
      <c r="AI119" s="1123"/>
      <c r="AJ119" s="1123">
        <f>+'Special Steel Production '!AK33</f>
        <v>251299.78</v>
      </c>
      <c r="AK119" s="3642"/>
      <c r="AL119" s="3642">
        <f>+'Special Steel Production '!AM33</f>
        <v>39499.660000000003</v>
      </c>
      <c r="AM119" s="3642"/>
      <c r="AN119" s="3642">
        <f>+'Special Steel Production '!AO33</f>
        <v>107332.292</v>
      </c>
      <c r="AO119" s="3642"/>
      <c r="AP119" s="3642">
        <f>+'Special Steel Production '!AQ33</f>
        <v>290799.44000000006</v>
      </c>
      <c r="AQ119" s="3871"/>
      <c r="AR119" s="3871">
        <f>+'Special Steel Production '!AS33</f>
        <v>29042.35</v>
      </c>
      <c r="AS119" s="3871"/>
      <c r="AT119" s="3871">
        <f>+'Special Steel Production '!AU33</f>
        <v>319841.79000000004</v>
      </c>
      <c r="AU119" s="4059"/>
      <c r="AV119" s="4059">
        <f>+'Special Steel Production '!AW33</f>
        <v>29105.899999999998</v>
      </c>
      <c r="AW119" s="4059"/>
      <c r="AX119" s="4059">
        <f>+'Special Steel Production '!AY33</f>
        <v>348947.69000000006</v>
      </c>
      <c r="AY119" s="4228"/>
      <c r="AZ119" s="4228">
        <f>+'Special Steel Production '!BA33</f>
        <v>29073.1</v>
      </c>
      <c r="BA119" s="4228"/>
      <c r="BB119" s="4228">
        <f>+'Special Steel Production '!BC33</f>
        <v>87221.349999999991</v>
      </c>
      <c r="BC119" s="4228"/>
      <c r="BD119" s="4228">
        <f>+'Special Steel Production '!BE33</f>
        <v>194553.64199999996</v>
      </c>
      <c r="BE119" s="4228"/>
      <c r="BF119" s="4228">
        <f>+'Special Steel Production '!BG33</f>
        <v>378020.79000000004</v>
      </c>
    </row>
    <row r="120" spans="2:62" s="334" customFormat="1" x14ac:dyDescent="0.25">
      <c r="B120" s="2734" t="s">
        <v>1049</v>
      </c>
      <c r="C120" s="2734"/>
      <c r="D120" s="2454" t="s">
        <v>52</v>
      </c>
      <c r="E120" s="1123"/>
      <c r="F120" s="1735">
        <f>+F119/F116</f>
        <v>0.94039585945509963</v>
      </c>
      <c r="G120" s="1123"/>
      <c r="H120" s="1735">
        <f t="shared" ref="H120:BF120" si="52">+H119/H116</f>
        <v>0.58732234252992654</v>
      </c>
      <c r="I120" s="1735">
        <f t="shared" si="52"/>
        <v>0</v>
      </c>
      <c r="J120" s="1735">
        <f t="shared" si="52"/>
        <v>0.78732093725517549</v>
      </c>
      <c r="K120" s="1735"/>
      <c r="L120" s="1735">
        <f t="shared" si="52"/>
        <v>0.96987900983891606</v>
      </c>
      <c r="M120" s="1735"/>
      <c r="N120" s="1735">
        <f t="shared" si="52"/>
        <v>0.86123636023888572</v>
      </c>
      <c r="O120" s="1735"/>
      <c r="P120" s="1735">
        <f t="shared" si="52"/>
        <v>0.93087409190492498</v>
      </c>
      <c r="Q120" s="1735">
        <f t="shared" si="52"/>
        <v>0</v>
      </c>
      <c r="R120" s="1735">
        <f t="shared" si="52"/>
        <v>0.88107512800441312</v>
      </c>
      <c r="S120" s="1735"/>
      <c r="T120" s="1735">
        <f t="shared" si="52"/>
        <v>0.7204968944099378</v>
      </c>
      <c r="U120" s="1735">
        <f t="shared" si="52"/>
        <v>0</v>
      </c>
      <c r="V120" s="1735">
        <f t="shared" si="52"/>
        <v>0.84324500214896903</v>
      </c>
      <c r="W120" s="1735"/>
      <c r="X120" s="1735">
        <f t="shared" si="52"/>
        <v>0.89365404298874118</v>
      </c>
      <c r="Y120" s="1735"/>
      <c r="Z120" s="1735">
        <f t="shared" si="52"/>
        <v>0.84573094548821504</v>
      </c>
      <c r="AA120" s="1735"/>
      <c r="AB120" s="1735">
        <f t="shared" si="52"/>
        <v>0.85262901627296128</v>
      </c>
      <c r="AC120" s="1735"/>
      <c r="AD120" s="1735">
        <f t="shared" si="52"/>
        <v>0.78229132104090615</v>
      </c>
      <c r="AE120" s="1735">
        <f t="shared" si="52"/>
        <v>0</v>
      </c>
      <c r="AF120" s="1735">
        <f t="shared" si="52"/>
        <v>0.84085770661067394</v>
      </c>
      <c r="AG120" s="1735"/>
      <c r="AH120" s="1735">
        <f t="shared" si="52"/>
        <v>0.91868879302541429</v>
      </c>
      <c r="AI120" s="1735">
        <f t="shared" si="52"/>
        <v>0</v>
      </c>
      <c r="AJ120" s="1735">
        <f t="shared" si="52"/>
        <v>0.85060745509311708</v>
      </c>
      <c r="AK120" s="1735"/>
      <c r="AL120" s="1735">
        <f t="shared" si="52"/>
        <v>0.98734946977877258</v>
      </c>
      <c r="AM120" s="1735"/>
      <c r="AN120" s="1735">
        <f t="shared" si="52"/>
        <v>0.89247786360412285</v>
      </c>
      <c r="AO120" s="1735">
        <f t="shared" si="52"/>
        <v>0</v>
      </c>
      <c r="AP120" s="1735">
        <f t="shared" si="52"/>
        <v>0.86691571959121883</v>
      </c>
      <c r="AQ120" s="1735"/>
      <c r="AR120" s="1735">
        <f t="shared" si="52"/>
        <v>0.72276924646701712</v>
      </c>
      <c r="AS120" s="1735">
        <f t="shared" si="52"/>
        <v>0</v>
      </c>
      <c r="AT120" s="1735">
        <f t="shared" si="52"/>
        <v>0.85149575451182602</v>
      </c>
      <c r="AU120" s="1735"/>
      <c r="AV120" s="1735">
        <f t="shared" si="52"/>
        <v>0.66588500140699725</v>
      </c>
      <c r="AW120" s="1735">
        <f t="shared" si="52"/>
        <v>0</v>
      </c>
      <c r="AX120" s="1735">
        <f t="shared" si="52"/>
        <v>0.83214823463811904</v>
      </c>
      <c r="AY120" s="1735"/>
      <c r="AZ120" s="1735">
        <f t="shared" si="52"/>
        <v>0.63188379967920161</v>
      </c>
      <c r="BA120" s="1735"/>
      <c r="BB120" s="1735">
        <f t="shared" si="52"/>
        <v>0.67143781463537811</v>
      </c>
      <c r="BC120" s="1735"/>
      <c r="BD120" s="1735">
        <f t="shared" si="52"/>
        <v>0.77769940746930188</v>
      </c>
      <c r="BE120" s="1735"/>
      <c r="BF120" s="1735">
        <f t="shared" si="52"/>
        <v>0.81234737493101128</v>
      </c>
    </row>
    <row r="121" spans="2:62" s="334" customFormat="1" ht="19.5" thickBot="1" x14ac:dyDescent="0.3">
      <c r="B121" s="2735" t="s">
        <v>56</v>
      </c>
      <c r="C121" s="704"/>
      <c r="D121" s="703"/>
      <c r="E121" s="703"/>
      <c r="F121" s="1736"/>
      <c r="G121" s="703"/>
      <c r="H121" s="703"/>
      <c r="I121" s="704"/>
      <c r="J121" s="704"/>
      <c r="K121" s="704"/>
      <c r="L121" s="704"/>
      <c r="M121" s="704"/>
      <c r="N121" s="704"/>
      <c r="O121" s="704"/>
      <c r="P121" s="704"/>
      <c r="Q121" s="704"/>
      <c r="R121" s="704"/>
      <c r="S121" s="704"/>
      <c r="T121" s="704"/>
      <c r="U121" s="704"/>
      <c r="V121" s="704"/>
      <c r="W121" s="704"/>
      <c r="X121" s="704"/>
      <c r="Y121" s="703"/>
      <c r="Z121" s="703"/>
      <c r="AA121" s="703"/>
      <c r="AB121" s="703"/>
      <c r="AC121" s="704"/>
      <c r="AD121" s="704"/>
      <c r="AE121" s="704"/>
      <c r="AF121" s="704"/>
      <c r="AG121" s="704"/>
      <c r="AH121" s="704"/>
      <c r="AI121" s="704"/>
      <c r="AJ121" s="704"/>
      <c r="AK121" s="704"/>
      <c r="AL121" s="704"/>
      <c r="AM121" s="703"/>
      <c r="AN121" s="703"/>
      <c r="AO121" s="704"/>
      <c r="AP121" s="704"/>
      <c r="AQ121" s="704"/>
      <c r="AR121" s="704"/>
      <c r="AS121" s="704"/>
      <c r="AT121" s="704"/>
      <c r="AU121" s="704"/>
      <c r="AV121" s="704"/>
      <c r="AW121" s="704"/>
      <c r="AX121" s="704"/>
      <c r="AY121" s="704"/>
      <c r="AZ121" s="704"/>
      <c r="BA121" s="703"/>
      <c r="BB121" s="703"/>
      <c r="BC121" s="703"/>
      <c r="BD121" s="703"/>
      <c r="BE121" s="704"/>
      <c r="BF121" s="704"/>
    </row>
    <row r="122" spans="2:62" x14ac:dyDescent="0.25">
      <c r="B122" s="2736" t="s">
        <v>98</v>
      </c>
      <c r="C122" s="2737"/>
      <c r="D122" s="2738" t="s">
        <v>250</v>
      </c>
      <c r="E122" s="2501">
        <f>+E2*24</f>
        <v>720</v>
      </c>
      <c r="F122" s="354">
        <v>720</v>
      </c>
      <c r="G122" s="2739">
        <f>+G2*24</f>
        <v>744</v>
      </c>
      <c r="H122" s="222">
        <v>744</v>
      </c>
      <c r="I122" s="2740">
        <f>+E122+G122</f>
        <v>1464</v>
      </c>
      <c r="J122" s="947">
        <f>+F122+H122</f>
        <v>1464</v>
      </c>
      <c r="K122" s="2501">
        <f>+K2*24</f>
        <v>720</v>
      </c>
      <c r="L122" s="222">
        <v>720</v>
      </c>
      <c r="M122" s="2741">
        <f>+I122+K122</f>
        <v>2184</v>
      </c>
      <c r="N122" s="1715">
        <f>+J122+L122</f>
        <v>2184</v>
      </c>
      <c r="O122" s="2501">
        <f>+O2*24</f>
        <v>744</v>
      </c>
      <c r="P122" s="222">
        <v>743.99999999999989</v>
      </c>
      <c r="Q122" s="2740">
        <f>+M122+O122</f>
        <v>2928</v>
      </c>
      <c r="R122" s="947">
        <f>+N122+P122</f>
        <v>2928</v>
      </c>
      <c r="S122" s="2501">
        <f>+S2*24</f>
        <v>744</v>
      </c>
      <c r="T122" s="222">
        <v>743.99999999999966</v>
      </c>
      <c r="U122" s="2740">
        <f>+Q122+S122</f>
        <v>3672</v>
      </c>
      <c r="V122" s="947">
        <f>+R122+T122</f>
        <v>3671.9999999999995</v>
      </c>
      <c r="W122" s="2501">
        <f>+W2*24</f>
        <v>720</v>
      </c>
      <c r="X122" s="2501">
        <f>+X2*24</f>
        <v>720</v>
      </c>
      <c r="Y122" s="2741">
        <f>O122+S122+W122</f>
        <v>2208</v>
      </c>
      <c r="Z122" s="1715">
        <f>P122+T122+X122</f>
        <v>2207.9999999999995</v>
      </c>
      <c r="AA122" s="2742">
        <f>M122+Y122</f>
        <v>4392</v>
      </c>
      <c r="AB122" s="3259">
        <f>N122+Z122</f>
        <v>4392</v>
      </c>
      <c r="AC122" s="2501">
        <f>+AC2*24</f>
        <v>744</v>
      </c>
      <c r="AD122" s="2501">
        <f>+AD2*24</f>
        <v>744</v>
      </c>
      <c r="AE122" s="2740">
        <f>+AA122+AC122</f>
        <v>5136</v>
      </c>
      <c r="AF122" s="947">
        <f>+AB122+AD122</f>
        <v>5136</v>
      </c>
      <c r="AG122" s="2501">
        <f>+AG2*24</f>
        <v>720</v>
      </c>
      <c r="AH122" s="2501">
        <f>+AH2*24</f>
        <v>720</v>
      </c>
      <c r="AI122" s="2740">
        <f>+AE122+AG122</f>
        <v>5856</v>
      </c>
      <c r="AJ122" s="100">
        <f>+AF122+AH122</f>
        <v>5856</v>
      </c>
      <c r="AK122" s="2501">
        <f>+AK2*24</f>
        <v>744</v>
      </c>
      <c r="AL122" s="2501">
        <f>+AL2*24</f>
        <v>744</v>
      </c>
      <c r="AM122" s="2741">
        <f>AC122+AG122+AK122</f>
        <v>2208</v>
      </c>
      <c r="AN122" s="1715">
        <f>AD122+AH122+AL122</f>
        <v>2208</v>
      </c>
      <c r="AO122" s="2740">
        <f>+AI122+AK122</f>
        <v>6600</v>
      </c>
      <c r="AP122" s="100">
        <f>+AJ122+AL122</f>
        <v>6600</v>
      </c>
      <c r="AQ122" s="2501">
        <f>+AQ2*24</f>
        <v>744</v>
      </c>
      <c r="AR122" s="2501">
        <f>+AR2*24</f>
        <v>744</v>
      </c>
      <c r="AS122" s="2740">
        <f>+AO122+AQ122</f>
        <v>7344</v>
      </c>
      <c r="AT122" s="100">
        <f>+AP122+AR122</f>
        <v>7344</v>
      </c>
      <c r="AU122" s="2501">
        <f>+AU2*24</f>
        <v>672</v>
      </c>
      <c r="AV122" s="2501">
        <f>+AV2*24</f>
        <v>672</v>
      </c>
      <c r="AW122" s="2740">
        <f>+AS122+AU122</f>
        <v>8016</v>
      </c>
      <c r="AX122" s="100">
        <f>+AT122+AV122</f>
        <v>8016</v>
      </c>
      <c r="AY122" s="2501">
        <f>+AY2*24</f>
        <v>744</v>
      </c>
      <c r="AZ122" s="2501">
        <f>+AZ2*24</f>
        <v>744</v>
      </c>
      <c r="BA122" s="2741">
        <f>AQ122+AU122+AY122</f>
        <v>2160</v>
      </c>
      <c r="BB122" s="1715">
        <f>AR122+AV122+AZ122</f>
        <v>2160</v>
      </c>
      <c r="BC122" s="2742">
        <f>AM122+BA122</f>
        <v>4368</v>
      </c>
      <c r="BD122" s="3259">
        <f>AN122+BB122</f>
        <v>4368</v>
      </c>
      <c r="BE122" s="2740">
        <f>+AW122+AY122</f>
        <v>8760</v>
      </c>
      <c r="BF122" s="100">
        <f>+AX122+AZ122</f>
        <v>8760</v>
      </c>
    </row>
    <row r="123" spans="2:62" x14ac:dyDescent="0.25">
      <c r="B123" s="28" t="s">
        <v>335</v>
      </c>
      <c r="C123" s="2743"/>
      <c r="D123" s="33" t="s">
        <v>52</v>
      </c>
      <c r="E123" s="118">
        <f t="shared" ref="E123:N123" si="53">+E124/E122*100</f>
        <v>70</v>
      </c>
      <c r="F123" s="118">
        <f t="shared" si="53"/>
        <v>87.391203703703709</v>
      </c>
      <c r="G123" s="2744">
        <f t="shared" si="53"/>
        <v>87.096774193548384</v>
      </c>
      <c r="H123" s="118">
        <f t="shared" si="53"/>
        <v>64.213709677419345</v>
      </c>
      <c r="I123" s="2745">
        <f t="shared" si="53"/>
        <v>78.688524590163937</v>
      </c>
      <c r="J123" s="687">
        <f t="shared" si="53"/>
        <v>75.612477231329692</v>
      </c>
      <c r="K123" s="118">
        <f t="shared" si="53"/>
        <v>90</v>
      </c>
      <c r="L123" s="118">
        <f t="shared" si="53"/>
        <v>86.668981481481481</v>
      </c>
      <c r="M123" s="2746">
        <f t="shared" si="53"/>
        <v>82.417582417582409</v>
      </c>
      <c r="N123" s="869">
        <f t="shared" si="53"/>
        <v>79.257478632478623</v>
      </c>
      <c r="O123" s="118">
        <f t="shared" ref="O123:R123" si="54">+O124/O122*100</f>
        <v>90.322580645161281</v>
      </c>
      <c r="P123" s="118">
        <f t="shared" si="54"/>
        <v>86.966845878136212</v>
      </c>
      <c r="Q123" s="2745">
        <f t="shared" si="54"/>
        <v>84.426229508196727</v>
      </c>
      <c r="R123" s="687">
        <f t="shared" si="54"/>
        <v>81.21641621129325</v>
      </c>
      <c r="S123" s="118">
        <f t="shared" ref="S123:V123" si="55">+S124/S122*100</f>
        <v>90.322580645161281</v>
      </c>
      <c r="T123" s="118">
        <f t="shared" si="55"/>
        <v>85.862455197132661</v>
      </c>
      <c r="U123" s="2745">
        <f t="shared" si="55"/>
        <v>85.620915032679733</v>
      </c>
      <c r="V123" s="687">
        <f t="shared" si="55"/>
        <v>82.157770515613663</v>
      </c>
      <c r="W123" s="118">
        <f t="shared" ref="W123:Z123" si="56">+W124/W122*100</f>
        <v>90</v>
      </c>
      <c r="X123" s="118">
        <f t="shared" si="56"/>
        <v>85.949074074074076</v>
      </c>
      <c r="Y123" s="2746">
        <f t="shared" si="56"/>
        <v>90.217391304347828</v>
      </c>
      <c r="Z123" s="869">
        <f t="shared" si="56"/>
        <v>86.262832125603879</v>
      </c>
      <c r="AA123" s="2747">
        <f t="shared" ref="AA123:AF123" si="57">+AA124/AA122*100</f>
        <v>86.338797814207652</v>
      </c>
      <c r="AB123" s="1135">
        <f t="shared" si="57"/>
        <v>82.779295689131757</v>
      </c>
      <c r="AC123" s="118">
        <f t="shared" si="57"/>
        <v>90.322580645161281</v>
      </c>
      <c r="AD123" s="118">
        <f t="shared" si="57"/>
        <v>87.97043010752688</v>
      </c>
      <c r="AE123" s="2745">
        <f t="shared" si="57"/>
        <v>86.915887850467286</v>
      </c>
      <c r="AF123" s="687">
        <f t="shared" si="57"/>
        <v>83.531282450674979</v>
      </c>
      <c r="AG123" s="118">
        <f t="shared" ref="AG123:AJ123" si="58">+AG124/AG122*100</f>
        <v>90</v>
      </c>
      <c r="AH123" s="118">
        <f t="shared" si="58"/>
        <v>88.043981481481495</v>
      </c>
      <c r="AI123" s="2745">
        <f t="shared" si="58"/>
        <v>87.295081967213122</v>
      </c>
      <c r="AJ123" s="245">
        <f t="shared" si="58"/>
        <v>84.086122495446276</v>
      </c>
      <c r="AK123" s="118">
        <f t="shared" ref="AK123:AP123" si="59">+AK124/AK122*100</f>
        <v>90.322580645161281</v>
      </c>
      <c r="AL123" s="118">
        <f t="shared" si="59"/>
        <v>85.983422939068106</v>
      </c>
      <c r="AM123" s="2746">
        <f t="shared" si="59"/>
        <v>90.217391304347828</v>
      </c>
      <c r="AN123" s="869">
        <f t="shared" si="59"/>
        <v>87.324879227053145</v>
      </c>
      <c r="AO123" s="2745">
        <f t="shared" si="59"/>
        <v>87.63636363636364</v>
      </c>
      <c r="AP123" s="245">
        <f t="shared" si="59"/>
        <v>84.300000000000026</v>
      </c>
      <c r="AQ123" s="118">
        <f t="shared" ref="AQ123:AT123" si="60">+AQ124/AQ122*100</f>
        <v>90.322580645161281</v>
      </c>
      <c r="AR123" s="118">
        <f t="shared" si="60"/>
        <v>85.392025089605724</v>
      </c>
      <c r="AS123" s="2745">
        <f t="shared" si="60"/>
        <v>87.908496732026137</v>
      </c>
      <c r="AT123" s="245">
        <f t="shared" si="60"/>
        <v>84.410629992737853</v>
      </c>
      <c r="AU123" s="118">
        <f t="shared" ref="AU123:AX123" si="61">+AU124/AU122*100</f>
        <v>89.285714285714292</v>
      </c>
      <c r="AV123" s="118">
        <f t="shared" si="61"/>
        <v>85.726686507936506</v>
      </c>
      <c r="AW123" s="2745">
        <f t="shared" si="61"/>
        <v>88.023952095808383</v>
      </c>
      <c r="AX123" s="245">
        <f t="shared" si="61"/>
        <v>84.52095808383234</v>
      </c>
      <c r="AY123" s="118">
        <f t="shared" ref="AY123:BF123" si="62">+AY124/AY122*100</f>
        <v>90.322580645161281</v>
      </c>
      <c r="AZ123" s="118">
        <f t="shared" si="62"/>
        <v>86.866039426523287</v>
      </c>
      <c r="BA123" s="2746">
        <f t="shared" si="62"/>
        <v>90</v>
      </c>
      <c r="BB123" s="869">
        <f t="shared" si="62"/>
        <v>86.003858024691354</v>
      </c>
      <c r="BC123" s="2747">
        <f t="shared" si="62"/>
        <v>90.109890109890117</v>
      </c>
      <c r="BD123" s="1135">
        <f t="shared" si="62"/>
        <v>86.671626984126988</v>
      </c>
      <c r="BE123" s="2745">
        <f t="shared" si="62"/>
        <v>88.219178082191789</v>
      </c>
      <c r="BF123" s="245">
        <f t="shared" si="62"/>
        <v>84.720129375951288</v>
      </c>
    </row>
    <row r="124" spans="2:62" x14ac:dyDescent="0.25">
      <c r="B124" s="28" t="s">
        <v>334</v>
      </c>
      <c r="C124" s="2743"/>
      <c r="D124" s="33" t="s">
        <v>250</v>
      </c>
      <c r="E124" s="823">
        <v>504</v>
      </c>
      <c r="F124" s="3252">
        <v>629.2166666666667</v>
      </c>
      <c r="G124" s="2748">
        <v>648</v>
      </c>
      <c r="H124" s="311">
        <v>477.75</v>
      </c>
      <c r="I124" s="1879">
        <f>+E124+G124</f>
        <v>1152</v>
      </c>
      <c r="J124" s="3250">
        <f>+F124+H124</f>
        <v>1106.9666666666667</v>
      </c>
      <c r="K124" s="823">
        <v>648</v>
      </c>
      <c r="L124" s="311">
        <v>624.01666666666665</v>
      </c>
      <c r="M124" s="1936">
        <f>+I124+K124</f>
        <v>1800</v>
      </c>
      <c r="N124" s="3249">
        <f>+J124+L124</f>
        <v>1730.9833333333333</v>
      </c>
      <c r="O124" s="823">
        <v>672</v>
      </c>
      <c r="P124" s="311">
        <v>647.0333333333333</v>
      </c>
      <c r="Q124" s="1879">
        <f>+M124+O124</f>
        <v>2472</v>
      </c>
      <c r="R124" s="3250">
        <f>+N124+P124</f>
        <v>2378.0166666666664</v>
      </c>
      <c r="S124" s="823">
        <v>672</v>
      </c>
      <c r="T124" s="311">
        <v>638.81666666666672</v>
      </c>
      <c r="U124" s="1879">
        <f>+Q124+S124</f>
        <v>3144</v>
      </c>
      <c r="V124" s="3250">
        <f>+R124+T124</f>
        <v>3016.833333333333</v>
      </c>
      <c r="W124" s="823">
        <v>648</v>
      </c>
      <c r="X124" s="39">
        <v>618.83333333333337</v>
      </c>
      <c r="Y124" s="1936">
        <f>O124+S124+W124</f>
        <v>1992</v>
      </c>
      <c r="Z124" s="3249">
        <f>P124+T124+X124</f>
        <v>1904.6833333333334</v>
      </c>
      <c r="AA124" s="2749">
        <f>M124+Y124</f>
        <v>3792</v>
      </c>
      <c r="AB124" s="1134">
        <f>N124+Z124</f>
        <v>3635.666666666667</v>
      </c>
      <c r="AC124" s="823">
        <v>672</v>
      </c>
      <c r="AD124" s="823">
        <v>654.5</v>
      </c>
      <c r="AE124" s="1879">
        <f>+AA124+AC124</f>
        <v>4464</v>
      </c>
      <c r="AF124" s="3250">
        <f>+AB124+AD124</f>
        <v>4290.166666666667</v>
      </c>
      <c r="AG124" s="823">
        <v>648</v>
      </c>
      <c r="AH124" s="823">
        <v>633.91666666666674</v>
      </c>
      <c r="AI124" s="1879">
        <f>+AE124+AG124</f>
        <v>5112</v>
      </c>
      <c r="AJ124" s="96">
        <f>+AF124+AH124</f>
        <v>4924.0833333333339</v>
      </c>
      <c r="AK124" s="823">
        <v>672</v>
      </c>
      <c r="AL124" s="823">
        <v>639.7166666666667</v>
      </c>
      <c r="AM124" s="1936">
        <f>AC124+AG124+AK124</f>
        <v>1992</v>
      </c>
      <c r="AN124" s="3600">
        <f>AD124+AH124+AL124</f>
        <v>1928.1333333333334</v>
      </c>
      <c r="AO124" s="1879">
        <f>+AI124+AK124</f>
        <v>5784</v>
      </c>
      <c r="AP124" s="96">
        <f>+AJ124+AL124</f>
        <v>5563.8000000000011</v>
      </c>
      <c r="AQ124" s="823">
        <v>672</v>
      </c>
      <c r="AR124" s="823">
        <v>635.31666666666661</v>
      </c>
      <c r="AS124" s="1879">
        <f>+AO124+AQ124</f>
        <v>6456</v>
      </c>
      <c r="AT124" s="96">
        <f>+AP124+AR124</f>
        <v>6199.1166666666677</v>
      </c>
      <c r="AU124" s="823">
        <v>600</v>
      </c>
      <c r="AV124" s="823">
        <v>576.08333333333337</v>
      </c>
      <c r="AW124" s="1879">
        <f>+AS124+AU124</f>
        <v>7056</v>
      </c>
      <c r="AX124" s="96">
        <f>+AT124+AV124</f>
        <v>6775.2000000000007</v>
      </c>
      <c r="AY124" s="823">
        <v>672</v>
      </c>
      <c r="AZ124" s="823">
        <v>646.2833333333333</v>
      </c>
      <c r="BA124" s="1936">
        <f>AQ124+AU124+AY124</f>
        <v>1944</v>
      </c>
      <c r="BB124" s="4225">
        <f>AR124+AV124+AZ124</f>
        <v>1857.6833333333334</v>
      </c>
      <c r="BC124" s="2749">
        <f>AM124+BA124</f>
        <v>3936</v>
      </c>
      <c r="BD124" s="4227">
        <f>AN124+BB124</f>
        <v>3785.8166666666666</v>
      </c>
      <c r="BE124" s="1879">
        <f>+AW124+AY124</f>
        <v>7728</v>
      </c>
      <c r="BF124" s="96">
        <f>+AX124+AZ124</f>
        <v>7421.4833333333336</v>
      </c>
    </row>
    <row r="125" spans="2:62" x14ac:dyDescent="0.25">
      <c r="B125" s="28" t="s">
        <v>336</v>
      </c>
      <c r="C125" s="2743"/>
      <c r="D125" s="33" t="s">
        <v>52</v>
      </c>
      <c r="E125" s="1109">
        <f t="shared" ref="E125:N125" si="63">+E126/E124*100</f>
        <v>83.333333333333343</v>
      </c>
      <c r="F125" s="1109">
        <f t="shared" si="63"/>
        <v>72.804810213757847</v>
      </c>
      <c r="G125" s="2744">
        <f>+G126/G124*100</f>
        <v>83.333333333333343</v>
      </c>
      <c r="H125" s="118">
        <f t="shared" si="63"/>
        <v>66.422466422466414</v>
      </c>
      <c r="I125" s="2745">
        <f t="shared" si="63"/>
        <v>83.333333333333343</v>
      </c>
      <c r="J125" s="687">
        <f t="shared" si="63"/>
        <v>70.050287572645971</v>
      </c>
      <c r="K125" s="1109">
        <f t="shared" si="63"/>
        <v>83.333333333333343</v>
      </c>
      <c r="L125" s="1109">
        <f>+L126/L124*100</f>
        <v>80.430544055981414</v>
      </c>
      <c r="M125" s="2746">
        <f t="shared" si="63"/>
        <v>83.333333333333343</v>
      </c>
      <c r="N125" s="869">
        <f t="shared" si="63"/>
        <v>73.792353094098743</v>
      </c>
      <c r="O125" s="1109">
        <f>+O126/O124*100</f>
        <v>83.333333333333343</v>
      </c>
      <c r="P125" s="1109">
        <f>+P126/P124*100</f>
        <v>79.599196331976714</v>
      </c>
      <c r="Q125" s="2745">
        <f t="shared" ref="Q125:R125" si="64">+Q126/Q124*100</f>
        <v>83.333333333333343</v>
      </c>
      <c r="R125" s="687">
        <f t="shared" si="64"/>
        <v>75.372334087930426</v>
      </c>
      <c r="S125" s="1109">
        <f>+S126/S124*100</f>
        <v>83.333333333333343</v>
      </c>
      <c r="T125" s="1109">
        <f>+T126/T124*100</f>
        <v>79.824675832920235</v>
      </c>
      <c r="U125" s="2745">
        <f t="shared" ref="U125:V125" si="65">+U126/U124*100</f>
        <v>83.333333333333343</v>
      </c>
      <c r="V125" s="687">
        <f t="shared" si="65"/>
        <v>76.315120711562912</v>
      </c>
      <c r="W125" s="1109">
        <f>+W126/W124*100</f>
        <v>83.333333333333343</v>
      </c>
      <c r="X125" s="1110">
        <f>+X126/X124*100</f>
        <v>80.317802316186373</v>
      </c>
      <c r="Y125" s="2746">
        <f t="shared" ref="Y125:Z125" si="66">+Y126/Y124*100</f>
        <v>83.333333333333343</v>
      </c>
      <c r="Z125" s="869">
        <f t="shared" si="66"/>
        <v>79.908296217218961</v>
      </c>
      <c r="AA125" s="2747">
        <f t="shared" ref="AA125:AB125" si="67">+AA126/AA124*100</f>
        <v>83.333333333333343</v>
      </c>
      <c r="AB125" s="1135">
        <f t="shared" si="67"/>
        <v>76.996424314660302</v>
      </c>
      <c r="AC125" s="1109">
        <f>+AC126/AC124*100</f>
        <v>83.333333333333343</v>
      </c>
      <c r="AD125" s="1110">
        <f>+AD126/AD124*100</f>
        <v>77.252355487649609</v>
      </c>
      <c r="AE125" s="2745">
        <f t="shared" ref="AE125:AF125" si="68">+AE126/AE124*100</f>
        <v>83.333333333333343</v>
      </c>
      <c r="AF125" s="687">
        <f t="shared" si="68"/>
        <v>77.035468707509423</v>
      </c>
      <c r="AG125" s="1109">
        <f>+AG126/AG124*100</f>
        <v>83.333333333333343</v>
      </c>
      <c r="AH125" s="1110">
        <f>+AH126/AH124*100</f>
        <v>76.968581569606926</v>
      </c>
      <c r="AI125" s="2745">
        <f t="shared" ref="AI125:AJ125" si="69">+AI126/AI124*100</f>
        <v>83.333333333333343</v>
      </c>
      <c r="AJ125" s="245">
        <f t="shared" si="69"/>
        <v>77.02685779079016</v>
      </c>
      <c r="AK125" s="1109">
        <f>+AK126/AK124*100</f>
        <v>83.333333333333343</v>
      </c>
      <c r="AL125" s="1109">
        <f>+AL126/AL124*100</f>
        <v>83.440585675950288</v>
      </c>
      <c r="AM125" s="2746">
        <f t="shared" ref="AM125:AN125" si="70">+AM126/AM124*100</f>
        <v>83.333333333333343</v>
      </c>
      <c r="AN125" s="869">
        <f t="shared" si="70"/>
        <v>79.212191411382321</v>
      </c>
      <c r="AO125" s="2745">
        <f t="shared" ref="AO125:AP125" si="71">+AO126/AO124*100</f>
        <v>83.333333333333343</v>
      </c>
      <c r="AP125" s="245">
        <f t="shared" si="71"/>
        <v>77.764297782091347</v>
      </c>
      <c r="AQ125" s="1109">
        <f>+AQ126/AQ124*100</f>
        <v>83.333333333333343</v>
      </c>
      <c r="AR125" s="1109">
        <f>+AR126/AR124*100</f>
        <v>82.032582176867166</v>
      </c>
      <c r="AS125" s="2745">
        <f t="shared" ref="AS125:AT125" si="72">+AS126/AS124*100</f>
        <v>83.333333333333343</v>
      </c>
      <c r="AT125" s="245">
        <f t="shared" si="72"/>
        <v>78.201733042610883</v>
      </c>
      <c r="AU125" s="1109">
        <f>+AU126/AU124*100</f>
        <v>83.333333333333343</v>
      </c>
      <c r="AV125" s="1109">
        <f>+AV126/AV124*100</f>
        <v>89.920439751193399</v>
      </c>
      <c r="AW125" s="2745">
        <f t="shared" ref="AW125:AX125" si="73">+AW126/AW124*100</f>
        <v>83.333333333333343</v>
      </c>
      <c r="AX125" s="245">
        <f t="shared" si="73"/>
        <v>79.198154052032876</v>
      </c>
      <c r="AY125" s="1109">
        <f>+AY126/AY124*100</f>
        <v>83.333333333333343</v>
      </c>
      <c r="AZ125" s="1109">
        <f>+AZ126/AZ124*100</f>
        <v>83.376743946153653</v>
      </c>
      <c r="BA125" s="2746">
        <f t="shared" ref="BA125:BD125" si="74">+BA126/BA124*100</f>
        <v>83.333333333333343</v>
      </c>
      <c r="BB125" s="869">
        <f t="shared" si="74"/>
        <v>84.946304088425535</v>
      </c>
      <c r="BC125" s="2747">
        <f t="shared" si="74"/>
        <v>83.333333333333343</v>
      </c>
      <c r="BD125" s="1135">
        <f t="shared" si="74"/>
        <v>82.025894897182027</v>
      </c>
      <c r="BE125" s="2745">
        <f t="shared" ref="BE125:BF125" si="75">+BE126/BE124*100</f>
        <v>83.333333333333343</v>
      </c>
      <c r="BF125" s="245">
        <f t="shared" si="75"/>
        <v>79.562037238737076</v>
      </c>
    </row>
    <row r="126" spans="2:62" x14ac:dyDescent="0.25">
      <c r="B126" s="28" t="s">
        <v>337</v>
      </c>
      <c r="C126" s="2743"/>
      <c r="D126" s="33" t="s">
        <v>250</v>
      </c>
      <c r="E126" s="823">
        <v>420</v>
      </c>
      <c r="F126" s="3252">
        <v>458.1</v>
      </c>
      <c r="G126" s="2748">
        <v>540</v>
      </c>
      <c r="H126" s="311">
        <v>317.33333333333331</v>
      </c>
      <c r="I126" s="1879">
        <f>+E126+G126</f>
        <v>960</v>
      </c>
      <c r="J126" s="3250">
        <f>+F126+H126</f>
        <v>775.43333333333339</v>
      </c>
      <c r="K126" s="823">
        <v>540</v>
      </c>
      <c r="L126" s="311">
        <v>501.9</v>
      </c>
      <c r="M126" s="1936">
        <f>+I126+K126</f>
        <v>1500</v>
      </c>
      <c r="N126" s="3249">
        <f>+J126+L126</f>
        <v>1277.3333333333335</v>
      </c>
      <c r="O126" s="823">
        <v>560</v>
      </c>
      <c r="P126" s="311">
        <v>515.0333333333333</v>
      </c>
      <c r="Q126" s="1879">
        <f>+M126+O126</f>
        <v>2060</v>
      </c>
      <c r="R126" s="3250">
        <f>+N126+P126</f>
        <v>1792.3666666666668</v>
      </c>
      <c r="S126" s="823">
        <v>560</v>
      </c>
      <c r="T126" s="311">
        <v>509.93333333333334</v>
      </c>
      <c r="U126" s="1879">
        <f>+Q126+S126</f>
        <v>2620</v>
      </c>
      <c r="V126" s="3250">
        <f>+R126+T126</f>
        <v>2302.3000000000002</v>
      </c>
      <c r="W126" s="823">
        <v>540</v>
      </c>
      <c r="X126" s="311">
        <v>497.03333333333336</v>
      </c>
      <c r="Y126" s="1936">
        <f>O126+S126+W126</f>
        <v>1660</v>
      </c>
      <c r="Z126" s="3249">
        <f>P126+T126+X126</f>
        <v>1522</v>
      </c>
      <c r="AA126" s="2749">
        <f>M126+Y126</f>
        <v>3160</v>
      </c>
      <c r="AB126" s="1134">
        <f>N126+Z126</f>
        <v>2799.3333333333335</v>
      </c>
      <c r="AC126" s="823">
        <v>560</v>
      </c>
      <c r="AD126" s="311">
        <v>505.61666666666667</v>
      </c>
      <c r="AE126" s="1879">
        <f>+AA126+AC126</f>
        <v>3720</v>
      </c>
      <c r="AF126" s="3250">
        <f>+AB126+AD126</f>
        <v>3304.9500000000003</v>
      </c>
      <c r="AG126" s="823">
        <v>540</v>
      </c>
      <c r="AH126" s="311">
        <v>487.91666666666663</v>
      </c>
      <c r="AI126" s="1879">
        <f>+AE126+AG126</f>
        <v>4260</v>
      </c>
      <c r="AJ126" s="96">
        <f>+AF126+AH126</f>
        <v>3792.8666666666668</v>
      </c>
      <c r="AK126" s="823">
        <v>560</v>
      </c>
      <c r="AL126" s="311">
        <v>533.7833333333333</v>
      </c>
      <c r="AM126" s="1936">
        <f>AC126+AG126+AK126</f>
        <v>1660</v>
      </c>
      <c r="AN126" s="3600">
        <f>AD126+AH126+AL126</f>
        <v>1527.3166666666666</v>
      </c>
      <c r="AO126" s="1879">
        <f>+AI126+AK126</f>
        <v>4820</v>
      </c>
      <c r="AP126" s="96">
        <f>+AJ126+AL126</f>
        <v>4326.6499999999996</v>
      </c>
      <c r="AQ126" s="823">
        <v>560</v>
      </c>
      <c r="AR126" s="311">
        <v>521.16666666666652</v>
      </c>
      <c r="AS126" s="1879">
        <f>+AO126+AQ126</f>
        <v>5380</v>
      </c>
      <c r="AT126" s="96">
        <f>+AP126+AR126</f>
        <v>4847.8166666666657</v>
      </c>
      <c r="AU126" s="823">
        <v>500</v>
      </c>
      <c r="AV126" s="311">
        <v>518.01666666666665</v>
      </c>
      <c r="AW126" s="1879">
        <f>+AS126+AU126</f>
        <v>5880</v>
      </c>
      <c r="AX126" s="96">
        <f>+AT126+AV126</f>
        <v>5365.8333333333321</v>
      </c>
      <c r="AY126" s="823">
        <v>560</v>
      </c>
      <c r="AZ126" s="311">
        <v>538.85</v>
      </c>
      <c r="BA126" s="1936">
        <f>AQ126+AU126+AY126</f>
        <v>1620</v>
      </c>
      <c r="BB126" s="4225">
        <f>AR126+AV126+AZ126</f>
        <v>1578.0333333333333</v>
      </c>
      <c r="BC126" s="2749">
        <f>AM126+BA126</f>
        <v>3280</v>
      </c>
      <c r="BD126" s="4227">
        <f>AN126+BB126</f>
        <v>3105.35</v>
      </c>
      <c r="BE126" s="1879">
        <f>+AW126+AY126</f>
        <v>6440</v>
      </c>
      <c r="BF126" s="96">
        <f>+AX126+AZ126</f>
        <v>5904.6833333333325</v>
      </c>
    </row>
    <row r="127" spans="2:62" x14ac:dyDescent="0.25">
      <c r="B127" s="28" t="s">
        <v>559</v>
      </c>
      <c r="C127" s="2743"/>
      <c r="D127" s="33" t="s">
        <v>558</v>
      </c>
      <c r="E127" s="2307">
        <v>20</v>
      </c>
      <c r="F127" s="1109">
        <f t="shared" ref="F127:J127" si="76">+F126/(F124/24)</f>
        <v>17.473154451301884</v>
      </c>
      <c r="G127" s="2750">
        <f>+G126/(G124/24)</f>
        <v>20</v>
      </c>
      <c r="H127" s="118">
        <f t="shared" si="76"/>
        <v>15.94139194139194</v>
      </c>
      <c r="I127" s="2745">
        <f t="shared" si="76"/>
        <v>20</v>
      </c>
      <c r="J127" s="687">
        <f t="shared" si="76"/>
        <v>16.812069017435036</v>
      </c>
      <c r="K127" s="1109">
        <f>+K126/(K124/24)</f>
        <v>20</v>
      </c>
      <c r="L127" s="1109">
        <f t="shared" ref="L127:N127" si="77">+L126/(L124/24)</f>
        <v>19.303330573435538</v>
      </c>
      <c r="M127" s="2746">
        <f t="shared" si="77"/>
        <v>20</v>
      </c>
      <c r="N127" s="869">
        <f t="shared" si="77"/>
        <v>17.710164742583697</v>
      </c>
      <c r="O127" s="1109">
        <f>+O126/(O124/24)</f>
        <v>20</v>
      </c>
      <c r="P127" s="1109">
        <f t="shared" ref="P127:R127" si="78">+P126/(P124/24)</f>
        <v>19.103807119674411</v>
      </c>
      <c r="Q127" s="2745">
        <f t="shared" si="78"/>
        <v>20</v>
      </c>
      <c r="R127" s="687">
        <f t="shared" si="78"/>
        <v>18.089360181103306</v>
      </c>
      <c r="S127" s="1109">
        <f>+S126/(S124/24)</f>
        <v>20</v>
      </c>
      <c r="T127" s="1109">
        <f t="shared" ref="T127:V127" si="79">+T126/(T124/24)</f>
        <v>19.157922199900856</v>
      </c>
      <c r="U127" s="2745">
        <f t="shared" si="79"/>
        <v>20</v>
      </c>
      <c r="V127" s="687">
        <f t="shared" si="79"/>
        <v>18.315628970775098</v>
      </c>
      <c r="W127" s="1109">
        <f>+W126/(W124/24)</f>
        <v>20</v>
      </c>
      <c r="X127" s="1110">
        <f t="shared" ref="X127:Z127" si="80">+X126/(X124/24)</f>
        <v>19.276272555884727</v>
      </c>
      <c r="Y127" s="2746">
        <f t="shared" si="80"/>
        <v>20</v>
      </c>
      <c r="Z127" s="869">
        <f t="shared" si="80"/>
        <v>19.177991092132547</v>
      </c>
      <c r="AA127" s="2747">
        <f t="shared" ref="AA127:AB127" si="81">+AA126/(AA124/24)</f>
        <v>20</v>
      </c>
      <c r="AB127" s="1135">
        <f t="shared" si="81"/>
        <v>18.479141835518476</v>
      </c>
      <c r="AC127" s="1109">
        <f>+AC126/(AC124/24)</f>
        <v>20</v>
      </c>
      <c r="AD127" s="1110">
        <f t="shared" ref="AD127" si="82">+AD126/(AD124/24)</f>
        <v>18.540565317035906</v>
      </c>
      <c r="AE127" s="2745">
        <f t="shared" ref="AE127:AF127" si="83">+AE126/(AE124/24)</f>
        <v>20</v>
      </c>
      <c r="AF127" s="687">
        <f t="shared" si="83"/>
        <v>18.488512489802261</v>
      </c>
      <c r="AG127" s="1109">
        <f>+AG126/(AG124/24)</f>
        <v>20</v>
      </c>
      <c r="AH127" s="1110">
        <f t="shared" ref="AH127:AJ127" si="84">+AH126/(AH124/24)</f>
        <v>18.472459576705663</v>
      </c>
      <c r="AI127" s="2745">
        <f t="shared" si="84"/>
        <v>20</v>
      </c>
      <c r="AJ127" s="245">
        <f t="shared" si="84"/>
        <v>18.486445869789637</v>
      </c>
      <c r="AK127" s="1109">
        <f>+AK126/(AK124/24)</f>
        <v>20</v>
      </c>
      <c r="AL127" s="1110">
        <f t="shared" ref="AL127:AP127" si="85">+AL126/(AL124/24)</f>
        <v>20.025740562228066</v>
      </c>
      <c r="AM127" s="2746">
        <f t="shared" si="85"/>
        <v>20</v>
      </c>
      <c r="AN127" s="869">
        <f t="shared" si="85"/>
        <v>19.010925938731759</v>
      </c>
      <c r="AO127" s="2745">
        <f t="shared" si="85"/>
        <v>20</v>
      </c>
      <c r="AP127" s="245">
        <f t="shared" si="85"/>
        <v>18.663431467701926</v>
      </c>
      <c r="AQ127" s="1109">
        <f>+AQ126/(AQ124/24)</f>
        <v>20</v>
      </c>
      <c r="AR127" s="1110">
        <f t="shared" ref="AR127:AT127" si="86">+AR126/(AR124/24)</f>
        <v>19.687819722448118</v>
      </c>
      <c r="AS127" s="2745">
        <f t="shared" si="86"/>
        <v>20</v>
      </c>
      <c r="AT127" s="245">
        <f t="shared" si="86"/>
        <v>18.76841593022661</v>
      </c>
      <c r="AU127" s="1109">
        <f>+AU126/(AU124/24)</f>
        <v>20</v>
      </c>
      <c r="AV127" s="1110">
        <f t="shared" ref="AV127:AX127" si="87">+AV126/(AV124/24)</f>
        <v>21.580905540286413</v>
      </c>
      <c r="AW127" s="2745">
        <f t="shared" si="87"/>
        <v>20</v>
      </c>
      <c r="AX127" s="245">
        <f t="shared" si="87"/>
        <v>19.00755697248789</v>
      </c>
      <c r="AY127" s="1109">
        <f>+AY126/(AY124/24)</f>
        <v>20</v>
      </c>
      <c r="AZ127" s="1110">
        <f t="shared" ref="AZ127:BF127" si="88">+AZ126/(AZ124/24)</f>
        <v>20.010418547076878</v>
      </c>
      <c r="BA127" s="2746">
        <f t="shared" si="88"/>
        <v>20</v>
      </c>
      <c r="BB127" s="869">
        <f t="shared" si="88"/>
        <v>20.387112981222131</v>
      </c>
      <c r="BC127" s="2747">
        <f t="shared" si="88"/>
        <v>20</v>
      </c>
      <c r="BD127" s="1135">
        <f t="shared" si="88"/>
        <v>19.686214775323688</v>
      </c>
      <c r="BE127" s="2745">
        <f t="shared" si="88"/>
        <v>20</v>
      </c>
      <c r="BF127" s="245">
        <f t="shared" si="88"/>
        <v>19.094888937296897</v>
      </c>
    </row>
    <row r="128" spans="2:62" x14ac:dyDescent="0.25">
      <c r="B128" s="28" t="s">
        <v>338</v>
      </c>
      <c r="C128" s="2743"/>
      <c r="D128" s="33" t="s">
        <v>1628</v>
      </c>
      <c r="E128" s="2352">
        <v>0.28799999999999998</v>
      </c>
      <c r="F128" s="677">
        <v>0.38400000000000001</v>
      </c>
      <c r="G128" s="2751">
        <v>0.28799999999999998</v>
      </c>
      <c r="H128" s="317">
        <v>0.42</v>
      </c>
      <c r="I128" s="2752">
        <f>+((E128*E5)+(G128*G5))/I5</f>
        <v>0.28799999999999998</v>
      </c>
      <c r="J128" s="957">
        <f>+((F128*F5)+(H128*H5))/J5</f>
        <v>0.39960101714526614</v>
      </c>
      <c r="K128" s="2751">
        <v>0.28799999999999998</v>
      </c>
      <c r="L128" s="1278">
        <v>0.39400000000000002</v>
      </c>
      <c r="M128" s="2753">
        <f>+((I128*I5)+(K128*K5))/M5</f>
        <v>0.28800000000000003</v>
      </c>
      <c r="N128" s="958">
        <f>+((J128*J5)+(L128*L5))/N5</f>
        <v>0.39734499476768076</v>
      </c>
      <c r="O128" s="2751">
        <v>0.28799999999999998</v>
      </c>
      <c r="P128" s="1278">
        <v>0.43</v>
      </c>
      <c r="Q128" s="2752">
        <f>+((M128*M5)+(O128*O5))/Q5</f>
        <v>0.28800000000000003</v>
      </c>
      <c r="R128" s="957">
        <f>+((N128*N5)+(P128*P5))/R5</f>
        <v>0.40662186542130546</v>
      </c>
      <c r="S128" s="2751">
        <v>0.28799999999999998</v>
      </c>
      <c r="T128" s="1278">
        <v>0.433</v>
      </c>
      <c r="U128" s="2752">
        <f>+((Q128*Q5)+(S128*S5))/U5</f>
        <v>0.28800000000000003</v>
      </c>
      <c r="V128" s="957">
        <f>+((R128*R5)+(T128*T5))/V5</f>
        <v>0.41281115609732855</v>
      </c>
      <c r="W128" s="2751">
        <v>0.28799999999999998</v>
      </c>
      <c r="X128" s="1278">
        <v>0.39600000000000002</v>
      </c>
      <c r="Y128" s="2753">
        <f>+((O128*O5)+(S128*S5)+(W128*W5))/Y5</f>
        <v>0.28799999999999992</v>
      </c>
      <c r="Z128" s="958">
        <f>+((P128*P5)+(T128*T5)+(X128*X5))/Z5</f>
        <v>0.41964288739433164</v>
      </c>
      <c r="AA128" s="2754">
        <f>+((M128*M5)+(Y128*Y5))/AA5</f>
        <v>0.28800000000000003</v>
      </c>
      <c r="AB128" s="1855">
        <f>+((N128*N5)+(Z128*Z5))/AB5</f>
        <v>0.40969201612219946</v>
      </c>
      <c r="AC128" s="2751">
        <v>0.28799999999999998</v>
      </c>
      <c r="AD128" s="1278">
        <v>0.39300000000000002</v>
      </c>
      <c r="AE128" s="2752">
        <f>+((AA128*AA5)+(AC128*AC5))/AE5</f>
        <v>0.28800000000000003</v>
      </c>
      <c r="AF128" s="957">
        <f>+((AB128*AB5)+(AD128*AD5))/AF5</f>
        <v>0.40690886995369102</v>
      </c>
      <c r="AG128" s="2751">
        <v>0.28799999999999998</v>
      </c>
      <c r="AH128" s="1278">
        <v>0.45</v>
      </c>
      <c r="AI128" s="2752">
        <f>+((AE128*AE5)+(AG128*AG5))/AI5</f>
        <v>0.28800000000000003</v>
      </c>
      <c r="AJ128" s="1603">
        <f>+((AF128*AF5)+(AH128*AH5))/AJ5</f>
        <v>0.41231660112279284</v>
      </c>
      <c r="AK128" s="2751">
        <v>0.28799999999999998</v>
      </c>
      <c r="AL128" s="1278">
        <v>0.371</v>
      </c>
      <c r="AM128" s="2753">
        <f>+((AC128*AC5)+(AG128*AG5)+(AK128*AK5))/AM5</f>
        <v>0.28799999999999992</v>
      </c>
      <c r="AN128" s="958">
        <f>+((AD128*AD5)+(AH128*AH5)+(AL128*AL5))/AN5</f>
        <v>0.40330145215298929</v>
      </c>
      <c r="AO128" s="2752">
        <f>+((AI128*AI5)+(AK128*AK5))/AO5</f>
        <v>0.28800000000000003</v>
      </c>
      <c r="AP128" s="1603">
        <f>+((AJ128*AJ5)+(AL128*AL5))/AP5</f>
        <v>0.40740458862311563</v>
      </c>
      <c r="AQ128" s="2751">
        <v>0.28799999999999998</v>
      </c>
      <c r="AR128" s="1278">
        <v>0.36499999999999999</v>
      </c>
      <c r="AS128" s="2752">
        <f>+((AO128*AO5)+(AQ128*AQ5))/AS5</f>
        <v>0.28800000000000003</v>
      </c>
      <c r="AT128" s="1603">
        <f>+((AP128*AP5)+(AR128*AR5))/AT5</f>
        <v>0.40288604893814495</v>
      </c>
      <c r="AU128" s="2751">
        <v>0.28799999999999998</v>
      </c>
      <c r="AV128" s="1278">
        <v>0.35099999999999998</v>
      </c>
      <c r="AW128" s="2752">
        <f>+((AS128*AS5)+(AU128*AU5))/AW5</f>
        <v>0.28800000000000003</v>
      </c>
      <c r="AX128" s="1603">
        <f>+((AT128*AT5)+(AV128*AV5))/AX5</f>
        <v>0.39751321215319163</v>
      </c>
      <c r="AY128" s="2751">
        <v>0.28799999999999998</v>
      </c>
      <c r="AZ128" s="1278">
        <v>0.38200000000000001</v>
      </c>
      <c r="BA128" s="2753">
        <f>+((AQ128*AQ5)+(AU128*AU5)+(AY128*AY5))/BA5</f>
        <v>0.28799999999999998</v>
      </c>
      <c r="BB128" s="958">
        <f>+((AR128*AR5)+(AV128*AV5)+(AZ128*AZ5))/BB5</f>
        <v>0.36632020529189935</v>
      </c>
      <c r="BC128" s="2754">
        <f>+((AM128*AM5)+(BA128*BA5))/BC5</f>
        <v>0.28799999999999998</v>
      </c>
      <c r="BD128" s="1855">
        <f>+((AN128*AN5)+(BB128*BB5))/BD5</f>
        <v>0.38413919473317221</v>
      </c>
      <c r="BE128" s="2752">
        <f>+((AW128*AW5)+(AY128*AY5))/BE5</f>
        <v>0.28800000000000003</v>
      </c>
      <c r="BF128" s="1603">
        <f>+((AX128*AX5)+(AZ128*AZ5))/BF5</f>
        <v>0.39598570932078953</v>
      </c>
    </row>
    <row r="129" spans="2:58" x14ac:dyDescent="0.25">
      <c r="B129" s="28" t="s">
        <v>339</v>
      </c>
      <c r="C129" s="2743"/>
      <c r="D129" s="33" t="s">
        <v>242</v>
      </c>
      <c r="E129" s="823">
        <f>+'POWER DISTRIBUTION'!I25</f>
        <v>6424375.0000000317</v>
      </c>
      <c r="F129" s="823">
        <f>+'POWER DISTRIBUTION'!J25</f>
        <v>6094295</v>
      </c>
      <c r="G129" s="2748">
        <f>+'POWER DISTRIBUTION'!K25</f>
        <v>7012229.166666666</v>
      </c>
      <c r="H129" s="823">
        <f>+'POWER DISTRIBUTION'!L25</f>
        <v>5137596.6666666698</v>
      </c>
      <c r="I129" s="1879">
        <f>+E129+G129</f>
        <v>13436604.166666698</v>
      </c>
      <c r="J129" s="3250">
        <f>+F129+H129</f>
        <v>11231891.66666667</v>
      </c>
      <c r="K129" s="823">
        <f>+'POWER DISTRIBUTION'!O25</f>
        <v>6268229.166666666</v>
      </c>
      <c r="L129" s="823">
        <f>+'POWER DISTRIBUTION'!P25</f>
        <v>6534523.3333333321</v>
      </c>
      <c r="M129" s="1936">
        <f>+I129+K129</f>
        <v>19704833.333333366</v>
      </c>
      <c r="N129" s="3249">
        <f>+J129+L129</f>
        <v>17766415</v>
      </c>
      <c r="O129" s="823">
        <f>+'POWER DISTRIBUTION'!S25</f>
        <v>6570312.5</v>
      </c>
      <c r="P129" s="823">
        <f>+'POWER DISTRIBUTION'!T25</f>
        <v>6877443.3333333321</v>
      </c>
      <c r="Q129" s="1879">
        <f>+M129+O129</f>
        <v>26275145.833333366</v>
      </c>
      <c r="R129" s="3250">
        <f>+N129+P129</f>
        <v>24643858.333333332</v>
      </c>
      <c r="S129" s="823">
        <f>+'POWER DISTRIBUTION'!W25</f>
        <v>6570312.5</v>
      </c>
      <c r="T129" s="823">
        <f>+'POWER DISTRIBUTION'!X25</f>
        <v>7271710</v>
      </c>
      <c r="U129" s="1879">
        <f>+Q129+S129</f>
        <v>32845458.333333366</v>
      </c>
      <c r="V129" s="3250">
        <f>+R129+T129</f>
        <v>31915568.333333332</v>
      </c>
      <c r="W129" s="823">
        <f>+'POWER DISTRIBUTION'!AA25</f>
        <v>6343750</v>
      </c>
      <c r="X129" s="823">
        <f>+'POWER DISTRIBUTION'!AB25</f>
        <v>6973893.333333334</v>
      </c>
      <c r="Y129" s="1936">
        <f>O129+S129+W129</f>
        <v>19484375</v>
      </c>
      <c r="Z129" s="3249">
        <f>P129+T129+X129</f>
        <v>21123046.666666664</v>
      </c>
      <c r="AA129" s="2749">
        <f>M129+Y129</f>
        <v>39189208.333333366</v>
      </c>
      <c r="AB129" s="1134">
        <f>N129+Z129</f>
        <v>38889461.666666664</v>
      </c>
      <c r="AC129" s="823">
        <f>+'POWER DISTRIBUTION'!AG25</f>
        <v>6570312.5</v>
      </c>
      <c r="AD129" s="823">
        <f>+'POWER DISTRIBUTION'!AH25</f>
        <v>7022328.3333333256</v>
      </c>
      <c r="AE129" s="1879">
        <f>+AA129+AC129</f>
        <v>45759520.833333366</v>
      </c>
      <c r="AF129" s="3250">
        <f>+AB129+AD129</f>
        <v>45911789.999999993</v>
      </c>
      <c r="AG129" s="823">
        <f>+'POWER DISTRIBUTION'!AK25</f>
        <v>6343750</v>
      </c>
      <c r="AH129" s="823">
        <f>+'POWER DISTRIBUTION'!AL25</f>
        <v>6828001.6666666698</v>
      </c>
      <c r="AI129" s="1879">
        <f>+AE129+AG129</f>
        <v>52103270.833333366</v>
      </c>
      <c r="AJ129" s="96">
        <f>+AF129+AH129</f>
        <v>52739791.666666664</v>
      </c>
      <c r="AK129" s="823">
        <f>+'POWER DISTRIBUTION'!AO25</f>
        <v>6570312.5</v>
      </c>
      <c r="AL129" s="823">
        <f>+'POWER DISTRIBUTION'!AP25</f>
        <v>6872006.6666666698</v>
      </c>
      <c r="AM129" s="1936">
        <f>AC129+AG129+AK129</f>
        <v>19484375</v>
      </c>
      <c r="AN129" s="3600">
        <f>AD129+AH129+AL129</f>
        <v>20722336.666666664</v>
      </c>
      <c r="AO129" s="1879">
        <f>+AI129+AK129</f>
        <v>58673583.333333366</v>
      </c>
      <c r="AP129" s="96">
        <f>+AJ129+AL129</f>
        <v>59611798.333333336</v>
      </c>
      <c r="AQ129" s="823">
        <f>+'POWER DISTRIBUTION'!AU25</f>
        <v>6570312.5</v>
      </c>
      <c r="AR129" s="823">
        <f>+'POWER DISTRIBUTION'!AV25</f>
        <v>6865886.0000000009</v>
      </c>
      <c r="AS129" s="1879">
        <f>+AO129+AQ129</f>
        <v>65243895.833333366</v>
      </c>
      <c r="AT129" s="96">
        <f>+AP129+AR129</f>
        <v>66477684.333333336</v>
      </c>
      <c r="AU129" s="823">
        <f>+'POWER DISTRIBUTION'!AY25</f>
        <v>5890625.0000000009</v>
      </c>
      <c r="AV129" s="823">
        <f>+'POWER DISTRIBUTION'!AZ25</f>
        <v>7038283.333333334</v>
      </c>
      <c r="AW129" s="1879">
        <f>+AS129+AU129</f>
        <v>71134520.833333373</v>
      </c>
      <c r="AX129" s="96">
        <f>+AT129+AV129</f>
        <v>73515967.666666672</v>
      </c>
      <c r="AY129" s="823">
        <f>+'POWER DISTRIBUTION'!BC25</f>
        <v>6570312.5</v>
      </c>
      <c r="AZ129" s="823">
        <f>+'POWER DISTRIBUTION'!BD25</f>
        <v>7238645.0000000019</v>
      </c>
      <c r="BA129" s="1936">
        <f>AQ129+AU129+AY129</f>
        <v>19031250</v>
      </c>
      <c r="BB129" s="4225">
        <f>AR129+AV129+AZ129</f>
        <v>21142814.333333336</v>
      </c>
      <c r="BC129" s="2749">
        <f>AM129+BA129</f>
        <v>38515625</v>
      </c>
      <c r="BD129" s="4227">
        <f>AN129+BB129</f>
        <v>41865151</v>
      </c>
      <c r="BE129" s="1879">
        <f>+AW129+AY129</f>
        <v>77704833.333333373</v>
      </c>
      <c r="BF129" s="96">
        <f>+AX129+AZ129</f>
        <v>80754612.666666672</v>
      </c>
    </row>
    <row r="130" spans="2:58" x14ac:dyDescent="0.25">
      <c r="B130" s="28" t="s">
        <v>340</v>
      </c>
      <c r="C130" s="2743"/>
      <c r="D130" s="33" t="s">
        <v>332</v>
      </c>
      <c r="E130" s="1109">
        <f t="shared" ref="E130:AJ130" si="89">+E129/E5</f>
        <v>186.89090909091001</v>
      </c>
      <c r="F130" s="1109">
        <f t="shared" si="89"/>
        <v>178.64613654658029</v>
      </c>
      <c r="G130" s="2744">
        <f t="shared" si="89"/>
        <v>162.210601158858</v>
      </c>
      <c r="H130" s="118">
        <f t="shared" si="89"/>
        <v>196.91815628536247</v>
      </c>
      <c r="I130" s="2745">
        <f t="shared" si="89"/>
        <v>173.142818048246</v>
      </c>
      <c r="J130" s="687">
        <f t="shared" si="89"/>
        <v>186.56452802500758</v>
      </c>
      <c r="K130" s="1109">
        <f t="shared" si="89"/>
        <v>144.99999999999997</v>
      </c>
      <c r="L130" s="1109">
        <f t="shared" si="89"/>
        <v>160.93189326832342</v>
      </c>
      <c r="M130" s="2746">
        <f t="shared" si="89"/>
        <v>163.07448230876031</v>
      </c>
      <c r="N130" s="869">
        <f t="shared" si="89"/>
        <v>176.24001086897132</v>
      </c>
      <c r="O130" s="1109">
        <f t="shared" si="89"/>
        <v>145</v>
      </c>
      <c r="P130" s="1109">
        <f t="shared" si="89"/>
        <v>171.92541536131012</v>
      </c>
      <c r="Q130" s="2745">
        <f t="shared" si="89"/>
        <v>158.14507805262448</v>
      </c>
      <c r="R130" s="687">
        <f t="shared" si="89"/>
        <v>175.01428929390116</v>
      </c>
      <c r="S130" s="1109">
        <f t="shared" si="89"/>
        <v>145</v>
      </c>
      <c r="T130" s="1109">
        <f t="shared" si="89"/>
        <v>168.45035339384012</v>
      </c>
      <c r="U130" s="2745">
        <f t="shared" si="89"/>
        <v>155.32827561721666</v>
      </c>
      <c r="V130" s="687">
        <f t="shared" si="89"/>
        <v>173.47414599290084</v>
      </c>
      <c r="W130" s="1109">
        <f t="shared" si="89"/>
        <v>145</v>
      </c>
      <c r="X130" s="1109">
        <f t="shared" si="89"/>
        <v>166.39490087346567</v>
      </c>
      <c r="Y130" s="2746">
        <f t="shared" si="89"/>
        <v>145</v>
      </c>
      <c r="Z130" s="869">
        <f t="shared" si="89"/>
        <v>168.87298336252351</v>
      </c>
      <c r="AA130" s="2747">
        <f t="shared" si="89"/>
        <v>153.55771408514923</v>
      </c>
      <c r="AB130" s="1135">
        <f t="shared" si="89"/>
        <v>172.16066366497952</v>
      </c>
      <c r="AC130" s="1109">
        <f t="shared" si="89"/>
        <v>145</v>
      </c>
      <c r="AD130" s="1109">
        <f t="shared" si="89"/>
        <v>155.35990925505808</v>
      </c>
      <c r="AE130" s="2745">
        <f t="shared" si="89"/>
        <v>152.26738284670529</v>
      </c>
      <c r="AF130" s="687">
        <f t="shared" si="89"/>
        <v>169.35938699943412</v>
      </c>
      <c r="AG130" s="1109">
        <f t="shared" si="89"/>
        <v>145</v>
      </c>
      <c r="AH130" s="1109">
        <f t="shared" si="89"/>
        <v>175.51475812364558</v>
      </c>
      <c r="AI130" s="2745">
        <f t="shared" si="89"/>
        <v>151.34384251609683</v>
      </c>
      <c r="AJ130" s="245">
        <f t="shared" si="89"/>
        <v>170.13185669911513</v>
      </c>
      <c r="AK130" s="1109">
        <f t="shared" ref="AK130:BF130" si="90">+AK129/AK5</f>
        <v>145</v>
      </c>
      <c r="AL130" s="1109">
        <f t="shared" si="90"/>
        <v>164.29618093913845</v>
      </c>
      <c r="AM130" s="2746">
        <f t="shared" si="90"/>
        <v>145</v>
      </c>
      <c r="AN130" s="869">
        <f t="shared" si="90"/>
        <v>164.55434189148912</v>
      </c>
      <c r="AO130" s="2745">
        <f t="shared" si="90"/>
        <v>150.60598917595217</v>
      </c>
      <c r="AP130" s="245">
        <f t="shared" si="90"/>
        <v>169.43806990402334</v>
      </c>
      <c r="AQ130" s="1109">
        <f t="shared" si="90"/>
        <v>145</v>
      </c>
      <c r="AR130" s="1109">
        <f t="shared" si="90"/>
        <v>163.6276056031636</v>
      </c>
      <c r="AS130" s="2745">
        <f t="shared" si="90"/>
        <v>150.02189210058211</v>
      </c>
      <c r="AT130" s="245">
        <f t="shared" si="90"/>
        <v>168.81891960958495</v>
      </c>
      <c r="AU130" s="1109">
        <f t="shared" si="90"/>
        <v>145.00000000000003</v>
      </c>
      <c r="AV130" s="1109">
        <f t="shared" si="90"/>
        <v>154.73361219437624</v>
      </c>
      <c r="AW130" s="2745">
        <f t="shared" si="90"/>
        <v>149.59285860269512</v>
      </c>
      <c r="AX130" s="245">
        <f t="shared" si="90"/>
        <v>167.3603761406454</v>
      </c>
      <c r="AY130" s="1109">
        <f t="shared" si="90"/>
        <v>145</v>
      </c>
      <c r="AZ130" s="1109">
        <f t="shared" si="90"/>
        <v>150.87966701210826</v>
      </c>
      <c r="BA130" s="2746">
        <f t="shared" si="90"/>
        <v>145</v>
      </c>
      <c r="BB130" s="869">
        <f t="shared" si="90"/>
        <v>156.1240530494839</v>
      </c>
      <c r="BC130" s="2747">
        <f t="shared" si="90"/>
        <v>145</v>
      </c>
      <c r="BD130" s="1135">
        <f t="shared" si="90"/>
        <v>160.18609099068229</v>
      </c>
      <c r="BE130" s="2745">
        <f t="shared" si="90"/>
        <v>149.19327990451637</v>
      </c>
      <c r="BF130" s="245">
        <f t="shared" si="90"/>
        <v>165.73760906795653</v>
      </c>
    </row>
    <row r="131" spans="2:58" ht="15" hidden="1" customHeight="1" x14ac:dyDescent="0.25">
      <c r="B131" s="28" t="s">
        <v>341</v>
      </c>
      <c r="C131" s="2743"/>
      <c r="D131" s="33" t="s">
        <v>333</v>
      </c>
      <c r="E131" s="1109">
        <f>EMD!D27/(EMD!D2*24)</f>
        <v>1.7135134000000001</v>
      </c>
      <c r="F131" s="677">
        <f>EMD!E27/(EMD!E2*24)</f>
        <v>1.1464461258195888</v>
      </c>
      <c r="G131" s="2744">
        <f>EMD!F27/(EMD!F2*24)</f>
        <v>2.0467787</v>
      </c>
      <c r="H131" s="121">
        <f>EMD!G27/(EMD!G2*24)</f>
        <v>0.96478494623655908</v>
      </c>
      <c r="I131" s="2745">
        <f>+((E131*E$2)+(G131*G$2))/I$2</f>
        <v>1.8828777327868853</v>
      </c>
      <c r="J131" s="3250">
        <f>+((F131*F$2)+(H131*H$2))/J$2</f>
        <v>1.0541265099659178</v>
      </c>
      <c r="K131" s="2744">
        <f>EMD!J27/(EMD!J2*24)</f>
        <v>1.2814680000000001</v>
      </c>
      <c r="L131" s="121">
        <f>EMD!K27/(EMD!K2*24)</f>
        <v>1.2079027777777778</v>
      </c>
      <c r="M131" s="2755">
        <f>+((I131*I$2)+(K131*K$2))/M$2</f>
        <v>1.684610787912088</v>
      </c>
      <c r="N131" s="3254">
        <f>+((J131*J$2)+(L131*L$2))/N$2</f>
        <v>1.1048219828709267</v>
      </c>
      <c r="O131" s="2744">
        <f>EMD!N27/(EMD!N2*24)</f>
        <v>1.3074322999999999</v>
      </c>
      <c r="P131" s="121">
        <f>EMD!O27/(EMD!O2*24)</f>
        <v>1.4966397849462365</v>
      </c>
      <c r="Q131" s="2394">
        <f>+((M131*M$2)+(O131*O$2))/Q$2</f>
        <v>1.5887703524590164</v>
      </c>
      <c r="R131" s="3253">
        <f>+((N131*N$2)+(P131*P$2))/R$2</f>
        <v>1.2043822440539973</v>
      </c>
      <c r="S131" s="2744">
        <f>EMD!R27/(EMD!R2*24)</f>
        <v>1.2656225999999999</v>
      </c>
      <c r="T131" s="121">
        <f>EMD!S27/(EMD!S2*24)</f>
        <v>1.1354166666666667</v>
      </c>
      <c r="U131" s="2394">
        <f>+((Q131*Q$2)+(S131*S$2))/U$2</f>
        <v>1.5232959712418301</v>
      </c>
      <c r="V131" s="3253">
        <f>+((R131*R$2)+(T131*T$2))/V$2</f>
        <v>1.1904088264134272</v>
      </c>
      <c r="W131" s="2744">
        <f>EMD!V27/(EMD!V2*24)</f>
        <v>1.2501875</v>
      </c>
      <c r="X131" s="121">
        <f>EMD!W27/(EMD!W2*24)</f>
        <v>1.2151388888888888</v>
      </c>
      <c r="Y131" s="2755">
        <f t="shared" ref="Y131:Z133" si="91">+((O131*O$2)+(S131*S$2)+(W131*W$2))/Y$2</f>
        <v>1.2746774663043476</v>
      </c>
      <c r="Z131" s="3254">
        <f t="shared" si="91"/>
        <v>1.2831295289855071</v>
      </c>
      <c r="AA131" s="2395">
        <f t="shared" ref="AA131:AB133" si="92">+((M131*M$2)+(Y131*Y$2))/AA$2</f>
        <v>1.4785240907103823</v>
      </c>
      <c r="AB131" s="3255">
        <f t="shared" si="92"/>
        <v>1.1944629350159617</v>
      </c>
      <c r="AC131" s="2744">
        <f>EMD!AB27/(EMD!AB2*24)</f>
        <v>1.2656225999999999</v>
      </c>
      <c r="AD131" s="121">
        <f>EMD!AC27/(EMD!AC2*24)</f>
        <v>1.2971370967741935</v>
      </c>
      <c r="AE131" s="2394">
        <f>+((AA131*AA$2)+(AC131*AC$2))/AE$2</f>
        <v>1.4476832205607475</v>
      </c>
      <c r="AF131" s="3253">
        <f>+((AB131*AB$2)+(AD131*AD$2))/AF$2</f>
        <v>1.2093362948968269</v>
      </c>
      <c r="AG131" s="2744">
        <f>EMD!AF27/(EMD!AF2*24)</f>
        <v>1.2501875</v>
      </c>
      <c r="AH131" s="121">
        <f>EMD!AG27/(EMD!AG2*24)</f>
        <v>1.1662777777777777</v>
      </c>
      <c r="AI131" s="2394">
        <f>+((AE131*AE$2)+(AG131*AG$2))/AI$2</f>
        <v>1.4234009598360653</v>
      </c>
      <c r="AJ131" s="224">
        <f>+((AF131*AF$2)+(AH131*AH$2))/AJ$2</f>
        <v>1.2040422149231733</v>
      </c>
      <c r="AK131" s="2744">
        <f>EMD!AJ27/(EMD!AJ2*24)</f>
        <v>1.2656225999999999</v>
      </c>
      <c r="AL131" s="121">
        <f>EMD!AK27/(EMD!AK2*24)</f>
        <v>1.2381048387096774</v>
      </c>
      <c r="AM131" s="2755">
        <f t="shared" ref="AM131:AM133" si="93">+((AC131*AC$2)+(AG131*AG$2)+(AK131*AK$2))/AM$2</f>
        <v>1.2605894152173911</v>
      </c>
      <c r="AN131" s="3619">
        <f t="shared" ref="AN131:AN133" si="94">+((AD131*AD$2)+(AH131*AH$2)+(AL131*AL$2))/AN$2</f>
        <v>1.2345742753623186</v>
      </c>
      <c r="AO131" s="2394">
        <f>+((AI131*AI$2)+(AK131*AK$2))/AO$2</f>
        <v>1.4056150356363635</v>
      </c>
      <c r="AP131" s="224">
        <f>+((AJ131*AJ$2)+(AL131*AL$2))/AP$2</f>
        <v>1.2078820016045613</v>
      </c>
      <c r="AQ131" s="2744">
        <f>EMD!AP27/(EMD!AP2*24)</f>
        <v>1.2656225999999999</v>
      </c>
      <c r="AR131" s="121">
        <f>EMD!AQ27/(EMD!AQ2*24)</f>
        <v>1.1772177419354839</v>
      </c>
      <c r="AS131" s="2394">
        <f>+((AO131*AO$2)+(AQ131*AQ$2))/AS$2</f>
        <v>1.3914327954248364</v>
      </c>
      <c r="AT131" s="224">
        <f>+((AP131*AP$2)+(AR131*AR$2))/AT$2</f>
        <v>1.2047754916380862</v>
      </c>
      <c r="AU131" s="2744">
        <f>EMD!AT27/(EMD!AT2*24)</f>
        <v>1.2341043</v>
      </c>
      <c r="AV131" s="121">
        <f>EMD!AU27/(EMD!AU2*24)</f>
        <v>1.3763603041274224</v>
      </c>
      <c r="AW131" s="2394">
        <f>+((AS131*AS$2)+(AU131*AU$2))/AW$2</f>
        <v>1.378243580239521</v>
      </c>
      <c r="AX131" s="224">
        <f>+((AT131*AT$2)+(AV131*AV$2))/AX$2</f>
        <v>1.2191598471761143</v>
      </c>
      <c r="AY131" s="2744">
        <f>EMD!AX27/(EMD!AX2*24)</f>
        <v>1.2656225999999999</v>
      </c>
      <c r="AZ131" s="121">
        <f>EMD!AY27/(EMD!AY2*24)</f>
        <v>1.3278225806451613</v>
      </c>
      <c r="BA131" s="2755">
        <f t="shared" ref="BA131:BA133" si="95">+((AQ131*AQ$2)+(AU131*AU$2)+(AY131*AY$2))/BA$2</f>
        <v>1.2558169066666667</v>
      </c>
      <c r="BB131" s="4271">
        <f t="shared" ref="BB131:BB133" si="96">+((AR131*AR$2)+(AV131*AV$2)+(AZ131*AZ$2))/BB$2</f>
        <v>1.2910482057285315</v>
      </c>
      <c r="BC131" s="2395">
        <f t="shared" ref="BC131:BD133" si="97">+((AM131*AM$2)+(BA131*BA$2))/BC$2</f>
        <v>1.2582293835164833</v>
      </c>
      <c r="BD131" s="4274">
        <f t="shared" si="97"/>
        <v>1.2625009442247317</v>
      </c>
      <c r="BE131" s="2394">
        <f>+((AW131*AW$2)+(AY131*AY$2))/BE$2</f>
        <v>1.3686785106849315</v>
      </c>
      <c r="BF131" s="224">
        <f>+((AX131*AX$2)+(AZ131*AZ$2))/BF$2</f>
        <v>1.228388736868006</v>
      </c>
    </row>
    <row r="132" spans="2:58" hidden="1" x14ac:dyDescent="0.25">
      <c r="B132" s="28" t="s">
        <v>342</v>
      </c>
      <c r="C132" s="2743"/>
      <c r="D132" s="33" t="s">
        <v>333</v>
      </c>
      <c r="E132" s="1110">
        <f>+EMD!D46/(EMD!D2*24)</f>
        <v>3.5975870833333334</v>
      </c>
      <c r="F132" s="3257">
        <f>+EMD!E46/(EMD!E2*24)</f>
        <v>2.7719839472096668</v>
      </c>
      <c r="G132" s="2756">
        <f>+EMD!F46/(EMD!F2*24)</f>
        <v>4.3987512961838036</v>
      </c>
      <c r="H132" s="1499">
        <f>+EMD!G46/(EMD!G2*24)</f>
        <v>3.3698924731182793</v>
      </c>
      <c r="I132" s="2394">
        <f t="shared" ref="I132:J133" si="98">+((E132*E$2)+(G132*G$2))/I$2</f>
        <v>4.0047361095360312</v>
      </c>
      <c r="J132" s="3253">
        <f t="shared" si="98"/>
        <v>3.0758390997206009</v>
      </c>
      <c r="K132" s="2756">
        <f>+EMD!J46/(EMD!J2*24)</f>
        <v>4.9873147046229001</v>
      </c>
      <c r="L132" s="1499">
        <f>+EMD!K46/(EMD!K2*24)</f>
        <v>5.8964583333333334</v>
      </c>
      <c r="M132" s="2755">
        <f t="shared" ref="M132:M133" si="99">+((I132*I$2)+(K132*K$2))/M$2</f>
        <v>4.328663118905328</v>
      </c>
      <c r="N132" s="3254">
        <f t="shared" ref="N132:N133" si="100">+((J132*J$2)+(L132*L$2))/N$2</f>
        <v>4.0057135723401824</v>
      </c>
      <c r="O132" s="2756">
        <f>+EMD!N46/(EMD!N2*24)</f>
        <v>5.0550368528260012</v>
      </c>
      <c r="P132" s="1499">
        <f>+EMD!O46/(EMD!O2*24)</f>
        <v>6.0434139784946241</v>
      </c>
      <c r="Q132" s="2394">
        <f t="shared" ref="Q132:Q133" si="101">+((M132*M$2)+(O132*O$2))/Q$2</f>
        <v>4.5132334939179577</v>
      </c>
      <c r="R132" s="3253">
        <f t="shared" ref="R132:R133" si="102">+((N132*N$2)+(P132*P$2))/R$2</f>
        <v>4.5234899050515569</v>
      </c>
      <c r="S132" s="2756">
        <f>+EMD!R46/(EMD!R2*24)</f>
        <v>5.0772042032989999</v>
      </c>
      <c r="T132" s="1499">
        <f>+EMD!S46/(EMD!S2*24)</f>
        <v>6.6438978494623662</v>
      </c>
      <c r="U132" s="2394">
        <f t="shared" ref="U132:U133" si="103">+((Q132*Q$2)+(S132*S$2))/U$2</f>
        <v>4.6275020690213058</v>
      </c>
      <c r="V132" s="3253">
        <f t="shared" ref="V132:V133" si="104">+((R132*R$2)+(T132*T$2))/V$2</f>
        <v>4.9531150441151848</v>
      </c>
      <c r="W132" s="2756">
        <f>+EMD!V46/(EMD!V2*24)</f>
        <v>5.0721735089886</v>
      </c>
      <c r="X132" s="1499">
        <f>+EMD!W46/(EMD!W2*24)</f>
        <v>6.1837083333333336</v>
      </c>
      <c r="Y132" s="2755">
        <f t="shared" si="91"/>
        <v>5.0680943261905771</v>
      </c>
      <c r="Z132" s="3254">
        <f t="shared" si="91"/>
        <v>6.2914990942028997</v>
      </c>
      <c r="AA132" s="2395">
        <f t="shared" si="92"/>
        <v>4.7003990263929945</v>
      </c>
      <c r="AB132" s="3255">
        <f t="shared" si="92"/>
        <v>5.1548516489050451</v>
      </c>
      <c r="AC132" s="2756">
        <f>+EMD!AB46/(EMD!AB2*24)</f>
        <v>5.0772042032989999</v>
      </c>
      <c r="AD132" s="1499">
        <f>+EMD!AC46/(EMD!AC2*24)</f>
        <v>6.6124999999999998</v>
      </c>
      <c r="AE132" s="2394">
        <f t="shared" ref="AE132:AE133" si="105">+((AA132*AA$2)+(AC132*AC$2))/AE$2</f>
        <v>4.7549829538887236</v>
      </c>
      <c r="AF132" s="3253">
        <f t="shared" ref="AF132:AF133" si="106">+((AB132*AB$2)+(AD132*AD$2))/AF$2</f>
        <v>5.3660063165870246</v>
      </c>
      <c r="AG132" s="2756">
        <f>+EMD!AF46/(EMD!AF2*24)</f>
        <v>5.0721735089886</v>
      </c>
      <c r="AH132" s="1499">
        <f>+EMD!AG46/(EMD!AG2*24)</f>
        <v>5.0247083333333329</v>
      </c>
      <c r="AI132" s="2394">
        <f t="shared" ref="AI132:AI133" si="107">+((AE132*AE$2)+(AG132*AG$2))/AI$2</f>
        <v>4.7939817926305119</v>
      </c>
      <c r="AJ132" s="224">
        <f t="shared" ref="AJ132:AJ133" si="108">+((AF132*AF$2)+(AH132*AH$2))/AJ$2</f>
        <v>5.3240434497935381</v>
      </c>
      <c r="AK132" s="2756">
        <f>+EMD!AJ46/(EMD!AJ2*24)</f>
        <v>5.0772042032989999</v>
      </c>
      <c r="AL132" s="1499">
        <f>+EMD!AK46/(EMD!AK2*24)</f>
        <v>5.7430376344086014</v>
      </c>
      <c r="AM132" s="2755">
        <f t="shared" si="93"/>
        <v>5.0755637595021303</v>
      </c>
      <c r="AN132" s="3619">
        <f t="shared" si="94"/>
        <v>5.8017708333333324</v>
      </c>
      <c r="AO132" s="2394">
        <f t="shared" ref="AO132:AO133" si="109">+((AI132*AI$2)+(AK132*AK$2))/AO$2</f>
        <v>4.8259086825604145</v>
      </c>
      <c r="AP132" s="224">
        <f t="shared" ref="AP132:AP133" si="110">+((AJ132*AJ$2)+(AL132*AL$2))/AP$2</f>
        <v>5.3712755215137813</v>
      </c>
      <c r="AQ132" s="2756">
        <f>+EMD!AP46/(EMD!AP2*24)</f>
        <v>5.0772042032989999</v>
      </c>
      <c r="AR132" s="1499">
        <f>+EMD!AQ46/(EMD!AQ2*24)</f>
        <v>6.0044892473118283</v>
      </c>
      <c r="AS132" s="2394">
        <f t="shared" ref="AS132:AS133" si="111">+((AO132*AO$2)+(AQ132*AQ$2))/AS$2</f>
        <v>4.8513667255110553</v>
      </c>
      <c r="AT132" s="224">
        <f t="shared" ref="AT132:AT133" si="112">+((AP132*AP$2)+(AR132*AR$2))/AT$2</f>
        <v>5.4354246244541056</v>
      </c>
      <c r="AU132" s="2756">
        <f>+EMD!AT46/(EMD!AT2*24)</f>
        <v>5.0514405119871997</v>
      </c>
      <c r="AV132" s="1499">
        <f>+EMD!AU46/(EMD!AU2*24)</f>
        <v>7.334060927772728</v>
      </c>
      <c r="AW132" s="2394">
        <f t="shared" ref="AW132:AW133" si="113">+((AS132*AS$2)+(AU132*AU$2))/AW$2</f>
        <v>4.868139378269535</v>
      </c>
      <c r="AX132" s="224">
        <f t="shared" ref="AX132:AX133" si="114">+((AT132*AT$2)+(AV132*AV$2))/AX$2</f>
        <v>5.5945917397023726</v>
      </c>
      <c r="AY132" s="2756">
        <f>+EMD!AX46/(EMD!AX2*24)</f>
        <v>5.0772042032989999</v>
      </c>
      <c r="AZ132" s="1499">
        <f>+EMD!AY46/(EMD!AY2*24)</f>
        <v>7.3283333333333331</v>
      </c>
      <c r="BA132" s="2755">
        <f t="shared" si="95"/>
        <v>5.0691888326686616</v>
      </c>
      <c r="BB132" s="4271">
        <f t="shared" si="96"/>
        <v>6.874124510862627</v>
      </c>
      <c r="BC132" s="2395">
        <f t="shared" si="97"/>
        <v>5.0724113231559098</v>
      </c>
      <c r="BD132" s="4274">
        <f t="shared" si="97"/>
        <v>6.3320556189247421</v>
      </c>
      <c r="BE132" s="2394">
        <f t="shared" ref="BE132:BE133" si="115">+((AW132*AW$2)+(AY132*AY$2))/BE$2</f>
        <v>4.8858955688884755</v>
      </c>
      <c r="BF132" s="224">
        <f t="shared" ref="BF132:BF133" si="116">+((AX132*AX$2)+(AZ132*AZ$2))/BF$2</f>
        <v>5.7418410257367833</v>
      </c>
    </row>
    <row r="133" spans="2:58" hidden="1" x14ac:dyDescent="0.25">
      <c r="B133" s="28" t="s">
        <v>712</v>
      </c>
      <c r="C133" s="2743"/>
      <c r="D133" s="33" t="s">
        <v>333</v>
      </c>
      <c r="E133" s="1110">
        <f>+EMD!D71/(EMD!D2*24)</f>
        <v>0.41806615999999996</v>
      </c>
      <c r="F133" s="3257">
        <f>+EMD!E71/(EMD!E2*24)</f>
        <v>1.3414942706243569</v>
      </c>
      <c r="G133" s="2756">
        <f>+EMD!F71/(EMD!F2*24)</f>
        <v>0.52691621</v>
      </c>
      <c r="H133" s="1499">
        <f>+EMD!G71/(EMD!G2*24)</f>
        <v>0.93194220430107533</v>
      </c>
      <c r="I133" s="2394">
        <f t="shared" si="98"/>
        <v>0.47338339852459016</v>
      </c>
      <c r="J133" s="3253">
        <f t="shared" si="98"/>
        <v>1.1333612533125252</v>
      </c>
      <c r="K133" s="2756">
        <f>+EMD!J71/(EMD!J2*24)</f>
        <v>0.93607845000000001</v>
      </c>
      <c r="L133" s="1499">
        <f>+EMD!K71/(EMD!K2*24)</f>
        <v>1.4476347222222223</v>
      </c>
      <c r="M133" s="2755">
        <f t="shared" si="99"/>
        <v>0.62592022868131858</v>
      </c>
      <c r="N133" s="3254">
        <f t="shared" si="100"/>
        <v>1.2369678914146234</v>
      </c>
      <c r="O133" s="2756">
        <f>+EMD!N71/(EMD!N2*24)</f>
        <v>0.94599857999999992</v>
      </c>
      <c r="P133" s="1499">
        <f>+EMD!O71/(EMD!O2*24)</f>
        <v>1.3892809139784945</v>
      </c>
      <c r="Q133" s="2394">
        <f t="shared" si="101"/>
        <v>0.70725161303278672</v>
      </c>
      <c r="R133" s="3253">
        <f t="shared" si="102"/>
        <v>1.2756703807546235</v>
      </c>
      <c r="S133" s="2756">
        <f>+EMD!R71/(EMD!R2*24)</f>
        <v>0.96564090999999996</v>
      </c>
      <c r="T133" s="1499">
        <f>+EMD!S71/(EMD!S2*24)</f>
        <v>1.7655658602150537</v>
      </c>
      <c r="U133" s="2394">
        <f t="shared" si="103"/>
        <v>0.75960499999999997</v>
      </c>
      <c r="V133" s="3253">
        <f t="shared" si="104"/>
        <v>1.374930249142031</v>
      </c>
      <c r="W133" s="2756">
        <f>+EMD!V71/(EMD!V2*24)</f>
        <v>0.96930561999999998</v>
      </c>
      <c r="X133" s="1499">
        <f>+EMD!W71/(EMD!W2*24)</f>
        <v>1.5206930555555553</v>
      </c>
      <c r="Y133" s="2755">
        <f t="shared" si="91"/>
        <v>0.96021731293478252</v>
      </c>
      <c r="Z133" s="3254">
        <f t="shared" si="91"/>
        <v>1.5589243659420291</v>
      </c>
      <c r="AA133" s="2395">
        <f t="shared" si="92"/>
        <v>0.79398215081967205</v>
      </c>
      <c r="AB133" s="3255">
        <f t="shared" si="92"/>
        <v>1.398825791177035</v>
      </c>
      <c r="AC133" s="2756">
        <f>+EMD!AB71/(EMD!AB2*24)</f>
        <v>0.93449120322580648</v>
      </c>
      <c r="AD133" s="1499">
        <f>+EMD!AC71/(EMD!AC2*24)</f>
        <v>1.5319247311827957</v>
      </c>
      <c r="AE133" s="2394">
        <f t="shared" si="105"/>
        <v>0.81433626588785046</v>
      </c>
      <c r="AF133" s="3253">
        <f t="shared" si="106"/>
        <v>1.4181064787479631</v>
      </c>
      <c r="AG133" s="2756">
        <f>+EMD!AF71/(EMD!AF2*24)</f>
        <v>0.96930561999999998</v>
      </c>
      <c r="AH133" s="1499">
        <f>+EMD!AG71/(EMD!AG2*24)</f>
        <v>1.1133305555555555</v>
      </c>
      <c r="AI133" s="2394">
        <f t="shared" si="107"/>
        <v>0.83338987499999995</v>
      </c>
      <c r="AJ133" s="224">
        <f t="shared" si="108"/>
        <v>1.3806340291751262</v>
      </c>
      <c r="AK133" s="2756">
        <f>+EMD!AJ71/(EMD!AJ2*24)</f>
        <v>0.96564090999999996</v>
      </c>
      <c r="AL133" s="1499">
        <f>+EMD!AK71/(EMD!AK2*24)</f>
        <v>1.2659327956989248</v>
      </c>
      <c r="AM133" s="2755">
        <f t="shared" si="93"/>
        <v>0.95633982728260858</v>
      </c>
      <c r="AN133" s="3619">
        <f t="shared" si="94"/>
        <v>1.3057989130434782</v>
      </c>
      <c r="AO133" s="2394">
        <f t="shared" si="109"/>
        <v>0.84829817349090908</v>
      </c>
      <c r="AP133" s="224">
        <f t="shared" si="110"/>
        <v>1.3677040719468998</v>
      </c>
      <c r="AQ133" s="2756">
        <f>+EMD!AP71/(EMD!AP2*24)</f>
        <v>0.96564090999999996</v>
      </c>
      <c r="AR133" s="1499">
        <f>+EMD!AQ71/(EMD!AQ2*24)</f>
        <v>1.2423198924731182</v>
      </c>
      <c r="AS133" s="2394">
        <f t="shared" si="111"/>
        <v>0.86018583633986923</v>
      </c>
      <c r="AT133" s="224">
        <f t="shared" si="112"/>
        <v>1.3550017531113208</v>
      </c>
      <c r="AU133" s="2756">
        <f>+EMD!AT71/(EMD!AT2*24)</f>
        <v>0.96891952000000003</v>
      </c>
      <c r="AV133" s="1499">
        <f>+EMD!AU71/(EMD!AU2*24)</f>
        <v>1.3719158250455756</v>
      </c>
      <c r="AW133" s="2394">
        <f t="shared" si="113"/>
        <v>0.86930123497005984</v>
      </c>
      <c r="AX133" s="224">
        <f t="shared" si="114"/>
        <v>1.3564196992614979</v>
      </c>
      <c r="AY133" s="2756">
        <f>+EMD!AX71/(EMD!AX2*24)</f>
        <v>0.96564090999999996</v>
      </c>
      <c r="AZ133" s="1499">
        <f>+EMD!AY71/(EMD!AY2*24)</f>
        <v>1.5081411290322582</v>
      </c>
      <c r="BA133" s="2755">
        <f t="shared" si="95"/>
        <v>0.96666092199999998</v>
      </c>
      <c r="BB133" s="4271">
        <f t="shared" si="96"/>
        <v>1.3741992751993644</v>
      </c>
      <c r="BC133" s="2395">
        <f t="shared" si="97"/>
        <v>0.96144366532967018</v>
      </c>
      <c r="BD133" s="4274">
        <f t="shared" si="97"/>
        <v>1.3396232679557296</v>
      </c>
      <c r="BE133" s="2394">
        <f t="shared" si="115"/>
        <v>0.87748350873972591</v>
      </c>
      <c r="BF133" s="224">
        <f t="shared" si="116"/>
        <v>1.3693056289132608</v>
      </c>
    </row>
    <row r="134" spans="2:58" ht="15.75" thickBot="1" x14ac:dyDescent="0.3">
      <c r="B134" s="31" t="s">
        <v>344</v>
      </c>
      <c r="C134" s="2757"/>
      <c r="D134" s="2041" t="s">
        <v>609</v>
      </c>
      <c r="E134" s="822">
        <f t="shared" ref="E134:AF134" si="117">+E115/E126</f>
        <v>78.571428571428569</v>
      </c>
      <c r="F134" s="822">
        <f t="shared" si="117"/>
        <v>70.815084042785415</v>
      </c>
      <c r="G134" s="2758">
        <f t="shared" si="117"/>
        <v>76.851851851851848</v>
      </c>
      <c r="H134" s="318">
        <f t="shared" si="117"/>
        <v>78.064222689075621</v>
      </c>
      <c r="I134" s="2759">
        <f t="shared" si="117"/>
        <v>77.604166666666671</v>
      </c>
      <c r="J134" s="1604">
        <f t="shared" si="117"/>
        <v>73.781674762498398</v>
      </c>
      <c r="K134" s="822">
        <f t="shared" si="117"/>
        <v>76.851851851851848</v>
      </c>
      <c r="L134" s="1279">
        <f t="shared" si="117"/>
        <v>77.429468021518261</v>
      </c>
      <c r="M134" s="2499">
        <f t="shared" si="117"/>
        <v>77.333333333333329</v>
      </c>
      <c r="N134" s="1605">
        <f t="shared" si="117"/>
        <v>75.214994780793333</v>
      </c>
      <c r="O134" s="822">
        <f t="shared" si="117"/>
        <v>77.678571428571431</v>
      </c>
      <c r="P134" s="1279">
        <f t="shared" si="117"/>
        <v>74.440036243608816</v>
      </c>
      <c r="Q134" s="2759">
        <f t="shared" si="117"/>
        <v>77.427184466019412</v>
      </c>
      <c r="R134" s="1604">
        <f t="shared" si="117"/>
        <v>74.992311840955153</v>
      </c>
      <c r="S134" s="822">
        <f t="shared" si="117"/>
        <v>77.678571428571431</v>
      </c>
      <c r="T134" s="1279">
        <f t="shared" si="117"/>
        <v>81.033827951366206</v>
      </c>
      <c r="U134" s="2759">
        <f t="shared" si="117"/>
        <v>77.480916030534345</v>
      </c>
      <c r="V134" s="1604">
        <f t="shared" si="117"/>
        <v>76.330439126091321</v>
      </c>
      <c r="W134" s="822">
        <f t="shared" si="117"/>
        <v>77.777777777777771</v>
      </c>
      <c r="X134" s="1279">
        <f t="shared" si="117"/>
        <v>80.810777278519197</v>
      </c>
      <c r="Y134" s="2499">
        <f t="shared" si="117"/>
        <v>77.710843373493972</v>
      </c>
      <c r="Z134" s="1605">
        <f t="shared" si="117"/>
        <v>78.729697766097246</v>
      </c>
      <c r="AA134" s="2500">
        <f t="shared" si="117"/>
        <v>77.531645569620252</v>
      </c>
      <c r="AB134" s="1716">
        <f t="shared" si="117"/>
        <v>77.125941890926413</v>
      </c>
      <c r="AC134" s="822">
        <f t="shared" si="117"/>
        <v>77.678571428571431</v>
      </c>
      <c r="AD134" s="1279">
        <f t="shared" si="117"/>
        <v>85.694959949896173</v>
      </c>
      <c r="AE134" s="2759">
        <f t="shared" si="117"/>
        <v>77.553763440860209</v>
      </c>
      <c r="AF134" s="1604">
        <f t="shared" si="117"/>
        <v>78.436896170895182</v>
      </c>
      <c r="AG134" s="822">
        <f t="shared" ref="AG134:AJ134" si="118">+AG115/AG126</f>
        <v>77.777777777777771</v>
      </c>
      <c r="AH134" s="1279">
        <f t="shared" si="118"/>
        <v>76.186473099914608</v>
      </c>
      <c r="AI134" s="2759">
        <f t="shared" si="118"/>
        <v>77.582159624413151</v>
      </c>
      <c r="AJ134" s="303">
        <f t="shared" si="118"/>
        <v>78.147400383175395</v>
      </c>
      <c r="AK134" s="822">
        <f t="shared" ref="AK134:AP134" si="119">+AK115/AK126</f>
        <v>77.678571428571431</v>
      </c>
      <c r="AL134" s="1279">
        <f t="shared" si="119"/>
        <v>75.081969588159978</v>
      </c>
      <c r="AM134" s="2499">
        <f t="shared" si="119"/>
        <v>77.710843373493972</v>
      </c>
      <c r="AN134" s="1605">
        <f t="shared" si="119"/>
        <v>78.948234267069708</v>
      </c>
      <c r="AO134" s="2759">
        <f t="shared" si="119"/>
        <v>77.593360995850617</v>
      </c>
      <c r="AP134" s="303">
        <f t="shared" si="119"/>
        <v>77.769214981567671</v>
      </c>
      <c r="AQ134" s="822">
        <f t="shared" ref="AQ134:AT134" si="120">+AQ115/AQ126</f>
        <v>77.678571428571431</v>
      </c>
      <c r="AR134" s="1279">
        <f t="shared" si="120"/>
        <v>77.229996802046699</v>
      </c>
      <c r="AS134" s="2759">
        <f t="shared" si="120"/>
        <v>77.60223048327137</v>
      </c>
      <c r="AT134" s="303">
        <f t="shared" si="120"/>
        <v>77.711246093602227</v>
      </c>
      <c r="AU134" s="822">
        <f t="shared" ref="AU134:AX134" si="121">+AU115/AU126</f>
        <v>78</v>
      </c>
      <c r="AV134" s="1279">
        <f t="shared" si="121"/>
        <v>84.43512113509864</v>
      </c>
      <c r="AW134" s="2759">
        <f t="shared" si="121"/>
        <v>77.636054421768705</v>
      </c>
      <c r="AX134" s="303">
        <f t="shared" si="121"/>
        <v>78.36036788321168</v>
      </c>
      <c r="AY134" s="822">
        <f t="shared" ref="AY134:AZ134" si="122">+AY115/AY126</f>
        <v>77.678571428571431</v>
      </c>
      <c r="AZ134" s="1279">
        <f t="shared" si="122"/>
        <v>85.484828802078496</v>
      </c>
      <c r="BA134" s="2499">
        <f t="shared" ref="BA134:BF134" si="123">+BA115/BA126</f>
        <v>77.777777777777771</v>
      </c>
      <c r="BB134" s="1605">
        <f t="shared" si="123"/>
        <v>82.41397520119979</v>
      </c>
      <c r="BC134" s="2500">
        <f t="shared" si="123"/>
        <v>77.743902439024396</v>
      </c>
      <c r="BD134" s="1716">
        <f t="shared" si="123"/>
        <v>80.709406025085727</v>
      </c>
      <c r="BE134" s="2759">
        <f t="shared" si="123"/>
        <v>77.639751552795033</v>
      </c>
      <c r="BF134" s="303">
        <f t="shared" si="123"/>
        <v>79.010532430471812</v>
      </c>
    </row>
    <row r="135" spans="2:58" s="334" customFormat="1" ht="15.75" thickBot="1" x14ac:dyDescent="0.3">
      <c r="B135" s="3260"/>
      <c r="C135" s="3261"/>
      <c r="D135" s="3261"/>
      <c r="E135" s="3261"/>
      <c r="F135" s="3261"/>
      <c r="G135" s="3261"/>
      <c r="H135" s="3261"/>
      <c r="I135" s="3261"/>
      <c r="J135" s="3261"/>
      <c r="K135" s="3261"/>
      <c r="L135" s="3261"/>
      <c r="M135" s="3261"/>
      <c r="N135" s="3261"/>
      <c r="O135" s="3261"/>
      <c r="P135" s="3261"/>
      <c r="Q135" s="3261"/>
      <c r="R135" s="3261"/>
      <c r="S135" s="3261"/>
      <c r="T135" s="3261"/>
      <c r="U135" s="3261"/>
      <c r="V135" s="3261"/>
      <c r="W135" s="3261"/>
      <c r="X135" s="3261"/>
      <c r="Y135" s="3262"/>
      <c r="Z135" s="3262"/>
      <c r="AA135" s="3262"/>
      <c r="AB135" s="3262"/>
      <c r="AC135" s="3261"/>
      <c r="AD135" s="3261"/>
      <c r="AE135" s="3261"/>
      <c r="AF135" s="3261"/>
      <c r="AG135" s="3261"/>
      <c r="AH135" s="3261"/>
      <c r="AI135" s="3261"/>
      <c r="AJ135" s="3263"/>
      <c r="AK135" s="3261"/>
      <c r="AL135" s="3261"/>
      <c r="AM135" s="3262"/>
      <c r="AN135" s="3262"/>
      <c r="AO135" s="3261"/>
      <c r="AP135" s="3263"/>
      <c r="AQ135" s="3261"/>
      <c r="AR135" s="3261"/>
      <c r="AS135" s="3261"/>
      <c r="AT135" s="3263"/>
      <c r="AU135" s="3261"/>
      <c r="AV135" s="3261"/>
      <c r="AW135" s="3261"/>
      <c r="AX135" s="3263"/>
      <c r="AY135" s="3261"/>
      <c r="AZ135" s="3261"/>
      <c r="BA135" s="3262"/>
      <c r="BB135" s="3262"/>
      <c r="BC135" s="3262"/>
      <c r="BD135" s="3262"/>
      <c r="BE135" s="3261"/>
      <c r="BF135" s="3263"/>
    </row>
    <row r="136" spans="2:58" x14ac:dyDescent="0.25">
      <c r="B136" s="3264" t="s">
        <v>1023</v>
      </c>
      <c r="C136" s="3265"/>
      <c r="D136" s="2472" t="s">
        <v>53</v>
      </c>
      <c r="E136" s="3265"/>
      <c r="F136" s="3266">
        <v>470.42</v>
      </c>
      <c r="G136" s="3267"/>
      <c r="H136" s="3266">
        <v>363.02</v>
      </c>
      <c r="I136" s="3268"/>
      <c r="J136" s="3269">
        <f>+F136+H136</f>
        <v>833.44</v>
      </c>
      <c r="K136" s="3265"/>
      <c r="L136" s="3266">
        <v>434.39500000000015</v>
      </c>
      <c r="M136" s="3270"/>
      <c r="N136" s="168">
        <f>+J136+L136</f>
        <v>1267.8350000000003</v>
      </c>
      <c r="O136" s="3265"/>
      <c r="P136" s="3266">
        <v>372.94400000000007</v>
      </c>
      <c r="Q136" s="3268"/>
      <c r="R136" s="100">
        <f>+N136+P136</f>
        <v>1640.7790000000005</v>
      </c>
      <c r="S136" s="3265"/>
      <c r="T136" s="3266">
        <v>455.58500000000009</v>
      </c>
      <c r="U136" s="3268"/>
      <c r="V136" s="100">
        <f>+R136+T136</f>
        <v>2096.3640000000005</v>
      </c>
      <c r="W136" s="3265"/>
      <c r="X136" s="3266">
        <v>394.13400000000019</v>
      </c>
      <c r="Y136" s="3271"/>
      <c r="Z136" s="168">
        <f>P136+T136+X136</f>
        <v>1222.6630000000005</v>
      </c>
      <c r="AA136" s="3272"/>
      <c r="AB136" s="1124">
        <f t="shared" ref="AB136:AB137" si="124">N136+Z136</f>
        <v>2490.4980000000005</v>
      </c>
      <c r="AC136" s="3265"/>
      <c r="AD136" s="3266">
        <v>413.20500000000015</v>
      </c>
      <c r="AE136" s="3268"/>
      <c r="AF136" s="100">
        <f>+AB136+AD136</f>
        <v>2903.7030000000004</v>
      </c>
      <c r="AG136" s="3265"/>
      <c r="AH136" s="3266">
        <v>478.89400000000018</v>
      </c>
      <c r="AI136" s="3268"/>
      <c r="AJ136" s="100">
        <f>+AF136+AH136</f>
        <v>3382.5970000000007</v>
      </c>
      <c r="AK136" s="3265"/>
      <c r="AL136" s="3266">
        <v>400.49100000000016</v>
      </c>
      <c r="AM136" s="3271"/>
      <c r="AN136" s="168">
        <f>AD136+AH136+AL136</f>
        <v>1292.5900000000006</v>
      </c>
      <c r="AO136" s="3268"/>
      <c r="AP136" s="100">
        <f>+AJ136+AL136</f>
        <v>3783.0880000000006</v>
      </c>
      <c r="AQ136" s="3265"/>
      <c r="AR136" s="3266">
        <v>355.99200000000013</v>
      </c>
      <c r="AS136" s="3268"/>
      <c r="AT136" s="100">
        <f>+AP136+AR136</f>
        <v>4139.0800000000008</v>
      </c>
      <c r="AU136" s="3265"/>
      <c r="AV136" s="3266">
        <v>275.47000000000003</v>
      </c>
      <c r="AW136" s="3268"/>
      <c r="AX136" s="100">
        <f>+AT136+AV136</f>
        <v>4414.5500000000011</v>
      </c>
      <c r="AY136" s="3265"/>
      <c r="AZ136" s="3266">
        <v>362.3490000000001</v>
      </c>
      <c r="BA136" s="3271"/>
      <c r="BB136" s="168">
        <f>AR136+AV136+AZ136</f>
        <v>993.81100000000038</v>
      </c>
      <c r="BC136" s="3272"/>
      <c r="BD136" s="1124">
        <f>AN136+BB136</f>
        <v>2286.4010000000007</v>
      </c>
      <c r="BE136" s="3268"/>
      <c r="BF136" s="100">
        <f>+AX136+AZ136</f>
        <v>4776.8990000000013</v>
      </c>
    </row>
    <row r="137" spans="2:58" x14ac:dyDescent="0.25">
      <c r="B137" s="3273" t="s">
        <v>1024</v>
      </c>
      <c r="C137" s="700"/>
      <c r="D137" s="3256" t="s">
        <v>53</v>
      </c>
      <c r="E137" s="700"/>
      <c r="F137" s="929">
        <v>716.37</v>
      </c>
      <c r="G137" s="2760"/>
      <c r="H137" s="929">
        <v>583.03</v>
      </c>
      <c r="I137" s="2761"/>
      <c r="J137" s="930">
        <f t="shared" ref="J137:J141" si="125">+F137+H137</f>
        <v>1299.4000000000001</v>
      </c>
      <c r="K137" s="700"/>
      <c r="L137" s="929">
        <v>725.10525000000882</v>
      </c>
      <c r="M137" s="2762"/>
      <c r="N137" s="163">
        <f t="shared" ref="N137:N141" si="126">+J137+L137</f>
        <v>2024.5052500000088</v>
      </c>
      <c r="O137" s="700"/>
      <c r="P137" s="929">
        <v>715.3515000000059</v>
      </c>
      <c r="Q137" s="2761"/>
      <c r="R137" s="96">
        <f t="shared" ref="R137" si="127">+N137+P137</f>
        <v>2739.8567500000145</v>
      </c>
      <c r="S137" s="700"/>
      <c r="T137" s="929">
        <v>771.00525000000755</v>
      </c>
      <c r="U137" s="2761"/>
      <c r="V137" s="96">
        <f t="shared" ref="V137" si="128">+R137+T137</f>
        <v>3510.8620000000219</v>
      </c>
      <c r="W137" s="700"/>
      <c r="X137" s="929">
        <v>749.43225000000791</v>
      </c>
      <c r="Y137" s="2763"/>
      <c r="Z137" s="163">
        <f t="shared" ref="Z137" si="129">P137+T137+X137</f>
        <v>2235.7890000000216</v>
      </c>
      <c r="AA137" s="2764"/>
      <c r="AB137" s="1118">
        <f t="shared" si="124"/>
        <v>4260.2942500000299</v>
      </c>
      <c r="AC137" s="700"/>
      <c r="AD137" s="929">
        <v>808.45200000000636</v>
      </c>
      <c r="AE137" s="2761"/>
      <c r="AF137" s="96">
        <f>+AB137+AD137</f>
        <v>5068.7462500000365</v>
      </c>
      <c r="AG137" s="700"/>
      <c r="AH137" s="929">
        <v>693.58725000000697</v>
      </c>
      <c r="AI137" s="2761"/>
      <c r="AJ137" s="96">
        <f>+AF137+AH137</f>
        <v>5762.3335000000434</v>
      </c>
      <c r="AK137" s="700"/>
      <c r="AL137" s="929">
        <v>747.78750000000639</v>
      </c>
      <c r="AM137" s="2763"/>
      <c r="AN137" s="163">
        <f t="shared" ref="AN137" si="130">AD137+AH137+AL137</f>
        <v>2249.8267500000197</v>
      </c>
      <c r="AO137" s="2761"/>
      <c r="AP137" s="96">
        <f>+AJ137+AL137</f>
        <v>6510.1210000000501</v>
      </c>
      <c r="AQ137" s="700"/>
      <c r="AR137" s="929">
        <v>751.00050000000681</v>
      </c>
      <c r="AS137" s="2761"/>
      <c r="AT137" s="96">
        <f>+AP137+AR137</f>
        <v>7261.1215000000566</v>
      </c>
      <c r="AU137" s="700"/>
      <c r="AV137" s="929">
        <v>816.10200000000816</v>
      </c>
      <c r="AW137" s="2761"/>
      <c r="AX137" s="96">
        <f>+AT137+AV137</f>
        <v>8077.2235000000646</v>
      </c>
      <c r="AY137" s="700"/>
      <c r="AZ137" s="929">
        <v>859.47750000000963</v>
      </c>
      <c r="BA137" s="2763"/>
      <c r="BB137" s="163">
        <f t="shared" ref="BB137" si="131">AR137+AV137+AZ137</f>
        <v>2426.5800000000245</v>
      </c>
      <c r="BC137" s="2764"/>
      <c r="BD137" s="1118">
        <f>AN137+BB137</f>
        <v>4676.4067500000438</v>
      </c>
      <c r="BE137" s="2761"/>
      <c r="BF137" s="96">
        <f>+AX137+AZ137</f>
        <v>8936.7010000000737</v>
      </c>
    </row>
    <row r="138" spans="2:58" s="1076" customFormat="1" x14ac:dyDescent="0.25">
      <c r="B138" s="3274" t="s">
        <v>1058</v>
      </c>
      <c r="C138" s="1791"/>
      <c r="D138" s="483" t="s">
        <v>53</v>
      </c>
      <c r="E138" s="1791"/>
      <c r="F138" s="980">
        <f>SUM(F136:F137)</f>
        <v>1186.79</v>
      </c>
      <c r="G138" s="2760"/>
      <c r="H138" s="980">
        <f>SUM(H136:H137)</f>
        <v>946.05</v>
      </c>
      <c r="I138" s="2761"/>
      <c r="J138" s="930">
        <f>SUM(J136:J137)</f>
        <v>2132.84</v>
      </c>
      <c r="K138" s="1791"/>
      <c r="L138" s="980">
        <f>SUM(L136:L137)</f>
        <v>1159.5002500000089</v>
      </c>
      <c r="M138" s="2762"/>
      <c r="N138" s="163">
        <f>SUM(N136:N137)</f>
        <v>3292.3402500000093</v>
      </c>
      <c r="O138" s="1791"/>
      <c r="P138" s="980">
        <f>SUM(P136:P137)</f>
        <v>1088.2955000000061</v>
      </c>
      <c r="Q138" s="2761"/>
      <c r="R138" s="96">
        <f>SUM(R136:R137)</f>
        <v>4380.6357500000149</v>
      </c>
      <c r="S138" s="1791"/>
      <c r="T138" s="980">
        <f>SUM(T136:T137)</f>
        <v>1226.5902500000077</v>
      </c>
      <c r="U138" s="2761"/>
      <c r="V138" s="96">
        <f>SUM(V136:V137)</f>
        <v>5607.2260000000224</v>
      </c>
      <c r="W138" s="1791"/>
      <c r="X138" s="980">
        <f>SUM(X136:X137)</f>
        <v>1143.566250000008</v>
      </c>
      <c r="Y138" s="2763"/>
      <c r="Z138" s="163">
        <f>SUM(Z136:Z137)</f>
        <v>3458.4520000000221</v>
      </c>
      <c r="AA138" s="2764"/>
      <c r="AB138" s="1118">
        <f>SUM(AB136:AB137)</f>
        <v>6750.7922500000304</v>
      </c>
      <c r="AC138" s="1791"/>
      <c r="AD138" s="980">
        <f>SUM(AD136:AD137)</f>
        <v>1221.6570000000065</v>
      </c>
      <c r="AE138" s="2761"/>
      <c r="AF138" s="96">
        <f>SUM(AF136:AF137)</f>
        <v>7972.449250000037</v>
      </c>
      <c r="AG138" s="1791"/>
      <c r="AH138" s="980">
        <f>SUM(AH136:AH137)</f>
        <v>1172.4812500000071</v>
      </c>
      <c r="AI138" s="2761"/>
      <c r="AJ138" s="96">
        <f>SUM(AJ136:AJ137)</f>
        <v>9144.930500000044</v>
      </c>
      <c r="AK138" s="1791"/>
      <c r="AL138" s="980">
        <f>SUM(AL136:AL137)</f>
        <v>1148.2785000000065</v>
      </c>
      <c r="AM138" s="2763"/>
      <c r="AN138" s="163">
        <f>SUM(AN136:AN137)</f>
        <v>3542.4167500000203</v>
      </c>
      <c r="AO138" s="2761"/>
      <c r="AP138" s="96">
        <f>SUM(AP136:AP137)</f>
        <v>10293.20900000005</v>
      </c>
      <c r="AQ138" s="1791"/>
      <c r="AR138" s="980">
        <f>SUM(AR136:AR137)</f>
        <v>1106.9925000000069</v>
      </c>
      <c r="AS138" s="2761"/>
      <c r="AT138" s="96">
        <f>SUM(AT136:AT137)</f>
        <v>11400.201500000057</v>
      </c>
      <c r="AU138" s="1791"/>
      <c r="AV138" s="980">
        <f>SUM(AV136:AV137)</f>
        <v>1091.5720000000083</v>
      </c>
      <c r="AW138" s="2761"/>
      <c r="AX138" s="96">
        <f>SUM(AX136:AX137)</f>
        <v>12491.773500000065</v>
      </c>
      <c r="AY138" s="1791"/>
      <c r="AZ138" s="980">
        <f>SUM(AZ136:AZ137)</f>
        <v>1221.8265000000097</v>
      </c>
      <c r="BA138" s="2763"/>
      <c r="BB138" s="163">
        <f>SUM(BB136:BB137)</f>
        <v>3420.3910000000251</v>
      </c>
      <c r="BC138" s="2764"/>
      <c r="BD138" s="1118">
        <f>SUM(BD136:BD137)</f>
        <v>6962.8077500000445</v>
      </c>
      <c r="BE138" s="2761"/>
      <c r="BF138" s="96">
        <f>SUM(BF136:BF137)</f>
        <v>13713.600000000075</v>
      </c>
    </row>
    <row r="139" spans="2:58" s="1076" customFormat="1" x14ac:dyDescent="0.25">
      <c r="B139" s="3274" t="s">
        <v>1054</v>
      </c>
      <c r="C139" s="1791"/>
      <c r="D139" s="483" t="s">
        <v>52</v>
      </c>
      <c r="E139" s="1791"/>
      <c r="F139" s="1082">
        <f>+F138/F5</f>
        <v>3.4789167310101662E-2</v>
      </c>
      <c r="G139" s="2760"/>
      <c r="H139" s="1082">
        <f>+H138/H5</f>
        <v>3.6261005649288754E-2</v>
      </c>
      <c r="I139" s="2761"/>
      <c r="J139" s="1079">
        <f>+J138/J5</f>
        <v>3.542700550912161E-2</v>
      </c>
      <c r="K139" s="1791"/>
      <c r="L139" s="1082">
        <f>+L138/L5</f>
        <v>2.8556110516236959E-2</v>
      </c>
      <c r="M139" s="2762"/>
      <c r="N139" s="1080">
        <f>+N138/N5</f>
        <v>3.2659491599422469E-2</v>
      </c>
      <c r="O139" s="1791"/>
      <c r="P139" s="1082">
        <f>+P138/P5</f>
        <v>2.7205699386353227E-2</v>
      </c>
      <c r="Q139" s="2761"/>
      <c r="R139" s="1079">
        <f>+R138/R5</f>
        <v>3.1110138764460584E-2</v>
      </c>
      <c r="S139" s="1791"/>
      <c r="T139" s="1082">
        <f>+T138/T5</f>
        <v>2.8414164079967434E-2</v>
      </c>
      <c r="U139" s="2761"/>
      <c r="V139" s="1079">
        <f>+V138/V5</f>
        <v>3.0477562911617479E-2</v>
      </c>
      <c r="W139" s="1791"/>
      <c r="X139" s="1082">
        <f>+X138/X5</f>
        <v>2.7285130947083437E-2</v>
      </c>
      <c r="Y139" s="2763"/>
      <c r="Z139" s="1080">
        <f>+Z138/Z5</f>
        <v>2.7649378248912167E-2</v>
      </c>
      <c r="AA139" s="2764"/>
      <c r="AB139" s="1856">
        <f>+AB138/AB5</f>
        <v>2.9885239450886517E-2</v>
      </c>
      <c r="AC139" s="1791"/>
      <c r="AD139" s="1082">
        <f>+AD138/AD5</f>
        <v>2.7027577129922632E-2</v>
      </c>
      <c r="AE139" s="2761"/>
      <c r="AF139" s="1079">
        <f>+AF138/AF5</f>
        <v>2.940876663410651E-2</v>
      </c>
      <c r="AG139" s="1791"/>
      <c r="AH139" s="1082">
        <f>+AH138/AH5</f>
        <v>3.0138798003358343E-2</v>
      </c>
      <c r="AI139" s="2761"/>
      <c r="AJ139" s="3275">
        <f>+AJ138/AJ5</f>
        <v>2.9500382086884901E-2</v>
      </c>
      <c r="AK139" s="1791"/>
      <c r="AL139" s="1082">
        <f>+AL138/AL5</f>
        <v>2.7453083408609927E-2</v>
      </c>
      <c r="AM139" s="2763"/>
      <c r="AN139" s="1080">
        <f>+AN138/AN5</f>
        <v>2.8130035062083947E-2</v>
      </c>
      <c r="AO139" s="2761"/>
      <c r="AP139" s="3275">
        <f>+AP138/AP5</f>
        <v>2.9256984604396637E-2</v>
      </c>
      <c r="AQ139" s="1791"/>
      <c r="AR139" s="1082">
        <f>+AR138/AR5</f>
        <v>2.6381814698883902E-2</v>
      </c>
      <c r="AS139" s="2761"/>
      <c r="AT139" s="3275">
        <f>+AT138/AT5</f>
        <v>2.8950612823866958E-2</v>
      </c>
      <c r="AU139" s="1791"/>
      <c r="AV139" s="1082">
        <f>+AV138/AV5</f>
        <v>2.3997737875984092E-2</v>
      </c>
      <c r="AW139" s="2761"/>
      <c r="AX139" s="3275">
        <f>+AX138/AX5</f>
        <v>2.8437739146725288E-2</v>
      </c>
      <c r="AY139" s="1791"/>
      <c r="AZ139" s="1082">
        <f>+AZ138/AZ5</f>
        <v>2.5467304373480271E-2</v>
      </c>
      <c r="BA139" s="2763"/>
      <c r="BB139" s="1080">
        <f>+BB138/BB5</f>
        <v>2.5257058852949356E-2</v>
      </c>
      <c r="BC139" s="2764"/>
      <c r="BD139" s="1856">
        <f>+BD138/BD5</f>
        <v>2.6641369472001547E-2</v>
      </c>
      <c r="BE139" s="2761"/>
      <c r="BF139" s="3275">
        <f>+BF138/BF5</f>
        <v>2.8145256359486153E-2</v>
      </c>
    </row>
    <row r="140" spans="2:58" s="1076" customFormat="1" x14ac:dyDescent="0.25">
      <c r="B140" s="3274" t="s">
        <v>1057</v>
      </c>
      <c r="C140" s="1791"/>
      <c r="D140" s="483" t="s">
        <v>53</v>
      </c>
      <c r="E140" s="1791"/>
      <c r="F140" s="1083">
        <f>+F117</f>
        <v>170.048</v>
      </c>
      <c r="G140" s="2760"/>
      <c r="H140" s="1083">
        <f>+H117</f>
        <v>73.305999999999997</v>
      </c>
      <c r="I140" s="2761"/>
      <c r="J140" s="1084">
        <f>+J117</f>
        <v>243.35400000000001</v>
      </c>
      <c r="K140" s="1791"/>
      <c r="L140" s="1083">
        <f>+L117</f>
        <v>102.49999999999999</v>
      </c>
      <c r="M140" s="2762"/>
      <c r="N140" s="1085">
        <f>+N117</f>
        <v>345.85400000000004</v>
      </c>
      <c r="O140" s="1791"/>
      <c r="P140" s="1083">
        <f>+P117</f>
        <v>202.95000000000002</v>
      </c>
      <c r="Q140" s="2761"/>
      <c r="R140" s="1084">
        <f>+R117</f>
        <v>548.80399999999986</v>
      </c>
      <c r="S140" s="1791"/>
      <c r="T140" s="1083">
        <f>+T117</f>
        <v>65.599999999999994</v>
      </c>
      <c r="U140" s="2761"/>
      <c r="V140" s="1084">
        <f>+V117</f>
        <v>614.404</v>
      </c>
      <c r="W140" s="1791"/>
      <c r="X140" s="1083">
        <f>+X117</f>
        <v>108.65</v>
      </c>
      <c r="Y140" s="2763"/>
      <c r="Z140" s="1085">
        <f>+Z117</f>
        <v>377.2</v>
      </c>
      <c r="AA140" s="2764"/>
      <c r="AB140" s="1857">
        <f>+AB117</f>
        <v>723.05399999999997</v>
      </c>
      <c r="AC140" s="1791"/>
      <c r="AD140" s="1083">
        <f>+AD117</f>
        <v>79.95</v>
      </c>
      <c r="AE140" s="2761"/>
      <c r="AF140" s="1084">
        <f>+AF117</f>
        <v>803.00400000000002</v>
      </c>
      <c r="AG140" s="1791"/>
      <c r="AH140" s="1083">
        <f>+AH117</f>
        <v>164</v>
      </c>
      <c r="AI140" s="2761"/>
      <c r="AJ140" s="3276">
        <f>+AJ117</f>
        <v>967.00400000000002</v>
      </c>
      <c r="AK140" s="1791"/>
      <c r="AL140" s="1083">
        <f>+AL117</f>
        <v>71.75</v>
      </c>
      <c r="AM140" s="2763"/>
      <c r="AN140" s="1085">
        <f>+AN117</f>
        <v>315.7</v>
      </c>
      <c r="AO140" s="2761"/>
      <c r="AP140" s="3276">
        <f>+AP117</f>
        <v>1038.7539999999999</v>
      </c>
      <c r="AQ140" s="1791"/>
      <c r="AR140" s="1083">
        <f>+AR117</f>
        <v>67.650000000000006</v>
      </c>
      <c r="AS140" s="2761"/>
      <c r="AT140" s="3276">
        <f>+AT117</f>
        <v>1106.404</v>
      </c>
      <c r="AU140" s="1791"/>
      <c r="AV140" s="1083">
        <f>+AV117</f>
        <v>28.699999999999996</v>
      </c>
      <c r="AW140" s="2761"/>
      <c r="AX140" s="3276">
        <f>+AX117</f>
        <v>1135.104</v>
      </c>
      <c r="AY140" s="1791"/>
      <c r="AZ140" s="1083">
        <f>+AZ117</f>
        <v>53.3</v>
      </c>
      <c r="BA140" s="2763"/>
      <c r="BB140" s="1085">
        <f>+BB117</f>
        <v>149.65</v>
      </c>
      <c r="BC140" s="2764"/>
      <c r="BD140" s="1857">
        <f>+BD117</f>
        <v>465.35</v>
      </c>
      <c r="BE140" s="2761"/>
      <c r="BF140" s="3276">
        <f>+BF117</f>
        <v>1188.4040000000002</v>
      </c>
    </row>
    <row r="141" spans="2:58" ht="15.75" thickBot="1" x14ac:dyDescent="0.3">
      <c r="B141" s="3277" t="s">
        <v>1025</v>
      </c>
      <c r="C141" s="2860"/>
      <c r="D141" s="2793" t="s">
        <v>53</v>
      </c>
      <c r="E141" s="3278"/>
      <c r="F141" s="3279">
        <v>486.61</v>
      </c>
      <c r="G141" s="3280"/>
      <c r="H141" s="3279">
        <v>371.59</v>
      </c>
      <c r="I141" s="3281"/>
      <c r="J141" s="3282">
        <f t="shared" si="125"/>
        <v>858.2</v>
      </c>
      <c r="K141" s="3278"/>
      <c r="L141" s="3279">
        <v>582.92774999999995</v>
      </c>
      <c r="M141" s="3283"/>
      <c r="N141" s="169">
        <f t="shared" si="126"/>
        <v>1441.1277500000001</v>
      </c>
      <c r="O141" s="3278"/>
      <c r="P141" s="3279">
        <v>575.08649999999989</v>
      </c>
      <c r="Q141" s="3281"/>
      <c r="R141" s="101">
        <f t="shared" ref="R141" si="132">+N141+P141</f>
        <v>2016.21425</v>
      </c>
      <c r="S141" s="3278"/>
      <c r="T141" s="3279">
        <v>619.82774999999981</v>
      </c>
      <c r="U141" s="3281"/>
      <c r="V141" s="101">
        <f t="shared" ref="V141" si="133">+R141+T141</f>
        <v>2636.0419999999999</v>
      </c>
      <c r="W141" s="3278"/>
      <c r="X141" s="3279">
        <v>602.48474999999974</v>
      </c>
      <c r="Y141" s="3284"/>
      <c r="Z141" s="169">
        <f>P141+T141+X141</f>
        <v>1797.3989999999994</v>
      </c>
      <c r="AA141" s="3285"/>
      <c r="AB141" s="1125">
        <f>N141+Z141</f>
        <v>3238.5267499999995</v>
      </c>
      <c r="AC141" s="3278"/>
      <c r="AD141" s="3279">
        <v>649.9319999999999</v>
      </c>
      <c r="AE141" s="3281"/>
      <c r="AF141" s="101">
        <f t="shared" ref="AF141" si="134">+AB141+AD141</f>
        <v>3888.4587499999993</v>
      </c>
      <c r="AG141" s="3278"/>
      <c r="AH141" s="3279">
        <v>557.58974999999998</v>
      </c>
      <c r="AI141" s="3281"/>
      <c r="AJ141" s="101">
        <f t="shared" ref="AJ141" si="135">+AF141+AH141</f>
        <v>4446.048499999999</v>
      </c>
      <c r="AK141" s="3278"/>
      <c r="AL141" s="3279">
        <v>601.1624999999998</v>
      </c>
      <c r="AM141" s="3284"/>
      <c r="AN141" s="169">
        <f>AD141+AH141+AL141</f>
        <v>1808.6842499999998</v>
      </c>
      <c r="AO141" s="3281"/>
      <c r="AP141" s="101">
        <f t="shared" ref="AP141" si="136">+AJ141+AL141</f>
        <v>5047.2109999999984</v>
      </c>
      <c r="AQ141" s="3278"/>
      <c r="AR141" s="3279">
        <v>603.74550000000011</v>
      </c>
      <c r="AS141" s="3281"/>
      <c r="AT141" s="101">
        <f t="shared" ref="AT141" si="137">+AP141+AR141</f>
        <v>5650.9564999999984</v>
      </c>
      <c r="AU141" s="3278"/>
      <c r="AV141" s="3279">
        <v>656.08200000000011</v>
      </c>
      <c r="AW141" s="3281"/>
      <c r="AX141" s="101">
        <f t="shared" ref="AX141" si="138">+AT141+AV141</f>
        <v>6307.0384999999987</v>
      </c>
      <c r="AY141" s="3278"/>
      <c r="AZ141" s="3279">
        <v>690.95249999999987</v>
      </c>
      <c r="BA141" s="3284"/>
      <c r="BB141" s="169">
        <f>AR141+AV141+AZ141</f>
        <v>1950.7800000000002</v>
      </c>
      <c r="BC141" s="3285"/>
      <c r="BD141" s="1125">
        <f>AN141+BB141</f>
        <v>3759.46425</v>
      </c>
      <c r="BE141" s="3281"/>
      <c r="BF141" s="101">
        <f t="shared" ref="BF141" si="139">+AX141+AZ141</f>
        <v>6997.9909999999982</v>
      </c>
    </row>
    <row r="142" spans="2:58" s="334" customFormat="1" x14ac:dyDescent="0.25">
      <c r="B142" s="343"/>
      <c r="C142" s="343"/>
      <c r="D142" s="343"/>
      <c r="E142" s="343"/>
      <c r="F142" s="343"/>
      <c r="G142" s="343"/>
      <c r="H142" s="343"/>
      <c r="I142" s="343"/>
      <c r="J142" s="343"/>
      <c r="K142" s="343"/>
      <c r="L142" s="343"/>
      <c r="M142" s="343"/>
      <c r="N142" s="343"/>
      <c r="O142" s="343"/>
      <c r="P142" s="343"/>
      <c r="Q142" s="343"/>
      <c r="R142" s="343"/>
      <c r="S142" s="343"/>
      <c r="T142" s="343"/>
      <c r="U142" s="343"/>
      <c r="V142" s="343"/>
      <c r="W142" s="343"/>
      <c r="X142" s="343"/>
      <c r="Y142" s="1734"/>
      <c r="Z142" s="1734"/>
      <c r="AA142" s="1734"/>
      <c r="AB142" s="1734"/>
      <c r="AC142" s="343"/>
      <c r="AD142" s="343"/>
      <c r="AE142" s="343"/>
      <c r="AF142" s="343"/>
      <c r="AG142" s="343"/>
      <c r="AH142" s="343"/>
      <c r="AI142" s="343"/>
      <c r="AJ142" s="343"/>
      <c r="AK142" s="343"/>
      <c r="AL142" s="343"/>
      <c r="AM142" s="1734"/>
      <c r="AN142" s="1734"/>
      <c r="AO142" s="343"/>
      <c r="AP142" s="343"/>
      <c r="AQ142" s="343"/>
      <c r="AR142" s="343"/>
      <c r="AS142" s="343"/>
      <c r="AT142" s="343"/>
      <c r="AU142" s="343"/>
      <c r="AV142" s="343"/>
      <c r="AW142" s="343"/>
      <c r="AX142" s="343"/>
      <c r="AY142" s="343"/>
      <c r="AZ142" s="343"/>
      <c r="BA142" s="1734"/>
      <c r="BB142" s="1734"/>
      <c r="BC142" s="1734"/>
      <c r="BD142" s="1734"/>
      <c r="BE142" s="343"/>
      <c r="BF142" s="343"/>
    </row>
    <row r="143" spans="2:58" s="334" customFormat="1" ht="19.5" thickBot="1" x14ac:dyDescent="0.35">
      <c r="B143" s="2771" t="s">
        <v>1059</v>
      </c>
      <c r="C143" s="2771"/>
      <c r="D143" s="343"/>
      <c r="E143" s="343"/>
      <c r="F143" s="343"/>
      <c r="G143" s="343"/>
      <c r="H143" s="343"/>
      <c r="I143" s="343"/>
      <c r="J143" s="343"/>
      <c r="K143" s="343"/>
      <c r="L143" s="343"/>
      <c r="M143" s="343"/>
      <c r="N143" s="343"/>
      <c r="O143" s="343"/>
      <c r="P143" s="343"/>
      <c r="Q143" s="343"/>
      <c r="R143" s="343"/>
      <c r="S143" s="343"/>
      <c r="T143" s="343"/>
      <c r="U143" s="343"/>
      <c r="V143" s="343"/>
      <c r="W143" s="343"/>
      <c r="X143" s="343"/>
      <c r="Y143" s="1734"/>
      <c r="Z143" s="1734"/>
      <c r="AA143" s="1734"/>
      <c r="AB143" s="1734"/>
      <c r="AC143" s="343"/>
      <c r="AD143" s="343"/>
      <c r="AE143" s="343"/>
      <c r="AF143" s="343"/>
      <c r="AG143" s="343"/>
      <c r="AH143" s="343"/>
      <c r="AI143" s="343"/>
      <c r="AJ143" s="343"/>
      <c r="AK143" s="343"/>
      <c r="AL143" s="343"/>
      <c r="AM143" s="1734"/>
      <c r="AN143" s="1734"/>
      <c r="AO143" s="343"/>
      <c r="AP143" s="343"/>
      <c r="AQ143" s="343"/>
      <c r="AR143" s="343"/>
      <c r="AS143" s="343"/>
      <c r="AT143" s="343"/>
      <c r="AU143" s="343"/>
      <c r="AV143" s="343"/>
      <c r="AW143" s="343"/>
      <c r="AX143" s="343"/>
      <c r="AY143" s="343"/>
      <c r="AZ143" s="343"/>
      <c r="BA143" s="1734"/>
      <c r="BB143" s="1734"/>
      <c r="BC143" s="1734"/>
      <c r="BD143" s="1734"/>
      <c r="BE143" s="343"/>
      <c r="BF143" s="343"/>
    </row>
    <row r="144" spans="2:58" x14ac:dyDescent="0.25">
      <c r="B144" s="3264" t="s">
        <v>1060</v>
      </c>
      <c r="C144" s="3265"/>
      <c r="D144" s="2472" t="s">
        <v>53</v>
      </c>
      <c r="E144" s="3286"/>
      <c r="F144" s="3266">
        <f>+F5</f>
        <v>34113.78</v>
      </c>
      <c r="G144" s="3287"/>
      <c r="H144" s="3266">
        <f>+H5</f>
        <v>26090.01</v>
      </c>
      <c r="I144" s="3288"/>
      <c r="J144" s="3269">
        <f>+J5</f>
        <v>60203.789999999994</v>
      </c>
      <c r="K144" s="3286"/>
      <c r="L144" s="3266">
        <f>+L5</f>
        <v>40604.277999999998</v>
      </c>
      <c r="M144" s="3289"/>
      <c r="N144" s="3290">
        <f>+N5</f>
        <v>100808.068</v>
      </c>
      <c r="O144" s="3286"/>
      <c r="P144" s="3266">
        <f>+P5</f>
        <v>40002.482000000004</v>
      </c>
      <c r="Q144" s="3288"/>
      <c r="R144" s="3269">
        <f>+R5</f>
        <v>140810.54999999999</v>
      </c>
      <c r="S144" s="3286"/>
      <c r="T144" s="3266">
        <f>+T5</f>
        <v>43168.268000000004</v>
      </c>
      <c r="U144" s="3288"/>
      <c r="V144" s="3269">
        <f>+V5</f>
        <v>183978.818</v>
      </c>
      <c r="W144" s="3286"/>
      <c r="X144" s="3266">
        <f>+X5</f>
        <v>41911.701000000008</v>
      </c>
      <c r="Y144" s="3291"/>
      <c r="Z144" s="3290">
        <f>+Z5</f>
        <v>125082.451</v>
      </c>
      <c r="AA144" s="3292"/>
      <c r="AB144" s="3293">
        <f>+AB5</f>
        <v>225890.519</v>
      </c>
      <c r="AC144" s="3286"/>
      <c r="AD144" s="3266">
        <f>+AD5</f>
        <v>45200.389000000003</v>
      </c>
      <c r="AE144" s="3288"/>
      <c r="AF144" s="3269">
        <f>+AF5</f>
        <v>271090.908</v>
      </c>
      <c r="AG144" s="3286"/>
      <c r="AH144" s="3266">
        <f>+AH5</f>
        <v>38902.721000000012</v>
      </c>
      <c r="AI144" s="3288"/>
      <c r="AJ144" s="3294">
        <f>+AJ5</f>
        <v>309993.62900000002</v>
      </c>
      <c r="AK144" s="3286"/>
      <c r="AL144" s="3266">
        <f>+AL5</f>
        <v>41826.941000000006</v>
      </c>
      <c r="AM144" s="3291"/>
      <c r="AN144" s="3290">
        <f>+AN5</f>
        <v>125930.05100000002</v>
      </c>
      <c r="AO144" s="3288"/>
      <c r="AP144" s="3294">
        <f>+AP5</f>
        <v>351820.57</v>
      </c>
      <c r="AQ144" s="3286"/>
      <c r="AR144" s="3266">
        <f>+AR5</f>
        <v>41960.438000000009</v>
      </c>
      <c r="AS144" s="3288"/>
      <c r="AT144" s="3294">
        <f>+AT5</f>
        <v>393781.00800000003</v>
      </c>
      <c r="AU144" s="3286"/>
      <c r="AV144" s="3266">
        <f>+AV5</f>
        <v>45486.454000000005</v>
      </c>
      <c r="AW144" s="3288"/>
      <c r="AX144" s="3294">
        <f>+AX5</f>
        <v>439267.46200000006</v>
      </c>
      <c r="AY144" s="3286"/>
      <c r="AZ144" s="3266">
        <f>+AZ5</f>
        <v>47976.279000000002</v>
      </c>
      <c r="BA144" s="3291"/>
      <c r="BB144" s="3290">
        <f>+BB5</f>
        <v>135423.17100000003</v>
      </c>
      <c r="BC144" s="3292"/>
      <c r="BD144" s="3293">
        <f>+BD5</f>
        <v>261353.22200000007</v>
      </c>
      <c r="BE144" s="3288"/>
      <c r="BF144" s="3294">
        <f>+BF5</f>
        <v>487243.74100000004</v>
      </c>
    </row>
    <row r="145" spans="2:58" ht="30" x14ac:dyDescent="0.25">
      <c r="B145" s="3295" t="s">
        <v>1066</v>
      </c>
      <c r="C145" s="2772"/>
      <c r="D145" s="3256" t="s">
        <v>53</v>
      </c>
      <c r="E145" s="2765"/>
      <c r="F145" s="929">
        <f>+F138</f>
        <v>1186.79</v>
      </c>
      <c r="G145" s="2766"/>
      <c r="H145" s="929">
        <f>+H138</f>
        <v>946.05</v>
      </c>
      <c r="I145" s="2767"/>
      <c r="J145" s="930">
        <f>+J138</f>
        <v>2132.84</v>
      </c>
      <c r="K145" s="2765"/>
      <c r="L145" s="929">
        <f>+L138</f>
        <v>1159.5002500000089</v>
      </c>
      <c r="M145" s="2768"/>
      <c r="N145" s="1086">
        <f>+N138</f>
        <v>3292.3402500000093</v>
      </c>
      <c r="O145" s="2765"/>
      <c r="P145" s="929">
        <f>+P138</f>
        <v>1088.2955000000061</v>
      </c>
      <c r="Q145" s="2767"/>
      <c r="R145" s="930">
        <f>+R138</f>
        <v>4380.6357500000149</v>
      </c>
      <c r="S145" s="2765"/>
      <c r="T145" s="929">
        <f>+T138</f>
        <v>1226.5902500000077</v>
      </c>
      <c r="U145" s="2767"/>
      <c r="V145" s="930">
        <f>+V138</f>
        <v>5607.2260000000224</v>
      </c>
      <c r="W145" s="2765"/>
      <c r="X145" s="929">
        <f>+X138</f>
        <v>1143.566250000008</v>
      </c>
      <c r="Y145" s="2769"/>
      <c r="Z145" s="1086">
        <f>+Z138</f>
        <v>3458.4520000000221</v>
      </c>
      <c r="AA145" s="2770"/>
      <c r="AB145" s="1142">
        <f>+AB138</f>
        <v>6750.7922500000304</v>
      </c>
      <c r="AC145" s="2765"/>
      <c r="AD145" s="929">
        <f>+AD138</f>
        <v>1221.6570000000065</v>
      </c>
      <c r="AE145" s="2767"/>
      <c r="AF145" s="930">
        <f>+AF138</f>
        <v>7972.449250000037</v>
      </c>
      <c r="AG145" s="2765"/>
      <c r="AH145" s="929">
        <f>+AH138</f>
        <v>1172.4812500000071</v>
      </c>
      <c r="AI145" s="2767"/>
      <c r="AJ145" s="3296">
        <f>+AJ138</f>
        <v>9144.930500000044</v>
      </c>
      <c r="AK145" s="2765"/>
      <c r="AL145" s="929">
        <f>+AL138</f>
        <v>1148.2785000000065</v>
      </c>
      <c r="AM145" s="2769"/>
      <c r="AN145" s="1086">
        <f>+AN138</f>
        <v>3542.4167500000203</v>
      </c>
      <c r="AO145" s="2767"/>
      <c r="AP145" s="3296">
        <f>+AP138</f>
        <v>10293.20900000005</v>
      </c>
      <c r="AQ145" s="2765"/>
      <c r="AR145" s="929">
        <f>+AR138</f>
        <v>1106.9925000000069</v>
      </c>
      <c r="AS145" s="2767"/>
      <c r="AT145" s="3296">
        <f>+AT138</f>
        <v>11400.201500000057</v>
      </c>
      <c r="AU145" s="2765"/>
      <c r="AV145" s="929">
        <f>+AV138</f>
        <v>1091.5720000000083</v>
      </c>
      <c r="AW145" s="2767"/>
      <c r="AX145" s="3296">
        <f>+AX138</f>
        <v>12491.773500000065</v>
      </c>
      <c r="AY145" s="2765"/>
      <c r="AZ145" s="929">
        <f>+AZ138</f>
        <v>1221.8265000000097</v>
      </c>
      <c r="BA145" s="2769"/>
      <c r="BB145" s="1086">
        <f>+BB138</f>
        <v>3420.3910000000251</v>
      </c>
      <c r="BC145" s="2770"/>
      <c r="BD145" s="1142">
        <f>+BD138</f>
        <v>6962.8077500000445</v>
      </c>
      <c r="BE145" s="2767"/>
      <c r="BF145" s="3296">
        <f>+BF138</f>
        <v>13713.600000000075</v>
      </c>
    </row>
    <row r="146" spans="2:58" x14ac:dyDescent="0.25">
      <c r="B146" s="3273" t="s">
        <v>1025</v>
      </c>
      <c r="C146" s="700"/>
      <c r="D146" s="3256" t="s">
        <v>53</v>
      </c>
      <c r="E146" s="2765"/>
      <c r="F146" s="929">
        <f>+F141</f>
        <v>486.61</v>
      </c>
      <c r="G146" s="2766"/>
      <c r="H146" s="929">
        <f>+H141</f>
        <v>371.59</v>
      </c>
      <c r="I146" s="2767"/>
      <c r="J146" s="930">
        <f>+J141</f>
        <v>858.2</v>
      </c>
      <c r="K146" s="2765"/>
      <c r="L146" s="929">
        <f>+L141</f>
        <v>582.92774999999995</v>
      </c>
      <c r="M146" s="2768"/>
      <c r="N146" s="1086">
        <f>+N141</f>
        <v>1441.1277500000001</v>
      </c>
      <c r="O146" s="2765"/>
      <c r="P146" s="929">
        <f>+P141</f>
        <v>575.08649999999989</v>
      </c>
      <c r="Q146" s="2767"/>
      <c r="R146" s="930">
        <f>+R141</f>
        <v>2016.21425</v>
      </c>
      <c r="S146" s="2765"/>
      <c r="T146" s="929">
        <f>+T141</f>
        <v>619.82774999999981</v>
      </c>
      <c r="U146" s="2767"/>
      <c r="V146" s="930">
        <f>+V141</f>
        <v>2636.0419999999999</v>
      </c>
      <c r="W146" s="2765"/>
      <c r="X146" s="929">
        <f>+X141</f>
        <v>602.48474999999974</v>
      </c>
      <c r="Y146" s="2769"/>
      <c r="Z146" s="1086">
        <f>+Z141</f>
        <v>1797.3989999999994</v>
      </c>
      <c r="AA146" s="2770"/>
      <c r="AB146" s="1142">
        <f>+AB141</f>
        <v>3238.5267499999995</v>
      </c>
      <c r="AC146" s="2765"/>
      <c r="AD146" s="929">
        <f>+AD141</f>
        <v>649.9319999999999</v>
      </c>
      <c r="AE146" s="2767"/>
      <c r="AF146" s="930">
        <f>+AF141</f>
        <v>3888.4587499999993</v>
      </c>
      <c r="AG146" s="2765"/>
      <c r="AH146" s="929">
        <f>+AH141</f>
        <v>557.58974999999998</v>
      </c>
      <c r="AI146" s="2767"/>
      <c r="AJ146" s="3296">
        <f>+AJ141</f>
        <v>4446.048499999999</v>
      </c>
      <c r="AK146" s="2765"/>
      <c r="AL146" s="929">
        <f>+AL141</f>
        <v>601.1624999999998</v>
      </c>
      <c r="AM146" s="2769"/>
      <c r="AN146" s="1086">
        <f>+AN141</f>
        <v>1808.6842499999998</v>
      </c>
      <c r="AO146" s="2767"/>
      <c r="AP146" s="3296">
        <f>+AP141</f>
        <v>5047.2109999999984</v>
      </c>
      <c r="AQ146" s="2765"/>
      <c r="AR146" s="929">
        <f>+AR141</f>
        <v>603.74550000000011</v>
      </c>
      <c r="AS146" s="2767"/>
      <c r="AT146" s="3296">
        <f>+AT141</f>
        <v>5650.9564999999984</v>
      </c>
      <c r="AU146" s="2765"/>
      <c r="AV146" s="929">
        <f>+AV141</f>
        <v>656.08200000000011</v>
      </c>
      <c r="AW146" s="2767"/>
      <c r="AX146" s="3296">
        <f>+AX141</f>
        <v>6307.0384999999987</v>
      </c>
      <c r="AY146" s="2765"/>
      <c r="AZ146" s="929">
        <f>+AZ141</f>
        <v>690.95249999999987</v>
      </c>
      <c r="BA146" s="2769"/>
      <c r="BB146" s="1086">
        <f>+BB141</f>
        <v>1950.7800000000002</v>
      </c>
      <c r="BC146" s="2770"/>
      <c r="BD146" s="1142">
        <f>+BD141</f>
        <v>3759.46425</v>
      </c>
      <c r="BE146" s="2767"/>
      <c r="BF146" s="3296">
        <f>+BF141</f>
        <v>6997.9909999999982</v>
      </c>
    </row>
    <row r="147" spans="2:58" x14ac:dyDescent="0.25">
      <c r="B147" s="3273" t="s">
        <v>1064</v>
      </c>
      <c r="C147" s="700"/>
      <c r="D147" s="3256" t="s">
        <v>53</v>
      </c>
      <c r="E147" s="2765"/>
      <c r="F147" s="929">
        <f>+F115</f>
        <v>32440.39</v>
      </c>
      <c r="G147" s="2766"/>
      <c r="H147" s="929">
        <f>+H115</f>
        <v>24772.379999999997</v>
      </c>
      <c r="I147" s="2767"/>
      <c r="J147" s="930">
        <f>+J115</f>
        <v>57212.770000000011</v>
      </c>
      <c r="K147" s="2765"/>
      <c r="L147" s="929">
        <f>+L115</f>
        <v>38861.850000000013</v>
      </c>
      <c r="M147" s="2768"/>
      <c r="N147" s="1086">
        <f>+N115</f>
        <v>96074.620000000024</v>
      </c>
      <c r="O147" s="2765"/>
      <c r="P147" s="929">
        <f>+P115</f>
        <v>38339.099999999991</v>
      </c>
      <c r="Q147" s="2767"/>
      <c r="R147" s="930">
        <f>+R115</f>
        <v>134413.72</v>
      </c>
      <c r="S147" s="2765"/>
      <c r="T147" s="929">
        <f>+T115</f>
        <v>41321.850000000006</v>
      </c>
      <c r="U147" s="2767"/>
      <c r="V147" s="930">
        <f>+V115</f>
        <v>175735.57000000007</v>
      </c>
      <c r="W147" s="2765"/>
      <c r="X147" s="929">
        <f>+X115</f>
        <v>40165.649999999994</v>
      </c>
      <c r="Y147" s="2769"/>
      <c r="Z147" s="1086">
        <f>+Z115</f>
        <v>119826.6</v>
      </c>
      <c r="AA147" s="2770"/>
      <c r="AB147" s="1142">
        <f>+AB115</f>
        <v>215901.22000000003</v>
      </c>
      <c r="AC147" s="2765"/>
      <c r="AD147" s="929">
        <f>+AD115</f>
        <v>43328.800000000003</v>
      </c>
      <c r="AE147" s="2767"/>
      <c r="AF147" s="930">
        <f>+AF115</f>
        <v>259230.02000000005</v>
      </c>
      <c r="AG147" s="2765"/>
      <c r="AH147" s="929">
        <f>+AH115</f>
        <v>37172.65</v>
      </c>
      <c r="AI147" s="2767"/>
      <c r="AJ147" s="3296">
        <f>+AJ115</f>
        <v>296402.66999999987</v>
      </c>
      <c r="AK147" s="2765"/>
      <c r="AL147" s="929">
        <f>+AL115</f>
        <v>40077.503999999994</v>
      </c>
      <c r="AM147" s="2769"/>
      <c r="AN147" s="1086">
        <f>+AN115</f>
        <v>120578.95400000001</v>
      </c>
      <c r="AO147" s="2767"/>
      <c r="AP147" s="3296">
        <f>+AP115</f>
        <v>336480.17399999977</v>
      </c>
      <c r="AQ147" s="2765"/>
      <c r="AR147" s="929">
        <f>+AR115</f>
        <v>40249.69999999999</v>
      </c>
      <c r="AS147" s="2767"/>
      <c r="AT147" s="3296">
        <f>+AT115</f>
        <v>376729.87399999972</v>
      </c>
      <c r="AU147" s="2765"/>
      <c r="AV147" s="929">
        <f>+AV115</f>
        <v>43738.80000000001</v>
      </c>
      <c r="AW147" s="2767"/>
      <c r="AX147" s="3296">
        <f>+AX115</f>
        <v>420468.67399999994</v>
      </c>
      <c r="AY147" s="2765"/>
      <c r="AZ147" s="929">
        <f>+AZ115</f>
        <v>46063.5</v>
      </c>
      <c r="BA147" s="2769"/>
      <c r="BB147" s="1086">
        <f>+BB115</f>
        <v>130051.99999999997</v>
      </c>
      <c r="BC147" s="2770"/>
      <c r="BD147" s="1142">
        <f>+BD115</f>
        <v>250630.95399999994</v>
      </c>
      <c r="BE147" s="2767"/>
      <c r="BF147" s="3296">
        <f>+BF115</f>
        <v>466532.17399999971</v>
      </c>
    </row>
    <row r="148" spans="2:58" x14ac:dyDescent="0.25">
      <c r="B148" s="3273" t="s">
        <v>1061</v>
      </c>
      <c r="C148" s="700"/>
      <c r="D148" s="3256" t="s">
        <v>53</v>
      </c>
      <c r="E148" s="2765"/>
      <c r="F148" s="929">
        <f>+F117</f>
        <v>170.048</v>
      </c>
      <c r="G148" s="2766"/>
      <c r="H148" s="929">
        <f>+H117</f>
        <v>73.305999999999997</v>
      </c>
      <c r="I148" s="2767"/>
      <c r="J148" s="930">
        <f>+J117</f>
        <v>243.35400000000001</v>
      </c>
      <c r="K148" s="2765"/>
      <c r="L148" s="929">
        <f>+L117</f>
        <v>102.49999999999999</v>
      </c>
      <c r="M148" s="2768"/>
      <c r="N148" s="1086">
        <f>+N117</f>
        <v>345.85400000000004</v>
      </c>
      <c r="O148" s="2765"/>
      <c r="P148" s="929">
        <f>+P117</f>
        <v>202.95000000000002</v>
      </c>
      <c r="Q148" s="2767"/>
      <c r="R148" s="930">
        <f>+R117</f>
        <v>548.80399999999986</v>
      </c>
      <c r="S148" s="2765"/>
      <c r="T148" s="929">
        <f>+T117</f>
        <v>65.599999999999994</v>
      </c>
      <c r="U148" s="2767"/>
      <c r="V148" s="930">
        <f>+V117</f>
        <v>614.404</v>
      </c>
      <c r="W148" s="2765"/>
      <c r="X148" s="929">
        <f>+X117</f>
        <v>108.65</v>
      </c>
      <c r="Y148" s="2769"/>
      <c r="Z148" s="1086">
        <f>+Z117</f>
        <v>377.2</v>
      </c>
      <c r="AA148" s="2770"/>
      <c r="AB148" s="1142">
        <f>+AB117</f>
        <v>723.05399999999997</v>
      </c>
      <c r="AC148" s="2765"/>
      <c r="AD148" s="929">
        <f>+AD117</f>
        <v>79.95</v>
      </c>
      <c r="AE148" s="2767"/>
      <c r="AF148" s="930">
        <f>+AF117</f>
        <v>803.00400000000002</v>
      </c>
      <c r="AG148" s="2765"/>
      <c r="AH148" s="929">
        <f>+AH117</f>
        <v>164</v>
      </c>
      <c r="AI148" s="2767"/>
      <c r="AJ148" s="3296">
        <f>+AJ117</f>
        <v>967.00400000000002</v>
      </c>
      <c r="AK148" s="2765"/>
      <c r="AL148" s="929">
        <f>+AL117</f>
        <v>71.75</v>
      </c>
      <c r="AM148" s="2769"/>
      <c r="AN148" s="1086">
        <f>+AN117</f>
        <v>315.7</v>
      </c>
      <c r="AO148" s="2767"/>
      <c r="AP148" s="3296">
        <f>+AP117</f>
        <v>1038.7539999999999</v>
      </c>
      <c r="AQ148" s="2765"/>
      <c r="AR148" s="929">
        <f>+AR117</f>
        <v>67.650000000000006</v>
      </c>
      <c r="AS148" s="2767"/>
      <c r="AT148" s="3296">
        <f>+AT117</f>
        <v>1106.404</v>
      </c>
      <c r="AU148" s="2765"/>
      <c r="AV148" s="929">
        <f>+AV117</f>
        <v>28.699999999999996</v>
      </c>
      <c r="AW148" s="2767"/>
      <c r="AX148" s="3296">
        <f>+AX117</f>
        <v>1135.104</v>
      </c>
      <c r="AY148" s="2765"/>
      <c r="AZ148" s="929">
        <f>+AZ117</f>
        <v>53.3</v>
      </c>
      <c r="BA148" s="2769"/>
      <c r="BB148" s="1086">
        <f>+BB117</f>
        <v>149.65</v>
      </c>
      <c r="BC148" s="2770"/>
      <c r="BD148" s="1142">
        <f>+BD117</f>
        <v>465.35</v>
      </c>
      <c r="BE148" s="2767"/>
      <c r="BF148" s="3296">
        <f>+BF117</f>
        <v>1188.4040000000002</v>
      </c>
    </row>
    <row r="149" spans="2:58" ht="15.75" thickBot="1" x14ac:dyDescent="0.3">
      <c r="B149" s="3277" t="s">
        <v>1062</v>
      </c>
      <c r="C149" s="2860"/>
      <c r="D149" s="2793" t="s">
        <v>53</v>
      </c>
      <c r="E149" s="3278"/>
      <c r="F149" s="3279">
        <f>+F147-F148</f>
        <v>32270.342000000001</v>
      </c>
      <c r="G149" s="3280"/>
      <c r="H149" s="3279">
        <f>+H147-H148</f>
        <v>24699.073999999997</v>
      </c>
      <c r="I149" s="3281"/>
      <c r="J149" s="3282">
        <f>+J147-J148</f>
        <v>56969.416000000012</v>
      </c>
      <c r="K149" s="3278"/>
      <c r="L149" s="3279">
        <f>+L147-L148</f>
        <v>38759.350000000013</v>
      </c>
      <c r="M149" s="3283"/>
      <c r="N149" s="3297">
        <f>+N147-N148</f>
        <v>95728.766000000018</v>
      </c>
      <c r="O149" s="3278"/>
      <c r="P149" s="3279">
        <f>+P147-P148</f>
        <v>38136.149999999994</v>
      </c>
      <c r="Q149" s="3281"/>
      <c r="R149" s="3282">
        <f>+R147-R148</f>
        <v>133864.916</v>
      </c>
      <c r="S149" s="3278"/>
      <c r="T149" s="3279">
        <f>+T147-T148</f>
        <v>41256.250000000007</v>
      </c>
      <c r="U149" s="3281"/>
      <c r="V149" s="3282">
        <f>+V147-V148</f>
        <v>175121.16600000006</v>
      </c>
      <c r="W149" s="3278"/>
      <c r="X149" s="3279">
        <f>+X147-X148</f>
        <v>40056.999999999993</v>
      </c>
      <c r="Y149" s="3284"/>
      <c r="Z149" s="3297">
        <f>+Z147-Z148</f>
        <v>119449.40000000001</v>
      </c>
      <c r="AA149" s="3285"/>
      <c r="AB149" s="3298">
        <f>+AB147-AB148</f>
        <v>215178.16600000003</v>
      </c>
      <c r="AC149" s="3278"/>
      <c r="AD149" s="3279">
        <f>+AD147-AD148</f>
        <v>43248.850000000006</v>
      </c>
      <c r="AE149" s="3281"/>
      <c r="AF149" s="3282">
        <f>+AF147-AF148</f>
        <v>258427.01600000006</v>
      </c>
      <c r="AG149" s="3278"/>
      <c r="AH149" s="3279">
        <f>+AH147-AH148</f>
        <v>37008.65</v>
      </c>
      <c r="AI149" s="3281"/>
      <c r="AJ149" s="3299">
        <f>+AJ147-AJ148</f>
        <v>295435.66599999985</v>
      </c>
      <c r="AK149" s="3278"/>
      <c r="AL149" s="3279">
        <f>+AL147-AL148</f>
        <v>40005.753999999994</v>
      </c>
      <c r="AM149" s="3284"/>
      <c r="AN149" s="3297">
        <f>+AN147-AN148</f>
        <v>120263.25400000002</v>
      </c>
      <c r="AO149" s="3281"/>
      <c r="AP149" s="3299">
        <f>+AP147-AP148</f>
        <v>335441.41999999975</v>
      </c>
      <c r="AQ149" s="3278"/>
      <c r="AR149" s="3279">
        <f>+AR147-AR148</f>
        <v>40182.049999999988</v>
      </c>
      <c r="AS149" s="3281"/>
      <c r="AT149" s="3299">
        <f>+AT147-AT148</f>
        <v>375623.46999999974</v>
      </c>
      <c r="AU149" s="3278"/>
      <c r="AV149" s="3279">
        <f>+AV147-AV148</f>
        <v>43710.100000000013</v>
      </c>
      <c r="AW149" s="3281"/>
      <c r="AX149" s="3299">
        <f>+AX147-AX148</f>
        <v>419333.56999999995</v>
      </c>
      <c r="AY149" s="3278"/>
      <c r="AZ149" s="3279">
        <f>+AZ147-AZ148</f>
        <v>46010.2</v>
      </c>
      <c r="BA149" s="3284"/>
      <c r="BB149" s="3297">
        <f>+BB147-BB148</f>
        <v>129902.34999999998</v>
      </c>
      <c r="BC149" s="3285"/>
      <c r="BD149" s="3298">
        <f>+BD147-BD148</f>
        <v>250165.60399999993</v>
      </c>
      <c r="BE149" s="3281"/>
      <c r="BF149" s="3299">
        <f>+BF147-BF148</f>
        <v>465343.76999999973</v>
      </c>
    </row>
    <row r="150" spans="2:58" s="334" customFormat="1" ht="15.75" thickBot="1" x14ac:dyDescent="0.3">
      <c r="B150" s="343"/>
      <c r="C150" s="343"/>
      <c r="D150" s="343"/>
      <c r="E150" s="343"/>
      <c r="F150" s="343"/>
      <c r="G150" s="343"/>
      <c r="H150" s="343"/>
      <c r="I150" s="343"/>
      <c r="J150" s="343"/>
      <c r="K150" s="343"/>
      <c r="L150" s="343"/>
      <c r="M150" s="343"/>
      <c r="N150" s="343"/>
      <c r="O150" s="343"/>
      <c r="P150" s="343"/>
      <c r="Q150" s="343"/>
      <c r="R150" s="343"/>
      <c r="S150" s="343"/>
      <c r="T150" s="343"/>
      <c r="U150" s="343"/>
      <c r="V150" s="343"/>
      <c r="W150" s="343"/>
      <c r="X150" s="343"/>
      <c r="Y150" s="1734"/>
      <c r="Z150" s="1734"/>
      <c r="AA150" s="1734"/>
      <c r="AB150" s="1734"/>
      <c r="AC150" s="343"/>
      <c r="AD150" s="343"/>
      <c r="AE150" s="343"/>
      <c r="AF150" s="343"/>
      <c r="AG150" s="343"/>
      <c r="AH150" s="343"/>
      <c r="AI150" s="343"/>
      <c r="AJ150" s="343"/>
      <c r="AK150" s="343"/>
      <c r="AL150" s="343"/>
      <c r="AM150" s="1734"/>
      <c r="AN150" s="1734"/>
      <c r="AO150" s="343"/>
      <c r="AP150" s="343"/>
      <c r="AQ150" s="343"/>
      <c r="AR150" s="343"/>
      <c r="AS150" s="343"/>
      <c r="AT150" s="343"/>
      <c r="AU150" s="343"/>
      <c r="AV150" s="343"/>
      <c r="AW150" s="343"/>
      <c r="AX150" s="343"/>
      <c r="AY150" s="343"/>
      <c r="AZ150" s="343"/>
      <c r="BA150" s="1734"/>
      <c r="BB150" s="1734"/>
      <c r="BC150" s="1734"/>
      <c r="BD150" s="1734"/>
      <c r="BE150" s="343"/>
      <c r="BF150" s="343"/>
    </row>
    <row r="151" spans="2:58" ht="15.75" thickBot="1" x14ac:dyDescent="0.3">
      <c r="B151" s="2379" t="s">
        <v>1067</v>
      </c>
      <c r="C151" s="3300"/>
      <c r="D151" s="2367" t="s">
        <v>53</v>
      </c>
      <c r="E151" s="3301"/>
      <c r="F151" s="3302">
        <f>+F144-F145-F146-F147</f>
        <v>-1.0000000002037268E-2</v>
      </c>
      <c r="G151" s="3303"/>
      <c r="H151" s="3302">
        <f t="shared" ref="H151:N151" si="140">+H144-H145-H146-H147</f>
        <v>-9.9999999983992893E-3</v>
      </c>
      <c r="I151" s="3304"/>
      <c r="J151" s="3304">
        <f t="shared" si="140"/>
        <v>-2.0000000011350494E-2</v>
      </c>
      <c r="K151" s="3302"/>
      <c r="L151" s="3302">
        <f t="shared" si="140"/>
        <v>0</v>
      </c>
      <c r="M151" s="3305"/>
      <c r="N151" s="3306">
        <f t="shared" si="140"/>
        <v>-2.0000000033178367E-2</v>
      </c>
      <c r="O151" s="3302"/>
      <c r="P151" s="3302">
        <f t="shared" ref="P151" si="141">+P144-P145-P146-P147</f>
        <v>0</v>
      </c>
      <c r="Q151" s="3307"/>
      <c r="R151" s="3304">
        <f t="shared" ref="R151" si="142">+R144-R145-R146-R147</f>
        <v>-2.0000000018626451E-2</v>
      </c>
      <c r="S151" s="3302"/>
      <c r="T151" s="3302">
        <f t="shared" ref="T151" si="143">+T144-T145-T146-T147</f>
        <v>0</v>
      </c>
      <c r="U151" s="3307"/>
      <c r="V151" s="3304">
        <f t="shared" ref="V151" si="144">+V144-V145-V146-V147</f>
        <v>-2.0000000076834112E-2</v>
      </c>
      <c r="W151" s="3302"/>
      <c r="X151" s="3302">
        <f t="shared" ref="X151" si="145">+X144-X145-X146-X147</f>
        <v>0</v>
      </c>
      <c r="Y151" s="3308"/>
      <c r="Z151" s="3306">
        <f t="shared" ref="Z151:AB151" si="146">+Z144-Z145-Z146-Z147</f>
        <v>0</v>
      </c>
      <c r="AA151" s="3309"/>
      <c r="AB151" s="3310">
        <f t="shared" si="146"/>
        <v>-2.0000000047730282E-2</v>
      </c>
      <c r="AC151" s="3302"/>
      <c r="AD151" s="3302">
        <f t="shared" ref="AD151" si="147">+AD144-AD145-AD146-AD147</f>
        <v>0</v>
      </c>
      <c r="AE151" s="3307"/>
      <c r="AF151" s="3304">
        <f t="shared" ref="AF151" si="148">+AF144-AF145-AF146-AF147</f>
        <v>-2.0000000105937943E-2</v>
      </c>
      <c r="AG151" s="3302"/>
      <c r="AH151" s="3302">
        <f t="shared" ref="AH151" si="149">+AH144-AH145-AH146-AH147</f>
        <v>0</v>
      </c>
      <c r="AI151" s="3307"/>
      <c r="AJ151" s="3311">
        <f t="shared" ref="AJ151" si="150">+AJ144-AJ145-AJ146-AJ147</f>
        <v>-1.9999999844003469E-2</v>
      </c>
      <c r="AK151" s="3302"/>
      <c r="AL151" s="3302">
        <f t="shared" ref="AL151" si="151">+AL144-AL145-AL146-AL147</f>
        <v>-3.9999999935389496E-3</v>
      </c>
      <c r="AM151" s="3308"/>
      <c r="AN151" s="3306">
        <f t="shared" ref="AN151" si="152">+AN144-AN145-AN146-AN147</f>
        <v>-4.0000000153668225E-3</v>
      </c>
      <c r="AO151" s="3307"/>
      <c r="AP151" s="3311">
        <f t="shared" ref="AP151" si="153">+AP144-AP145-AP146-AP147</f>
        <v>-2.399999980116263E-2</v>
      </c>
      <c r="AQ151" s="3302"/>
      <c r="AR151" s="3302">
        <f t="shared" ref="AR151" si="154">+AR144-AR145-AR146-AR147</f>
        <v>0</v>
      </c>
      <c r="AS151" s="3307"/>
      <c r="AT151" s="3311">
        <f t="shared" ref="AT151" si="155">+AT144-AT145-AT146-AT147</f>
        <v>-2.3999999742954969E-2</v>
      </c>
      <c r="AU151" s="3302"/>
      <c r="AV151" s="3302">
        <f t="shared" ref="AV151" si="156">+AV144-AV145-AV146-AV147</f>
        <v>0</v>
      </c>
      <c r="AW151" s="3307"/>
      <c r="AX151" s="3311">
        <f t="shared" ref="AX151" si="157">+AX144-AX145-AX146-AX147</f>
        <v>-2.3999999975785613E-2</v>
      </c>
      <c r="AY151" s="3302"/>
      <c r="AZ151" s="3302">
        <f t="shared" ref="AZ151" si="158">+AZ144-AZ145-AZ146-AZ147</f>
        <v>0</v>
      </c>
      <c r="BA151" s="3308"/>
      <c r="BB151" s="3306">
        <f t="shared" ref="BB151" si="159">+BB144-BB145-BB146-BB147</f>
        <v>0</v>
      </c>
      <c r="BC151" s="3309"/>
      <c r="BD151" s="3310">
        <f t="shared" ref="BD151" si="160">+BD144-BD145-BD146-BD147</f>
        <v>-3.9999998989515007E-3</v>
      </c>
      <c r="BE151" s="3307"/>
      <c r="BF151" s="3311">
        <f t="shared" ref="BF151" si="161">+BF144-BF145-BF146-BF147</f>
        <v>-2.3999999742954969E-2</v>
      </c>
    </row>
    <row r="152" spans="2:58" x14ac:dyDescent="0.25">
      <c r="S152" s="189"/>
      <c r="T152" s="200"/>
      <c r="U152" s="189"/>
      <c r="V152" s="200"/>
      <c r="AC152" s="1726"/>
      <c r="AD152" s="1726"/>
      <c r="AE152" s="189"/>
      <c r="AF152" s="200"/>
      <c r="AG152" s="1726"/>
      <c r="AH152" s="1726"/>
      <c r="AI152" s="189"/>
      <c r="AJ152" s="200"/>
      <c r="AK152" s="1726"/>
      <c r="AL152" s="1726"/>
      <c r="AO152" s="189"/>
      <c r="AP152" s="200"/>
      <c r="AU152" s="1726"/>
      <c r="AV152" s="1726"/>
      <c r="AW152" s="1726"/>
      <c r="AX152" s="1726"/>
      <c r="AY152" s="4240"/>
      <c r="AZ152" s="4240"/>
      <c r="BE152" s="4240"/>
      <c r="BF152" s="4240"/>
    </row>
    <row r="153" spans="2:58" x14ac:dyDescent="0.25">
      <c r="B153" s="4650" t="s">
        <v>1902</v>
      </c>
      <c r="C153" s="4651"/>
      <c r="D153" s="4651"/>
      <c r="E153" s="4652"/>
      <c r="F153" s="4653">
        <f>+F115</f>
        <v>32440.39</v>
      </c>
      <c r="G153" s="4652"/>
      <c r="H153" s="4653">
        <f>+H115</f>
        <v>24772.379999999997</v>
      </c>
      <c r="I153" s="4652"/>
      <c r="J153" s="4650"/>
      <c r="K153" s="4652"/>
      <c r="L153" s="4653">
        <f>+L115</f>
        <v>38861.850000000013</v>
      </c>
      <c r="M153" s="4652"/>
      <c r="N153" s="4650"/>
      <c r="O153" s="4653"/>
      <c r="P153" s="4653">
        <f>+P115</f>
        <v>38339.099999999991</v>
      </c>
      <c r="Q153" s="4652"/>
      <c r="R153" s="4650"/>
      <c r="S153" s="4653"/>
      <c r="T153" s="4653">
        <f>+T115</f>
        <v>41321.850000000006</v>
      </c>
      <c r="U153" s="4652"/>
      <c r="V153" s="4650"/>
      <c r="W153" s="4654"/>
      <c r="X153" s="4653">
        <f>+X116</f>
        <v>40056.999999999993</v>
      </c>
      <c r="Y153" s="4651"/>
      <c r="Z153" s="4651"/>
      <c r="AA153" s="4651"/>
      <c r="AB153" s="4651"/>
      <c r="AC153" s="4651"/>
      <c r="AD153" s="4653">
        <f>+AD116</f>
        <v>43248.850000000006</v>
      </c>
      <c r="AE153" s="4652"/>
      <c r="AF153" s="4650"/>
      <c r="AG153" s="4651"/>
      <c r="AH153" s="4653">
        <f>+AH116</f>
        <v>37008.65</v>
      </c>
      <c r="AI153" s="4652"/>
      <c r="AJ153" s="4650"/>
      <c r="AK153" s="4655"/>
      <c r="AL153" s="4653">
        <f>+AL116</f>
        <v>40005.753999999994</v>
      </c>
      <c r="AM153" s="4651"/>
      <c r="AN153" s="4651"/>
      <c r="AO153" s="4652"/>
      <c r="AP153" s="4650"/>
      <c r="AQ153" s="4651"/>
      <c r="AR153" s="4653">
        <f>+AR116</f>
        <v>40182.049999999988</v>
      </c>
      <c r="AS153" s="4651"/>
      <c r="AT153" s="4651"/>
      <c r="AU153" s="4651"/>
      <c r="AV153" s="4653">
        <f>+AV116</f>
        <v>43710.100000000013</v>
      </c>
      <c r="AW153" s="4651"/>
      <c r="AX153" s="4651"/>
      <c r="AY153" s="4651"/>
      <c r="AZ153" s="4653">
        <f>+AZ116</f>
        <v>46010.2</v>
      </c>
      <c r="BA153" s="4651"/>
      <c r="BB153" s="4651"/>
      <c r="BC153" s="4651"/>
      <c r="BD153" s="4651"/>
      <c r="BE153" s="4651"/>
      <c r="BF153" s="4654">
        <f>+AZ153+AV153+AR153+AL153+AH153+AD153+X153+T153+P153+L153+H153+F153</f>
        <v>465958.17400000006</v>
      </c>
    </row>
    <row r="154" spans="2:58" x14ac:dyDescent="0.25">
      <c r="AC154" s="1726"/>
      <c r="AD154" s="1726"/>
      <c r="AE154" s="1726"/>
      <c r="AF154" s="1726"/>
      <c r="AG154" s="1726"/>
      <c r="AH154" s="1726"/>
      <c r="AI154" s="1726"/>
      <c r="AJ154" s="1726"/>
      <c r="AK154" s="5220" t="s">
        <v>1741</v>
      </c>
      <c r="AL154" s="5221"/>
      <c r="AO154" s="1726"/>
      <c r="AP154" s="1726"/>
      <c r="AU154" s="1726"/>
      <c r="AV154" s="1726"/>
      <c r="AW154" s="1726"/>
      <c r="AX154" s="1726"/>
      <c r="AY154" s="4240"/>
      <c r="AZ154" s="4240"/>
      <c r="BE154" s="4240"/>
      <c r="BF154" s="4240"/>
    </row>
    <row r="155" spans="2:58" x14ac:dyDescent="0.25">
      <c r="AC155" s="1726"/>
      <c r="AD155" s="1726"/>
      <c r="AE155" s="1726"/>
      <c r="AF155" s="1726"/>
      <c r="AJ155" s="48">
        <f>+AH43+AH45</f>
        <v>10223.349999999999</v>
      </c>
      <c r="AK155" s="5220"/>
      <c r="AL155" s="5221"/>
      <c r="AO155" s="1726"/>
      <c r="AP155" s="48"/>
      <c r="AU155" s="1726"/>
      <c r="AV155" s="1726"/>
      <c r="AW155" s="1726"/>
      <c r="AX155" s="1726"/>
      <c r="AY155" s="4240"/>
      <c r="AZ155" s="4240"/>
      <c r="BE155" s="4240"/>
      <c r="BF155" s="4240"/>
    </row>
    <row r="156" spans="2:58" x14ac:dyDescent="0.25">
      <c r="B156" t="s">
        <v>1670</v>
      </c>
      <c r="AC156" s="1726"/>
      <c r="AD156" s="1726"/>
      <c r="AE156" s="1726"/>
      <c r="AF156" s="1726"/>
      <c r="AK156" s="5220"/>
      <c r="AL156" s="5221"/>
      <c r="AO156" s="1726"/>
      <c r="AP156" s="1726"/>
      <c r="AU156" s="1726"/>
      <c r="AV156" s="1726"/>
      <c r="AW156" s="1726"/>
      <c r="AX156" s="1726"/>
      <c r="AY156" s="4240"/>
      <c r="AZ156" s="4240"/>
      <c r="BE156" s="4240"/>
      <c r="BF156" s="4240"/>
    </row>
    <row r="157" spans="2:58" x14ac:dyDescent="0.25">
      <c r="AC157" s="1726"/>
      <c r="AD157" s="1726"/>
      <c r="AE157" s="1726"/>
      <c r="AF157" s="1726"/>
      <c r="AK157" s="5222" t="s">
        <v>1742</v>
      </c>
      <c r="AL157" s="776" t="s">
        <v>1743</v>
      </c>
      <c r="AO157" s="1726"/>
      <c r="AP157" s="1726"/>
      <c r="AU157" s="1726"/>
      <c r="AV157" s="1726"/>
      <c r="AW157" s="1726"/>
      <c r="AX157" s="1726"/>
      <c r="AY157" s="4240"/>
      <c r="AZ157" s="4240"/>
      <c r="BE157" s="4240"/>
      <c r="BF157" s="4240"/>
    </row>
    <row r="158" spans="2:58" ht="15.75" thickBot="1" x14ac:dyDescent="0.3">
      <c r="AK158" s="5223"/>
      <c r="AL158" s="3705" t="s">
        <v>1744</v>
      </c>
      <c r="AO158" s="1726"/>
      <c r="AP158" s="1726"/>
      <c r="AU158" s="1726"/>
      <c r="AV158" s="1726"/>
      <c r="AW158" s="1726"/>
      <c r="AX158" s="1726"/>
      <c r="AY158" s="4240"/>
      <c r="AZ158" s="4240"/>
      <c r="BE158" s="4240"/>
      <c r="BF158" s="4240"/>
    </row>
    <row r="159" spans="2:58" x14ac:dyDescent="0.25">
      <c r="AK159" s="4649"/>
      <c r="AL159" s="4649"/>
      <c r="AO159" s="1726"/>
      <c r="AP159" s="1726"/>
      <c r="AU159" s="1726"/>
      <c r="AV159" s="1726"/>
      <c r="AW159" s="1726"/>
      <c r="AX159" s="1726"/>
      <c r="AY159" s="4240"/>
      <c r="AZ159" s="4240"/>
      <c r="BE159" s="4240"/>
      <c r="BF159" s="4240"/>
    </row>
    <row r="160" spans="2:58" x14ac:dyDescent="0.25">
      <c r="AK160" s="1548"/>
      <c r="AL160" s="1548"/>
      <c r="AO160" s="1726"/>
      <c r="AP160" s="1726"/>
      <c r="AU160" s="1726"/>
      <c r="AV160" s="1726"/>
      <c r="AW160" s="1726"/>
      <c r="AX160" s="1726"/>
      <c r="AY160" s="4240"/>
      <c r="AZ160" s="4240"/>
      <c r="BE160" s="4240"/>
      <c r="BF160" s="4240"/>
    </row>
    <row r="161" spans="37:58" x14ac:dyDescent="0.25">
      <c r="AK161" s="1548"/>
      <c r="AL161" s="1548"/>
      <c r="AO161" s="1726"/>
      <c r="AP161" s="1726"/>
      <c r="AU161" s="1726"/>
      <c r="AV161" s="1726"/>
      <c r="AY161" s="4240"/>
      <c r="AZ161" s="4240"/>
      <c r="BE161" s="4240"/>
      <c r="BF161" s="4240"/>
    </row>
    <row r="162" spans="37:58" x14ac:dyDescent="0.25">
      <c r="AK162" s="1548"/>
      <c r="AL162" s="4560"/>
      <c r="AO162" s="1726"/>
      <c r="AP162" s="1726"/>
      <c r="AU162" s="1726"/>
      <c r="AV162" s="1726"/>
      <c r="AY162" s="4240"/>
      <c r="AZ162" s="4240"/>
      <c r="BE162" s="4240"/>
      <c r="BF162" s="4240"/>
    </row>
    <row r="163" spans="37:58" x14ac:dyDescent="0.25">
      <c r="AK163" s="1548"/>
      <c r="AL163" s="4560"/>
      <c r="AO163" s="1726"/>
      <c r="AP163" s="1726"/>
      <c r="AU163" s="1726"/>
      <c r="AV163" s="1726"/>
      <c r="AY163" s="4240"/>
      <c r="AZ163" s="4240"/>
      <c r="BE163" s="4240"/>
      <c r="BF163" s="4240"/>
    </row>
    <row r="164" spans="37:58" x14ac:dyDescent="0.25">
      <c r="AO164" s="1726"/>
      <c r="AP164" s="1726"/>
      <c r="AY164" s="4240"/>
      <c r="AZ164" s="4240"/>
      <c r="BE164" s="4240"/>
      <c r="BF164" s="4240"/>
    </row>
    <row r="165" spans="37:58" x14ac:dyDescent="0.25">
      <c r="AO165" s="1726"/>
      <c r="AP165" s="1726"/>
    </row>
    <row r="166" spans="37:58" x14ac:dyDescent="0.25">
      <c r="AO166" s="1726"/>
      <c r="AP166" s="1726"/>
    </row>
    <row r="167" spans="37:58" x14ac:dyDescent="0.25">
      <c r="AO167" s="1726"/>
      <c r="AP167" s="1726"/>
    </row>
    <row r="168" spans="37:58" x14ac:dyDescent="0.25">
      <c r="AO168" s="1726"/>
      <c r="AP168" s="1726"/>
    </row>
    <row r="169" spans="37:58" x14ac:dyDescent="0.25">
      <c r="AO169" s="1726"/>
      <c r="AP169" s="1726"/>
    </row>
  </sheetData>
  <autoFilter ref="C3:C134"/>
  <mergeCells count="33">
    <mergeCell ref="W1:X1"/>
    <mergeCell ref="W3:X3"/>
    <mergeCell ref="Y3:Z3"/>
    <mergeCell ref="AA3:AB3"/>
    <mergeCell ref="B3:B4"/>
    <mergeCell ref="E3:F3"/>
    <mergeCell ref="G3:H3"/>
    <mergeCell ref="I3:J3"/>
    <mergeCell ref="K3:L3"/>
    <mergeCell ref="C3:C5"/>
    <mergeCell ref="D3:D5"/>
    <mergeCell ref="AG3:AH3"/>
    <mergeCell ref="AI3:AJ3"/>
    <mergeCell ref="M3:N3"/>
    <mergeCell ref="Q3:R3"/>
    <mergeCell ref="S3:T3"/>
    <mergeCell ref="O3:P3"/>
    <mergeCell ref="U3:V3"/>
    <mergeCell ref="AC3:AD3"/>
    <mergeCell ref="AE3:AF3"/>
    <mergeCell ref="AK154:AL156"/>
    <mergeCell ref="AK157:AK158"/>
    <mergeCell ref="AY3:AZ3"/>
    <mergeCell ref="BE3:BF3"/>
    <mergeCell ref="BC3:BD3"/>
    <mergeCell ref="AU3:AV3"/>
    <mergeCell ref="AW3:AX3"/>
    <mergeCell ref="BA3:BB3"/>
    <mergeCell ref="AQ3:AR3"/>
    <mergeCell ref="AS3:AT3"/>
    <mergeCell ref="AO3:AP3"/>
    <mergeCell ref="AM3:AN3"/>
    <mergeCell ref="AK3:AL3"/>
  </mergeCells>
  <printOptions horizontalCentered="1" verticalCentered="1"/>
  <pageMargins left="0" right="0" top="0" bottom="0" header="0" footer="0"/>
  <pageSetup scale="78" fitToHeight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33CC"/>
    <pageSetUpPr fitToPage="1"/>
  </sheetPr>
  <dimension ref="A1:BH113"/>
  <sheetViews>
    <sheetView topLeftCell="A37" zoomScaleNormal="100" workbookViewId="0">
      <pane xSplit="4" topLeftCell="E1" activePane="topRight" state="frozen"/>
      <selection pane="topRight" activeCell="F56" sqref="F56"/>
    </sheetView>
  </sheetViews>
  <sheetFormatPr defaultColWidth="8.85546875" defaultRowHeight="15" x14ac:dyDescent="0.25"/>
  <cols>
    <col min="2" max="2" width="39.28515625" bestFit="1" customWidth="1"/>
    <col min="3" max="3" width="25.42578125" style="1321" customWidth="1"/>
    <col min="4" max="4" width="15.140625" bestFit="1" customWidth="1"/>
    <col min="5" max="5" width="13.5703125" style="189" customWidth="1"/>
    <col min="6" max="6" width="13.5703125" style="200" customWidth="1"/>
    <col min="7" max="7" width="16.7109375" style="189" customWidth="1"/>
    <col min="8" max="8" width="17.28515625" style="200" customWidth="1"/>
    <col min="9" max="9" width="9.140625" style="189" hidden="1" customWidth="1"/>
    <col min="10" max="10" width="9.42578125" style="200" hidden="1" customWidth="1"/>
    <col min="11" max="11" width="15.7109375" style="189" customWidth="1"/>
    <col min="12" max="12" width="14.42578125" style="200" customWidth="1"/>
    <col min="13" max="13" width="13.42578125" style="189" customWidth="1"/>
    <col min="14" max="14" width="15.28515625" style="200" customWidth="1"/>
    <col min="15" max="15" width="9.140625" style="189" customWidth="1"/>
    <col min="16" max="16" width="11.85546875" style="200" customWidth="1"/>
    <col min="17" max="17" width="12.140625" style="189" hidden="1" customWidth="1"/>
    <col min="18" max="18" width="9.42578125" style="200" hidden="1" customWidth="1"/>
    <col min="21" max="22" width="9.28515625" hidden="1" customWidth="1"/>
    <col min="23" max="23" width="12.7109375" customWidth="1"/>
    <col min="24" max="24" width="8.85546875" customWidth="1"/>
    <col min="25" max="25" width="9.28515625" style="189" customWidth="1"/>
    <col min="26" max="26" width="9.28515625" style="200" customWidth="1"/>
    <col min="27" max="27" width="9.28515625" customWidth="1"/>
    <col min="28" max="28" width="9.28515625" style="200" customWidth="1"/>
    <col min="29" max="29" width="13.85546875" customWidth="1"/>
    <col min="31" max="32" width="9.28515625" hidden="1" customWidth="1"/>
    <col min="35" max="36" width="8.85546875" hidden="1" customWidth="1"/>
    <col min="39" max="40" width="8.85546875" style="1726"/>
    <col min="41" max="42" width="0" hidden="1" customWidth="1"/>
    <col min="45" max="46" width="0" hidden="1" customWidth="1"/>
    <col min="49" max="50" width="0" hidden="1" customWidth="1"/>
    <col min="52" max="52" width="9.5703125" bestFit="1" customWidth="1"/>
    <col min="53" max="54" width="8.85546875" style="4390"/>
    <col min="55" max="56" width="10" style="4390" bestFit="1" customWidth="1"/>
  </cols>
  <sheetData>
    <row r="1" spans="1:60" ht="22.5" x14ac:dyDescent="0.3">
      <c r="B1" s="971" t="s">
        <v>101</v>
      </c>
      <c r="C1" s="971"/>
      <c r="D1" s="106"/>
      <c r="E1" s="106"/>
      <c r="F1" s="1621"/>
      <c r="G1" s="106"/>
      <c r="H1" s="1621"/>
      <c r="I1" s="106"/>
      <c r="J1" s="106"/>
      <c r="K1" s="200"/>
      <c r="L1" s="1621"/>
      <c r="M1" s="200"/>
      <c r="O1" s="200"/>
      <c r="P1" s="1621"/>
      <c r="Q1" s="200"/>
      <c r="R1" s="270"/>
      <c r="S1" s="200"/>
      <c r="T1" s="200"/>
      <c r="U1" s="200"/>
      <c r="V1" s="200"/>
      <c r="W1" s="200"/>
      <c r="X1" s="200"/>
      <c r="Y1" s="200"/>
      <c r="AA1" s="200"/>
    </row>
    <row r="2" spans="1:60" ht="15.75" thickBot="1" x14ac:dyDescent="0.3">
      <c r="B2" s="106"/>
      <c r="C2" s="106"/>
      <c r="D2" s="106"/>
      <c r="E2" s="207">
        <v>30</v>
      </c>
      <c r="F2" s="207">
        <v>30</v>
      </c>
      <c r="G2" s="207">
        <v>31</v>
      </c>
      <c r="H2" s="207">
        <v>31</v>
      </c>
      <c r="I2" s="207">
        <f>+E2+G2</f>
        <v>61</v>
      </c>
      <c r="J2" s="207">
        <f>+F2+H2</f>
        <v>61</v>
      </c>
      <c r="K2" s="207">
        <v>30</v>
      </c>
      <c r="L2" s="207">
        <v>30</v>
      </c>
      <c r="M2" s="984">
        <f>+I2+K2</f>
        <v>91</v>
      </c>
      <c r="N2" s="984">
        <f>+J2+L2</f>
        <v>91</v>
      </c>
      <c r="O2" s="207">
        <v>31</v>
      </c>
      <c r="P2" s="207">
        <v>31</v>
      </c>
      <c r="Q2" s="207">
        <f>+M2+O2</f>
        <v>122</v>
      </c>
      <c r="R2" s="207">
        <f>+N2+P2</f>
        <v>122</v>
      </c>
      <c r="S2" s="200">
        <v>31</v>
      </c>
      <c r="T2" s="200">
        <v>31</v>
      </c>
      <c r="U2" s="200">
        <f>+Q2+S2</f>
        <v>153</v>
      </c>
      <c r="V2" s="200">
        <f>+R2+T2</f>
        <v>153</v>
      </c>
      <c r="W2" s="200">
        <v>30</v>
      </c>
      <c r="X2" s="200">
        <v>30</v>
      </c>
      <c r="Y2" s="200">
        <f>+O2+S2+W2</f>
        <v>92</v>
      </c>
      <c r="Z2" s="200">
        <f>+P2+T2+X2</f>
        <v>92</v>
      </c>
      <c r="AA2" s="200">
        <f>+Y2+M2</f>
        <v>183</v>
      </c>
      <c r="AB2" s="200">
        <f>+Z2+N2</f>
        <v>183</v>
      </c>
      <c r="AC2" s="200">
        <v>31</v>
      </c>
      <c r="AD2" s="200">
        <v>31</v>
      </c>
      <c r="AE2" s="200">
        <f>+AA2+AC2</f>
        <v>214</v>
      </c>
      <c r="AF2" s="200">
        <f>+AB2+AD2</f>
        <v>214</v>
      </c>
      <c r="AG2" s="200">
        <v>30</v>
      </c>
      <c r="AH2" s="200">
        <v>30</v>
      </c>
      <c r="AI2" s="200">
        <f>+AE2+AG2</f>
        <v>244</v>
      </c>
      <c r="AJ2" s="200">
        <f>+AF2+AH2</f>
        <v>244</v>
      </c>
      <c r="AK2" s="200">
        <v>31</v>
      </c>
      <c r="AL2" s="200">
        <v>31</v>
      </c>
      <c r="AM2" s="200">
        <f>+AC2+AG2+AK2</f>
        <v>92</v>
      </c>
      <c r="AN2" s="200">
        <f>+AD2+AH2+AL2</f>
        <v>92</v>
      </c>
      <c r="AO2" s="200">
        <f>+AI2+AK2</f>
        <v>275</v>
      </c>
      <c r="AP2" s="200">
        <f>+AJ2+AL2</f>
        <v>275</v>
      </c>
      <c r="AQ2" s="200">
        <v>31</v>
      </c>
      <c r="AR2" s="200">
        <v>31</v>
      </c>
      <c r="AS2" s="200">
        <f>+AO2+AQ2</f>
        <v>306</v>
      </c>
      <c r="AT2" s="200">
        <f>+AP2+AR2</f>
        <v>306</v>
      </c>
      <c r="AU2" s="200">
        <v>28</v>
      </c>
      <c r="AV2" s="200">
        <v>28</v>
      </c>
      <c r="AW2" s="200">
        <f>+AS2+AU2</f>
        <v>334</v>
      </c>
      <c r="AX2" s="200">
        <f>+AT2+AV2</f>
        <v>334</v>
      </c>
      <c r="AY2" s="200">
        <v>31</v>
      </c>
      <c r="AZ2" s="200">
        <v>31</v>
      </c>
      <c r="BA2" s="200">
        <f>+AQ2+AU2+AY2</f>
        <v>90</v>
      </c>
      <c r="BB2" s="200">
        <f>+AR2+AV2+AZ2</f>
        <v>90</v>
      </c>
      <c r="BC2" s="200">
        <f>+AM2+BA2</f>
        <v>182</v>
      </c>
      <c r="BD2" s="200">
        <f>+AN2+BB2</f>
        <v>182</v>
      </c>
      <c r="BE2" s="200">
        <f>+AW2+AY2</f>
        <v>365</v>
      </c>
      <c r="BF2" s="200">
        <f>+AX2+AZ2</f>
        <v>365</v>
      </c>
    </row>
    <row r="3" spans="1:60" ht="15.75" thickBot="1" x14ac:dyDescent="0.3">
      <c r="B3" s="5073" t="s">
        <v>197</v>
      </c>
      <c r="C3" s="5234" t="s">
        <v>1119</v>
      </c>
      <c r="D3" s="4873" t="s">
        <v>198</v>
      </c>
      <c r="E3" s="4875" t="s">
        <v>1323</v>
      </c>
      <c r="F3" s="4876"/>
      <c r="G3" s="4875" t="s">
        <v>1384</v>
      </c>
      <c r="H3" s="4875"/>
      <c r="I3" s="4877" t="s">
        <v>15</v>
      </c>
      <c r="J3" s="4878"/>
      <c r="K3" s="4879" t="s">
        <v>1397</v>
      </c>
      <c r="L3" s="4880"/>
      <c r="M3" s="4881" t="s">
        <v>741</v>
      </c>
      <c r="N3" s="4859"/>
      <c r="O3" s="4875" t="s">
        <v>1424</v>
      </c>
      <c r="P3" s="4875"/>
      <c r="Q3" s="4877" t="s">
        <v>18</v>
      </c>
      <c r="R3" s="4878"/>
      <c r="S3" s="4875" t="s">
        <v>1496</v>
      </c>
      <c r="T3" s="4875"/>
      <c r="U3" s="4877" t="s">
        <v>19</v>
      </c>
      <c r="V3" s="4878"/>
      <c r="W3" s="4875" t="s">
        <v>1573</v>
      </c>
      <c r="X3" s="4875"/>
      <c r="Y3" s="4881" t="s">
        <v>788</v>
      </c>
      <c r="Z3" s="4859"/>
      <c r="AA3" s="4850" t="s">
        <v>784</v>
      </c>
      <c r="AB3" s="4851"/>
      <c r="AC3" s="4875" t="s">
        <v>1634</v>
      </c>
      <c r="AD3" s="4875"/>
      <c r="AE3" s="4877" t="s">
        <v>26</v>
      </c>
      <c r="AF3" s="4878"/>
      <c r="AG3" s="4875" t="s">
        <v>1671</v>
      </c>
      <c r="AH3" s="4875"/>
      <c r="AI3" s="4877" t="s">
        <v>29</v>
      </c>
      <c r="AJ3" s="4878"/>
      <c r="AK3" s="4875" t="s">
        <v>1696</v>
      </c>
      <c r="AL3" s="4875"/>
      <c r="AM3" s="4881" t="s">
        <v>799</v>
      </c>
      <c r="AN3" s="4859"/>
      <c r="AO3" s="4877" t="s">
        <v>30</v>
      </c>
      <c r="AP3" s="4878"/>
      <c r="AQ3" s="4875" t="s">
        <v>1760</v>
      </c>
      <c r="AR3" s="4875"/>
      <c r="AS3" s="4877" t="s">
        <v>31</v>
      </c>
      <c r="AT3" s="4878"/>
      <c r="AU3" s="4875" t="s">
        <v>1812</v>
      </c>
      <c r="AV3" s="4875"/>
      <c r="AW3" s="4877" t="s">
        <v>33</v>
      </c>
      <c r="AX3" s="4878"/>
      <c r="AY3" s="4875" t="s">
        <v>1844</v>
      </c>
      <c r="AZ3" s="4875"/>
      <c r="BA3" s="4881" t="s">
        <v>800</v>
      </c>
      <c r="BB3" s="4859"/>
      <c r="BC3" s="4850" t="s">
        <v>817</v>
      </c>
      <c r="BD3" s="4851"/>
      <c r="BE3" s="4877" t="s">
        <v>1314</v>
      </c>
      <c r="BF3" s="4878"/>
    </row>
    <row r="4" spans="1:60" ht="15.75" thickBot="1" x14ac:dyDescent="0.3">
      <c r="B4" s="5098"/>
      <c r="C4" s="5235"/>
      <c r="D4" s="4874"/>
      <c r="E4" s="1977" t="s">
        <v>199</v>
      </c>
      <c r="F4" s="353" t="s">
        <v>200</v>
      </c>
      <c r="G4" s="1977" t="s">
        <v>199</v>
      </c>
      <c r="H4" s="2230" t="s">
        <v>200</v>
      </c>
      <c r="I4" s="1978" t="s">
        <v>199</v>
      </c>
      <c r="J4" s="381" t="s">
        <v>200</v>
      </c>
      <c r="K4" s="1977" t="s">
        <v>199</v>
      </c>
      <c r="L4" s="2230" t="s">
        <v>200</v>
      </c>
      <c r="M4" s="1981" t="s">
        <v>199</v>
      </c>
      <c r="N4" s="395" t="s">
        <v>200</v>
      </c>
      <c r="O4" s="1977" t="s">
        <v>199</v>
      </c>
      <c r="P4" s="2230" t="s">
        <v>200</v>
      </c>
      <c r="Q4" s="1978" t="s">
        <v>199</v>
      </c>
      <c r="R4" s="381" t="s">
        <v>200</v>
      </c>
      <c r="S4" s="1977" t="s">
        <v>199</v>
      </c>
      <c r="T4" s="2230" t="s">
        <v>200</v>
      </c>
      <c r="U4" s="1978" t="s">
        <v>199</v>
      </c>
      <c r="V4" s="381" t="s">
        <v>200</v>
      </c>
      <c r="W4" s="1977" t="s">
        <v>199</v>
      </c>
      <c r="X4" s="2230" t="s">
        <v>200</v>
      </c>
      <c r="Y4" s="1981" t="s">
        <v>199</v>
      </c>
      <c r="Z4" s="395" t="s">
        <v>200</v>
      </c>
      <c r="AA4" s="1988" t="s">
        <v>199</v>
      </c>
      <c r="AB4" s="1137" t="s">
        <v>200</v>
      </c>
      <c r="AC4" s="3159" t="s">
        <v>199</v>
      </c>
      <c r="AD4" s="3162" t="s">
        <v>200</v>
      </c>
      <c r="AE4" s="3161" t="s">
        <v>199</v>
      </c>
      <c r="AF4" s="381" t="s">
        <v>200</v>
      </c>
      <c r="AG4" s="3316" t="s">
        <v>199</v>
      </c>
      <c r="AH4" s="3319" t="s">
        <v>200</v>
      </c>
      <c r="AI4" s="3318" t="s">
        <v>199</v>
      </c>
      <c r="AJ4" s="381" t="s">
        <v>200</v>
      </c>
      <c r="AK4" s="3593" t="s">
        <v>199</v>
      </c>
      <c r="AL4" s="3598" t="s">
        <v>200</v>
      </c>
      <c r="AM4" s="3594" t="s">
        <v>199</v>
      </c>
      <c r="AN4" s="395" t="s">
        <v>200</v>
      </c>
      <c r="AO4" s="3595" t="s">
        <v>199</v>
      </c>
      <c r="AP4" s="381" t="s">
        <v>200</v>
      </c>
      <c r="AQ4" s="3878" t="s">
        <v>199</v>
      </c>
      <c r="AR4" s="3884" t="s">
        <v>200</v>
      </c>
      <c r="AS4" s="3880" t="s">
        <v>199</v>
      </c>
      <c r="AT4" s="381" t="s">
        <v>200</v>
      </c>
      <c r="AU4" s="4065" t="s">
        <v>199</v>
      </c>
      <c r="AV4" s="4072" t="s">
        <v>200</v>
      </c>
      <c r="AW4" s="4066" t="s">
        <v>199</v>
      </c>
      <c r="AX4" s="381" t="s">
        <v>200</v>
      </c>
      <c r="AY4" s="4384" t="s">
        <v>199</v>
      </c>
      <c r="AZ4" s="4396" t="s">
        <v>200</v>
      </c>
      <c r="BA4" s="4385" t="s">
        <v>199</v>
      </c>
      <c r="BB4" s="395" t="s">
        <v>200</v>
      </c>
      <c r="BC4" s="4388" t="s">
        <v>199</v>
      </c>
      <c r="BD4" s="1137" t="s">
        <v>200</v>
      </c>
      <c r="BE4" s="4387" t="s">
        <v>199</v>
      </c>
      <c r="BF4" s="381" t="s">
        <v>200</v>
      </c>
    </row>
    <row r="5" spans="1:60" ht="17.100000000000001" customHeight="1" x14ac:dyDescent="0.25">
      <c r="B5" s="30" t="s">
        <v>1115</v>
      </c>
      <c r="C5" s="1"/>
      <c r="D5" s="2048" t="s">
        <v>53</v>
      </c>
      <c r="E5" s="2773">
        <v>45596</v>
      </c>
      <c r="F5" s="1569">
        <v>32778.81</v>
      </c>
      <c r="G5" s="2773">
        <v>51813.472000000002</v>
      </c>
      <c r="H5" s="1569">
        <v>43117.13</v>
      </c>
      <c r="I5" s="2774">
        <f>+E5+G5</f>
        <v>97409.472000000009</v>
      </c>
      <c r="J5" s="1570">
        <f>+F5+H5</f>
        <v>75895.94</v>
      </c>
      <c r="K5" s="2773">
        <v>67357.512953367885</v>
      </c>
      <c r="L5" s="1571">
        <v>54295.137000000002</v>
      </c>
      <c r="M5" s="1860">
        <f>+I5+K5</f>
        <v>164766.98495336791</v>
      </c>
      <c r="N5" s="1572">
        <f>+J5+L5</f>
        <v>130191.077</v>
      </c>
      <c r="O5" s="2773">
        <v>69430.051813471509</v>
      </c>
      <c r="P5" s="1571">
        <v>52934.739000000009</v>
      </c>
      <c r="Q5" s="2774">
        <f>+M5+O5</f>
        <v>234197.03676683942</v>
      </c>
      <c r="R5" s="1593">
        <f>+N5+P5</f>
        <v>183125.81600000002</v>
      </c>
      <c r="S5" s="2773">
        <v>69430.051813471509</v>
      </c>
      <c r="T5" s="1571">
        <v>52354.133000000009</v>
      </c>
      <c r="U5" s="2774">
        <f>+Q5+S5</f>
        <v>303627.08858031093</v>
      </c>
      <c r="V5" s="1593">
        <f>+R5+T5</f>
        <v>235479.94900000002</v>
      </c>
      <c r="W5" s="2773">
        <v>67357.512953367885</v>
      </c>
      <c r="X5" s="1571">
        <v>57585.94400000001</v>
      </c>
      <c r="Y5" s="1860">
        <f>+O5+S5+W5</f>
        <v>206217.61658031092</v>
      </c>
      <c r="Z5" s="1860">
        <f>+P5+T5+X5</f>
        <v>162874.81600000002</v>
      </c>
      <c r="AA5" s="1861">
        <f>+M5+Y5</f>
        <v>370984.60153367883</v>
      </c>
      <c r="AB5" s="1861">
        <f>+N5+Z5</f>
        <v>293065.89300000004</v>
      </c>
      <c r="AC5" s="2773">
        <v>69430.051813471509</v>
      </c>
      <c r="AD5" s="1571">
        <v>65038.467000000004</v>
      </c>
      <c r="AE5" s="2774">
        <f>+AA5+AC5</f>
        <v>440414.65334715031</v>
      </c>
      <c r="AF5" s="1593">
        <f>+AB5+AD5</f>
        <v>358104.36000000004</v>
      </c>
      <c r="AG5" s="2773">
        <v>67357.512953367885</v>
      </c>
      <c r="AH5" s="1571">
        <v>57054.075000000004</v>
      </c>
      <c r="AI5" s="2774">
        <f>+AE5+AG5</f>
        <v>507772.16630051821</v>
      </c>
      <c r="AJ5" s="1593">
        <f>+AF5+AH5</f>
        <v>415158.43500000006</v>
      </c>
      <c r="AK5" s="2773">
        <v>69430.051813471509</v>
      </c>
      <c r="AL5" s="1571">
        <v>70899.621000000028</v>
      </c>
      <c r="AM5" s="1860">
        <f>+AC5+AG5+AK5</f>
        <v>206217.61658031089</v>
      </c>
      <c r="AN5" s="1860">
        <f>+AD5+AH5+AL5</f>
        <v>192992.16300000006</v>
      </c>
      <c r="AO5" s="2774">
        <f>+AI5+AK5</f>
        <v>577202.21811398969</v>
      </c>
      <c r="AP5" s="1593">
        <f>+AJ5+AL5</f>
        <v>486058.0560000001</v>
      </c>
      <c r="AQ5" s="2773">
        <v>69430.051813471509</v>
      </c>
      <c r="AR5" s="1571">
        <v>73152.118000000002</v>
      </c>
      <c r="AS5" s="2774">
        <f>+AO5+AQ5</f>
        <v>646632.26992746117</v>
      </c>
      <c r="AT5" s="1593">
        <f>+AP5+AR5</f>
        <v>559210.17400000012</v>
      </c>
      <c r="AU5" s="2773">
        <v>61139.896373056996</v>
      </c>
      <c r="AV5" s="1571">
        <v>50921.689000000006</v>
      </c>
      <c r="AW5" s="2774">
        <f>+AS5+AU5</f>
        <v>707772.16630051821</v>
      </c>
      <c r="AX5" s="1593">
        <f>+AT5+AV5</f>
        <v>610131.86300000013</v>
      </c>
      <c r="AY5" s="2773">
        <v>69430.051813471509</v>
      </c>
      <c r="AZ5" s="1571">
        <v>70872.074000000008</v>
      </c>
      <c r="BA5" s="1860">
        <f>+AQ5+AU5+AY5</f>
        <v>200000</v>
      </c>
      <c r="BB5" s="1860">
        <f>+AR5+AV5+AZ5</f>
        <v>194945.88099999999</v>
      </c>
      <c r="BC5" s="1861">
        <f>+AM5+BA5</f>
        <v>406217.61658031086</v>
      </c>
      <c r="BD5" s="1861">
        <f>+AN5+BB5</f>
        <v>387938.04400000005</v>
      </c>
      <c r="BE5" s="2774">
        <f>+AW5+AY5</f>
        <v>777202.21811398969</v>
      </c>
      <c r="BF5" s="1593">
        <f>+AX5+AZ5</f>
        <v>681003.93700000015</v>
      </c>
    </row>
    <row r="6" spans="1:60" s="334" customFormat="1" ht="24.75" customHeight="1" x14ac:dyDescent="0.25">
      <c r="B6" s="2490" t="s">
        <v>345</v>
      </c>
      <c r="C6" s="2775"/>
      <c r="D6" s="2775"/>
      <c r="E6" s="2461"/>
      <c r="F6" s="1622"/>
      <c r="G6" s="1575"/>
      <c r="H6" s="1622"/>
      <c r="I6" s="1575"/>
      <c r="J6" s="1575"/>
      <c r="K6" s="1575"/>
      <c r="L6" s="1622"/>
      <c r="M6" s="1575"/>
      <c r="N6" s="1575"/>
      <c r="O6" s="1575"/>
      <c r="P6" s="1622"/>
      <c r="Q6" s="1575"/>
      <c r="R6" s="1594"/>
      <c r="S6" s="1575"/>
      <c r="T6" s="1622"/>
      <c r="U6" s="1575"/>
      <c r="V6" s="1594"/>
      <c r="W6" s="1575"/>
      <c r="X6" s="1622"/>
      <c r="Y6" s="1575"/>
      <c r="Z6" s="1575"/>
      <c r="AA6" s="1575"/>
      <c r="AB6" s="1594"/>
      <c r="AC6" s="1575"/>
      <c r="AD6" s="1622"/>
      <c r="AE6" s="1575"/>
      <c r="AF6" s="1594"/>
      <c r="AG6" s="1575"/>
      <c r="AH6" s="1622"/>
      <c r="AI6" s="1575"/>
      <c r="AJ6" s="1594"/>
      <c r="AK6" s="1575"/>
      <c r="AL6" s="1622"/>
      <c r="AM6" s="1575"/>
      <c r="AN6" s="1575"/>
      <c r="AO6" s="1575"/>
      <c r="AP6" s="1594"/>
      <c r="AQ6" s="1575"/>
      <c r="AR6" s="1622"/>
      <c r="AS6" s="1575"/>
      <c r="AT6" s="1594"/>
      <c r="AU6" s="1575"/>
      <c r="AV6" s="1622"/>
      <c r="AW6" s="1575"/>
      <c r="AX6" s="1594"/>
      <c r="AY6" s="1575"/>
      <c r="AZ6" s="1622"/>
      <c r="BA6" s="1575"/>
      <c r="BB6" s="1575"/>
      <c r="BC6" s="1575"/>
      <c r="BD6" s="1594"/>
      <c r="BE6" s="1575"/>
      <c r="BF6" s="1594"/>
    </row>
    <row r="7" spans="1:60" s="334" customFormat="1" ht="15.75" x14ac:dyDescent="0.25">
      <c r="B7" s="2776" t="s">
        <v>1127</v>
      </c>
      <c r="C7" s="2777" t="s">
        <v>1532</v>
      </c>
      <c r="D7" s="1504" t="s">
        <v>53</v>
      </c>
      <c r="E7" s="2777"/>
      <c r="F7" s="475">
        <v>1390.6</v>
      </c>
      <c r="G7" s="1575"/>
      <c r="H7" s="475"/>
      <c r="I7" s="2339"/>
      <c r="J7" s="2339">
        <f>+F7+H7</f>
        <v>1390.6</v>
      </c>
      <c r="K7" s="1575"/>
      <c r="L7" s="1575"/>
      <c r="M7" s="2422"/>
      <c r="N7" s="2338">
        <f>+J7+L7</f>
        <v>1390.6</v>
      </c>
      <c r="O7" s="1575"/>
      <c r="P7" s="475">
        <v>0</v>
      </c>
      <c r="Q7" s="644"/>
      <c r="R7" s="1586">
        <f>+N7+P7</f>
        <v>1390.6</v>
      </c>
      <c r="S7" s="1575"/>
      <c r="T7" s="475">
        <v>0</v>
      </c>
      <c r="U7" s="644"/>
      <c r="V7" s="1586">
        <f>+R7+T7</f>
        <v>1390.6</v>
      </c>
      <c r="W7" s="1575"/>
      <c r="X7" s="475">
        <v>5384.4849999999997</v>
      </c>
      <c r="Y7" s="2422"/>
      <c r="Z7" s="2338">
        <f>+P7+T7+X7</f>
        <v>5384.4849999999997</v>
      </c>
      <c r="AA7" s="1282"/>
      <c r="AB7" s="1854">
        <f>+N7+Z7</f>
        <v>6775.0849999999991</v>
      </c>
      <c r="AC7" s="1575"/>
      <c r="AD7" s="3189">
        <v>98.16</v>
      </c>
      <c r="AE7" s="644"/>
      <c r="AF7" s="3169">
        <f>+AB7+AD7</f>
        <v>6873.244999999999</v>
      </c>
      <c r="AG7" s="1575"/>
      <c r="AH7" s="3327">
        <v>0</v>
      </c>
      <c r="AI7" s="644"/>
      <c r="AJ7" s="3326">
        <f>+AF7+AH7</f>
        <v>6873.244999999999</v>
      </c>
      <c r="AK7" s="1575"/>
      <c r="AL7" s="3601">
        <v>0</v>
      </c>
      <c r="AM7" s="2422"/>
      <c r="AN7" s="3600">
        <f>+AD7+AH7+AL7</f>
        <v>98.16</v>
      </c>
      <c r="AO7" s="644"/>
      <c r="AP7" s="3612">
        <f>+AJ7+AL7</f>
        <v>6873.244999999999</v>
      </c>
      <c r="AQ7" s="1575"/>
      <c r="AR7" s="3873">
        <v>42.700999999999993</v>
      </c>
      <c r="AS7" s="644"/>
      <c r="AT7" s="3894">
        <f>+AP7+AR7</f>
        <v>6915.945999999999</v>
      </c>
      <c r="AU7" s="1575"/>
      <c r="AV7" s="4061">
        <v>1965.04</v>
      </c>
      <c r="AW7" s="644"/>
      <c r="AX7" s="4081">
        <f>+AT7+AV7</f>
        <v>8880.985999999999</v>
      </c>
      <c r="AY7" s="1575"/>
      <c r="AZ7" s="4379"/>
      <c r="BA7" s="2422"/>
      <c r="BB7" s="4380">
        <f>+AR7+AV7+AZ7</f>
        <v>2007.741</v>
      </c>
      <c r="BC7" s="1282"/>
      <c r="BD7" s="1854">
        <f>+BB7+AN7</f>
        <v>2105.9009999999998</v>
      </c>
      <c r="BE7" s="644"/>
      <c r="BF7" s="4409">
        <f>+AX7+AZ7</f>
        <v>8880.985999999999</v>
      </c>
    </row>
    <row r="8" spans="1:60" s="334" customFormat="1" ht="15.75" x14ac:dyDescent="0.25">
      <c r="B8" s="2776" t="s">
        <v>1127</v>
      </c>
      <c r="C8" s="2777" t="s">
        <v>1449</v>
      </c>
      <c r="D8" s="3621" t="s">
        <v>53</v>
      </c>
      <c r="E8" s="2777"/>
      <c r="F8" s="4092"/>
      <c r="G8" s="1575"/>
      <c r="H8" s="4092"/>
      <c r="I8" s="4094"/>
      <c r="J8" s="4094"/>
      <c r="K8" s="1575"/>
      <c r="L8" s="1575"/>
      <c r="M8" s="2422"/>
      <c r="N8" s="4093"/>
      <c r="O8" s="1575"/>
      <c r="P8" s="4092"/>
      <c r="Q8" s="644"/>
      <c r="R8" s="4096"/>
      <c r="S8" s="1575"/>
      <c r="T8" s="4092"/>
      <c r="U8" s="644"/>
      <c r="V8" s="4096"/>
      <c r="W8" s="1575"/>
      <c r="X8" s="4092"/>
      <c r="Y8" s="2422"/>
      <c r="Z8" s="4093"/>
      <c r="AA8" s="1282"/>
      <c r="AB8" s="1854"/>
      <c r="AC8" s="1575"/>
      <c r="AD8" s="4092"/>
      <c r="AE8" s="644"/>
      <c r="AF8" s="4096"/>
      <c r="AG8" s="1575"/>
      <c r="AH8" s="4092"/>
      <c r="AI8" s="644"/>
      <c r="AJ8" s="4096"/>
      <c r="AK8" s="1575"/>
      <c r="AL8" s="4092"/>
      <c r="AM8" s="2422"/>
      <c r="AN8" s="4093"/>
      <c r="AO8" s="644"/>
      <c r="AP8" s="4096"/>
      <c r="AQ8" s="1575"/>
      <c r="AR8" s="4092"/>
      <c r="AS8" s="644"/>
      <c r="AT8" s="4096"/>
      <c r="AU8" s="1575"/>
      <c r="AV8" s="4092">
        <v>604.93999999999994</v>
      </c>
      <c r="AW8" s="644"/>
      <c r="AX8" s="4096">
        <f t="shared" ref="AX8:AX43" si="0">+AT8+AV8</f>
        <v>604.93999999999994</v>
      </c>
      <c r="AY8" s="1575"/>
      <c r="AZ8" s="4379"/>
      <c r="BA8" s="2422"/>
      <c r="BB8" s="4558">
        <f t="shared" ref="BB8:BB43" si="1">+AR8+AV8+AZ8</f>
        <v>604.93999999999994</v>
      </c>
      <c r="BC8" s="1282"/>
      <c r="BD8" s="1854">
        <f t="shared" ref="BD8:BD43" si="2">+BB8+AN8</f>
        <v>604.93999999999994</v>
      </c>
      <c r="BE8" s="644"/>
      <c r="BF8" s="4564">
        <f t="shared" ref="BF8:BF43" si="3">+AX8+AZ8</f>
        <v>604.93999999999994</v>
      </c>
    </row>
    <row r="9" spans="1:60" s="334" customFormat="1" ht="15.75" x14ac:dyDescent="0.25">
      <c r="B9" s="2776" t="s">
        <v>1127</v>
      </c>
      <c r="C9" s="2777" t="s">
        <v>1533</v>
      </c>
      <c r="D9" s="1504" t="s">
        <v>53</v>
      </c>
      <c r="E9" s="2777"/>
      <c r="F9" s="475"/>
      <c r="G9" s="1575"/>
      <c r="H9" s="475"/>
      <c r="I9" s="2339"/>
      <c r="J9" s="2339">
        <f t="shared" ref="J9:J43" si="4">+F9+H9</f>
        <v>0</v>
      </c>
      <c r="K9" s="1575"/>
      <c r="L9" s="1575"/>
      <c r="M9" s="2422"/>
      <c r="N9" s="2338">
        <f t="shared" ref="N9:N26" si="5">+J9+L9</f>
        <v>0</v>
      </c>
      <c r="O9" s="1575"/>
      <c r="P9" s="475">
        <f>1024.545-20.8</f>
        <v>1003.7450000000001</v>
      </c>
      <c r="Q9" s="644"/>
      <c r="R9" s="1586">
        <f>+N9+P9</f>
        <v>1003.7450000000001</v>
      </c>
      <c r="S9" s="1575"/>
      <c r="T9" s="475">
        <v>0</v>
      </c>
      <c r="U9" s="644"/>
      <c r="V9" s="1586">
        <f t="shared" ref="V9:V43" si="6">+R9+T9</f>
        <v>1003.7450000000001</v>
      </c>
      <c r="W9" s="1575"/>
      <c r="X9" s="475">
        <v>0</v>
      </c>
      <c r="Y9" s="2422"/>
      <c r="Z9" s="2338">
        <f t="shared" ref="Z9:Z51" si="7">+P9+T9+X9</f>
        <v>1003.7450000000001</v>
      </c>
      <c r="AA9" s="1282"/>
      <c r="AB9" s="1854">
        <f t="shared" ref="AB9:AB51" si="8">+N9+Z9</f>
        <v>1003.7450000000001</v>
      </c>
      <c r="AC9" s="1575"/>
      <c r="AD9" s="3189">
        <v>0</v>
      </c>
      <c r="AE9" s="644"/>
      <c r="AF9" s="3169">
        <f t="shared" ref="AF9:AF43" si="9">+AB9+AD9</f>
        <v>1003.7450000000001</v>
      </c>
      <c r="AG9" s="1575"/>
      <c r="AH9" s="3327">
        <v>0</v>
      </c>
      <c r="AI9" s="644"/>
      <c r="AJ9" s="3326">
        <f t="shared" ref="AJ9:AJ43" si="10">+AF9+AH9</f>
        <v>1003.7450000000001</v>
      </c>
      <c r="AK9" s="1575"/>
      <c r="AL9" s="3601">
        <v>0</v>
      </c>
      <c r="AM9" s="2422"/>
      <c r="AN9" s="3600">
        <f t="shared" ref="AN9:AN43" si="11">+AD9+AH9+AL9</f>
        <v>0</v>
      </c>
      <c r="AO9" s="644"/>
      <c r="AP9" s="3612">
        <f t="shared" ref="AP9:AP43" si="12">+AJ9+AL9</f>
        <v>1003.7450000000001</v>
      </c>
      <c r="AQ9" s="1575"/>
      <c r="AR9" s="3873"/>
      <c r="AS9" s="644"/>
      <c r="AT9" s="3894">
        <f t="shared" ref="AT9:AT43" si="13">+AP9+AR9</f>
        <v>1003.7450000000001</v>
      </c>
      <c r="AU9" s="1575"/>
      <c r="AV9" s="4061">
        <v>621.59999999999991</v>
      </c>
      <c r="AW9" s="644"/>
      <c r="AX9" s="4096">
        <f t="shared" si="0"/>
        <v>1625.345</v>
      </c>
      <c r="AY9" s="1575"/>
      <c r="AZ9" s="4379"/>
      <c r="BA9" s="2422"/>
      <c r="BB9" s="4558">
        <f t="shared" si="1"/>
        <v>621.59999999999991</v>
      </c>
      <c r="BC9" s="1282"/>
      <c r="BD9" s="1854">
        <f t="shared" si="2"/>
        <v>621.59999999999991</v>
      </c>
      <c r="BE9" s="644"/>
      <c r="BF9" s="4564">
        <f t="shared" si="3"/>
        <v>1625.345</v>
      </c>
    </row>
    <row r="10" spans="1:60" s="334" customFormat="1" ht="15.75" x14ac:dyDescent="0.25">
      <c r="B10" s="2776" t="s">
        <v>1162</v>
      </c>
      <c r="C10" s="2777" t="s">
        <v>1532</v>
      </c>
      <c r="D10" s="1504" t="s">
        <v>53</v>
      </c>
      <c r="E10" s="470"/>
      <c r="F10" s="470"/>
      <c r="G10" s="470"/>
      <c r="H10" s="475">
        <v>4057.28</v>
      </c>
      <c r="I10" s="2339"/>
      <c r="J10" s="2339">
        <f t="shared" si="4"/>
        <v>4057.28</v>
      </c>
      <c r="K10" s="470"/>
      <c r="L10" s="470"/>
      <c r="M10" s="2422"/>
      <c r="N10" s="2338">
        <f t="shared" si="5"/>
        <v>4057.28</v>
      </c>
      <c r="O10" s="470"/>
      <c r="P10" s="475">
        <v>3014.33</v>
      </c>
      <c r="Q10" s="644"/>
      <c r="R10" s="1586">
        <f t="shared" ref="R10:R43" si="14">+N10+P10</f>
        <v>7071.6100000000006</v>
      </c>
      <c r="S10" s="470"/>
      <c r="T10" s="475">
        <v>0</v>
      </c>
      <c r="U10" s="644"/>
      <c r="V10" s="1586">
        <f t="shared" si="6"/>
        <v>7071.6100000000006</v>
      </c>
      <c r="W10" s="470"/>
      <c r="X10" s="475">
        <v>0</v>
      </c>
      <c r="Y10" s="2422"/>
      <c r="Z10" s="2338">
        <f t="shared" si="7"/>
        <v>3014.33</v>
      </c>
      <c r="AA10" s="1282"/>
      <c r="AB10" s="1854">
        <f t="shared" si="8"/>
        <v>7071.6100000000006</v>
      </c>
      <c r="AC10" s="470"/>
      <c r="AD10" s="3189">
        <v>4669.5829999999996</v>
      </c>
      <c r="AE10" s="644"/>
      <c r="AF10" s="3169">
        <f t="shared" si="9"/>
        <v>11741.192999999999</v>
      </c>
      <c r="AG10" s="470"/>
      <c r="AH10" s="3327">
        <v>0</v>
      </c>
      <c r="AI10" s="644"/>
      <c r="AJ10" s="3326">
        <f t="shared" si="10"/>
        <v>11741.192999999999</v>
      </c>
      <c r="AK10" s="470"/>
      <c r="AL10" s="3601">
        <v>4505.1350000000002</v>
      </c>
      <c r="AM10" s="2422"/>
      <c r="AN10" s="3600">
        <f t="shared" si="11"/>
        <v>9174.7180000000008</v>
      </c>
      <c r="AO10" s="644"/>
      <c r="AP10" s="3612">
        <f t="shared" si="12"/>
        <v>16246.328</v>
      </c>
      <c r="AQ10" s="470"/>
      <c r="AR10" s="3873"/>
      <c r="AS10" s="644"/>
      <c r="AT10" s="3894">
        <f t="shared" si="13"/>
        <v>16246.328</v>
      </c>
      <c r="AU10" s="470"/>
      <c r="AV10" s="4061"/>
      <c r="AW10" s="644"/>
      <c r="AX10" s="4096">
        <f t="shared" si="0"/>
        <v>16246.328</v>
      </c>
      <c r="AY10" s="470"/>
      <c r="AZ10" s="4379"/>
      <c r="BA10" s="2422"/>
      <c r="BB10" s="4558">
        <f t="shared" si="1"/>
        <v>0</v>
      </c>
      <c r="BC10" s="1282"/>
      <c r="BD10" s="1854">
        <f t="shared" si="2"/>
        <v>9174.7180000000008</v>
      </c>
      <c r="BE10" s="644"/>
      <c r="BF10" s="4564">
        <f t="shared" si="3"/>
        <v>16246.328</v>
      </c>
    </row>
    <row r="11" spans="1:60" s="334" customFormat="1" ht="15.75" x14ac:dyDescent="0.25">
      <c r="B11" s="2776" t="s">
        <v>1162</v>
      </c>
      <c r="C11" s="2777" t="s">
        <v>1534</v>
      </c>
      <c r="D11" s="3621" t="s">
        <v>53</v>
      </c>
      <c r="E11" s="470"/>
      <c r="F11" s="470"/>
      <c r="G11" s="470"/>
      <c r="H11" s="3601"/>
      <c r="I11" s="3597"/>
      <c r="J11" s="3597"/>
      <c r="K11" s="470"/>
      <c r="L11" s="470"/>
      <c r="M11" s="2422"/>
      <c r="N11" s="3600"/>
      <c r="O11" s="470"/>
      <c r="P11" s="3601"/>
      <c r="Q11" s="644"/>
      <c r="R11" s="3612"/>
      <c r="S11" s="470"/>
      <c r="T11" s="3601"/>
      <c r="U11" s="644"/>
      <c r="V11" s="3612"/>
      <c r="W11" s="470"/>
      <c r="X11" s="3601"/>
      <c r="Y11" s="2422"/>
      <c r="Z11" s="3600"/>
      <c r="AA11" s="1282"/>
      <c r="AB11" s="1854"/>
      <c r="AC11" s="470"/>
      <c r="AD11" s="3601"/>
      <c r="AE11" s="644"/>
      <c r="AF11" s="3612"/>
      <c r="AG11" s="470"/>
      <c r="AH11" s="3601"/>
      <c r="AI11" s="644"/>
      <c r="AJ11" s="3612"/>
      <c r="AK11" s="470"/>
      <c r="AL11" s="3601">
        <v>1076.3599999999999</v>
      </c>
      <c r="AM11" s="2422"/>
      <c r="AN11" s="3600">
        <f t="shared" si="11"/>
        <v>1076.3599999999999</v>
      </c>
      <c r="AO11" s="644"/>
      <c r="AP11" s="3612">
        <f t="shared" si="12"/>
        <v>1076.3599999999999</v>
      </c>
      <c r="AQ11" s="470"/>
      <c r="AR11" s="3873"/>
      <c r="AS11" s="644"/>
      <c r="AT11" s="3894">
        <f t="shared" si="13"/>
        <v>1076.3599999999999</v>
      </c>
      <c r="AU11" s="470"/>
      <c r="AV11" s="4061"/>
      <c r="AW11" s="644"/>
      <c r="AX11" s="4096">
        <f t="shared" si="0"/>
        <v>1076.3599999999999</v>
      </c>
      <c r="AY11" s="470"/>
      <c r="AZ11" s="4379"/>
      <c r="BA11" s="2422"/>
      <c r="BB11" s="4558">
        <f t="shared" si="1"/>
        <v>0</v>
      </c>
      <c r="BC11" s="1282"/>
      <c r="BD11" s="1854">
        <f t="shared" si="2"/>
        <v>1076.3599999999999</v>
      </c>
      <c r="BE11" s="644"/>
      <c r="BF11" s="4564">
        <f t="shared" si="3"/>
        <v>1076.3599999999999</v>
      </c>
    </row>
    <row r="12" spans="1:60" s="334" customFormat="1" ht="15.75" x14ac:dyDescent="0.25">
      <c r="B12" s="2776" t="s">
        <v>1162</v>
      </c>
      <c r="C12" s="2777" t="s">
        <v>1533</v>
      </c>
      <c r="D12" s="1504" t="s">
        <v>53</v>
      </c>
      <c r="E12" s="470"/>
      <c r="F12" s="470"/>
      <c r="G12" s="470"/>
      <c r="H12" s="3189"/>
      <c r="I12" s="3187"/>
      <c r="J12" s="3187"/>
      <c r="K12" s="470"/>
      <c r="L12" s="470"/>
      <c r="M12" s="2422"/>
      <c r="N12" s="3188"/>
      <c r="O12" s="470"/>
      <c r="P12" s="3189"/>
      <c r="Q12" s="644"/>
      <c r="R12" s="3190"/>
      <c r="S12" s="470"/>
      <c r="T12" s="3189"/>
      <c r="U12" s="644"/>
      <c r="V12" s="3190"/>
      <c r="W12" s="470"/>
      <c r="X12" s="3189"/>
      <c r="Y12" s="2422"/>
      <c r="Z12" s="3188">
        <f t="shared" ref="Z12" si="15">+P12+T12+X12</f>
        <v>0</v>
      </c>
      <c r="AA12" s="1282"/>
      <c r="AB12" s="1854">
        <f t="shared" ref="AB12" si="16">+N12+Z12</f>
        <v>0</v>
      </c>
      <c r="AC12" s="470"/>
      <c r="AD12" s="3189">
        <v>1341.52</v>
      </c>
      <c r="AE12" s="644"/>
      <c r="AF12" s="3190">
        <f t="shared" si="9"/>
        <v>1341.52</v>
      </c>
      <c r="AG12" s="470"/>
      <c r="AH12" s="3327">
        <v>0</v>
      </c>
      <c r="AI12" s="644"/>
      <c r="AJ12" s="3326">
        <f t="shared" si="10"/>
        <v>1341.52</v>
      </c>
      <c r="AK12" s="470"/>
      <c r="AL12" s="3601">
        <v>1413.0949999999998</v>
      </c>
      <c r="AM12" s="2422"/>
      <c r="AN12" s="3600">
        <f t="shared" si="11"/>
        <v>2754.6149999999998</v>
      </c>
      <c r="AO12" s="644"/>
      <c r="AP12" s="3612">
        <f t="shared" si="12"/>
        <v>2754.6149999999998</v>
      </c>
      <c r="AQ12" s="470"/>
      <c r="AR12" s="3873"/>
      <c r="AS12" s="644"/>
      <c r="AT12" s="3894">
        <f t="shared" si="13"/>
        <v>2754.6149999999998</v>
      </c>
      <c r="AU12" s="470"/>
      <c r="AV12" s="4061"/>
      <c r="AW12" s="644"/>
      <c r="AX12" s="4096">
        <f t="shared" si="0"/>
        <v>2754.6149999999998</v>
      </c>
      <c r="AY12" s="470"/>
      <c r="AZ12" s="4379"/>
      <c r="BA12" s="2422"/>
      <c r="BB12" s="4558">
        <f t="shared" si="1"/>
        <v>0</v>
      </c>
      <c r="BC12" s="1282"/>
      <c r="BD12" s="1854">
        <f t="shared" si="2"/>
        <v>2754.6149999999998</v>
      </c>
      <c r="BE12" s="644"/>
      <c r="BF12" s="4564">
        <f t="shared" si="3"/>
        <v>2754.6149999999998</v>
      </c>
    </row>
    <row r="13" spans="1:60" ht="15.75" x14ac:dyDescent="0.25">
      <c r="A13" s="48"/>
      <c r="B13" s="2776" t="s">
        <v>1126</v>
      </c>
      <c r="C13" s="2777" t="s">
        <v>1532</v>
      </c>
      <c r="D13" s="1504" t="s">
        <v>53</v>
      </c>
      <c r="E13" s="2701"/>
      <c r="F13" s="475">
        <v>7715.79</v>
      </c>
      <c r="G13" s="238"/>
      <c r="H13" s="475"/>
      <c r="I13" s="2339"/>
      <c r="J13" s="2339">
        <f t="shared" si="4"/>
        <v>7715.79</v>
      </c>
      <c r="K13" s="238"/>
      <c r="L13" s="238">
        <v>9650.3550000000014</v>
      </c>
      <c r="M13" s="2422"/>
      <c r="N13" s="2338">
        <f t="shared" si="5"/>
        <v>17366.145</v>
      </c>
      <c r="O13" s="238"/>
      <c r="P13" s="238">
        <v>4713.7250000000004</v>
      </c>
      <c r="Q13" s="2339"/>
      <c r="R13" s="1586">
        <f t="shared" si="14"/>
        <v>22079.870000000003</v>
      </c>
      <c r="S13" s="238"/>
      <c r="T13" s="238">
        <v>14188.210000000001</v>
      </c>
      <c r="U13" s="2339"/>
      <c r="V13" s="1586">
        <f t="shared" si="6"/>
        <v>36268.080000000002</v>
      </c>
      <c r="W13" s="238"/>
      <c r="X13" s="238">
        <f>14045.06-9.6</f>
        <v>14035.46</v>
      </c>
      <c r="Y13" s="2422"/>
      <c r="Z13" s="2338">
        <f t="shared" si="7"/>
        <v>32937.395000000004</v>
      </c>
      <c r="AA13" s="1134"/>
      <c r="AB13" s="1854">
        <f t="shared" si="8"/>
        <v>50303.540000000008</v>
      </c>
      <c r="AC13" s="238"/>
      <c r="AD13" s="3189">
        <v>14946.904999999999</v>
      </c>
      <c r="AE13" s="3163"/>
      <c r="AF13" s="3169">
        <f t="shared" si="9"/>
        <v>65250.445000000007</v>
      </c>
      <c r="AG13" s="238"/>
      <c r="AH13" s="3327">
        <v>14917.82</v>
      </c>
      <c r="AI13" s="3321"/>
      <c r="AJ13" s="3326">
        <f t="shared" si="10"/>
        <v>80168.265000000014</v>
      </c>
      <c r="AK13" s="3640"/>
      <c r="AL13" s="3601">
        <v>13895.775</v>
      </c>
      <c r="AM13" s="2422"/>
      <c r="AN13" s="3600">
        <f t="shared" si="11"/>
        <v>43760.5</v>
      </c>
      <c r="AO13" s="644"/>
      <c r="AP13" s="3612">
        <f t="shared" si="12"/>
        <v>94064.040000000008</v>
      </c>
      <c r="AQ13" s="3872"/>
      <c r="AR13" s="3873">
        <v>12887.655000000001</v>
      </c>
      <c r="AS13" s="3874"/>
      <c r="AT13" s="3894">
        <f t="shared" si="13"/>
        <v>106951.69500000001</v>
      </c>
      <c r="AU13" s="4060"/>
      <c r="AV13" s="4061">
        <v>9961.2099999999991</v>
      </c>
      <c r="AW13" s="4062"/>
      <c r="AX13" s="4096">
        <f t="shared" si="0"/>
        <v>116912.905</v>
      </c>
      <c r="AY13" s="4378"/>
      <c r="AZ13" s="4556">
        <v>12628.63</v>
      </c>
      <c r="BA13" s="2422"/>
      <c r="BB13" s="4558">
        <f t="shared" si="1"/>
        <v>35477.494999999995</v>
      </c>
      <c r="BC13" s="1282"/>
      <c r="BD13" s="1854">
        <f t="shared" si="2"/>
        <v>79237.994999999995</v>
      </c>
      <c r="BE13" s="644"/>
      <c r="BF13" s="4564">
        <f t="shared" si="3"/>
        <v>129541.535</v>
      </c>
    </row>
    <row r="14" spans="1:60" s="1482" customFormat="1" ht="15.75" x14ac:dyDescent="0.25">
      <c r="A14" s="48"/>
      <c r="B14" s="2776" t="s">
        <v>1126</v>
      </c>
      <c r="C14" s="2777" t="s">
        <v>1449</v>
      </c>
      <c r="D14" s="1504" t="s">
        <v>53</v>
      </c>
      <c r="E14" s="2701"/>
      <c r="F14" s="475"/>
      <c r="G14" s="238"/>
      <c r="H14" s="475"/>
      <c r="I14" s="2339"/>
      <c r="J14" s="2339">
        <f t="shared" si="4"/>
        <v>0</v>
      </c>
      <c r="K14" s="238"/>
      <c r="L14" s="238">
        <v>2139.0699999999997</v>
      </c>
      <c r="M14" s="2422"/>
      <c r="N14" s="2338">
        <f t="shared" si="5"/>
        <v>2139.0699999999997</v>
      </c>
      <c r="O14" s="238"/>
      <c r="P14" s="238">
        <v>2803.6949999999997</v>
      </c>
      <c r="Q14" s="2339"/>
      <c r="R14" s="1586">
        <f t="shared" si="14"/>
        <v>4942.7649999999994</v>
      </c>
      <c r="S14" s="238"/>
      <c r="T14" s="238">
        <v>1366.06</v>
      </c>
      <c r="U14" s="2339"/>
      <c r="V14" s="1586">
        <f t="shared" si="6"/>
        <v>6308.8249999999989</v>
      </c>
      <c r="W14" s="238"/>
      <c r="X14" s="238">
        <v>2073.63</v>
      </c>
      <c r="Y14" s="2422"/>
      <c r="Z14" s="2338">
        <f t="shared" si="7"/>
        <v>6243.3849999999993</v>
      </c>
      <c r="AA14" s="1134"/>
      <c r="AB14" s="1854">
        <f t="shared" si="8"/>
        <v>8382.4549999999981</v>
      </c>
      <c r="AC14" s="238"/>
      <c r="AD14" s="3189">
        <v>1388.5550000000001</v>
      </c>
      <c r="AE14" s="3163"/>
      <c r="AF14" s="3169">
        <f t="shared" si="9"/>
        <v>9771.0099999999984</v>
      </c>
      <c r="AG14" s="238"/>
      <c r="AH14" s="3327">
        <v>640.08499999999992</v>
      </c>
      <c r="AI14" s="3321"/>
      <c r="AJ14" s="3326">
        <f t="shared" si="10"/>
        <v>10411.094999999998</v>
      </c>
      <c r="AK14" s="3640"/>
      <c r="AL14" s="3601">
        <v>1034.77</v>
      </c>
      <c r="AM14" s="2422"/>
      <c r="AN14" s="3600">
        <f t="shared" si="11"/>
        <v>3063.41</v>
      </c>
      <c r="AO14" s="644"/>
      <c r="AP14" s="3612">
        <f t="shared" si="12"/>
        <v>11445.864999999998</v>
      </c>
      <c r="AQ14" s="3872"/>
      <c r="AR14" s="3873">
        <v>1029.71</v>
      </c>
      <c r="AS14" s="3874"/>
      <c r="AT14" s="3894">
        <f t="shared" si="13"/>
        <v>12475.574999999997</v>
      </c>
      <c r="AU14" s="4060"/>
      <c r="AV14" s="4061">
        <v>921.61999999999989</v>
      </c>
      <c r="AW14" s="4062"/>
      <c r="AX14" s="4096">
        <f t="shared" si="0"/>
        <v>13397.194999999996</v>
      </c>
      <c r="AY14" s="4378"/>
      <c r="AZ14" s="4556"/>
      <c r="BA14" s="2422"/>
      <c r="BB14" s="4558">
        <f t="shared" si="1"/>
        <v>1951.33</v>
      </c>
      <c r="BC14" s="1282"/>
      <c r="BD14" s="1854">
        <f t="shared" si="2"/>
        <v>5014.74</v>
      </c>
      <c r="BE14" s="644"/>
      <c r="BF14" s="4564">
        <f t="shared" si="3"/>
        <v>13397.194999999996</v>
      </c>
    </row>
    <row r="15" spans="1:60" s="1726" customFormat="1" ht="15.75" x14ac:dyDescent="0.25">
      <c r="A15" s="48"/>
      <c r="B15" s="2776" t="s">
        <v>1126</v>
      </c>
      <c r="C15" s="2777" t="s">
        <v>1745</v>
      </c>
      <c r="D15" s="3621" t="s">
        <v>53</v>
      </c>
      <c r="E15" s="2701"/>
      <c r="F15" s="3601"/>
      <c r="G15" s="3640"/>
      <c r="H15" s="3601"/>
      <c r="I15" s="3597"/>
      <c r="J15" s="3597"/>
      <c r="K15" s="3640"/>
      <c r="L15" s="3640"/>
      <c r="M15" s="2422"/>
      <c r="N15" s="3600"/>
      <c r="O15" s="3640"/>
      <c r="P15" s="3640"/>
      <c r="Q15" s="3597"/>
      <c r="R15" s="3612"/>
      <c r="S15" s="3640"/>
      <c r="T15" s="3640"/>
      <c r="U15" s="3597"/>
      <c r="V15" s="3612"/>
      <c r="W15" s="3640"/>
      <c r="X15" s="3640"/>
      <c r="Y15" s="2422"/>
      <c r="Z15" s="3600"/>
      <c r="AA15" s="3641"/>
      <c r="AB15" s="1854"/>
      <c r="AC15" s="3640"/>
      <c r="AD15" s="3601"/>
      <c r="AE15" s="3597"/>
      <c r="AF15" s="3612"/>
      <c r="AG15" s="3640"/>
      <c r="AH15" s="3601"/>
      <c r="AI15" s="3597"/>
      <c r="AJ15" s="3612"/>
      <c r="AK15" s="3640"/>
      <c r="AL15" s="3601">
        <v>1059.31</v>
      </c>
      <c r="AM15" s="2422"/>
      <c r="AN15" s="3600">
        <f t="shared" si="11"/>
        <v>1059.31</v>
      </c>
      <c r="AO15" s="644"/>
      <c r="AP15" s="3612">
        <f t="shared" si="12"/>
        <v>1059.31</v>
      </c>
      <c r="AQ15" s="3872"/>
      <c r="AR15" s="3873"/>
      <c r="AS15" s="3874"/>
      <c r="AT15" s="3894">
        <f t="shared" si="13"/>
        <v>1059.31</v>
      </c>
      <c r="AU15" s="4060"/>
      <c r="AV15" s="4061"/>
      <c r="AW15" s="4062"/>
      <c r="AX15" s="4096">
        <f t="shared" si="0"/>
        <v>1059.31</v>
      </c>
      <c r="AY15" s="4378"/>
      <c r="AZ15" s="4556"/>
      <c r="BA15" s="2422"/>
      <c r="BB15" s="4558">
        <f t="shared" si="1"/>
        <v>0</v>
      </c>
      <c r="BC15" s="1282"/>
      <c r="BD15" s="1854">
        <f t="shared" si="2"/>
        <v>1059.31</v>
      </c>
      <c r="BE15" s="644"/>
      <c r="BF15" s="4564">
        <f t="shared" si="3"/>
        <v>1059.31</v>
      </c>
      <c r="BH15" s="4090">
        <f>+AZ13+AZ17</f>
        <v>14086.169999999998</v>
      </c>
    </row>
    <row r="16" spans="1:60" s="1623" customFormat="1" ht="15.75" x14ac:dyDescent="0.25">
      <c r="A16" s="48"/>
      <c r="B16" s="2776" t="s">
        <v>1126</v>
      </c>
      <c r="C16" s="2777" t="s">
        <v>1534</v>
      </c>
      <c r="D16" s="1504" t="s">
        <v>53</v>
      </c>
      <c r="E16" s="2701"/>
      <c r="F16" s="475"/>
      <c r="G16" s="238"/>
      <c r="H16" s="475"/>
      <c r="I16" s="2339"/>
      <c r="J16" s="2339">
        <f t="shared" si="4"/>
        <v>0</v>
      </c>
      <c r="K16" s="238"/>
      <c r="L16" s="238"/>
      <c r="M16" s="2422"/>
      <c r="N16" s="2338">
        <f t="shared" si="5"/>
        <v>0</v>
      </c>
      <c r="O16" s="238"/>
      <c r="P16" s="238">
        <v>1253.585</v>
      </c>
      <c r="Q16" s="2339"/>
      <c r="R16" s="1586">
        <f t="shared" si="14"/>
        <v>1253.585</v>
      </c>
      <c r="S16" s="238"/>
      <c r="T16" s="475">
        <v>0</v>
      </c>
      <c r="U16" s="2339"/>
      <c r="V16" s="1586">
        <f t="shared" si="6"/>
        <v>1253.585</v>
      </c>
      <c r="W16" s="238"/>
      <c r="X16" s="3103">
        <v>0</v>
      </c>
      <c r="Y16" s="2422"/>
      <c r="Z16" s="2338">
        <f t="shared" si="7"/>
        <v>1253.585</v>
      </c>
      <c r="AA16" s="1134"/>
      <c r="AB16" s="1854">
        <f t="shared" si="8"/>
        <v>1253.585</v>
      </c>
      <c r="AC16" s="238"/>
      <c r="AD16" s="3189">
        <v>0</v>
      </c>
      <c r="AE16" s="3163"/>
      <c r="AF16" s="3169">
        <f t="shared" si="9"/>
        <v>1253.585</v>
      </c>
      <c r="AG16" s="238"/>
      <c r="AH16" s="3327">
        <v>0</v>
      </c>
      <c r="AI16" s="3321"/>
      <c r="AJ16" s="3326">
        <f t="shared" si="10"/>
        <v>1253.585</v>
      </c>
      <c r="AK16" s="3640"/>
      <c r="AL16" s="3601">
        <v>0</v>
      </c>
      <c r="AM16" s="2422"/>
      <c r="AN16" s="3600">
        <f t="shared" si="11"/>
        <v>0</v>
      </c>
      <c r="AO16" s="644"/>
      <c r="AP16" s="3612">
        <f t="shared" si="12"/>
        <v>1253.585</v>
      </c>
      <c r="AQ16" s="3872"/>
      <c r="AR16" s="3873"/>
      <c r="AS16" s="3874"/>
      <c r="AT16" s="3894">
        <f t="shared" si="13"/>
        <v>1253.585</v>
      </c>
      <c r="AU16" s="4060"/>
      <c r="AV16" s="4061"/>
      <c r="AW16" s="4062"/>
      <c r="AX16" s="4096">
        <f t="shared" si="0"/>
        <v>1253.585</v>
      </c>
      <c r="AY16" s="4378"/>
      <c r="AZ16" s="4556"/>
      <c r="BA16" s="2422"/>
      <c r="BB16" s="4558">
        <f t="shared" si="1"/>
        <v>0</v>
      </c>
      <c r="BC16" s="1282"/>
      <c r="BD16" s="1854">
        <f t="shared" si="2"/>
        <v>0</v>
      </c>
      <c r="BE16" s="644"/>
      <c r="BF16" s="4564">
        <f t="shared" si="3"/>
        <v>1253.585</v>
      </c>
    </row>
    <row r="17" spans="1:60" ht="15" customHeight="1" x14ac:dyDescent="0.25">
      <c r="B17" s="2776" t="s">
        <v>1126</v>
      </c>
      <c r="C17" s="2777" t="s">
        <v>1533</v>
      </c>
      <c r="D17" s="1504" t="s">
        <v>53</v>
      </c>
      <c r="E17" s="2701"/>
      <c r="F17" s="475">
        <v>1560.34</v>
      </c>
      <c r="G17" s="238"/>
      <c r="H17" s="369"/>
      <c r="I17" s="2339"/>
      <c r="J17" s="2339">
        <f t="shared" si="4"/>
        <v>1560.34</v>
      </c>
      <c r="K17" s="238"/>
      <c r="L17" s="238">
        <v>946.83499999999992</v>
      </c>
      <c r="M17" s="2422"/>
      <c r="N17" s="2338">
        <f t="shared" si="5"/>
        <v>2507.1749999999997</v>
      </c>
      <c r="O17" s="238"/>
      <c r="P17" s="475">
        <v>1650.3150000000001</v>
      </c>
      <c r="Q17" s="2339"/>
      <c r="R17" s="1586">
        <f t="shared" si="14"/>
        <v>4157.49</v>
      </c>
      <c r="S17" s="238"/>
      <c r="T17" s="475">
        <f>1723.935-39</f>
        <v>1684.9349999999999</v>
      </c>
      <c r="U17" s="2339"/>
      <c r="V17" s="1586">
        <f t="shared" si="6"/>
        <v>5842.4249999999993</v>
      </c>
      <c r="W17" s="238"/>
      <c r="X17" s="3103">
        <v>1044.9949999999999</v>
      </c>
      <c r="Y17" s="2422"/>
      <c r="Z17" s="2338">
        <f t="shared" si="7"/>
        <v>4380.2449999999999</v>
      </c>
      <c r="AA17" s="1134"/>
      <c r="AB17" s="1854">
        <f t="shared" si="8"/>
        <v>6887.42</v>
      </c>
      <c r="AC17" s="238"/>
      <c r="AD17" s="3189">
        <v>4026.6049999999996</v>
      </c>
      <c r="AE17" s="3163"/>
      <c r="AF17" s="3169">
        <f t="shared" si="9"/>
        <v>10914.025</v>
      </c>
      <c r="AG17" s="238"/>
      <c r="AH17" s="3327">
        <v>2648.2749999999996</v>
      </c>
      <c r="AI17" s="3321"/>
      <c r="AJ17" s="3326">
        <f t="shared" si="10"/>
        <v>13562.3</v>
      </c>
      <c r="AK17" s="3640"/>
      <c r="AL17" s="3601">
        <v>2327.21</v>
      </c>
      <c r="AM17" s="2422"/>
      <c r="AN17" s="3600">
        <f t="shared" si="11"/>
        <v>9002.09</v>
      </c>
      <c r="AO17" s="644"/>
      <c r="AP17" s="3612">
        <f t="shared" si="12"/>
        <v>15889.509999999998</v>
      </c>
      <c r="AQ17" s="3872"/>
      <c r="AR17" s="3873">
        <v>2043.14</v>
      </c>
      <c r="AS17" s="3874"/>
      <c r="AT17" s="3894">
        <f t="shared" si="13"/>
        <v>17932.649999999998</v>
      </c>
      <c r="AU17" s="4060"/>
      <c r="AV17" s="4061">
        <v>1443.33</v>
      </c>
      <c r="AW17" s="4062"/>
      <c r="AX17" s="4096">
        <f t="shared" si="0"/>
        <v>19375.979999999996</v>
      </c>
      <c r="AY17" s="4378"/>
      <c r="AZ17" s="4556">
        <v>1457.54</v>
      </c>
      <c r="BA17" s="2422"/>
      <c r="BB17" s="4558">
        <f t="shared" si="1"/>
        <v>4944.01</v>
      </c>
      <c r="BC17" s="1282"/>
      <c r="BD17" s="1854">
        <f t="shared" si="2"/>
        <v>13946.1</v>
      </c>
      <c r="BE17" s="644"/>
      <c r="BF17" s="4564">
        <f t="shared" si="3"/>
        <v>20833.519999999997</v>
      </c>
    </row>
    <row r="18" spans="1:60" s="1506" customFormat="1" ht="15" customHeight="1" x14ac:dyDescent="0.25">
      <c r="B18" s="2776" t="s">
        <v>1325</v>
      </c>
      <c r="C18" s="2777" t="s">
        <v>1449</v>
      </c>
      <c r="D18" s="1504" t="s">
        <v>53</v>
      </c>
      <c r="E18" s="2701"/>
      <c r="F18" s="475">
        <v>621.67999999999995</v>
      </c>
      <c r="G18" s="238"/>
      <c r="H18" s="369"/>
      <c r="I18" s="2339"/>
      <c r="J18" s="2339">
        <f t="shared" si="4"/>
        <v>621.67999999999995</v>
      </c>
      <c r="K18" s="238"/>
      <c r="L18" s="238"/>
      <c r="M18" s="2422"/>
      <c r="N18" s="2338">
        <f t="shared" si="5"/>
        <v>621.67999999999995</v>
      </c>
      <c r="O18" s="238"/>
      <c r="P18" s="475">
        <v>0</v>
      </c>
      <c r="Q18" s="2339"/>
      <c r="R18" s="1586">
        <f t="shared" si="14"/>
        <v>621.67999999999995</v>
      </c>
      <c r="S18" s="238"/>
      <c r="T18" s="475">
        <v>0</v>
      </c>
      <c r="U18" s="2339"/>
      <c r="V18" s="1586">
        <f t="shared" si="6"/>
        <v>621.67999999999995</v>
      </c>
      <c r="W18" s="238"/>
      <c r="X18" s="475">
        <v>0</v>
      </c>
      <c r="Y18" s="2422"/>
      <c r="Z18" s="2338">
        <f t="shared" si="7"/>
        <v>0</v>
      </c>
      <c r="AA18" s="1134"/>
      <c r="AB18" s="1854">
        <f t="shared" si="8"/>
        <v>621.67999999999995</v>
      </c>
      <c r="AC18" s="238"/>
      <c r="AD18" s="3189">
        <v>0</v>
      </c>
      <c r="AE18" s="3163"/>
      <c r="AF18" s="3169">
        <f t="shared" si="9"/>
        <v>621.67999999999995</v>
      </c>
      <c r="AG18" s="238"/>
      <c r="AH18" s="3327">
        <v>0</v>
      </c>
      <c r="AI18" s="3321"/>
      <c r="AJ18" s="3326">
        <f t="shared" si="10"/>
        <v>621.67999999999995</v>
      </c>
      <c r="AK18" s="3640"/>
      <c r="AL18" s="3601">
        <v>0</v>
      </c>
      <c r="AM18" s="2422"/>
      <c r="AN18" s="3600">
        <f t="shared" si="11"/>
        <v>0</v>
      </c>
      <c r="AO18" s="644"/>
      <c r="AP18" s="3612">
        <f t="shared" si="12"/>
        <v>621.67999999999995</v>
      </c>
      <c r="AQ18" s="3872"/>
      <c r="AR18" s="3873"/>
      <c r="AS18" s="3874"/>
      <c r="AT18" s="3894">
        <f t="shared" si="13"/>
        <v>621.67999999999995</v>
      </c>
      <c r="AU18" s="4060"/>
      <c r="AV18" s="4061"/>
      <c r="AW18" s="4062"/>
      <c r="AX18" s="4096">
        <f t="shared" si="0"/>
        <v>621.67999999999995</v>
      </c>
      <c r="AY18" s="4378"/>
      <c r="AZ18" s="4379"/>
      <c r="BA18" s="2422"/>
      <c r="BB18" s="4558">
        <f t="shared" si="1"/>
        <v>0</v>
      </c>
      <c r="BC18" s="1282"/>
      <c r="BD18" s="1854">
        <f t="shared" si="2"/>
        <v>0</v>
      </c>
      <c r="BE18" s="644"/>
      <c r="BF18" s="4564">
        <f t="shared" si="3"/>
        <v>621.67999999999995</v>
      </c>
    </row>
    <row r="19" spans="1:60" ht="15" customHeight="1" x14ac:dyDescent="0.25">
      <c r="A19" s="48"/>
      <c r="B19" s="2776" t="s">
        <v>1325</v>
      </c>
      <c r="C19" s="2777" t="s">
        <v>1532</v>
      </c>
      <c r="D19" s="1504" t="s">
        <v>53</v>
      </c>
      <c r="E19" s="2701"/>
      <c r="F19" s="475">
        <v>1130.8900000000001</v>
      </c>
      <c r="G19" s="238"/>
      <c r="H19" s="369"/>
      <c r="I19" s="2339"/>
      <c r="J19" s="2339">
        <f t="shared" si="4"/>
        <v>1130.8900000000001</v>
      </c>
      <c r="K19" s="238"/>
      <c r="L19" s="475"/>
      <c r="M19" s="2422"/>
      <c r="N19" s="2338">
        <f t="shared" si="5"/>
        <v>1130.8900000000001</v>
      </c>
      <c r="O19" s="238"/>
      <c r="P19" s="475">
        <v>0</v>
      </c>
      <c r="Q19" s="2339"/>
      <c r="R19" s="1586">
        <f t="shared" si="14"/>
        <v>1130.8900000000001</v>
      </c>
      <c r="S19" s="238"/>
      <c r="T19" s="475">
        <v>0</v>
      </c>
      <c r="U19" s="2339"/>
      <c r="V19" s="1586">
        <f t="shared" si="6"/>
        <v>1130.8900000000001</v>
      </c>
      <c r="W19" s="238"/>
      <c r="X19" s="475">
        <v>0</v>
      </c>
      <c r="Y19" s="2422"/>
      <c r="Z19" s="2338">
        <f t="shared" si="7"/>
        <v>0</v>
      </c>
      <c r="AA19" s="1134"/>
      <c r="AB19" s="1854">
        <f t="shared" si="8"/>
        <v>1130.8900000000001</v>
      </c>
      <c r="AC19" s="238"/>
      <c r="AD19" s="3189">
        <v>0</v>
      </c>
      <c r="AE19" s="3163"/>
      <c r="AF19" s="3169">
        <f t="shared" si="9"/>
        <v>1130.8900000000001</v>
      </c>
      <c r="AG19" s="238"/>
      <c r="AH19" s="3327">
        <v>0</v>
      </c>
      <c r="AI19" s="3321"/>
      <c r="AJ19" s="3326">
        <f t="shared" si="10"/>
        <v>1130.8900000000001</v>
      </c>
      <c r="AK19" s="3640"/>
      <c r="AL19" s="3601">
        <v>0</v>
      </c>
      <c r="AM19" s="2422"/>
      <c r="AN19" s="3600">
        <f t="shared" si="11"/>
        <v>0</v>
      </c>
      <c r="AO19" s="644"/>
      <c r="AP19" s="3612">
        <f t="shared" si="12"/>
        <v>1130.8900000000001</v>
      </c>
      <c r="AQ19" s="3872"/>
      <c r="AR19" s="3873"/>
      <c r="AS19" s="3874"/>
      <c r="AT19" s="3894">
        <f t="shared" si="13"/>
        <v>1130.8900000000001</v>
      </c>
      <c r="AU19" s="4060"/>
      <c r="AV19" s="4061"/>
      <c r="AW19" s="4062"/>
      <c r="AX19" s="4096">
        <f t="shared" si="0"/>
        <v>1130.8900000000001</v>
      </c>
      <c r="AY19" s="4378"/>
      <c r="AZ19" s="4379"/>
      <c r="BA19" s="2422"/>
      <c r="BB19" s="4558">
        <f t="shared" si="1"/>
        <v>0</v>
      </c>
      <c r="BC19" s="1282"/>
      <c r="BD19" s="1854">
        <f t="shared" si="2"/>
        <v>0</v>
      </c>
      <c r="BE19" s="644"/>
      <c r="BF19" s="4564">
        <f t="shared" si="3"/>
        <v>1130.8900000000001</v>
      </c>
    </row>
    <row r="20" spans="1:60" ht="15.95" customHeight="1" x14ac:dyDescent="0.25">
      <c r="B20" s="2776" t="s">
        <v>1128</v>
      </c>
      <c r="C20" s="2777" t="s">
        <v>1532</v>
      </c>
      <c r="D20" s="1504" t="s">
        <v>53</v>
      </c>
      <c r="E20" s="475"/>
      <c r="F20" s="475">
        <v>2977.52</v>
      </c>
      <c r="G20" s="475"/>
      <c r="H20" s="369"/>
      <c r="I20" s="2339"/>
      <c r="J20" s="2339">
        <f t="shared" si="4"/>
        <v>2977.52</v>
      </c>
      <c r="K20" s="475"/>
      <c r="L20" s="475"/>
      <c r="M20" s="2422"/>
      <c r="N20" s="2338">
        <f t="shared" si="5"/>
        <v>2977.52</v>
      </c>
      <c r="O20" s="475"/>
      <c r="P20" s="475">
        <v>0</v>
      </c>
      <c r="Q20" s="2339"/>
      <c r="R20" s="1586">
        <f t="shared" si="14"/>
        <v>2977.52</v>
      </c>
      <c r="S20" s="475"/>
      <c r="T20" s="475">
        <v>0</v>
      </c>
      <c r="U20" s="2339"/>
      <c r="V20" s="1586">
        <f t="shared" si="6"/>
        <v>2977.52</v>
      </c>
      <c r="W20" s="475"/>
      <c r="X20" s="475">
        <v>0</v>
      </c>
      <c r="Y20" s="2422"/>
      <c r="Z20" s="2338">
        <f t="shared" si="7"/>
        <v>0</v>
      </c>
      <c r="AA20" s="1134"/>
      <c r="AB20" s="1854">
        <f t="shared" si="8"/>
        <v>2977.52</v>
      </c>
      <c r="AC20" s="3170"/>
      <c r="AD20" s="3189">
        <v>0</v>
      </c>
      <c r="AE20" s="3163"/>
      <c r="AF20" s="3169">
        <f t="shared" si="9"/>
        <v>2977.52</v>
      </c>
      <c r="AG20" s="3327"/>
      <c r="AH20" s="3327">
        <v>0</v>
      </c>
      <c r="AI20" s="3321"/>
      <c r="AJ20" s="3326">
        <f t="shared" si="10"/>
        <v>2977.52</v>
      </c>
      <c r="AK20" s="3601"/>
      <c r="AL20" s="3601">
        <v>0</v>
      </c>
      <c r="AM20" s="2422"/>
      <c r="AN20" s="3600">
        <f t="shared" si="11"/>
        <v>0</v>
      </c>
      <c r="AO20" s="644"/>
      <c r="AP20" s="3612">
        <f t="shared" si="12"/>
        <v>2977.52</v>
      </c>
      <c r="AQ20" s="3873"/>
      <c r="AR20" s="3873">
        <v>4973.5400000000009</v>
      </c>
      <c r="AS20" s="3874"/>
      <c r="AT20" s="3894">
        <f t="shared" si="13"/>
        <v>7951.0600000000013</v>
      </c>
      <c r="AU20" s="4061"/>
      <c r="AV20" s="4061">
        <v>46.69</v>
      </c>
      <c r="AW20" s="4062"/>
      <c r="AX20" s="4096">
        <f t="shared" si="0"/>
        <v>7997.7500000000009</v>
      </c>
      <c r="AY20" s="4379"/>
      <c r="AZ20" s="4379">
        <v>10072.859999999999</v>
      </c>
      <c r="BA20" s="2422"/>
      <c r="BB20" s="4558">
        <f t="shared" si="1"/>
        <v>15093.09</v>
      </c>
      <c r="BC20" s="1282"/>
      <c r="BD20" s="1854">
        <f t="shared" si="2"/>
        <v>15093.09</v>
      </c>
      <c r="BE20" s="644"/>
      <c r="BF20" s="4564">
        <f t="shared" si="3"/>
        <v>18070.61</v>
      </c>
    </row>
    <row r="21" spans="1:60" s="1726" customFormat="1" ht="15.95" customHeight="1" x14ac:dyDescent="0.25">
      <c r="B21" s="2776" t="s">
        <v>1128</v>
      </c>
      <c r="C21" s="2777" t="s">
        <v>1449</v>
      </c>
      <c r="D21" s="3621" t="s">
        <v>53</v>
      </c>
      <c r="E21" s="4092"/>
      <c r="F21" s="4092"/>
      <c r="G21" s="4092"/>
      <c r="H21" s="4098"/>
      <c r="I21" s="4094"/>
      <c r="J21" s="4094"/>
      <c r="K21" s="4092"/>
      <c r="L21" s="4092"/>
      <c r="M21" s="2422"/>
      <c r="N21" s="4093"/>
      <c r="O21" s="4092"/>
      <c r="P21" s="4092"/>
      <c r="Q21" s="4094"/>
      <c r="R21" s="4096"/>
      <c r="S21" s="4092"/>
      <c r="T21" s="4092"/>
      <c r="U21" s="4094"/>
      <c r="V21" s="4096"/>
      <c r="W21" s="4092"/>
      <c r="X21" s="4092"/>
      <c r="Y21" s="2422"/>
      <c r="Z21" s="4093"/>
      <c r="AA21" s="4095"/>
      <c r="AB21" s="1854"/>
      <c r="AC21" s="4092"/>
      <c r="AD21" s="4092"/>
      <c r="AE21" s="4094"/>
      <c r="AF21" s="4096"/>
      <c r="AG21" s="4092"/>
      <c r="AH21" s="4092"/>
      <c r="AI21" s="4094"/>
      <c r="AJ21" s="4096"/>
      <c r="AK21" s="4092"/>
      <c r="AL21" s="4092"/>
      <c r="AM21" s="2422"/>
      <c r="AN21" s="4093"/>
      <c r="AO21" s="644"/>
      <c r="AP21" s="4096"/>
      <c r="AQ21" s="4092"/>
      <c r="AR21" s="4092"/>
      <c r="AS21" s="4094"/>
      <c r="AT21" s="4096"/>
      <c r="AU21" s="4092"/>
      <c r="AV21" s="4092">
        <v>2667.4199999999996</v>
      </c>
      <c r="AW21" s="4094"/>
      <c r="AX21" s="4096">
        <f t="shared" si="0"/>
        <v>2667.4199999999996</v>
      </c>
      <c r="AY21" s="4379"/>
      <c r="AZ21" s="4379">
        <v>2007.6699999999998</v>
      </c>
      <c r="BA21" s="2422"/>
      <c r="BB21" s="4558">
        <f t="shared" si="1"/>
        <v>4675.0899999999992</v>
      </c>
      <c r="BC21" s="1282"/>
      <c r="BD21" s="1854">
        <f t="shared" si="2"/>
        <v>4675.0899999999992</v>
      </c>
      <c r="BE21" s="644"/>
      <c r="BF21" s="4564">
        <f t="shared" si="3"/>
        <v>4675.0899999999992</v>
      </c>
    </row>
    <row r="22" spans="1:60" s="1726" customFormat="1" ht="15.95" customHeight="1" x14ac:dyDescent="0.25">
      <c r="B22" s="2776" t="s">
        <v>1128</v>
      </c>
      <c r="C22" s="2777" t="s">
        <v>1163</v>
      </c>
      <c r="D22" s="3621" t="s">
        <v>53</v>
      </c>
      <c r="E22" s="3873"/>
      <c r="F22" s="3873"/>
      <c r="G22" s="3873"/>
      <c r="H22" s="3898"/>
      <c r="I22" s="3874"/>
      <c r="J22" s="3874"/>
      <c r="K22" s="3873"/>
      <c r="L22" s="3873"/>
      <c r="M22" s="2422"/>
      <c r="N22" s="3875"/>
      <c r="O22" s="3873"/>
      <c r="P22" s="3873"/>
      <c r="Q22" s="3874"/>
      <c r="R22" s="3894"/>
      <c r="S22" s="3873"/>
      <c r="T22" s="3873"/>
      <c r="U22" s="3874"/>
      <c r="V22" s="3894"/>
      <c r="W22" s="3873"/>
      <c r="X22" s="3873"/>
      <c r="Y22" s="2422"/>
      <c r="Z22" s="3875"/>
      <c r="AA22" s="3876"/>
      <c r="AB22" s="1854"/>
      <c r="AC22" s="3873"/>
      <c r="AD22" s="3873"/>
      <c r="AE22" s="3874"/>
      <c r="AF22" s="3894"/>
      <c r="AG22" s="3873"/>
      <c r="AH22" s="3873"/>
      <c r="AI22" s="3874"/>
      <c r="AJ22" s="3894"/>
      <c r="AK22" s="3873"/>
      <c r="AL22" s="3873"/>
      <c r="AM22" s="2422"/>
      <c r="AN22" s="3875"/>
      <c r="AO22" s="644"/>
      <c r="AP22" s="3894"/>
      <c r="AQ22" s="3873"/>
      <c r="AR22" s="3873">
        <v>4373.2150000000001</v>
      </c>
      <c r="AS22" s="3874"/>
      <c r="AT22" s="3894">
        <f t="shared" si="13"/>
        <v>4373.2150000000001</v>
      </c>
      <c r="AU22" s="4061"/>
      <c r="AV22" s="4061"/>
      <c r="AW22" s="4062"/>
      <c r="AX22" s="4096">
        <f t="shared" si="0"/>
        <v>4373.2150000000001</v>
      </c>
      <c r="AY22" s="4379"/>
      <c r="AZ22" s="4379"/>
      <c r="BA22" s="2422"/>
      <c r="BB22" s="4558">
        <f t="shared" si="1"/>
        <v>4373.2150000000001</v>
      </c>
      <c r="BC22" s="1282"/>
      <c r="BD22" s="1854">
        <f t="shared" si="2"/>
        <v>4373.2150000000001</v>
      </c>
      <c r="BE22" s="644"/>
      <c r="BF22" s="4564">
        <f t="shared" si="3"/>
        <v>4373.2150000000001</v>
      </c>
    </row>
    <row r="23" spans="1:60" ht="15.75" x14ac:dyDescent="0.25">
      <c r="B23" s="2776" t="s">
        <v>1129</v>
      </c>
      <c r="C23" s="2777" t="s">
        <v>1533</v>
      </c>
      <c r="D23" s="1504" t="s">
        <v>53</v>
      </c>
      <c r="E23" s="2706"/>
      <c r="F23" s="475">
        <v>1179.97</v>
      </c>
      <c r="G23" s="475"/>
      <c r="H23" s="475">
        <v>1202.46</v>
      </c>
      <c r="I23" s="2339"/>
      <c r="J23" s="2339">
        <f t="shared" si="4"/>
        <v>2382.4300000000003</v>
      </c>
      <c r="K23" s="475"/>
      <c r="L23" s="475">
        <v>2143.16</v>
      </c>
      <c r="M23" s="2422"/>
      <c r="N23" s="2338">
        <f t="shared" si="5"/>
        <v>4525.59</v>
      </c>
      <c r="O23" s="475"/>
      <c r="P23" s="475">
        <v>2208.6</v>
      </c>
      <c r="Q23" s="2339"/>
      <c r="R23" s="1586">
        <f t="shared" si="14"/>
        <v>6734.1900000000005</v>
      </c>
      <c r="S23" s="475"/>
      <c r="T23" s="475">
        <v>0</v>
      </c>
      <c r="U23" s="2339"/>
      <c r="V23" s="1586">
        <f t="shared" si="6"/>
        <v>6734.1900000000005</v>
      </c>
      <c r="W23" s="475"/>
      <c r="X23" s="3103">
        <f>3171.795-7.8</f>
        <v>3163.9949999999999</v>
      </c>
      <c r="Y23" s="2422"/>
      <c r="Z23" s="2338">
        <f t="shared" si="7"/>
        <v>5372.5949999999993</v>
      </c>
      <c r="AA23" s="1134"/>
      <c r="AB23" s="1854">
        <f t="shared" si="8"/>
        <v>9898.1849999999995</v>
      </c>
      <c r="AC23" s="3170"/>
      <c r="AD23" s="3189">
        <v>0</v>
      </c>
      <c r="AE23" s="3163"/>
      <c r="AF23" s="3169">
        <f t="shared" si="9"/>
        <v>9898.1849999999995</v>
      </c>
      <c r="AG23" s="3327"/>
      <c r="AH23" s="3327">
        <v>2431.5050000000001</v>
      </c>
      <c r="AI23" s="3321"/>
      <c r="AJ23" s="3326">
        <f t="shared" si="10"/>
        <v>12329.689999999999</v>
      </c>
      <c r="AK23" s="3601"/>
      <c r="AL23" s="3601">
        <v>0</v>
      </c>
      <c r="AM23" s="2422"/>
      <c r="AN23" s="3600">
        <f t="shared" si="11"/>
        <v>2431.5050000000001</v>
      </c>
      <c r="AO23" s="644"/>
      <c r="AP23" s="3612">
        <f t="shared" si="12"/>
        <v>12329.689999999999</v>
      </c>
      <c r="AQ23" s="3873"/>
      <c r="AR23" s="3873">
        <v>4881.4149999999991</v>
      </c>
      <c r="AS23" s="3874"/>
      <c r="AT23" s="3894">
        <f t="shared" si="13"/>
        <v>17211.104999999996</v>
      </c>
      <c r="AU23" s="4061"/>
      <c r="AV23" s="4061"/>
      <c r="AW23" s="4062"/>
      <c r="AX23" s="4096">
        <f t="shared" si="0"/>
        <v>17211.104999999996</v>
      </c>
      <c r="AY23" s="4379"/>
      <c r="AZ23" s="4379">
        <v>2474.5699999999997</v>
      </c>
      <c r="BA23" s="2422"/>
      <c r="BB23" s="4558">
        <f t="shared" si="1"/>
        <v>7355.9849999999988</v>
      </c>
      <c r="BC23" s="1282"/>
      <c r="BD23" s="1854">
        <f t="shared" si="2"/>
        <v>9787.489999999998</v>
      </c>
      <c r="BE23" s="644"/>
      <c r="BF23" s="4564">
        <f t="shared" si="3"/>
        <v>19685.674999999996</v>
      </c>
    </row>
    <row r="24" spans="1:60" s="4468" customFormat="1" ht="15.75" x14ac:dyDescent="0.25">
      <c r="B24" s="2776" t="s">
        <v>1129</v>
      </c>
      <c r="C24" s="2777" t="s">
        <v>1860</v>
      </c>
      <c r="D24" s="3621" t="s">
        <v>53</v>
      </c>
      <c r="E24" s="2706"/>
      <c r="F24" s="4461"/>
      <c r="G24" s="4461"/>
      <c r="H24" s="4461"/>
      <c r="I24" s="4463"/>
      <c r="J24" s="4463"/>
      <c r="K24" s="4461"/>
      <c r="L24" s="4461"/>
      <c r="M24" s="2422"/>
      <c r="N24" s="4462"/>
      <c r="O24" s="4461"/>
      <c r="P24" s="4461"/>
      <c r="Q24" s="4463"/>
      <c r="R24" s="4474"/>
      <c r="S24" s="4461"/>
      <c r="T24" s="4461"/>
      <c r="U24" s="4463"/>
      <c r="V24" s="4474"/>
      <c r="W24" s="4461"/>
      <c r="X24" s="4461"/>
      <c r="Y24" s="2422"/>
      <c r="Z24" s="4462"/>
      <c r="AA24" s="4464"/>
      <c r="AB24" s="1854"/>
      <c r="AC24" s="4461"/>
      <c r="AD24" s="4461"/>
      <c r="AE24" s="4463"/>
      <c r="AF24" s="4474"/>
      <c r="AG24" s="4461"/>
      <c r="AH24" s="4461"/>
      <c r="AI24" s="4463"/>
      <c r="AJ24" s="4474"/>
      <c r="AK24" s="4461"/>
      <c r="AL24" s="4461"/>
      <c r="AM24" s="2422"/>
      <c r="AN24" s="4462"/>
      <c r="AO24" s="644"/>
      <c r="AP24" s="4474"/>
      <c r="AQ24" s="4461"/>
      <c r="AR24" s="4461"/>
      <c r="AS24" s="4463"/>
      <c r="AT24" s="4474"/>
      <c r="AU24" s="4461"/>
      <c r="AV24" s="4461"/>
      <c r="AW24" s="4463"/>
      <c r="AX24" s="4474"/>
      <c r="AY24" s="4461"/>
      <c r="AZ24" s="4461">
        <v>2196.46</v>
      </c>
      <c r="BA24" s="2422"/>
      <c r="BB24" s="4558">
        <f t="shared" si="1"/>
        <v>2196.46</v>
      </c>
      <c r="BC24" s="1282"/>
      <c r="BD24" s="1854">
        <f t="shared" si="2"/>
        <v>2196.46</v>
      </c>
      <c r="BE24" s="644"/>
      <c r="BF24" s="4564">
        <f t="shared" si="3"/>
        <v>2196.46</v>
      </c>
      <c r="BH24" s="4090">
        <f>+AZ24+AZ27</f>
        <v>8385.93</v>
      </c>
    </row>
    <row r="25" spans="1:60" s="1623" customFormat="1" ht="15.75" x14ac:dyDescent="0.25">
      <c r="B25" s="2776" t="s">
        <v>1129</v>
      </c>
      <c r="C25" s="2777" t="s">
        <v>1534</v>
      </c>
      <c r="D25" s="1504" t="s">
        <v>53</v>
      </c>
      <c r="E25" s="2706"/>
      <c r="F25" s="475"/>
      <c r="G25" s="475"/>
      <c r="H25" s="475"/>
      <c r="I25" s="2339"/>
      <c r="J25" s="2339">
        <f t="shared" si="4"/>
        <v>0</v>
      </c>
      <c r="K25" s="475"/>
      <c r="L25" s="475"/>
      <c r="M25" s="2422"/>
      <c r="N25" s="2338">
        <f t="shared" si="5"/>
        <v>0</v>
      </c>
      <c r="O25" s="475"/>
      <c r="P25" s="475">
        <v>1049.085</v>
      </c>
      <c r="Q25" s="2339"/>
      <c r="R25" s="1586">
        <f t="shared" si="14"/>
        <v>1049.085</v>
      </c>
      <c r="S25" s="475"/>
      <c r="T25" s="475">
        <v>0</v>
      </c>
      <c r="U25" s="2339"/>
      <c r="V25" s="1586">
        <f t="shared" si="6"/>
        <v>1049.085</v>
      </c>
      <c r="W25" s="475"/>
      <c r="X25" s="3103">
        <v>0</v>
      </c>
      <c r="Y25" s="2422"/>
      <c r="Z25" s="2338">
        <f t="shared" si="7"/>
        <v>1049.085</v>
      </c>
      <c r="AA25" s="1134"/>
      <c r="AB25" s="1854">
        <f t="shared" si="8"/>
        <v>1049.085</v>
      </c>
      <c r="AC25" s="3170"/>
      <c r="AD25" s="3189">
        <v>0</v>
      </c>
      <c r="AE25" s="3163"/>
      <c r="AF25" s="3169">
        <f t="shared" si="9"/>
        <v>1049.085</v>
      </c>
      <c r="AG25" s="3327"/>
      <c r="AH25" s="3327">
        <v>989.78</v>
      </c>
      <c r="AI25" s="3321"/>
      <c r="AJ25" s="3326">
        <f t="shared" si="10"/>
        <v>2038.865</v>
      </c>
      <c r="AK25" s="3601"/>
      <c r="AL25" s="3601">
        <v>0</v>
      </c>
      <c r="AM25" s="2422"/>
      <c r="AN25" s="3600">
        <f t="shared" si="11"/>
        <v>989.78</v>
      </c>
      <c r="AO25" s="644"/>
      <c r="AP25" s="3612">
        <f t="shared" si="12"/>
        <v>2038.865</v>
      </c>
      <c r="AQ25" s="3873"/>
      <c r="AR25" s="3873"/>
      <c r="AS25" s="3874"/>
      <c r="AT25" s="3894">
        <f t="shared" si="13"/>
        <v>2038.865</v>
      </c>
      <c r="AU25" s="4061"/>
      <c r="AV25" s="4061"/>
      <c r="AW25" s="4062"/>
      <c r="AX25" s="4096">
        <f t="shared" si="0"/>
        <v>2038.865</v>
      </c>
      <c r="AY25" s="4379"/>
      <c r="AZ25" s="4379"/>
      <c r="BA25" s="2422"/>
      <c r="BB25" s="4558">
        <f t="shared" si="1"/>
        <v>0</v>
      </c>
      <c r="BC25" s="1282"/>
      <c r="BD25" s="1854">
        <f t="shared" si="2"/>
        <v>989.78</v>
      </c>
      <c r="BE25" s="644"/>
      <c r="BF25" s="4564">
        <f t="shared" si="3"/>
        <v>2038.865</v>
      </c>
    </row>
    <row r="26" spans="1:60" ht="15.75" x14ac:dyDescent="0.25">
      <c r="B26" s="2776" t="s">
        <v>1129</v>
      </c>
      <c r="C26" s="2777" t="s">
        <v>1532</v>
      </c>
      <c r="D26" s="1504" t="s">
        <v>53</v>
      </c>
      <c r="E26" s="2706"/>
      <c r="F26" s="475">
        <f>10139.11-1.22</f>
        <v>10137.890000000001</v>
      </c>
      <c r="G26" s="475"/>
      <c r="H26" s="475">
        <v>4104.32</v>
      </c>
      <c r="I26" s="2339"/>
      <c r="J26" s="2339">
        <f t="shared" si="4"/>
        <v>14242.210000000001</v>
      </c>
      <c r="K26" s="475"/>
      <c r="L26" s="475">
        <f>10362.015-5.2</f>
        <v>10356.814999999999</v>
      </c>
      <c r="M26" s="2422"/>
      <c r="N26" s="2338">
        <f t="shared" si="5"/>
        <v>24599.025000000001</v>
      </c>
      <c r="O26" s="475"/>
      <c r="P26" s="475">
        <f>9451.99-8.4</f>
        <v>9443.59</v>
      </c>
      <c r="Q26" s="2339"/>
      <c r="R26" s="1586">
        <f t="shared" si="14"/>
        <v>34042.615000000005</v>
      </c>
      <c r="S26" s="475"/>
      <c r="T26" s="475">
        <v>0</v>
      </c>
      <c r="U26" s="2339"/>
      <c r="V26" s="1586">
        <f t="shared" si="6"/>
        <v>34042.615000000005</v>
      </c>
      <c r="W26" s="475"/>
      <c r="X26" s="3103">
        <v>13586.98</v>
      </c>
      <c r="Y26" s="2422"/>
      <c r="Z26" s="2338">
        <f t="shared" si="7"/>
        <v>23030.57</v>
      </c>
      <c r="AA26" s="1134"/>
      <c r="AB26" s="1854">
        <f t="shared" si="8"/>
        <v>47629.595000000001</v>
      </c>
      <c r="AC26" s="3170"/>
      <c r="AD26" s="3189">
        <v>2650.3199999999997</v>
      </c>
      <c r="AE26" s="3163"/>
      <c r="AF26" s="3169">
        <f t="shared" si="9"/>
        <v>50279.915000000001</v>
      </c>
      <c r="AG26" s="3327"/>
      <c r="AH26" s="3327">
        <v>12255.684999999999</v>
      </c>
      <c r="AI26" s="3321"/>
      <c r="AJ26" s="3326">
        <f t="shared" si="10"/>
        <v>62535.6</v>
      </c>
      <c r="AK26" s="3601"/>
      <c r="AL26" s="3601">
        <v>12635.48</v>
      </c>
      <c r="AM26" s="2422"/>
      <c r="AN26" s="3600">
        <f t="shared" si="11"/>
        <v>27541.485000000001</v>
      </c>
      <c r="AO26" s="644"/>
      <c r="AP26" s="3612">
        <f t="shared" si="12"/>
        <v>75171.08</v>
      </c>
      <c r="AQ26" s="3873"/>
      <c r="AR26" s="3873">
        <v>9402.91</v>
      </c>
      <c r="AS26" s="3874"/>
      <c r="AT26" s="3894">
        <f t="shared" si="13"/>
        <v>84573.99</v>
      </c>
      <c r="AU26" s="4061"/>
      <c r="AV26" s="4061">
        <v>1561.07</v>
      </c>
      <c r="AW26" s="4062"/>
      <c r="AX26" s="4096">
        <f t="shared" si="0"/>
        <v>86135.060000000012</v>
      </c>
      <c r="AY26" s="4379"/>
      <c r="AZ26" s="4379">
        <v>9502.15</v>
      </c>
      <c r="BA26" s="2422"/>
      <c r="BB26" s="4558">
        <f t="shared" si="1"/>
        <v>20466.129999999997</v>
      </c>
      <c r="BC26" s="1282"/>
      <c r="BD26" s="1854">
        <f t="shared" si="2"/>
        <v>48007.614999999998</v>
      </c>
      <c r="BE26" s="644"/>
      <c r="BF26" s="4564">
        <f t="shared" si="3"/>
        <v>95637.21</v>
      </c>
    </row>
    <row r="27" spans="1:60" s="462" customFormat="1" ht="15.75" x14ac:dyDescent="0.25">
      <c r="B27" s="2776" t="s">
        <v>1129</v>
      </c>
      <c r="C27" s="2777" t="s">
        <v>1163</v>
      </c>
      <c r="D27" s="1504" t="s">
        <v>53</v>
      </c>
      <c r="E27" s="2706"/>
      <c r="F27" s="475">
        <v>4756.67</v>
      </c>
      <c r="G27" s="475"/>
      <c r="H27" s="475">
        <v>1386.51</v>
      </c>
      <c r="I27" s="2339"/>
      <c r="J27" s="2339">
        <f t="shared" si="4"/>
        <v>6143.18</v>
      </c>
      <c r="K27" s="475"/>
      <c r="L27" s="475">
        <v>3967.3</v>
      </c>
      <c r="M27" s="2422"/>
      <c r="N27" s="2338">
        <f t="shared" ref="N27:N43" si="17">+J27+L27</f>
        <v>10110.48</v>
      </c>
      <c r="O27" s="475"/>
      <c r="P27" s="475">
        <v>3355.8449999999998</v>
      </c>
      <c r="Q27" s="2339"/>
      <c r="R27" s="1586">
        <f t="shared" si="14"/>
        <v>13466.324999999999</v>
      </c>
      <c r="S27" s="475"/>
      <c r="T27" s="475">
        <v>0</v>
      </c>
      <c r="U27" s="2339"/>
      <c r="V27" s="1586">
        <f t="shared" si="6"/>
        <v>13466.324999999999</v>
      </c>
      <c r="W27" s="475"/>
      <c r="X27" s="3103">
        <v>6427.4349999999995</v>
      </c>
      <c r="Y27" s="2422"/>
      <c r="Z27" s="2338">
        <f t="shared" si="7"/>
        <v>9783.2799999999988</v>
      </c>
      <c r="AA27" s="1134"/>
      <c r="AB27" s="1854">
        <f t="shared" si="8"/>
        <v>19893.759999999998</v>
      </c>
      <c r="AC27" s="3170"/>
      <c r="AD27" s="3189">
        <v>2963.2049999999999</v>
      </c>
      <c r="AE27" s="3163"/>
      <c r="AF27" s="3169">
        <f t="shared" si="9"/>
        <v>22856.964999999997</v>
      </c>
      <c r="AG27" s="3327"/>
      <c r="AH27" s="3327">
        <v>5604.45</v>
      </c>
      <c r="AI27" s="3321"/>
      <c r="AJ27" s="3326">
        <f t="shared" si="10"/>
        <v>28461.414999999997</v>
      </c>
      <c r="AK27" s="3601"/>
      <c r="AL27" s="3601">
        <v>2216.7799999999997</v>
      </c>
      <c r="AM27" s="2422"/>
      <c r="AN27" s="3600">
        <f t="shared" si="11"/>
        <v>10784.434999999998</v>
      </c>
      <c r="AO27" s="644"/>
      <c r="AP27" s="3612">
        <f t="shared" si="12"/>
        <v>30678.194999999996</v>
      </c>
      <c r="AQ27" s="3873"/>
      <c r="AR27" s="3873">
        <v>6371.2449999999999</v>
      </c>
      <c r="AS27" s="3874"/>
      <c r="AT27" s="3894">
        <f t="shared" si="13"/>
        <v>37049.439999999995</v>
      </c>
      <c r="AU27" s="4061"/>
      <c r="AV27" s="4061">
        <v>5362.9899999999989</v>
      </c>
      <c r="AW27" s="4062"/>
      <c r="AX27" s="4096">
        <f t="shared" si="0"/>
        <v>42412.429999999993</v>
      </c>
      <c r="AY27" s="4379"/>
      <c r="AZ27" s="4379">
        <v>6189.4699999999993</v>
      </c>
      <c r="BA27" s="2422"/>
      <c r="BB27" s="4558">
        <f t="shared" si="1"/>
        <v>17923.704999999998</v>
      </c>
      <c r="BC27" s="1282"/>
      <c r="BD27" s="1854">
        <f t="shared" si="2"/>
        <v>28708.139999999996</v>
      </c>
      <c r="BE27" s="644"/>
      <c r="BF27" s="4564">
        <f t="shared" si="3"/>
        <v>48601.899999999994</v>
      </c>
    </row>
    <row r="28" spans="1:60" ht="15" customHeight="1" x14ac:dyDescent="0.25">
      <c r="B28" s="2776" t="s">
        <v>1129</v>
      </c>
      <c r="C28" s="2777" t="s">
        <v>1449</v>
      </c>
      <c r="D28" s="1504" t="s">
        <v>53</v>
      </c>
      <c r="E28" s="2706"/>
      <c r="F28" s="475"/>
      <c r="G28" s="475"/>
      <c r="H28" s="475"/>
      <c r="I28" s="2339"/>
      <c r="J28" s="2339">
        <f t="shared" si="4"/>
        <v>0</v>
      </c>
      <c r="K28" s="475"/>
      <c r="L28" s="475">
        <v>993.87</v>
      </c>
      <c r="M28" s="2422"/>
      <c r="N28" s="2338">
        <f t="shared" si="17"/>
        <v>993.87</v>
      </c>
      <c r="O28" s="475"/>
      <c r="P28" s="475">
        <v>1159.5150000000001</v>
      </c>
      <c r="Q28" s="2339"/>
      <c r="R28" s="1586">
        <f t="shared" si="14"/>
        <v>2153.3850000000002</v>
      </c>
      <c r="S28" s="475"/>
      <c r="T28" s="475">
        <v>0</v>
      </c>
      <c r="U28" s="2339"/>
      <c r="V28" s="1586">
        <f t="shared" si="6"/>
        <v>2153.3850000000002</v>
      </c>
      <c r="W28" s="475"/>
      <c r="X28" s="3103">
        <v>1216.7749999999999</v>
      </c>
      <c r="Y28" s="2422"/>
      <c r="Z28" s="2338">
        <f t="shared" si="7"/>
        <v>2376.29</v>
      </c>
      <c r="AA28" s="1134"/>
      <c r="AB28" s="1854">
        <f t="shared" si="8"/>
        <v>3370.16</v>
      </c>
      <c r="AC28" s="3170"/>
      <c r="AD28" s="3189">
        <v>0</v>
      </c>
      <c r="AE28" s="3163"/>
      <c r="AF28" s="3169">
        <f t="shared" si="9"/>
        <v>3370.16</v>
      </c>
      <c r="AG28" s="3327"/>
      <c r="AH28" s="3327">
        <v>0</v>
      </c>
      <c r="AI28" s="3321"/>
      <c r="AJ28" s="3326">
        <f t="shared" si="10"/>
        <v>3370.16</v>
      </c>
      <c r="AK28" s="3601"/>
      <c r="AL28" s="3601">
        <v>0</v>
      </c>
      <c r="AM28" s="2422"/>
      <c r="AN28" s="3600">
        <f t="shared" si="11"/>
        <v>0</v>
      </c>
      <c r="AO28" s="644"/>
      <c r="AP28" s="3612">
        <f t="shared" si="12"/>
        <v>3370.16</v>
      </c>
      <c r="AQ28" s="3873"/>
      <c r="AR28" s="3873">
        <v>1235.1799999999998</v>
      </c>
      <c r="AS28" s="3874"/>
      <c r="AT28" s="3894">
        <f t="shared" si="13"/>
        <v>4605.34</v>
      </c>
      <c r="AU28" s="4061"/>
      <c r="AV28" s="4061"/>
      <c r="AW28" s="4062"/>
      <c r="AX28" s="4096">
        <f t="shared" si="0"/>
        <v>4605.34</v>
      </c>
      <c r="AY28" s="4379"/>
      <c r="AZ28" s="4379">
        <v>858.68999999999994</v>
      </c>
      <c r="BA28" s="2422"/>
      <c r="BB28" s="4558">
        <f t="shared" si="1"/>
        <v>2093.87</v>
      </c>
      <c r="BC28" s="1282"/>
      <c r="BD28" s="1854">
        <f t="shared" si="2"/>
        <v>2093.87</v>
      </c>
      <c r="BE28" s="644"/>
      <c r="BF28" s="4564">
        <f t="shared" si="3"/>
        <v>5464.03</v>
      </c>
    </row>
    <row r="29" spans="1:60" s="1726" customFormat="1" ht="15" customHeight="1" x14ac:dyDescent="0.25">
      <c r="B29" s="2776" t="s">
        <v>1129</v>
      </c>
      <c r="C29" s="2777" t="s">
        <v>1745</v>
      </c>
      <c r="D29" s="3621" t="s">
        <v>53</v>
      </c>
      <c r="E29" s="2706"/>
      <c r="F29" s="3873"/>
      <c r="G29" s="3873"/>
      <c r="H29" s="3873"/>
      <c r="I29" s="3874"/>
      <c r="J29" s="3874"/>
      <c r="K29" s="3873"/>
      <c r="L29" s="3873"/>
      <c r="M29" s="2422"/>
      <c r="N29" s="3875"/>
      <c r="O29" s="3873"/>
      <c r="P29" s="3873"/>
      <c r="Q29" s="3874"/>
      <c r="R29" s="3894"/>
      <c r="S29" s="3873"/>
      <c r="T29" s="3873"/>
      <c r="U29" s="3874"/>
      <c r="V29" s="3894"/>
      <c r="W29" s="3873"/>
      <c r="X29" s="3873"/>
      <c r="Y29" s="2422"/>
      <c r="Z29" s="3875"/>
      <c r="AA29" s="3876"/>
      <c r="AB29" s="1854"/>
      <c r="AC29" s="3873"/>
      <c r="AD29" s="3873"/>
      <c r="AE29" s="3874"/>
      <c r="AF29" s="3894"/>
      <c r="AG29" s="3873"/>
      <c r="AH29" s="3873"/>
      <c r="AI29" s="3874"/>
      <c r="AJ29" s="3894"/>
      <c r="AK29" s="3873"/>
      <c r="AL29" s="3873"/>
      <c r="AM29" s="2422"/>
      <c r="AN29" s="3875"/>
      <c r="AO29" s="644"/>
      <c r="AP29" s="3894"/>
      <c r="AQ29" s="3873"/>
      <c r="AR29" s="3873">
        <v>1038.8599999999999</v>
      </c>
      <c r="AS29" s="3874"/>
      <c r="AT29" s="3894">
        <f t="shared" si="13"/>
        <v>1038.8599999999999</v>
      </c>
      <c r="AU29" s="4061"/>
      <c r="AV29" s="4061"/>
      <c r="AW29" s="4062"/>
      <c r="AX29" s="4096">
        <f t="shared" si="0"/>
        <v>1038.8599999999999</v>
      </c>
      <c r="AY29" s="4379"/>
      <c r="AZ29" s="4379"/>
      <c r="BA29" s="2422"/>
      <c r="BB29" s="4558">
        <f t="shared" si="1"/>
        <v>1038.8599999999999</v>
      </c>
      <c r="BC29" s="1282"/>
      <c r="BD29" s="1854">
        <f t="shared" si="2"/>
        <v>1038.8599999999999</v>
      </c>
      <c r="BE29" s="644"/>
      <c r="BF29" s="4564">
        <f t="shared" si="3"/>
        <v>1038.8599999999999</v>
      </c>
    </row>
    <row r="30" spans="1:60" ht="15.75" x14ac:dyDescent="0.25">
      <c r="B30" s="2776" t="s">
        <v>1130</v>
      </c>
      <c r="C30" s="2777" t="s">
        <v>1532</v>
      </c>
      <c r="D30" s="1504" t="s">
        <v>53</v>
      </c>
      <c r="E30" s="2706"/>
      <c r="F30" s="475"/>
      <c r="G30" s="475"/>
      <c r="H30" s="475">
        <v>5908.01</v>
      </c>
      <c r="I30" s="2339"/>
      <c r="J30" s="2339">
        <f t="shared" si="4"/>
        <v>5908.01</v>
      </c>
      <c r="K30" s="475"/>
      <c r="L30" s="475">
        <f>9642.175-5.2</f>
        <v>9636.9749999999985</v>
      </c>
      <c r="M30" s="2422"/>
      <c r="N30" s="2338">
        <f t="shared" si="17"/>
        <v>15544.984999999999</v>
      </c>
      <c r="O30" s="475"/>
      <c r="P30" s="475">
        <f>5492.87-10.8</f>
        <v>5482.07</v>
      </c>
      <c r="Q30" s="2339"/>
      <c r="R30" s="1586">
        <f t="shared" si="14"/>
        <v>21027.055</v>
      </c>
      <c r="S30" s="475"/>
      <c r="T30" s="475">
        <v>8006.1749999999993</v>
      </c>
      <c r="U30" s="2339"/>
      <c r="V30" s="1586">
        <f t="shared" si="6"/>
        <v>29033.23</v>
      </c>
      <c r="W30" s="475"/>
      <c r="X30" s="3103">
        <v>0</v>
      </c>
      <c r="Y30" s="2422"/>
      <c r="Z30" s="2338">
        <f t="shared" si="7"/>
        <v>13488.244999999999</v>
      </c>
      <c r="AA30" s="1134"/>
      <c r="AB30" s="1854">
        <f t="shared" si="8"/>
        <v>29033.229999999996</v>
      </c>
      <c r="AC30" s="3170"/>
      <c r="AD30" s="3189">
        <v>5742.36</v>
      </c>
      <c r="AE30" s="3163"/>
      <c r="AF30" s="3169">
        <f t="shared" si="9"/>
        <v>34775.589999999997</v>
      </c>
      <c r="AG30" s="3327"/>
      <c r="AH30" s="3327">
        <v>0</v>
      </c>
      <c r="AI30" s="3321"/>
      <c r="AJ30" s="3326">
        <f t="shared" si="10"/>
        <v>34775.589999999997</v>
      </c>
      <c r="AK30" s="3601"/>
      <c r="AL30" s="3601">
        <v>12053.23</v>
      </c>
      <c r="AM30" s="2422"/>
      <c r="AN30" s="3600">
        <f t="shared" si="11"/>
        <v>17795.59</v>
      </c>
      <c r="AO30" s="644"/>
      <c r="AP30" s="3612">
        <f t="shared" si="12"/>
        <v>46828.819999999992</v>
      </c>
      <c r="AQ30" s="3873"/>
      <c r="AR30" s="3873">
        <v>8238.41</v>
      </c>
      <c r="AS30" s="3874"/>
      <c r="AT30" s="3894">
        <f t="shared" si="13"/>
        <v>55067.229999999996</v>
      </c>
      <c r="AU30" s="4061"/>
      <c r="AV30" s="4061">
        <v>9812.6999999999989</v>
      </c>
      <c r="AW30" s="4062"/>
      <c r="AX30" s="4096">
        <f t="shared" si="0"/>
        <v>64879.929999999993</v>
      </c>
      <c r="AY30" s="4379"/>
      <c r="AZ30" s="4379">
        <v>8432.619999999999</v>
      </c>
      <c r="BA30" s="2422"/>
      <c r="BB30" s="4558">
        <f t="shared" si="1"/>
        <v>26483.73</v>
      </c>
      <c r="BC30" s="1282"/>
      <c r="BD30" s="1854">
        <f t="shared" si="2"/>
        <v>44279.32</v>
      </c>
      <c r="BE30" s="644"/>
      <c r="BF30" s="4564">
        <f t="shared" si="3"/>
        <v>73312.549999999988</v>
      </c>
    </row>
    <row r="31" spans="1:60" s="658" customFormat="1" ht="15.75" x14ac:dyDescent="0.25">
      <c r="B31" s="2776" t="s">
        <v>1130</v>
      </c>
      <c r="C31" s="2777" t="s">
        <v>1449</v>
      </c>
      <c r="D31" s="1504" t="s">
        <v>53</v>
      </c>
      <c r="E31" s="2706"/>
      <c r="F31" s="475"/>
      <c r="G31" s="475"/>
      <c r="H31" s="475"/>
      <c r="I31" s="2339"/>
      <c r="J31" s="2339">
        <f t="shared" si="4"/>
        <v>0</v>
      </c>
      <c r="K31" s="475"/>
      <c r="L31" s="475">
        <v>1124.75</v>
      </c>
      <c r="M31" s="2422"/>
      <c r="N31" s="2338">
        <f t="shared" si="17"/>
        <v>1124.75</v>
      </c>
      <c r="O31" s="475"/>
      <c r="P31" s="475">
        <v>0</v>
      </c>
      <c r="Q31" s="2339"/>
      <c r="R31" s="1586">
        <f t="shared" si="14"/>
        <v>1124.75</v>
      </c>
      <c r="S31" s="475"/>
      <c r="T31" s="475">
        <v>1049.085</v>
      </c>
      <c r="U31" s="2339"/>
      <c r="V31" s="1586">
        <f t="shared" si="6"/>
        <v>2173.835</v>
      </c>
      <c r="W31" s="475"/>
      <c r="X31" s="3103">
        <v>0</v>
      </c>
      <c r="Y31" s="2422"/>
      <c r="Z31" s="2338">
        <f t="shared" si="7"/>
        <v>1049.085</v>
      </c>
      <c r="AA31" s="1134"/>
      <c r="AB31" s="1854">
        <f t="shared" si="8"/>
        <v>2173.835</v>
      </c>
      <c r="AC31" s="3170"/>
      <c r="AD31" s="3189">
        <v>0</v>
      </c>
      <c r="AE31" s="3163"/>
      <c r="AF31" s="3169">
        <f t="shared" si="9"/>
        <v>2173.835</v>
      </c>
      <c r="AG31" s="3327"/>
      <c r="AH31" s="3327">
        <v>0</v>
      </c>
      <c r="AI31" s="3321"/>
      <c r="AJ31" s="3326">
        <f t="shared" si="10"/>
        <v>2173.835</v>
      </c>
      <c r="AK31" s="3601"/>
      <c r="AL31" s="3601">
        <v>664.625</v>
      </c>
      <c r="AM31" s="2422"/>
      <c r="AN31" s="3600">
        <f t="shared" si="11"/>
        <v>664.625</v>
      </c>
      <c r="AO31" s="644"/>
      <c r="AP31" s="3612">
        <f t="shared" si="12"/>
        <v>2838.46</v>
      </c>
      <c r="AQ31" s="3873"/>
      <c r="AR31" s="3873"/>
      <c r="AS31" s="3874"/>
      <c r="AT31" s="3894">
        <f t="shared" si="13"/>
        <v>2838.46</v>
      </c>
      <c r="AU31" s="4061"/>
      <c r="AV31" s="4061"/>
      <c r="AW31" s="4062"/>
      <c r="AX31" s="4096">
        <f t="shared" si="0"/>
        <v>2838.46</v>
      </c>
      <c r="AY31" s="4379"/>
      <c r="AZ31" s="4379"/>
      <c r="BA31" s="2422"/>
      <c r="BB31" s="4558">
        <f t="shared" si="1"/>
        <v>0</v>
      </c>
      <c r="BC31" s="1282"/>
      <c r="BD31" s="1854">
        <f t="shared" si="2"/>
        <v>664.625</v>
      </c>
      <c r="BE31" s="644"/>
      <c r="BF31" s="4564">
        <f t="shared" si="3"/>
        <v>2838.46</v>
      </c>
    </row>
    <row r="32" spans="1:60" ht="15.75" x14ac:dyDescent="0.25">
      <c r="B32" s="2776" t="s">
        <v>1130</v>
      </c>
      <c r="C32" s="2777" t="s">
        <v>1163</v>
      </c>
      <c r="D32" s="1504" t="s">
        <v>53</v>
      </c>
      <c r="E32" s="2706"/>
      <c r="F32" s="475"/>
      <c r="G32" s="475"/>
      <c r="H32" s="475">
        <f>4614.5-7.5</f>
        <v>4607</v>
      </c>
      <c r="I32" s="2339"/>
      <c r="J32" s="2339">
        <f t="shared" si="4"/>
        <v>4607</v>
      </c>
      <c r="K32" s="475"/>
      <c r="L32" s="475">
        <v>3484.68</v>
      </c>
      <c r="M32" s="2422"/>
      <c r="N32" s="2338">
        <f t="shared" si="17"/>
        <v>8091.68</v>
      </c>
      <c r="O32" s="475"/>
      <c r="P32" s="475">
        <v>0</v>
      </c>
      <c r="Q32" s="2339"/>
      <c r="R32" s="1586">
        <f t="shared" si="14"/>
        <v>8091.68</v>
      </c>
      <c r="S32" s="475"/>
      <c r="T32" s="475">
        <f>3809.835-18.97</f>
        <v>3790.8650000000002</v>
      </c>
      <c r="U32" s="2339"/>
      <c r="V32" s="1586">
        <f t="shared" si="6"/>
        <v>11882.545</v>
      </c>
      <c r="W32" s="475"/>
      <c r="X32" s="3103">
        <f>3149.3-4.5</f>
        <v>3144.8</v>
      </c>
      <c r="Y32" s="2422"/>
      <c r="Z32" s="2338">
        <f t="shared" si="7"/>
        <v>6935.6650000000009</v>
      </c>
      <c r="AA32" s="1134"/>
      <c r="AB32" s="1854">
        <f t="shared" si="8"/>
        <v>15027.345000000001</v>
      </c>
      <c r="AC32" s="3170"/>
      <c r="AD32" s="3189">
        <v>5122.2</v>
      </c>
      <c r="AE32" s="3163"/>
      <c r="AF32" s="3169">
        <f t="shared" si="9"/>
        <v>20149.545000000002</v>
      </c>
      <c r="AG32" s="3327"/>
      <c r="AH32" s="3327">
        <v>0</v>
      </c>
      <c r="AI32" s="3321"/>
      <c r="AJ32" s="3326">
        <f t="shared" si="10"/>
        <v>20149.545000000002</v>
      </c>
      <c r="AK32" s="3601"/>
      <c r="AL32" s="3601">
        <v>3711.6749999999997</v>
      </c>
      <c r="AM32" s="2422"/>
      <c r="AN32" s="3600">
        <f t="shared" si="11"/>
        <v>8833.875</v>
      </c>
      <c r="AO32" s="644"/>
      <c r="AP32" s="3612">
        <f t="shared" si="12"/>
        <v>23861.22</v>
      </c>
      <c r="AQ32" s="3873"/>
      <c r="AR32" s="3873">
        <v>6927.1149999999998</v>
      </c>
      <c r="AS32" s="3874"/>
      <c r="AT32" s="3894">
        <f t="shared" si="13"/>
        <v>30788.334999999999</v>
      </c>
      <c r="AU32" s="4061"/>
      <c r="AV32" s="4061">
        <v>1878.7999999999997</v>
      </c>
      <c r="AW32" s="4062"/>
      <c r="AX32" s="4096">
        <f t="shared" si="0"/>
        <v>32667.134999999998</v>
      </c>
      <c r="AY32" s="4379"/>
      <c r="AZ32" s="4379">
        <v>2789.22</v>
      </c>
      <c r="BA32" s="2422"/>
      <c r="BB32" s="4558">
        <f t="shared" si="1"/>
        <v>11595.134999999998</v>
      </c>
      <c r="BC32" s="1282"/>
      <c r="BD32" s="1854">
        <f t="shared" si="2"/>
        <v>20429.009999999998</v>
      </c>
      <c r="BE32" s="644"/>
      <c r="BF32" s="4564">
        <f t="shared" si="3"/>
        <v>35456.354999999996</v>
      </c>
      <c r="BH32" s="4090">
        <f>+AZ32+AZ33</f>
        <v>4979.59</v>
      </c>
    </row>
    <row r="33" spans="2:60" s="4468" customFormat="1" ht="15.75" x14ac:dyDescent="0.25">
      <c r="B33" s="2776" t="s">
        <v>1130</v>
      </c>
      <c r="C33" s="2777" t="s">
        <v>1860</v>
      </c>
      <c r="D33" s="3621" t="s">
        <v>53</v>
      </c>
      <c r="E33" s="2706"/>
      <c r="F33" s="4461"/>
      <c r="G33" s="4461"/>
      <c r="H33" s="4461"/>
      <c r="I33" s="4463"/>
      <c r="J33" s="4463"/>
      <c r="K33" s="4461"/>
      <c r="L33" s="4461"/>
      <c r="M33" s="2422"/>
      <c r="N33" s="4462"/>
      <c r="O33" s="4461"/>
      <c r="P33" s="4461"/>
      <c r="Q33" s="4463"/>
      <c r="R33" s="4474"/>
      <c r="S33" s="4461"/>
      <c r="T33" s="4461"/>
      <c r="U33" s="4463"/>
      <c r="V33" s="4474"/>
      <c r="W33" s="4461"/>
      <c r="X33" s="4461"/>
      <c r="Y33" s="2422"/>
      <c r="Z33" s="4462"/>
      <c r="AA33" s="4464"/>
      <c r="AB33" s="1854"/>
      <c r="AC33" s="4461"/>
      <c r="AD33" s="4461"/>
      <c r="AE33" s="4463"/>
      <c r="AF33" s="4474"/>
      <c r="AG33" s="4461"/>
      <c r="AH33" s="4461"/>
      <c r="AI33" s="4463"/>
      <c r="AJ33" s="4474"/>
      <c r="AK33" s="4461"/>
      <c r="AL33" s="4461"/>
      <c r="AM33" s="2422"/>
      <c r="AN33" s="4462"/>
      <c r="AO33" s="644"/>
      <c r="AP33" s="4474"/>
      <c r="AQ33" s="4461"/>
      <c r="AR33" s="4461"/>
      <c r="AS33" s="4463"/>
      <c r="AT33" s="4474"/>
      <c r="AU33" s="4461"/>
      <c r="AV33" s="4461"/>
      <c r="AW33" s="4463"/>
      <c r="AX33" s="4474"/>
      <c r="AY33" s="4461"/>
      <c r="AZ33" s="4461">
        <v>2190.37</v>
      </c>
      <c r="BA33" s="2422"/>
      <c r="BB33" s="4558">
        <f t="shared" si="1"/>
        <v>2190.37</v>
      </c>
      <c r="BC33" s="1282"/>
      <c r="BD33" s="1854">
        <f t="shared" si="2"/>
        <v>2190.37</v>
      </c>
      <c r="BE33" s="644"/>
      <c r="BF33" s="4564">
        <f t="shared" si="3"/>
        <v>2190.37</v>
      </c>
    </row>
    <row r="34" spans="2:60" s="1726" customFormat="1" ht="15.75" x14ac:dyDescent="0.25">
      <c r="B34" s="2776" t="s">
        <v>1130</v>
      </c>
      <c r="C34" s="2777" t="s">
        <v>1534</v>
      </c>
      <c r="D34" s="3621" t="s">
        <v>53</v>
      </c>
      <c r="E34" s="2706"/>
      <c r="F34" s="3601"/>
      <c r="G34" s="3601"/>
      <c r="H34" s="3601"/>
      <c r="I34" s="3597"/>
      <c r="J34" s="3597"/>
      <c r="K34" s="3601"/>
      <c r="L34" s="3601"/>
      <c r="M34" s="2422"/>
      <c r="N34" s="3600"/>
      <c r="O34" s="3601"/>
      <c r="P34" s="3601"/>
      <c r="Q34" s="3597"/>
      <c r="R34" s="3612"/>
      <c r="S34" s="3601"/>
      <c r="T34" s="3601"/>
      <c r="U34" s="3597"/>
      <c r="V34" s="3612"/>
      <c r="W34" s="3601"/>
      <c r="X34" s="3601"/>
      <c r="Y34" s="2422"/>
      <c r="Z34" s="3600"/>
      <c r="AA34" s="3641"/>
      <c r="AB34" s="1854"/>
      <c r="AC34" s="3601"/>
      <c r="AD34" s="3601"/>
      <c r="AE34" s="3597"/>
      <c r="AF34" s="3612"/>
      <c r="AG34" s="3601"/>
      <c r="AH34" s="3601"/>
      <c r="AI34" s="3597"/>
      <c r="AJ34" s="3612"/>
      <c r="AK34" s="3601"/>
      <c r="AL34" s="3601">
        <v>1108.3899999999999</v>
      </c>
      <c r="AM34" s="2422"/>
      <c r="AN34" s="3600">
        <f t="shared" si="11"/>
        <v>1108.3899999999999</v>
      </c>
      <c r="AO34" s="644"/>
      <c r="AP34" s="3612">
        <f t="shared" si="12"/>
        <v>1108.3899999999999</v>
      </c>
      <c r="AQ34" s="3873"/>
      <c r="AR34" s="3873"/>
      <c r="AS34" s="3874"/>
      <c r="AT34" s="3894">
        <f t="shared" si="13"/>
        <v>1108.3899999999999</v>
      </c>
      <c r="AU34" s="4061"/>
      <c r="AV34" s="4061"/>
      <c r="AW34" s="4062"/>
      <c r="AX34" s="4096">
        <f t="shared" si="0"/>
        <v>1108.3899999999999</v>
      </c>
      <c r="AY34" s="4379"/>
      <c r="AZ34" s="4379"/>
      <c r="BA34" s="2422"/>
      <c r="BB34" s="4558">
        <f t="shared" si="1"/>
        <v>0</v>
      </c>
      <c r="BC34" s="1282"/>
      <c r="BD34" s="1854">
        <f t="shared" si="2"/>
        <v>1108.3899999999999</v>
      </c>
      <c r="BE34" s="644"/>
      <c r="BF34" s="4564">
        <f t="shared" si="3"/>
        <v>1108.3899999999999</v>
      </c>
    </row>
    <row r="35" spans="2:60" ht="15.75" x14ac:dyDescent="0.25">
      <c r="B35" s="2776" t="s">
        <v>1130</v>
      </c>
      <c r="C35" s="2777" t="s">
        <v>1533</v>
      </c>
      <c r="D35" s="1504" t="s">
        <v>53</v>
      </c>
      <c r="E35" s="2706"/>
      <c r="F35" s="475"/>
      <c r="G35" s="475"/>
      <c r="H35" s="475">
        <v>1233.1400000000001</v>
      </c>
      <c r="I35" s="2339"/>
      <c r="J35" s="2339">
        <f t="shared" si="4"/>
        <v>1233.1400000000001</v>
      </c>
      <c r="K35" s="475"/>
      <c r="L35" s="475">
        <v>1820.05</v>
      </c>
      <c r="M35" s="2422"/>
      <c r="N35" s="2338">
        <f t="shared" si="17"/>
        <v>3053.19</v>
      </c>
      <c r="O35" s="475"/>
      <c r="P35" s="475">
        <v>0</v>
      </c>
      <c r="Q35" s="2339"/>
      <c r="R35" s="1586">
        <f t="shared" si="14"/>
        <v>3053.19</v>
      </c>
      <c r="S35" s="475"/>
      <c r="T35" s="475">
        <v>3206.56</v>
      </c>
      <c r="U35" s="2339"/>
      <c r="V35" s="1586">
        <f t="shared" si="6"/>
        <v>6259.75</v>
      </c>
      <c r="W35" s="475"/>
      <c r="X35" s="3103">
        <v>0</v>
      </c>
      <c r="Y35" s="2422"/>
      <c r="Z35" s="2338">
        <f t="shared" si="7"/>
        <v>3206.56</v>
      </c>
      <c r="AA35" s="1134"/>
      <c r="AB35" s="1854">
        <f t="shared" si="8"/>
        <v>6259.75</v>
      </c>
      <c r="AC35" s="3170"/>
      <c r="AD35" s="3189">
        <v>7143.1849999999986</v>
      </c>
      <c r="AE35" s="3163"/>
      <c r="AF35" s="3169">
        <f t="shared" si="9"/>
        <v>13402.934999999998</v>
      </c>
      <c r="AG35" s="3327"/>
      <c r="AH35" s="3327">
        <v>0</v>
      </c>
      <c r="AI35" s="3321"/>
      <c r="AJ35" s="3326">
        <f t="shared" si="10"/>
        <v>13402.934999999998</v>
      </c>
      <c r="AK35" s="3601"/>
      <c r="AL35" s="3601">
        <v>2290.4</v>
      </c>
      <c r="AM35" s="2422"/>
      <c r="AN35" s="3600">
        <f t="shared" si="11"/>
        <v>9433.5849999999991</v>
      </c>
      <c r="AO35" s="644"/>
      <c r="AP35" s="3612">
        <f t="shared" si="12"/>
        <v>15693.334999999997</v>
      </c>
      <c r="AQ35" s="3873"/>
      <c r="AR35" s="3873">
        <v>6587.0850000000009</v>
      </c>
      <c r="AS35" s="3874"/>
      <c r="AT35" s="3894">
        <f t="shared" si="13"/>
        <v>22280.42</v>
      </c>
      <c r="AU35" s="4061"/>
      <c r="AV35" s="4061"/>
      <c r="AW35" s="4062"/>
      <c r="AX35" s="4096">
        <f t="shared" si="0"/>
        <v>22280.42</v>
      </c>
      <c r="AY35" s="4379"/>
      <c r="AZ35" s="4379">
        <v>1335.7399999999998</v>
      </c>
      <c r="BA35" s="2422"/>
      <c r="BB35" s="4558">
        <f t="shared" si="1"/>
        <v>7922.8250000000007</v>
      </c>
      <c r="BC35" s="1282"/>
      <c r="BD35" s="1854">
        <f t="shared" si="2"/>
        <v>17356.41</v>
      </c>
      <c r="BE35" s="644"/>
      <c r="BF35" s="4564">
        <f t="shared" si="3"/>
        <v>23616.159999999996</v>
      </c>
    </row>
    <row r="36" spans="2:60" ht="15.75" x14ac:dyDescent="0.25">
      <c r="B36" s="2776" t="s">
        <v>1131</v>
      </c>
      <c r="C36" s="2777" t="s">
        <v>1532</v>
      </c>
      <c r="D36" s="1504" t="s">
        <v>53</v>
      </c>
      <c r="E36" s="2706"/>
      <c r="F36" s="475"/>
      <c r="G36" s="475"/>
      <c r="H36" s="475">
        <f>2555.75-8.4</f>
        <v>2547.35</v>
      </c>
      <c r="I36" s="2339"/>
      <c r="J36" s="2339">
        <f t="shared" si="4"/>
        <v>2547.35</v>
      </c>
      <c r="K36" s="475"/>
      <c r="L36" s="475"/>
      <c r="M36" s="2422"/>
      <c r="N36" s="2338">
        <f t="shared" si="17"/>
        <v>2547.35</v>
      </c>
      <c r="O36" s="475"/>
      <c r="P36" s="475">
        <f>5222.93-12.2</f>
        <v>5210.7300000000005</v>
      </c>
      <c r="Q36" s="2339"/>
      <c r="R36" s="1586">
        <f t="shared" si="14"/>
        <v>7758.08</v>
      </c>
      <c r="S36" s="475"/>
      <c r="T36" s="475">
        <v>7261.795000000001</v>
      </c>
      <c r="U36" s="2339"/>
      <c r="V36" s="1586">
        <f t="shared" si="6"/>
        <v>15019.875</v>
      </c>
      <c r="W36" s="475"/>
      <c r="X36" s="475">
        <v>0</v>
      </c>
      <c r="Y36" s="2422"/>
      <c r="Z36" s="2338">
        <f t="shared" si="7"/>
        <v>12472.525000000001</v>
      </c>
      <c r="AA36" s="1134"/>
      <c r="AB36" s="1854">
        <f t="shared" si="8"/>
        <v>15019.875000000002</v>
      </c>
      <c r="AC36" s="3170"/>
      <c r="AD36" s="3189">
        <v>0</v>
      </c>
      <c r="AE36" s="3163"/>
      <c r="AF36" s="3169">
        <f t="shared" si="9"/>
        <v>15019.875000000002</v>
      </c>
      <c r="AG36" s="3327"/>
      <c r="AH36" s="3327">
        <v>3177.93</v>
      </c>
      <c r="AI36" s="3321"/>
      <c r="AJ36" s="3326">
        <f t="shared" si="10"/>
        <v>18197.805</v>
      </c>
      <c r="AK36" s="3601"/>
      <c r="AL36" s="3601">
        <v>2552.16</v>
      </c>
      <c r="AM36" s="2422"/>
      <c r="AN36" s="3600">
        <f t="shared" si="11"/>
        <v>5730.09</v>
      </c>
      <c r="AO36" s="644"/>
      <c r="AP36" s="3612">
        <f t="shared" si="12"/>
        <v>20749.965</v>
      </c>
      <c r="AQ36" s="3873"/>
      <c r="AR36" s="3873"/>
      <c r="AS36" s="3874"/>
      <c r="AT36" s="3894">
        <f t="shared" si="13"/>
        <v>20749.965</v>
      </c>
      <c r="AU36" s="4061"/>
      <c r="AV36" s="4061">
        <v>2397.4299999999998</v>
      </c>
      <c r="AW36" s="4062"/>
      <c r="AX36" s="4096">
        <f t="shared" si="0"/>
        <v>23147.395</v>
      </c>
      <c r="AY36" s="4379"/>
      <c r="AZ36" s="4379">
        <v>515.62</v>
      </c>
      <c r="BA36" s="2422"/>
      <c r="BB36" s="4558">
        <f t="shared" si="1"/>
        <v>2913.0499999999997</v>
      </c>
      <c r="BC36" s="1282"/>
      <c r="BD36" s="1854">
        <f t="shared" si="2"/>
        <v>8643.14</v>
      </c>
      <c r="BE36" s="644"/>
      <c r="BF36" s="4564">
        <f t="shared" si="3"/>
        <v>23663.014999999999</v>
      </c>
    </row>
    <row r="37" spans="2:60" ht="15" customHeight="1" x14ac:dyDescent="0.25">
      <c r="B37" s="2776" t="s">
        <v>1131</v>
      </c>
      <c r="C37" s="2777" t="s">
        <v>1533</v>
      </c>
      <c r="D37" s="1504" t="s">
        <v>53</v>
      </c>
      <c r="E37" s="2706"/>
      <c r="F37" s="475"/>
      <c r="G37" s="475"/>
      <c r="H37" s="475">
        <v>1506.12</v>
      </c>
      <c r="I37" s="2339"/>
      <c r="J37" s="2339">
        <f t="shared" si="4"/>
        <v>1506.12</v>
      </c>
      <c r="K37" s="475"/>
      <c r="L37" s="475"/>
      <c r="M37" s="2422"/>
      <c r="N37" s="2338">
        <f t="shared" si="17"/>
        <v>1506.12</v>
      </c>
      <c r="O37" s="475"/>
      <c r="P37" s="475">
        <v>1730.07</v>
      </c>
      <c r="Q37" s="2339"/>
      <c r="R37" s="1586">
        <f t="shared" si="14"/>
        <v>3236.1899999999996</v>
      </c>
      <c r="S37" s="475"/>
      <c r="T37" s="475">
        <v>699.39</v>
      </c>
      <c r="U37" s="2339"/>
      <c r="V37" s="1586">
        <f t="shared" si="6"/>
        <v>3935.5799999999995</v>
      </c>
      <c r="W37" s="475"/>
      <c r="X37" s="475">
        <v>0</v>
      </c>
      <c r="Y37" s="2422"/>
      <c r="Z37" s="2338">
        <f t="shared" si="7"/>
        <v>2429.46</v>
      </c>
      <c r="AA37" s="1134"/>
      <c r="AB37" s="1854">
        <f t="shared" si="8"/>
        <v>3935.58</v>
      </c>
      <c r="AC37" s="3170"/>
      <c r="AD37" s="3189">
        <v>6730.0069999999996</v>
      </c>
      <c r="AE37" s="3163"/>
      <c r="AF37" s="3169">
        <f t="shared" si="9"/>
        <v>10665.587</v>
      </c>
      <c r="AG37" s="3327"/>
      <c r="AH37" s="3327">
        <v>0</v>
      </c>
      <c r="AI37" s="3321"/>
      <c r="AJ37" s="3326">
        <f t="shared" si="10"/>
        <v>10665.587</v>
      </c>
      <c r="AK37" s="3601"/>
      <c r="AL37" s="3601">
        <v>3243.37</v>
      </c>
      <c r="AM37" s="2422"/>
      <c r="AN37" s="3600">
        <f t="shared" si="11"/>
        <v>9973.3770000000004</v>
      </c>
      <c r="AO37" s="644"/>
      <c r="AP37" s="3612">
        <f t="shared" si="12"/>
        <v>13908.956999999999</v>
      </c>
      <c r="AQ37" s="3873"/>
      <c r="AR37" s="3873"/>
      <c r="AS37" s="3874"/>
      <c r="AT37" s="3894">
        <f t="shared" si="13"/>
        <v>13908.956999999999</v>
      </c>
      <c r="AU37" s="4061"/>
      <c r="AV37" s="4061">
        <v>458.78</v>
      </c>
      <c r="AW37" s="4062"/>
      <c r="AX37" s="4096">
        <f t="shared" si="0"/>
        <v>14367.736999999999</v>
      </c>
      <c r="AY37" s="4379"/>
      <c r="AZ37" s="4379"/>
      <c r="BA37" s="2422"/>
      <c r="BB37" s="4558">
        <f t="shared" si="1"/>
        <v>458.78</v>
      </c>
      <c r="BC37" s="1282"/>
      <c r="BD37" s="1854">
        <f t="shared" si="2"/>
        <v>10432.157000000001</v>
      </c>
      <c r="BE37" s="644"/>
      <c r="BF37" s="4564">
        <f t="shared" si="3"/>
        <v>14367.736999999999</v>
      </c>
    </row>
    <row r="38" spans="2:60" s="1619" customFormat="1" ht="15" customHeight="1" x14ac:dyDescent="0.25">
      <c r="B38" s="2776" t="s">
        <v>1131</v>
      </c>
      <c r="C38" s="2777" t="s">
        <v>1449</v>
      </c>
      <c r="D38" s="1504" t="s">
        <v>53</v>
      </c>
      <c r="E38" s="2706"/>
      <c r="F38" s="475"/>
      <c r="G38" s="475"/>
      <c r="H38" s="475"/>
      <c r="I38" s="2339"/>
      <c r="J38" s="2339">
        <f t="shared" si="4"/>
        <v>0</v>
      </c>
      <c r="K38" s="475"/>
      <c r="L38" s="475"/>
      <c r="M38" s="2422"/>
      <c r="N38" s="2338">
        <f t="shared" si="17"/>
        <v>0</v>
      </c>
      <c r="O38" s="475"/>
      <c r="P38" s="475">
        <v>1220.865</v>
      </c>
      <c r="Q38" s="2339"/>
      <c r="R38" s="1586">
        <f t="shared" si="14"/>
        <v>1220.865</v>
      </c>
      <c r="S38" s="475"/>
      <c r="T38" s="475">
        <v>948.88</v>
      </c>
      <c r="U38" s="2339"/>
      <c r="V38" s="1586">
        <f t="shared" si="6"/>
        <v>2169.7449999999999</v>
      </c>
      <c r="W38" s="475"/>
      <c r="X38" s="475">
        <v>71.575000000000003</v>
      </c>
      <c r="Y38" s="2422"/>
      <c r="Z38" s="2338">
        <f t="shared" si="7"/>
        <v>2241.3199999999997</v>
      </c>
      <c r="AA38" s="1134"/>
      <c r="AB38" s="1854">
        <f t="shared" si="8"/>
        <v>2241.3199999999997</v>
      </c>
      <c r="AC38" s="3170"/>
      <c r="AD38" s="3189">
        <v>0</v>
      </c>
      <c r="AE38" s="3163"/>
      <c r="AF38" s="3169">
        <f t="shared" si="9"/>
        <v>2241.3199999999997</v>
      </c>
      <c r="AG38" s="3327"/>
      <c r="AH38" s="3327">
        <v>0</v>
      </c>
      <c r="AI38" s="3321"/>
      <c r="AJ38" s="3326">
        <f t="shared" si="10"/>
        <v>2241.3199999999997</v>
      </c>
      <c r="AK38" s="3601"/>
      <c r="AL38" s="3601">
        <v>0</v>
      </c>
      <c r="AM38" s="2422"/>
      <c r="AN38" s="3600">
        <f t="shared" si="11"/>
        <v>0</v>
      </c>
      <c r="AO38" s="644"/>
      <c r="AP38" s="3612">
        <f t="shared" si="12"/>
        <v>2241.3199999999997</v>
      </c>
      <c r="AQ38" s="3873"/>
      <c r="AR38" s="3873"/>
      <c r="AS38" s="3874"/>
      <c r="AT38" s="3894">
        <f t="shared" si="13"/>
        <v>2241.3199999999997</v>
      </c>
      <c r="AU38" s="4061"/>
      <c r="AV38" s="4061"/>
      <c r="AW38" s="4062"/>
      <c r="AX38" s="4096">
        <f t="shared" si="0"/>
        <v>2241.3199999999997</v>
      </c>
      <c r="AY38" s="4379"/>
      <c r="AZ38" s="4379"/>
      <c r="BA38" s="2422"/>
      <c r="BB38" s="4558">
        <f t="shared" si="1"/>
        <v>0</v>
      </c>
      <c r="BC38" s="1282"/>
      <c r="BD38" s="1854">
        <f t="shared" si="2"/>
        <v>0</v>
      </c>
      <c r="BE38" s="644"/>
      <c r="BF38" s="4564">
        <f t="shared" si="3"/>
        <v>2241.3199999999997</v>
      </c>
    </row>
    <row r="39" spans="2:60" s="4468" customFormat="1" ht="15" customHeight="1" x14ac:dyDescent="0.25">
      <c r="B39" s="2776" t="s">
        <v>1131</v>
      </c>
      <c r="C39" s="2777" t="s">
        <v>1860</v>
      </c>
      <c r="D39" s="3621" t="s">
        <v>53</v>
      </c>
      <c r="E39" s="2706"/>
      <c r="F39" s="4461"/>
      <c r="G39" s="4461"/>
      <c r="H39" s="4461"/>
      <c r="I39" s="4463"/>
      <c r="J39" s="4463"/>
      <c r="K39" s="4461"/>
      <c r="L39" s="4461"/>
      <c r="M39" s="2422"/>
      <c r="N39" s="4462"/>
      <c r="O39" s="4461"/>
      <c r="P39" s="4461"/>
      <c r="Q39" s="4463"/>
      <c r="R39" s="4474"/>
      <c r="S39" s="4461"/>
      <c r="T39" s="4461"/>
      <c r="U39" s="4463"/>
      <c r="V39" s="4474"/>
      <c r="W39" s="4461"/>
      <c r="X39" s="4461"/>
      <c r="Y39" s="2422"/>
      <c r="Z39" s="4462"/>
      <c r="AA39" s="4464"/>
      <c r="AB39" s="1854"/>
      <c r="AC39" s="4461"/>
      <c r="AD39" s="4461"/>
      <c r="AE39" s="4463"/>
      <c r="AF39" s="4474"/>
      <c r="AG39" s="4461"/>
      <c r="AH39" s="4461"/>
      <c r="AI39" s="4463"/>
      <c r="AJ39" s="4474"/>
      <c r="AK39" s="4461"/>
      <c r="AL39" s="4461"/>
      <c r="AM39" s="2422"/>
      <c r="AN39" s="4462"/>
      <c r="AO39" s="644"/>
      <c r="AP39" s="4474"/>
      <c r="AQ39" s="4461"/>
      <c r="AR39" s="4461"/>
      <c r="AS39" s="4463"/>
      <c r="AT39" s="4474"/>
      <c r="AU39" s="4461"/>
      <c r="AV39" s="4461"/>
      <c r="AW39" s="4463"/>
      <c r="AX39" s="4474"/>
      <c r="AY39" s="4461"/>
      <c r="AZ39" s="4461">
        <v>3887.45</v>
      </c>
      <c r="BA39" s="2422"/>
      <c r="BB39" s="4558">
        <f t="shared" si="1"/>
        <v>3887.45</v>
      </c>
      <c r="BC39" s="1282"/>
      <c r="BD39" s="1854">
        <f t="shared" si="2"/>
        <v>3887.45</v>
      </c>
      <c r="BE39" s="644"/>
      <c r="BF39" s="4564">
        <f t="shared" si="3"/>
        <v>3887.45</v>
      </c>
      <c r="BH39" s="4090">
        <f>+AZ39+AZ40</f>
        <v>4914.6299999999992</v>
      </c>
    </row>
    <row r="40" spans="2:60" ht="15.75" x14ac:dyDescent="0.25">
      <c r="B40" s="2776" t="s">
        <v>1131</v>
      </c>
      <c r="C40" s="2777" t="s">
        <v>1163</v>
      </c>
      <c r="D40" s="1504" t="s">
        <v>53</v>
      </c>
      <c r="E40" s="2706"/>
      <c r="F40" s="475"/>
      <c r="G40" s="475"/>
      <c r="H40" s="475">
        <f>7960.53-10</f>
        <v>7950.53</v>
      </c>
      <c r="I40" s="2339"/>
      <c r="J40" s="2339">
        <f t="shared" si="4"/>
        <v>7950.53</v>
      </c>
      <c r="K40" s="475"/>
      <c r="L40" s="475"/>
      <c r="M40" s="2422"/>
      <c r="N40" s="2338">
        <f t="shared" si="17"/>
        <v>7950.53</v>
      </c>
      <c r="O40" s="475"/>
      <c r="P40" s="475">
        <v>3276.09</v>
      </c>
      <c r="Q40" s="2339"/>
      <c r="R40" s="1586">
        <f t="shared" si="14"/>
        <v>11226.619999999999</v>
      </c>
      <c r="S40" s="475"/>
      <c r="T40" s="475">
        <v>3879.3649999999998</v>
      </c>
      <c r="U40" s="2339"/>
      <c r="V40" s="1586">
        <f t="shared" si="6"/>
        <v>15105.984999999999</v>
      </c>
      <c r="W40" s="475"/>
      <c r="X40" s="475">
        <v>0</v>
      </c>
      <c r="Y40" s="2422"/>
      <c r="Z40" s="2338">
        <f t="shared" si="7"/>
        <v>7155.4549999999999</v>
      </c>
      <c r="AA40" s="1134"/>
      <c r="AB40" s="1854">
        <f t="shared" si="8"/>
        <v>15105.985000000001</v>
      </c>
      <c r="AC40" s="3170"/>
      <c r="AD40" s="3189">
        <v>5525.59</v>
      </c>
      <c r="AE40" s="3163"/>
      <c r="AF40" s="3169">
        <f t="shared" si="9"/>
        <v>20631.575000000001</v>
      </c>
      <c r="AG40" s="3327"/>
      <c r="AH40" s="3327">
        <v>6573.3350000000009</v>
      </c>
      <c r="AI40" s="3321"/>
      <c r="AJ40" s="3326">
        <f t="shared" si="10"/>
        <v>27204.910000000003</v>
      </c>
      <c r="AK40" s="3601"/>
      <c r="AL40" s="3601">
        <v>2333.3449999999998</v>
      </c>
      <c r="AM40" s="2422"/>
      <c r="AN40" s="3600">
        <f t="shared" si="11"/>
        <v>14432.27</v>
      </c>
      <c r="AO40" s="644"/>
      <c r="AP40" s="3612">
        <f t="shared" si="12"/>
        <v>29538.255000000005</v>
      </c>
      <c r="AQ40" s="3873"/>
      <c r="AR40" s="3873"/>
      <c r="AS40" s="3874"/>
      <c r="AT40" s="3894">
        <f t="shared" si="13"/>
        <v>29538.255000000005</v>
      </c>
      <c r="AU40" s="4061"/>
      <c r="AV40" s="4061">
        <v>6613.8179999999993</v>
      </c>
      <c r="AW40" s="4062"/>
      <c r="AX40" s="4096">
        <f t="shared" si="0"/>
        <v>36152.073000000004</v>
      </c>
      <c r="AY40" s="4379"/>
      <c r="AZ40" s="4379">
        <v>1027.1799999999998</v>
      </c>
      <c r="BA40" s="2422"/>
      <c r="BB40" s="4558">
        <f t="shared" si="1"/>
        <v>7640.9979999999996</v>
      </c>
      <c r="BC40" s="1282"/>
      <c r="BD40" s="1854">
        <f t="shared" si="2"/>
        <v>22073.268</v>
      </c>
      <c r="BE40" s="644"/>
      <c r="BF40" s="4564">
        <f t="shared" si="3"/>
        <v>37179.253000000004</v>
      </c>
    </row>
    <row r="41" spans="2:60" s="669" customFormat="1" ht="15.75" x14ac:dyDescent="0.25">
      <c r="B41" s="2776" t="s">
        <v>1132</v>
      </c>
      <c r="C41" s="2777" t="s">
        <v>1533</v>
      </c>
      <c r="D41" s="1504" t="s">
        <v>53</v>
      </c>
      <c r="E41" s="2706"/>
      <c r="F41" s="475"/>
      <c r="G41" s="475"/>
      <c r="H41" s="475">
        <v>883.08</v>
      </c>
      <c r="I41" s="2339"/>
      <c r="J41" s="2339">
        <f t="shared" si="4"/>
        <v>883.08</v>
      </c>
      <c r="K41" s="475"/>
      <c r="L41" s="475">
        <v>1002.05</v>
      </c>
      <c r="M41" s="2422"/>
      <c r="N41" s="2338">
        <f t="shared" si="17"/>
        <v>1885.13</v>
      </c>
      <c r="O41" s="475"/>
      <c r="P41" s="475">
        <v>0</v>
      </c>
      <c r="Q41" s="2339"/>
      <c r="R41" s="1586">
        <f t="shared" si="14"/>
        <v>1885.13</v>
      </c>
      <c r="S41" s="475"/>
      <c r="T41" s="475">
        <v>0</v>
      </c>
      <c r="U41" s="2339"/>
      <c r="V41" s="1586">
        <f t="shared" si="6"/>
        <v>1885.13</v>
      </c>
      <c r="W41" s="475"/>
      <c r="X41" s="475">
        <v>0</v>
      </c>
      <c r="Y41" s="2422"/>
      <c r="Z41" s="2338">
        <f t="shared" si="7"/>
        <v>0</v>
      </c>
      <c r="AA41" s="1134"/>
      <c r="AB41" s="1854">
        <f t="shared" si="8"/>
        <v>1885.13</v>
      </c>
      <c r="AC41" s="3170"/>
      <c r="AD41" s="3189">
        <v>0</v>
      </c>
      <c r="AE41" s="3163"/>
      <c r="AF41" s="3169">
        <f t="shared" si="9"/>
        <v>1885.13</v>
      </c>
      <c r="AG41" s="3327"/>
      <c r="AH41" s="3327">
        <v>0</v>
      </c>
      <c r="AI41" s="3321"/>
      <c r="AJ41" s="3326">
        <f t="shared" si="10"/>
        <v>1885.13</v>
      </c>
      <c r="AK41" s="3601"/>
      <c r="AL41" s="3601">
        <v>0</v>
      </c>
      <c r="AM41" s="2422"/>
      <c r="AN41" s="3600">
        <f t="shared" si="11"/>
        <v>0</v>
      </c>
      <c r="AO41" s="644"/>
      <c r="AP41" s="3612">
        <f t="shared" si="12"/>
        <v>1885.13</v>
      </c>
      <c r="AQ41" s="3873"/>
      <c r="AR41" s="3873"/>
      <c r="AS41" s="3874"/>
      <c r="AT41" s="3894">
        <f t="shared" si="13"/>
        <v>1885.13</v>
      </c>
      <c r="AU41" s="4061"/>
      <c r="AV41" s="4061"/>
      <c r="AW41" s="4062"/>
      <c r="AX41" s="4096">
        <f t="shared" si="0"/>
        <v>1885.13</v>
      </c>
      <c r="AY41" s="4379"/>
      <c r="AZ41" s="4379"/>
      <c r="BA41" s="2422"/>
      <c r="BB41" s="4558">
        <f t="shared" si="1"/>
        <v>0</v>
      </c>
      <c r="BC41" s="1282"/>
      <c r="BD41" s="1854">
        <f t="shared" si="2"/>
        <v>0</v>
      </c>
      <c r="BE41" s="644"/>
      <c r="BF41" s="4564">
        <f t="shared" si="3"/>
        <v>1885.13</v>
      </c>
    </row>
    <row r="42" spans="2:60" s="898" customFormat="1" ht="15.75" x14ac:dyDescent="0.25">
      <c r="B42" s="2776" t="s">
        <v>1132</v>
      </c>
      <c r="C42" s="2777" t="s">
        <v>1163</v>
      </c>
      <c r="D42" s="1504" t="s">
        <v>53</v>
      </c>
      <c r="E42" s="2706"/>
      <c r="F42" s="475"/>
      <c r="G42" s="475"/>
      <c r="H42" s="475">
        <v>4664.88</v>
      </c>
      <c r="I42" s="2339"/>
      <c r="J42" s="2339">
        <f t="shared" si="4"/>
        <v>4664.88</v>
      </c>
      <c r="K42" s="475"/>
      <c r="L42" s="475">
        <v>4633.9699999999993</v>
      </c>
      <c r="M42" s="2422"/>
      <c r="N42" s="2338">
        <f t="shared" si="17"/>
        <v>9298.8499999999985</v>
      </c>
      <c r="O42" s="475"/>
      <c r="P42" s="475">
        <v>2075.6750000000002</v>
      </c>
      <c r="Q42" s="2339"/>
      <c r="R42" s="1586">
        <f t="shared" si="14"/>
        <v>11374.524999999998</v>
      </c>
      <c r="S42" s="475"/>
      <c r="T42" s="475">
        <v>3881.41</v>
      </c>
      <c r="U42" s="2339"/>
      <c r="V42" s="1586">
        <f t="shared" si="6"/>
        <v>15255.934999999998</v>
      </c>
      <c r="W42" s="475"/>
      <c r="X42" s="475">
        <v>4939.1799999999994</v>
      </c>
      <c r="Y42" s="2422"/>
      <c r="Z42" s="2338">
        <f t="shared" si="7"/>
        <v>10896.264999999999</v>
      </c>
      <c r="AA42" s="1134"/>
      <c r="AB42" s="1854">
        <f t="shared" si="8"/>
        <v>20195.114999999998</v>
      </c>
      <c r="AC42" s="3170"/>
      <c r="AD42" s="3189">
        <v>0</v>
      </c>
      <c r="AE42" s="3163"/>
      <c r="AF42" s="3169">
        <f t="shared" si="9"/>
        <v>20195.114999999998</v>
      </c>
      <c r="AG42" s="3327"/>
      <c r="AH42" s="3327">
        <v>5286.4350000000004</v>
      </c>
      <c r="AI42" s="3321"/>
      <c r="AJ42" s="3326">
        <f t="shared" si="10"/>
        <v>25481.55</v>
      </c>
      <c r="AK42" s="3601"/>
      <c r="AL42" s="3601">
        <v>0</v>
      </c>
      <c r="AM42" s="2422"/>
      <c r="AN42" s="3600">
        <f t="shared" si="11"/>
        <v>5286.4350000000004</v>
      </c>
      <c r="AO42" s="644"/>
      <c r="AP42" s="3612">
        <f t="shared" si="12"/>
        <v>25481.55</v>
      </c>
      <c r="AQ42" s="3873"/>
      <c r="AR42" s="3873"/>
      <c r="AS42" s="3874"/>
      <c r="AT42" s="3894">
        <f t="shared" si="13"/>
        <v>25481.55</v>
      </c>
      <c r="AU42" s="4061"/>
      <c r="AV42" s="4061">
        <v>1805.02</v>
      </c>
      <c r="AW42" s="4062"/>
      <c r="AX42" s="4096">
        <f t="shared" si="0"/>
        <v>27286.57</v>
      </c>
      <c r="AY42" s="4379"/>
      <c r="AZ42" s="4379"/>
      <c r="BA42" s="2422"/>
      <c r="BB42" s="4558">
        <f t="shared" si="1"/>
        <v>1805.02</v>
      </c>
      <c r="BC42" s="1282"/>
      <c r="BD42" s="1854">
        <f t="shared" si="2"/>
        <v>7091.4549999999999</v>
      </c>
      <c r="BE42" s="644"/>
      <c r="BF42" s="4564">
        <f t="shared" si="3"/>
        <v>27286.57</v>
      </c>
    </row>
    <row r="43" spans="2:60" s="669" customFormat="1" ht="15.75" x14ac:dyDescent="0.25">
      <c r="B43" s="2776" t="s">
        <v>1132</v>
      </c>
      <c r="C43" s="2777" t="s">
        <v>1532</v>
      </c>
      <c r="D43" s="1504" t="s">
        <v>53</v>
      </c>
      <c r="E43" s="2706"/>
      <c r="F43" s="475"/>
      <c r="G43" s="475"/>
      <c r="H43" s="475"/>
      <c r="I43" s="2339"/>
      <c r="J43" s="2339">
        <f t="shared" si="4"/>
        <v>0</v>
      </c>
      <c r="K43" s="475"/>
      <c r="L43" s="475"/>
      <c r="M43" s="2422"/>
      <c r="N43" s="2338">
        <f t="shared" si="17"/>
        <v>0</v>
      </c>
      <c r="O43" s="475"/>
      <c r="P43" s="475">
        <v>0</v>
      </c>
      <c r="Q43" s="2339"/>
      <c r="R43" s="1586">
        <f t="shared" si="14"/>
        <v>0</v>
      </c>
      <c r="S43" s="475"/>
      <c r="T43" s="475">
        <v>0</v>
      </c>
      <c r="U43" s="2339"/>
      <c r="V43" s="1586">
        <f t="shared" si="6"/>
        <v>0</v>
      </c>
      <c r="W43" s="475"/>
      <c r="X43" s="475">
        <v>0</v>
      </c>
      <c r="Y43" s="2422"/>
      <c r="Z43" s="2338">
        <f t="shared" si="7"/>
        <v>0</v>
      </c>
      <c r="AA43" s="1134"/>
      <c r="AB43" s="1854">
        <f t="shared" si="8"/>
        <v>0</v>
      </c>
      <c r="AC43" s="3170"/>
      <c r="AD43" s="3189">
        <v>0</v>
      </c>
      <c r="AE43" s="3163"/>
      <c r="AF43" s="3169">
        <f t="shared" si="9"/>
        <v>0</v>
      </c>
      <c r="AG43" s="3327"/>
      <c r="AH43" s="3327">
        <v>0</v>
      </c>
      <c r="AI43" s="3321"/>
      <c r="AJ43" s="3326">
        <f t="shared" si="10"/>
        <v>0</v>
      </c>
      <c r="AK43" s="3601"/>
      <c r="AL43" s="3601">
        <v>0</v>
      </c>
      <c r="AM43" s="2422"/>
      <c r="AN43" s="3600">
        <f t="shared" si="11"/>
        <v>0</v>
      </c>
      <c r="AO43" s="644"/>
      <c r="AP43" s="3612">
        <f t="shared" si="12"/>
        <v>0</v>
      </c>
      <c r="AQ43" s="3873"/>
      <c r="AR43" s="3873"/>
      <c r="AS43" s="3874"/>
      <c r="AT43" s="3894">
        <f t="shared" si="13"/>
        <v>0</v>
      </c>
      <c r="AU43" s="4061"/>
      <c r="AV43" s="4061"/>
      <c r="AW43" s="4062"/>
      <c r="AX43" s="4096">
        <f t="shared" si="0"/>
        <v>0</v>
      </c>
      <c r="AY43" s="4379"/>
      <c r="AZ43" s="4379"/>
      <c r="BA43" s="2422"/>
      <c r="BB43" s="4558">
        <f t="shared" si="1"/>
        <v>0</v>
      </c>
      <c r="BC43" s="1282"/>
      <c r="BD43" s="1854">
        <f t="shared" si="2"/>
        <v>0</v>
      </c>
      <c r="BE43" s="644"/>
      <c r="BF43" s="4564">
        <f t="shared" si="3"/>
        <v>0</v>
      </c>
    </row>
    <row r="44" spans="2:60" s="334" customFormat="1" ht="15.75" x14ac:dyDescent="0.25">
      <c r="B44" s="2778" t="s">
        <v>1061</v>
      </c>
      <c r="C44" s="2779"/>
      <c r="D44" s="2780"/>
      <c r="E44" s="2706"/>
      <c r="F44" s="475"/>
      <c r="G44" s="475"/>
      <c r="H44" s="475"/>
      <c r="I44" s="475"/>
      <c r="J44" s="475"/>
      <c r="K44" s="475"/>
      <c r="L44" s="475"/>
      <c r="M44" s="1574"/>
      <c r="N44" s="475"/>
      <c r="O44" s="475"/>
      <c r="P44" s="475"/>
      <c r="Q44" s="475"/>
      <c r="R44" s="1614"/>
      <c r="S44" s="475"/>
      <c r="T44" s="475"/>
      <c r="U44" s="475"/>
      <c r="V44" s="1614"/>
      <c r="W44" s="475"/>
      <c r="X44" s="475"/>
      <c r="Y44" s="1574"/>
      <c r="Z44" s="475"/>
      <c r="AA44" s="475"/>
      <c r="AB44" s="1614"/>
      <c r="AC44" s="3170"/>
      <c r="AD44" s="3170"/>
      <c r="AE44" s="3170"/>
      <c r="AF44" s="1614"/>
      <c r="AG44" s="3327"/>
      <c r="AH44" s="3327"/>
      <c r="AI44" s="3327"/>
      <c r="AJ44" s="1614"/>
      <c r="AK44" s="3601"/>
      <c r="AL44" s="3601"/>
      <c r="AM44" s="3628"/>
      <c r="AN44" s="3601"/>
      <c r="AO44" s="3601"/>
      <c r="AP44" s="1614"/>
      <c r="AQ44" s="3873"/>
      <c r="AR44" s="3873"/>
      <c r="AS44" s="3873"/>
      <c r="AT44" s="1614"/>
      <c r="AU44" s="4061"/>
      <c r="AV44" s="4061"/>
      <c r="AW44" s="4061"/>
      <c r="AX44" s="1614"/>
      <c r="AY44" s="4379"/>
      <c r="AZ44" s="4379"/>
      <c r="BA44" s="3628"/>
      <c r="BB44" s="4379"/>
      <c r="BC44" s="4379"/>
      <c r="BD44" s="1614"/>
      <c r="BE44" s="4379"/>
      <c r="BF44" s="1614"/>
    </row>
    <row r="45" spans="2:60" ht="15" customHeight="1" x14ac:dyDescent="0.25">
      <c r="B45" s="2781" t="s">
        <v>1523</v>
      </c>
      <c r="C45" s="2782"/>
      <c r="D45" s="2710" t="s">
        <v>53</v>
      </c>
      <c r="E45" s="2716"/>
      <c r="F45" s="1123"/>
      <c r="G45" s="470"/>
      <c r="H45" s="1123"/>
      <c r="I45" s="2339"/>
      <c r="J45" s="2339">
        <f t="shared" ref="J45:J51" si="18">+F45+H45</f>
        <v>0</v>
      </c>
      <c r="K45" s="470"/>
      <c r="L45" s="1123"/>
      <c r="M45" s="2422"/>
      <c r="N45" s="2338">
        <f t="shared" ref="N45:N51" si="19">+J45+L45</f>
        <v>0</v>
      </c>
      <c r="O45" s="470"/>
      <c r="P45" s="1123">
        <v>0</v>
      </c>
      <c r="Q45" s="644"/>
      <c r="R45" s="1586">
        <f t="shared" ref="R45:R51" si="20">+N45+P45</f>
        <v>0</v>
      </c>
      <c r="S45" s="470"/>
      <c r="T45" s="1123"/>
      <c r="U45" s="644"/>
      <c r="V45" s="1586">
        <f t="shared" ref="V45:V51" si="21">+R45+T45</f>
        <v>0</v>
      </c>
      <c r="W45" s="470"/>
      <c r="X45" s="1123"/>
      <c r="Y45" s="2422"/>
      <c r="Z45" s="2338">
        <f t="shared" si="7"/>
        <v>0</v>
      </c>
      <c r="AA45" s="1282"/>
      <c r="AB45" s="1854">
        <f t="shared" si="8"/>
        <v>0</v>
      </c>
      <c r="AC45" s="470"/>
      <c r="AD45" s="1123">
        <v>0</v>
      </c>
      <c r="AE45" s="644"/>
      <c r="AF45" s="3169">
        <f t="shared" ref="AF45:AF51" si="22">+AB45+AD45</f>
        <v>0</v>
      </c>
      <c r="AG45" s="470"/>
      <c r="AH45" s="3327">
        <v>36.700000000000003</v>
      </c>
      <c r="AI45" s="644"/>
      <c r="AJ45" s="3326">
        <f t="shared" ref="AJ45:AJ51" si="23">+AF45+AH45</f>
        <v>36.700000000000003</v>
      </c>
      <c r="AK45" s="470"/>
      <c r="AL45" s="3601">
        <v>0</v>
      </c>
      <c r="AM45" s="2422"/>
      <c r="AN45" s="3600">
        <f t="shared" ref="AN45:AN51" si="24">+AD45+AH45+AL45</f>
        <v>36.700000000000003</v>
      </c>
      <c r="AO45" s="644"/>
      <c r="AP45" s="3612">
        <f t="shared" ref="AP45:AP51" si="25">+AJ45+AL45</f>
        <v>36.700000000000003</v>
      </c>
      <c r="AQ45" s="470"/>
      <c r="AR45" s="3873"/>
      <c r="AS45" s="644"/>
      <c r="AT45" s="3894">
        <f t="shared" ref="AT45:AT51" si="26">+AP45+AR45</f>
        <v>36.700000000000003</v>
      </c>
      <c r="AU45" s="470"/>
      <c r="AV45" s="4061"/>
      <c r="AW45" s="644"/>
      <c r="AX45" s="4081">
        <f t="shared" ref="AX45:AX51" si="27">+AT45+AV45</f>
        <v>36.700000000000003</v>
      </c>
      <c r="AY45" s="470"/>
      <c r="AZ45" s="4379"/>
      <c r="BA45" s="2422"/>
      <c r="BB45" s="4558">
        <f t="shared" ref="BB45:BB51" si="28">+AR45+AV45+AZ45</f>
        <v>0</v>
      </c>
      <c r="BC45" s="1282"/>
      <c r="BD45" s="1854">
        <f t="shared" ref="BD45:BD51" si="29">+BB45+AN45</f>
        <v>36.700000000000003</v>
      </c>
      <c r="BE45" s="644"/>
      <c r="BF45" s="4564">
        <f t="shared" ref="BF45:BF51" si="30">+AX45+AZ45</f>
        <v>36.700000000000003</v>
      </c>
    </row>
    <row r="46" spans="2:60" s="1492" customFormat="1" ht="15" customHeight="1" x14ac:dyDescent="0.25">
      <c r="B46" s="2781" t="s">
        <v>1521</v>
      </c>
      <c r="C46" s="2782"/>
      <c r="D46" s="2710" t="s">
        <v>53</v>
      </c>
      <c r="E46" s="2716"/>
      <c r="F46" s="1574"/>
      <c r="G46" s="470"/>
      <c r="H46" s="1574">
        <v>10</v>
      </c>
      <c r="I46" s="2339"/>
      <c r="J46" s="2339">
        <f t="shared" si="18"/>
        <v>10</v>
      </c>
      <c r="K46" s="470"/>
      <c r="L46" s="1574"/>
      <c r="M46" s="2422"/>
      <c r="N46" s="2338">
        <f t="shared" si="19"/>
        <v>10</v>
      </c>
      <c r="O46" s="470"/>
      <c r="P46" s="1574">
        <v>12.2</v>
      </c>
      <c r="Q46" s="644"/>
      <c r="R46" s="1586">
        <f t="shared" si="20"/>
        <v>22.2</v>
      </c>
      <c r="S46" s="470"/>
      <c r="T46" s="1574"/>
      <c r="U46" s="644"/>
      <c r="V46" s="1586">
        <f t="shared" si="21"/>
        <v>22.2</v>
      </c>
      <c r="W46" s="470"/>
      <c r="X46" s="1574"/>
      <c r="Y46" s="2422"/>
      <c r="Z46" s="2338">
        <f t="shared" si="7"/>
        <v>12.2</v>
      </c>
      <c r="AA46" s="1282"/>
      <c r="AB46" s="1854">
        <f t="shared" si="8"/>
        <v>22.2</v>
      </c>
      <c r="AC46" s="470"/>
      <c r="AD46" s="3193">
        <v>8.2680000000000007</v>
      </c>
      <c r="AE46" s="644"/>
      <c r="AF46" s="3169">
        <f t="shared" si="22"/>
        <v>30.468</v>
      </c>
      <c r="AG46" s="470"/>
      <c r="AH46" s="3327">
        <v>17.7</v>
      </c>
      <c r="AI46" s="644"/>
      <c r="AJ46" s="3326">
        <f t="shared" si="23"/>
        <v>48.167999999999999</v>
      </c>
      <c r="AK46" s="470"/>
      <c r="AL46" s="3601">
        <v>0</v>
      </c>
      <c r="AM46" s="2422"/>
      <c r="AN46" s="3600">
        <f t="shared" si="24"/>
        <v>25.968</v>
      </c>
      <c r="AO46" s="644"/>
      <c r="AP46" s="3612">
        <f t="shared" si="25"/>
        <v>48.167999999999999</v>
      </c>
      <c r="AQ46" s="470"/>
      <c r="AR46" s="3873"/>
      <c r="AS46" s="644"/>
      <c r="AT46" s="3894">
        <f t="shared" si="26"/>
        <v>48.167999999999999</v>
      </c>
      <c r="AU46" s="470"/>
      <c r="AV46" s="4061">
        <v>30.372</v>
      </c>
      <c r="AW46" s="644"/>
      <c r="AX46" s="4081">
        <f t="shared" si="27"/>
        <v>78.539999999999992</v>
      </c>
      <c r="AY46" s="470"/>
      <c r="AZ46" s="4379"/>
      <c r="BA46" s="2422"/>
      <c r="BB46" s="4558">
        <f t="shared" si="28"/>
        <v>30.372</v>
      </c>
      <c r="BC46" s="1282"/>
      <c r="BD46" s="1854">
        <f t="shared" si="29"/>
        <v>56.34</v>
      </c>
      <c r="BE46" s="644"/>
      <c r="BF46" s="4564">
        <f t="shared" si="30"/>
        <v>78.539999999999992</v>
      </c>
    </row>
    <row r="47" spans="2:60" ht="15.75" customHeight="1" x14ac:dyDescent="0.25">
      <c r="B47" s="2783" t="s">
        <v>1519</v>
      </c>
      <c r="C47" s="2784"/>
      <c r="D47" s="1987" t="s">
        <v>53</v>
      </c>
      <c r="E47" s="2722"/>
      <c r="F47" s="471"/>
      <c r="G47" s="471"/>
      <c r="H47" s="471">
        <v>15.9</v>
      </c>
      <c r="I47" s="716"/>
      <c r="J47" s="2339">
        <f t="shared" si="18"/>
        <v>15.9</v>
      </c>
      <c r="K47" s="471"/>
      <c r="L47" s="471">
        <v>5.2</v>
      </c>
      <c r="M47" s="2785"/>
      <c r="N47" s="2338">
        <f t="shared" si="19"/>
        <v>21.1</v>
      </c>
      <c r="O47" s="471"/>
      <c r="P47" s="471">
        <v>10.8</v>
      </c>
      <c r="Q47" s="2786"/>
      <c r="R47" s="1586">
        <f t="shared" si="20"/>
        <v>31.900000000000002</v>
      </c>
      <c r="S47" s="471"/>
      <c r="T47" s="471">
        <v>18.97</v>
      </c>
      <c r="U47" s="2786"/>
      <c r="V47" s="1586">
        <f t="shared" si="21"/>
        <v>50.870000000000005</v>
      </c>
      <c r="W47" s="471"/>
      <c r="X47" s="471">
        <v>4.5</v>
      </c>
      <c r="Y47" s="2785"/>
      <c r="Z47" s="2338">
        <f t="shared" si="7"/>
        <v>34.269999999999996</v>
      </c>
      <c r="AA47" s="2787"/>
      <c r="AB47" s="1854">
        <f t="shared" si="8"/>
        <v>55.37</v>
      </c>
      <c r="AC47" s="471"/>
      <c r="AD47" s="471">
        <v>31.2</v>
      </c>
      <c r="AE47" s="2786"/>
      <c r="AF47" s="3169">
        <f t="shared" si="22"/>
        <v>86.57</v>
      </c>
      <c r="AG47" s="471"/>
      <c r="AH47" s="3327">
        <v>0</v>
      </c>
      <c r="AI47" s="2786"/>
      <c r="AJ47" s="3326">
        <f t="shared" si="23"/>
        <v>86.57</v>
      </c>
      <c r="AK47" s="471"/>
      <c r="AL47" s="3601">
        <v>0</v>
      </c>
      <c r="AM47" s="2785"/>
      <c r="AN47" s="3600">
        <f t="shared" si="24"/>
        <v>31.2</v>
      </c>
      <c r="AO47" s="2786"/>
      <c r="AP47" s="3612">
        <f t="shared" si="25"/>
        <v>86.57</v>
      </c>
      <c r="AQ47" s="471"/>
      <c r="AR47" s="3873">
        <v>59.25</v>
      </c>
      <c r="AS47" s="2786"/>
      <c r="AT47" s="3894">
        <f t="shared" si="26"/>
        <v>145.82</v>
      </c>
      <c r="AU47" s="471"/>
      <c r="AV47" s="4061">
        <v>17.54</v>
      </c>
      <c r="AW47" s="2786"/>
      <c r="AX47" s="4081">
        <f t="shared" si="27"/>
        <v>163.35999999999999</v>
      </c>
      <c r="AY47" s="471"/>
      <c r="AZ47" s="4379"/>
      <c r="BA47" s="2785"/>
      <c r="BB47" s="4558">
        <f t="shared" si="28"/>
        <v>76.789999999999992</v>
      </c>
      <c r="BC47" s="1282"/>
      <c r="BD47" s="1854">
        <f t="shared" si="29"/>
        <v>107.99</v>
      </c>
      <c r="BE47" s="644"/>
      <c r="BF47" s="4564">
        <f t="shared" si="30"/>
        <v>163.35999999999999</v>
      </c>
    </row>
    <row r="48" spans="2:60" ht="15.75" x14ac:dyDescent="0.25">
      <c r="B48" s="2781" t="s">
        <v>1518</v>
      </c>
      <c r="C48" s="2782"/>
      <c r="D48" s="2710" t="s">
        <v>53</v>
      </c>
      <c r="E48" s="2716"/>
      <c r="F48" s="1781">
        <v>1.22</v>
      </c>
      <c r="G48" s="470"/>
      <c r="H48" s="470"/>
      <c r="I48" s="2339"/>
      <c r="J48" s="2339">
        <f t="shared" si="18"/>
        <v>1.22</v>
      </c>
      <c r="K48" s="470"/>
      <c r="L48" s="470">
        <v>5.2</v>
      </c>
      <c r="M48" s="2422"/>
      <c r="N48" s="2338">
        <f t="shared" si="19"/>
        <v>6.42</v>
      </c>
      <c r="O48" s="470"/>
      <c r="P48" s="470">
        <v>8.4</v>
      </c>
      <c r="Q48" s="644"/>
      <c r="R48" s="1586">
        <f t="shared" si="20"/>
        <v>14.82</v>
      </c>
      <c r="S48" s="470"/>
      <c r="T48" s="470"/>
      <c r="U48" s="644"/>
      <c r="V48" s="1586">
        <f t="shared" si="21"/>
        <v>14.82</v>
      </c>
      <c r="W48" s="470"/>
      <c r="X48" s="470">
        <v>7.8</v>
      </c>
      <c r="Y48" s="2422"/>
      <c r="Z48" s="2338">
        <f t="shared" si="7"/>
        <v>16.2</v>
      </c>
      <c r="AA48" s="1282"/>
      <c r="AB48" s="1854">
        <f t="shared" si="8"/>
        <v>22.619999999999997</v>
      </c>
      <c r="AC48" s="470"/>
      <c r="AD48" s="470">
        <v>0</v>
      </c>
      <c r="AE48" s="644"/>
      <c r="AF48" s="3169">
        <f t="shared" si="22"/>
        <v>22.619999999999997</v>
      </c>
      <c r="AG48" s="470"/>
      <c r="AH48" s="3327">
        <v>60.2</v>
      </c>
      <c r="AI48" s="644"/>
      <c r="AJ48" s="3326">
        <f t="shared" si="23"/>
        <v>82.82</v>
      </c>
      <c r="AK48" s="470"/>
      <c r="AL48" s="3601">
        <v>10.8</v>
      </c>
      <c r="AM48" s="2422"/>
      <c r="AN48" s="3600">
        <f t="shared" si="24"/>
        <v>71</v>
      </c>
      <c r="AO48" s="644"/>
      <c r="AP48" s="3612">
        <f t="shared" si="25"/>
        <v>93.61999999999999</v>
      </c>
      <c r="AQ48" s="470"/>
      <c r="AR48" s="3873">
        <v>11.2</v>
      </c>
      <c r="AS48" s="644"/>
      <c r="AT48" s="3894">
        <f t="shared" si="26"/>
        <v>104.82</v>
      </c>
      <c r="AU48" s="470"/>
      <c r="AV48" s="4061">
        <v>2.2999999999999998</v>
      </c>
      <c r="AW48" s="644"/>
      <c r="AX48" s="4081">
        <f t="shared" si="27"/>
        <v>107.11999999999999</v>
      </c>
      <c r="AY48" s="470"/>
      <c r="AZ48" s="449">
        <v>8.4</v>
      </c>
      <c r="BA48" s="2422"/>
      <c r="BB48" s="4558">
        <f t="shared" si="28"/>
        <v>21.9</v>
      </c>
      <c r="BC48" s="1282"/>
      <c r="BD48" s="1854">
        <f t="shared" si="29"/>
        <v>92.9</v>
      </c>
      <c r="BE48" s="644"/>
      <c r="BF48" s="4564">
        <f t="shared" si="30"/>
        <v>115.52</v>
      </c>
    </row>
    <row r="49" spans="2:58" s="669" customFormat="1" ht="15.75" x14ac:dyDescent="0.25">
      <c r="B49" s="2781" t="s">
        <v>1541</v>
      </c>
      <c r="C49" s="2782"/>
      <c r="D49" s="2710" t="s">
        <v>53</v>
      </c>
      <c r="E49" s="2716"/>
      <c r="F49" s="1123"/>
      <c r="G49" s="470"/>
      <c r="H49" s="1123"/>
      <c r="I49" s="2339"/>
      <c r="J49" s="2339">
        <f t="shared" si="18"/>
        <v>0</v>
      </c>
      <c r="K49" s="470"/>
      <c r="L49" s="1123"/>
      <c r="M49" s="2422"/>
      <c r="N49" s="2338">
        <f t="shared" si="19"/>
        <v>0</v>
      </c>
      <c r="O49" s="470"/>
      <c r="P49" s="1123">
        <v>0</v>
      </c>
      <c r="Q49" s="644"/>
      <c r="R49" s="1586">
        <f t="shared" si="20"/>
        <v>0</v>
      </c>
      <c r="S49" s="470"/>
      <c r="T49" s="1123">
        <v>39</v>
      </c>
      <c r="U49" s="644"/>
      <c r="V49" s="1586">
        <f t="shared" si="21"/>
        <v>39</v>
      </c>
      <c r="W49" s="470"/>
      <c r="X49" s="1123">
        <v>9.6</v>
      </c>
      <c r="Y49" s="2422"/>
      <c r="Z49" s="2338">
        <f t="shared" si="7"/>
        <v>48.6</v>
      </c>
      <c r="AA49" s="1282"/>
      <c r="AB49" s="1854">
        <f t="shared" si="8"/>
        <v>48.6</v>
      </c>
      <c r="AC49" s="470"/>
      <c r="AD49" s="1123">
        <v>0</v>
      </c>
      <c r="AE49" s="644"/>
      <c r="AF49" s="3169">
        <f t="shared" si="22"/>
        <v>48.6</v>
      </c>
      <c r="AG49" s="470"/>
      <c r="AH49" s="3327">
        <v>2.5</v>
      </c>
      <c r="AI49" s="644"/>
      <c r="AJ49" s="3326">
        <f t="shared" si="23"/>
        <v>51.1</v>
      </c>
      <c r="AK49" s="470"/>
      <c r="AL49" s="3601">
        <v>0</v>
      </c>
      <c r="AM49" s="2422"/>
      <c r="AN49" s="3600">
        <f t="shared" si="24"/>
        <v>2.5</v>
      </c>
      <c r="AO49" s="644"/>
      <c r="AP49" s="3612">
        <f t="shared" si="25"/>
        <v>51.1</v>
      </c>
      <c r="AQ49" s="470"/>
      <c r="AR49" s="3873"/>
      <c r="AS49" s="644"/>
      <c r="AT49" s="3894">
        <f t="shared" si="26"/>
        <v>51.1</v>
      </c>
      <c r="AU49" s="470"/>
      <c r="AV49" s="4061"/>
      <c r="AW49" s="644"/>
      <c r="AX49" s="4081">
        <f t="shared" si="27"/>
        <v>51.1</v>
      </c>
      <c r="AY49" s="470"/>
      <c r="AZ49" s="4379"/>
      <c r="BA49" s="2422"/>
      <c r="BB49" s="4558">
        <f t="shared" si="28"/>
        <v>0</v>
      </c>
      <c r="BC49" s="1282"/>
      <c r="BD49" s="1854">
        <f t="shared" si="29"/>
        <v>2.5</v>
      </c>
      <c r="BE49" s="644"/>
      <c r="BF49" s="4564">
        <f t="shared" si="30"/>
        <v>51.1</v>
      </c>
    </row>
    <row r="50" spans="2:58" ht="15.75" x14ac:dyDescent="0.25">
      <c r="B50" s="2781" t="s">
        <v>1540</v>
      </c>
      <c r="C50" s="2782"/>
      <c r="D50" s="2710" t="s">
        <v>53</v>
      </c>
      <c r="E50" s="475"/>
      <c r="F50" s="1123"/>
      <c r="G50" s="475"/>
      <c r="H50" s="1123"/>
      <c r="I50" s="2339"/>
      <c r="J50" s="2339">
        <f t="shared" si="18"/>
        <v>0</v>
      </c>
      <c r="K50" s="475"/>
      <c r="L50" s="1123"/>
      <c r="M50" s="2422"/>
      <c r="N50" s="2338">
        <f t="shared" si="19"/>
        <v>0</v>
      </c>
      <c r="O50" s="475"/>
      <c r="P50" s="1123">
        <v>0</v>
      </c>
      <c r="Q50" s="2339"/>
      <c r="R50" s="1586">
        <f t="shared" si="20"/>
        <v>0</v>
      </c>
      <c r="S50" s="475"/>
      <c r="T50" s="1123"/>
      <c r="U50" s="2339"/>
      <c r="V50" s="1586">
        <f t="shared" si="21"/>
        <v>0</v>
      </c>
      <c r="W50" s="475"/>
      <c r="X50" s="1123"/>
      <c r="Y50" s="2422"/>
      <c r="Z50" s="2338">
        <f t="shared" si="7"/>
        <v>0</v>
      </c>
      <c r="AA50" s="1134"/>
      <c r="AB50" s="1854">
        <f t="shared" si="8"/>
        <v>0</v>
      </c>
      <c r="AC50" s="3170"/>
      <c r="AD50" s="1123">
        <v>3.242</v>
      </c>
      <c r="AE50" s="3163"/>
      <c r="AF50" s="3169">
        <f t="shared" si="22"/>
        <v>3.242</v>
      </c>
      <c r="AG50" s="3327"/>
      <c r="AH50" s="3327">
        <v>0</v>
      </c>
      <c r="AI50" s="3321"/>
      <c r="AJ50" s="3326">
        <f t="shared" si="23"/>
        <v>3.242</v>
      </c>
      <c r="AK50" s="3601"/>
      <c r="AL50" s="3601">
        <v>3.4</v>
      </c>
      <c r="AM50" s="2422"/>
      <c r="AN50" s="3600">
        <f t="shared" si="24"/>
        <v>6.6419999999999995</v>
      </c>
      <c r="AO50" s="3597"/>
      <c r="AP50" s="3612">
        <f t="shared" si="25"/>
        <v>6.6419999999999995</v>
      </c>
      <c r="AQ50" s="3873"/>
      <c r="AR50" s="3873"/>
      <c r="AS50" s="3874"/>
      <c r="AT50" s="3894">
        <f t="shared" si="26"/>
        <v>6.6419999999999995</v>
      </c>
      <c r="AU50" s="4061"/>
      <c r="AV50" s="4061"/>
      <c r="AW50" s="4062"/>
      <c r="AX50" s="4081">
        <f t="shared" si="27"/>
        <v>6.6419999999999995</v>
      </c>
      <c r="AY50" s="4379"/>
      <c r="AZ50" s="4379"/>
      <c r="BA50" s="2422"/>
      <c r="BB50" s="4558">
        <f t="shared" si="28"/>
        <v>0</v>
      </c>
      <c r="BC50" s="1282"/>
      <c r="BD50" s="1854">
        <f t="shared" si="29"/>
        <v>6.6419999999999995</v>
      </c>
      <c r="BE50" s="644"/>
      <c r="BF50" s="4564">
        <f t="shared" si="30"/>
        <v>6.6419999999999995</v>
      </c>
    </row>
    <row r="51" spans="2:58" ht="16.5" thickBot="1" x14ac:dyDescent="0.3">
      <c r="B51" s="2781" t="s">
        <v>1539</v>
      </c>
      <c r="C51" s="2782"/>
      <c r="D51" s="2710" t="s">
        <v>53</v>
      </c>
      <c r="E51" s="2706"/>
      <c r="F51" s="1123"/>
      <c r="G51" s="475"/>
      <c r="H51" s="1123"/>
      <c r="I51" s="2339"/>
      <c r="J51" s="2339">
        <f t="shared" si="18"/>
        <v>0</v>
      </c>
      <c r="K51" s="475"/>
      <c r="L51" s="1123"/>
      <c r="M51" s="2422"/>
      <c r="N51" s="2338">
        <f t="shared" si="19"/>
        <v>0</v>
      </c>
      <c r="O51" s="475"/>
      <c r="P51" s="1123">
        <v>20.8</v>
      </c>
      <c r="Q51" s="2339"/>
      <c r="R51" s="1586">
        <f t="shared" si="20"/>
        <v>20.8</v>
      </c>
      <c r="S51" s="475"/>
      <c r="T51" s="1123"/>
      <c r="U51" s="2339"/>
      <c r="V51" s="1586">
        <f t="shared" si="21"/>
        <v>20.8</v>
      </c>
      <c r="W51" s="475"/>
      <c r="X51" s="1123"/>
      <c r="Y51" s="2422"/>
      <c r="Z51" s="2338">
        <f t="shared" si="7"/>
        <v>20.8</v>
      </c>
      <c r="AA51" s="1134"/>
      <c r="AB51" s="1854">
        <f t="shared" si="8"/>
        <v>20.8</v>
      </c>
      <c r="AC51" s="3170"/>
      <c r="AD51" s="1123">
        <v>0</v>
      </c>
      <c r="AE51" s="3163"/>
      <c r="AF51" s="3169">
        <f t="shared" si="22"/>
        <v>20.8</v>
      </c>
      <c r="AG51" s="3327"/>
      <c r="AH51" s="3327">
        <v>0</v>
      </c>
      <c r="AI51" s="3321"/>
      <c r="AJ51" s="3326">
        <f t="shared" si="23"/>
        <v>20.8</v>
      </c>
      <c r="AK51" s="3601"/>
      <c r="AL51" s="3601">
        <v>0</v>
      </c>
      <c r="AM51" s="2422"/>
      <c r="AN51" s="3600">
        <f t="shared" si="24"/>
        <v>0</v>
      </c>
      <c r="AO51" s="3597"/>
      <c r="AP51" s="3612">
        <f t="shared" si="25"/>
        <v>20.8</v>
      </c>
      <c r="AQ51" s="3873"/>
      <c r="AR51" s="3873">
        <v>2.2890000000000001</v>
      </c>
      <c r="AS51" s="3874"/>
      <c r="AT51" s="3894">
        <f t="shared" si="26"/>
        <v>23.089000000000002</v>
      </c>
      <c r="AU51" s="4061"/>
      <c r="AV51" s="4061">
        <v>28</v>
      </c>
      <c r="AW51" s="4062"/>
      <c r="AX51" s="4081">
        <f t="shared" si="27"/>
        <v>51.088999999999999</v>
      </c>
      <c r="AY51" s="4379"/>
      <c r="AZ51" s="4379"/>
      <c r="BA51" s="2422"/>
      <c r="BB51" s="4558">
        <f t="shared" si="28"/>
        <v>30.289000000000001</v>
      </c>
      <c r="BC51" s="1282"/>
      <c r="BD51" s="1854">
        <f t="shared" si="29"/>
        <v>30.289000000000001</v>
      </c>
      <c r="BE51" s="644"/>
      <c r="BF51" s="4564">
        <f t="shared" si="30"/>
        <v>51.088999999999999</v>
      </c>
    </row>
    <row r="52" spans="2:58" s="334" customFormat="1" ht="16.5" thickBot="1" x14ac:dyDescent="0.3">
      <c r="B52" s="2815" t="s">
        <v>331</v>
      </c>
      <c r="C52" s="3194"/>
      <c r="D52" s="2049" t="s">
        <v>53</v>
      </c>
      <c r="E52" s="1121">
        <f>+'Maj Production Summ'!E29</f>
        <v>44000</v>
      </c>
      <c r="F52" s="557">
        <f>SUM(F7:F51)</f>
        <v>31472.57</v>
      </c>
      <c r="G52" s="1121">
        <f>+'Maj Production Summ'!G29</f>
        <v>50000</v>
      </c>
      <c r="H52" s="557">
        <f>SUM(H7:H51)</f>
        <v>40076.58</v>
      </c>
      <c r="I52" s="1121">
        <f>+'Maj Production Summ'!I29</f>
        <v>94000</v>
      </c>
      <c r="J52" s="557">
        <f>SUM(J7:J51)</f>
        <v>71549.150000000009</v>
      </c>
      <c r="K52" s="1121">
        <f>+'Maj Production Summ'!K29</f>
        <v>65000</v>
      </c>
      <c r="L52" s="557">
        <f>SUM(L7:L51)</f>
        <v>51910.28</v>
      </c>
      <c r="M52" s="1121">
        <f>+'Maj Production Summ'!M29</f>
        <v>159000</v>
      </c>
      <c r="N52" s="557">
        <f>SUM(N7:N51)</f>
        <v>123459.43000000001</v>
      </c>
      <c r="O52" s="1121">
        <f>+'Maj Production Summ'!O29</f>
        <v>67000</v>
      </c>
      <c r="P52" s="557">
        <f>SUM(P7:P51)</f>
        <v>50703.73</v>
      </c>
      <c r="Q52" s="1121">
        <f>+'Maj Production Summ'!Q29</f>
        <v>226000</v>
      </c>
      <c r="R52" s="557">
        <f>SUM(R7:R51)</f>
        <v>174163.15999999997</v>
      </c>
      <c r="S52" s="1121">
        <f>+'Maj Production Summ'!S29</f>
        <v>67000</v>
      </c>
      <c r="T52" s="557">
        <f>SUM(T7:T51)</f>
        <v>50020.7</v>
      </c>
      <c r="U52" s="1121">
        <f>+'Maj Production Summ'!U29</f>
        <v>293000</v>
      </c>
      <c r="V52" s="557">
        <f>SUM(V7:V51)</f>
        <v>224183.86</v>
      </c>
      <c r="W52" s="1121">
        <f>+'Maj Production Summ'!W29</f>
        <v>65000</v>
      </c>
      <c r="X52" s="557">
        <f>SUM(X7:X51)</f>
        <v>55111.21</v>
      </c>
      <c r="Y52" s="1121">
        <f>+'Maj Production Summ'!Y29</f>
        <v>199000</v>
      </c>
      <c r="Z52" s="557">
        <f>SUM(Z7:Z51)</f>
        <v>155835.64000000001</v>
      </c>
      <c r="AA52" s="1121">
        <f>+'Maj Production Summ'!AA29</f>
        <v>358000</v>
      </c>
      <c r="AB52" s="557">
        <f>SUM(AB7:AB51)</f>
        <v>279295.07</v>
      </c>
      <c r="AC52" s="1121">
        <f>+'Maj Production Summ'!AC29</f>
        <v>67000</v>
      </c>
      <c r="AD52" s="557">
        <f>SUM(AD7:AD51)</f>
        <v>62390.904999999984</v>
      </c>
      <c r="AE52" s="1121">
        <f>+'Maj Production Summ'!AE29</f>
        <v>425000</v>
      </c>
      <c r="AF52" s="557">
        <f>SUM(AF7:AF51)</f>
        <v>341685.97499999998</v>
      </c>
      <c r="AG52" s="1121">
        <f>+'Maj Production Summ'!AG29</f>
        <v>65000</v>
      </c>
      <c r="AH52" s="557">
        <f>SUM(AH7:AH51)</f>
        <v>54642.399999999987</v>
      </c>
      <c r="AI52" s="1121">
        <f>+'Maj Production Summ'!AI29</f>
        <v>490000</v>
      </c>
      <c r="AJ52" s="557">
        <f>SUM(AJ7:AJ51)</f>
        <v>396328.37500000006</v>
      </c>
      <c r="AK52" s="1121">
        <f>+'Maj Production Summ'!AK29</f>
        <v>67000</v>
      </c>
      <c r="AL52" s="557">
        <f>SUM(AL7:AL51)</f>
        <v>68135.309999999983</v>
      </c>
      <c r="AM52" s="1121">
        <f>+'Maj Production Summ'!AM29</f>
        <v>199000</v>
      </c>
      <c r="AN52" s="557">
        <f>SUM(AN7:AN51)</f>
        <v>185168.61499999999</v>
      </c>
      <c r="AO52" s="1121">
        <f>+'Maj Production Summ'!AO29</f>
        <v>557000</v>
      </c>
      <c r="AP52" s="557">
        <f>SUM(AP7:AP51)</f>
        <v>464463.685</v>
      </c>
      <c r="AQ52" s="1121">
        <f>+'Maj Production Summ'!AQ29</f>
        <v>67000</v>
      </c>
      <c r="AR52" s="557">
        <f>SUM(AR7:AR51)</f>
        <v>70104.92</v>
      </c>
      <c r="AS52" s="1121">
        <f>+'Maj Production Summ'!AS29</f>
        <v>624000</v>
      </c>
      <c r="AT52" s="557">
        <f>SUM(AT7:AT51)</f>
        <v>534568.60499999986</v>
      </c>
      <c r="AU52" s="1121">
        <f>+'Maj Production Summ'!AU29</f>
        <v>59000</v>
      </c>
      <c r="AV52" s="557">
        <f>SUM(AV7:AV51)</f>
        <v>48200.67</v>
      </c>
      <c r="AW52" s="1121">
        <f>+'Maj Production Summ'!AW29</f>
        <v>683000</v>
      </c>
      <c r="AX52" s="557">
        <f>SUM(AX7:AX51)</f>
        <v>582769.27500000002</v>
      </c>
      <c r="AY52" s="1121">
        <f>+'Maj Production Summ'!AY29</f>
        <v>67000</v>
      </c>
      <c r="AZ52" s="557">
        <f>SUM(AZ7:AZ51)</f>
        <v>67574.64</v>
      </c>
      <c r="BA52" s="1121">
        <f>+'Maj Production Summ'!BA29</f>
        <v>193000</v>
      </c>
      <c r="BB52" s="557">
        <f>SUM(BB7:BB51)</f>
        <v>185880.23</v>
      </c>
      <c r="BC52" s="1121">
        <f>+'Maj Production Summ'!BC29</f>
        <v>392000</v>
      </c>
      <c r="BD52" s="557">
        <f>SUM(BD7:BD51)</f>
        <v>371048.84499999997</v>
      </c>
      <c r="BE52" s="1121">
        <f>+'Maj Production Summ'!BE29</f>
        <v>750000</v>
      </c>
      <c r="BF52" s="557">
        <f>SUM(BF7:BF51)</f>
        <v>650343.9149999998</v>
      </c>
    </row>
    <row r="53" spans="2:58" s="334" customFormat="1" ht="16.5" thickBot="1" x14ac:dyDescent="0.3">
      <c r="B53" s="2815" t="s">
        <v>1056</v>
      </c>
      <c r="C53" s="2815"/>
      <c r="D53" s="2816" t="s">
        <v>53</v>
      </c>
      <c r="E53" s="1999">
        <f>+E52</f>
        <v>44000</v>
      </c>
      <c r="F53" s="939">
        <f>+F52-F54</f>
        <v>31471.35</v>
      </c>
      <c r="G53" s="1999">
        <f>+G52</f>
        <v>50000</v>
      </c>
      <c r="H53" s="939">
        <f>+H52-H54</f>
        <v>40050.68</v>
      </c>
      <c r="I53" s="1121"/>
      <c r="J53" s="939">
        <f>+J52-J54</f>
        <v>71522.030000000013</v>
      </c>
      <c r="K53" s="1999">
        <f>+K52</f>
        <v>65000</v>
      </c>
      <c r="L53" s="939">
        <f>+L52-L54</f>
        <v>51899.88</v>
      </c>
      <c r="M53" s="1999">
        <f>+M52</f>
        <v>159000</v>
      </c>
      <c r="N53" s="939">
        <f>+N52-N54</f>
        <v>123421.91</v>
      </c>
      <c r="O53" s="1999">
        <f>+O52</f>
        <v>67000</v>
      </c>
      <c r="P53" s="939">
        <f>+P52-P54</f>
        <v>50651.530000000006</v>
      </c>
      <c r="Q53" s="1121"/>
      <c r="R53" s="939">
        <f>+R52-R54</f>
        <v>174073.43999999997</v>
      </c>
      <c r="S53" s="1999">
        <f>+S52</f>
        <v>67000</v>
      </c>
      <c r="T53" s="939">
        <f>+T52-T54</f>
        <v>49962.729999999996</v>
      </c>
      <c r="U53" s="1999">
        <f>+U52</f>
        <v>293000</v>
      </c>
      <c r="V53" s="939">
        <f>+V52-V54</f>
        <v>224036.16999999998</v>
      </c>
      <c r="W53" s="1999">
        <f>+W52</f>
        <v>65000</v>
      </c>
      <c r="X53" s="939">
        <f>+X52-X54</f>
        <v>55089.31</v>
      </c>
      <c r="Y53" s="1999">
        <f>+Y52</f>
        <v>199000</v>
      </c>
      <c r="Z53" s="939">
        <f>+Z52-Z54</f>
        <v>155703.57</v>
      </c>
      <c r="AA53" s="1999">
        <f>+AA52</f>
        <v>358000</v>
      </c>
      <c r="AB53" s="939">
        <f>+AB52-AB54</f>
        <v>279125.48</v>
      </c>
      <c r="AC53" s="1999">
        <f>+AC52</f>
        <v>67000</v>
      </c>
      <c r="AD53" s="939">
        <f>+AD52-AD54</f>
        <v>62348.194999999985</v>
      </c>
      <c r="AE53" s="1999">
        <f>+AE52</f>
        <v>425000</v>
      </c>
      <c r="AF53" s="939">
        <f>+AF52-AF54</f>
        <v>341473.67499999999</v>
      </c>
      <c r="AG53" s="1999">
        <f>+AG52</f>
        <v>65000</v>
      </c>
      <c r="AH53" s="939">
        <f>+AH52-AH54</f>
        <v>54525.299999999988</v>
      </c>
      <c r="AI53" s="1999">
        <f>+AI52</f>
        <v>490000</v>
      </c>
      <c r="AJ53" s="939">
        <f>+AJ52-AJ54</f>
        <v>395998.97500000003</v>
      </c>
      <c r="AK53" s="1999">
        <f>+AK52</f>
        <v>67000</v>
      </c>
      <c r="AL53" s="939">
        <f>+AL52-AL54</f>
        <v>68121.109999999986</v>
      </c>
      <c r="AM53" s="1999">
        <f>+AM52</f>
        <v>199000</v>
      </c>
      <c r="AN53" s="939">
        <f>+AN52-AN54</f>
        <v>184994.60499999998</v>
      </c>
      <c r="AO53" s="1999">
        <f>+AO52</f>
        <v>557000</v>
      </c>
      <c r="AP53" s="939">
        <f>+AP52-AP54</f>
        <v>464120.08500000002</v>
      </c>
      <c r="AQ53" s="1999">
        <f>+AQ52</f>
        <v>67000</v>
      </c>
      <c r="AR53" s="939">
        <f>+AR52-AR54</f>
        <v>70032.180999999997</v>
      </c>
      <c r="AS53" s="1999">
        <f>+AS52</f>
        <v>624000</v>
      </c>
      <c r="AT53" s="939">
        <f>+AT52-AT54</f>
        <v>534152.26599999983</v>
      </c>
      <c r="AU53" s="1999">
        <f>+AU52</f>
        <v>59000</v>
      </c>
      <c r="AV53" s="939">
        <f>+AV52-AV54</f>
        <v>48122.457999999999</v>
      </c>
      <c r="AW53" s="1999">
        <f>+AW52</f>
        <v>683000</v>
      </c>
      <c r="AX53" s="939">
        <f>+AX52-AX54</f>
        <v>582274.72400000005</v>
      </c>
      <c r="AY53" s="1999">
        <f>+AY52</f>
        <v>67000</v>
      </c>
      <c r="AZ53" s="939">
        <f>+AZ52-AZ54</f>
        <v>67566.240000000005</v>
      </c>
      <c r="BA53" s="1999">
        <f>+BA52</f>
        <v>193000</v>
      </c>
      <c r="BB53" s="939">
        <f>+BB52-BB54</f>
        <v>185720.87900000002</v>
      </c>
      <c r="BC53" s="1999">
        <f>+BC52</f>
        <v>392000</v>
      </c>
      <c r="BD53" s="939">
        <f>+BD52-BD54</f>
        <v>370715.484</v>
      </c>
      <c r="BE53" s="1999">
        <f>+BE52</f>
        <v>750000</v>
      </c>
      <c r="BF53" s="939">
        <f>+BF52-BF54</f>
        <v>649840.9639999998</v>
      </c>
    </row>
    <row r="54" spans="2:58" s="334" customFormat="1" ht="16.5" thickBot="1" x14ac:dyDescent="0.3">
      <c r="B54" s="2815" t="s">
        <v>1055</v>
      </c>
      <c r="C54" s="2815"/>
      <c r="D54" s="2816" t="s">
        <v>53</v>
      </c>
      <c r="E54" s="1999"/>
      <c r="F54" s="939">
        <f>+SUM(F45:F51)</f>
        <v>1.22</v>
      </c>
      <c r="G54" s="1999"/>
      <c r="H54" s="939">
        <f>+SUM(H45:H51)</f>
        <v>25.9</v>
      </c>
      <c r="I54" s="1121"/>
      <c r="J54" s="939">
        <f>+SUM(J45:J51)</f>
        <v>27.119999999999997</v>
      </c>
      <c r="K54" s="1999"/>
      <c r="L54" s="939">
        <f>+SUM(L45:L51)</f>
        <v>10.4</v>
      </c>
      <c r="M54" s="1121"/>
      <c r="N54" s="939">
        <f>+SUM(N45:N51)</f>
        <v>37.520000000000003</v>
      </c>
      <c r="O54" s="1999"/>
      <c r="P54" s="939">
        <f>+SUM(P45:P51)</f>
        <v>52.2</v>
      </c>
      <c r="Q54" s="1121"/>
      <c r="R54" s="939">
        <f>+SUM(R45:R51)</f>
        <v>89.72</v>
      </c>
      <c r="S54" s="1999"/>
      <c r="T54" s="939">
        <f>+SUM(T45:T51)</f>
        <v>57.97</v>
      </c>
      <c r="U54" s="1121"/>
      <c r="V54" s="939">
        <f>+SUM(V45:V51)</f>
        <v>147.69000000000003</v>
      </c>
      <c r="W54" s="1999"/>
      <c r="X54" s="939">
        <f>+SUM(X45:X51)</f>
        <v>21.9</v>
      </c>
      <c r="Y54" s="1121"/>
      <c r="Z54" s="939">
        <f>+SUM(Z45:Z51)</f>
        <v>132.07000000000002</v>
      </c>
      <c r="AA54" s="1121"/>
      <c r="AB54" s="939">
        <f>+SUM(AB45:AB51)</f>
        <v>169.59</v>
      </c>
      <c r="AC54" s="1999"/>
      <c r="AD54" s="939">
        <f>+SUM(AD45:AD51)</f>
        <v>42.71</v>
      </c>
      <c r="AE54" s="1121"/>
      <c r="AF54" s="939">
        <f>+SUM(AF45:AF51)</f>
        <v>212.29999999999998</v>
      </c>
      <c r="AG54" s="1999"/>
      <c r="AH54" s="939">
        <f>+SUM(AH45:AH51)</f>
        <v>117.10000000000001</v>
      </c>
      <c r="AI54" s="1121"/>
      <c r="AJ54" s="939">
        <f>+SUM(AJ45:AJ51)</f>
        <v>329.40000000000003</v>
      </c>
      <c r="AK54" s="1999"/>
      <c r="AL54" s="939">
        <f>+SUM(AL45:AL51)</f>
        <v>14.200000000000001</v>
      </c>
      <c r="AM54" s="1121"/>
      <c r="AN54" s="939">
        <f>+SUM(AN45:AN51)</f>
        <v>174.01</v>
      </c>
      <c r="AO54" s="1121"/>
      <c r="AP54" s="939">
        <f>+SUM(AP45:AP51)</f>
        <v>343.6</v>
      </c>
      <c r="AQ54" s="1999"/>
      <c r="AR54" s="939">
        <f>+SUM(AR45:AR51)</f>
        <v>72.739000000000004</v>
      </c>
      <c r="AS54" s="1121"/>
      <c r="AT54" s="939">
        <f>+SUM(AT45:AT51)</f>
        <v>416.339</v>
      </c>
      <c r="AU54" s="1999"/>
      <c r="AV54" s="939">
        <f>+SUM(AV45:AV51)</f>
        <v>78.211999999999989</v>
      </c>
      <c r="AW54" s="1121"/>
      <c r="AX54" s="939">
        <f>+SUM(AX45:AX51)</f>
        <v>494.55099999999999</v>
      </c>
      <c r="AY54" s="1999"/>
      <c r="AZ54" s="4622">
        <f>+SUM(AZ45:AZ51)</f>
        <v>8.4</v>
      </c>
      <c r="BA54" s="1121"/>
      <c r="BB54" s="939">
        <f>+SUM(BB45:BB51)</f>
        <v>159.351</v>
      </c>
      <c r="BC54" s="1121"/>
      <c r="BD54" s="939">
        <f>+SUM(BD45:BD51)</f>
        <v>333.36099999999999</v>
      </c>
      <c r="BE54" s="1121"/>
      <c r="BF54" s="939">
        <f>+SUM(BF45:BF51)</f>
        <v>502.95099999999996</v>
      </c>
    </row>
    <row r="55" spans="2:58" s="334" customFormat="1" ht="16.5" thickBot="1" x14ac:dyDescent="0.3">
      <c r="B55" s="3195" t="s">
        <v>347</v>
      </c>
      <c r="C55" s="3196"/>
      <c r="D55" s="3197" t="s">
        <v>52</v>
      </c>
      <c r="E55" s="3198">
        <f>+E53/E5*100</f>
        <v>96.499692955522406</v>
      </c>
      <c r="F55" s="3198">
        <f t="shared" ref="F55:BF55" si="31">+F53/F5*100</f>
        <v>96.011264594413277</v>
      </c>
      <c r="G55" s="3198">
        <f t="shared" si="31"/>
        <v>96.499999073600009</v>
      </c>
      <c r="H55" s="3198">
        <f t="shared" si="31"/>
        <v>92.888093432934895</v>
      </c>
      <c r="I55" s="3198">
        <f t="shared" si="31"/>
        <v>0</v>
      </c>
      <c r="J55" s="3198">
        <f t="shared" si="31"/>
        <v>94.236964454225102</v>
      </c>
      <c r="K55" s="3198">
        <f t="shared" si="31"/>
        <v>96.499999999999986</v>
      </c>
      <c r="L55" s="3198">
        <f t="shared" si="31"/>
        <v>95.58845021424294</v>
      </c>
      <c r="M55" s="3198">
        <f t="shared" si="31"/>
        <v>96.499914740201092</v>
      </c>
      <c r="N55" s="3198">
        <f t="shared" si="31"/>
        <v>94.800590673353142</v>
      </c>
      <c r="O55" s="3198">
        <f t="shared" si="31"/>
        <v>96.499999999999986</v>
      </c>
      <c r="P55" s="3198">
        <f t="shared" si="31"/>
        <v>95.686747411751654</v>
      </c>
      <c r="Q55" s="3198">
        <f t="shared" si="31"/>
        <v>0</v>
      </c>
      <c r="R55" s="3198">
        <f t="shared" si="31"/>
        <v>95.056745030422121</v>
      </c>
      <c r="S55" s="3198">
        <f t="shared" si="31"/>
        <v>96.499999999999986</v>
      </c>
      <c r="T55" s="3198">
        <f t="shared" si="31"/>
        <v>95.432255558505744</v>
      </c>
      <c r="U55" s="3198">
        <f t="shared" si="31"/>
        <v>96.49995373271841</v>
      </c>
      <c r="V55" s="3198">
        <f t="shared" si="31"/>
        <v>95.140232088295534</v>
      </c>
      <c r="W55" s="3198">
        <f t="shared" si="31"/>
        <v>96.499999999999986</v>
      </c>
      <c r="X55" s="3198">
        <f t="shared" si="31"/>
        <v>95.664507991741857</v>
      </c>
      <c r="Y55" s="3198">
        <f t="shared" si="31"/>
        <v>96.499999999999986</v>
      </c>
      <c r="Z55" s="3198">
        <f t="shared" si="31"/>
        <v>95.597081134998788</v>
      </c>
      <c r="AA55" s="3198">
        <f t="shared" si="31"/>
        <v>96.499962133199205</v>
      </c>
      <c r="AB55" s="3198">
        <f t="shared" si="31"/>
        <v>95.243249612809748</v>
      </c>
      <c r="AC55" s="3198">
        <f t="shared" si="31"/>
        <v>96.499999999999986</v>
      </c>
      <c r="AD55" s="3198">
        <f t="shared" si="31"/>
        <v>95.863567940492786</v>
      </c>
      <c r="AE55" s="3198">
        <f t="shared" si="31"/>
        <v>96.499968102787008</v>
      </c>
      <c r="AF55" s="3198">
        <f t="shared" si="31"/>
        <v>95.355911053414687</v>
      </c>
      <c r="AG55" s="3198">
        <f t="shared" si="31"/>
        <v>96.499999999999986</v>
      </c>
      <c r="AH55" s="3198">
        <f t="shared" si="31"/>
        <v>95.567757430122185</v>
      </c>
      <c r="AI55" s="3198">
        <f t="shared" si="31"/>
        <v>96.499972334048735</v>
      </c>
      <c r="AJ55" s="3198">
        <f t="shared" si="31"/>
        <v>95.385024514797578</v>
      </c>
      <c r="AK55" s="3198">
        <f t="shared" si="31"/>
        <v>96.499999999999986</v>
      </c>
      <c r="AL55" s="3198">
        <f t="shared" si="31"/>
        <v>96.081063677336104</v>
      </c>
      <c r="AM55" s="3198">
        <f t="shared" si="31"/>
        <v>96.5</v>
      </c>
      <c r="AN55" s="3198">
        <f t="shared" si="31"/>
        <v>95.856019293384435</v>
      </c>
      <c r="AO55" s="3198">
        <f t="shared" si="31"/>
        <v>96.49997566190919</v>
      </c>
      <c r="AP55" s="3198">
        <f t="shared" si="31"/>
        <v>95.486553359378931</v>
      </c>
      <c r="AQ55" s="3198">
        <f t="shared" si="31"/>
        <v>96.499999999999986</v>
      </c>
      <c r="AR55" s="3198">
        <f t="shared" si="31"/>
        <v>95.735001138312896</v>
      </c>
      <c r="AS55" s="3198">
        <f t="shared" si="31"/>
        <v>96.499978275133088</v>
      </c>
      <c r="AT55" s="3198">
        <f t="shared" si="31"/>
        <v>95.519053628663002</v>
      </c>
      <c r="AU55" s="3198">
        <f t="shared" si="31"/>
        <v>96.5</v>
      </c>
      <c r="AV55" s="3198">
        <f t="shared" si="31"/>
        <v>94.502870869031838</v>
      </c>
      <c r="AW55" s="3198">
        <f t="shared" si="31"/>
        <v>96.499980151804948</v>
      </c>
      <c r="AX55" s="3198">
        <f t="shared" si="31"/>
        <v>95.434242876117409</v>
      </c>
      <c r="AY55" s="3198">
        <f t="shared" si="31"/>
        <v>96.499999999999986</v>
      </c>
      <c r="AZ55" s="3198">
        <f t="shared" si="31"/>
        <v>95.335491381273812</v>
      </c>
      <c r="BA55" s="3198">
        <f t="shared" si="31"/>
        <v>96.5</v>
      </c>
      <c r="BB55" s="3198">
        <f t="shared" si="31"/>
        <v>95.267916432663696</v>
      </c>
      <c r="BC55" s="3198">
        <f t="shared" si="31"/>
        <v>96.500000000000014</v>
      </c>
      <c r="BD55" s="3198">
        <f t="shared" si="31"/>
        <v>95.56048697301776</v>
      </c>
      <c r="BE55" s="3198">
        <f t="shared" si="31"/>
        <v>96.499981924910045</v>
      </c>
      <c r="BF55" s="3198">
        <f t="shared" si="31"/>
        <v>95.423965808878961</v>
      </c>
    </row>
    <row r="56" spans="2:58" s="334" customFormat="1" x14ac:dyDescent="0.25">
      <c r="B56" s="2788" t="s">
        <v>1048</v>
      </c>
      <c r="C56" s="2789"/>
      <c r="D56" s="2790" t="s">
        <v>53</v>
      </c>
      <c r="E56" s="959"/>
      <c r="F56" s="959">
        <f>+SUM(F7:F43)</f>
        <v>31471.35</v>
      </c>
      <c r="G56" s="959"/>
      <c r="H56" s="959">
        <f>+SUM(H7:H43)</f>
        <v>40050.68</v>
      </c>
      <c r="I56" s="959"/>
      <c r="J56" s="959">
        <f>+SUM(J7:J43)</f>
        <v>71522.030000000013</v>
      </c>
      <c r="K56" s="959"/>
      <c r="L56" s="959">
        <f>+SUM(L7:L43)</f>
        <v>51899.880000000005</v>
      </c>
      <c r="M56" s="959"/>
      <c r="N56" s="959">
        <f>+SUM(N7:N43)</f>
        <v>123421.91</v>
      </c>
      <c r="O56" s="959"/>
      <c r="P56" s="959">
        <f>+SUM(P7:P43)</f>
        <v>50651.53</v>
      </c>
      <c r="Q56" s="959"/>
      <c r="R56" s="959">
        <f>+SUM(R7:R43)</f>
        <v>174073.43999999997</v>
      </c>
      <c r="S56" s="959"/>
      <c r="T56" s="959">
        <f>+SUM(T7:T43)</f>
        <v>49962.729999999996</v>
      </c>
      <c r="U56" s="959"/>
      <c r="V56" s="959">
        <f>+SUM(V7:V43)</f>
        <v>224036.16999999998</v>
      </c>
      <c r="W56" s="959"/>
      <c r="X56" s="959">
        <f>+SUM(X7:X43)</f>
        <v>55089.31</v>
      </c>
      <c r="Y56" s="959"/>
      <c r="Z56" s="959">
        <f>+SUM(Z7:Z43)</f>
        <v>155703.57</v>
      </c>
      <c r="AA56" s="959"/>
      <c r="AB56" s="959">
        <f>+SUM(AB7:AB43)</f>
        <v>279125.48000000004</v>
      </c>
      <c r="AC56" s="959"/>
      <c r="AD56" s="959">
        <f>+SUM(AD7:AD43)</f>
        <v>62348.194999999992</v>
      </c>
      <c r="AE56" s="959"/>
      <c r="AF56" s="959">
        <f>+SUM(AF7:AF43)</f>
        <v>341473.67499999999</v>
      </c>
      <c r="AG56" s="959"/>
      <c r="AH56" s="959">
        <f>+SUM(AH7:AH43)</f>
        <v>54525.299999999996</v>
      </c>
      <c r="AI56" s="959"/>
      <c r="AJ56" s="959">
        <f>+SUM(AJ7:AJ43)</f>
        <v>395998.97500000003</v>
      </c>
      <c r="AK56" s="959"/>
      <c r="AL56" s="959">
        <f>+SUM(AL7:AL43)</f>
        <v>68121.109999999986</v>
      </c>
      <c r="AM56" s="959"/>
      <c r="AN56" s="959">
        <f>+SUM(AN7:AN43)</f>
        <v>184994.60499999998</v>
      </c>
      <c r="AO56" s="959"/>
      <c r="AP56" s="959">
        <f>+SUM(AP7:AP43)</f>
        <v>464120.08500000002</v>
      </c>
      <c r="AQ56" s="959"/>
      <c r="AR56" s="959">
        <f>+SUM(AR7:AR43)</f>
        <v>70032.180999999997</v>
      </c>
      <c r="AS56" s="959"/>
      <c r="AT56" s="959">
        <f>+SUM(AT7:AT43)</f>
        <v>534152.26600000006</v>
      </c>
      <c r="AU56" s="959"/>
      <c r="AV56" s="959">
        <f>+SUM(AV7:AV43)</f>
        <v>48122.457999999991</v>
      </c>
      <c r="AW56" s="959"/>
      <c r="AX56" s="959">
        <f>+SUM(AX7:AX43)</f>
        <v>582274.72400000005</v>
      </c>
      <c r="AY56" s="959"/>
      <c r="AZ56" s="959">
        <f>+SUM(AZ7:AZ43)</f>
        <v>67566.240000000005</v>
      </c>
      <c r="BA56" s="959"/>
      <c r="BB56" s="959">
        <f>+SUM(BB7:BB43)</f>
        <v>185720.87900000002</v>
      </c>
      <c r="BC56" s="959"/>
      <c r="BD56" s="959">
        <f>+SUM(BD7:BD43)</f>
        <v>370715.48399999994</v>
      </c>
      <c r="BE56" s="959"/>
      <c r="BF56" s="959">
        <f>+SUM(BF7:BF43)</f>
        <v>649840.9639999998</v>
      </c>
    </row>
    <row r="57" spans="2:58" s="334" customFormat="1" ht="15.75" thickBot="1" x14ac:dyDescent="0.3">
      <c r="B57" s="3207" t="s">
        <v>1047</v>
      </c>
      <c r="C57" s="3208"/>
      <c r="D57" s="3209" t="s">
        <v>52</v>
      </c>
      <c r="E57" s="2791"/>
      <c r="F57" s="3232">
        <f>+F56/F53</f>
        <v>1</v>
      </c>
      <c r="G57" s="2791"/>
      <c r="H57" s="3232">
        <f t="shared" ref="H57:BF57" si="32">+H56/H53</f>
        <v>1</v>
      </c>
      <c r="I57" s="3232" t="e">
        <f t="shared" si="32"/>
        <v>#DIV/0!</v>
      </c>
      <c r="J57" s="3232">
        <f t="shared" si="32"/>
        <v>1</v>
      </c>
      <c r="K57" s="3232"/>
      <c r="L57" s="3232">
        <f t="shared" si="32"/>
        <v>1.0000000000000002</v>
      </c>
      <c r="M57" s="3232"/>
      <c r="N57" s="3232">
        <f t="shared" si="32"/>
        <v>1</v>
      </c>
      <c r="O57" s="3232"/>
      <c r="P57" s="3232">
        <f t="shared" si="32"/>
        <v>0.99999999999999989</v>
      </c>
      <c r="Q57" s="3232" t="e">
        <f t="shared" si="32"/>
        <v>#DIV/0!</v>
      </c>
      <c r="R57" s="3232">
        <f t="shared" si="32"/>
        <v>1</v>
      </c>
      <c r="S57" s="3232"/>
      <c r="T57" s="3232">
        <f t="shared" si="32"/>
        <v>1</v>
      </c>
      <c r="U57" s="3232">
        <f t="shared" si="32"/>
        <v>0</v>
      </c>
      <c r="V57" s="3232">
        <f t="shared" si="32"/>
        <v>1</v>
      </c>
      <c r="W57" s="3232"/>
      <c r="X57" s="3232">
        <f t="shared" si="32"/>
        <v>1</v>
      </c>
      <c r="Y57" s="3232"/>
      <c r="Z57" s="3232">
        <f t="shared" si="32"/>
        <v>1</v>
      </c>
      <c r="AA57" s="3232"/>
      <c r="AB57" s="3232">
        <f t="shared" si="32"/>
        <v>1.0000000000000002</v>
      </c>
      <c r="AC57" s="3232"/>
      <c r="AD57" s="3232">
        <f t="shared" si="32"/>
        <v>1.0000000000000002</v>
      </c>
      <c r="AE57" s="3232">
        <f t="shared" si="32"/>
        <v>0</v>
      </c>
      <c r="AF57" s="3232">
        <f t="shared" si="32"/>
        <v>1</v>
      </c>
      <c r="AG57" s="3232"/>
      <c r="AH57" s="3232">
        <f t="shared" si="32"/>
        <v>1.0000000000000002</v>
      </c>
      <c r="AI57" s="3232">
        <f t="shared" si="32"/>
        <v>0</v>
      </c>
      <c r="AJ57" s="3232">
        <f t="shared" si="32"/>
        <v>1</v>
      </c>
      <c r="AK57" s="3232"/>
      <c r="AL57" s="3232">
        <f t="shared" si="32"/>
        <v>1</v>
      </c>
      <c r="AM57" s="3232"/>
      <c r="AN57" s="3232">
        <f t="shared" si="32"/>
        <v>1</v>
      </c>
      <c r="AO57" s="3232">
        <f t="shared" si="32"/>
        <v>0</v>
      </c>
      <c r="AP57" s="3232">
        <f t="shared" si="32"/>
        <v>1</v>
      </c>
      <c r="AQ57" s="3232"/>
      <c r="AR57" s="3232">
        <f t="shared" si="32"/>
        <v>1</v>
      </c>
      <c r="AS57" s="3232">
        <f t="shared" si="32"/>
        <v>0</v>
      </c>
      <c r="AT57" s="3232">
        <f t="shared" si="32"/>
        <v>1.0000000000000004</v>
      </c>
      <c r="AU57" s="3232"/>
      <c r="AV57" s="3232">
        <f t="shared" si="32"/>
        <v>0.99999999999999989</v>
      </c>
      <c r="AW57" s="3232">
        <f t="shared" si="32"/>
        <v>0</v>
      </c>
      <c r="AX57" s="3232">
        <f t="shared" si="32"/>
        <v>1</v>
      </c>
      <c r="AY57" s="3232"/>
      <c r="AZ57" s="3232">
        <f t="shared" si="32"/>
        <v>1</v>
      </c>
      <c r="BA57" s="3232"/>
      <c r="BB57" s="3232">
        <f t="shared" si="32"/>
        <v>1</v>
      </c>
      <c r="BC57" s="3232"/>
      <c r="BD57" s="3232">
        <f t="shared" si="32"/>
        <v>0.99999999999999989</v>
      </c>
      <c r="BE57" s="3232"/>
      <c r="BF57" s="3232">
        <f t="shared" si="32"/>
        <v>1</v>
      </c>
    </row>
    <row r="58" spans="2:58" s="334" customFormat="1" ht="18.75" x14ac:dyDescent="0.25">
      <c r="B58" s="2664" t="s">
        <v>56</v>
      </c>
      <c r="C58" s="1600"/>
      <c r="D58" s="1600"/>
      <c r="E58" s="1600"/>
      <c r="F58" s="1600"/>
      <c r="G58" s="1601"/>
      <c r="H58" s="1601"/>
      <c r="I58" s="1601"/>
      <c r="J58" s="1601"/>
      <c r="K58" s="1601"/>
      <c r="L58" s="1601"/>
      <c r="M58" s="1601"/>
      <c r="N58" s="1601"/>
      <c r="O58" s="1601"/>
      <c r="P58" s="1601"/>
      <c r="Q58" s="1601"/>
      <c r="R58" s="1602"/>
      <c r="S58" s="1601"/>
      <c r="T58" s="1601"/>
      <c r="U58" s="1601"/>
      <c r="V58" s="1602"/>
      <c r="W58" s="1601"/>
      <c r="X58" s="1601"/>
      <c r="Y58" s="1601"/>
      <c r="Z58" s="1601"/>
      <c r="AA58" s="1601"/>
      <c r="AB58" s="1602"/>
      <c r="AC58" s="1601"/>
      <c r="AD58" s="1601"/>
      <c r="AE58" s="1601"/>
      <c r="AF58" s="1602"/>
      <c r="AG58" s="1601"/>
      <c r="AH58" s="1601"/>
      <c r="AI58" s="1601"/>
      <c r="AJ58" s="1602"/>
      <c r="AK58" s="1601"/>
      <c r="AL58" s="1601"/>
      <c r="AM58" s="1601"/>
      <c r="AN58" s="1601"/>
      <c r="AO58" s="1601"/>
      <c r="AP58" s="1602"/>
      <c r="AQ58" s="1601"/>
      <c r="AR58" s="1601"/>
      <c r="AS58" s="1601"/>
      <c r="AT58" s="1602"/>
      <c r="AU58" s="1601"/>
      <c r="AV58" s="1601"/>
      <c r="AW58" s="1601"/>
      <c r="AX58" s="1602"/>
      <c r="AY58" s="1601"/>
      <c r="AZ58" s="1601"/>
      <c r="BA58" s="1601"/>
      <c r="BB58" s="1601"/>
      <c r="BC58" s="1601"/>
      <c r="BD58" s="1602"/>
      <c r="BE58" s="1601"/>
      <c r="BF58" s="1602"/>
    </row>
    <row r="59" spans="2:58" x14ac:dyDescent="0.25">
      <c r="B59" s="28" t="s">
        <v>98</v>
      </c>
      <c r="C59" s="2328"/>
      <c r="D59" s="355" t="s">
        <v>250</v>
      </c>
      <c r="E59" s="355">
        <v>720</v>
      </c>
      <c r="F59" s="355">
        <v>720</v>
      </c>
      <c r="G59" s="355">
        <f>+G2*24</f>
        <v>744</v>
      </c>
      <c r="H59" s="355">
        <f>+H2*24</f>
        <v>744</v>
      </c>
      <c r="I59" s="1599">
        <f>+E59+G59</f>
        <v>1464</v>
      </c>
      <c r="J59" s="1599">
        <f>+F59+H59</f>
        <v>1464</v>
      </c>
      <c r="K59" s="355">
        <f>+K2*24</f>
        <v>720</v>
      </c>
      <c r="L59" s="355">
        <f>+L2*24</f>
        <v>720</v>
      </c>
      <c r="M59" s="869">
        <f>+I59+K59</f>
        <v>2184</v>
      </c>
      <c r="N59" s="869">
        <f>+J59+L59</f>
        <v>2184</v>
      </c>
      <c r="O59" s="355">
        <f>+O2*24</f>
        <v>744</v>
      </c>
      <c r="P59" s="355">
        <f>+P2*24</f>
        <v>744</v>
      </c>
      <c r="Q59" s="1599">
        <f>+M59+O59</f>
        <v>2928</v>
      </c>
      <c r="R59" s="382">
        <f>+N59+P59</f>
        <v>2928</v>
      </c>
      <c r="S59" s="355">
        <f>+S2*24</f>
        <v>744</v>
      </c>
      <c r="T59" s="355">
        <f>+T2*24</f>
        <v>744</v>
      </c>
      <c r="U59" s="1599">
        <f>+Q59+S59</f>
        <v>3672</v>
      </c>
      <c r="V59" s="382">
        <f>+R59+T59</f>
        <v>3672</v>
      </c>
      <c r="W59" s="355">
        <f>+W2*24</f>
        <v>720</v>
      </c>
      <c r="X59" s="355">
        <f>+X2*24</f>
        <v>720</v>
      </c>
      <c r="Y59" s="2338">
        <f>+O59+S59+W59</f>
        <v>2208</v>
      </c>
      <c r="Z59" s="2338">
        <f>+P59+T59+X59</f>
        <v>2208</v>
      </c>
      <c r="AA59" s="1134">
        <f>+M59+Y59</f>
        <v>4392</v>
      </c>
      <c r="AB59" s="1118">
        <f>+N59+Z59</f>
        <v>4392</v>
      </c>
      <c r="AC59" s="3174">
        <f>+AC2*24</f>
        <v>744</v>
      </c>
      <c r="AD59" s="3174">
        <f>+AD2*24</f>
        <v>744</v>
      </c>
      <c r="AE59" s="3173">
        <f>+AA59+AC59</f>
        <v>5136</v>
      </c>
      <c r="AF59" s="382">
        <f>+AB59+AD59</f>
        <v>5136</v>
      </c>
      <c r="AG59" s="3331">
        <f>+AG2*24</f>
        <v>720</v>
      </c>
      <c r="AH59" s="3331">
        <f>+AH2*24</f>
        <v>720</v>
      </c>
      <c r="AI59" s="3332">
        <f>+AE59+AG59</f>
        <v>5856</v>
      </c>
      <c r="AJ59" s="382">
        <f>+AF59+AH59</f>
        <v>5856</v>
      </c>
      <c r="AK59" s="3620">
        <f>+AK2*24</f>
        <v>744</v>
      </c>
      <c r="AL59" s="3620">
        <f>+AL2*24</f>
        <v>744</v>
      </c>
      <c r="AM59" s="3600">
        <f>+AC59+AG59+AK59</f>
        <v>2208</v>
      </c>
      <c r="AN59" s="3600">
        <f>+AD59+AH59+AL59</f>
        <v>2208</v>
      </c>
      <c r="AO59" s="3623">
        <f>+AI59+AK59</f>
        <v>6600</v>
      </c>
      <c r="AP59" s="382">
        <f>+AJ59+AL59</f>
        <v>6600</v>
      </c>
      <c r="AQ59" s="3620">
        <f>+AQ2*24</f>
        <v>744</v>
      </c>
      <c r="AR59" s="3620">
        <f>+AR2*24</f>
        <v>744</v>
      </c>
      <c r="AS59" s="3623">
        <f>+AO59+AQ59</f>
        <v>7344</v>
      </c>
      <c r="AT59" s="382">
        <f>+AP59+AR59</f>
        <v>7344</v>
      </c>
      <c r="AU59" s="3620">
        <f>+AU2*24</f>
        <v>672</v>
      </c>
      <c r="AV59" s="3620">
        <f>+AV2*24</f>
        <v>672</v>
      </c>
      <c r="AW59" s="3623">
        <f>+AS59+AU59</f>
        <v>8016</v>
      </c>
      <c r="AX59" s="382">
        <f>+AT59+AV59</f>
        <v>8016</v>
      </c>
      <c r="AY59" s="3620">
        <f>+AY2*24</f>
        <v>744</v>
      </c>
      <c r="AZ59" s="3620">
        <f>+AZ2*24</f>
        <v>744</v>
      </c>
      <c r="BA59" s="4380">
        <f>+AQ59+AU59+AY59</f>
        <v>2160</v>
      </c>
      <c r="BB59" s="4380">
        <f>+AR59+AV59+AZ59</f>
        <v>2160</v>
      </c>
      <c r="BC59" s="4382">
        <f>+AM59+BA59</f>
        <v>4368</v>
      </c>
      <c r="BD59" s="1118">
        <f>+AN59+BB59</f>
        <v>4368</v>
      </c>
      <c r="BE59" s="3623">
        <f>+AW59+AY59</f>
        <v>8760</v>
      </c>
      <c r="BF59" s="382">
        <f>+AX59+AZ59</f>
        <v>8760</v>
      </c>
    </row>
    <row r="60" spans="2:58" x14ac:dyDescent="0.25">
      <c r="B60" s="28" t="s">
        <v>335</v>
      </c>
      <c r="C60" s="2328"/>
      <c r="D60" s="355" t="s">
        <v>52</v>
      </c>
      <c r="E60" s="230">
        <f t="shared" ref="E60:R60" si="33">+E61/E59*100</f>
        <v>63.333333333333329</v>
      </c>
      <c r="F60" s="230">
        <f t="shared" si="33"/>
        <v>45.969907407407412</v>
      </c>
      <c r="G60" s="230">
        <f t="shared" si="33"/>
        <v>70.967741935483872</v>
      </c>
      <c r="H60" s="230">
        <f t="shared" si="33"/>
        <v>90.100806451612897</v>
      </c>
      <c r="I60" s="687">
        <f t="shared" si="33"/>
        <v>67.213114754098356</v>
      </c>
      <c r="J60" s="687">
        <f t="shared" si="33"/>
        <v>68.397085610200364</v>
      </c>
      <c r="K60" s="230">
        <f t="shared" si="33"/>
        <v>90</v>
      </c>
      <c r="L60" s="230">
        <f t="shared" si="33"/>
        <v>87.180555555555557</v>
      </c>
      <c r="M60" s="869">
        <f t="shared" si="33"/>
        <v>74.72527472527473</v>
      </c>
      <c r="N60" s="869">
        <f t="shared" si="33"/>
        <v>74.589438339438345</v>
      </c>
      <c r="O60" s="230">
        <f t="shared" si="33"/>
        <v>90.322580645161281</v>
      </c>
      <c r="P60" s="230">
        <f t="shared" si="33"/>
        <v>86.718189964157702</v>
      </c>
      <c r="Q60" s="687">
        <f t="shared" si="33"/>
        <v>78.688524590163937</v>
      </c>
      <c r="R60" s="245">
        <f t="shared" si="33"/>
        <v>77.671334244080143</v>
      </c>
      <c r="S60" s="230">
        <f t="shared" ref="S60:V60" si="34">+S61/S59*100</f>
        <v>90.322580645161281</v>
      </c>
      <c r="T60" s="230">
        <f t="shared" si="34"/>
        <v>88.44086021505376</v>
      </c>
      <c r="U60" s="687">
        <f t="shared" si="34"/>
        <v>81.045751633986924</v>
      </c>
      <c r="V60" s="245">
        <f t="shared" si="34"/>
        <v>79.853395061728392</v>
      </c>
      <c r="W60" s="230">
        <f t="shared" ref="W60:AF60" si="35">+W61/W59*100</f>
        <v>90</v>
      </c>
      <c r="X60" s="230">
        <f t="shared" si="35"/>
        <v>87.618055555555557</v>
      </c>
      <c r="Y60" s="869">
        <f t="shared" si="35"/>
        <v>90.217391304347828</v>
      </c>
      <c r="Z60" s="869">
        <f t="shared" si="35"/>
        <v>87.592089371980677</v>
      </c>
      <c r="AA60" s="1135">
        <f t="shared" si="35"/>
        <v>82.513661202185801</v>
      </c>
      <c r="AB60" s="1146">
        <f t="shared" si="35"/>
        <v>81.126290224650873</v>
      </c>
      <c r="AC60" s="230">
        <f t="shared" si="35"/>
        <v>90.322580645161281</v>
      </c>
      <c r="AD60" s="230">
        <f t="shared" si="35"/>
        <v>89.536290322580655</v>
      </c>
      <c r="AE60" s="687">
        <f t="shared" si="35"/>
        <v>83.644859813084111</v>
      </c>
      <c r="AF60" s="245">
        <f t="shared" si="35"/>
        <v>82.344561266874365</v>
      </c>
      <c r="AG60" s="230">
        <f t="shared" ref="AG60:AJ60" si="36">+AG61/AG59*100</f>
        <v>90</v>
      </c>
      <c r="AH60" s="230">
        <f t="shared" si="36"/>
        <v>88.270833333333329</v>
      </c>
      <c r="AI60" s="687">
        <f t="shared" si="36"/>
        <v>84.426229508196727</v>
      </c>
      <c r="AJ60" s="245">
        <f t="shared" si="36"/>
        <v>83.073201275045548</v>
      </c>
      <c r="AK60" s="230">
        <f t="shared" ref="AK60:AP60" si="37">+AK61/AK59*100</f>
        <v>90.322580645161281</v>
      </c>
      <c r="AL60" s="230">
        <f t="shared" si="37"/>
        <v>89.177867383512549</v>
      </c>
      <c r="AM60" s="869">
        <f t="shared" si="37"/>
        <v>90.217391304347828</v>
      </c>
      <c r="AN60" s="869">
        <f t="shared" si="37"/>
        <v>89.002868357487927</v>
      </c>
      <c r="AO60" s="687">
        <f t="shared" si="37"/>
        <v>85.090909090909093</v>
      </c>
      <c r="AP60" s="245">
        <f t="shared" si="37"/>
        <v>83.761363636363654</v>
      </c>
      <c r="AQ60" s="230">
        <f t="shared" ref="AQ60:AT60" si="38">+AQ61/AQ59*100</f>
        <v>90.322580645161281</v>
      </c>
      <c r="AR60" s="230">
        <f t="shared" si="38"/>
        <v>88.461021505376323</v>
      </c>
      <c r="AS60" s="687">
        <f t="shared" si="38"/>
        <v>85.620915032679733</v>
      </c>
      <c r="AT60" s="245">
        <f t="shared" si="38"/>
        <v>84.237472766884537</v>
      </c>
      <c r="AU60" s="230">
        <f t="shared" ref="AU60:AX60" si="39">+AU61/AU59*100</f>
        <v>89.285714285714292</v>
      </c>
      <c r="AV60" s="230">
        <f t="shared" si="39"/>
        <v>87.802579365079353</v>
      </c>
      <c r="AW60" s="687">
        <f t="shared" si="39"/>
        <v>85.928143712574851</v>
      </c>
      <c r="AX60" s="245">
        <f t="shared" si="39"/>
        <v>84.536343978709255</v>
      </c>
      <c r="AY60" s="230">
        <f t="shared" ref="AY60:BF60" si="40">+AY61/AY59*100</f>
        <v>90.322580645161281</v>
      </c>
      <c r="AZ60" s="230">
        <f t="shared" si="40"/>
        <v>87.320788530465933</v>
      </c>
      <c r="BA60" s="869">
        <f t="shared" si="40"/>
        <v>90</v>
      </c>
      <c r="BB60" s="869">
        <f t="shared" si="40"/>
        <v>87.86342592592591</v>
      </c>
      <c r="BC60" s="1135">
        <f t="shared" ref="BC60:BD60" si="41">+BC61/BC59*100</f>
        <v>90.109890109890117</v>
      </c>
      <c r="BD60" s="1146">
        <f t="shared" si="41"/>
        <v>88.439407814407801</v>
      </c>
      <c r="BE60" s="687">
        <f t="shared" si="40"/>
        <v>86.301369863013704</v>
      </c>
      <c r="BF60" s="245">
        <f t="shared" si="40"/>
        <v>84.772831050228319</v>
      </c>
    </row>
    <row r="61" spans="2:58" x14ac:dyDescent="0.25">
      <c r="B61" s="28" t="s">
        <v>334</v>
      </c>
      <c r="C61" s="2328"/>
      <c r="D61" s="355" t="s">
        <v>250</v>
      </c>
      <c r="E61" s="355">
        <v>456</v>
      </c>
      <c r="F61" s="238">
        <v>330.98333333333335</v>
      </c>
      <c r="G61" s="483">
        <v>528</v>
      </c>
      <c r="H61" s="475">
        <v>670.34999999999991</v>
      </c>
      <c r="I61" s="1599">
        <f>+E61+G61</f>
        <v>984</v>
      </c>
      <c r="J61" s="1599">
        <f>+F61+H61</f>
        <v>1001.3333333333333</v>
      </c>
      <c r="K61" s="483">
        <v>648</v>
      </c>
      <c r="L61" s="475">
        <v>627.70000000000005</v>
      </c>
      <c r="M61" s="869">
        <f>+I61+K61</f>
        <v>1632</v>
      </c>
      <c r="N61" s="869">
        <f>+J61+L61</f>
        <v>1629.0333333333333</v>
      </c>
      <c r="O61" s="483">
        <v>672</v>
      </c>
      <c r="P61" s="475">
        <v>645.18333333333328</v>
      </c>
      <c r="Q61" s="1599">
        <f>+M61+O61</f>
        <v>2304</v>
      </c>
      <c r="R61" s="382">
        <f>+N61+P61</f>
        <v>2274.2166666666667</v>
      </c>
      <c r="S61" s="483">
        <v>672</v>
      </c>
      <c r="T61" s="475">
        <v>658</v>
      </c>
      <c r="U61" s="1599">
        <f>+Q61+S61</f>
        <v>2976</v>
      </c>
      <c r="V61" s="382">
        <f>+R61+T61</f>
        <v>2932.2166666666667</v>
      </c>
      <c r="W61" s="483">
        <v>648</v>
      </c>
      <c r="X61" s="475">
        <v>630.85</v>
      </c>
      <c r="Y61" s="2338">
        <f>+O61+S61+W61</f>
        <v>1992</v>
      </c>
      <c r="Z61" s="2338">
        <f>+P61+T61+X61</f>
        <v>1934.0333333333333</v>
      </c>
      <c r="AA61" s="1134">
        <f>+M61+Y61</f>
        <v>3624</v>
      </c>
      <c r="AB61" s="1118">
        <f>+N61+Z61</f>
        <v>3563.0666666666666</v>
      </c>
      <c r="AC61" s="483">
        <v>672</v>
      </c>
      <c r="AD61" s="3225">
        <v>666.15000000000009</v>
      </c>
      <c r="AE61" s="3173">
        <f>+AA61+AC61</f>
        <v>4296</v>
      </c>
      <c r="AF61" s="96">
        <f>+AB61+AD61</f>
        <v>4229.2166666666672</v>
      </c>
      <c r="AG61" s="483">
        <v>648</v>
      </c>
      <c r="AH61" s="3357">
        <v>635.54999999999995</v>
      </c>
      <c r="AI61" s="3332">
        <f>+AE61+AG61</f>
        <v>4944</v>
      </c>
      <c r="AJ61" s="96">
        <f>+AF61+AH61</f>
        <v>4864.7666666666673</v>
      </c>
      <c r="AK61" s="483">
        <v>672</v>
      </c>
      <c r="AL61" s="3601">
        <v>663.48333333333335</v>
      </c>
      <c r="AM61" s="3600">
        <f>+AC61+AG61+AK61</f>
        <v>1992</v>
      </c>
      <c r="AN61" s="3600">
        <f>+AD61+AH61+AL61</f>
        <v>1965.1833333333334</v>
      </c>
      <c r="AO61" s="3623">
        <f>+AI61+AK61</f>
        <v>5616</v>
      </c>
      <c r="AP61" s="96">
        <f>+AJ61+AL61</f>
        <v>5528.2500000000009</v>
      </c>
      <c r="AQ61" s="483">
        <v>672</v>
      </c>
      <c r="AR61" s="3873">
        <v>658.14999999999986</v>
      </c>
      <c r="AS61" s="3623">
        <f>+AO61+AQ61</f>
        <v>6288</v>
      </c>
      <c r="AT61" s="96">
        <f>+AP61+AR61</f>
        <v>6186.4000000000005</v>
      </c>
      <c r="AU61" s="483">
        <v>600</v>
      </c>
      <c r="AV61" s="4061">
        <v>590.0333333333333</v>
      </c>
      <c r="AW61" s="3623">
        <f>+AS61+AU61</f>
        <v>6888</v>
      </c>
      <c r="AX61" s="96">
        <f>+AT61+AV61</f>
        <v>6776.4333333333343</v>
      </c>
      <c r="AY61" s="483">
        <v>672</v>
      </c>
      <c r="AZ61" s="4379">
        <v>649.66666666666652</v>
      </c>
      <c r="BA61" s="4380">
        <f>+AQ61+AU61+AY61</f>
        <v>1944</v>
      </c>
      <c r="BB61" s="4380">
        <f>+AR61+AV61+AZ61</f>
        <v>1897.8499999999997</v>
      </c>
      <c r="BC61" s="4382">
        <f>+AM61+BA61</f>
        <v>3936</v>
      </c>
      <c r="BD61" s="1118">
        <f>+AN61+BB61</f>
        <v>3863.0333333333328</v>
      </c>
      <c r="BE61" s="3623">
        <f>+AW61+AY61</f>
        <v>7560</v>
      </c>
      <c r="BF61" s="96">
        <f>+AX61+AZ61</f>
        <v>7426.1</v>
      </c>
    </row>
    <row r="62" spans="2:58" x14ac:dyDescent="0.25">
      <c r="B62" s="28" t="s">
        <v>336</v>
      </c>
      <c r="C62" s="2328"/>
      <c r="D62" s="355" t="s">
        <v>52</v>
      </c>
      <c r="E62" s="449">
        <f t="shared" ref="E62:R62" si="42">+E63/E61*100</f>
        <v>83.333333333333343</v>
      </c>
      <c r="F62" s="449">
        <f t="shared" si="42"/>
        <v>66.861372677375499</v>
      </c>
      <c r="G62" s="449">
        <f t="shared" si="42"/>
        <v>83.333333333333343</v>
      </c>
      <c r="H62" s="230">
        <f t="shared" si="42"/>
        <v>62.486760647422997</v>
      </c>
      <c r="I62" s="687">
        <f t="shared" si="42"/>
        <v>83.333333333333343</v>
      </c>
      <c r="J62" s="687">
        <f t="shared" si="42"/>
        <v>63.93275632490014</v>
      </c>
      <c r="K62" s="449">
        <f t="shared" si="42"/>
        <v>83.333333333333343</v>
      </c>
      <c r="L62" s="230">
        <f t="shared" si="42"/>
        <v>67.46588072858583</v>
      </c>
      <c r="M62" s="869">
        <f t="shared" si="42"/>
        <v>83.333333333333343</v>
      </c>
      <c r="N62" s="869">
        <f t="shared" si="42"/>
        <v>65.294141720038482</v>
      </c>
      <c r="O62" s="449">
        <f t="shared" si="42"/>
        <v>83.333333333333343</v>
      </c>
      <c r="P62" s="449">
        <f>+P63/P61*100</f>
        <v>64.178140580196839</v>
      </c>
      <c r="Q62" s="687">
        <f t="shared" si="42"/>
        <v>83.333333333333343</v>
      </c>
      <c r="R62" s="245">
        <f t="shared" si="42"/>
        <v>64.977538053395676</v>
      </c>
      <c r="S62" s="449">
        <f t="shared" ref="S62" si="43">+S63/S61*100</f>
        <v>83.333333333333343</v>
      </c>
      <c r="T62" s="449">
        <f>+T63/T61*100</f>
        <v>66.765450861195546</v>
      </c>
      <c r="U62" s="687">
        <f t="shared" ref="U62:W62" si="44">+U63/U61*100</f>
        <v>83.333333333333343</v>
      </c>
      <c r="V62" s="245">
        <f t="shared" si="44"/>
        <v>65.378752138598216</v>
      </c>
      <c r="W62" s="449">
        <f t="shared" si="44"/>
        <v>83.333333333333343</v>
      </c>
      <c r="X62" s="449">
        <f>+X63/X61*100</f>
        <v>68.743758421177787</v>
      </c>
      <c r="Y62" s="869">
        <f t="shared" ref="Y62:AC62" si="45">+Y63/Y61*100</f>
        <v>83.333333333333343</v>
      </c>
      <c r="Z62" s="869">
        <f t="shared" si="45"/>
        <v>66.547629306630355</v>
      </c>
      <c r="AA62" s="1135">
        <f t="shared" si="45"/>
        <v>83.333333333333343</v>
      </c>
      <c r="AB62" s="1146">
        <f t="shared" si="45"/>
        <v>65.974535044718024</v>
      </c>
      <c r="AC62" s="449">
        <f t="shared" si="45"/>
        <v>83.333333333333343</v>
      </c>
      <c r="AD62" s="449">
        <f>+AD63/AD61*100</f>
        <v>74.230028271910726</v>
      </c>
      <c r="AE62" s="687">
        <f t="shared" ref="AE62:AG62" si="46">+AE63/AE61*100</f>
        <v>83.333333333333343</v>
      </c>
      <c r="AF62" s="245">
        <f t="shared" si="46"/>
        <v>67.274869656713406</v>
      </c>
      <c r="AG62" s="449">
        <f t="shared" si="46"/>
        <v>83.333333333333343</v>
      </c>
      <c r="AH62" s="449">
        <f>+AH63/AH61*100</f>
        <v>73.033855191041894</v>
      </c>
      <c r="AI62" s="687">
        <f t="shared" ref="AI62:AK62" si="47">+AI63/AI61*100</f>
        <v>83.333333333333343</v>
      </c>
      <c r="AJ62" s="245">
        <f t="shared" si="47"/>
        <v>68.027243512878314</v>
      </c>
      <c r="AK62" s="449">
        <f t="shared" si="47"/>
        <v>83.333333333333343</v>
      </c>
      <c r="AL62" s="449">
        <f>+AL63/AL61*100</f>
        <v>77.54527870582028</v>
      </c>
      <c r="AM62" s="869">
        <f t="shared" ref="AM62:AN62" si="48">+AM63/AM61*100</f>
        <v>83.333333333333343</v>
      </c>
      <c r="AN62" s="869">
        <f t="shared" si="48"/>
        <v>74.962471694752821</v>
      </c>
      <c r="AO62" s="687">
        <f t="shared" ref="AO62:AQ62" si="49">+AO63/AO61*100</f>
        <v>83.333333333333343</v>
      </c>
      <c r="AP62" s="245">
        <f t="shared" si="49"/>
        <v>69.169568428827674</v>
      </c>
      <c r="AQ62" s="449">
        <f t="shared" si="49"/>
        <v>83.333333333333343</v>
      </c>
      <c r="AR62" s="449">
        <f>+AR63/AR61*100</f>
        <v>77.224037073615449</v>
      </c>
      <c r="AS62" s="687">
        <f t="shared" ref="AS62:AU62" si="50">+AS63/AS61*100</f>
        <v>83.333333333333343</v>
      </c>
      <c r="AT62" s="245">
        <f t="shared" si="50"/>
        <v>70.026455881719045</v>
      </c>
      <c r="AU62" s="449">
        <f t="shared" si="50"/>
        <v>83.333333333333343</v>
      </c>
      <c r="AV62" s="449">
        <f>+AV63/AV61*100</f>
        <v>68.120445172589129</v>
      </c>
      <c r="AW62" s="687">
        <f t="shared" ref="AW62:AY62" si="51">+AW63/AW61*100</f>
        <v>83.333333333333343</v>
      </c>
      <c r="AX62" s="245">
        <f t="shared" si="51"/>
        <v>69.860496918241154</v>
      </c>
      <c r="AY62" s="449">
        <f t="shared" si="51"/>
        <v>83.333333333333343</v>
      </c>
      <c r="AZ62" s="449">
        <f>+AZ63/AZ61*100</f>
        <v>77.975885069266312</v>
      </c>
      <c r="BA62" s="869">
        <f t="shared" ref="BA62:BD62" si="52">+BA63/BA61*100</f>
        <v>83.333333333333343</v>
      </c>
      <c r="BB62" s="869">
        <f t="shared" si="52"/>
        <v>74.651140325456026</v>
      </c>
      <c r="BC62" s="1135">
        <f t="shared" si="52"/>
        <v>83.333333333333343</v>
      </c>
      <c r="BD62" s="1146">
        <f t="shared" si="52"/>
        <v>74.809519289677382</v>
      </c>
      <c r="BE62" s="687">
        <f t="shared" ref="BE62:BF62" si="53">+BE63/BE61*100</f>
        <v>83.333333333333343</v>
      </c>
      <c r="BF62" s="245">
        <f t="shared" si="53"/>
        <v>70.570465430486166</v>
      </c>
    </row>
    <row r="63" spans="2:58" x14ac:dyDescent="0.25">
      <c r="B63" s="28" t="s">
        <v>337</v>
      </c>
      <c r="C63" s="2328"/>
      <c r="D63" s="355" t="s">
        <v>250</v>
      </c>
      <c r="E63" s="475">
        <v>380</v>
      </c>
      <c r="F63" s="475">
        <v>221.3</v>
      </c>
      <c r="G63" s="475">
        <v>440</v>
      </c>
      <c r="H63" s="475">
        <v>418.88</v>
      </c>
      <c r="I63" s="2339">
        <f>+E63+G63</f>
        <v>820</v>
      </c>
      <c r="J63" s="1599">
        <f>+F63+H63</f>
        <v>640.18000000000006</v>
      </c>
      <c r="K63" s="475">
        <v>540</v>
      </c>
      <c r="L63" s="475">
        <v>423.48333333333335</v>
      </c>
      <c r="M63" s="2338">
        <f>+I63+K63</f>
        <v>1360</v>
      </c>
      <c r="N63" s="2338">
        <f>+J63+L63</f>
        <v>1063.6633333333334</v>
      </c>
      <c r="O63" s="475">
        <v>560</v>
      </c>
      <c r="P63" s="475">
        <v>414.06666666666661</v>
      </c>
      <c r="Q63" s="2339">
        <f>+M63+O63</f>
        <v>1920</v>
      </c>
      <c r="R63" s="96">
        <f>+N63+P63</f>
        <v>1477.73</v>
      </c>
      <c r="S63" s="475">
        <v>560</v>
      </c>
      <c r="T63" s="475">
        <v>439.31666666666672</v>
      </c>
      <c r="U63" s="2339">
        <f>+Q63+S63</f>
        <v>2480</v>
      </c>
      <c r="V63" s="96">
        <f>+R63+T63</f>
        <v>1917.0466666666666</v>
      </c>
      <c r="W63" s="475">
        <v>540</v>
      </c>
      <c r="X63" s="475">
        <v>433.67</v>
      </c>
      <c r="Y63" s="2338">
        <f>+O63+S63+W63</f>
        <v>1660</v>
      </c>
      <c r="Z63" s="2338">
        <f>+P63+T63+X63</f>
        <v>1287.0533333333333</v>
      </c>
      <c r="AA63" s="1134">
        <f>+M63+Y63</f>
        <v>3020</v>
      </c>
      <c r="AB63" s="1118">
        <f>+N63+Z63</f>
        <v>2350.7166666666667</v>
      </c>
      <c r="AC63" s="3170">
        <v>560</v>
      </c>
      <c r="AD63" s="3225">
        <v>494.48333333333335</v>
      </c>
      <c r="AE63" s="3163">
        <f>+AA63+AC63</f>
        <v>3580</v>
      </c>
      <c r="AF63" s="96">
        <f>+AB63+AD63</f>
        <v>2845.2</v>
      </c>
      <c r="AG63" s="3327">
        <v>540</v>
      </c>
      <c r="AH63" s="3357">
        <v>464.16666666666674</v>
      </c>
      <c r="AI63" s="3321">
        <f>+AE63+AG63</f>
        <v>4120</v>
      </c>
      <c r="AJ63" s="96">
        <f>+AF63+AH63</f>
        <v>3309.3666666666668</v>
      </c>
      <c r="AK63" s="3601">
        <v>560</v>
      </c>
      <c r="AL63" s="3601">
        <v>514.5</v>
      </c>
      <c r="AM63" s="3600">
        <f>+AC63+AG63+AK63</f>
        <v>1660</v>
      </c>
      <c r="AN63" s="3600">
        <f>+AD63+AH63+AL63</f>
        <v>1473.15</v>
      </c>
      <c r="AO63" s="3597">
        <f>+AI63+AK63</f>
        <v>4680</v>
      </c>
      <c r="AP63" s="96">
        <f>+AJ63+AL63</f>
        <v>3823.8666666666668</v>
      </c>
      <c r="AQ63" s="3873">
        <v>560</v>
      </c>
      <c r="AR63" s="3873">
        <v>508.25</v>
      </c>
      <c r="AS63" s="3874">
        <f>+AO63+AQ63</f>
        <v>5240</v>
      </c>
      <c r="AT63" s="96">
        <f>+AP63+AR63</f>
        <v>4332.1166666666668</v>
      </c>
      <c r="AU63" s="4061">
        <v>500</v>
      </c>
      <c r="AV63" s="4061">
        <v>401.93333333333339</v>
      </c>
      <c r="AW63" s="4062">
        <f>+AS63+AU63</f>
        <v>5740</v>
      </c>
      <c r="AX63" s="96">
        <f>+AT63+AV63</f>
        <v>4734.05</v>
      </c>
      <c r="AY63" s="4379">
        <v>560</v>
      </c>
      <c r="AZ63" s="4379">
        <v>506.58333333333337</v>
      </c>
      <c r="BA63" s="4380">
        <f>+AQ63+AU63+AY63</f>
        <v>1620</v>
      </c>
      <c r="BB63" s="4380">
        <f>+AR63+AV63+AZ63</f>
        <v>1416.7666666666669</v>
      </c>
      <c r="BC63" s="4382">
        <f>+AM63+BA63</f>
        <v>3280</v>
      </c>
      <c r="BD63" s="1118">
        <f>+AN63+BB63</f>
        <v>2889.916666666667</v>
      </c>
      <c r="BE63" s="4381">
        <f>+AW63+AY63</f>
        <v>6300</v>
      </c>
      <c r="BF63" s="96">
        <f>+AX63+AZ63</f>
        <v>5240.6333333333332</v>
      </c>
    </row>
    <row r="64" spans="2:58" x14ac:dyDescent="0.25">
      <c r="B64" s="28" t="s">
        <v>559</v>
      </c>
      <c r="C64" s="2328"/>
      <c r="D64" s="355" t="s">
        <v>558</v>
      </c>
      <c r="E64" s="449">
        <v>20</v>
      </c>
      <c r="F64" s="449">
        <f t="shared" ref="F64:J64" si="54">+F63/(F61/24)</f>
        <v>16.046729442570118</v>
      </c>
      <c r="G64" s="449">
        <f>+G63/(G61/24)</f>
        <v>20</v>
      </c>
      <c r="H64" s="230">
        <f t="shared" si="54"/>
        <v>14.99682255538152</v>
      </c>
      <c r="I64" s="687">
        <f t="shared" si="54"/>
        <v>20</v>
      </c>
      <c r="J64" s="687">
        <f t="shared" si="54"/>
        <v>15.343861517976034</v>
      </c>
      <c r="K64" s="449">
        <f>+K63/(K61/24)</f>
        <v>20</v>
      </c>
      <c r="L64" s="230">
        <f t="shared" ref="L64:N64" si="55">+L63/(L61/24)</f>
        <v>16.191811374860603</v>
      </c>
      <c r="M64" s="869">
        <f t="shared" si="55"/>
        <v>20</v>
      </c>
      <c r="N64" s="869">
        <f t="shared" si="55"/>
        <v>15.670594012809236</v>
      </c>
      <c r="O64" s="449">
        <f>+O63/(O61/24)</f>
        <v>20</v>
      </c>
      <c r="P64" s="449">
        <f>+P63/(P61/24)</f>
        <v>15.40275373924724</v>
      </c>
      <c r="Q64" s="687">
        <f t="shared" ref="Q64:R64" si="56">+Q63/(Q61/24)</f>
        <v>20</v>
      </c>
      <c r="R64" s="245">
        <f t="shared" si="56"/>
        <v>15.594609132814963</v>
      </c>
      <c r="S64" s="449">
        <f>+S63/(S61/24)</f>
        <v>20</v>
      </c>
      <c r="T64" s="449">
        <f>+T63/(T61/24)</f>
        <v>16.02370820668693</v>
      </c>
      <c r="U64" s="687">
        <f t="shared" ref="U64:V64" si="57">+U63/(U61/24)</f>
        <v>20</v>
      </c>
      <c r="V64" s="245">
        <f t="shared" si="57"/>
        <v>15.690900513263571</v>
      </c>
      <c r="W64" s="449">
        <f>+W63/(W61/24)</f>
        <v>20</v>
      </c>
      <c r="X64" s="449">
        <f>+X63/(X61/24)</f>
        <v>16.498502021082668</v>
      </c>
      <c r="Y64" s="869">
        <f t="shared" ref="Y64:AB64" si="58">+Y63/(Y61/24)</f>
        <v>20</v>
      </c>
      <c r="Z64" s="869">
        <f t="shared" si="58"/>
        <v>15.971431033591285</v>
      </c>
      <c r="AA64" s="1135">
        <f t="shared" si="58"/>
        <v>20</v>
      </c>
      <c r="AB64" s="1146">
        <f t="shared" si="58"/>
        <v>15.833888410732328</v>
      </c>
      <c r="AC64" s="449">
        <f>+AC63/(AC61/24)</f>
        <v>20</v>
      </c>
      <c r="AD64" s="449">
        <f>+AD63/(AD61/24)</f>
        <v>17.815206785258574</v>
      </c>
      <c r="AE64" s="687">
        <f t="shared" ref="AE64:AF64" si="59">+AE63/(AE61/24)</f>
        <v>20</v>
      </c>
      <c r="AF64" s="245">
        <f t="shared" si="59"/>
        <v>16.145968717611218</v>
      </c>
      <c r="AG64" s="449">
        <f>+AG63/(AG61/24)</f>
        <v>20</v>
      </c>
      <c r="AH64" s="449">
        <f>+AH63/(AH61/24)</f>
        <v>17.528125245850056</v>
      </c>
      <c r="AI64" s="687">
        <f t="shared" ref="AI64:AJ64" si="60">+AI63/(AI61/24)</f>
        <v>20</v>
      </c>
      <c r="AJ64" s="245">
        <f t="shared" si="60"/>
        <v>16.326538443090794</v>
      </c>
      <c r="AK64" s="449">
        <f>+AK63/(AK61/24)</f>
        <v>20</v>
      </c>
      <c r="AL64" s="449">
        <f>+AL63/(AL61/24)</f>
        <v>18.610866889396871</v>
      </c>
      <c r="AM64" s="869">
        <f t="shared" ref="AM64:AN64" si="61">+AM63/(AM61/24)</f>
        <v>20</v>
      </c>
      <c r="AN64" s="869">
        <f t="shared" si="61"/>
        <v>17.990993206740679</v>
      </c>
      <c r="AO64" s="687">
        <f t="shared" ref="AO64:AP64" si="62">+AO63/(AO61/24)</f>
        <v>20</v>
      </c>
      <c r="AP64" s="245">
        <f t="shared" si="62"/>
        <v>16.600696422918645</v>
      </c>
      <c r="AQ64" s="449">
        <f>+AQ63/(AQ61/24)</f>
        <v>20</v>
      </c>
      <c r="AR64" s="449">
        <f>+AR63/(AR61/24)</f>
        <v>18.533768897667709</v>
      </c>
      <c r="AS64" s="687">
        <f t="shared" ref="AS64:AT64" si="63">+AS63/(AS61/24)</f>
        <v>20</v>
      </c>
      <c r="AT64" s="245">
        <f t="shared" si="63"/>
        <v>16.806349411612569</v>
      </c>
      <c r="AU64" s="449">
        <f>+AU63/(AU61/24)</f>
        <v>20</v>
      </c>
      <c r="AV64" s="449">
        <f>+AV63/(AV61/24)</f>
        <v>16.348906841421392</v>
      </c>
      <c r="AW64" s="687">
        <f t="shared" ref="AW64:AX64" si="64">+AW63/(AW61/24)</f>
        <v>20</v>
      </c>
      <c r="AX64" s="245">
        <f t="shared" si="64"/>
        <v>16.766519260377876</v>
      </c>
      <c r="AY64" s="449">
        <f>+AY63/(AY61/24)</f>
        <v>20</v>
      </c>
      <c r="AZ64" s="449">
        <f>+AZ63/(AZ61/24)</f>
        <v>18.714212416623916</v>
      </c>
      <c r="BA64" s="869">
        <f t="shared" ref="BA64:BD64" si="65">+BA63/(BA61/24)</f>
        <v>20</v>
      </c>
      <c r="BB64" s="869">
        <f t="shared" si="65"/>
        <v>17.916273678109444</v>
      </c>
      <c r="BC64" s="1135">
        <f t="shared" si="65"/>
        <v>20</v>
      </c>
      <c r="BD64" s="1146">
        <f t="shared" si="65"/>
        <v>17.954284629522572</v>
      </c>
      <c r="BE64" s="687">
        <f t="shared" ref="BE64:BF64" si="66">+BE63/(BE61/24)</f>
        <v>20</v>
      </c>
      <c r="BF64" s="245">
        <f t="shared" si="66"/>
        <v>16.936911703316678</v>
      </c>
    </row>
    <row r="65" spans="2:58" x14ac:dyDescent="0.25">
      <c r="B65" s="28" t="s">
        <v>338</v>
      </c>
      <c r="C65" s="2328"/>
      <c r="D65" s="355" t="s">
        <v>1628</v>
      </c>
      <c r="E65" s="677">
        <v>0.28799999999999998</v>
      </c>
      <c r="F65" s="483">
        <v>0.35</v>
      </c>
      <c r="G65" s="677">
        <v>0.28799999999999998</v>
      </c>
      <c r="H65" s="355">
        <v>0.40899999999999997</v>
      </c>
      <c r="I65" s="957">
        <f>+((E65*E5)+(G65*G5))/I5</f>
        <v>0.28799999999999998</v>
      </c>
      <c r="J65" s="957">
        <f>+((F65*F5)+(H65*H5))/J5</f>
        <v>0.38351840256540726</v>
      </c>
      <c r="K65" s="677">
        <v>0.28799999999999998</v>
      </c>
      <c r="L65" s="355">
        <v>0.39900000000000002</v>
      </c>
      <c r="M65" s="869">
        <f>+((I65*I5)+(K65*K5))/M5</f>
        <v>0.28799999999999998</v>
      </c>
      <c r="N65" s="869">
        <f>+((J65*J5)+(L65*L5))/N5</f>
        <v>0.38997487771761807</v>
      </c>
      <c r="O65" s="677">
        <v>0.28799999999999998</v>
      </c>
      <c r="P65" s="677">
        <v>0.39600000000000002</v>
      </c>
      <c r="Q65" s="957">
        <f>+((M65*M5)+(O65*O5))/Q5</f>
        <v>0.28799999999999992</v>
      </c>
      <c r="R65" s="1603">
        <f>+((N65*N5)+(P65*P5))/R5</f>
        <v>0.3917165124167965</v>
      </c>
      <c r="S65" s="677">
        <v>0.28799999999999998</v>
      </c>
      <c r="T65" s="677">
        <v>0.42599999999999999</v>
      </c>
      <c r="U65" s="957">
        <f>+((Q65*Q5)+(S65*S5))/U5</f>
        <v>0.28799999999999992</v>
      </c>
      <c r="V65" s="1603">
        <f>+((R65*R5)+(T65*T5))/V5</f>
        <v>0.39933874214912457</v>
      </c>
      <c r="W65" s="677">
        <v>0.28799999999999998</v>
      </c>
      <c r="X65" s="677">
        <v>0.41599999999999998</v>
      </c>
      <c r="Y65" s="869">
        <f>+((O65*O5)+(S65*S5)+(W65*W5))/Y5</f>
        <v>0.28799999999999998</v>
      </c>
      <c r="Z65" s="869">
        <f>+((P65*P5)+(T65*T5)+(X65*X5))/Z5</f>
        <v>0.41271432660283097</v>
      </c>
      <c r="AA65" s="1855">
        <f>+((M65*M5)+(Y65*Y5))/AA5</f>
        <v>0.28799999999999998</v>
      </c>
      <c r="AB65" s="1855">
        <f>+((N65*N5)+(Z65*Z5))/AB5</f>
        <v>0.40261259381350117</v>
      </c>
      <c r="AC65" s="677">
        <v>0.28799999999999998</v>
      </c>
      <c r="AD65" s="677">
        <v>0.39500000000000002</v>
      </c>
      <c r="AE65" s="957">
        <f>+((AA65*AA5)+(AC65*AC5))/AE5</f>
        <v>0.28799999999999998</v>
      </c>
      <c r="AF65" s="1603">
        <f>+((AB65*AB5)+(AD65*AD5))/AF5</f>
        <v>0.40123000402452508</v>
      </c>
      <c r="AG65" s="677">
        <v>0.28799999999999998</v>
      </c>
      <c r="AH65" s="677">
        <v>0.4</v>
      </c>
      <c r="AI65" s="957">
        <f>+((AE65*AE5)+(AG65*AG5))/AI5</f>
        <v>0.28799999999999992</v>
      </c>
      <c r="AJ65" s="1603">
        <f>+((AF65*AF5)+(AH65*AH5))/AJ5</f>
        <v>0.40106096797479251</v>
      </c>
      <c r="AK65" s="677">
        <v>0.28799999999999998</v>
      </c>
      <c r="AL65" s="677">
        <v>0.372</v>
      </c>
      <c r="AM65" s="869">
        <f>+((AC65*AC5)+(AG65*AG5)+(AK65*AK5))/AM5</f>
        <v>0.28799999999999998</v>
      </c>
      <c r="AN65" s="869">
        <f>+((AD65*AD5)+(AH65*AH5)+(AL65*AL5))/AN5</f>
        <v>0.38802862413122968</v>
      </c>
      <c r="AO65" s="957">
        <f>+((AI65*AI5)+(AK65*AK5))/AO5</f>
        <v>0.28799999999999998</v>
      </c>
      <c r="AP65" s="1603">
        <f>+((AJ65*AJ5)+(AL65*AL5))/AP5</f>
        <v>0.39682194428231016</v>
      </c>
      <c r="AQ65" s="677">
        <v>0.28799999999999998</v>
      </c>
      <c r="AR65" s="677">
        <v>0.371</v>
      </c>
      <c r="AS65" s="957">
        <f>+((AO65*AO5)+(AQ65*AQ5))/AS5</f>
        <v>0.28800000000000003</v>
      </c>
      <c r="AT65" s="1603">
        <f>+((AP65*AP5)+(AR65*AR5))/AT5</f>
        <v>0.39344409101183475</v>
      </c>
      <c r="AU65" s="677">
        <v>0.28799999999999998</v>
      </c>
      <c r="AV65" s="677">
        <v>0.39900000000000002</v>
      </c>
      <c r="AW65" s="957">
        <f>+((AS65*AS5)+(AU65*AU5))/AW5</f>
        <v>0.28800000000000003</v>
      </c>
      <c r="AX65" s="1603">
        <f>+((AT65*AT5)+(AV65*AV5))/AX5</f>
        <v>0.39390778793829351</v>
      </c>
      <c r="AY65" s="677">
        <v>0.28799999999999998</v>
      </c>
      <c r="AZ65" s="677">
        <v>0.40200000000000002</v>
      </c>
      <c r="BA65" s="869">
        <f>+((AQ65*AQ5)+(AU65*AU5)+(AY65*AY5))/BA5</f>
        <v>0.28799999999999998</v>
      </c>
      <c r="BB65" s="869">
        <f>+((AR65*AR5)+(AV65*AV5)+(AZ65*AZ5))/BB5</f>
        <v>0.3895838324329613</v>
      </c>
      <c r="BC65" s="1855">
        <f>+((AM65*AM5)+(BA65*BA5))/BC5</f>
        <v>0.28800000000000003</v>
      </c>
      <c r="BD65" s="1855">
        <f>+((AN65*AN5)+(BB65*BB5))/BD5</f>
        <v>0.38881014442089629</v>
      </c>
      <c r="BE65" s="957">
        <f>+((AW65*AW5)+(AY65*AY5))/BE5</f>
        <v>0.28800000000000009</v>
      </c>
      <c r="BF65" s="1603">
        <f>+((AX65*AX5)+(AZ65*AZ5))/BF5</f>
        <v>0.39474994437954319</v>
      </c>
    </row>
    <row r="66" spans="2:58" x14ac:dyDescent="0.25">
      <c r="B66" s="28" t="s">
        <v>339</v>
      </c>
      <c r="C66" s="2328"/>
      <c r="D66" s="355" t="s">
        <v>242</v>
      </c>
      <c r="E66" s="475">
        <f>+'POWER DISTRIBUTION'!I26</f>
        <v>4322072.5388601124</v>
      </c>
      <c r="F66" s="475">
        <f>+'POWER DISTRIBUTION'!J26</f>
        <v>3160935</v>
      </c>
      <c r="G66" s="475">
        <f>+'POWER DISTRIBUTION'!K26</f>
        <v>4465264.2487046598</v>
      </c>
      <c r="H66" s="475">
        <f>+'POWER DISTRIBUTION'!L26</f>
        <v>4875136.6666666605</v>
      </c>
      <c r="I66" s="1599">
        <f>+E66+G66</f>
        <v>8787336.7875647731</v>
      </c>
      <c r="J66" s="2339">
        <f>+F66+H66</f>
        <v>8036071.6666666605</v>
      </c>
      <c r="K66" s="475">
        <f>+'POWER DISTRIBUTION'!O26</f>
        <v>5321243.5233160621</v>
      </c>
      <c r="L66" s="475">
        <f>+'POWER DISTRIBUTION'!P26</f>
        <v>5017163.333333334</v>
      </c>
      <c r="M66" s="2338">
        <f>+I66+K66</f>
        <v>14108580.310880836</v>
      </c>
      <c r="N66" s="2338">
        <f>+J66+L66</f>
        <v>13053234.999999994</v>
      </c>
      <c r="O66" s="475">
        <f>+'POWER DISTRIBUTION'!S26</f>
        <v>5484974.0932642501</v>
      </c>
      <c r="P66" s="475">
        <f>+'POWER DISTRIBUTION'!T26</f>
        <v>4895693.3333333423</v>
      </c>
      <c r="Q66" s="2339">
        <f>+M66+O66</f>
        <v>19593554.404145084</v>
      </c>
      <c r="R66" s="96">
        <f>+N66+P66</f>
        <v>17948928.333333336</v>
      </c>
      <c r="S66" s="475">
        <f>+'POWER DISTRIBUTION'!W26</f>
        <v>5484974.0932642501</v>
      </c>
      <c r="T66" s="475">
        <f>+'POWER DISTRIBUTION'!X26</f>
        <v>5236189.9999999935</v>
      </c>
      <c r="U66" s="2339">
        <f>+Q66+S66</f>
        <v>25078528.497409336</v>
      </c>
      <c r="V66" s="96">
        <f>+R66+T66</f>
        <v>23185118.333333328</v>
      </c>
      <c r="W66" s="475">
        <f>+'POWER DISTRIBUTION'!AA26</f>
        <v>5321243.5233160621</v>
      </c>
      <c r="X66" s="475">
        <f>+'POWER DISTRIBUTION'!AB26</f>
        <v>4911553.3333333367</v>
      </c>
      <c r="Y66" s="2338">
        <f>+O66+S66+W66</f>
        <v>16291191.709844563</v>
      </c>
      <c r="Z66" s="2338">
        <f>+P66+T66+X66</f>
        <v>15043436.666666672</v>
      </c>
      <c r="AA66" s="1134">
        <f>+M66+Y66</f>
        <v>30399772.020725399</v>
      </c>
      <c r="AB66" s="1118">
        <f>+N66+Z66</f>
        <v>28096671.666666664</v>
      </c>
      <c r="AC66" s="3170">
        <f>+'POWER DISTRIBUTION'!AG26</f>
        <v>5484974.0932642501</v>
      </c>
      <c r="AD66" s="3170">
        <f>+'POWER DISTRIBUTION'!AH26</f>
        <v>5436948.3333333349</v>
      </c>
      <c r="AE66" s="3163">
        <f>+AA66+AC66</f>
        <v>35884746.113989651</v>
      </c>
      <c r="AF66" s="96">
        <f>+AB66+AD66</f>
        <v>33533620</v>
      </c>
      <c r="AG66" s="3327">
        <f>+'POWER DISTRIBUTION'!AK26</f>
        <v>5321243.5233160621</v>
      </c>
      <c r="AH66" s="3327">
        <f>+'POWER DISTRIBUTION'!AL26</f>
        <v>4980231.6666666688</v>
      </c>
      <c r="AI66" s="3321">
        <f>+AE66+AG66</f>
        <v>41205989.637305714</v>
      </c>
      <c r="AJ66" s="96">
        <f>+AF66+AH66</f>
        <v>38513851.666666672</v>
      </c>
      <c r="AK66" s="3601">
        <f>+'POWER DISTRIBUTION'!AO26</f>
        <v>5484974.0932642501</v>
      </c>
      <c r="AL66" s="3601">
        <f>+'POWER DISTRIBUTION'!AP26</f>
        <v>5642216.6666666586</v>
      </c>
      <c r="AM66" s="3600">
        <f>+AC66+AG66+AK66</f>
        <v>16291191.709844561</v>
      </c>
      <c r="AN66" s="3600">
        <f>+AD66+AH66+AL66</f>
        <v>16059396.666666662</v>
      </c>
      <c r="AO66" s="3597">
        <f>+AI66+AK66</f>
        <v>46690963.730569966</v>
      </c>
      <c r="AP66" s="96">
        <f>+AJ66+AL66</f>
        <v>44156068.333333328</v>
      </c>
      <c r="AQ66" s="3873">
        <f>+'POWER DISTRIBUTION'!AU26</f>
        <v>5484974.0932642501</v>
      </c>
      <c r="AR66" s="3873">
        <f>+'POWER DISTRIBUTION'!AV26</f>
        <v>5652335.0000000019</v>
      </c>
      <c r="AS66" s="3874">
        <f>+AO66+AQ66</f>
        <v>52175937.823834218</v>
      </c>
      <c r="AT66" s="96">
        <f>+AP66+AR66</f>
        <v>49808403.333333328</v>
      </c>
      <c r="AU66" s="4061">
        <f>+'POWER DISTRIBUTION'!AY26</f>
        <v>4830051.8134715026</v>
      </c>
      <c r="AV66" s="4061">
        <f>+'POWER DISTRIBUTION'!AZ26</f>
        <v>4504943.333333333</v>
      </c>
      <c r="AW66" s="4062">
        <f>+AS66+AU66</f>
        <v>57005989.637305722</v>
      </c>
      <c r="AX66" s="96">
        <f>+AT66+AV66</f>
        <v>54313346.666666664</v>
      </c>
      <c r="AY66" s="4461">
        <f>+'POWER DISTRIBUTION'!BC26</f>
        <v>5484974.0932642501</v>
      </c>
      <c r="AZ66" s="4461">
        <f>+'POWER DISTRIBUTION'!BD26</f>
        <v>5544905.0000000028</v>
      </c>
      <c r="BA66" s="4380">
        <f>+AQ66+AU66+AY66</f>
        <v>15800000.000000002</v>
      </c>
      <c r="BB66" s="4380">
        <f>+AR66+AV66+AZ66</f>
        <v>15702183.33333334</v>
      </c>
      <c r="BC66" s="4382">
        <f>+AM66+BA66</f>
        <v>32091191.709844563</v>
      </c>
      <c r="BD66" s="1118">
        <f>+AN66+BB66</f>
        <v>31761580</v>
      </c>
      <c r="BE66" s="4381">
        <f>+AW66+AY66</f>
        <v>62490963.730569974</v>
      </c>
      <c r="BF66" s="96">
        <f>+AX66+AZ66</f>
        <v>59858251.666666664</v>
      </c>
    </row>
    <row r="67" spans="2:58" x14ac:dyDescent="0.25">
      <c r="B67" s="28" t="s">
        <v>340</v>
      </c>
      <c r="C67" s="2328"/>
      <c r="D67" s="355" t="s">
        <v>332</v>
      </c>
      <c r="E67" s="449">
        <f t="shared" ref="E67:AF67" si="67">+E66/E5</f>
        <v>94.790607484430922</v>
      </c>
      <c r="F67" s="449">
        <f t="shared" si="67"/>
        <v>96.432268285517395</v>
      </c>
      <c r="G67" s="449">
        <f t="shared" si="67"/>
        <v>86.179599172675779</v>
      </c>
      <c r="H67" s="230">
        <f t="shared" si="67"/>
        <v>113.06728130250461</v>
      </c>
      <c r="I67" s="687">
        <f t="shared" si="67"/>
        <v>90.210290715514532</v>
      </c>
      <c r="J67" s="687">
        <f t="shared" si="67"/>
        <v>105.8827608784694</v>
      </c>
      <c r="K67" s="449">
        <f t="shared" si="67"/>
        <v>78.999999999999986</v>
      </c>
      <c r="L67" s="230">
        <f t="shared" si="67"/>
        <v>92.405390437330212</v>
      </c>
      <c r="M67" s="869">
        <f t="shared" si="67"/>
        <v>85.62747151605538</v>
      </c>
      <c r="N67" s="869">
        <f t="shared" si="67"/>
        <v>100.26213240405096</v>
      </c>
      <c r="O67" s="449">
        <f t="shared" si="67"/>
        <v>79.000000000000014</v>
      </c>
      <c r="P67" s="449">
        <f t="shared" si="67"/>
        <v>92.48545333024768</v>
      </c>
      <c r="Q67" s="687">
        <f t="shared" si="67"/>
        <v>83.662691358695227</v>
      </c>
      <c r="R67" s="245">
        <f t="shared" si="67"/>
        <v>98.014188962485406</v>
      </c>
      <c r="S67" s="449">
        <f t="shared" si="67"/>
        <v>79.000000000000014</v>
      </c>
      <c r="T67" s="449">
        <f t="shared" si="67"/>
        <v>100.01483550496371</v>
      </c>
      <c r="U67" s="687">
        <f t="shared" si="67"/>
        <v>82.596479170124951</v>
      </c>
      <c r="V67" s="245">
        <f t="shared" si="67"/>
        <v>98.458991654246219</v>
      </c>
      <c r="W67" s="449">
        <f t="shared" si="67"/>
        <v>78.999999999999986</v>
      </c>
      <c r="X67" s="449">
        <f t="shared" si="67"/>
        <v>85.29083648143957</v>
      </c>
      <c r="Y67" s="869">
        <f t="shared" si="67"/>
        <v>79</v>
      </c>
      <c r="Z67" s="869">
        <f t="shared" si="67"/>
        <v>92.361956477462229</v>
      </c>
      <c r="AA67" s="1135">
        <f t="shared" si="67"/>
        <v>81.943487398265077</v>
      </c>
      <c r="AB67" s="1146">
        <f t="shared" si="67"/>
        <v>95.87151673997991</v>
      </c>
      <c r="AC67" s="449">
        <f t="shared" si="67"/>
        <v>79.000000000000014</v>
      </c>
      <c r="AD67" s="449">
        <f t="shared" si="67"/>
        <v>83.595886928474727</v>
      </c>
      <c r="AE67" s="687">
        <f t="shared" si="67"/>
        <v>81.479455420626152</v>
      </c>
      <c r="AF67" s="245">
        <f t="shared" si="67"/>
        <v>93.642032171850673</v>
      </c>
      <c r="AG67" s="449">
        <f t="shared" ref="AG67:AJ67" si="68">+AG66/AG5</f>
        <v>78.999999999999986</v>
      </c>
      <c r="AH67" s="449">
        <f t="shared" si="68"/>
        <v>87.289675043661092</v>
      </c>
      <c r="AI67" s="687">
        <f t="shared" si="68"/>
        <v>81.150548163206125</v>
      </c>
      <c r="AJ67" s="245">
        <f t="shared" si="68"/>
        <v>92.769045308369243</v>
      </c>
      <c r="AK67" s="449">
        <f t="shared" ref="AK67:AP67" si="69">+AK66/AK5</f>
        <v>79.000000000000014</v>
      </c>
      <c r="AL67" s="449">
        <f t="shared" si="69"/>
        <v>79.58035017798835</v>
      </c>
      <c r="AM67" s="869">
        <f t="shared" si="69"/>
        <v>79</v>
      </c>
      <c r="AN67" s="869">
        <f t="shared" si="69"/>
        <v>83.21268810623495</v>
      </c>
      <c r="AO67" s="687">
        <f t="shared" si="69"/>
        <v>80.891864697146971</v>
      </c>
      <c r="AP67" s="245">
        <f t="shared" si="69"/>
        <v>90.845255599123988</v>
      </c>
      <c r="AQ67" s="449">
        <f t="shared" ref="AQ67:AT67" si="70">+AQ66/AQ5</f>
        <v>79.000000000000014</v>
      </c>
      <c r="AR67" s="449">
        <f t="shared" si="70"/>
        <v>77.268234393432081</v>
      </c>
      <c r="AS67" s="687">
        <f t="shared" si="70"/>
        <v>80.688731834690657</v>
      </c>
      <c r="AT67" s="245">
        <f t="shared" si="70"/>
        <v>89.06920090000601</v>
      </c>
      <c r="AU67" s="449">
        <f t="shared" ref="AU67:AX67" si="71">+AU66/AU5</f>
        <v>79</v>
      </c>
      <c r="AV67" s="449">
        <f t="shared" si="71"/>
        <v>88.468065804599149</v>
      </c>
      <c r="AW67" s="687">
        <f t="shared" si="71"/>
        <v>80.542853126412894</v>
      </c>
      <c r="AX67" s="245">
        <f t="shared" si="71"/>
        <v>89.019030082463757</v>
      </c>
      <c r="AY67" s="449">
        <f t="shared" ref="AY67:AZ67" si="72">+AY66/AY5</f>
        <v>79.000000000000014</v>
      </c>
      <c r="AZ67" s="449">
        <f t="shared" si="72"/>
        <v>78.238221164516816</v>
      </c>
      <c r="BA67" s="869">
        <f>+BA66/BA5</f>
        <v>79.000000000000014</v>
      </c>
      <c r="BB67" s="869">
        <f>+BB66/BB5</f>
        <v>80.546371396958833</v>
      </c>
      <c r="BC67" s="1135">
        <f t="shared" ref="BC67:BD67" si="73">+BC66/BC5</f>
        <v>79.000000000000014</v>
      </c>
      <c r="BD67" s="1146">
        <f t="shared" si="73"/>
        <v>81.87281575302265</v>
      </c>
      <c r="BE67" s="687">
        <f>+BE66/BE5</f>
        <v>80.405024939602825</v>
      </c>
      <c r="BF67" s="245">
        <f>+BF66/BF5</f>
        <v>87.897071388981786</v>
      </c>
    </row>
    <row r="68" spans="2:58" ht="15" customHeight="1" x14ac:dyDescent="0.25">
      <c r="B68" s="28" t="s">
        <v>341</v>
      </c>
      <c r="C68" s="2328"/>
      <c r="D68" s="355" t="s">
        <v>333</v>
      </c>
      <c r="E68" s="369">
        <f>+EMD!D28/(EMD!D2*24)</f>
        <v>2.2728467999999999</v>
      </c>
      <c r="F68" s="369">
        <f>+EMD!E28/(EMD!E2*24)</f>
        <v>0.9174780093361834</v>
      </c>
      <c r="G68" s="369">
        <f>+EMD!F28/(EMD!F2*24)</f>
        <v>2.4532213</v>
      </c>
      <c r="H68" s="365">
        <f>+EMD!G28/(EMD!G2*24)</f>
        <v>1.910215053763441</v>
      </c>
      <c r="I68" s="949">
        <f>+((E68*E$2)+(G68*G$2))/I$2</f>
        <v>2.3645125295081968</v>
      </c>
      <c r="J68" s="949">
        <f>+((F68*F$2)+(H68*H$2))/J$2</f>
        <v>1.4219837204385604</v>
      </c>
      <c r="K68" s="369">
        <f>+EMD!J28/(EMD!J2*24)</f>
        <v>1.9967189000000001</v>
      </c>
      <c r="L68" s="365">
        <f>+EMD!K28/(EMD!K2*24)</f>
        <v>1.4992361111111112</v>
      </c>
      <c r="M68" s="951">
        <f>+((I68*I$2)+(K68*K$2))/M$2</f>
        <v>2.2432618824175825</v>
      </c>
      <c r="N68" s="951">
        <f>+((J68*J$2)+(L68*L$2))/N$2</f>
        <v>1.4474515415394011</v>
      </c>
      <c r="O68" s="369">
        <f>+EMD!N28/(EMD!N2*24)</f>
        <v>2.0033124</v>
      </c>
      <c r="P68" s="365">
        <f>+EMD!O28/(EMD!O2*24)</f>
        <v>1.8205376344086022</v>
      </c>
      <c r="Q68" s="949">
        <f>+((M68*M$2)+(O68*O$2))/Q$2</f>
        <v>2.1822911122950823</v>
      </c>
      <c r="R68" s="224">
        <f>+((N68*N$2)+(P68*P$2))/R$2</f>
        <v>1.5422521061209193</v>
      </c>
      <c r="S68" s="369">
        <f>+EMD!R28/(EMD!R2*24)</f>
        <v>1.9392495000000003</v>
      </c>
      <c r="T68" s="365">
        <f>+EMD!S28/(EMD!S2*24)</f>
        <v>1.5117876344086021</v>
      </c>
      <c r="U68" s="949">
        <f>+((Q68*Q$2)+(S68*S$2))/U$2</f>
        <v>2.1330473869281046</v>
      </c>
      <c r="V68" s="224">
        <f>+((R68*R$2)+(T68*T$2))/V$2</f>
        <v>1.5360795661007767</v>
      </c>
      <c r="W68" s="369">
        <f>+EMD!V28/(EMD!V2*24)</f>
        <v>1.9247891000000001</v>
      </c>
      <c r="X68" s="365">
        <f>+EMD!W28/(EMD!W2*24)</f>
        <v>1.7824027777777778</v>
      </c>
      <c r="Y68" s="951">
        <f t="shared" ref="Y68:Z70" si="74">+((O68*O$2)+(S68*S$2)+(W68*W$2))/Y$2</f>
        <v>1.9561205641304347</v>
      </c>
      <c r="Z68" s="951">
        <f t="shared" si="74"/>
        <v>1.7040670289855071</v>
      </c>
      <c r="AA68" s="1188">
        <f t="shared" ref="AA68:AB70" si="75">+((M68*M$2)+(Y68*Y$2))/AA$2</f>
        <v>2.0989066841530057</v>
      </c>
      <c r="AB68" s="1188">
        <f t="shared" si="75"/>
        <v>1.5764604204740555</v>
      </c>
      <c r="AC68" s="3175">
        <f>+EMD!AB28/(EMD!AB2*24)</f>
        <v>1.9392494999999998</v>
      </c>
      <c r="AD68" s="3171">
        <f>+EMD!AC28/(EMD!AC2*24)</f>
        <v>1.8700806451612901</v>
      </c>
      <c r="AE68" s="3172">
        <f>+((AA68*AA$2)+(AC68*AC$2))/AE$2</f>
        <v>2.0757787742990654</v>
      </c>
      <c r="AF68" s="224">
        <f>+((AB68*AB$2)+(AD68*AD$2))/AF$2</f>
        <v>1.6189941913399633</v>
      </c>
      <c r="AG68" s="3334">
        <f>+EMD!AF28/(EMD!AF2*24)</f>
        <v>1.9247891000000001</v>
      </c>
      <c r="AH68" s="3330">
        <f>+EMD!AG28/(EMD!AG2*24)</f>
        <v>1.8921388888888888</v>
      </c>
      <c r="AI68" s="3329">
        <f>+((AE68*AE$2)+(AG68*AG$2))/AI$2</f>
        <v>2.0572144700819672</v>
      </c>
      <c r="AJ68" s="224">
        <f>+((AF68*AF$2)+(AH68*AH$2))/AJ$2</f>
        <v>1.6525775557926998</v>
      </c>
      <c r="AK68" s="3624">
        <f>+EMD!AJ28/(EMD!AJ2*24)</f>
        <v>1.9392494999999998</v>
      </c>
      <c r="AL68" s="3618">
        <f>+EMD!AK28/(EMD!AK2*24)</f>
        <v>2.0436693548387095</v>
      </c>
      <c r="AM68" s="3619">
        <f t="shared" ref="AM68:AM70" si="76">+((AC68*AC$2)+(AG68*AG$2)+(AK68*AK$2))/AM$2</f>
        <v>1.934534152173913</v>
      </c>
      <c r="AN68" s="3619">
        <f t="shared" ref="AN68:AN70" si="77">+((AD68*AD$2)+(AH68*AH$2)+(AL68*AL$2))/AN$2</f>
        <v>1.9357653985507246</v>
      </c>
      <c r="AO68" s="3617">
        <f>+((AI68*AI$2)+(AK68*AK$2))/AO$2</f>
        <v>2.0439166007272727</v>
      </c>
      <c r="AP68" s="224">
        <f>+((AJ68*AJ$2)+(AL68*AL$2))/AP$2</f>
        <v>1.6966642676851591</v>
      </c>
      <c r="AQ68" s="3898">
        <f>+EMD!AP28/(EMD!AP2*24)</f>
        <v>1.9392494999999998</v>
      </c>
      <c r="AR68" s="3897">
        <f>+EMD!AQ28/(EMD!AQ2*24)</f>
        <v>2.0037903225806453</v>
      </c>
      <c r="AS68" s="3896">
        <f>+((AO68*AO$2)+(AQ68*AQ$2))/AS$2</f>
        <v>2.0333130709150327</v>
      </c>
      <c r="AT68" s="224">
        <f>+((AP68*AP$2)+(AR68*AR$2))/AT$2</f>
        <v>1.7277783451418913</v>
      </c>
      <c r="AU68" s="4086">
        <f>+EMD!AT28/(EMD!AT2*24)</f>
        <v>1.8573048000000001</v>
      </c>
      <c r="AV68" s="4085">
        <f>+EMD!AU28/(EMD!AU2*24)</f>
        <v>1.6761407154703727</v>
      </c>
      <c r="AW68" s="4084">
        <f>+((AS68*AS$2)+(AU68*AU$2))/AW$2</f>
        <v>2.018557886526946</v>
      </c>
      <c r="AX68" s="224">
        <f>+((AT68*AT$2)+(AV68*AV$2))/AX$2</f>
        <v>1.7234494420556563</v>
      </c>
      <c r="AY68" s="4476">
        <f>+EMD!AX28/(EMD!AX2*24)</f>
        <v>1.9392494999999998</v>
      </c>
      <c r="AZ68" s="4477">
        <f>+EMD!AY28/(EMD!AY2*24)</f>
        <v>2.0152284946236558</v>
      </c>
      <c r="BA68" s="4416">
        <f t="shared" ref="BA68:BA70" si="78">+((AQ68*AQ$2)+(AU68*AU$2)+(AY68*AY$2))/BA$2</f>
        <v>1.913755593333333</v>
      </c>
      <c r="BB68" s="4416">
        <f t="shared" ref="BB68:BB70" si="79">+((AR68*AR$2)+(AV68*AV$2)+(AZ68*AZ$2))/BB$2</f>
        <v>1.905794704072264</v>
      </c>
      <c r="BC68" s="4415">
        <f t="shared" ref="BC68:BD70" si="80">+((AM68*AM$2)+(BA68*BA$2))/BC$2</f>
        <v>1.9242590406593405</v>
      </c>
      <c r="BD68" s="4415">
        <f t="shared" si="80"/>
        <v>1.9209447254569803</v>
      </c>
      <c r="BE68" s="4414">
        <f>+((AW68*AW$2)+(AY68*AY$2))/BE$2</f>
        <v>2.0118221057534247</v>
      </c>
      <c r="BF68" s="224">
        <f>+((AX68*AX$2)+(AZ68*AZ$2))/BF$2</f>
        <v>1.7482306766573221</v>
      </c>
    </row>
    <row r="69" spans="2:58" x14ac:dyDescent="0.25">
      <c r="B69" s="28" t="s">
        <v>342</v>
      </c>
      <c r="C69" s="2328"/>
      <c r="D69" s="355" t="s">
        <v>333</v>
      </c>
      <c r="E69" s="369">
        <f>+EMD!D47/(EMD!D2*24)</f>
        <v>4.7719290277777775</v>
      </c>
      <c r="F69" s="369">
        <f>+EMD!E47/(EMD!E2*24)</f>
        <v>4.3525012766778328</v>
      </c>
      <c r="G69" s="369">
        <f>+EMD!F47/(EMD!F2*24)</f>
        <v>5.272240769506694</v>
      </c>
      <c r="H69" s="365">
        <f>+EMD!G47/(EMD!G2*24)</f>
        <v>4.4944892473118276</v>
      </c>
      <c r="I69" s="687">
        <f t="shared" ref="I69:J70" si="81">+((E69*E$2)+(G69*G$2))/I$2</f>
        <v>5.0261858145580467</v>
      </c>
      <c r="J69" s="687">
        <f t="shared" si="81"/>
        <v>4.4246590978196991</v>
      </c>
      <c r="K69" s="369">
        <f>+EMD!J47/(EMD!J2*24)</f>
        <v>7.7709828970213994</v>
      </c>
      <c r="L69" s="365">
        <f>+EMD!K47/(EMD!K2*24)</f>
        <v>8.0217361111111103</v>
      </c>
      <c r="M69" s="869">
        <f t="shared" ref="M69:M70" si="82">+((I69*I$2)+(K69*K$2))/M$2</f>
        <v>5.9310639736118995</v>
      </c>
      <c r="N69" s="869">
        <f t="shared" ref="N69:N70" si="83">+((J69*J$2)+(L69*L$2))/N$2</f>
        <v>5.6105086626410428</v>
      </c>
      <c r="O69" s="369">
        <f>+EMD!N47/(EMD!N2*24)</f>
        <v>7.7455772824435005</v>
      </c>
      <c r="P69" s="365">
        <f>+EMD!O47/(EMD!O2*24)</f>
        <v>7.345403225806451</v>
      </c>
      <c r="Q69" s="687">
        <f t="shared" ref="Q69:Q70" si="84">+((M69*M$2)+(O69*O$2))/Q$2</f>
        <v>6.3921288307740269</v>
      </c>
      <c r="R69" s="245">
        <f t="shared" ref="R69:R70" si="85">+((N69*N$2)+(P69*P$2))/R$2</f>
        <v>6.0513425270519257</v>
      </c>
      <c r="S69" s="369">
        <f>+EMD!R47/(EMD!R2*24)</f>
        <v>7.7795431923337999</v>
      </c>
      <c r="T69" s="365">
        <f>+EMD!S47/(EMD!S2*24)</f>
        <v>7.7855107526881717</v>
      </c>
      <c r="U69" s="687">
        <f t="shared" ref="U69:U70" si="86">+((Q69*Q$2)+(S69*S$2))/U$2</f>
        <v>6.6732389301750272</v>
      </c>
      <c r="V69" s="245">
        <f t="shared" ref="V69:V70" si="87">+((R69*R$2)+(T69*T$2))/V$2</f>
        <v>6.4027099453180929</v>
      </c>
      <c r="W69" s="369">
        <f>+EMD!V47/(EMD!V2*24)</f>
        <v>7.8091198361926999</v>
      </c>
      <c r="X69" s="365">
        <f>+EMD!W47/(EMD!W2*24)</f>
        <v>8.9537361111111107</v>
      </c>
      <c r="Y69" s="951">
        <f t="shared" si="74"/>
        <v>7.7777427152595351</v>
      </c>
      <c r="Z69" s="951">
        <f t="shared" si="74"/>
        <v>8.0181567028985494</v>
      </c>
      <c r="AA69" s="1188">
        <f t="shared" si="75"/>
        <v>6.8594489147680875</v>
      </c>
      <c r="AB69" s="1188">
        <f t="shared" si="75"/>
        <v>6.820910956103833</v>
      </c>
      <c r="AC69" s="3175">
        <f>+EMD!AB47/(EMD!AB2*24)</f>
        <v>7.7795431923337999</v>
      </c>
      <c r="AD69" s="3171">
        <f>+EMD!AC47/(EMD!AC2*24)</f>
        <v>9.531263440860215</v>
      </c>
      <c r="AE69" s="687">
        <f t="shared" ref="AE69:AE70" si="88">+((AA69*AA$2)+(AC69*AC$2))/AE$2</f>
        <v>6.9927335998360185</v>
      </c>
      <c r="AF69" s="245">
        <f t="shared" ref="AF69:AF70" si="89">+((AB69*AB$2)+(AD69*AD$2))/AF$2</f>
        <v>7.2135321104377015</v>
      </c>
      <c r="AG69" s="3334">
        <f>+EMD!AF47/(EMD!AF2*24)</f>
        <v>7.8091198361926999</v>
      </c>
      <c r="AH69" s="3330">
        <f>+EMD!AG47/(EMD!AG2*24)</f>
        <v>8.6099444444444444</v>
      </c>
      <c r="AI69" s="687">
        <f t="shared" ref="AI69:AI70" si="90">+((AE69*AE$2)+(AG69*AG$2))/AI$2</f>
        <v>7.0931089567651178</v>
      </c>
      <c r="AJ69" s="245">
        <f t="shared" ref="AJ69:AJ70" si="91">+((AF69*AF$2)+(AH69*AH$2))/AJ$2</f>
        <v>7.3852221515041041</v>
      </c>
      <c r="AK69" s="3624">
        <f>+EMD!AJ47/(EMD!AJ2*24)</f>
        <v>7.7795431923337999</v>
      </c>
      <c r="AL69" s="3618">
        <f>+EMD!AK47/(EMD!AK2*24)</f>
        <v>9.8567204301075257</v>
      </c>
      <c r="AM69" s="3619">
        <f t="shared" si="76"/>
        <v>7.789187750113876</v>
      </c>
      <c r="AN69" s="3619">
        <f t="shared" si="77"/>
        <v>9.340498188405796</v>
      </c>
      <c r="AO69" s="687">
        <f t="shared" ref="AO69:AO70" si="92">+((AI69*AI$2)+(AK69*AK$2))/AO$2</f>
        <v>7.1704888160474063</v>
      </c>
      <c r="AP69" s="245">
        <f t="shared" ref="AP69:AP70" si="93">+((AJ69*AJ$2)+(AL69*AL$2))/AP$2</f>
        <v>7.6638274120012166</v>
      </c>
      <c r="AQ69" s="3898">
        <f>+EMD!AP47/(EMD!AP2*24)</f>
        <v>7.7795431923337999</v>
      </c>
      <c r="AR69" s="3897">
        <f>+EMD!AQ47/(EMD!AQ2*24)</f>
        <v>10.712002688172042</v>
      </c>
      <c r="AS69" s="687">
        <f t="shared" ref="AS69:AS70" si="94">+((AO69*AO$2)+(AQ69*AQ$2))/AS$2</f>
        <v>7.2321904031875306</v>
      </c>
      <c r="AT69" s="245">
        <f t="shared" ref="AT69:AT70" si="95">+((AP69*AP$2)+(AR69*AR$2))/AT$2</f>
        <v>7.9726294824629678</v>
      </c>
      <c r="AU69" s="4086">
        <f>+EMD!AT47/(EMD!AT2*24)</f>
        <v>7.6023273707705998</v>
      </c>
      <c r="AV69" s="4085">
        <f>+EMD!AU47/(EMD!AU2*24)</f>
        <v>9.6030540967613227</v>
      </c>
      <c r="AW69" s="687">
        <f t="shared" ref="AW69:AW70" si="96">+((AS69*AS$2)+(AU69*AU$2))/AW$2</f>
        <v>7.2632198495717404</v>
      </c>
      <c r="AX69" s="245">
        <f t="shared" ref="AX69:AX70" si="97">+((AT69*AT$2)+(AV69*AV$2))/AX$2</f>
        <v>8.1093117854580381</v>
      </c>
      <c r="AY69" s="4476">
        <f>+EMD!AX47/(EMD!AX2*24)</f>
        <v>7.7795431923337999</v>
      </c>
      <c r="AZ69" s="4477">
        <f>+EMD!AY47/(EMD!AY2*24)</f>
        <v>11.512647849462365</v>
      </c>
      <c r="BA69" s="4416">
        <f t="shared" si="78"/>
        <v>7.7244093811808048</v>
      </c>
      <c r="BB69" s="4416">
        <f t="shared" si="79"/>
        <v>10.642774237510928</v>
      </c>
      <c r="BC69" s="4415">
        <f t="shared" si="80"/>
        <v>7.7571544907513683</v>
      </c>
      <c r="BD69" s="4415">
        <f t="shared" si="80"/>
        <v>9.9844808500511917</v>
      </c>
      <c r="BE69" s="687">
        <f t="shared" ref="BE69:BE70" si="98">+((AW69*AW$2)+(AY69*AY$2))/BE$2</f>
        <v>7.3070719690939967</v>
      </c>
      <c r="BF69" s="245">
        <f t="shared" ref="BF69:BF70" si="99">+((AX69*AX$2)+(AZ69*AZ$2))/BF$2</f>
        <v>8.3983622456885421</v>
      </c>
    </row>
    <row r="70" spans="2:58" x14ac:dyDescent="0.25">
      <c r="B70" s="28" t="s">
        <v>343</v>
      </c>
      <c r="C70" s="2328"/>
      <c r="D70" s="355" t="s">
        <v>333</v>
      </c>
      <c r="E70" s="369">
        <f>+EMD!D70/(EMD!D2*24)</f>
        <v>0.55453334999999992</v>
      </c>
      <c r="F70" s="369">
        <f>+EMD!E70/(EMD!E2*24)</f>
        <v>1.0021510179378348</v>
      </c>
      <c r="G70" s="369">
        <f>+EMD!F70/(EMD!F2*24)</f>
        <v>0.63154948999999994</v>
      </c>
      <c r="H70" s="365">
        <f>+EMD!G70/(EMD!G2*24)</f>
        <v>1.4160618279569892</v>
      </c>
      <c r="I70" s="687">
        <f t="shared" si="81"/>
        <v>0.59367269983606541</v>
      </c>
      <c r="J70" s="687">
        <f t="shared" si="81"/>
        <v>1.2124991345049463</v>
      </c>
      <c r="K70" s="369">
        <f>+EMD!J70/(EMD!J2*24)</f>
        <v>1.45855036</v>
      </c>
      <c r="L70" s="365">
        <f>+EMD!K70/(EMD!K2*24)</f>
        <v>2.0331124999999997</v>
      </c>
      <c r="M70" s="869">
        <f t="shared" si="82"/>
        <v>0.87879720318681309</v>
      </c>
      <c r="N70" s="869">
        <f t="shared" si="83"/>
        <v>1.4830310132395792</v>
      </c>
      <c r="O70" s="369">
        <f>+EMD!N70/(EMD!N2*24)</f>
        <v>1.44950578</v>
      </c>
      <c r="P70" s="365">
        <f>+EMD!O70/(EMD!O2*24)</f>
        <v>1.6935174731182796</v>
      </c>
      <c r="Q70" s="687">
        <f t="shared" si="84"/>
        <v>1.023813316967213</v>
      </c>
      <c r="R70" s="245">
        <f t="shared" si="85"/>
        <v>1.5365152776349866</v>
      </c>
      <c r="S70" s="369">
        <f>+EMD!R70/(EMD!R2*24)</f>
        <v>1.4796027199999999</v>
      </c>
      <c r="T70" s="365">
        <f>+EMD!S70/(EMD!S2*24)</f>
        <v>2.039831989247312</v>
      </c>
      <c r="U70" s="687">
        <f t="shared" si="86"/>
        <v>1.1161628038562088</v>
      </c>
      <c r="V70" s="245">
        <f t="shared" si="87"/>
        <v>1.6384944806414055</v>
      </c>
      <c r="W70" s="369">
        <f>+EMD!V70/(EMD!V2*24)</f>
        <v>1.4923432200000002</v>
      </c>
      <c r="X70" s="365">
        <f>+EMD!W70/(EMD!W2*24)</f>
        <v>2.1765625000000002</v>
      </c>
      <c r="Y70" s="951">
        <f t="shared" si="74"/>
        <v>1.473615870652174</v>
      </c>
      <c r="Z70" s="951">
        <f t="shared" si="74"/>
        <v>1.9677250905797101</v>
      </c>
      <c r="AA70" s="1188">
        <f t="shared" si="75"/>
        <v>1.1778317245355192</v>
      </c>
      <c r="AB70" s="1188">
        <f t="shared" si="75"/>
        <v>1.7267023526674048</v>
      </c>
      <c r="AC70" s="3175">
        <f>+EMD!AB70/(EMD!AB2*24)</f>
        <v>1.4318736000000001</v>
      </c>
      <c r="AD70" s="3171">
        <f>+EMD!AC70/(EMD!AC2*24)</f>
        <v>2.2132876344086019</v>
      </c>
      <c r="AE70" s="687">
        <f t="shared" si="88"/>
        <v>1.2146321831308413</v>
      </c>
      <c r="AF70" s="245">
        <f t="shared" si="89"/>
        <v>1.7971890056299147</v>
      </c>
      <c r="AG70" s="3334">
        <f>+EMD!AF70/(EMD!AF2*24)</f>
        <v>1.4923432200000002</v>
      </c>
      <c r="AH70" s="3330">
        <f>+EMD!AG70/(EMD!AG2*24)</f>
        <v>1.9328625000000001</v>
      </c>
      <c r="AI70" s="687">
        <f t="shared" si="90"/>
        <v>1.2487769827459017</v>
      </c>
      <c r="AJ70" s="245">
        <f t="shared" si="91"/>
        <v>1.8138701729704991</v>
      </c>
      <c r="AK70" s="3624">
        <f>+EMD!AJ70/(EMD!AJ2*24)</f>
        <v>1.4796027199999999</v>
      </c>
      <c r="AL70" s="3618">
        <f>+EMD!AK70/(EMD!AK2*24)</f>
        <v>2.1736088709677417</v>
      </c>
      <c r="AM70" s="3619">
        <f t="shared" si="76"/>
        <v>1.4676745926086958</v>
      </c>
      <c r="AN70" s="3619">
        <f t="shared" si="77"/>
        <v>2.1084746376811596</v>
      </c>
      <c r="AO70" s="687">
        <f t="shared" si="92"/>
        <v>1.2747973385818183</v>
      </c>
      <c r="AP70" s="245">
        <f t="shared" si="93"/>
        <v>1.8544225352901882</v>
      </c>
      <c r="AQ70" s="3898">
        <f>+EMD!AP70/(EMD!AP2*24)</f>
        <v>1.4796027199999999</v>
      </c>
      <c r="AR70" s="3897">
        <f>+EMD!AQ70/(EMD!AQ2*24)</f>
        <v>2.2373104838709676</v>
      </c>
      <c r="AS70" s="687">
        <f t="shared" si="94"/>
        <v>1.2955455961764706</v>
      </c>
      <c r="AT70" s="245">
        <f t="shared" si="95"/>
        <v>1.8932118372705937</v>
      </c>
      <c r="AU70" s="4086">
        <f>+EMD!AT70/(EMD!AT2*24)</f>
        <v>1.4582065000000002</v>
      </c>
      <c r="AV70" s="4085">
        <f>+EMD!AU70/(EMD!AU2*24)</f>
        <v>1.7534511281727936</v>
      </c>
      <c r="AW70" s="687">
        <f t="shared" si="96"/>
        <v>1.3091818396107786</v>
      </c>
      <c r="AX70" s="245">
        <f t="shared" si="97"/>
        <v>1.8814953706396405</v>
      </c>
      <c r="AY70" s="4476">
        <f>+EMD!AX70/(EMD!AX2*24)</f>
        <v>1.4796027199999999</v>
      </c>
      <c r="AZ70" s="4477">
        <f>+EMD!AY70/(EMD!AY2*24)</f>
        <v>2.3650940860215055</v>
      </c>
      <c r="BA70" s="4416">
        <f t="shared" si="78"/>
        <v>1.4729461182222223</v>
      </c>
      <c r="BB70" s="4416">
        <f t="shared" si="79"/>
        <v>2.1307908139500542</v>
      </c>
      <c r="BC70" s="4415">
        <f t="shared" si="80"/>
        <v>1.4702813909890113</v>
      </c>
      <c r="BD70" s="4415">
        <f t="shared" si="80"/>
        <v>2.1195101094624813</v>
      </c>
      <c r="BE70" s="687">
        <f t="shared" si="98"/>
        <v>1.323655941780822</v>
      </c>
      <c r="BF70" s="245">
        <f t="shared" si="99"/>
        <v>1.9225681382474153</v>
      </c>
    </row>
    <row r="71" spans="2:58" ht="15.75" thickBot="1" x14ac:dyDescent="0.3">
      <c r="B71" s="31" t="s">
        <v>344</v>
      </c>
      <c r="C71" s="2792"/>
      <c r="D71" s="2793" t="s">
        <v>609</v>
      </c>
      <c r="E71" s="450">
        <f t="shared" ref="E71:AF71" si="100">+E52/E63</f>
        <v>115.78947368421052</v>
      </c>
      <c r="F71" s="450">
        <f t="shared" si="100"/>
        <v>142.21676457297784</v>
      </c>
      <c r="G71" s="450">
        <f t="shared" si="100"/>
        <v>113.63636363636364</v>
      </c>
      <c r="H71" s="1327">
        <f t="shared" si="100"/>
        <v>95.675563407181059</v>
      </c>
      <c r="I71" s="1604">
        <f t="shared" si="100"/>
        <v>114.63414634146342</v>
      </c>
      <c r="J71" s="1604">
        <f t="shared" si="100"/>
        <v>111.76411321815739</v>
      </c>
      <c r="K71" s="450">
        <f t="shared" si="100"/>
        <v>120.37037037037037</v>
      </c>
      <c r="L71" s="1327">
        <f t="shared" si="100"/>
        <v>122.57927506001809</v>
      </c>
      <c r="M71" s="1605">
        <f t="shared" si="100"/>
        <v>116.91176470588235</v>
      </c>
      <c r="N71" s="1605">
        <f t="shared" si="100"/>
        <v>116.07002528995703</v>
      </c>
      <c r="O71" s="450">
        <f t="shared" si="100"/>
        <v>119.64285714285714</v>
      </c>
      <c r="P71" s="450">
        <f t="shared" si="100"/>
        <v>122.4530590887136</v>
      </c>
      <c r="Q71" s="1604">
        <f t="shared" si="100"/>
        <v>117.70833333333333</v>
      </c>
      <c r="R71" s="303">
        <f t="shared" si="100"/>
        <v>117.85858039019305</v>
      </c>
      <c r="S71" s="450">
        <f t="shared" si="100"/>
        <v>119.64285714285714</v>
      </c>
      <c r="T71" s="450">
        <f t="shared" si="100"/>
        <v>113.86023749004133</v>
      </c>
      <c r="U71" s="1604">
        <f t="shared" si="100"/>
        <v>118.14516129032258</v>
      </c>
      <c r="V71" s="303">
        <f t="shared" si="100"/>
        <v>116.94230709042033</v>
      </c>
      <c r="W71" s="450">
        <f t="shared" si="100"/>
        <v>120.37037037037037</v>
      </c>
      <c r="X71" s="450">
        <f t="shared" si="100"/>
        <v>127.08098323610118</v>
      </c>
      <c r="Y71" s="1605">
        <f t="shared" si="100"/>
        <v>119.87951807228916</v>
      </c>
      <c r="Z71" s="1605">
        <f t="shared" si="100"/>
        <v>121.07939582923268</v>
      </c>
      <c r="AA71" s="1716">
        <f t="shared" si="100"/>
        <v>118.54304635761589</v>
      </c>
      <c r="AB71" s="1187">
        <f t="shared" si="100"/>
        <v>118.81273228731663</v>
      </c>
      <c r="AC71" s="450">
        <f t="shared" si="100"/>
        <v>119.64285714285714</v>
      </c>
      <c r="AD71" s="450">
        <f t="shared" si="100"/>
        <v>126.17392901681886</v>
      </c>
      <c r="AE71" s="1604">
        <f t="shared" si="100"/>
        <v>118.71508379888269</v>
      </c>
      <c r="AF71" s="303">
        <f t="shared" si="100"/>
        <v>120.09207612821594</v>
      </c>
      <c r="AG71" s="450">
        <f t="shared" ref="AG71:AJ71" si="101">+AG52/AG63</f>
        <v>120.37037037037037</v>
      </c>
      <c r="AH71" s="450">
        <f t="shared" si="101"/>
        <v>117.72150807899456</v>
      </c>
      <c r="AI71" s="1604">
        <f t="shared" si="101"/>
        <v>118.93203883495146</v>
      </c>
      <c r="AJ71" s="303">
        <f t="shared" si="101"/>
        <v>119.7595839083007</v>
      </c>
      <c r="AK71" s="450">
        <f t="shared" ref="AK71:AP71" si="102">+AK52/AK63</f>
        <v>119.64285714285714</v>
      </c>
      <c r="AL71" s="450">
        <f t="shared" si="102"/>
        <v>132.43014577259473</v>
      </c>
      <c r="AM71" s="1605">
        <f t="shared" si="102"/>
        <v>119.87951807228916</v>
      </c>
      <c r="AN71" s="1605">
        <f t="shared" si="102"/>
        <v>125.69569629705052</v>
      </c>
      <c r="AO71" s="1604">
        <f t="shared" si="102"/>
        <v>119.01709401709402</v>
      </c>
      <c r="AP71" s="303">
        <f t="shared" si="102"/>
        <v>121.46440383207225</v>
      </c>
      <c r="AQ71" s="450">
        <f t="shared" ref="AQ71:AT71" si="103">+AQ52/AQ63</f>
        <v>119.64285714285714</v>
      </c>
      <c r="AR71" s="555">
        <f t="shared" si="103"/>
        <v>137.93393015248401</v>
      </c>
      <c r="AS71" s="1604">
        <f t="shared" si="103"/>
        <v>119.08396946564885</v>
      </c>
      <c r="AT71" s="303">
        <f t="shared" si="103"/>
        <v>123.39663174660575</v>
      </c>
      <c r="AU71" s="450">
        <f t="shared" ref="AU71:AX71" si="104">+AU52/AU63</f>
        <v>118</v>
      </c>
      <c r="AV71" s="555">
        <f t="shared" si="104"/>
        <v>119.92205174987558</v>
      </c>
      <c r="AW71" s="1604">
        <f t="shared" si="104"/>
        <v>118.98954703832753</v>
      </c>
      <c r="AX71" s="303">
        <f t="shared" si="104"/>
        <v>123.10163073900783</v>
      </c>
      <c r="AY71" s="450">
        <f t="shared" ref="AY71:BF71" si="105">+AY52/AY63</f>
        <v>119.64285714285714</v>
      </c>
      <c r="AZ71" s="555">
        <f t="shared" si="105"/>
        <v>133.39293962822831</v>
      </c>
      <c r="BA71" s="1605">
        <f t="shared" si="105"/>
        <v>119.1358024691358</v>
      </c>
      <c r="BB71" s="1605">
        <f t="shared" si="105"/>
        <v>131.20031291908805</v>
      </c>
      <c r="BC71" s="1716">
        <f t="shared" ref="BC71:BD71" si="106">+BC52/BC63</f>
        <v>119.51219512195122</v>
      </c>
      <c r="BD71" s="1187">
        <f t="shared" si="106"/>
        <v>128.39430606418867</v>
      </c>
      <c r="BE71" s="1604">
        <f t="shared" si="105"/>
        <v>119.04761904761905</v>
      </c>
      <c r="BF71" s="303">
        <f t="shared" si="105"/>
        <v>124.09643522729438</v>
      </c>
    </row>
    <row r="72" spans="2:58" s="334" customFormat="1" x14ac:dyDescent="0.25">
      <c r="B72" s="343"/>
      <c r="C72" s="343"/>
      <c r="D72" s="343"/>
      <c r="E72" s="343"/>
      <c r="F72" s="343"/>
      <c r="G72" s="1576"/>
      <c r="H72" s="1576"/>
      <c r="I72" s="1576"/>
      <c r="J72" s="1576"/>
      <c r="K72" s="1576"/>
      <c r="L72" s="1576"/>
      <c r="M72" s="1576"/>
      <c r="N72" s="1576"/>
      <c r="O72" s="1576"/>
      <c r="P72" s="1576"/>
      <c r="Q72" s="1576"/>
      <c r="R72" s="1576"/>
      <c r="S72" s="1576"/>
      <c r="T72" s="1576"/>
      <c r="U72" s="1576"/>
      <c r="V72" s="1576"/>
      <c r="W72" s="1576"/>
      <c r="X72" s="1576"/>
      <c r="Y72" s="1576"/>
      <c r="Z72" s="1576"/>
      <c r="AA72" s="1576"/>
      <c r="AB72" s="1576"/>
      <c r="AC72" s="1576"/>
      <c r="AD72" s="1576"/>
      <c r="AE72" s="1576"/>
      <c r="AF72" s="1576"/>
      <c r="AG72" s="1576"/>
      <c r="AH72" s="1576"/>
      <c r="AI72" s="1576"/>
      <c r="AJ72" s="1576"/>
      <c r="AK72" s="1576"/>
      <c r="AL72" s="1576"/>
      <c r="AM72" s="1576"/>
      <c r="AN72" s="1576"/>
      <c r="AO72" s="1576"/>
      <c r="AP72" s="1576"/>
      <c r="AQ72" s="1576"/>
      <c r="AR72" s="1576"/>
      <c r="AS72" s="1576"/>
      <c r="AT72" s="1576"/>
      <c r="AU72" s="1576"/>
      <c r="AV72" s="1576"/>
      <c r="AW72" s="1576"/>
      <c r="AX72" s="1576"/>
      <c r="AY72" s="1576"/>
      <c r="AZ72" s="1576"/>
      <c r="BA72" s="1576"/>
      <c r="BB72" s="1576"/>
      <c r="BC72" s="1576"/>
      <c r="BD72" s="1576"/>
      <c r="BE72" s="1576"/>
      <c r="BF72" s="1576"/>
    </row>
    <row r="73" spans="2:58" x14ac:dyDescent="0.25">
      <c r="B73" s="700" t="s">
        <v>1026</v>
      </c>
      <c r="C73" s="2794"/>
      <c r="D73" s="33" t="s">
        <v>53</v>
      </c>
      <c r="E73" s="1791"/>
      <c r="F73" s="980">
        <v>167.4</v>
      </c>
      <c r="G73" s="2555"/>
      <c r="H73" s="929">
        <v>542.51</v>
      </c>
      <c r="I73" s="1828"/>
      <c r="J73" s="96">
        <f>+F73+H73</f>
        <v>709.91</v>
      </c>
      <c r="K73" s="2555"/>
      <c r="L73" s="929">
        <v>506.44100000000014</v>
      </c>
      <c r="M73" s="1827"/>
      <c r="N73" s="163">
        <f>+J73+L73</f>
        <v>1216.3510000000001</v>
      </c>
      <c r="O73" s="1733"/>
      <c r="P73" s="929">
        <v>396.25300000000016</v>
      </c>
      <c r="Q73" s="1828"/>
      <c r="R73" s="96">
        <f>+N73+P73</f>
        <v>1612.6040000000003</v>
      </c>
      <c r="S73" s="1733"/>
      <c r="T73" s="929">
        <v>523.39300000000014</v>
      </c>
      <c r="U73" s="1828"/>
      <c r="V73" s="96">
        <f>+R73+T73</f>
        <v>2135.9970000000003</v>
      </c>
      <c r="W73" s="1733"/>
      <c r="X73" s="929">
        <v>476.77500000000009</v>
      </c>
      <c r="Y73" s="2338"/>
      <c r="Z73" s="2338">
        <f>+P73+T73+X73</f>
        <v>1396.4210000000003</v>
      </c>
      <c r="AA73" s="1134"/>
      <c r="AB73" s="1118">
        <f>+N73+Z73</f>
        <v>2612.7720000000004</v>
      </c>
      <c r="AC73" s="3164"/>
      <c r="AD73" s="929">
        <v>389.89600000000013</v>
      </c>
      <c r="AE73" s="1828"/>
      <c r="AF73" s="96">
        <f>+AB73+AD73</f>
        <v>3002.6680000000006</v>
      </c>
      <c r="AG73" s="3164"/>
      <c r="AH73" s="929">
        <v>434.3950000000001</v>
      </c>
      <c r="AI73" s="1828"/>
      <c r="AJ73" s="96">
        <f>+AF73+AH73</f>
        <v>3437.0630000000006</v>
      </c>
      <c r="AK73" s="3164"/>
      <c r="AL73" s="929">
        <v>298.77900000000011</v>
      </c>
      <c r="AM73" s="3600"/>
      <c r="AN73" s="3600">
        <f>+AD73+AH73+AL73</f>
        <v>1123.0700000000002</v>
      </c>
      <c r="AO73" s="1828"/>
      <c r="AP73" s="96">
        <f>+AJ73+AL73</f>
        <v>3735.8420000000006</v>
      </c>
      <c r="AQ73" s="3164"/>
      <c r="AR73" s="929">
        <v>292.42200000000003</v>
      </c>
      <c r="AS73" s="1828"/>
      <c r="AT73" s="96">
        <f>+AP73+AR73</f>
        <v>4028.2640000000006</v>
      </c>
      <c r="AU73" s="3164"/>
      <c r="AV73" s="929">
        <v>394.13400000000007</v>
      </c>
      <c r="AW73" s="1828"/>
      <c r="AX73" s="96">
        <f>+AT73+AV73</f>
        <v>4422.398000000001</v>
      </c>
      <c r="AY73" s="3164"/>
      <c r="AZ73" s="929">
        <v>334.80200000000008</v>
      </c>
      <c r="BA73" s="4380"/>
      <c r="BB73" s="4380">
        <f>+AR73+AV73+AZ73</f>
        <v>1021.3580000000002</v>
      </c>
      <c r="BC73" s="4382"/>
      <c r="BD73" s="1118">
        <f>+AN73+BB73</f>
        <v>2144.4280000000003</v>
      </c>
      <c r="BE73" s="1828"/>
      <c r="BF73" s="96">
        <f>+AX73+AZ73</f>
        <v>4757.2000000000007</v>
      </c>
    </row>
    <row r="74" spans="2:58" x14ac:dyDescent="0.25">
      <c r="B74" s="700" t="s">
        <v>1024</v>
      </c>
      <c r="C74" s="2794"/>
      <c r="D74" s="33" t="s">
        <v>53</v>
      </c>
      <c r="E74" s="1791"/>
      <c r="F74" s="980">
        <v>666.77</v>
      </c>
      <c r="G74" s="2555"/>
      <c r="H74" s="929">
        <v>1896.92</v>
      </c>
      <c r="I74" s="1828"/>
      <c r="J74" s="96">
        <f t="shared" ref="J74:J78" si="107">+F74+H74</f>
        <v>2563.69</v>
      </c>
      <c r="K74" s="2555"/>
      <c r="L74" s="929">
        <v>1099.7618000000064</v>
      </c>
      <c r="M74" s="1827"/>
      <c r="N74" s="163">
        <f t="shared" ref="N74:N78" si="108">+J74+L74</f>
        <v>3663.4518000000062</v>
      </c>
      <c r="O74" s="1733"/>
      <c r="P74" s="929">
        <v>1074.2000500000072</v>
      </c>
      <c r="Q74" s="1828"/>
      <c r="R74" s="96">
        <f t="shared" ref="R74:R78" si="109">+N74+P74</f>
        <v>4737.6518500000129</v>
      </c>
      <c r="S74" s="1733"/>
      <c r="T74" s="929">
        <v>1059.7295000000054</v>
      </c>
      <c r="U74" s="1828"/>
      <c r="V74" s="96">
        <f t="shared" ref="V74" si="110">+R74+T74</f>
        <v>5797.3813500000178</v>
      </c>
      <c r="W74" s="1733"/>
      <c r="X74" s="929">
        <v>1171.2908500000083</v>
      </c>
      <c r="Y74" s="1827"/>
      <c r="Z74" s="2338">
        <f>+P74+T74+X74</f>
        <v>3305.2204000000211</v>
      </c>
      <c r="AA74" s="1134"/>
      <c r="AB74" s="1118">
        <f>+N74+Z74</f>
        <v>6968.6722000000273</v>
      </c>
      <c r="AC74" s="3164"/>
      <c r="AD74" s="929">
        <v>1321.8024250000115</v>
      </c>
      <c r="AE74" s="1828"/>
      <c r="AF74" s="96">
        <f t="shared" ref="AF74" si="111">+AB74+AD74</f>
        <v>8290.4746250000389</v>
      </c>
      <c r="AG74" s="3164"/>
      <c r="AH74" s="929">
        <v>1157.6440000000052</v>
      </c>
      <c r="AI74" s="1828"/>
      <c r="AJ74" s="96">
        <f t="shared" ref="AJ74" si="112">+AF74+AH74</f>
        <v>9448.1186250000446</v>
      </c>
      <c r="AK74" s="3164"/>
      <c r="AL74" s="929">
        <v>1443.5023500000107</v>
      </c>
      <c r="AM74" s="1827"/>
      <c r="AN74" s="3600">
        <f>+AD74+AH74+AL74</f>
        <v>3922.9487750000271</v>
      </c>
      <c r="AO74" s="1828"/>
      <c r="AP74" s="96">
        <f t="shared" ref="AP74" si="113">+AJ74+AL74</f>
        <v>10891.620975000056</v>
      </c>
      <c r="AQ74" s="3164"/>
      <c r="AR74" s="929">
        <v>1703.2022000000077</v>
      </c>
      <c r="AS74" s="1828"/>
      <c r="AT74" s="96">
        <f t="shared" ref="AT74" si="114">+AP74+AR74</f>
        <v>12594.823175000063</v>
      </c>
      <c r="AU74" s="3164"/>
      <c r="AV74" s="929">
        <v>1603.8749500000104</v>
      </c>
      <c r="AW74" s="1828"/>
      <c r="AX74" s="96">
        <f t="shared" ref="AX74" si="115">+AT74+AV74</f>
        <v>14198.698125000074</v>
      </c>
      <c r="AY74" s="3164"/>
      <c r="AZ74" s="929">
        <v>1949.0124000000128</v>
      </c>
      <c r="BA74" s="1827"/>
      <c r="BB74" s="4380">
        <f>+AR74+AV74+AZ74</f>
        <v>5256.0895500000315</v>
      </c>
      <c r="BC74" s="4382"/>
      <c r="BD74" s="1118">
        <f>+AN74+BB74</f>
        <v>9179.0383250000596</v>
      </c>
      <c r="BE74" s="1828"/>
      <c r="BF74" s="96">
        <f t="shared" ref="BF74" si="116">+AX74+AZ74</f>
        <v>16147.710525000086</v>
      </c>
    </row>
    <row r="75" spans="2:58" s="1076" customFormat="1" x14ac:dyDescent="0.25">
      <c r="B75" s="1791" t="s">
        <v>1058</v>
      </c>
      <c r="C75" s="1791"/>
      <c r="D75" s="483" t="s">
        <v>53</v>
      </c>
      <c r="E75" s="1791"/>
      <c r="F75" s="980">
        <f>SUM(F73:F74)</f>
        <v>834.17</v>
      </c>
      <c r="G75" s="2555"/>
      <c r="H75" s="929">
        <f>SUM(H73:H74)</f>
        <v>2439.4300000000003</v>
      </c>
      <c r="I75" s="1828"/>
      <c r="J75" s="930">
        <f>SUM(J73:J74)</f>
        <v>3273.6</v>
      </c>
      <c r="K75" s="1733"/>
      <c r="L75" s="929">
        <f>SUM(L73:L74)</f>
        <v>1606.2028000000064</v>
      </c>
      <c r="M75" s="1827"/>
      <c r="N75" s="1086">
        <f>SUM(N73:N74)</f>
        <v>4879.8028000000068</v>
      </c>
      <c r="O75" s="1733"/>
      <c r="P75" s="929">
        <f>SUM(P73:P74)</f>
        <v>1470.4530500000074</v>
      </c>
      <c r="Q75" s="1828"/>
      <c r="R75" s="930">
        <f>SUM(R73:R74)</f>
        <v>6350.2558500000132</v>
      </c>
      <c r="S75" s="1733"/>
      <c r="T75" s="929">
        <f>SUM(T73:T74)</f>
        <v>1583.1225000000054</v>
      </c>
      <c r="U75" s="1828"/>
      <c r="V75" s="930">
        <f>SUM(V73:V74)</f>
        <v>7933.3783500000181</v>
      </c>
      <c r="W75" s="1733"/>
      <c r="X75" s="929">
        <f>SUM(X73:X74)</f>
        <v>1648.0658500000084</v>
      </c>
      <c r="Y75" s="1827"/>
      <c r="Z75" s="1086">
        <f>SUM(Z73:Z74)</f>
        <v>4701.6414000000213</v>
      </c>
      <c r="AA75" s="2558"/>
      <c r="AB75" s="1142">
        <f>SUM(AB73:AB74)</f>
        <v>9581.4442000000272</v>
      </c>
      <c r="AC75" s="3164"/>
      <c r="AD75" s="929">
        <f>SUM(AD73:AD74)</f>
        <v>1711.6984250000116</v>
      </c>
      <c r="AE75" s="1828"/>
      <c r="AF75" s="930">
        <f>SUM(AF73:AF74)</f>
        <v>11293.14262500004</v>
      </c>
      <c r="AG75" s="3164"/>
      <c r="AH75" s="929">
        <f>SUM(AH73:AH74)</f>
        <v>1592.0390000000052</v>
      </c>
      <c r="AI75" s="1828"/>
      <c r="AJ75" s="930">
        <f>SUM(AJ73:AJ74)</f>
        <v>12885.181625000045</v>
      </c>
      <c r="AK75" s="3164"/>
      <c r="AL75" s="929">
        <f>SUM(AL73:AL74)</f>
        <v>1742.2813500000107</v>
      </c>
      <c r="AM75" s="1827"/>
      <c r="AN75" s="1086">
        <f>SUM(AN73:AN74)</f>
        <v>5046.0187750000277</v>
      </c>
      <c r="AO75" s="1828"/>
      <c r="AP75" s="930">
        <f>SUM(AP73:AP74)</f>
        <v>14627.462975000057</v>
      </c>
      <c r="AQ75" s="3164"/>
      <c r="AR75" s="929">
        <f>SUM(AR73:AR74)</f>
        <v>1995.6242000000077</v>
      </c>
      <c r="AS75" s="1828"/>
      <c r="AT75" s="930">
        <f>SUM(AT73:AT74)</f>
        <v>16623.087175000062</v>
      </c>
      <c r="AU75" s="3164"/>
      <c r="AV75" s="929">
        <f>SUM(AV73:AV74)</f>
        <v>1998.0089500000104</v>
      </c>
      <c r="AW75" s="1828"/>
      <c r="AX75" s="930">
        <f>SUM(AX73:AX74)</f>
        <v>18621.096125000076</v>
      </c>
      <c r="AY75" s="3164"/>
      <c r="AZ75" s="929">
        <f>SUM(AZ73:AZ74)</f>
        <v>2283.8144000000129</v>
      </c>
      <c r="BA75" s="1827"/>
      <c r="BB75" s="1086">
        <f>SUM(BB73:BB74)</f>
        <v>6277.4475500000317</v>
      </c>
      <c r="BC75" s="2558"/>
      <c r="BD75" s="1142">
        <f>SUM(BD73:BD74)</f>
        <v>11323.466325000059</v>
      </c>
      <c r="BE75" s="1828"/>
      <c r="BF75" s="930">
        <f>SUM(BF73:BF74)</f>
        <v>20904.910525000087</v>
      </c>
    </row>
    <row r="76" spans="2:58" s="1076" customFormat="1" x14ac:dyDescent="0.25">
      <c r="B76" s="1791" t="s">
        <v>1054</v>
      </c>
      <c r="C76" s="1791"/>
      <c r="D76" s="483" t="s">
        <v>52</v>
      </c>
      <c r="E76" s="700"/>
      <c r="F76" s="1078">
        <f>+F75/F5</f>
        <v>2.544845282668895E-2</v>
      </c>
      <c r="G76" s="1733"/>
      <c r="H76" s="1078">
        <f>+H75/H5</f>
        <v>5.6576817612860604E-2</v>
      </c>
      <c r="I76" s="1828"/>
      <c r="J76" s="1079">
        <f>+J75/J5</f>
        <v>4.313274201492201E-2</v>
      </c>
      <c r="K76" s="1733"/>
      <c r="L76" s="1078">
        <f>+L75/L5</f>
        <v>2.9582811440369075E-2</v>
      </c>
      <c r="M76" s="1827"/>
      <c r="N76" s="1080">
        <f>+N75/N5</f>
        <v>3.7481852922992616E-2</v>
      </c>
      <c r="O76" s="1733"/>
      <c r="P76" s="1078">
        <f>+P75/P5</f>
        <v>2.7778602063193457E-2</v>
      </c>
      <c r="Q76" s="1828"/>
      <c r="R76" s="1079">
        <f>+R75/R5</f>
        <v>3.4677010531382495E-2</v>
      </c>
      <c r="S76" s="1733"/>
      <c r="T76" s="1078">
        <f>+T75/T5</f>
        <v>3.0238730149537672E-2</v>
      </c>
      <c r="U76" s="1828"/>
      <c r="V76" s="1079">
        <f>+V75/V5</f>
        <v>3.3690249992367791E-2</v>
      </c>
      <c r="W76" s="1733"/>
      <c r="X76" s="1078">
        <f>+X75/X5</f>
        <v>2.8619238229384728E-2</v>
      </c>
      <c r="Y76" s="1827"/>
      <c r="Z76" s="1080">
        <f>+Z75/Z5</f>
        <v>2.8866595312070965E-2</v>
      </c>
      <c r="AA76" s="2558"/>
      <c r="AB76" s="1856">
        <f>+AB75/AB5</f>
        <v>3.2693822204687688E-2</v>
      </c>
      <c r="AC76" s="3164"/>
      <c r="AD76" s="1078">
        <f>+AD75/AD5</f>
        <v>2.6318246784629955E-2</v>
      </c>
      <c r="AE76" s="1828"/>
      <c r="AF76" s="1079">
        <f>+AF75/AF5</f>
        <v>3.1535898152706208E-2</v>
      </c>
      <c r="AG76" s="3164"/>
      <c r="AH76" s="1078">
        <f>+AH75/AH5</f>
        <v>2.7904036652947314E-2</v>
      </c>
      <c r="AI76" s="1828"/>
      <c r="AJ76" s="1079">
        <f>+AJ75/AJ5</f>
        <v>3.1036781475968427E-2</v>
      </c>
      <c r="AK76" s="3164"/>
      <c r="AL76" s="1078">
        <f>+AL75/AL5</f>
        <v>2.4573916269594868E-2</v>
      </c>
      <c r="AM76" s="1827"/>
      <c r="AN76" s="1080">
        <f>+AN75/AN5</f>
        <v>2.6146236699777423E-2</v>
      </c>
      <c r="AO76" s="1828"/>
      <c r="AP76" s="1079">
        <f>+AP75/AP5</f>
        <v>3.0094065501920318E-2</v>
      </c>
      <c r="AQ76" s="3164"/>
      <c r="AR76" s="1078">
        <f>+AR75/AR5</f>
        <v>2.7280470539486058E-2</v>
      </c>
      <c r="AS76" s="1828"/>
      <c r="AT76" s="1079">
        <f>+AT75/AT5</f>
        <v>2.9726009911615198E-2</v>
      </c>
      <c r="AU76" s="3164"/>
      <c r="AV76" s="1078">
        <f>+AV75/AV5</f>
        <v>3.9236894714941802E-2</v>
      </c>
      <c r="AW76" s="1828"/>
      <c r="AX76" s="1079">
        <f>+AX75/AX5</f>
        <v>3.0519789662255471E-2</v>
      </c>
      <c r="AY76" s="3164"/>
      <c r="AZ76" s="1078">
        <f>+AZ75/AZ5</f>
        <v>3.2224461217263273E-2</v>
      </c>
      <c r="BA76" s="1827"/>
      <c r="BB76" s="1080">
        <f>+BB75/BB5</f>
        <v>3.2200975562033197E-2</v>
      </c>
      <c r="BC76" s="2558"/>
      <c r="BD76" s="1856">
        <f>+BD75/BD5</f>
        <v>2.9188852447273921E-2</v>
      </c>
      <c r="BE76" s="1828"/>
      <c r="BF76" s="1079">
        <f>+BF75/BF5</f>
        <v>3.0697194816657985E-2</v>
      </c>
    </row>
    <row r="77" spans="2:58" s="1076" customFormat="1" x14ac:dyDescent="0.25">
      <c r="B77" s="1791" t="s">
        <v>1057</v>
      </c>
      <c r="C77" s="1791"/>
      <c r="D77" s="483" t="s">
        <v>53</v>
      </c>
      <c r="E77" s="700"/>
      <c r="F77" s="929">
        <f>+F54</f>
        <v>1.22</v>
      </c>
      <c r="G77" s="1733"/>
      <c r="H77" s="929">
        <f>+H54</f>
        <v>25.9</v>
      </c>
      <c r="I77" s="1828"/>
      <c r="J77" s="930">
        <f>+J54</f>
        <v>27.119999999999997</v>
      </c>
      <c r="K77" s="1733"/>
      <c r="L77" s="929">
        <f>+L54</f>
        <v>10.4</v>
      </c>
      <c r="M77" s="1827"/>
      <c r="N77" s="1086">
        <f>+N54</f>
        <v>37.520000000000003</v>
      </c>
      <c r="O77" s="1733"/>
      <c r="P77" s="929">
        <f>+P54</f>
        <v>52.2</v>
      </c>
      <c r="Q77" s="1828"/>
      <c r="R77" s="930">
        <f>+R54</f>
        <v>89.72</v>
      </c>
      <c r="S77" s="1733"/>
      <c r="T77" s="929">
        <f>+T54</f>
        <v>57.97</v>
      </c>
      <c r="U77" s="1828"/>
      <c r="V77" s="930">
        <f>+V54</f>
        <v>147.69000000000003</v>
      </c>
      <c r="W77" s="1733"/>
      <c r="X77" s="929">
        <f>+X54</f>
        <v>21.9</v>
      </c>
      <c r="Y77" s="1827"/>
      <c r="Z77" s="1086">
        <f>+Z54</f>
        <v>132.07000000000002</v>
      </c>
      <c r="AA77" s="2558"/>
      <c r="AB77" s="1142">
        <f>+AB54</f>
        <v>169.59</v>
      </c>
      <c r="AC77" s="3164"/>
      <c r="AD77" s="929">
        <f>+AD54</f>
        <v>42.71</v>
      </c>
      <c r="AE77" s="1828"/>
      <c r="AF77" s="930">
        <f>+AF54</f>
        <v>212.29999999999998</v>
      </c>
      <c r="AG77" s="3164"/>
      <c r="AH77" s="929">
        <f>+AH54</f>
        <v>117.10000000000001</v>
      </c>
      <c r="AI77" s="1828"/>
      <c r="AJ77" s="930">
        <f>+AJ54</f>
        <v>329.40000000000003</v>
      </c>
      <c r="AK77" s="3164"/>
      <c r="AL77" s="929">
        <f>+AL54</f>
        <v>14.200000000000001</v>
      </c>
      <c r="AM77" s="1827"/>
      <c r="AN77" s="1086">
        <f>+AN54</f>
        <v>174.01</v>
      </c>
      <c r="AO77" s="1828"/>
      <c r="AP77" s="930">
        <f>+AP54</f>
        <v>343.6</v>
      </c>
      <c r="AQ77" s="3164"/>
      <c r="AR77" s="929">
        <f>+AR54</f>
        <v>72.739000000000004</v>
      </c>
      <c r="AS77" s="1828"/>
      <c r="AT77" s="930">
        <f>+AT54</f>
        <v>416.339</v>
      </c>
      <c r="AU77" s="3164"/>
      <c r="AV77" s="929">
        <f>+AV54</f>
        <v>78.211999999999989</v>
      </c>
      <c r="AW77" s="1828"/>
      <c r="AX77" s="930">
        <f>+AX54</f>
        <v>494.55099999999999</v>
      </c>
      <c r="AY77" s="3164"/>
      <c r="AZ77" s="929">
        <f>+AZ54</f>
        <v>8.4</v>
      </c>
      <c r="BA77" s="1827"/>
      <c r="BB77" s="1086">
        <f>+BB54</f>
        <v>159.351</v>
      </c>
      <c r="BC77" s="2558"/>
      <c r="BD77" s="1142">
        <f>+BD54</f>
        <v>333.36099999999999</v>
      </c>
      <c r="BE77" s="1828"/>
      <c r="BF77" s="930">
        <f>+BF54</f>
        <v>502.95099999999996</v>
      </c>
    </row>
    <row r="78" spans="2:58" x14ac:dyDescent="0.25">
      <c r="B78" s="700" t="s">
        <v>1027</v>
      </c>
      <c r="C78" s="2794"/>
      <c r="D78" s="33" t="s">
        <v>53</v>
      </c>
      <c r="E78" s="700"/>
      <c r="F78" s="929">
        <v>472.09</v>
      </c>
      <c r="G78" s="1733"/>
      <c r="H78" s="929">
        <v>601.15</v>
      </c>
      <c r="I78" s="1828"/>
      <c r="J78" s="96">
        <f t="shared" si="107"/>
        <v>1073.24</v>
      </c>
      <c r="K78" s="1733"/>
      <c r="L78" s="929">
        <v>778.65419999999995</v>
      </c>
      <c r="M78" s="1827"/>
      <c r="N78" s="163">
        <f t="shared" si="108"/>
        <v>1851.8942</v>
      </c>
      <c r="O78" s="1733"/>
      <c r="P78" s="929">
        <v>760.55595000000005</v>
      </c>
      <c r="Q78" s="1828"/>
      <c r="R78" s="96">
        <f t="shared" si="109"/>
        <v>2612.4501500000001</v>
      </c>
      <c r="S78" s="1733"/>
      <c r="T78" s="929">
        <v>750.31050000000005</v>
      </c>
      <c r="U78" s="1828"/>
      <c r="V78" s="96">
        <f t="shared" ref="V78" si="117">+R78+T78</f>
        <v>3362.7606500000002</v>
      </c>
      <c r="W78" s="1733"/>
      <c r="X78" s="929">
        <v>826.66815000000008</v>
      </c>
      <c r="Y78" s="1827"/>
      <c r="Z78" s="2338">
        <f>+P78+T78+X78</f>
        <v>2337.5346</v>
      </c>
      <c r="AA78" s="1134"/>
      <c r="AB78" s="1118">
        <f>+N78+Z78</f>
        <v>4189.4287999999997</v>
      </c>
      <c r="AC78" s="3164"/>
      <c r="AD78" s="929">
        <v>935.86357499999986</v>
      </c>
      <c r="AE78" s="1828"/>
      <c r="AF78" s="96">
        <f t="shared" ref="AF78" si="118">+AB78+AD78</f>
        <v>5125.2923749999991</v>
      </c>
      <c r="AG78" s="3164"/>
      <c r="AH78" s="929">
        <v>819.63599999999985</v>
      </c>
      <c r="AI78" s="1828"/>
      <c r="AJ78" s="96">
        <f t="shared" ref="AJ78" si="119">+AF78+AH78</f>
        <v>5944.9283749999986</v>
      </c>
      <c r="AK78" s="3164"/>
      <c r="AL78" s="929">
        <v>1022.0296500000001</v>
      </c>
      <c r="AM78" s="1827"/>
      <c r="AN78" s="3600">
        <f>+AD78+AH78+AL78</f>
        <v>2777.5292249999998</v>
      </c>
      <c r="AO78" s="1828"/>
      <c r="AP78" s="96">
        <f t="shared" ref="AP78" si="120">+AJ78+AL78</f>
        <v>6966.958024999999</v>
      </c>
      <c r="AQ78" s="3164"/>
      <c r="AR78" s="929">
        <v>1051.5738000000001</v>
      </c>
      <c r="AS78" s="1828"/>
      <c r="AT78" s="96">
        <f t="shared" ref="AT78" si="121">+AP78+AR78</f>
        <v>8018.5318249999991</v>
      </c>
      <c r="AU78" s="3164"/>
      <c r="AV78" s="929">
        <v>723.01004999999998</v>
      </c>
      <c r="AW78" s="1828"/>
      <c r="AX78" s="96">
        <f t="shared" ref="AX78" si="122">+AT78+AV78</f>
        <v>8741.541874999999</v>
      </c>
      <c r="AY78" s="3164"/>
      <c r="AZ78" s="929">
        <v>1013.6196</v>
      </c>
      <c r="BA78" s="1827"/>
      <c r="BB78" s="4380">
        <f>+AR78+AV78+AZ78</f>
        <v>2788.20345</v>
      </c>
      <c r="BC78" s="4382"/>
      <c r="BD78" s="1118">
        <f>+AN78+BB78</f>
        <v>5565.7326749999993</v>
      </c>
      <c r="BE78" s="1828"/>
      <c r="BF78" s="96">
        <f t="shared" ref="BF78" si="123">+AX78+AZ78</f>
        <v>9755.161474999999</v>
      </c>
    </row>
    <row r="79" spans="2:58" s="334" customFormat="1" x14ac:dyDescent="0.25">
      <c r="B79" s="343"/>
      <c r="C79" s="343"/>
      <c r="D79" s="343"/>
      <c r="E79" s="343"/>
      <c r="F79" s="343"/>
      <c r="G79" s="1576"/>
      <c r="H79" s="1576"/>
      <c r="I79" s="1576"/>
      <c r="J79" s="1576"/>
      <c r="K79" s="1576"/>
      <c r="L79" s="1576"/>
      <c r="M79" s="1576"/>
      <c r="N79" s="1576"/>
      <c r="O79" s="1576"/>
      <c r="P79" s="1576"/>
      <c r="Q79" s="1576"/>
      <c r="R79" s="1576"/>
      <c r="S79" s="1576"/>
      <c r="T79" s="1576"/>
      <c r="U79" s="1576"/>
      <c r="V79" s="1576"/>
      <c r="W79" s="1576"/>
      <c r="X79" s="1576"/>
      <c r="Y79" s="1576"/>
      <c r="Z79" s="1576"/>
      <c r="AA79" s="1576"/>
      <c r="AB79" s="1576"/>
      <c r="AC79" s="1576"/>
      <c r="AD79" s="1576"/>
      <c r="AE79" s="1576"/>
      <c r="AF79" s="1576"/>
      <c r="AG79" s="1576"/>
      <c r="AH79" s="1576"/>
      <c r="AI79" s="1576"/>
      <c r="AJ79" s="1576"/>
      <c r="AK79" s="1576"/>
      <c r="AL79" s="1576"/>
      <c r="AM79" s="1576"/>
      <c r="AN79" s="1576"/>
      <c r="AO79" s="1576"/>
      <c r="AP79" s="1576"/>
      <c r="AQ79" s="1576"/>
      <c r="AR79" s="1576"/>
      <c r="AS79" s="1576"/>
      <c r="AT79" s="1576"/>
      <c r="AU79" s="1576"/>
      <c r="AV79" s="1576"/>
      <c r="AW79" s="1576"/>
      <c r="AX79" s="1576"/>
      <c r="AY79" s="1576"/>
      <c r="AZ79" s="1576"/>
      <c r="BA79" s="1576"/>
      <c r="BB79" s="1576"/>
      <c r="BC79" s="1576"/>
      <c r="BD79" s="1576"/>
      <c r="BE79" s="1576"/>
      <c r="BF79" s="1576"/>
    </row>
    <row r="80" spans="2:58" s="334" customFormat="1" ht="18.75" x14ac:dyDescent="0.3">
      <c r="B80" s="2771" t="s">
        <v>1059</v>
      </c>
      <c r="C80" s="2771"/>
      <c r="D80" s="343"/>
      <c r="E80" s="343"/>
      <c r="F80" s="343"/>
      <c r="G80" s="1576"/>
      <c r="H80" s="1576"/>
      <c r="I80" s="1576"/>
      <c r="J80" s="1576"/>
      <c r="K80" s="1576"/>
      <c r="L80" s="1576"/>
      <c r="M80" s="1576"/>
      <c r="N80" s="1576"/>
      <c r="O80" s="1576"/>
      <c r="P80" s="1576"/>
      <c r="Q80" s="1576"/>
      <c r="R80" s="1576"/>
      <c r="S80" s="1576"/>
      <c r="T80" s="1576"/>
      <c r="U80" s="1576"/>
      <c r="V80" s="1576"/>
      <c r="W80" s="1576"/>
      <c r="X80" s="1576"/>
      <c r="Y80" s="1576"/>
      <c r="Z80" s="1576"/>
      <c r="AA80" s="1576"/>
      <c r="AB80" s="1576"/>
      <c r="AC80" s="1576"/>
      <c r="AD80" s="1576"/>
      <c r="AE80" s="1576"/>
      <c r="AF80" s="1576"/>
      <c r="AG80" s="1576"/>
      <c r="AH80" s="1576"/>
      <c r="AI80" s="1576"/>
      <c r="AJ80" s="1576"/>
      <c r="AK80" s="1576"/>
      <c r="AL80" s="1576"/>
      <c r="AM80" s="1576"/>
      <c r="AN80" s="1576"/>
      <c r="AO80" s="1576"/>
      <c r="AP80" s="1576"/>
      <c r="AQ80" s="1576"/>
      <c r="AR80" s="1576"/>
      <c r="AS80" s="1576"/>
      <c r="AT80" s="1576"/>
      <c r="AU80" s="1576"/>
      <c r="AV80" s="1576"/>
      <c r="AW80" s="1576"/>
      <c r="AX80" s="1576"/>
      <c r="AY80" s="1576"/>
      <c r="AZ80" s="1576"/>
      <c r="BA80" s="1576"/>
      <c r="BB80" s="1576"/>
      <c r="BC80" s="1576"/>
      <c r="BD80" s="1576"/>
      <c r="BE80" s="1576"/>
      <c r="BF80" s="1576"/>
    </row>
    <row r="81" spans="2:58" x14ac:dyDescent="0.25">
      <c r="B81" s="700" t="s">
        <v>1060</v>
      </c>
      <c r="C81" s="700"/>
      <c r="D81" s="355" t="s">
        <v>53</v>
      </c>
      <c r="E81" s="2765"/>
      <c r="F81" s="929">
        <f>+F5</f>
        <v>32778.81</v>
      </c>
      <c r="G81" s="2420"/>
      <c r="H81" s="929">
        <f>+H5</f>
        <v>43117.13</v>
      </c>
      <c r="I81" s="2795"/>
      <c r="J81" s="930">
        <f>+J5</f>
        <v>75895.94</v>
      </c>
      <c r="K81" s="2420"/>
      <c r="L81" s="929">
        <f>+L5</f>
        <v>54295.137000000002</v>
      </c>
      <c r="M81" s="2796"/>
      <c r="N81" s="1086">
        <f>+N5</f>
        <v>130191.077</v>
      </c>
      <c r="O81" s="2420"/>
      <c r="P81" s="929">
        <f>+P5</f>
        <v>52934.739000000009</v>
      </c>
      <c r="Q81" s="2795"/>
      <c r="R81" s="930">
        <f>+R5</f>
        <v>183125.81600000002</v>
      </c>
      <c r="S81" s="2420"/>
      <c r="T81" s="929">
        <f>+T5</f>
        <v>52354.133000000009</v>
      </c>
      <c r="U81" s="2795"/>
      <c r="V81" s="930">
        <f>+V5</f>
        <v>235479.94900000002</v>
      </c>
      <c r="W81" s="2420"/>
      <c r="X81" s="929">
        <f>+X5</f>
        <v>57585.94400000001</v>
      </c>
      <c r="Y81" s="2796"/>
      <c r="Z81" s="1086">
        <f>+Z5</f>
        <v>162874.81600000002</v>
      </c>
      <c r="AA81" s="2797"/>
      <c r="AB81" s="1142">
        <f>+AB5</f>
        <v>293065.89300000004</v>
      </c>
      <c r="AC81" s="2420"/>
      <c r="AD81" s="929">
        <f>+AD5</f>
        <v>65038.467000000004</v>
      </c>
      <c r="AE81" s="2795"/>
      <c r="AF81" s="930">
        <f>+AF5</f>
        <v>358104.36000000004</v>
      </c>
      <c r="AG81" s="2420"/>
      <c r="AH81" s="929">
        <f>+AH5</f>
        <v>57054.075000000004</v>
      </c>
      <c r="AI81" s="2795"/>
      <c r="AJ81" s="930">
        <f>+AJ5</f>
        <v>415158.43500000006</v>
      </c>
      <c r="AK81" s="2420"/>
      <c r="AL81" s="929">
        <f>+AL5</f>
        <v>70899.621000000028</v>
      </c>
      <c r="AM81" s="2796"/>
      <c r="AN81" s="1086">
        <f>+AN5</f>
        <v>192992.16300000006</v>
      </c>
      <c r="AO81" s="2795"/>
      <c r="AP81" s="930">
        <f>+AP5</f>
        <v>486058.0560000001</v>
      </c>
      <c r="AQ81" s="2420"/>
      <c r="AR81" s="929">
        <f>+AR5</f>
        <v>73152.118000000002</v>
      </c>
      <c r="AS81" s="2795"/>
      <c r="AT81" s="930">
        <f>+AT5</f>
        <v>559210.17400000012</v>
      </c>
      <c r="AU81" s="2420"/>
      <c r="AV81" s="929">
        <f>+AV5</f>
        <v>50921.689000000006</v>
      </c>
      <c r="AW81" s="2795"/>
      <c r="AX81" s="930">
        <f>+AX5</f>
        <v>610131.86300000013</v>
      </c>
      <c r="AY81" s="2420"/>
      <c r="AZ81" s="929">
        <f>+AZ5</f>
        <v>70872.074000000008</v>
      </c>
      <c r="BA81" s="2796"/>
      <c r="BB81" s="1086">
        <f>+BB5</f>
        <v>194945.88099999999</v>
      </c>
      <c r="BC81" s="2797"/>
      <c r="BD81" s="1142">
        <f>+BD5</f>
        <v>387938.04400000005</v>
      </c>
      <c r="BE81" s="2795"/>
      <c r="BF81" s="930">
        <f>+BF5</f>
        <v>681003.93700000015</v>
      </c>
    </row>
    <row r="82" spans="2:58" ht="30" x14ac:dyDescent="0.25">
      <c r="B82" s="2798" t="s">
        <v>1065</v>
      </c>
      <c r="C82" s="2798"/>
      <c r="D82" s="355" t="s">
        <v>53</v>
      </c>
      <c r="E82" s="2765"/>
      <c r="F82" s="929">
        <f>+F75</f>
        <v>834.17</v>
      </c>
      <c r="G82" s="2420"/>
      <c r="H82" s="929">
        <f>+H75</f>
        <v>2439.4300000000003</v>
      </c>
      <c r="I82" s="2795"/>
      <c r="J82" s="930">
        <f>+J75</f>
        <v>3273.6</v>
      </c>
      <c r="K82" s="2420"/>
      <c r="L82" s="929">
        <f>+L75</f>
        <v>1606.2028000000064</v>
      </c>
      <c r="M82" s="2796"/>
      <c r="N82" s="1086">
        <f>+N75</f>
        <v>4879.8028000000068</v>
      </c>
      <c r="O82" s="2420"/>
      <c r="P82" s="929">
        <f>+P75</f>
        <v>1470.4530500000074</v>
      </c>
      <c r="Q82" s="2795"/>
      <c r="R82" s="930">
        <f>+R75</f>
        <v>6350.2558500000132</v>
      </c>
      <c r="S82" s="2420"/>
      <c r="T82" s="929">
        <f>+T75</f>
        <v>1583.1225000000054</v>
      </c>
      <c r="U82" s="2795"/>
      <c r="V82" s="930">
        <f>+V75</f>
        <v>7933.3783500000181</v>
      </c>
      <c r="W82" s="2420"/>
      <c r="X82" s="929">
        <f>+X75</f>
        <v>1648.0658500000084</v>
      </c>
      <c r="Y82" s="2796"/>
      <c r="Z82" s="1086">
        <f>+Z75</f>
        <v>4701.6414000000213</v>
      </c>
      <c r="AA82" s="2797"/>
      <c r="AB82" s="1142">
        <f>+AB75</f>
        <v>9581.4442000000272</v>
      </c>
      <c r="AC82" s="2420"/>
      <c r="AD82" s="929">
        <f>+AD75</f>
        <v>1711.6984250000116</v>
      </c>
      <c r="AE82" s="2795"/>
      <c r="AF82" s="930">
        <f>+AF75</f>
        <v>11293.14262500004</v>
      </c>
      <c r="AG82" s="2420"/>
      <c r="AH82" s="929">
        <f>+AH75</f>
        <v>1592.0390000000052</v>
      </c>
      <c r="AI82" s="2795"/>
      <c r="AJ82" s="930">
        <f>+AJ75</f>
        <v>12885.181625000045</v>
      </c>
      <c r="AK82" s="2420"/>
      <c r="AL82" s="929">
        <f>+AL75</f>
        <v>1742.2813500000107</v>
      </c>
      <c r="AM82" s="2796"/>
      <c r="AN82" s="1086">
        <f>+AN75</f>
        <v>5046.0187750000277</v>
      </c>
      <c r="AO82" s="2795"/>
      <c r="AP82" s="930">
        <f>+AP75</f>
        <v>14627.462975000057</v>
      </c>
      <c r="AQ82" s="2420"/>
      <c r="AR82" s="929">
        <f>+AR75</f>
        <v>1995.6242000000077</v>
      </c>
      <c r="AS82" s="2795"/>
      <c r="AT82" s="930">
        <f>+AT75</f>
        <v>16623.087175000062</v>
      </c>
      <c r="AU82" s="2420"/>
      <c r="AV82" s="929">
        <f>+AV75</f>
        <v>1998.0089500000104</v>
      </c>
      <c r="AW82" s="2795"/>
      <c r="AX82" s="930">
        <f>+AX75</f>
        <v>18621.096125000076</v>
      </c>
      <c r="AY82" s="2420"/>
      <c r="AZ82" s="929">
        <f>+AZ75</f>
        <v>2283.8144000000129</v>
      </c>
      <c r="BA82" s="2796"/>
      <c r="BB82" s="1086">
        <f>+BB75</f>
        <v>6277.4475500000317</v>
      </c>
      <c r="BC82" s="2797"/>
      <c r="BD82" s="1142">
        <f>+BD75</f>
        <v>11323.466325000059</v>
      </c>
      <c r="BE82" s="2795"/>
      <c r="BF82" s="930">
        <f>+BF75</f>
        <v>20904.910525000087</v>
      </c>
    </row>
    <row r="83" spans="2:58" x14ac:dyDescent="0.25">
      <c r="B83" s="700" t="s">
        <v>1025</v>
      </c>
      <c r="C83" s="700"/>
      <c r="D83" s="355" t="s">
        <v>53</v>
      </c>
      <c r="E83" s="2765"/>
      <c r="F83" s="929">
        <f>+F78</f>
        <v>472.09</v>
      </c>
      <c r="G83" s="2420"/>
      <c r="H83" s="929">
        <f>+H78</f>
        <v>601.15</v>
      </c>
      <c r="I83" s="2795"/>
      <c r="J83" s="930">
        <f>+J78</f>
        <v>1073.24</v>
      </c>
      <c r="K83" s="2420"/>
      <c r="L83" s="929">
        <f>+L78</f>
        <v>778.65419999999995</v>
      </c>
      <c r="M83" s="2796"/>
      <c r="N83" s="1086">
        <f>+N78</f>
        <v>1851.8942</v>
      </c>
      <c r="O83" s="2420"/>
      <c r="P83" s="929">
        <f>+P78</f>
        <v>760.55595000000005</v>
      </c>
      <c r="Q83" s="2795"/>
      <c r="R83" s="930">
        <f>+R78</f>
        <v>2612.4501500000001</v>
      </c>
      <c r="S83" s="2420"/>
      <c r="T83" s="929">
        <f>+T78</f>
        <v>750.31050000000005</v>
      </c>
      <c r="U83" s="2795"/>
      <c r="V83" s="930">
        <f>+V78</f>
        <v>3362.7606500000002</v>
      </c>
      <c r="W83" s="2420"/>
      <c r="X83" s="929">
        <f>+X78</f>
        <v>826.66815000000008</v>
      </c>
      <c r="Y83" s="2796"/>
      <c r="Z83" s="1086">
        <f>+Z78</f>
        <v>2337.5346</v>
      </c>
      <c r="AA83" s="2797"/>
      <c r="AB83" s="1142">
        <f>+AB78</f>
        <v>4189.4287999999997</v>
      </c>
      <c r="AC83" s="2420"/>
      <c r="AD83" s="929">
        <f>+AD78</f>
        <v>935.86357499999986</v>
      </c>
      <c r="AE83" s="2795"/>
      <c r="AF83" s="930">
        <f>+AF78</f>
        <v>5125.2923749999991</v>
      </c>
      <c r="AG83" s="2420"/>
      <c r="AH83" s="929">
        <f>+AH78</f>
        <v>819.63599999999985</v>
      </c>
      <c r="AI83" s="2795"/>
      <c r="AJ83" s="930">
        <f>+AJ78</f>
        <v>5944.9283749999986</v>
      </c>
      <c r="AK83" s="2420"/>
      <c r="AL83" s="929">
        <f>+AL78</f>
        <v>1022.0296500000001</v>
      </c>
      <c r="AM83" s="2796"/>
      <c r="AN83" s="1086">
        <f>+AN78</f>
        <v>2777.5292249999998</v>
      </c>
      <c r="AO83" s="2795"/>
      <c r="AP83" s="930">
        <f>+AP78</f>
        <v>6966.958024999999</v>
      </c>
      <c r="AQ83" s="2420"/>
      <c r="AR83" s="929">
        <f>+AR78</f>
        <v>1051.5738000000001</v>
      </c>
      <c r="AS83" s="2795"/>
      <c r="AT83" s="930">
        <f>+AT78</f>
        <v>8018.5318249999991</v>
      </c>
      <c r="AU83" s="2420"/>
      <c r="AV83" s="929">
        <f>+AV78</f>
        <v>723.01004999999998</v>
      </c>
      <c r="AW83" s="2795"/>
      <c r="AX83" s="930">
        <f>+AX78</f>
        <v>8741.541874999999</v>
      </c>
      <c r="AY83" s="2420"/>
      <c r="AZ83" s="929">
        <f>+AZ78</f>
        <v>1013.6196</v>
      </c>
      <c r="BA83" s="2796"/>
      <c r="BB83" s="1086">
        <f>+BB78</f>
        <v>2788.20345</v>
      </c>
      <c r="BC83" s="2797"/>
      <c r="BD83" s="1142">
        <f>+BD78</f>
        <v>5565.7326749999993</v>
      </c>
      <c r="BE83" s="2795"/>
      <c r="BF83" s="930">
        <f>+BF78</f>
        <v>9755.161474999999</v>
      </c>
    </row>
    <row r="84" spans="2:58" x14ac:dyDescent="0.25">
      <c r="B84" s="700" t="s">
        <v>1063</v>
      </c>
      <c r="C84" s="700"/>
      <c r="D84" s="355" t="s">
        <v>53</v>
      </c>
      <c r="E84" s="2765"/>
      <c r="F84" s="929">
        <f>+F52</f>
        <v>31472.57</v>
      </c>
      <c r="G84" s="2420"/>
      <c r="H84" s="929">
        <f>+H52</f>
        <v>40076.58</v>
      </c>
      <c r="I84" s="2795"/>
      <c r="J84" s="930">
        <f>+J52</f>
        <v>71549.150000000009</v>
      </c>
      <c r="K84" s="2420"/>
      <c r="L84" s="929">
        <f>+L52</f>
        <v>51910.28</v>
      </c>
      <c r="M84" s="2796"/>
      <c r="N84" s="1086">
        <f>+N52</f>
        <v>123459.43000000001</v>
      </c>
      <c r="O84" s="2420"/>
      <c r="P84" s="929">
        <f>+P52</f>
        <v>50703.73</v>
      </c>
      <c r="Q84" s="2795"/>
      <c r="R84" s="930">
        <f>+R52</f>
        <v>174163.15999999997</v>
      </c>
      <c r="S84" s="2420"/>
      <c r="T84" s="929">
        <f>+T52</f>
        <v>50020.7</v>
      </c>
      <c r="U84" s="2795"/>
      <c r="V84" s="930">
        <f>+V52</f>
        <v>224183.86</v>
      </c>
      <c r="W84" s="2420"/>
      <c r="X84" s="929">
        <f>+X52</f>
        <v>55111.21</v>
      </c>
      <c r="Y84" s="2796"/>
      <c r="Z84" s="1086">
        <f>+Z52</f>
        <v>155835.64000000001</v>
      </c>
      <c r="AA84" s="2797"/>
      <c r="AB84" s="1142">
        <f>+AB52</f>
        <v>279295.07</v>
      </c>
      <c r="AC84" s="2420"/>
      <c r="AD84" s="929">
        <f>+AD52</f>
        <v>62390.904999999984</v>
      </c>
      <c r="AE84" s="2795"/>
      <c r="AF84" s="930">
        <f>+AF52</f>
        <v>341685.97499999998</v>
      </c>
      <c r="AG84" s="2420"/>
      <c r="AH84" s="929">
        <f>+AH52</f>
        <v>54642.399999999987</v>
      </c>
      <c r="AI84" s="2795"/>
      <c r="AJ84" s="930">
        <f>+AJ52</f>
        <v>396328.37500000006</v>
      </c>
      <c r="AK84" s="2420"/>
      <c r="AL84" s="929">
        <f>+AL52</f>
        <v>68135.309999999983</v>
      </c>
      <c r="AM84" s="2796"/>
      <c r="AN84" s="1086">
        <f>+AN52</f>
        <v>185168.61499999999</v>
      </c>
      <c r="AO84" s="2795"/>
      <c r="AP84" s="930">
        <f>+AP52</f>
        <v>464463.685</v>
      </c>
      <c r="AQ84" s="2420"/>
      <c r="AR84" s="929">
        <f>+AR52</f>
        <v>70104.92</v>
      </c>
      <c r="AS84" s="2795"/>
      <c r="AT84" s="930">
        <f>+AT52</f>
        <v>534568.60499999986</v>
      </c>
      <c r="AU84" s="2420"/>
      <c r="AV84" s="929">
        <f>+AV52</f>
        <v>48200.67</v>
      </c>
      <c r="AW84" s="2795"/>
      <c r="AX84" s="930">
        <f>+AX52</f>
        <v>582769.27500000002</v>
      </c>
      <c r="AY84" s="2420"/>
      <c r="AZ84" s="929">
        <f>+AZ52</f>
        <v>67574.64</v>
      </c>
      <c r="BA84" s="2796"/>
      <c r="BB84" s="1086">
        <f>+BB52</f>
        <v>185880.23</v>
      </c>
      <c r="BC84" s="2797"/>
      <c r="BD84" s="1142">
        <f>+BD52</f>
        <v>371048.84499999997</v>
      </c>
      <c r="BE84" s="2795"/>
      <c r="BF84" s="930">
        <f>+BF52</f>
        <v>650343.9149999998</v>
      </c>
    </row>
    <row r="85" spans="2:58" x14ac:dyDescent="0.25">
      <c r="B85" s="700" t="s">
        <v>1061</v>
      </c>
      <c r="C85" s="700"/>
      <c r="D85" s="355" t="s">
        <v>53</v>
      </c>
      <c r="E85" s="2765"/>
      <c r="F85" s="929">
        <f>+F54</f>
        <v>1.22</v>
      </c>
      <c r="G85" s="2420"/>
      <c r="H85" s="929">
        <f>+H54</f>
        <v>25.9</v>
      </c>
      <c r="I85" s="2795"/>
      <c r="J85" s="930">
        <f>+J54</f>
        <v>27.119999999999997</v>
      </c>
      <c r="K85" s="2420"/>
      <c r="L85" s="929">
        <f>+L54</f>
        <v>10.4</v>
      </c>
      <c r="M85" s="2796"/>
      <c r="N85" s="1086">
        <f>+N54</f>
        <v>37.520000000000003</v>
      </c>
      <c r="O85" s="2420"/>
      <c r="P85" s="929">
        <f>+P54</f>
        <v>52.2</v>
      </c>
      <c r="Q85" s="2795"/>
      <c r="R85" s="930">
        <f>+R54</f>
        <v>89.72</v>
      </c>
      <c r="S85" s="2420"/>
      <c r="T85" s="929">
        <f>+T54</f>
        <v>57.97</v>
      </c>
      <c r="U85" s="2795"/>
      <c r="V85" s="930">
        <f>+V54</f>
        <v>147.69000000000003</v>
      </c>
      <c r="W85" s="2420"/>
      <c r="X85" s="929">
        <f>+X54</f>
        <v>21.9</v>
      </c>
      <c r="Y85" s="2796"/>
      <c r="Z85" s="1086">
        <f>+Z54</f>
        <v>132.07000000000002</v>
      </c>
      <c r="AA85" s="2797"/>
      <c r="AB85" s="1142">
        <f>+AB54</f>
        <v>169.59</v>
      </c>
      <c r="AC85" s="2420"/>
      <c r="AD85" s="929">
        <f>+AD54</f>
        <v>42.71</v>
      </c>
      <c r="AE85" s="2795"/>
      <c r="AF85" s="930">
        <f>+AF54</f>
        <v>212.29999999999998</v>
      </c>
      <c r="AG85" s="2420"/>
      <c r="AH85" s="929">
        <f>+AH54</f>
        <v>117.10000000000001</v>
      </c>
      <c r="AI85" s="2795"/>
      <c r="AJ85" s="930">
        <f>+AJ54</f>
        <v>329.40000000000003</v>
      </c>
      <c r="AK85" s="2420"/>
      <c r="AL85" s="929">
        <f>+AL54</f>
        <v>14.200000000000001</v>
      </c>
      <c r="AM85" s="2796"/>
      <c r="AN85" s="1086">
        <f>+AN54</f>
        <v>174.01</v>
      </c>
      <c r="AO85" s="2795"/>
      <c r="AP85" s="930">
        <f>+AP54</f>
        <v>343.6</v>
      </c>
      <c r="AQ85" s="2420"/>
      <c r="AR85" s="929">
        <f>+AR54</f>
        <v>72.739000000000004</v>
      </c>
      <c r="AS85" s="2795"/>
      <c r="AT85" s="930">
        <f>+AT54</f>
        <v>416.339</v>
      </c>
      <c r="AU85" s="2420"/>
      <c r="AV85" s="929">
        <f>+AV54</f>
        <v>78.211999999999989</v>
      </c>
      <c r="AW85" s="2795"/>
      <c r="AX85" s="930">
        <f>+AX54</f>
        <v>494.55099999999999</v>
      </c>
      <c r="AY85" s="2420"/>
      <c r="AZ85" s="929">
        <f>+AZ54</f>
        <v>8.4</v>
      </c>
      <c r="BA85" s="2796"/>
      <c r="BB85" s="1086">
        <f>+BB54</f>
        <v>159.351</v>
      </c>
      <c r="BC85" s="2797"/>
      <c r="BD85" s="1142">
        <f>+BD54</f>
        <v>333.36099999999999</v>
      </c>
      <c r="BE85" s="2795"/>
      <c r="BF85" s="930">
        <f>+BF54</f>
        <v>502.95099999999996</v>
      </c>
    </row>
    <row r="86" spans="2:58" x14ac:dyDescent="0.25">
      <c r="B86" s="700" t="s">
        <v>1062</v>
      </c>
      <c r="C86" s="700"/>
      <c r="D86" s="355" t="s">
        <v>53</v>
      </c>
      <c r="E86" s="2765"/>
      <c r="F86" s="929">
        <f>+F84-F85</f>
        <v>31471.35</v>
      </c>
      <c r="G86" s="2420"/>
      <c r="H86" s="929">
        <f>+H84-H85</f>
        <v>40050.68</v>
      </c>
      <c r="I86" s="2795"/>
      <c r="J86" s="930">
        <f>+J84-J85</f>
        <v>71522.030000000013</v>
      </c>
      <c r="K86" s="2420"/>
      <c r="L86" s="929">
        <f>+L84-L85</f>
        <v>51899.88</v>
      </c>
      <c r="M86" s="2796"/>
      <c r="N86" s="1086">
        <f>+N84-N85</f>
        <v>123421.91</v>
      </c>
      <c r="O86" s="2420"/>
      <c r="P86" s="929">
        <f>+P84-P85</f>
        <v>50651.530000000006</v>
      </c>
      <c r="Q86" s="2795"/>
      <c r="R86" s="930">
        <f>+R84-R85</f>
        <v>174073.43999999997</v>
      </c>
      <c r="S86" s="2420"/>
      <c r="T86" s="929">
        <f>+T84-T85</f>
        <v>49962.729999999996</v>
      </c>
      <c r="U86" s="2795"/>
      <c r="V86" s="930">
        <f>+V84-V85</f>
        <v>224036.16999999998</v>
      </c>
      <c r="W86" s="2420"/>
      <c r="X86" s="929">
        <f>+X84-X85</f>
        <v>55089.31</v>
      </c>
      <c r="Y86" s="2796"/>
      <c r="Z86" s="1086">
        <f>+Z84-Z85</f>
        <v>155703.57</v>
      </c>
      <c r="AA86" s="2797"/>
      <c r="AB86" s="1142">
        <f>+AB84-AB85</f>
        <v>279125.48</v>
      </c>
      <c r="AC86" s="2420"/>
      <c r="AD86" s="929">
        <f>+AD84-AD85</f>
        <v>62348.194999999985</v>
      </c>
      <c r="AE86" s="2795"/>
      <c r="AF86" s="930">
        <f>+AF84-AF85</f>
        <v>341473.67499999999</v>
      </c>
      <c r="AG86" s="2420"/>
      <c r="AH86" s="929">
        <f>+AH84-AH85</f>
        <v>54525.299999999988</v>
      </c>
      <c r="AI86" s="2795"/>
      <c r="AJ86" s="930">
        <f>+AJ84-AJ85</f>
        <v>395998.97500000003</v>
      </c>
      <c r="AK86" s="2420"/>
      <c r="AL86" s="929">
        <f>+AL84-AL85</f>
        <v>68121.109999999986</v>
      </c>
      <c r="AM86" s="2796"/>
      <c r="AN86" s="1086">
        <f>+AN84-AN85</f>
        <v>184994.60499999998</v>
      </c>
      <c r="AO86" s="2795"/>
      <c r="AP86" s="930">
        <f>+AP84-AP85</f>
        <v>464120.08500000002</v>
      </c>
      <c r="AQ86" s="2420"/>
      <c r="AR86" s="929">
        <f>+AR84-AR85</f>
        <v>70032.180999999997</v>
      </c>
      <c r="AS86" s="2795"/>
      <c r="AT86" s="930">
        <f>+AT84-AT85</f>
        <v>534152.26599999983</v>
      </c>
      <c r="AU86" s="2420"/>
      <c r="AV86" s="929">
        <f>+AV84-AV85</f>
        <v>48122.457999999999</v>
      </c>
      <c r="AW86" s="2795"/>
      <c r="AX86" s="930">
        <f>+AX84-AX85</f>
        <v>582274.72400000005</v>
      </c>
      <c r="AY86" s="2420"/>
      <c r="AZ86" s="929">
        <f>+AZ84-AZ85</f>
        <v>67566.240000000005</v>
      </c>
      <c r="BA86" s="2796"/>
      <c r="BB86" s="1086">
        <f>+BB84-BB85</f>
        <v>185720.87900000002</v>
      </c>
      <c r="BC86" s="2797"/>
      <c r="BD86" s="1142">
        <f>+BD84-BD85</f>
        <v>370715.484</v>
      </c>
      <c r="BE86" s="2795"/>
      <c r="BF86" s="930">
        <f>+BF84-BF85</f>
        <v>649840.9639999998</v>
      </c>
    </row>
    <row r="87" spans="2:58" s="334" customFormat="1" x14ac:dyDescent="0.25">
      <c r="B87" s="343"/>
      <c r="C87" s="343"/>
      <c r="D87" s="343"/>
      <c r="E87" s="343"/>
      <c r="F87" s="343"/>
      <c r="G87" s="1576"/>
      <c r="H87" s="1576"/>
      <c r="I87" s="1576"/>
      <c r="J87" s="1576"/>
      <c r="K87" s="1576"/>
      <c r="L87" s="1576"/>
      <c r="M87" s="1576"/>
      <c r="N87" s="1576"/>
      <c r="O87" s="1576"/>
      <c r="P87" s="1576"/>
      <c r="Q87" s="1576"/>
      <c r="R87" s="1576"/>
      <c r="S87" s="1576"/>
      <c r="T87" s="1576"/>
      <c r="U87" s="1576"/>
      <c r="V87" s="1576"/>
      <c r="W87" s="1576"/>
      <c r="X87" s="1576"/>
      <c r="Y87" s="1576"/>
      <c r="Z87" s="1576"/>
      <c r="AA87" s="1576"/>
      <c r="AB87" s="1576"/>
      <c r="AC87" s="1576"/>
      <c r="AD87" s="1576"/>
      <c r="AE87" s="1576"/>
      <c r="AF87" s="1576"/>
      <c r="AG87" s="1576"/>
      <c r="AH87" s="1576"/>
      <c r="AI87" s="1576"/>
      <c r="AJ87" s="1576"/>
      <c r="AK87" s="1576"/>
      <c r="AL87" s="1576"/>
      <c r="AM87" s="1576"/>
      <c r="AN87" s="1576"/>
      <c r="AO87" s="1576"/>
      <c r="AP87" s="1576"/>
      <c r="AQ87" s="1576"/>
      <c r="AR87" s="1576"/>
      <c r="AS87" s="1576"/>
      <c r="AT87" s="1576"/>
      <c r="AU87" s="1576"/>
      <c r="AV87" s="1576"/>
      <c r="AW87" s="1576"/>
      <c r="AX87" s="1576"/>
      <c r="AY87" s="1576"/>
      <c r="AZ87" s="1576"/>
      <c r="BA87" s="1576"/>
      <c r="BB87" s="1576"/>
      <c r="BC87" s="1576"/>
      <c r="BD87" s="1576"/>
      <c r="BE87" s="1576"/>
      <c r="BF87" s="1576"/>
    </row>
    <row r="88" spans="2:58" x14ac:dyDescent="0.25">
      <c r="B88" s="700" t="s">
        <v>1067</v>
      </c>
      <c r="C88" s="700"/>
      <c r="D88" s="355" t="s">
        <v>53</v>
      </c>
      <c r="E88" s="2765"/>
      <c r="F88" s="929">
        <f>+F81-F82-F83-F84</f>
        <v>-2.0000000000436557E-2</v>
      </c>
      <c r="G88" s="2420"/>
      <c r="H88" s="929">
        <f>+H81-H82-H83-H84</f>
        <v>-3.0000000006111804E-2</v>
      </c>
      <c r="I88" s="2795"/>
      <c r="J88" s="930">
        <f>+J81-J82-J83-J84</f>
        <v>-5.0000000017462298E-2</v>
      </c>
      <c r="K88" s="2420"/>
      <c r="L88" s="929">
        <f>+L81-L82-L83-L84</f>
        <v>0</v>
      </c>
      <c r="M88" s="2796"/>
      <c r="N88" s="1086">
        <f>+N81-N82-N83-N84</f>
        <v>-5.0000000002910383E-2</v>
      </c>
      <c r="O88" s="2420"/>
      <c r="P88" s="929">
        <f>+P81-P82-P83-P84</f>
        <v>0</v>
      </c>
      <c r="Q88" s="2795"/>
      <c r="R88" s="930">
        <f>+R81-R82-R83-R84</f>
        <v>-4.9999999959254637E-2</v>
      </c>
      <c r="S88" s="2420"/>
      <c r="T88" s="929">
        <f>+T81-T82-T83-T84</f>
        <v>0</v>
      </c>
      <c r="U88" s="2795"/>
      <c r="V88" s="930">
        <f>+V81-V82-V83-V84</f>
        <v>-4.9999999988358468E-2</v>
      </c>
      <c r="W88" s="2420"/>
      <c r="X88" s="929">
        <f>+X81-X82-X83-X84</f>
        <v>0</v>
      </c>
      <c r="Y88" s="2796"/>
      <c r="Z88" s="1086">
        <f>+Z81-Z82-Z83-Z84</f>
        <v>0</v>
      </c>
      <c r="AA88" s="2797"/>
      <c r="AB88" s="1142">
        <f>+AB81-AB82-AB83-AB84</f>
        <v>-4.9999999988358468E-2</v>
      </c>
      <c r="AC88" s="2420"/>
      <c r="AD88" s="929">
        <f>+AD81-AD82-AD83-AD84</f>
        <v>0</v>
      </c>
      <c r="AE88" s="2795"/>
      <c r="AF88" s="930">
        <f>+AF81-AF82-AF83-AF84</f>
        <v>-4.9999999988358468E-2</v>
      </c>
      <c r="AG88" s="2420"/>
      <c r="AH88" s="929">
        <f>+AH81-AH82-AH83-AH84</f>
        <v>0</v>
      </c>
      <c r="AI88" s="2795"/>
      <c r="AJ88" s="930">
        <f>+AJ81-AJ82-AJ83-AJ84</f>
        <v>-5.0000000046566129E-2</v>
      </c>
      <c r="AK88" s="2420"/>
      <c r="AL88" s="929">
        <f>+AL81-AL82-AL83-AL84</f>
        <v>0</v>
      </c>
      <c r="AM88" s="2796"/>
      <c r="AN88" s="1086">
        <f>+AN81-AN82-AN83-AN84</f>
        <v>0</v>
      </c>
      <c r="AO88" s="2795"/>
      <c r="AP88" s="930">
        <f>+AP81-AP82-AP83-AP84</f>
        <v>-4.9999999930150807E-2</v>
      </c>
      <c r="AQ88" s="2420"/>
      <c r="AR88" s="929">
        <f>+AR81-AR82-AR83-AR84</f>
        <v>0</v>
      </c>
      <c r="AS88" s="2795"/>
      <c r="AT88" s="930">
        <f>+AT81-AT82-AT83-AT84</f>
        <v>-4.9999999813735485E-2</v>
      </c>
      <c r="AU88" s="2420"/>
      <c r="AV88" s="929">
        <f>+AV81-AV82-AV83-AV84</f>
        <v>0</v>
      </c>
      <c r="AW88" s="2795"/>
      <c r="AX88" s="930">
        <f>+AX81-AX82-AX83-AX84</f>
        <v>-4.9999999930150807E-2</v>
      </c>
      <c r="AY88" s="2420"/>
      <c r="AZ88" s="929">
        <f>+AZ81-AZ82-AZ83-AZ84</f>
        <v>0</v>
      </c>
      <c r="BA88" s="2796"/>
      <c r="BB88" s="1086">
        <f>+BB81-BB82-BB83-BB84</f>
        <v>0</v>
      </c>
      <c r="BC88" s="2797"/>
      <c r="BD88" s="1142">
        <f>+BD81-BD82-BD83-BD84</f>
        <v>0</v>
      </c>
      <c r="BE88" s="2795"/>
      <c r="BF88" s="930">
        <f>+BF81-BF82-BF83-BF84</f>
        <v>-4.9999999697320163E-2</v>
      </c>
    </row>
    <row r="89" spans="2:58" x14ac:dyDescent="0.25">
      <c r="B89" s="200"/>
      <c r="C89" s="200"/>
      <c r="D89" s="200"/>
      <c r="E89" s="200"/>
      <c r="G89" s="200"/>
      <c r="I89" s="200"/>
      <c r="K89" s="200"/>
      <c r="M89" s="200"/>
      <c r="O89" s="200"/>
      <c r="Q89" s="200"/>
      <c r="S89" s="200"/>
      <c r="T89" s="200"/>
      <c r="U89" s="200"/>
      <c r="V89" s="200"/>
      <c r="W89" s="200"/>
      <c r="X89" s="200"/>
      <c r="Y89" s="200"/>
      <c r="AA89" s="200"/>
      <c r="AC89" s="200"/>
      <c r="AD89" s="200"/>
      <c r="AE89" s="200"/>
      <c r="AF89" s="200"/>
      <c r="AG89" s="200"/>
      <c r="AH89" s="200"/>
      <c r="AI89" s="200"/>
      <c r="AJ89" s="200"/>
      <c r="AK89" s="200"/>
      <c r="AL89" s="200"/>
      <c r="AM89" s="200"/>
      <c r="AN89" s="200"/>
      <c r="AO89" s="200"/>
      <c r="AP89" s="200"/>
      <c r="AU89" s="1726"/>
      <c r="AV89" s="1726"/>
      <c r="AW89" s="1726"/>
      <c r="AX89" s="1726"/>
      <c r="AY89" s="4390"/>
      <c r="AZ89" s="4390"/>
      <c r="BA89" s="200"/>
      <c r="BB89" s="200"/>
      <c r="BC89" s="200"/>
      <c r="BD89" s="200"/>
      <c r="BE89" s="4390"/>
      <c r="BF89" s="4390"/>
    </row>
    <row r="90" spans="2:58" ht="15" customHeight="1" x14ac:dyDescent="0.25">
      <c r="B90" s="200"/>
      <c r="C90" s="200"/>
      <c r="D90" s="200"/>
      <c r="E90" s="200"/>
      <c r="G90" s="200"/>
      <c r="I90" s="200"/>
      <c r="K90" s="200"/>
      <c r="M90" s="200"/>
      <c r="O90" s="200"/>
      <c r="Q90" s="200"/>
      <c r="S90" s="200"/>
      <c r="T90" s="200"/>
      <c r="U90" s="200"/>
      <c r="V90" s="200"/>
      <c r="W90" s="200"/>
      <c r="X90" s="200"/>
      <c r="Y90" s="200"/>
      <c r="AA90" s="200"/>
      <c r="AC90" s="200"/>
      <c r="AD90" s="200"/>
      <c r="AE90" s="200"/>
      <c r="AF90" s="200"/>
      <c r="AG90" s="200"/>
      <c r="AH90" s="200"/>
      <c r="AI90" s="200"/>
      <c r="AJ90" s="200"/>
      <c r="AK90" s="200"/>
      <c r="AL90" s="200"/>
      <c r="AM90" s="200"/>
      <c r="AN90" s="200"/>
      <c r="AO90" s="200"/>
      <c r="AP90" s="200"/>
      <c r="AU90" s="1726"/>
      <c r="AV90" s="5231" t="s">
        <v>1839</v>
      </c>
      <c r="AW90" s="1726"/>
      <c r="AX90" s="1726"/>
      <c r="AY90" s="4390"/>
      <c r="AZ90" s="5231"/>
      <c r="BA90" s="200"/>
      <c r="BB90" s="200"/>
      <c r="BC90" s="200"/>
      <c r="BD90" s="200"/>
      <c r="BE90" s="4390"/>
      <c r="BF90" s="4390"/>
    </row>
    <row r="91" spans="2:58" ht="15.75" thickBot="1" x14ac:dyDescent="0.3">
      <c r="B91" s="200"/>
      <c r="C91" s="200"/>
      <c r="D91" s="200"/>
      <c r="E91" s="200"/>
      <c r="G91" s="200"/>
      <c r="I91" s="200"/>
      <c r="K91" s="200"/>
      <c r="M91" s="200"/>
      <c r="O91" s="200"/>
      <c r="Q91" s="200"/>
      <c r="S91" s="200"/>
      <c r="T91" s="200"/>
      <c r="U91" s="200"/>
      <c r="V91" s="200"/>
      <c r="W91" s="200"/>
      <c r="X91" s="200"/>
      <c r="Y91" s="200"/>
      <c r="AA91" s="200"/>
      <c r="AC91" s="200"/>
      <c r="AD91" s="200"/>
      <c r="AE91" s="200"/>
      <c r="AF91" s="200"/>
      <c r="AG91" s="200"/>
      <c r="AH91" s="200"/>
      <c r="AI91" s="200"/>
      <c r="AJ91" s="200"/>
      <c r="AK91" s="200"/>
      <c r="AL91" s="200"/>
      <c r="AM91" s="200"/>
      <c r="AN91" s="200"/>
      <c r="AO91" s="200"/>
      <c r="AP91" s="200"/>
      <c r="AU91" s="1726"/>
      <c r="AV91" s="5231"/>
      <c r="AW91" s="1726"/>
      <c r="AX91" s="1726"/>
      <c r="AY91" s="4390"/>
      <c r="AZ91" s="5231"/>
      <c r="BA91" s="200"/>
      <c r="BB91" s="200"/>
      <c r="BC91" s="200"/>
      <c r="BD91" s="200"/>
      <c r="BE91" s="4390"/>
      <c r="BF91" s="4390"/>
    </row>
    <row r="92" spans="2:58" x14ac:dyDescent="0.25">
      <c r="B92" s="200"/>
      <c r="C92" s="200"/>
      <c r="D92" s="200"/>
      <c r="E92" s="200"/>
      <c r="G92" s="200"/>
      <c r="I92" s="200"/>
      <c r="K92" s="200"/>
      <c r="M92" s="200"/>
      <c r="O92" s="200"/>
      <c r="Q92" s="200"/>
      <c r="S92" s="200"/>
      <c r="T92" s="200"/>
      <c r="U92" s="200"/>
      <c r="V92" s="200"/>
      <c r="W92" s="2800" t="s">
        <v>1585</v>
      </c>
      <c r="X92" s="929">
        <v>53.17</v>
      </c>
      <c r="Y92" s="200"/>
      <c r="AA92" s="200"/>
      <c r="AC92" s="2800" t="s">
        <v>1585</v>
      </c>
      <c r="AD92" s="929">
        <f>AD7</f>
        <v>98.16</v>
      </c>
      <c r="AE92" s="200"/>
      <c r="AF92" s="200"/>
      <c r="AG92" s="2800"/>
      <c r="AH92" s="929"/>
      <c r="AI92" s="200"/>
      <c r="AJ92" s="200"/>
      <c r="AK92" s="5232" t="s">
        <v>1741</v>
      </c>
      <c r="AL92" s="5233"/>
      <c r="AM92" s="200"/>
      <c r="AN92" s="200"/>
      <c r="AO92" s="200"/>
      <c r="AP92" s="200"/>
      <c r="AU92" s="1726"/>
      <c r="AV92" s="5231"/>
      <c r="AW92" s="1726"/>
      <c r="AX92" s="1726"/>
      <c r="AY92" s="4390"/>
      <c r="AZ92" s="5231"/>
      <c r="BA92" s="200"/>
      <c r="BB92" s="200"/>
      <c r="BC92" s="200"/>
      <c r="BD92" s="200"/>
      <c r="BE92" s="4390"/>
      <c r="BF92" s="4390"/>
    </row>
    <row r="93" spans="2:58" x14ac:dyDescent="0.25">
      <c r="B93" s="200"/>
      <c r="C93" s="200"/>
      <c r="D93" s="200"/>
      <c r="E93" s="200"/>
      <c r="G93" s="200"/>
      <c r="I93" s="200"/>
      <c r="K93" s="200"/>
      <c r="M93" s="200"/>
      <c r="O93" s="200"/>
      <c r="Q93" s="200"/>
      <c r="S93" s="200"/>
      <c r="T93" s="200"/>
      <c r="U93" s="200"/>
      <c r="V93" s="200"/>
      <c r="W93" s="2800" t="s">
        <v>1586</v>
      </c>
      <c r="X93" s="929">
        <v>57.26</v>
      </c>
      <c r="Y93" s="200"/>
      <c r="AA93" s="200"/>
      <c r="AC93" s="2800"/>
      <c r="AD93" s="929"/>
      <c r="AE93" s="200"/>
      <c r="AF93" s="200"/>
      <c r="AG93" s="2800"/>
      <c r="AH93" s="929"/>
      <c r="AI93" s="200"/>
      <c r="AJ93" s="200"/>
      <c r="AK93" s="5220"/>
      <c r="AL93" s="5221"/>
      <c r="AM93" s="200"/>
      <c r="AN93" s="200"/>
      <c r="AO93" s="200"/>
      <c r="AP93" s="200"/>
      <c r="AU93" s="1726"/>
      <c r="AV93" s="5231"/>
      <c r="AW93" s="1726"/>
      <c r="AX93" s="1726"/>
      <c r="AY93" s="4390"/>
      <c r="AZ93" s="5231"/>
      <c r="BA93" s="200"/>
      <c r="BB93" s="200"/>
      <c r="BC93" s="200"/>
      <c r="BD93" s="200"/>
      <c r="BE93" s="4390"/>
      <c r="BF93" s="4390"/>
    </row>
    <row r="94" spans="2:58" x14ac:dyDescent="0.25">
      <c r="B94" s="200"/>
      <c r="C94" s="200"/>
      <c r="D94" s="200"/>
      <c r="E94" s="200"/>
      <c r="G94" s="200"/>
      <c r="I94" s="200"/>
      <c r="K94" s="200"/>
      <c r="M94" s="200"/>
      <c r="O94" s="200"/>
      <c r="Q94" s="200"/>
      <c r="S94" s="200"/>
      <c r="T94" s="200"/>
      <c r="U94" s="200"/>
      <c r="V94" s="200"/>
      <c r="W94" s="2800" t="s">
        <v>1587</v>
      </c>
      <c r="X94" s="929">
        <f>SUM(X92:X93)</f>
        <v>110.43</v>
      </c>
      <c r="Y94" s="200"/>
      <c r="AA94" s="200"/>
      <c r="AC94" s="2800" t="s">
        <v>1587</v>
      </c>
      <c r="AD94" s="929">
        <f>SUM(AD92:AD93)</f>
        <v>98.16</v>
      </c>
      <c r="AE94" s="200"/>
      <c r="AF94" s="200"/>
      <c r="AG94" s="2800"/>
      <c r="AH94" s="929"/>
      <c r="AI94" s="200"/>
      <c r="AJ94" s="200"/>
      <c r="AK94" s="5220"/>
      <c r="AL94" s="5221"/>
      <c r="AM94" s="200"/>
      <c r="AN94" s="200"/>
      <c r="AO94" s="200"/>
      <c r="AP94" s="200"/>
      <c r="AU94" s="1726"/>
      <c r="AV94" s="5231"/>
      <c r="AW94" s="1726"/>
      <c r="AX94" s="1726"/>
      <c r="AY94" s="4390"/>
      <c r="AZ94" s="5231"/>
      <c r="BA94" s="200"/>
      <c r="BB94" s="200"/>
      <c r="BC94" s="200"/>
      <c r="BD94" s="200"/>
      <c r="BE94" s="4390"/>
      <c r="BF94" s="4390"/>
    </row>
    <row r="95" spans="2:58" x14ac:dyDescent="0.25">
      <c r="AC95" s="1726"/>
      <c r="AD95" s="1726"/>
      <c r="AE95" s="1726"/>
      <c r="AF95" s="1726"/>
      <c r="AG95" s="1726"/>
      <c r="AH95" s="1726"/>
      <c r="AI95" s="1726"/>
      <c r="AJ95" s="1726"/>
      <c r="AK95" s="5222" t="s">
        <v>1746</v>
      </c>
      <c r="AL95" s="776" t="s">
        <v>1748</v>
      </c>
      <c r="AM95" s="189"/>
      <c r="AN95" s="200"/>
      <c r="AO95" s="1726"/>
      <c r="AP95" s="1726"/>
      <c r="AU95" s="1726"/>
      <c r="AV95" s="5231"/>
      <c r="AW95" s="1726"/>
      <c r="AX95" s="1726"/>
      <c r="AY95" s="4390"/>
      <c r="AZ95" s="5231"/>
      <c r="BA95" s="189"/>
      <c r="BB95" s="200"/>
      <c r="BD95" s="200"/>
      <c r="BE95" s="4390"/>
      <c r="BF95" s="4390"/>
    </row>
    <row r="96" spans="2:58" ht="15.75" thickBot="1" x14ac:dyDescent="0.3">
      <c r="AC96" s="1726"/>
      <c r="AD96" s="1726"/>
      <c r="AE96" s="1726"/>
      <c r="AF96" s="1726"/>
      <c r="AG96" s="1726"/>
      <c r="AH96" s="1726"/>
      <c r="AI96" s="1726"/>
      <c r="AJ96" s="1726"/>
      <c r="AK96" s="5223"/>
      <c r="AL96" s="3705" t="s">
        <v>1747</v>
      </c>
      <c r="AM96" s="189"/>
      <c r="AN96" s="200"/>
      <c r="AO96" s="1726"/>
      <c r="AP96" s="1726"/>
      <c r="AU96" s="1726"/>
      <c r="AV96" s="5231"/>
      <c r="AW96" s="1726"/>
      <c r="AX96" s="1726"/>
      <c r="AY96" s="4390"/>
      <c r="AZ96" s="5231"/>
      <c r="BA96" s="189"/>
      <c r="BB96" s="200"/>
      <c r="BD96" s="200"/>
      <c r="BE96" s="4390"/>
      <c r="BF96" s="4390"/>
    </row>
    <row r="97" spans="29:58" x14ac:dyDescent="0.25">
      <c r="AC97" s="1726"/>
      <c r="AD97" s="1726"/>
      <c r="AE97" s="1726"/>
      <c r="AF97" s="1726"/>
      <c r="AG97" s="1726"/>
      <c r="AH97" s="1726"/>
      <c r="AI97" s="1726"/>
      <c r="AJ97" s="1726"/>
      <c r="AK97" s="5222" t="s">
        <v>1749</v>
      </c>
      <c r="AL97" s="776" t="s">
        <v>1751</v>
      </c>
      <c r="AM97" s="189"/>
      <c r="AN97" s="200"/>
      <c r="AO97" s="1726"/>
      <c r="AP97" s="1726"/>
      <c r="AU97" s="1726"/>
      <c r="AV97" s="1726"/>
      <c r="AW97" s="1726"/>
      <c r="AX97" s="1726"/>
      <c r="AY97" s="4390"/>
      <c r="AZ97" s="4390"/>
      <c r="BA97" s="189"/>
      <c r="BB97" s="200"/>
      <c r="BD97" s="200"/>
      <c r="BE97" s="4390"/>
      <c r="BF97" s="4390"/>
    </row>
    <row r="98" spans="29:58" ht="15.75" thickBot="1" x14ac:dyDescent="0.3">
      <c r="AC98" s="1726"/>
      <c r="AD98" s="1726"/>
      <c r="AE98" s="1726"/>
      <c r="AF98" s="1726"/>
      <c r="AG98" s="1726"/>
      <c r="AH98" s="1726"/>
      <c r="AI98" s="1726"/>
      <c r="AJ98" s="1726"/>
      <c r="AK98" s="5223"/>
      <c r="AL98" s="3706" t="s">
        <v>35</v>
      </c>
      <c r="AM98" s="189"/>
      <c r="AN98" s="200"/>
      <c r="AO98" s="1726"/>
      <c r="AP98" s="1726"/>
      <c r="AU98" s="1726"/>
      <c r="AV98" s="1726"/>
      <c r="AW98" s="1726"/>
      <c r="AX98" s="1726"/>
      <c r="AY98" s="4390"/>
      <c r="AZ98" s="4390"/>
      <c r="BA98" s="189"/>
      <c r="BB98" s="200"/>
      <c r="BD98" s="200"/>
      <c r="BE98" s="4390"/>
      <c r="BF98" s="4390"/>
    </row>
    <row r="99" spans="29:58" x14ac:dyDescent="0.25">
      <c r="AC99" s="1726"/>
      <c r="AD99" s="1726"/>
      <c r="AE99" s="1726"/>
      <c r="AF99" s="1726"/>
      <c r="AG99" s="1726"/>
      <c r="AH99" s="1726"/>
      <c r="AI99" s="1726"/>
      <c r="AJ99" s="1726"/>
      <c r="AK99" s="5222" t="s">
        <v>1750</v>
      </c>
      <c r="AL99" s="776" t="s">
        <v>1751</v>
      </c>
      <c r="AM99" s="189"/>
      <c r="AN99" s="200"/>
      <c r="AU99" s="1726"/>
      <c r="AV99" s="1726"/>
      <c r="AW99" s="1726"/>
      <c r="AX99" s="1726"/>
      <c r="AY99" s="4390"/>
      <c r="AZ99" s="4390"/>
      <c r="BA99" s="189"/>
      <c r="BB99" s="200"/>
      <c r="BD99" s="200"/>
      <c r="BE99" s="4390"/>
      <c r="BF99" s="4390"/>
    </row>
    <row r="100" spans="29:58" ht="15.75" thickBot="1" x14ac:dyDescent="0.3">
      <c r="AC100" s="1726"/>
      <c r="AD100" s="1726"/>
      <c r="AE100" s="1726"/>
      <c r="AF100" s="1726"/>
      <c r="AG100" s="1726"/>
      <c r="AH100" s="1726"/>
      <c r="AI100" s="1726"/>
      <c r="AJ100" s="1726"/>
      <c r="AK100" s="5223"/>
      <c r="AL100" s="3706" t="s">
        <v>35</v>
      </c>
      <c r="AM100" s="189"/>
      <c r="AN100" s="200"/>
      <c r="AU100" s="1726"/>
      <c r="AV100" s="1726"/>
      <c r="AW100" s="1726"/>
      <c r="AX100" s="1726"/>
      <c r="AY100" s="4390"/>
      <c r="AZ100" s="4390"/>
      <c r="BA100" s="189"/>
      <c r="BB100" s="200"/>
      <c r="BD100" s="200"/>
      <c r="BE100" s="4390"/>
      <c r="BF100" s="4390"/>
    </row>
    <row r="101" spans="29:58" x14ac:dyDescent="0.25">
      <c r="AC101" s="1726"/>
      <c r="AD101" s="1726"/>
      <c r="AE101" s="1726"/>
      <c r="AF101" s="1726"/>
      <c r="AG101" s="1726"/>
      <c r="AH101" s="1726"/>
      <c r="AI101" s="1726"/>
      <c r="AJ101" s="1726"/>
      <c r="AK101" s="1726"/>
      <c r="AL101" s="1726"/>
      <c r="AM101" s="189"/>
      <c r="AN101" s="200"/>
      <c r="AU101" s="1726"/>
      <c r="AV101" s="1726"/>
      <c r="AW101" s="1726"/>
      <c r="AX101" s="1726"/>
      <c r="AY101" s="4390"/>
      <c r="AZ101" s="4390"/>
      <c r="BA101" s="189"/>
      <c r="BB101" s="200"/>
      <c r="BD101" s="200"/>
      <c r="BE101" s="4390"/>
      <c r="BF101" s="4390"/>
    </row>
    <row r="102" spans="29:58" x14ac:dyDescent="0.25">
      <c r="AC102" s="1726"/>
      <c r="AD102" s="1726"/>
      <c r="AE102" s="1726"/>
      <c r="AF102" s="1726"/>
      <c r="AG102" s="1726"/>
      <c r="AH102" s="1726"/>
      <c r="AI102" s="1726"/>
      <c r="AJ102" s="1726"/>
      <c r="AK102" s="1726"/>
      <c r="AL102" s="1726"/>
      <c r="AM102" s="189"/>
      <c r="AN102" s="200"/>
      <c r="AU102" s="1726"/>
      <c r="AV102" s="1726"/>
      <c r="AW102" s="1726"/>
      <c r="AX102" s="1726"/>
      <c r="AY102" s="4390"/>
      <c r="AZ102" s="4390"/>
      <c r="BA102" s="189"/>
      <c r="BB102" s="200"/>
      <c r="BD102" s="200"/>
      <c r="BE102" s="4390"/>
      <c r="BF102" s="4390"/>
    </row>
    <row r="103" spans="29:58" x14ac:dyDescent="0.25">
      <c r="AC103" s="1726"/>
      <c r="AD103" s="1726"/>
      <c r="AE103" s="1726"/>
      <c r="AF103" s="1726"/>
      <c r="AG103" s="1726"/>
      <c r="AH103" s="1726"/>
      <c r="AI103" s="1726"/>
      <c r="AJ103" s="1726"/>
      <c r="AY103" s="4390"/>
      <c r="AZ103" s="4390"/>
      <c r="BD103" s="200"/>
      <c r="BE103" s="4390"/>
      <c r="BF103" s="4390"/>
    </row>
    <row r="104" spans="29:58" x14ac:dyDescent="0.25">
      <c r="AC104" s="1726"/>
      <c r="AD104" s="1726"/>
      <c r="AE104" s="1726"/>
      <c r="AF104" s="1726"/>
      <c r="AG104" s="1726"/>
      <c r="AH104" s="1726"/>
      <c r="AI104" s="1726"/>
      <c r="AJ104" s="1726"/>
      <c r="AY104" s="4390"/>
      <c r="AZ104" s="4390"/>
      <c r="BD104" s="200"/>
      <c r="BE104" s="4390"/>
      <c r="BF104" s="4390"/>
    </row>
    <row r="105" spans="29:58" x14ac:dyDescent="0.25">
      <c r="AC105" s="1726"/>
      <c r="AD105" s="1726"/>
      <c r="AE105" s="1726"/>
      <c r="AF105" s="1726"/>
      <c r="AG105" s="1726"/>
      <c r="AH105" s="1726"/>
      <c r="AI105" s="1726"/>
      <c r="AJ105" s="1726"/>
      <c r="BD105" s="200"/>
    </row>
    <row r="106" spans="29:58" x14ac:dyDescent="0.25">
      <c r="AC106" s="1726"/>
      <c r="AD106" s="1726"/>
      <c r="AE106" s="1726"/>
      <c r="AF106" s="1726"/>
    </row>
    <row r="107" spans="29:58" x14ac:dyDescent="0.25">
      <c r="AC107" s="1726"/>
      <c r="AD107" s="1726"/>
      <c r="AE107" s="1726"/>
      <c r="AF107" s="1726"/>
    </row>
    <row r="108" spans="29:58" x14ac:dyDescent="0.25">
      <c r="AC108" s="1726"/>
      <c r="AD108" s="1726"/>
      <c r="AE108" s="1726"/>
      <c r="AF108" s="1726"/>
    </row>
    <row r="109" spans="29:58" x14ac:dyDescent="0.25">
      <c r="AC109" s="1726"/>
      <c r="AD109" s="1726"/>
      <c r="AE109" s="1726"/>
      <c r="AF109" s="1726"/>
    </row>
    <row r="110" spans="29:58" x14ac:dyDescent="0.25">
      <c r="AC110" s="1726"/>
      <c r="AD110" s="1726"/>
      <c r="AE110" s="1726"/>
      <c r="AF110" s="1726"/>
    </row>
    <row r="111" spans="29:58" x14ac:dyDescent="0.25">
      <c r="AC111" s="1726"/>
      <c r="AD111" s="1726"/>
      <c r="AE111" s="1726"/>
      <c r="AF111" s="1726"/>
    </row>
    <row r="112" spans="29:58" x14ac:dyDescent="0.25">
      <c r="AC112" s="1726"/>
      <c r="AD112" s="1726"/>
      <c r="AE112" s="1726"/>
      <c r="AF112" s="1726"/>
    </row>
    <row r="113" spans="29:32" x14ac:dyDescent="0.25">
      <c r="AC113" s="1726"/>
      <c r="AD113" s="1726"/>
      <c r="AE113" s="1726"/>
      <c r="AF113" s="1726"/>
    </row>
  </sheetData>
  <autoFilter ref="C5:C71"/>
  <mergeCells count="36">
    <mergeCell ref="S3:T3"/>
    <mergeCell ref="U3:V3"/>
    <mergeCell ref="B3:B4"/>
    <mergeCell ref="D3:D4"/>
    <mergeCell ref="E3:F3"/>
    <mergeCell ref="G3:H3"/>
    <mergeCell ref="I3:J3"/>
    <mergeCell ref="K3:L3"/>
    <mergeCell ref="M3:N3"/>
    <mergeCell ref="O3:P3"/>
    <mergeCell ref="Q3:R3"/>
    <mergeCell ref="C3:C4"/>
    <mergeCell ref="AG3:AH3"/>
    <mergeCell ref="AI3:AJ3"/>
    <mergeCell ref="AC3:AD3"/>
    <mergeCell ref="AE3:AF3"/>
    <mergeCell ref="W3:X3"/>
    <mergeCell ref="Y3:Z3"/>
    <mergeCell ref="AA3:AB3"/>
    <mergeCell ref="AU3:AV3"/>
    <mergeCell ref="AW3:AX3"/>
    <mergeCell ref="AQ3:AR3"/>
    <mergeCell ref="AS3:AT3"/>
    <mergeCell ref="AK99:AK100"/>
    <mergeCell ref="AO3:AP3"/>
    <mergeCell ref="AM3:AN3"/>
    <mergeCell ref="AK92:AL94"/>
    <mergeCell ref="AK95:AK96"/>
    <mergeCell ref="AK97:AK98"/>
    <mergeCell ref="AK3:AL3"/>
    <mergeCell ref="AV90:AV96"/>
    <mergeCell ref="AY3:AZ3"/>
    <mergeCell ref="AZ90:AZ96"/>
    <mergeCell ref="BE3:BF3"/>
    <mergeCell ref="BC3:BD3"/>
    <mergeCell ref="BA3:BB3"/>
  </mergeCells>
  <printOptions horizontalCentered="1" verticalCentered="1"/>
  <pageMargins left="0" right="0" top="0" bottom="0" header="0" footer="0"/>
  <pageSetup scale="47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BP98"/>
  <sheetViews>
    <sheetView topLeftCell="A28" zoomScaleNormal="100" workbookViewId="0">
      <pane xSplit="5" topLeftCell="F1" activePane="topRight" state="frozen"/>
      <selection pane="topRight" activeCell="BK46" sqref="BK46"/>
    </sheetView>
  </sheetViews>
  <sheetFormatPr defaultColWidth="9.140625" defaultRowHeight="15" x14ac:dyDescent="0.25"/>
  <cols>
    <col min="1" max="1" width="9.140625" style="1319"/>
    <col min="2" max="2" width="39.28515625" style="1319" bestFit="1" customWidth="1"/>
    <col min="3" max="3" width="9.7109375" style="1319" bestFit="1" customWidth="1"/>
    <col min="4" max="4" width="12" style="1319" customWidth="1"/>
    <col min="5" max="5" width="15.140625" style="1319" bestFit="1" customWidth="1"/>
    <col min="6" max="6" width="8.5703125" style="189" bestFit="1" customWidth="1"/>
    <col min="7" max="7" width="8.5703125" style="200" bestFit="1" customWidth="1"/>
    <col min="8" max="8" width="8.7109375" style="189" bestFit="1" customWidth="1"/>
    <col min="9" max="9" width="8.5703125" style="200" bestFit="1" customWidth="1"/>
    <col min="10" max="10" width="10.28515625" style="189" hidden="1" customWidth="1"/>
    <col min="11" max="11" width="9.42578125" style="200" hidden="1" customWidth="1"/>
    <col min="12" max="12" width="8.5703125" style="189" bestFit="1" customWidth="1"/>
    <col min="13" max="13" width="8.5703125" style="200" bestFit="1" customWidth="1"/>
    <col min="14" max="14" width="10.28515625" style="189" bestFit="1" customWidth="1"/>
    <col min="15" max="15" width="10.28515625" style="200" bestFit="1" customWidth="1"/>
    <col min="16" max="16" width="8.5703125" style="189" bestFit="1" customWidth="1"/>
    <col min="17" max="17" width="8.5703125" style="200" bestFit="1" customWidth="1"/>
    <col min="18" max="18" width="12.140625" style="189" hidden="1" customWidth="1"/>
    <col min="19" max="19" width="9.42578125" style="200" hidden="1" customWidth="1"/>
    <col min="20" max="21" width="8.5703125" style="1319" bestFit="1" customWidth="1"/>
    <col min="22" max="22" width="9.7109375" style="1319" hidden="1" customWidth="1"/>
    <col min="23" max="23" width="12.85546875" style="1319" hidden="1" customWidth="1"/>
    <col min="24" max="25" width="9.140625" style="1319" customWidth="1"/>
    <col min="26" max="26" width="11.28515625" style="189" customWidth="1"/>
    <col min="27" max="27" width="10.28515625" style="200" customWidth="1"/>
    <col min="28" max="28" width="9.7109375" style="189" customWidth="1"/>
    <col min="29" max="29" width="9.7109375" style="200" customWidth="1"/>
    <col min="30" max="31" width="8.5703125" style="1319" bestFit="1" customWidth="1"/>
    <col min="32" max="33" width="9.7109375" style="1319" hidden="1" customWidth="1"/>
    <col min="34" max="35" width="9.140625" style="1319"/>
    <col min="36" max="37" width="9.140625" style="1319" hidden="1" customWidth="1"/>
    <col min="38" max="39" width="9.140625" style="1319"/>
    <col min="40" max="41" width="9.140625" style="1726"/>
    <col min="42" max="43" width="9.140625" style="1319" hidden="1" customWidth="1"/>
    <col min="44" max="45" width="9.140625" style="1319"/>
    <col min="46" max="47" width="9.140625" style="1319" hidden="1" customWidth="1"/>
    <col min="48" max="49" width="9.140625" style="1319"/>
    <col min="50" max="51" width="9.140625" style="1319" hidden="1" customWidth="1"/>
    <col min="52" max="52" width="9.140625" style="1319"/>
    <col min="53" max="53" width="21" style="1319" customWidth="1"/>
    <col min="54" max="57" width="9.140625" style="4390"/>
    <col min="58" max="59" width="9.140625" style="1319"/>
    <col min="60" max="68" width="9.140625" style="4658"/>
    <col min="69" max="16384" width="9.140625" style="1319"/>
  </cols>
  <sheetData>
    <row r="1" spans="2:68" s="334" customFormat="1" ht="22.5" x14ac:dyDescent="0.3">
      <c r="B1" s="2387" t="s">
        <v>124</v>
      </c>
      <c r="C1" s="2387"/>
      <c r="D1" s="2387"/>
      <c r="E1" s="1322"/>
      <c r="F1" s="1322"/>
      <c r="G1" s="1322"/>
      <c r="H1" s="1322"/>
      <c r="I1" s="1322"/>
      <c r="J1" s="1322"/>
      <c r="K1" s="1322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3"/>
      <c r="W1" s="343"/>
      <c r="X1" s="343"/>
      <c r="Y1" s="343"/>
      <c r="Z1" s="343"/>
      <c r="AA1" s="343"/>
      <c r="AB1" s="343"/>
      <c r="AC1" s="343"/>
      <c r="BH1" s="4658"/>
      <c r="BI1" s="4658"/>
      <c r="BJ1" s="4658"/>
      <c r="BK1" s="4658"/>
      <c r="BL1" s="4658"/>
      <c r="BM1" s="4658"/>
      <c r="BN1" s="4658"/>
      <c r="BO1" s="4658"/>
      <c r="BP1" s="4658"/>
    </row>
    <row r="2" spans="2:68" s="334" customFormat="1" ht="15.75" thickBot="1" x14ac:dyDescent="0.3">
      <c r="B2" s="1322"/>
      <c r="C2" s="1322"/>
      <c r="D2" s="1322"/>
      <c r="E2" s="1322"/>
      <c r="F2" s="984">
        <v>30</v>
      </c>
      <c r="G2" s="984">
        <v>30</v>
      </c>
      <c r="H2" s="984">
        <v>31</v>
      </c>
      <c r="I2" s="984">
        <v>31</v>
      </c>
      <c r="J2" s="984">
        <f>+F2+H2</f>
        <v>61</v>
      </c>
      <c r="K2" s="984">
        <f>+G2+I2</f>
        <v>61</v>
      </c>
      <c r="L2" s="984">
        <v>30</v>
      </c>
      <c r="M2" s="984">
        <v>30</v>
      </c>
      <c r="N2" s="984">
        <f>+J2+L2</f>
        <v>91</v>
      </c>
      <c r="O2" s="984">
        <f>+K2+M2</f>
        <v>91</v>
      </c>
      <c r="P2" s="984">
        <v>31</v>
      </c>
      <c r="Q2" s="984">
        <v>31</v>
      </c>
      <c r="R2" s="984">
        <f>+N2+P2</f>
        <v>122</v>
      </c>
      <c r="S2" s="984">
        <f>+O2+Q2</f>
        <v>122</v>
      </c>
      <c r="T2" s="984">
        <v>31</v>
      </c>
      <c r="U2" s="984">
        <v>31</v>
      </c>
      <c r="V2" s="984">
        <f>+R2+T2</f>
        <v>153</v>
      </c>
      <c r="W2" s="984">
        <f>+S2+U2</f>
        <v>153</v>
      </c>
      <c r="X2" s="984">
        <v>30</v>
      </c>
      <c r="Y2" s="984">
        <v>30</v>
      </c>
      <c r="Z2" s="984">
        <f>+P2+T2+X2</f>
        <v>92</v>
      </c>
      <c r="AA2" s="984">
        <f>+Q2+U2+Y2</f>
        <v>92</v>
      </c>
      <c r="AB2" s="984">
        <f>+Z2+N2</f>
        <v>183</v>
      </c>
      <c r="AC2" s="984">
        <f>+AA2+O2</f>
        <v>183</v>
      </c>
      <c r="AD2" s="984">
        <v>31</v>
      </c>
      <c r="AE2" s="984">
        <v>31</v>
      </c>
      <c r="AF2" s="984">
        <f>+AB2+AD2</f>
        <v>214</v>
      </c>
      <c r="AG2" s="984">
        <f>+AC2+AE2</f>
        <v>214</v>
      </c>
      <c r="AH2" s="984">
        <v>30</v>
      </c>
      <c r="AI2" s="984">
        <v>30</v>
      </c>
      <c r="AJ2" s="984">
        <f>+AF2+AH2</f>
        <v>244</v>
      </c>
      <c r="AK2" s="984">
        <f>+AG2+AI2</f>
        <v>244</v>
      </c>
      <c r="AL2" s="984">
        <v>31</v>
      </c>
      <c r="AM2" s="984">
        <v>31</v>
      </c>
      <c r="AN2" s="984">
        <f>+AD2+AH2+AL2</f>
        <v>92</v>
      </c>
      <c r="AO2" s="984">
        <f>+AE2+AI2+AM2</f>
        <v>92</v>
      </c>
      <c r="AP2" s="984">
        <f>+AJ2+AL2</f>
        <v>275</v>
      </c>
      <c r="AQ2" s="984">
        <f>+AK2+AM2</f>
        <v>275</v>
      </c>
      <c r="AR2" s="984">
        <v>31</v>
      </c>
      <c r="AS2" s="984">
        <v>31</v>
      </c>
      <c r="AT2" s="984">
        <f>+AP2+AR2</f>
        <v>306</v>
      </c>
      <c r="AU2" s="984">
        <f>+AQ2+AS2</f>
        <v>306</v>
      </c>
      <c r="AV2" s="984">
        <v>28</v>
      </c>
      <c r="AW2" s="984">
        <v>28</v>
      </c>
      <c r="AX2" s="984">
        <f>+AT2+AV2</f>
        <v>334</v>
      </c>
      <c r="AY2" s="984">
        <f>+AU2+AW2</f>
        <v>334</v>
      </c>
      <c r="AZ2" s="984">
        <v>31</v>
      </c>
      <c r="BA2" s="984">
        <v>31</v>
      </c>
      <c r="BB2" s="984">
        <f>+AR2+AV2+AZ2</f>
        <v>90</v>
      </c>
      <c r="BC2" s="984">
        <f>+AS2+AW2+BA2</f>
        <v>90</v>
      </c>
      <c r="BD2" s="984">
        <f>+AN2+BB2</f>
        <v>182</v>
      </c>
      <c r="BE2" s="984">
        <f>+AO2+BC2</f>
        <v>182</v>
      </c>
      <c r="BF2" s="984">
        <f>+AX2+AZ2</f>
        <v>365</v>
      </c>
      <c r="BG2" s="984">
        <f>+AY2+BA2</f>
        <v>365</v>
      </c>
      <c r="BH2" s="4658"/>
      <c r="BI2" s="4658"/>
      <c r="BJ2" s="4658"/>
      <c r="BK2" s="4658"/>
      <c r="BL2" s="4658"/>
      <c r="BM2" s="4658"/>
      <c r="BN2" s="4658"/>
      <c r="BO2" s="4658"/>
      <c r="BP2" s="4658"/>
    </row>
    <row r="3" spans="2:68" ht="15.75" thickBot="1" x14ac:dyDescent="0.3">
      <c r="B3" s="5239" t="s">
        <v>197</v>
      </c>
      <c r="C3" s="5241" t="s">
        <v>1119</v>
      </c>
      <c r="D3" s="5243" t="s">
        <v>1120</v>
      </c>
      <c r="E3" s="4873" t="s">
        <v>198</v>
      </c>
      <c r="F3" s="4875" t="s">
        <v>1323</v>
      </c>
      <c r="G3" s="4876"/>
      <c r="H3" s="4875" t="s">
        <v>1384</v>
      </c>
      <c r="I3" s="4875"/>
      <c r="J3" s="4877" t="s">
        <v>15</v>
      </c>
      <c r="K3" s="4878"/>
      <c r="L3" s="4879" t="s">
        <v>1397</v>
      </c>
      <c r="M3" s="4880"/>
      <c r="N3" s="4881" t="s">
        <v>741</v>
      </c>
      <c r="O3" s="4859"/>
      <c r="P3" s="4875" t="s">
        <v>1424</v>
      </c>
      <c r="Q3" s="4875"/>
      <c r="R3" s="4877" t="s">
        <v>18</v>
      </c>
      <c r="S3" s="4878"/>
      <c r="T3" s="4875" t="s">
        <v>1496</v>
      </c>
      <c r="U3" s="4875"/>
      <c r="V3" s="4877" t="s">
        <v>19</v>
      </c>
      <c r="W3" s="4878"/>
      <c r="X3" s="4875" t="s">
        <v>1573</v>
      </c>
      <c r="Y3" s="4875"/>
      <c r="Z3" s="4881" t="s">
        <v>788</v>
      </c>
      <c r="AA3" s="4859"/>
      <c r="AB3" s="5237" t="s">
        <v>784</v>
      </c>
      <c r="AC3" s="5238"/>
      <c r="AD3" s="4875" t="s">
        <v>1634</v>
      </c>
      <c r="AE3" s="4875"/>
      <c r="AF3" s="4877" t="s">
        <v>26</v>
      </c>
      <c r="AG3" s="4878"/>
      <c r="AH3" s="4875" t="s">
        <v>1671</v>
      </c>
      <c r="AI3" s="4875"/>
      <c r="AJ3" s="4877" t="s">
        <v>29</v>
      </c>
      <c r="AK3" s="4878"/>
      <c r="AL3" s="4875" t="s">
        <v>1696</v>
      </c>
      <c r="AM3" s="4875"/>
      <c r="AN3" s="4881" t="s">
        <v>799</v>
      </c>
      <c r="AO3" s="4859"/>
      <c r="AP3" s="4877" t="s">
        <v>30</v>
      </c>
      <c r="AQ3" s="4878"/>
      <c r="AR3" s="4875" t="s">
        <v>1760</v>
      </c>
      <c r="AS3" s="4875"/>
      <c r="AT3" s="4877" t="s">
        <v>31</v>
      </c>
      <c r="AU3" s="4878"/>
      <c r="AV3" s="4875" t="s">
        <v>1812</v>
      </c>
      <c r="AW3" s="4875"/>
      <c r="AX3" s="4877" t="s">
        <v>33</v>
      </c>
      <c r="AY3" s="4878"/>
      <c r="AZ3" s="4875" t="s">
        <v>1844</v>
      </c>
      <c r="BA3" s="4875"/>
      <c r="BB3" s="4881" t="s">
        <v>800</v>
      </c>
      <c r="BC3" s="4859"/>
      <c r="BD3" s="5237" t="s">
        <v>817</v>
      </c>
      <c r="BE3" s="5238"/>
      <c r="BF3" s="4877" t="s">
        <v>1314</v>
      </c>
      <c r="BG3" s="4878"/>
    </row>
    <row r="4" spans="2:68" ht="15.75" thickBot="1" x14ac:dyDescent="0.3">
      <c r="B4" s="5240"/>
      <c r="C4" s="5242"/>
      <c r="D4" s="5244"/>
      <c r="E4" s="4874"/>
      <c r="F4" s="1977" t="s">
        <v>199</v>
      </c>
      <c r="G4" s="353" t="s">
        <v>200</v>
      </c>
      <c r="H4" s="1977" t="s">
        <v>199</v>
      </c>
      <c r="I4" s="2230" t="s">
        <v>200</v>
      </c>
      <c r="J4" s="1978" t="s">
        <v>199</v>
      </c>
      <c r="K4" s="381" t="s">
        <v>200</v>
      </c>
      <c r="L4" s="1977" t="s">
        <v>199</v>
      </c>
      <c r="M4" s="2230" t="s">
        <v>200</v>
      </c>
      <c r="N4" s="1981" t="s">
        <v>199</v>
      </c>
      <c r="O4" s="395" t="s">
        <v>200</v>
      </c>
      <c r="P4" s="1977" t="s">
        <v>199</v>
      </c>
      <c r="Q4" s="2230" t="s">
        <v>200</v>
      </c>
      <c r="R4" s="1978" t="s">
        <v>199</v>
      </c>
      <c r="S4" s="381" t="s">
        <v>200</v>
      </c>
      <c r="T4" s="1977" t="s">
        <v>199</v>
      </c>
      <c r="U4" s="2230" t="s">
        <v>200</v>
      </c>
      <c r="V4" s="1978" t="s">
        <v>199</v>
      </c>
      <c r="W4" s="381" t="s">
        <v>200</v>
      </c>
      <c r="X4" s="1977" t="s">
        <v>199</v>
      </c>
      <c r="Y4" s="2230" t="s">
        <v>200</v>
      </c>
      <c r="Z4" s="1981" t="s">
        <v>199</v>
      </c>
      <c r="AA4" s="395" t="s">
        <v>200</v>
      </c>
      <c r="AB4" s="2801" t="s">
        <v>199</v>
      </c>
      <c r="AC4" s="1956" t="s">
        <v>200</v>
      </c>
      <c r="AD4" s="3159" t="s">
        <v>199</v>
      </c>
      <c r="AE4" s="3162" t="s">
        <v>200</v>
      </c>
      <c r="AF4" s="3161" t="s">
        <v>199</v>
      </c>
      <c r="AG4" s="381" t="s">
        <v>200</v>
      </c>
      <c r="AH4" s="3316" t="s">
        <v>199</v>
      </c>
      <c r="AI4" s="3319" t="s">
        <v>200</v>
      </c>
      <c r="AJ4" s="3318" t="s">
        <v>199</v>
      </c>
      <c r="AK4" s="381" t="s">
        <v>200</v>
      </c>
      <c r="AL4" s="3593" t="s">
        <v>199</v>
      </c>
      <c r="AM4" s="3598" t="s">
        <v>200</v>
      </c>
      <c r="AN4" s="3594" t="s">
        <v>199</v>
      </c>
      <c r="AO4" s="395" t="s">
        <v>200</v>
      </c>
      <c r="AP4" s="3595" t="s">
        <v>199</v>
      </c>
      <c r="AQ4" s="381" t="s">
        <v>200</v>
      </c>
      <c r="AR4" s="3878" t="s">
        <v>199</v>
      </c>
      <c r="AS4" s="3884" t="s">
        <v>200</v>
      </c>
      <c r="AT4" s="3880" t="s">
        <v>199</v>
      </c>
      <c r="AU4" s="381" t="s">
        <v>200</v>
      </c>
      <c r="AV4" s="4065" t="s">
        <v>199</v>
      </c>
      <c r="AW4" s="4072" t="s">
        <v>200</v>
      </c>
      <c r="AX4" s="4066" t="s">
        <v>199</v>
      </c>
      <c r="AY4" s="381" t="s">
        <v>200</v>
      </c>
      <c r="AZ4" s="4384" t="s">
        <v>199</v>
      </c>
      <c r="BA4" s="4396" t="s">
        <v>200</v>
      </c>
      <c r="BB4" s="4385" t="s">
        <v>199</v>
      </c>
      <c r="BC4" s="395" t="s">
        <v>200</v>
      </c>
      <c r="BD4" s="2801" t="s">
        <v>199</v>
      </c>
      <c r="BE4" s="1956" t="s">
        <v>200</v>
      </c>
      <c r="BF4" s="4387" t="s">
        <v>199</v>
      </c>
      <c r="BG4" s="381" t="s">
        <v>200</v>
      </c>
    </row>
    <row r="5" spans="2:68" ht="17.100000000000001" customHeight="1" x14ac:dyDescent="0.25">
      <c r="B5" s="3341" t="s">
        <v>1115</v>
      </c>
      <c r="C5" s="3339"/>
      <c r="D5" s="2802"/>
      <c r="E5" s="2048" t="s">
        <v>53</v>
      </c>
      <c r="F5" s="2478">
        <v>10449</v>
      </c>
      <c r="G5" s="414">
        <v>8381.41</v>
      </c>
      <c r="H5" s="2478">
        <v>0</v>
      </c>
      <c r="I5" s="414">
        <v>2974.5</v>
      </c>
      <c r="J5" s="2803">
        <f>+H5+F5</f>
        <v>10449</v>
      </c>
      <c r="K5" s="220">
        <f>+G5+I5</f>
        <v>11355.91</v>
      </c>
      <c r="L5" s="2478">
        <v>41797.283176593519</v>
      </c>
      <c r="M5" s="322">
        <v>10140.8718883</v>
      </c>
      <c r="N5" s="2804">
        <f>+J5+L5</f>
        <v>52246.283176593519</v>
      </c>
      <c r="O5" s="197">
        <f>+K5+M5</f>
        <v>21496.7818883</v>
      </c>
      <c r="P5" s="2478">
        <v>41797.283176593519</v>
      </c>
      <c r="Q5" s="322">
        <v>24917.002838500001</v>
      </c>
      <c r="R5" s="2803">
        <f>+N5+P5</f>
        <v>94043.566353187038</v>
      </c>
      <c r="S5" s="220">
        <f>+O5+Q5</f>
        <v>46413.784726800004</v>
      </c>
      <c r="T5" s="2478">
        <v>47021.943573667711</v>
      </c>
      <c r="U5" s="322">
        <v>19877.768169300001</v>
      </c>
      <c r="V5" s="2803">
        <f>+R5+T5</f>
        <v>141065.50992685475</v>
      </c>
      <c r="W5" s="220">
        <f>+S5+U5</f>
        <v>66291.552896100009</v>
      </c>
      <c r="X5" s="2478">
        <v>47021.943573667711</v>
      </c>
      <c r="Y5" s="322">
        <v>8651.3948999999993</v>
      </c>
      <c r="Z5" s="2804">
        <f>+P5+T5+X5</f>
        <v>135841.17032392893</v>
      </c>
      <c r="AA5" s="197">
        <f>+Q5+U5+Y5</f>
        <v>53446.165907800001</v>
      </c>
      <c r="AB5" s="2805">
        <f>+N5+Z5</f>
        <v>188087.45350052245</v>
      </c>
      <c r="AC5" s="1957">
        <f>+AA5+O5</f>
        <v>74942.947796099994</v>
      </c>
      <c r="AD5" s="2478">
        <v>47021.943573667711</v>
      </c>
      <c r="AE5" s="322">
        <v>24054.5452797</v>
      </c>
      <c r="AF5" s="2803">
        <f>+AB5+AD5</f>
        <v>235109.39707419014</v>
      </c>
      <c r="AG5" s="220">
        <f>+AC5+AE5</f>
        <v>98997.493075799997</v>
      </c>
      <c r="AH5" s="2478">
        <v>47021.943573667711</v>
      </c>
      <c r="AI5" s="322">
        <v>22514.200499999999</v>
      </c>
      <c r="AJ5" s="2803">
        <f>+AF5+AH5</f>
        <v>282131.34064785787</v>
      </c>
      <c r="AK5" s="220">
        <f>+AG5+AI5</f>
        <v>121511.69357579999</v>
      </c>
      <c r="AL5" s="2478">
        <v>47021.943573667711</v>
      </c>
      <c r="AM5" s="322">
        <v>31596.829830000002</v>
      </c>
      <c r="AN5" s="2804">
        <f>+AD5+AH5+AL5</f>
        <v>141065.83072100312</v>
      </c>
      <c r="AO5" s="197">
        <f>+AE5+AI5+AM5</f>
        <v>78165.575609699998</v>
      </c>
      <c r="AP5" s="2803">
        <f>+AJ5+AL5</f>
        <v>329153.2842215256</v>
      </c>
      <c r="AQ5" s="220">
        <f>+AK5+AM5</f>
        <v>153108.52340579999</v>
      </c>
      <c r="AR5" s="2478">
        <v>47021.943573667711</v>
      </c>
      <c r="AS5" s="322">
        <v>21860.000954399999</v>
      </c>
      <c r="AT5" s="2803">
        <f>+AP5+AR5</f>
        <v>376175.22779519332</v>
      </c>
      <c r="AU5" s="220">
        <f>+AQ5+AS5</f>
        <v>174968.52436019998</v>
      </c>
      <c r="AV5" s="2478">
        <v>47021.943573667711</v>
      </c>
      <c r="AW5" s="322">
        <v>25641.790311000001</v>
      </c>
      <c r="AX5" s="2803">
        <f>+AT5+AV5</f>
        <v>423197.17136886105</v>
      </c>
      <c r="AY5" s="220">
        <f>+AU5+AW5</f>
        <v>200610.31467119997</v>
      </c>
      <c r="AZ5" s="2478">
        <v>47021.943573667711</v>
      </c>
      <c r="BA5" s="322">
        <v>27572.11</v>
      </c>
      <c r="BB5" s="2804">
        <f>+AR5+AV5+AZ5</f>
        <v>141065.83072100312</v>
      </c>
      <c r="BC5" s="197">
        <f>+AS5+AW5+BA5</f>
        <v>75073.901265399996</v>
      </c>
      <c r="BD5" s="2805">
        <f>+AN5+BB5</f>
        <v>282131.66144200624</v>
      </c>
      <c r="BE5" s="1957">
        <f>+AO5+BC5</f>
        <v>153239.47687509999</v>
      </c>
      <c r="BF5" s="2803">
        <f>+AX5+AZ5</f>
        <v>470219.11494252877</v>
      </c>
      <c r="BG5" s="220">
        <f>+AY5+BA5</f>
        <v>228182.42467119999</v>
      </c>
    </row>
    <row r="6" spans="2:68" x14ac:dyDescent="0.25">
      <c r="B6" s="3342" t="s">
        <v>1121</v>
      </c>
      <c r="C6" s="3338" t="s">
        <v>1315</v>
      </c>
      <c r="D6" s="2806">
        <v>42.24</v>
      </c>
      <c r="E6" s="1504" t="s">
        <v>53</v>
      </c>
      <c r="F6" s="2701"/>
      <c r="G6" s="475">
        <v>3419.1694468924002</v>
      </c>
      <c r="H6" s="2701"/>
      <c r="I6" s="475">
        <v>157.94640427639999</v>
      </c>
      <c r="J6" s="2700"/>
      <c r="K6" s="2339">
        <f>+G6+I6</f>
        <v>3577.1158511688</v>
      </c>
      <c r="L6" s="2701"/>
      <c r="M6" s="238"/>
      <c r="N6" s="2807"/>
      <c r="O6" s="2338">
        <f>+K6+M6</f>
        <v>3577.1158511688</v>
      </c>
      <c r="P6" s="2701"/>
      <c r="Q6" s="238">
        <v>0</v>
      </c>
      <c r="R6" s="2700"/>
      <c r="S6" s="2339">
        <f>+O6+Q6</f>
        <v>3577.1158511688</v>
      </c>
      <c r="T6" s="2701"/>
      <c r="U6" s="238">
        <v>923.15575889999991</v>
      </c>
      <c r="V6" s="2700"/>
      <c r="W6" s="2339">
        <f>+S6+U6</f>
        <v>4500.2716100687994</v>
      </c>
      <c r="X6" s="2701"/>
      <c r="Y6" s="238"/>
      <c r="Z6" s="2807"/>
      <c r="AA6" s="2338">
        <f>+Q6+U6+Y6</f>
        <v>923.15575889999991</v>
      </c>
      <c r="AB6" s="2808"/>
      <c r="AC6" s="1958">
        <f>+AA6+O6</f>
        <v>4500.2716100687994</v>
      </c>
      <c r="AD6" s="2701"/>
      <c r="AE6" s="238">
        <v>4488.8430109500005</v>
      </c>
      <c r="AF6" s="2700"/>
      <c r="AG6" s="3163">
        <f t="shared" ref="AG6:AG41" si="0">+AC6+AE6</f>
        <v>8989.1146210187999</v>
      </c>
      <c r="AH6" s="2701"/>
      <c r="AI6" s="238">
        <v>164.81322</v>
      </c>
      <c r="AJ6" s="2700"/>
      <c r="AK6" s="3321">
        <f t="shared" ref="AK6:AK41" si="1">+AG6+AI6</f>
        <v>9153.9278410187999</v>
      </c>
      <c r="AL6" s="2701"/>
      <c r="AM6" s="3640">
        <v>3289.1176410000003</v>
      </c>
      <c r="AN6" s="2807"/>
      <c r="AO6" s="3600">
        <f>+AE6+AI6+AM6</f>
        <v>7942.7738719500012</v>
      </c>
      <c r="AP6" s="2700"/>
      <c r="AQ6" s="3597">
        <f t="shared" ref="AQ6:AQ41" si="2">+AK6+AM6</f>
        <v>12443.045482018801</v>
      </c>
      <c r="AR6" s="2701"/>
      <c r="AS6" s="3872"/>
      <c r="AT6" s="2700"/>
      <c r="AU6" s="3874">
        <f t="shared" ref="AU6:AU41" si="3">+AQ6+AS6</f>
        <v>12443.045482018801</v>
      </c>
      <c r="AV6" s="2701"/>
      <c r="AW6" s="4060">
        <v>3154.4036434</v>
      </c>
      <c r="AX6" s="2700"/>
      <c r="AY6" s="4062">
        <f t="shared" ref="AY6:AY41" si="4">+AU6+AW6</f>
        <v>15597.4491254188</v>
      </c>
      <c r="AZ6" s="2701"/>
      <c r="BA6" s="4378">
        <v>4942.3070000000007</v>
      </c>
      <c r="BB6" s="2807"/>
      <c r="BC6" s="4380">
        <f>+AS6+AW6+BA6</f>
        <v>8096.7106434000007</v>
      </c>
      <c r="BD6" s="2808"/>
      <c r="BE6" s="1958">
        <f>+AO6+BC6</f>
        <v>16039.484515350003</v>
      </c>
      <c r="BF6" s="2700"/>
      <c r="BG6" s="4381">
        <f t="shared" ref="BG6:BG41" si="5">+AY6+BA6</f>
        <v>20539.7561254188</v>
      </c>
    </row>
    <row r="7" spans="2:68" s="1492" customFormat="1" x14ac:dyDescent="0.25">
      <c r="B7" s="3342" t="s">
        <v>1121</v>
      </c>
      <c r="C7" s="3338" t="s">
        <v>1451</v>
      </c>
      <c r="D7" s="2806">
        <v>42.24</v>
      </c>
      <c r="E7" s="1504" t="s">
        <v>53</v>
      </c>
      <c r="F7" s="2701"/>
      <c r="G7" s="475"/>
      <c r="H7" s="2701"/>
      <c r="I7" s="475">
        <v>734.49389549429998</v>
      </c>
      <c r="J7" s="2700"/>
      <c r="K7" s="2339">
        <f>+G7+I7</f>
        <v>734.49389549429998</v>
      </c>
      <c r="L7" s="2701"/>
      <c r="M7" s="238">
        <v>1967.7959992599999</v>
      </c>
      <c r="N7" s="2807"/>
      <c r="O7" s="2338">
        <f>+K7+M7</f>
        <v>2702.2898947542999</v>
      </c>
      <c r="P7" s="2701"/>
      <c r="Q7" s="238">
        <v>3197.55309016</v>
      </c>
      <c r="R7" s="2700"/>
      <c r="S7" s="2339">
        <f>+O7+Q7</f>
        <v>5899.8429849142994</v>
      </c>
      <c r="T7" s="2701"/>
      <c r="U7" s="238">
        <v>2166.0576498</v>
      </c>
      <c r="V7" s="2700"/>
      <c r="W7" s="2339">
        <f>+S7+U7</f>
        <v>8065.9006347142995</v>
      </c>
      <c r="X7" s="2701"/>
      <c r="Y7" s="238"/>
      <c r="Z7" s="2807"/>
      <c r="AA7" s="2338">
        <f>+Q7+U7+Y7</f>
        <v>5363.6107399600005</v>
      </c>
      <c r="AB7" s="2808"/>
      <c r="AC7" s="1958">
        <f>+AA7+O7</f>
        <v>8065.9006347143004</v>
      </c>
      <c r="AD7" s="2701"/>
      <c r="AE7" s="238">
        <v>1851.8406326999998</v>
      </c>
      <c r="AF7" s="2700"/>
      <c r="AG7" s="3163">
        <f t="shared" si="0"/>
        <v>9917.7412674142997</v>
      </c>
      <c r="AH7" s="2701"/>
      <c r="AI7" s="238">
        <v>0</v>
      </c>
      <c r="AJ7" s="2700"/>
      <c r="AK7" s="3321">
        <f t="shared" si="1"/>
        <v>9917.7412674142997</v>
      </c>
      <c r="AL7" s="2701"/>
      <c r="AM7" s="3640">
        <v>0</v>
      </c>
      <c r="AN7" s="2807"/>
      <c r="AO7" s="3600">
        <f t="shared" ref="AO7:AO41" si="6">+AE7+AI7+AM7</f>
        <v>1851.8406326999998</v>
      </c>
      <c r="AP7" s="2700"/>
      <c r="AQ7" s="3597">
        <f t="shared" si="2"/>
        <v>9917.7412674142997</v>
      </c>
      <c r="AR7" s="2701"/>
      <c r="AS7" s="3872"/>
      <c r="AT7" s="2700"/>
      <c r="AU7" s="3874">
        <f t="shared" si="3"/>
        <v>9917.7412674142997</v>
      </c>
      <c r="AV7" s="2701"/>
      <c r="AW7" s="4060">
        <v>204.96002999999999</v>
      </c>
      <c r="AX7" s="2700"/>
      <c r="AY7" s="4062">
        <f t="shared" si="4"/>
        <v>10122.7012974143</v>
      </c>
      <c r="AZ7" s="2701"/>
      <c r="BA7" s="4378">
        <v>588.04000000000008</v>
      </c>
      <c r="BB7" s="2807"/>
      <c r="BC7" s="4558">
        <f t="shared" ref="BC7:BC41" si="7">+AS7+AW7+BA7</f>
        <v>793.00003000000004</v>
      </c>
      <c r="BD7" s="2808"/>
      <c r="BE7" s="1958">
        <f t="shared" ref="BE7:BE41" si="8">+AO7+BC7</f>
        <v>2644.8406626999999</v>
      </c>
      <c r="BF7" s="2700"/>
      <c r="BG7" s="4557">
        <f t="shared" si="5"/>
        <v>10710.741297414301</v>
      </c>
      <c r="BH7" s="4658"/>
      <c r="BI7" s="4658"/>
      <c r="BJ7" s="4658"/>
      <c r="BK7" s="4658"/>
      <c r="BL7" s="4658"/>
      <c r="BM7" s="4658"/>
      <c r="BN7" s="4658"/>
      <c r="BO7" s="4658"/>
      <c r="BP7" s="4658"/>
    </row>
    <row r="8" spans="2:68" s="1726" customFormat="1" x14ac:dyDescent="0.25">
      <c r="B8" s="3342" t="s">
        <v>1211</v>
      </c>
      <c r="C8" s="3338" t="s">
        <v>1315</v>
      </c>
      <c r="D8" s="2806">
        <v>49.32</v>
      </c>
      <c r="E8" s="1504" t="s">
        <v>53</v>
      </c>
      <c r="F8" s="2701"/>
      <c r="G8" s="3189"/>
      <c r="H8" s="2701"/>
      <c r="I8" s="3189"/>
      <c r="J8" s="2700"/>
      <c r="K8" s="3187"/>
      <c r="L8" s="2701"/>
      <c r="M8" s="238"/>
      <c r="N8" s="2807"/>
      <c r="O8" s="3188"/>
      <c r="P8" s="2701"/>
      <c r="Q8" s="238"/>
      <c r="R8" s="2700"/>
      <c r="S8" s="3187"/>
      <c r="T8" s="2701"/>
      <c r="U8" s="238"/>
      <c r="V8" s="2700"/>
      <c r="W8" s="3187"/>
      <c r="X8" s="2701"/>
      <c r="Y8" s="238"/>
      <c r="Z8" s="2807"/>
      <c r="AA8" s="3188"/>
      <c r="AB8" s="2808"/>
      <c r="AC8" s="1958"/>
      <c r="AD8" s="2701"/>
      <c r="AE8" s="238">
        <v>988.84777306499984</v>
      </c>
      <c r="AF8" s="2700"/>
      <c r="AG8" s="3187">
        <f t="shared" si="0"/>
        <v>988.84777306499984</v>
      </c>
      <c r="AH8" s="2701"/>
      <c r="AI8" s="238">
        <v>0</v>
      </c>
      <c r="AJ8" s="2700"/>
      <c r="AK8" s="3321">
        <f t="shared" si="1"/>
        <v>988.84777306499984</v>
      </c>
      <c r="AL8" s="2701"/>
      <c r="AM8" s="3640">
        <v>543.33566400000007</v>
      </c>
      <c r="AN8" s="2807"/>
      <c r="AO8" s="3600">
        <f t="shared" si="6"/>
        <v>1532.1834370649999</v>
      </c>
      <c r="AP8" s="2700"/>
      <c r="AQ8" s="3597">
        <f t="shared" si="2"/>
        <v>1532.1834370649999</v>
      </c>
      <c r="AR8" s="2701"/>
      <c r="AS8" s="3872"/>
      <c r="AT8" s="2700"/>
      <c r="AU8" s="3874">
        <f t="shared" si="3"/>
        <v>1532.1834370649999</v>
      </c>
      <c r="AV8" s="2701"/>
      <c r="AW8" s="4060"/>
      <c r="AX8" s="2700"/>
      <c r="AY8" s="4062">
        <f t="shared" si="4"/>
        <v>1532.1834370649999</v>
      </c>
      <c r="AZ8" s="2701"/>
      <c r="BA8" s="4378">
        <v>1945.0900000000004</v>
      </c>
      <c r="BB8" s="2807"/>
      <c r="BC8" s="4558">
        <f t="shared" si="7"/>
        <v>1945.0900000000004</v>
      </c>
      <c r="BD8" s="2808"/>
      <c r="BE8" s="1958">
        <f t="shared" si="8"/>
        <v>3477.2734370650005</v>
      </c>
      <c r="BF8" s="2700"/>
      <c r="BG8" s="4557">
        <f t="shared" si="5"/>
        <v>3477.2734370650005</v>
      </c>
      <c r="BH8" s="4658"/>
      <c r="BI8" s="4658"/>
      <c r="BJ8" s="4658"/>
      <c r="BK8" s="4658"/>
      <c r="BL8" s="4658"/>
      <c r="BM8" s="4658"/>
      <c r="BN8" s="4658"/>
      <c r="BO8" s="4658"/>
      <c r="BP8" s="4658"/>
    </row>
    <row r="9" spans="2:68" s="1559" customFormat="1" x14ac:dyDescent="0.25">
      <c r="B9" s="3342" t="s">
        <v>1211</v>
      </c>
      <c r="C9" s="3338" t="s">
        <v>1451</v>
      </c>
      <c r="D9" s="2806">
        <v>49.32</v>
      </c>
      <c r="E9" s="1504" t="s">
        <v>53</v>
      </c>
      <c r="F9" s="2701"/>
      <c r="G9" s="475"/>
      <c r="H9" s="2701"/>
      <c r="I9" s="369"/>
      <c r="J9" s="2700"/>
      <c r="K9" s="2339">
        <f>+G9+I9</f>
        <v>0</v>
      </c>
      <c r="L9" s="2701"/>
      <c r="M9" s="238">
        <v>738.86911102300007</v>
      </c>
      <c r="N9" s="2807"/>
      <c r="O9" s="2338">
        <f>+K9+M9</f>
        <v>738.86911102300007</v>
      </c>
      <c r="P9" s="2701"/>
      <c r="Q9" s="238">
        <v>0</v>
      </c>
      <c r="R9" s="2700"/>
      <c r="S9" s="2339">
        <f>+O9+Q9</f>
        <v>738.86911102300007</v>
      </c>
      <c r="T9" s="2701"/>
      <c r="U9" s="238">
        <v>0</v>
      </c>
      <c r="V9" s="2700"/>
      <c r="W9" s="2339">
        <f>+S9+U9</f>
        <v>738.86911102300007</v>
      </c>
      <c r="X9" s="2701"/>
      <c r="Y9" s="238"/>
      <c r="Z9" s="2807"/>
      <c r="AA9" s="2338">
        <f>+Q9+U9+Y9</f>
        <v>0</v>
      </c>
      <c r="AB9" s="2808"/>
      <c r="AC9" s="1958">
        <f>+AA9+O9</f>
        <v>738.86911102300007</v>
      </c>
      <c r="AD9" s="2701"/>
      <c r="AE9" s="238">
        <v>0</v>
      </c>
      <c r="AF9" s="2700"/>
      <c r="AG9" s="3163">
        <f t="shared" si="0"/>
        <v>738.86911102300007</v>
      </c>
      <c r="AH9" s="2701"/>
      <c r="AI9" s="238">
        <v>0</v>
      </c>
      <c r="AJ9" s="2700"/>
      <c r="AK9" s="3321">
        <f t="shared" si="1"/>
        <v>738.86911102300007</v>
      </c>
      <c r="AL9" s="2701"/>
      <c r="AM9" s="3640">
        <v>0</v>
      </c>
      <c r="AN9" s="2807"/>
      <c r="AO9" s="3600">
        <f t="shared" si="6"/>
        <v>0</v>
      </c>
      <c r="AP9" s="2700"/>
      <c r="AQ9" s="3597">
        <f t="shared" si="2"/>
        <v>738.86911102300007</v>
      </c>
      <c r="AR9" s="2701"/>
      <c r="AS9" s="3872"/>
      <c r="AT9" s="2700"/>
      <c r="AU9" s="3874">
        <f t="shared" si="3"/>
        <v>738.86911102300007</v>
      </c>
      <c r="AV9" s="2701"/>
      <c r="AW9" s="4060"/>
      <c r="AX9" s="2700"/>
      <c r="AY9" s="4062">
        <f t="shared" si="4"/>
        <v>738.86911102300007</v>
      </c>
      <c r="AZ9" s="2701"/>
      <c r="BA9" s="4378"/>
      <c r="BB9" s="2807"/>
      <c r="BC9" s="4558">
        <f t="shared" si="7"/>
        <v>0</v>
      </c>
      <c r="BD9" s="2808"/>
      <c r="BE9" s="1958">
        <f t="shared" si="8"/>
        <v>0</v>
      </c>
      <c r="BF9" s="2700"/>
      <c r="BG9" s="4557">
        <f t="shared" si="5"/>
        <v>738.86911102300007</v>
      </c>
      <c r="BH9" s="4658"/>
      <c r="BI9" s="4658"/>
      <c r="BJ9" s="4658"/>
      <c r="BK9" s="4658"/>
      <c r="BL9" s="4658"/>
      <c r="BM9" s="4658"/>
      <c r="BN9" s="4658"/>
      <c r="BO9" s="4658"/>
      <c r="BP9" s="4658"/>
    </row>
    <row r="10" spans="2:68" s="1726" customFormat="1" x14ac:dyDescent="0.25">
      <c r="B10" s="3342" t="s">
        <v>1652</v>
      </c>
      <c r="C10" s="3338" t="s">
        <v>1315</v>
      </c>
      <c r="D10" s="2806">
        <v>49.32</v>
      </c>
      <c r="E10" s="1504" t="s">
        <v>53</v>
      </c>
      <c r="F10" s="2701"/>
      <c r="G10" s="3189"/>
      <c r="H10" s="2701"/>
      <c r="I10" s="3192"/>
      <c r="J10" s="2700"/>
      <c r="K10" s="3187"/>
      <c r="L10" s="2701"/>
      <c r="M10" s="238"/>
      <c r="N10" s="2807"/>
      <c r="O10" s="3188"/>
      <c r="P10" s="2701"/>
      <c r="Q10" s="238"/>
      <c r="R10" s="2700"/>
      <c r="S10" s="3187"/>
      <c r="T10" s="2701"/>
      <c r="U10" s="238"/>
      <c r="V10" s="2700"/>
      <c r="W10" s="3187"/>
      <c r="X10" s="2701"/>
      <c r="Y10" s="238"/>
      <c r="Z10" s="2807"/>
      <c r="AA10" s="3188"/>
      <c r="AB10" s="2808"/>
      <c r="AC10" s="1958"/>
      <c r="AD10" s="2701"/>
      <c r="AE10" s="238">
        <v>655.34074649999991</v>
      </c>
      <c r="AF10" s="2700"/>
      <c r="AG10" s="3187">
        <f t="shared" si="0"/>
        <v>655.34074649999991</v>
      </c>
      <c r="AH10" s="2701"/>
      <c r="AI10" s="238">
        <v>0</v>
      </c>
      <c r="AJ10" s="2700"/>
      <c r="AK10" s="3321">
        <f t="shared" si="1"/>
        <v>655.34074649999991</v>
      </c>
      <c r="AL10" s="2701"/>
      <c r="AM10" s="3640">
        <v>0</v>
      </c>
      <c r="AN10" s="2807"/>
      <c r="AO10" s="3600">
        <f t="shared" si="6"/>
        <v>655.34074649999991</v>
      </c>
      <c r="AP10" s="2700"/>
      <c r="AQ10" s="3597">
        <f t="shared" si="2"/>
        <v>655.34074649999991</v>
      </c>
      <c r="AR10" s="2701"/>
      <c r="AS10" s="3872"/>
      <c r="AT10" s="2700"/>
      <c r="AU10" s="3874">
        <f t="shared" si="3"/>
        <v>655.34074649999991</v>
      </c>
      <c r="AV10" s="2701"/>
      <c r="AW10" s="4060"/>
      <c r="AX10" s="2700"/>
      <c r="AY10" s="4062">
        <f t="shared" si="4"/>
        <v>655.34074649999991</v>
      </c>
      <c r="AZ10" s="2701"/>
      <c r="BA10" s="4378"/>
      <c r="BB10" s="2807"/>
      <c r="BC10" s="4558">
        <f t="shared" si="7"/>
        <v>0</v>
      </c>
      <c r="BD10" s="2808"/>
      <c r="BE10" s="1958">
        <f t="shared" si="8"/>
        <v>655.34074649999991</v>
      </c>
      <c r="BF10" s="2700"/>
      <c r="BG10" s="4557">
        <f t="shared" si="5"/>
        <v>655.34074649999991</v>
      </c>
      <c r="BH10" s="4658"/>
      <c r="BI10" s="4658"/>
      <c r="BJ10" s="4658"/>
      <c r="BK10" s="4658"/>
      <c r="BL10" s="4658"/>
      <c r="BM10" s="4658"/>
      <c r="BN10" s="4658"/>
      <c r="BO10" s="4658"/>
      <c r="BP10" s="4658"/>
    </row>
    <row r="11" spans="2:68" s="1559" customFormat="1" x14ac:dyDescent="0.25">
      <c r="B11" s="3342" t="s">
        <v>1122</v>
      </c>
      <c r="C11" s="3338" t="s">
        <v>1451</v>
      </c>
      <c r="D11" s="2806">
        <v>66.3</v>
      </c>
      <c r="E11" s="1504" t="s">
        <v>53</v>
      </c>
      <c r="F11" s="2701"/>
      <c r="G11" s="475"/>
      <c r="H11" s="2701"/>
      <c r="I11" s="369"/>
      <c r="J11" s="2700"/>
      <c r="K11" s="2339">
        <f>+G11+I11</f>
        <v>0</v>
      </c>
      <c r="L11" s="2701"/>
      <c r="M11" s="238">
        <v>3487.2128260913501</v>
      </c>
      <c r="N11" s="2807"/>
      <c r="O11" s="2338">
        <f>+K11+M11</f>
        <v>3487.2128260913501</v>
      </c>
      <c r="P11" s="2701"/>
      <c r="Q11" s="238">
        <v>2923.8330185611999</v>
      </c>
      <c r="R11" s="2700"/>
      <c r="S11" s="2339">
        <f>+O11+Q11</f>
        <v>6411.0458446525499</v>
      </c>
      <c r="T11" s="2701"/>
      <c r="U11" s="238">
        <v>1429.126767</v>
      </c>
      <c r="V11" s="2700"/>
      <c r="W11" s="2339">
        <f>+S11+U11</f>
        <v>7840.1726116525497</v>
      </c>
      <c r="X11" s="2701"/>
      <c r="Y11" s="238"/>
      <c r="Z11" s="2807"/>
      <c r="AA11" s="2338">
        <f t="shared" ref="AA11:AA41" si="9">+Q11+U11+Y11</f>
        <v>4352.9597855612001</v>
      </c>
      <c r="AB11" s="2808"/>
      <c r="AC11" s="1958">
        <f t="shared" ref="AC11:AC41" si="10">+AA11+O11</f>
        <v>7840.1726116525497</v>
      </c>
      <c r="AD11" s="2701"/>
      <c r="AE11" s="238">
        <v>0</v>
      </c>
      <c r="AF11" s="2700"/>
      <c r="AG11" s="3163">
        <f t="shared" si="0"/>
        <v>7840.1726116525497</v>
      </c>
      <c r="AH11" s="2701"/>
      <c r="AI11" s="238">
        <v>851.00300000000004</v>
      </c>
      <c r="AJ11" s="2700"/>
      <c r="AK11" s="3321">
        <f t="shared" si="1"/>
        <v>8691.1756116525503</v>
      </c>
      <c r="AL11" s="2701"/>
      <c r="AM11" s="3640">
        <v>0</v>
      </c>
      <c r="AN11" s="2807"/>
      <c r="AO11" s="3600">
        <f t="shared" si="6"/>
        <v>851.00300000000004</v>
      </c>
      <c r="AP11" s="2700"/>
      <c r="AQ11" s="3597">
        <f t="shared" si="2"/>
        <v>8691.1756116525503</v>
      </c>
      <c r="AR11" s="2701"/>
      <c r="AS11" s="3872"/>
      <c r="AT11" s="2700"/>
      <c r="AU11" s="3874">
        <f t="shared" si="3"/>
        <v>8691.1756116525503</v>
      </c>
      <c r="AV11" s="2701"/>
      <c r="AW11" s="4060">
        <v>934.83800000000019</v>
      </c>
      <c r="AX11" s="2700"/>
      <c r="AY11" s="4062">
        <f t="shared" si="4"/>
        <v>9626.01361165255</v>
      </c>
      <c r="AZ11" s="2701"/>
      <c r="BA11" s="4378">
        <v>1661.9700000000003</v>
      </c>
      <c r="BB11" s="2807"/>
      <c r="BC11" s="4558">
        <f t="shared" si="7"/>
        <v>2596.8080000000004</v>
      </c>
      <c r="BD11" s="2808"/>
      <c r="BE11" s="1958">
        <f t="shared" si="8"/>
        <v>3447.8110000000006</v>
      </c>
      <c r="BF11" s="2700"/>
      <c r="BG11" s="4557">
        <f t="shared" si="5"/>
        <v>11287.983611652551</v>
      </c>
      <c r="BH11" s="4658"/>
      <c r="BI11" s="4658"/>
      <c r="BJ11" s="4658"/>
      <c r="BK11" s="4658"/>
      <c r="BL11" s="4658"/>
      <c r="BM11" s="4658"/>
      <c r="BN11" s="4658"/>
      <c r="BO11" s="4658"/>
      <c r="BP11" s="4658"/>
    </row>
    <row r="12" spans="2:68" x14ac:dyDescent="0.25">
      <c r="B12" s="3342" t="s">
        <v>1122</v>
      </c>
      <c r="C12" s="3338" t="s">
        <v>1315</v>
      </c>
      <c r="D12" s="2806">
        <v>66.3</v>
      </c>
      <c r="E12" s="1504" t="s">
        <v>53</v>
      </c>
      <c r="F12" s="2701"/>
      <c r="G12" s="475"/>
      <c r="H12" s="2701"/>
      <c r="I12" s="4671">
        <v>499.05335738859998</v>
      </c>
      <c r="J12" s="2700"/>
      <c r="K12" s="2339">
        <f>+G12+I12</f>
        <v>499.05335738859998</v>
      </c>
      <c r="L12" s="2701"/>
      <c r="M12" s="238">
        <v>1031.67493687004</v>
      </c>
      <c r="N12" s="2807"/>
      <c r="O12" s="2338">
        <f>+K12+M12</f>
        <v>1530.7282942586401</v>
      </c>
      <c r="P12" s="2701"/>
      <c r="Q12" s="238">
        <v>0</v>
      </c>
      <c r="R12" s="2700"/>
      <c r="S12" s="2339">
        <f>+O12+Q12</f>
        <v>1530.7282942586401</v>
      </c>
      <c r="T12" s="2701"/>
      <c r="U12" s="238">
        <v>2328.0795000000003</v>
      </c>
      <c r="V12" s="2700"/>
      <c r="W12" s="2339">
        <f>+S12+U12</f>
        <v>3858.8077942586406</v>
      </c>
      <c r="X12" s="2701"/>
      <c r="Y12" s="238"/>
      <c r="Z12" s="2807"/>
      <c r="AA12" s="2338">
        <f t="shared" si="9"/>
        <v>2328.0795000000003</v>
      </c>
      <c r="AB12" s="2808"/>
      <c r="AC12" s="1958">
        <f t="shared" si="10"/>
        <v>3858.8077942586406</v>
      </c>
      <c r="AD12" s="2701"/>
      <c r="AE12" s="238">
        <v>0</v>
      </c>
      <c r="AF12" s="2700"/>
      <c r="AG12" s="3163">
        <f t="shared" si="0"/>
        <v>3858.8077942586406</v>
      </c>
      <c r="AH12" s="2701"/>
      <c r="AI12" s="238">
        <v>4795.8559999999998</v>
      </c>
      <c r="AJ12" s="2700"/>
      <c r="AK12" s="3321">
        <f t="shared" si="1"/>
        <v>8654.6637942586403</v>
      </c>
      <c r="AL12" s="2701"/>
      <c r="AM12" s="3640">
        <v>3719.4666410000004</v>
      </c>
      <c r="AN12" s="2807"/>
      <c r="AO12" s="3600">
        <f t="shared" si="6"/>
        <v>8515.3226410000007</v>
      </c>
      <c r="AP12" s="2700"/>
      <c r="AQ12" s="3597">
        <f t="shared" si="2"/>
        <v>12374.130435258641</v>
      </c>
      <c r="AR12" s="2701"/>
      <c r="AS12" s="3872">
        <v>3303.52675</v>
      </c>
      <c r="AT12" s="2700"/>
      <c r="AU12" s="3874">
        <f t="shared" si="3"/>
        <v>15677.657185258642</v>
      </c>
      <c r="AV12" s="2701"/>
      <c r="AW12" s="4060">
        <v>3681.7017469999996</v>
      </c>
      <c r="AX12" s="2700"/>
      <c r="AY12" s="4062">
        <f t="shared" si="4"/>
        <v>19359.358932258641</v>
      </c>
      <c r="AZ12" s="2701"/>
      <c r="BA12" s="4378">
        <v>3775.6559999999999</v>
      </c>
      <c r="BB12" s="2807"/>
      <c r="BC12" s="4558">
        <f t="shared" si="7"/>
        <v>10760.884496999999</v>
      </c>
      <c r="BD12" s="2808"/>
      <c r="BE12" s="1958">
        <f t="shared" si="8"/>
        <v>19276.207137999998</v>
      </c>
      <c r="BF12" s="2700"/>
      <c r="BG12" s="4557">
        <f t="shared" si="5"/>
        <v>23135.01493225864</v>
      </c>
    </row>
    <row r="13" spans="2:68" s="1726" customFormat="1" x14ac:dyDescent="0.25">
      <c r="B13" s="3342" t="s">
        <v>1122</v>
      </c>
      <c r="C13" s="3338" t="s">
        <v>1752</v>
      </c>
      <c r="D13" s="2806">
        <v>66.3</v>
      </c>
      <c r="E13" s="3621" t="s">
        <v>53</v>
      </c>
      <c r="F13" s="2701"/>
      <c r="G13" s="3601"/>
      <c r="H13" s="2701"/>
      <c r="I13" s="3624"/>
      <c r="J13" s="2700"/>
      <c r="K13" s="3597"/>
      <c r="L13" s="2701"/>
      <c r="M13" s="3640"/>
      <c r="N13" s="2807"/>
      <c r="O13" s="3600"/>
      <c r="P13" s="2701"/>
      <c r="Q13" s="3640"/>
      <c r="R13" s="2700"/>
      <c r="S13" s="3597"/>
      <c r="T13" s="2701"/>
      <c r="U13" s="3640"/>
      <c r="V13" s="2700"/>
      <c r="W13" s="3597"/>
      <c r="X13" s="2701"/>
      <c r="Y13" s="3640"/>
      <c r="Z13" s="2807"/>
      <c r="AA13" s="3600"/>
      <c r="AB13" s="2808"/>
      <c r="AC13" s="1958"/>
      <c r="AD13" s="2701"/>
      <c r="AE13" s="3640"/>
      <c r="AF13" s="2700"/>
      <c r="AG13" s="3597"/>
      <c r="AH13" s="2701"/>
      <c r="AI13" s="3640"/>
      <c r="AJ13" s="2700"/>
      <c r="AK13" s="3597"/>
      <c r="AL13" s="2701"/>
      <c r="AM13" s="3640">
        <v>4481.773784</v>
      </c>
      <c r="AN13" s="2807"/>
      <c r="AO13" s="3600">
        <f t="shared" ref="AO13" si="11">+AE13+AI13+AM13</f>
        <v>4481.773784</v>
      </c>
      <c r="AP13" s="2700"/>
      <c r="AQ13" s="3597">
        <f t="shared" ref="AQ13" si="12">+AK13+AM13</f>
        <v>4481.773784</v>
      </c>
      <c r="AR13" s="2701"/>
      <c r="AS13" s="3872"/>
      <c r="AT13" s="2700"/>
      <c r="AU13" s="3874">
        <f t="shared" si="3"/>
        <v>4481.773784</v>
      </c>
      <c r="AV13" s="2701"/>
      <c r="AW13" s="4060"/>
      <c r="AX13" s="2700"/>
      <c r="AY13" s="4062">
        <f t="shared" si="4"/>
        <v>4481.773784</v>
      </c>
      <c r="AZ13" s="2701"/>
      <c r="BA13" s="4378"/>
      <c r="BB13" s="2807"/>
      <c r="BC13" s="4558">
        <f t="shared" si="7"/>
        <v>0</v>
      </c>
      <c r="BD13" s="2808"/>
      <c r="BE13" s="1958">
        <f t="shared" si="8"/>
        <v>4481.773784</v>
      </c>
      <c r="BF13" s="2700"/>
      <c r="BG13" s="4557">
        <f t="shared" si="5"/>
        <v>4481.773784</v>
      </c>
      <c r="BH13" s="4658"/>
      <c r="BI13" s="4658"/>
      <c r="BJ13" s="4658"/>
      <c r="BK13" s="4658"/>
      <c r="BL13" s="4658"/>
      <c r="BM13" s="4658"/>
      <c r="BN13" s="4658"/>
      <c r="BO13" s="4658"/>
      <c r="BP13" s="4658"/>
    </row>
    <row r="14" spans="2:68" s="1623" customFormat="1" ht="15" customHeight="1" x14ac:dyDescent="0.25">
      <c r="B14" s="3342" t="s">
        <v>1123</v>
      </c>
      <c r="C14" s="3338" t="s">
        <v>1451</v>
      </c>
      <c r="D14" s="2806">
        <v>57.38</v>
      </c>
      <c r="E14" s="1504" t="s">
        <v>53</v>
      </c>
      <c r="F14" s="238"/>
      <c r="G14" s="475"/>
      <c r="H14" s="238"/>
      <c r="I14" s="369"/>
      <c r="J14" s="2339"/>
      <c r="K14" s="2339"/>
      <c r="L14" s="238"/>
      <c r="M14" s="238"/>
      <c r="N14" s="2338"/>
      <c r="O14" s="2338">
        <f>+K14+M14</f>
        <v>0</v>
      </c>
      <c r="P14" s="238"/>
      <c r="Q14" s="475">
        <v>580.27137399999992</v>
      </c>
      <c r="R14" s="2339"/>
      <c r="S14" s="2339">
        <f>+O14+Q14</f>
        <v>580.27137399999992</v>
      </c>
      <c r="T14" s="238"/>
      <c r="U14" s="475">
        <v>530.52750000000003</v>
      </c>
      <c r="V14" s="2339"/>
      <c r="W14" s="2339">
        <f>+S14+U14</f>
        <v>1110.7988740000001</v>
      </c>
      <c r="X14" s="238"/>
      <c r="Y14" s="475"/>
      <c r="Z14" s="2338"/>
      <c r="AA14" s="2338">
        <f t="shared" si="9"/>
        <v>1110.7988740000001</v>
      </c>
      <c r="AB14" s="1958"/>
      <c r="AC14" s="1958">
        <f t="shared" si="10"/>
        <v>1110.7988740000001</v>
      </c>
      <c r="AD14" s="238"/>
      <c r="AE14" s="238">
        <v>0</v>
      </c>
      <c r="AF14" s="3163"/>
      <c r="AG14" s="3163">
        <f t="shared" si="0"/>
        <v>1110.7988740000001</v>
      </c>
      <c r="AH14" s="238"/>
      <c r="AI14" s="238">
        <v>0</v>
      </c>
      <c r="AJ14" s="3321"/>
      <c r="AK14" s="3321">
        <f t="shared" si="1"/>
        <v>1110.7988740000001</v>
      </c>
      <c r="AL14" s="3640"/>
      <c r="AM14" s="3640">
        <v>0</v>
      </c>
      <c r="AN14" s="3600"/>
      <c r="AO14" s="3600">
        <f t="shared" si="6"/>
        <v>0</v>
      </c>
      <c r="AP14" s="3597"/>
      <c r="AQ14" s="3597">
        <f t="shared" si="2"/>
        <v>1110.7988740000001</v>
      </c>
      <c r="AR14" s="3872"/>
      <c r="AS14" s="3872"/>
      <c r="AT14" s="3874"/>
      <c r="AU14" s="3874">
        <f t="shared" si="3"/>
        <v>1110.7988740000001</v>
      </c>
      <c r="AV14" s="4060"/>
      <c r="AW14" s="4060"/>
      <c r="AX14" s="4062"/>
      <c r="AY14" s="4062">
        <f t="shared" si="4"/>
        <v>1110.7988740000001</v>
      </c>
      <c r="AZ14" s="4378"/>
      <c r="BA14" s="4378">
        <v>524.96699999999998</v>
      </c>
      <c r="BB14" s="4380"/>
      <c r="BC14" s="4558">
        <f t="shared" si="7"/>
        <v>524.96699999999998</v>
      </c>
      <c r="BD14" s="1958"/>
      <c r="BE14" s="1958">
        <f t="shared" si="8"/>
        <v>524.96699999999998</v>
      </c>
      <c r="BF14" s="4381"/>
      <c r="BG14" s="4557">
        <f t="shared" si="5"/>
        <v>1635.7658740000002</v>
      </c>
      <c r="BH14" s="4658"/>
      <c r="BI14" s="4658"/>
      <c r="BJ14" s="4658"/>
      <c r="BK14" s="4658"/>
      <c r="BL14" s="4658"/>
      <c r="BM14" s="4658"/>
      <c r="BN14" s="4658"/>
      <c r="BO14" s="4658"/>
      <c r="BP14" s="4658"/>
    </row>
    <row r="15" spans="2:68" ht="15" customHeight="1" x14ac:dyDescent="0.25">
      <c r="B15" s="3342" t="s">
        <v>1123</v>
      </c>
      <c r="C15" s="3338" t="s">
        <v>1315</v>
      </c>
      <c r="D15" s="2806">
        <v>57.38</v>
      </c>
      <c r="E15" s="1504" t="s">
        <v>53</v>
      </c>
      <c r="F15" s="2701"/>
      <c r="G15" s="475"/>
      <c r="H15" s="2701"/>
      <c r="I15" s="369"/>
      <c r="J15" s="2700"/>
      <c r="K15" s="2339">
        <f>+G15+I15</f>
        <v>0</v>
      </c>
      <c r="L15" s="2701"/>
      <c r="M15" s="238"/>
      <c r="N15" s="2807"/>
      <c r="O15" s="2338">
        <f>+K15+M15</f>
        <v>0</v>
      </c>
      <c r="P15" s="2701"/>
      <c r="Q15" s="475">
        <v>524.06136070859998</v>
      </c>
      <c r="R15" s="2700"/>
      <c r="S15" s="2339">
        <f>+O15+Q15</f>
        <v>524.06136070859998</v>
      </c>
      <c r="T15" s="2701"/>
      <c r="U15" s="475">
        <v>742.73422950000008</v>
      </c>
      <c r="V15" s="2700"/>
      <c r="W15" s="2339">
        <f>+S15+U15</f>
        <v>1266.7955902086001</v>
      </c>
      <c r="X15" s="2701"/>
      <c r="Y15" s="475"/>
      <c r="Z15" s="2807"/>
      <c r="AA15" s="2338">
        <f t="shared" si="9"/>
        <v>1266.7955902086001</v>
      </c>
      <c r="AB15" s="2808"/>
      <c r="AC15" s="1958">
        <f t="shared" si="10"/>
        <v>1266.7955902086001</v>
      </c>
      <c r="AD15" s="2701"/>
      <c r="AE15" s="238">
        <v>0</v>
      </c>
      <c r="AF15" s="2700"/>
      <c r="AG15" s="3163">
        <f t="shared" si="0"/>
        <v>1266.7955902086001</v>
      </c>
      <c r="AH15" s="2701"/>
      <c r="AI15" s="238">
        <v>0</v>
      </c>
      <c r="AJ15" s="2700"/>
      <c r="AK15" s="3321">
        <f t="shared" si="1"/>
        <v>1266.7955902086001</v>
      </c>
      <c r="AL15" s="2701"/>
      <c r="AM15" s="3640">
        <v>2503.5932199999997</v>
      </c>
      <c r="AN15" s="2807"/>
      <c r="AO15" s="3600">
        <f t="shared" si="6"/>
        <v>2503.5932199999997</v>
      </c>
      <c r="AP15" s="2700"/>
      <c r="AQ15" s="3597">
        <f t="shared" si="2"/>
        <v>3770.3888102085998</v>
      </c>
      <c r="AR15" s="2701"/>
      <c r="AS15" s="3872">
        <v>697.92699999999991</v>
      </c>
      <c r="AT15" s="2700"/>
      <c r="AU15" s="3874">
        <f t="shared" si="3"/>
        <v>4468.3158102085999</v>
      </c>
      <c r="AV15" s="2701"/>
      <c r="AW15" s="4060">
        <v>281.73200000000003</v>
      </c>
      <c r="AX15" s="2700"/>
      <c r="AY15" s="4062">
        <f t="shared" si="4"/>
        <v>4750.0478102085999</v>
      </c>
      <c r="AZ15" s="2701"/>
      <c r="BA15" s="4378">
        <v>2209.1</v>
      </c>
      <c r="BB15" s="2807"/>
      <c r="BC15" s="4558">
        <f t="shared" si="7"/>
        <v>3188.759</v>
      </c>
      <c r="BD15" s="2808"/>
      <c r="BE15" s="1958">
        <f t="shared" si="8"/>
        <v>5692.3522199999998</v>
      </c>
      <c r="BF15" s="2700"/>
      <c r="BG15" s="4557">
        <f t="shared" si="5"/>
        <v>6959.1478102086003</v>
      </c>
    </row>
    <row r="16" spans="2:68" s="1623" customFormat="1" ht="15" customHeight="1" x14ac:dyDescent="0.25">
      <c r="B16" s="3342" t="s">
        <v>1226</v>
      </c>
      <c r="C16" s="3338" t="s">
        <v>1451</v>
      </c>
      <c r="D16" s="2806">
        <v>77.569999999999993</v>
      </c>
      <c r="E16" s="1504" t="s">
        <v>53</v>
      </c>
      <c r="F16" s="2701"/>
      <c r="G16" s="475"/>
      <c r="H16" s="2701"/>
      <c r="I16" s="369"/>
      <c r="J16" s="2700"/>
      <c r="K16" s="2339"/>
      <c r="L16" s="2701"/>
      <c r="M16" s="238"/>
      <c r="N16" s="2807"/>
      <c r="O16" s="2338"/>
      <c r="P16" s="2701"/>
      <c r="Q16" s="475">
        <v>4028.3516008168003</v>
      </c>
      <c r="R16" s="2700"/>
      <c r="S16" s="2339">
        <f>+O16+Q16</f>
        <v>4028.3516008168003</v>
      </c>
      <c r="T16" s="2701"/>
      <c r="U16" s="475">
        <v>0</v>
      </c>
      <c r="V16" s="2700"/>
      <c r="W16" s="2339">
        <f>+S16+U16</f>
        <v>4028.3516008168003</v>
      </c>
      <c r="X16" s="2701"/>
      <c r="Y16" s="475">
        <v>242.77342454999996</v>
      </c>
      <c r="Z16" s="2807"/>
      <c r="AA16" s="2338">
        <f t="shared" si="9"/>
        <v>4271.1250253668004</v>
      </c>
      <c r="AB16" s="2808"/>
      <c r="AC16" s="1958">
        <f t="shared" si="10"/>
        <v>4271.1250253668004</v>
      </c>
      <c r="AD16" s="2701"/>
      <c r="AE16" s="238">
        <v>148.54769999999996</v>
      </c>
      <c r="AF16" s="2700"/>
      <c r="AG16" s="3163">
        <f t="shared" si="0"/>
        <v>4419.6727253668005</v>
      </c>
      <c r="AH16" s="2701"/>
      <c r="AI16" s="238">
        <v>0</v>
      </c>
      <c r="AJ16" s="2700"/>
      <c r="AK16" s="3321">
        <f t="shared" si="1"/>
        <v>4419.6727253668005</v>
      </c>
      <c r="AL16" s="2701"/>
      <c r="AM16" s="3640">
        <v>0</v>
      </c>
      <c r="AN16" s="2807"/>
      <c r="AO16" s="3600">
        <f t="shared" si="6"/>
        <v>148.54769999999996</v>
      </c>
      <c r="AP16" s="2700"/>
      <c r="AQ16" s="3597">
        <f t="shared" si="2"/>
        <v>4419.6727253668005</v>
      </c>
      <c r="AR16" s="2701"/>
      <c r="AS16" s="3872"/>
      <c r="AT16" s="2700"/>
      <c r="AU16" s="3874">
        <f t="shared" si="3"/>
        <v>4419.6727253668005</v>
      </c>
      <c r="AV16" s="2701"/>
      <c r="AW16" s="4060"/>
      <c r="AX16" s="2700"/>
      <c r="AY16" s="4062">
        <f t="shared" si="4"/>
        <v>4419.6727253668005</v>
      </c>
      <c r="AZ16" s="2701"/>
      <c r="BA16" s="4378"/>
      <c r="BB16" s="2807"/>
      <c r="BC16" s="4558">
        <f t="shared" si="7"/>
        <v>0</v>
      </c>
      <c r="BD16" s="2808"/>
      <c r="BE16" s="1958">
        <f t="shared" si="8"/>
        <v>148.54769999999996</v>
      </c>
      <c r="BF16" s="2700"/>
      <c r="BG16" s="4557">
        <f t="shared" si="5"/>
        <v>4419.6727253668005</v>
      </c>
      <c r="BH16" s="4658"/>
      <c r="BI16" s="4658"/>
      <c r="BJ16" s="4658"/>
      <c r="BK16" s="4658"/>
      <c r="BL16" s="4658"/>
      <c r="BM16" s="4658"/>
      <c r="BN16" s="4658"/>
      <c r="BO16" s="4658"/>
      <c r="BP16" s="4658"/>
    </row>
    <row r="17" spans="1:68" s="1726" customFormat="1" ht="15" customHeight="1" x14ac:dyDescent="0.25">
      <c r="B17" s="3342" t="s">
        <v>1589</v>
      </c>
      <c r="C17" s="3338" t="s">
        <v>1315</v>
      </c>
      <c r="D17" s="2806">
        <v>67.150000000000006</v>
      </c>
      <c r="E17" s="1504" t="s">
        <v>53</v>
      </c>
      <c r="F17" s="2701"/>
      <c r="G17" s="475"/>
      <c r="H17" s="2701"/>
      <c r="I17" s="369"/>
      <c r="J17" s="2700"/>
      <c r="K17" s="2339"/>
      <c r="L17" s="2701"/>
      <c r="M17" s="238"/>
      <c r="N17" s="2807"/>
      <c r="O17" s="2338"/>
      <c r="P17" s="2701"/>
      <c r="Q17" s="475"/>
      <c r="R17" s="2700"/>
      <c r="S17" s="2339"/>
      <c r="T17" s="2701"/>
      <c r="U17" s="475"/>
      <c r="V17" s="2700"/>
      <c r="W17" s="2339"/>
      <c r="X17" s="2701"/>
      <c r="Y17" s="475">
        <v>567.98088199999995</v>
      </c>
      <c r="Z17" s="2807"/>
      <c r="AA17" s="2338">
        <f t="shared" si="9"/>
        <v>567.98088199999995</v>
      </c>
      <c r="AB17" s="2808"/>
      <c r="AC17" s="1958">
        <f t="shared" si="10"/>
        <v>567.98088199999995</v>
      </c>
      <c r="AD17" s="2701"/>
      <c r="AE17" s="238">
        <v>0</v>
      </c>
      <c r="AF17" s="2700"/>
      <c r="AG17" s="3163">
        <f t="shared" si="0"/>
        <v>567.98088199999995</v>
      </c>
      <c r="AH17" s="2701"/>
      <c r="AI17" s="238">
        <v>0</v>
      </c>
      <c r="AJ17" s="2700"/>
      <c r="AK17" s="3321">
        <f t="shared" si="1"/>
        <v>567.98088199999995</v>
      </c>
      <c r="AL17" s="2701"/>
      <c r="AM17" s="3640">
        <v>0</v>
      </c>
      <c r="AN17" s="2807"/>
      <c r="AO17" s="3600">
        <f t="shared" si="6"/>
        <v>0</v>
      </c>
      <c r="AP17" s="2700"/>
      <c r="AQ17" s="3597">
        <f t="shared" si="2"/>
        <v>567.98088199999995</v>
      </c>
      <c r="AR17" s="2701"/>
      <c r="AS17" s="3872"/>
      <c r="AT17" s="2700"/>
      <c r="AU17" s="3874">
        <f t="shared" si="3"/>
        <v>567.98088199999995</v>
      </c>
      <c r="AV17" s="2701"/>
      <c r="AW17" s="4060"/>
      <c r="AX17" s="2700"/>
      <c r="AY17" s="4062">
        <f t="shared" si="4"/>
        <v>567.98088199999995</v>
      </c>
      <c r="AZ17" s="2701"/>
      <c r="BA17" s="4378"/>
      <c r="BB17" s="2807"/>
      <c r="BC17" s="4558">
        <f t="shared" si="7"/>
        <v>0</v>
      </c>
      <c r="BD17" s="2808"/>
      <c r="BE17" s="1958">
        <f t="shared" si="8"/>
        <v>0</v>
      </c>
      <c r="BF17" s="2700"/>
      <c r="BG17" s="4557">
        <f t="shared" si="5"/>
        <v>567.98088199999995</v>
      </c>
      <c r="BH17" s="4658"/>
      <c r="BI17" s="4658"/>
      <c r="BJ17" s="4658"/>
      <c r="BK17" s="4658"/>
      <c r="BL17" s="4658"/>
      <c r="BM17" s="4658"/>
      <c r="BN17" s="4658"/>
      <c r="BO17" s="4658"/>
      <c r="BP17" s="4658"/>
    </row>
    <row r="18" spans="1:68" s="1726" customFormat="1" ht="15" customHeight="1" x14ac:dyDescent="0.25">
      <c r="B18" s="3342" t="s">
        <v>1589</v>
      </c>
      <c r="C18" s="3338" t="s">
        <v>1451</v>
      </c>
      <c r="D18" s="2806">
        <v>67.150000000000006</v>
      </c>
      <c r="E18" s="3621" t="s">
        <v>53</v>
      </c>
      <c r="F18" s="2701"/>
      <c r="G18" s="3873"/>
      <c r="H18" s="2701"/>
      <c r="I18" s="3898"/>
      <c r="J18" s="2700"/>
      <c r="K18" s="3874"/>
      <c r="L18" s="2701"/>
      <c r="M18" s="3872"/>
      <c r="N18" s="2807"/>
      <c r="O18" s="3875"/>
      <c r="P18" s="2701"/>
      <c r="Q18" s="3873"/>
      <c r="R18" s="2700"/>
      <c r="S18" s="3874"/>
      <c r="T18" s="2701"/>
      <c r="U18" s="3873"/>
      <c r="V18" s="2700"/>
      <c r="W18" s="3874"/>
      <c r="X18" s="2701"/>
      <c r="Y18" s="3873"/>
      <c r="Z18" s="2807"/>
      <c r="AA18" s="3875"/>
      <c r="AB18" s="2808"/>
      <c r="AC18" s="1958"/>
      <c r="AD18" s="2701"/>
      <c r="AE18" s="3872"/>
      <c r="AF18" s="2700"/>
      <c r="AG18" s="3874"/>
      <c r="AH18" s="2701"/>
      <c r="AI18" s="3872"/>
      <c r="AJ18" s="2700"/>
      <c r="AK18" s="3874"/>
      <c r="AL18" s="2701"/>
      <c r="AM18" s="3872"/>
      <c r="AN18" s="2807"/>
      <c r="AO18" s="3875"/>
      <c r="AP18" s="2700"/>
      <c r="AQ18" s="3874"/>
      <c r="AR18" s="2701"/>
      <c r="AS18" s="3872">
        <v>1100.3310000000001</v>
      </c>
      <c r="AT18" s="2700"/>
      <c r="AU18" s="3874">
        <f t="shared" si="3"/>
        <v>1100.3310000000001</v>
      </c>
      <c r="AV18" s="2701"/>
      <c r="AW18" s="4060"/>
      <c r="AX18" s="2700"/>
      <c r="AY18" s="4062">
        <f t="shared" si="4"/>
        <v>1100.3310000000001</v>
      </c>
      <c r="AZ18" s="2701"/>
      <c r="BA18" s="4378"/>
      <c r="BB18" s="2807"/>
      <c r="BC18" s="4558">
        <f t="shared" si="7"/>
        <v>1100.3310000000001</v>
      </c>
      <c r="BD18" s="2808"/>
      <c r="BE18" s="1958">
        <f t="shared" si="8"/>
        <v>1100.3310000000001</v>
      </c>
      <c r="BF18" s="2700"/>
      <c r="BG18" s="4557">
        <f t="shared" si="5"/>
        <v>1100.3310000000001</v>
      </c>
      <c r="BH18" s="4658"/>
      <c r="BI18" s="4658"/>
      <c r="BJ18" s="4658"/>
      <c r="BK18" s="4658"/>
      <c r="BL18" s="4658"/>
      <c r="BM18" s="4658"/>
      <c r="BN18" s="4658"/>
      <c r="BO18" s="4658"/>
      <c r="BP18" s="4658"/>
    </row>
    <row r="19" spans="1:68" s="1726" customFormat="1" ht="15" customHeight="1" x14ac:dyDescent="0.25">
      <c r="B19" s="3342" t="s">
        <v>1226</v>
      </c>
      <c r="C19" s="3338" t="s">
        <v>1315</v>
      </c>
      <c r="D19" s="2806">
        <v>77.569999999999993</v>
      </c>
      <c r="E19" s="1504" t="s">
        <v>53</v>
      </c>
      <c r="F19" s="2701"/>
      <c r="G19" s="475"/>
      <c r="H19" s="2701"/>
      <c r="I19" s="369"/>
      <c r="J19" s="2700"/>
      <c r="K19" s="2339"/>
      <c r="L19" s="2701"/>
      <c r="M19" s="238"/>
      <c r="N19" s="2807"/>
      <c r="O19" s="2338"/>
      <c r="P19" s="2701"/>
      <c r="Q19" s="475"/>
      <c r="R19" s="2700"/>
      <c r="S19" s="2339"/>
      <c r="T19" s="2701"/>
      <c r="U19" s="475"/>
      <c r="V19" s="2700"/>
      <c r="W19" s="2339"/>
      <c r="X19" s="2701"/>
      <c r="Y19" s="475">
        <v>1459.37626245</v>
      </c>
      <c r="Z19" s="2807"/>
      <c r="AA19" s="2338">
        <f t="shared" si="9"/>
        <v>1459.37626245</v>
      </c>
      <c r="AB19" s="2808"/>
      <c r="AC19" s="1958">
        <f t="shared" si="10"/>
        <v>1459.37626245</v>
      </c>
      <c r="AD19" s="2701"/>
      <c r="AE19" s="238">
        <v>4152.5543744999995</v>
      </c>
      <c r="AF19" s="2700"/>
      <c r="AG19" s="3163">
        <f t="shared" si="0"/>
        <v>5611.9306369499991</v>
      </c>
      <c r="AH19" s="2701"/>
      <c r="AI19" s="238">
        <v>0</v>
      </c>
      <c r="AJ19" s="2700"/>
      <c r="AK19" s="3321">
        <f t="shared" si="1"/>
        <v>5611.9306369499991</v>
      </c>
      <c r="AL19" s="2701"/>
      <c r="AM19" s="3640">
        <v>0</v>
      </c>
      <c r="AN19" s="2807"/>
      <c r="AO19" s="3600">
        <f t="shared" si="6"/>
        <v>4152.5543744999995</v>
      </c>
      <c r="AP19" s="2700"/>
      <c r="AQ19" s="3597">
        <f t="shared" si="2"/>
        <v>5611.9306369499991</v>
      </c>
      <c r="AR19" s="2701"/>
      <c r="AS19" s="3872">
        <v>4890.1807652800007</v>
      </c>
      <c r="AT19" s="2700"/>
      <c r="AU19" s="3874">
        <f t="shared" si="3"/>
        <v>10502.111402229999</v>
      </c>
      <c r="AV19" s="2701"/>
      <c r="AW19" s="4060"/>
      <c r="AX19" s="2700"/>
      <c r="AY19" s="4062">
        <f t="shared" si="4"/>
        <v>10502.111402229999</v>
      </c>
      <c r="AZ19" s="2701"/>
      <c r="BA19" s="4378">
        <v>4057.2990000000013</v>
      </c>
      <c r="BB19" s="2807"/>
      <c r="BC19" s="4558">
        <f t="shared" si="7"/>
        <v>8947.4797652800025</v>
      </c>
      <c r="BD19" s="2808"/>
      <c r="BE19" s="1958">
        <f t="shared" si="8"/>
        <v>13100.034139780002</v>
      </c>
      <c r="BF19" s="2700"/>
      <c r="BG19" s="4557">
        <f t="shared" si="5"/>
        <v>14559.41040223</v>
      </c>
      <c r="BH19" s="4658"/>
      <c r="BI19" s="4658"/>
      <c r="BJ19" s="4658"/>
      <c r="BK19" s="4658"/>
      <c r="BL19" s="4658"/>
      <c r="BM19" s="4658"/>
      <c r="BN19" s="4658"/>
      <c r="BO19" s="4658"/>
      <c r="BP19" s="4658"/>
    </row>
    <row r="20" spans="1:68" s="204" customFormat="1" ht="15" customHeight="1" x14ac:dyDescent="0.25">
      <c r="A20" s="334"/>
      <c r="B20" s="3342" t="s">
        <v>1124</v>
      </c>
      <c r="C20" s="3338" t="s">
        <v>1315</v>
      </c>
      <c r="D20" s="2806">
        <v>90.68</v>
      </c>
      <c r="E20" s="1504" t="s">
        <v>53</v>
      </c>
      <c r="F20" s="2701"/>
      <c r="G20" s="475">
        <v>2433.0003714508998</v>
      </c>
      <c r="H20" s="2701"/>
      <c r="I20" s="369"/>
      <c r="J20" s="2700"/>
      <c r="K20" s="2339">
        <f>+G20+I20</f>
        <v>2433.0003714508998</v>
      </c>
      <c r="L20" s="2701"/>
      <c r="M20" s="238"/>
      <c r="N20" s="2807"/>
      <c r="O20" s="2338">
        <f>+K20+M20</f>
        <v>2433.0003714508998</v>
      </c>
      <c r="P20" s="2701"/>
      <c r="Q20" s="475">
        <v>27.645639998499998</v>
      </c>
      <c r="R20" s="2700"/>
      <c r="S20" s="2339">
        <f>+O20+Q20</f>
        <v>2460.6460114493998</v>
      </c>
      <c r="T20" s="2701"/>
      <c r="U20" s="475">
        <v>4073.1740577</v>
      </c>
      <c r="V20" s="2700"/>
      <c r="W20" s="2339">
        <f>+S20+U20</f>
        <v>6533.8200691494003</v>
      </c>
      <c r="X20" s="2701"/>
      <c r="Y20" s="475"/>
      <c r="Z20" s="2807"/>
      <c r="AA20" s="2338">
        <f t="shared" si="9"/>
        <v>4100.8196976985</v>
      </c>
      <c r="AB20" s="2808"/>
      <c r="AC20" s="1958">
        <f t="shared" si="10"/>
        <v>6533.8200691494003</v>
      </c>
      <c r="AD20" s="2701"/>
      <c r="AE20" s="238">
        <v>3948.0194339999998</v>
      </c>
      <c r="AF20" s="2700"/>
      <c r="AG20" s="3163">
        <f t="shared" si="0"/>
        <v>10481.8395031494</v>
      </c>
      <c r="AH20" s="2701"/>
      <c r="AI20" s="238">
        <v>0</v>
      </c>
      <c r="AJ20" s="2700"/>
      <c r="AK20" s="3321">
        <f t="shared" si="1"/>
        <v>10481.8395031494</v>
      </c>
      <c r="AL20" s="2701"/>
      <c r="AM20" s="3640">
        <v>0</v>
      </c>
      <c r="AN20" s="2807"/>
      <c r="AO20" s="3600">
        <f t="shared" si="6"/>
        <v>3948.0194339999998</v>
      </c>
      <c r="AP20" s="2700"/>
      <c r="AQ20" s="3597">
        <f t="shared" si="2"/>
        <v>10481.8395031494</v>
      </c>
      <c r="AR20" s="2701"/>
      <c r="AS20" s="3872"/>
      <c r="AT20" s="2700"/>
      <c r="AU20" s="3874">
        <f t="shared" si="3"/>
        <v>10481.8395031494</v>
      </c>
      <c r="AV20" s="2701"/>
      <c r="AW20" s="4060">
        <v>5310.1625830000003</v>
      </c>
      <c r="AX20" s="2700"/>
      <c r="AY20" s="4062">
        <f t="shared" si="4"/>
        <v>15792.002086149401</v>
      </c>
      <c r="AZ20" s="2701"/>
      <c r="BA20" s="4378"/>
      <c r="BB20" s="2807"/>
      <c r="BC20" s="4558">
        <f t="shared" si="7"/>
        <v>5310.1625830000003</v>
      </c>
      <c r="BD20" s="2808"/>
      <c r="BE20" s="1958">
        <f t="shared" si="8"/>
        <v>9258.1820169999992</v>
      </c>
      <c r="BF20" s="2700"/>
      <c r="BG20" s="4557">
        <f t="shared" si="5"/>
        <v>15792.002086149401</v>
      </c>
      <c r="BH20" s="4658"/>
      <c r="BI20" s="4658"/>
      <c r="BJ20" s="4658"/>
      <c r="BK20" s="4658"/>
      <c r="BL20" s="4658"/>
      <c r="BM20" s="4658"/>
      <c r="BN20" s="4658"/>
      <c r="BO20" s="4658"/>
      <c r="BP20" s="4658"/>
    </row>
    <row r="21" spans="1:68" s="204" customFormat="1" ht="15" customHeight="1" x14ac:dyDescent="0.25">
      <c r="A21" s="334"/>
      <c r="B21" s="3342" t="s">
        <v>1124</v>
      </c>
      <c r="C21" s="3338" t="s">
        <v>1752</v>
      </c>
      <c r="D21" s="2806">
        <v>90.68</v>
      </c>
      <c r="E21" s="3621" t="s">
        <v>53</v>
      </c>
      <c r="F21" s="2701"/>
      <c r="G21" s="3601"/>
      <c r="H21" s="2701"/>
      <c r="I21" s="3624"/>
      <c r="J21" s="2700"/>
      <c r="K21" s="3597"/>
      <c r="L21" s="2701"/>
      <c r="M21" s="3640"/>
      <c r="N21" s="2807"/>
      <c r="O21" s="3600"/>
      <c r="P21" s="2701"/>
      <c r="Q21" s="3601"/>
      <c r="R21" s="2700"/>
      <c r="S21" s="3597"/>
      <c r="T21" s="2701"/>
      <c r="U21" s="3601"/>
      <c r="V21" s="2700"/>
      <c r="W21" s="3597"/>
      <c r="X21" s="2701"/>
      <c r="Y21" s="3601"/>
      <c r="Z21" s="2807"/>
      <c r="AA21" s="3600"/>
      <c r="AB21" s="2808"/>
      <c r="AC21" s="1958"/>
      <c r="AD21" s="2701"/>
      <c r="AE21" s="3640"/>
      <c r="AF21" s="2700"/>
      <c r="AG21" s="3597"/>
      <c r="AH21" s="2701"/>
      <c r="AI21" s="3640"/>
      <c r="AJ21" s="2700"/>
      <c r="AK21" s="3597"/>
      <c r="AL21" s="2701"/>
      <c r="AM21" s="3640">
        <v>5955.9683542000002</v>
      </c>
      <c r="AN21" s="2807"/>
      <c r="AO21" s="3600">
        <f t="shared" si="6"/>
        <v>5955.9683542000002</v>
      </c>
      <c r="AP21" s="2700"/>
      <c r="AQ21" s="3597">
        <f t="shared" si="2"/>
        <v>5955.9683542000002</v>
      </c>
      <c r="AR21" s="2701"/>
      <c r="AS21" s="3872"/>
      <c r="AT21" s="2700"/>
      <c r="AU21" s="3874">
        <f t="shared" si="3"/>
        <v>5955.9683542000002</v>
      </c>
      <c r="AV21" s="2701"/>
      <c r="AW21" s="4060"/>
      <c r="AX21" s="2700"/>
      <c r="AY21" s="4094">
        <f t="shared" si="4"/>
        <v>5955.9683542000002</v>
      </c>
      <c r="AZ21" s="2701"/>
      <c r="BA21" s="4378"/>
      <c r="BB21" s="2807"/>
      <c r="BC21" s="4558">
        <f t="shared" si="7"/>
        <v>0</v>
      </c>
      <c r="BD21" s="2808"/>
      <c r="BE21" s="1958">
        <f t="shared" si="8"/>
        <v>5955.9683542000002</v>
      </c>
      <c r="BF21" s="2700"/>
      <c r="BG21" s="4557">
        <f t="shared" si="5"/>
        <v>5955.9683542000002</v>
      </c>
      <c r="BH21" s="4658"/>
      <c r="BI21" s="4658"/>
      <c r="BJ21" s="4658"/>
      <c r="BK21" s="4658"/>
      <c r="BL21" s="4658"/>
      <c r="BM21" s="4658"/>
      <c r="BN21" s="4658"/>
      <c r="BO21" s="4658"/>
      <c r="BP21" s="4658"/>
    </row>
    <row r="22" spans="1:68" s="204" customFormat="1" ht="15" customHeight="1" x14ac:dyDescent="0.25">
      <c r="A22" s="334"/>
      <c r="B22" s="3342" t="s">
        <v>1124</v>
      </c>
      <c r="C22" s="3338" t="s">
        <v>1841</v>
      </c>
      <c r="D22" s="2806">
        <v>90.68</v>
      </c>
      <c r="E22" s="3621" t="s">
        <v>53</v>
      </c>
      <c r="F22" s="2701"/>
      <c r="G22" s="4092"/>
      <c r="H22" s="2701"/>
      <c r="I22" s="4098"/>
      <c r="J22" s="2700"/>
      <c r="K22" s="4094"/>
      <c r="L22" s="2701"/>
      <c r="M22" s="4091"/>
      <c r="N22" s="2807"/>
      <c r="O22" s="4093"/>
      <c r="P22" s="2701"/>
      <c r="Q22" s="4092"/>
      <c r="R22" s="2700"/>
      <c r="S22" s="4094"/>
      <c r="T22" s="2701"/>
      <c r="U22" s="4092"/>
      <c r="V22" s="2700"/>
      <c r="W22" s="4094"/>
      <c r="X22" s="2701"/>
      <c r="Y22" s="4092"/>
      <c r="Z22" s="2807"/>
      <c r="AA22" s="4093"/>
      <c r="AB22" s="2808"/>
      <c r="AC22" s="1958"/>
      <c r="AD22" s="2701"/>
      <c r="AE22" s="4091"/>
      <c r="AF22" s="2700"/>
      <c r="AG22" s="4094"/>
      <c r="AH22" s="2701"/>
      <c r="AI22" s="4091"/>
      <c r="AJ22" s="2700"/>
      <c r="AK22" s="4094"/>
      <c r="AL22" s="2701"/>
      <c r="AM22" s="4091"/>
      <c r="AN22" s="2807"/>
      <c r="AO22" s="4093"/>
      <c r="AP22" s="2700"/>
      <c r="AQ22" s="4094"/>
      <c r="AR22" s="2701"/>
      <c r="AS22" s="4091"/>
      <c r="AT22" s="2700"/>
      <c r="AU22" s="4094"/>
      <c r="AV22" s="2701"/>
      <c r="AW22" s="4091">
        <v>61.248401999999999</v>
      </c>
      <c r="AX22" s="2700"/>
      <c r="AY22" s="4094">
        <f t="shared" si="4"/>
        <v>61.248401999999999</v>
      </c>
      <c r="AZ22" s="2701"/>
      <c r="BA22" s="4378"/>
      <c r="BB22" s="2807"/>
      <c r="BC22" s="4558">
        <f t="shared" si="7"/>
        <v>61.248401999999999</v>
      </c>
      <c r="BD22" s="2808"/>
      <c r="BE22" s="1958">
        <f t="shared" si="8"/>
        <v>61.248401999999999</v>
      </c>
      <c r="BF22" s="2700"/>
      <c r="BG22" s="4557">
        <f t="shared" si="5"/>
        <v>61.248401999999999</v>
      </c>
      <c r="BH22" s="4658"/>
      <c r="BI22" s="4658"/>
      <c r="BJ22" s="4658"/>
      <c r="BK22" s="4658"/>
      <c r="BL22" s="4658"/>
      <c r="BM22" s="4658"/>
      <c r="BN22" s="4658"/>
      <c r="BO22" s="4658"/>
      <c r="BP22" s="4658"/>
    </row>
    <row r="23" spans="1:68" s="1340" customFormat="1" x14ac:dyDescent="0.25">
      <c r="B23" s="3342" t="s">
        <v>1124</v>
      </c>
      <c r="C23" s="3338" t="s">
        <v>1451</v>
      </c>
      <c r="D23" s="2806">
        <v>90.68</v>
      </c>
      <c r="E23" s="1504" t="s">
        <v>53</v>
      </c>
      <c r="F23" s="2701"/>
      <c r="G23" s="475">
        <v>325.63933982200001</v>
      </c>
      <c r="H23" s="2701"/>
      <c r="I23" s="369"/>
      <c r="J23" s="2700"/>
      <c r="K23" s="2339">
        <f>+G23+I23</f>
        <v>325.63933982200001</v>
      </c>
      <c r="L23" s="2701"/>
      <c r="M23" s="238"/>
      <c r="N23" s="2807"/>
      <c r="O23" s="2338">
        <f>+K23+M23</f>
        <v>325.63933982200001</v>
      </c>
      <c r="P23" s="2701"/>
      <c r="Q23" s="475">
        <v>817.95494395560002</v>
      </c>
      <c r="R23" s="2700"/>
      <c r="S23" s="2339">
        <f>+O23+Q23</f>
        <v>1143.5942837776001</v>
      </c>
      <c r="T23" s="2701"/>
      <c r="U23" s="475">
        <v>3031.8113844000004</v>
      </c>
      <c r="V23" s="2700"/>
      <c r="W23" s="2339">
        <f>+S23+U23</f>
        <v>4175.4056681776001</v>
      </c>
      <c r="X23" s="2701"/>
      <c r="Y23" s="475"/>
      <c r="Z23" s="2807"/>
      <c r="AA23" s="2338">
        <f t="shared" si="9"/>
        <v>3849.7663283556003</v>
      </c>
      <c r="AB23" s="2808"/>
      <c r="AC23" s="1958">
        <f t="shared" si="10"/>
        <v>4175.4056681776001</v>
      </c>
      <c r="AD23" s="2701"/>
      <c r="AE23" s="238">
        <v>1641.4520850000001</v>
      </c>
      <c r="AF23" s="2700"/>
      <c r="AG23" s="3163">
        <f t="shared" si="0"/>
        <v>5816.8577531776</v>
      </c>
      <c r="AH23" s="2701"/>
      <c r="AI23" s="238">
        <v>0</v>
      </c>
      <c r="AJ23" s="2700"/>
      <c r="AK23" s="3321">
        <f t="shared" si="1"/>
        <v>5816.8577531776</v>
      </c>
      <c r="AL23" s="2701"/>
      <c r="AM23" s="3640">
        <v>0</v>
      </c>
      <c r="AN23" s="2807"/>
      <c r="AO23" s="3600">
        <f t="shared" si="6"/>
        <v>1641.4520850000001</v>
      </c>
      <c r="AP23" s="2700"/>
      <c r="AQ23" s="3597">
        <f t="shared" si="2"/>
        <v>5816.8577531776</v>
      </c>
      <c r="AR23" s="2701"/>
      <c r="AS23" s="3872"/>
      <c r="AT23" s="2700"/>
      <c r="AU23" s="3874">
        <f t="shared" si="3"/>
        <v>5816.8577531776</v>
      </c>
      <c r="AV23" s="2701"/>
      <c r="AW23" s="4060">
        <v>584.91404999999997</v>
      </c>
      <c r="AX23" s="2700"/>
      <c r="AY23" s="4094">
        <f t="shared" si="4"/>
        <v>6401.7718031776003</v>
      </c>
      <c r="AZ23" s="2701"/>
      <c r="BA23" s="4378"/>
      <c r="BB23" s="2807"/>
      <c r="BC23" s="4558">
        <f t="shared" si="7"/>
        <v>584.91404999999997</v>
      </c>
      <c r="BD23" s="2808"/>
      <c r="BE23" s="1958">
        <f t="shared" si="8"/>
        <v>2226.3661350000002</v>
      </c>
      <c r="BF23" s="2700"/>
      <c r="BG23" s="4557">
        <f t="shared" si="5"/>
        <v>6401.7718031776003</v>
      </c>
      <c r="BH23" s="4658"/>
      <c r="BI23" s="4658"/>
      <c r="BJ23" s="4658"/>
      <c r="BK23" s="4658"/>
      <c r="BL23" s="4658"/>
      <c r="BM23" s="4658"/>
      <c r="BN23" s="4658"/>
      <c r="BO23" s="4658"/>
      <c r="BP23" s="4658"/>
    </row>
    <row r="24" spans="1:68" ht="15" customHeight="1" x14ac:dyDescent="0.25">
      <c r="B24" s="3342" t="s">
        <v>1125</v>
      </c>
      <c r="C24" s="3338" t="s">
        <v>1315</v>
      </c>
      <c r="D24" s="2806">
        <v>122.45</v>
      </c>
      <c r="E24" s="1504" t="s">
        <v>53</v>
      </c>
      <c r="F24" s="2701"/>
      <c r="G24" s="475"/>
      <c r="H24" s="2701"/>
      <c r="I24" s="369"/>
      <c r="J24" s="2700"/>
      <c r="K24" s="2339">
        <f>+G24+I24</f>
        <v>0</v>
      </c>
      <c r="L24" s="2701"/>
      <c r="M24" s="238"/>
      <c r="N24" s="2807"/>
      <c r="O24" s="2338">
        <f>+K24+M24</f>
        <v>0</v>
      </c>
      <c r="P24" s="2701"/>
      <c r="Q24" s="475">
        <v>1983.8457137319999</v>
      </c>
      <c r="R24" s="2700"/>
      <c r="S24" s="2339">
        <f>+O24+Q24</f>
        <v>1983.8457137319999</v>
      </c>
      <c r="T24" s="2701"/>
      <c r="U24" s="475">
        <v>0</v>
      </c>
      <c r="V24" s="2700"/>
      <c r="W24" s="2339">
        <f>+S24+U24</f>
        <v>1983.8457137319999</v>
      </c>
      <c r="X24" s="2701"/>
      <c r="Y24" s="475">
        <v>3820.0306274999998</v>
      </c>
      <c r="Z24" s="2807"/>
      <c r="AA24" s="2338">
        <f t="shared" si="9"/>
        <v>5803.8763412319995</v>
      </c>
      <c r="AB24" s="2808"/>
      <c r="AC24" s="1958">
        <f t="shared" si="10"/>
        <v>5803.8763412319995</v>
      </c>
      <c r="AD24" s="2701"/>
      <c r="AE24" s="238">
        <v>0</v>
      </c>
      <c r="AF24" s="2700"/>
      <c r="AG24" s="3163">
        <f t="shared" si="0"/>
        <v>5803.8763412319995</v>
      </c>
      <c r="AH24" s="2701"/>
      <c r="AI24" s="238">
        <v>4376.1152675000003</v>
      </c>
      <c r="AJ24" s="2700"/>
      <c r="AK24" s="3321">
        <f t="shared" si="1"/>
        <v>10179.991608732</v>
      </c>
      <c r="AL24" s="2701"/>
      <c r="AM24" s="3640">
        <v>2120.4549735000001</v>
      </c>
      <c r="AN24" s="2807"/>
      <c r="AO24" s="3600">
        <f t="shared" si="6"/>
        <v>6496.5702410000004</v>
      </c>
      <c r="AP24" s="2700"/>
      <c r="AQ24" s="3597">
        <f t="shared" si="2"/>
        <v>12300.446582232</v>
      </c>
      <c r="AR24" s="2701"/>
      <c r="AS24" s="3872">
        <v>3666.0158477499999</v>
      </c>
      <c r="AT24" s="2700"/>
      <c r="AU24" s="3874">
        <f t="shared" si="3"/>
        <v>15966.462429981999</v>
      </c>
      <c r="AV24" s="2701"/>
      <c r="AW24" s="4060">
        <v>4759.8316104999994</v>
      </c>
      <c r="AX24" s="2700"/>
      <c r="AY24" s="4094">
        <f t="shared" si="4"/>
        <v>20726.294040481996</v>
      </c>
      <c r="AZ24" s="2701"/>
      <c r="BA24" s="4378">
        <v>1208.5230000000001</v>
      </c>
      <c r="BB24" s="2807"/>
      <c r="BC24" s="4558">
        <f t="shared" si="7"/>
        <v>9634.3704582499995</v>
      </c>
      <c r="BD24" s="2808"/>
      <c r="BE24" s="1958">
        <f t="shared" si="8"/>
        <v>16130.940699250001</v>
      </c>
      <c r="BF24" s="2700"/>
      <c r="BG24" s="4557">
        <f t="shared" si="5"/>
        <v>21934.817040481998</v>
      </c>
    </row>
    <row r="25" spans="1:68" ht="15" customHeight="1" x14ac:dyDescent="0.25">
      <c r="B25" s="3342" t="s">
        <v>1125</v>
      </c>
      <c r="C25" s="3338" t="s">
        <v>1451</v>
      </c>
      <c r="D25" s="2809">
        <v>122.45</v>
      </c>
      <c r="E25" s="1504" t="s">
        <v>53</v>
      </c>
      <c r="F25" s="2701"/>
      <c r="G25" s="475"/>
      <c r="H25" s="2701"/>
      <c r="I25" s="369"/>
      <c r="J25" s="2700"/>
      <c r="K25" s="2339">
        <f>+G25+I25</f>
        <v>0</v>
      </c>
      <c r="L25" s="2701"/>
      <c r="M25" s="238">
        <v>615.42129379009998</v>
      </c>
      <c r="N25" s="2807"/>
      <c r="O25" s="2338">
        <f>+K25+M25</f>
        <v>615.42129379009998</v>
      </c>
      <c r="P25" s="2701"/>
      <c r="Q25" s="475">
        <v>4797.5820480345501</v>
      </c>
      <c r="R25" s="2700"/>
      <c r="S25" s="2339">
        <f>+O25+Q25</f>
        <v>5413.0033418246503</v>
      </c>
      <c r="T25" s="2701"/>
      <c r="U25" s="475">
        <v>0</v>
      </c>
      <c r="V25" s="2700"/>
      <c r="W25" s="2339">
        <f>+S25+U25</f>
        <v>5413.0033418246503</v>
      </c>
      <c r="X25" s="2701"/>
      <c r="Y25" s="475">
        <v>958.74356249999983</v>
      </c>
      <c r="Z25" s="2807"/>
      <c r="AA25" s="2338">
        <f t="shared" si="9"/>
        <v>5756.3256105345499</v>
      </c>
      <c r="AB25" s="2808"/>
      <c r="AC25" s="1958">
        <f t="shared" si="10"/>
        <v>6371.7469043246501</v>
      </c>
      <c r="AD25" s="2701"/>
      <c r="AE25" s="238">
        <v>0</v>
      </c>
      <c r="AF25" s="2700"/>
      <c r="AG25" s="3163">
        <f t="shared" si="0"/>
        <v>6371.7469043246501</v>
      </c>
      <c r="AH25" s="2701"/>
      <c r="AI25" s="238">
        <v>1096.6248674999999</v>
      </c>
      <c r="AJ25" s="2700"/>
      <c r="AK25" s="3321">
        <f t="shared" si="1"/>
        <v>7468.3717718246498</v>
      </c>
      <c r="AL25" s="2701"/>
      <c r="AM25" s="3640">
        <v>0</v>
      </c>
      <c r="AN25" s="2807"/>
      <c r="AO25" s="3600">
        <f t="shared" si="6"/>
        <v>1096.6248674999999</v>
      </c>
      <c r="AP25" s="2700"/>
      <c r="AQ25" s="3597">
        <f t="shared" si="2"/>
        <v>7468.3717718246498</v>
      </c>
      <c r="AR25" s="2701"/>
      <c r="AS25" s="3872">
        <v>1213.4682349999998</v>
      </c>
      <c r="AT25" s="2700"/>
      <c r="AU25" s="3874">
        <f t="shared" si="3"/>
        <v>8681.8400068246501</v>
      </c>
      <c r="AV25" s="2701"/>
      <c r="AW25" s="4060">
        <v>1445.1524875499997</v>
      </c>
      <c r="AX25" s="2700"/>
      <c r="AY25" s="4094">
        <f t="shared" si="4"/>
        <v>10126.99249437465</v>
      </c>
      <c r="AZ25" s="2701"/>
      <c r="BA25" s="4378"/>
      <c r="BB25" s="2807"/>
      <c r="BC25" s="4558">
        <f t="shared" si="7"/>
        <v>2658.6207225499993</v>
      </c>
      <c r="BD25" s="2808"/>
      <c r="BE25" s="1958">
        <f t="shared" si="8"/>
        <v>3755.245590049999</v>
      </c>
      <c r="BF25" s="2700"/>
      <c r="BG25" s="4557">
        <f t="shared" si="5"/>
        <v>10126.99249437465</v>
      </c>
    </row>
    <row r="26" spans="1:68" s="4468" customFormat="1" ht="15" customHeight="1" x14ac:dyDescent="0.25">
      <c r="B26" s="3342" t="s">
        <v>1125</v>
      </c>
      <c r="C26" s="3338" t="s">
        <v>1315</v>
      </c>
      <c r="D26" s="2809">
        <v>107.56</v>
      </c>
      <c r="E26" s="3621" t="s">
        <v>53</v>
      </c>
      <c r="F26" s="2701"/>
      <c r="G26" s="4461"/>
      <c r="H26" s="2701"/>
      <c r="I26" s="4476"/>
      <c r="J26" s="2700"/>
      <c r="K26" s="4463"/>
      <c r="L26" s="2701"/>
      <c r="M26" s="4460"/>
      <c r="N26" s="2807"/>
      <c r="O26" s="4462"/>
      <c r="P26" s="2701"/>
      <c r="Q26" s="4461"/>
      <c r="R26" s="2700"/>
      <c r="S26" s="4463"/>
      <c r="T26" s="2701"/>
      <c r="U26" s="4461"/>
      <c r="V26" s="2700"/>
      <c r="W26" s="4463"/>
      <c r="X26" s="2701"/>
      <c r="Y26" s="4461"/>
      <c r="Z26" s="2807"/>
      <c r="AA26" s="4462"/>
      <c r="AB26" s="2808"/>
      <c r="AC26" s="1958"/>
      <c r="AD26" s="2701"/>
      <c r="AE26" s="4460"/>
      <c r="AF26" s="2700"/>
      <c r="AG26" s="4463"/>
      <c r="AH26" s="2701"/>
      <c r="AI26" s="4460"/>
      <c r="AJ26" s="2700"/>
      <c r="AK26" s="4463"/>
      <c r="AL26" s="2701"/>
      <c r="AM26" s="4460"/>
      <c r="AN26" s="2807"/>
      <c r="AO26" s="4462"/>
      <c r="AP26" s="2700"/>
      <c r="AQ26" s="4463"/>
      <c r="AR26" s="2701"/>
      <c r="AS26" s="4460"/>
      <c r="AT26" s="2700"/>
      <c r="AU26" s="4463"/>
      <c r="AV26" s="2701"/>
      <c r="AW26" s="4460"/>
      <c r="AX26" s="2700"/>
      <c r="AY26" s="4463"/>
      <c r="AZ26" s="2701"/>
      <c r="BA26" s="4460">
        <v>77.652000000000001</v>
      </c>
      <c r="BB26" s="2807"/>
      <c r="BC26" s="4558">
        <f t="shared" si="7"/>
        <v>77.652000000000001</v>
      </c>
      <c r="BD26" s="2808"/>
      <c r="BE26" s="1958">
        <f t="shared" si="8"/>
        <v>77.652000000000001</v>
      </c>
      <c r="BF26" s="2700"/>
      <c r="BG26" s="4557">
        <f t="shared" si="5"/>
        <v>77.652000000000001</v>
      </c>
      <c r="BH26" s="4658"/>
      <c r="BI26" s="4658"/>
      <c r="BJ26" s="4658"/>
      <c r="BK26" s="4658"/>
      <c r="BL26" s="4658"/>
      <c r="BM26" s="4658"/>
      <c r="BN26" s="4658"/>
      <c r="BO26" s="4658"/>
      <c r="BP26" s="4658"/>
    </row>
    <row r="27" spans="1:68" s="1726" customFormat="1" ht="15" customHeight="1" x14ac:dyDescent="0.25">
      <c r="B27" s="3342" t="s">
        <v>1682</v>
      </c>
      <c r="C27" s="3338" t="s">
        <v>1315</v>
      </c>
      <c r="D27" s="2806">
        <v>154</v>
      </c>
      <c r="E27" s="3335" t="s">
        <v>53</v>
      </c>
      <c r="F27" s="2701"/>
      <c r="G27" s="3327"/>
      <c r="H27" s="2701"/>
      <c r="I27" s="3334"/>
      <c r="J27" s="2700"/>
      <c r="K27" s="3321"/>
      <c r="L27" s="2701"/>
      <c r="M27" s="238"/>
      <c r="N27" s="2807"/>
      <c r="O27" s="3320"/>
      <c r="P27" s="2701"/>
      <c r="Q27" s="3327"/>
      <c r="R27" s="2700"/>
      <c r="S27" s="3321"/>
      <c r="T27" s="2701"/>
      <c r="U27" s="3327"/>
      <c r="V27" s="2700"/>
      <c r="W27" s="3321"/>
      <c r="X27" s="2701"/>
      <c r="Y27" s="3327"/>
      <c r="Z27" s="2807"/>
      <c r="AA27" s="3320"/>
      <c r="AB27" s="2808"/>
      <c r="AC27" s="1958"/>
      <c r="AD27" s="2701"/>
      <c r="AE27" s="238"/>
      <c r="AF27" s="2700"/>
      <c r="AG27" s="3321"/>
      <c r="AH27" s="2701"/>
      <c r="AI27" s="238">
        <v>940.06352000000015</v>
      </c>
      <c r="AJ27" s="2700"/>
      <c r="AK27" s="3321">
        <f t="shared" si="1"/>
        <v>940.06352000000015</v>
      </c>
      <c r="AL27" s="2701"/>
      <c r="AM27" s="3640">
        <v>0</v>
      </c>
      <c r="AN27" s="2807"/>
      <c r="AO27" s="3600">
        <f t="shared" si="6"/>
        <v>940.06352000000015</v>
      </c>
      <c r="AP27" s="2700"/>
      <c r="AQ27" s="3597">
        <f t="shared" si="2"/>
        <v>940.06352000000015</v>
      </c>
      <c r="AR27" s="2701"/>
      <c r="AS27" s="3872"/>
      <c r="AT27" s="2700"/>
      <c r="AU27" s="3874">
        <f t="shared" si="3"/>
        <v>940.06352000000015</v>
      </c>
      <c r="AV27" s="2701"/>
      <c r="AW27" s="4060"/>
      <c r="AX27" s="2700"/>
      <c r="AY27" s="4062">
        <f t="shared" si="4"/>
        <v>940.06352000000015</v>
      </c>
      <c r="AZ27" s="2701"/>
      <c r="BA27" s="4378"/>
      <c r="BB27" s="2807"/>
      <c r="BC27" s="4558">
        <f t="shared" si="7"/>
        <v>0</v>
      </c>
      <c r="BD27" s="2808"/>
      <c r="BE27" s="1958">
        <f t="shared" si="8"/>
        <v>940.06352000000015</v>
      </c>
      <c r="BF27" s="2700"/>
      <c r="BG27" s="4557">
        <f t="shared" si="5"/>
        <v>940.06352000000015</v>
      </c>
      <c r="BH27" s="4658"/>
      <c r="BI27" s="4658"/>
      <c r="BJ27" s="4658"/>
      <c r="BK27" s="4658"/>
      <c r="BL27" s="4658"/>
      <c r="BM27" s="4658"/>
      <c r="BN27" s="4658"/>
      <c r="BO27" s="4658"/>
      <c r="BP27" s="4658"/>
    </row>
    <row r="28" spans="1:68" s="1726" customFormat="1" ht="15" customHeight="1" x14ac:dyDescent="0.25">
      <c r="B28" s="3342" t="s">
        <v>1678</v>
      </c>
      <c r="C28" s="3338" t="s">
        <v>1451</v>
      </c>
      <c r="D28" s="2809">
        <v>37.340000000000003</v>
      </c>
      <c r="E28" s="3335" t="s">
        <v>53</v>
      </c>
      <c r="F28" s="2701"/>
      <c r="G28" s="3327"/>
      <c r="H28" s="2701"/>
      <c r="I28" s="3334"/>
      <c r="J28" s="2700"/>
      <c r="K28" s="3321"/>
      <c r="L28" s="2701"/>
      <c r="M28" s="238"/>
      <c r="N28" s="2807"/>
      <c r="O28" s="3320"/>
      <c r="P28" s="2701"/>
      <c r="Q28" s="3327"/>
      <c r="R28" s="2700"/>
      <c r="S28" s="3321"/>
      <c r="T28" s="2701"/>
      <c r="U28" s="3327"/>
      <c r="V28" s="2700"/>
      <c r="W28" s="3321"/>
      <c r="X28" s="2701"/>
      <c r="Y28" s="3327"/>
      <c r="Z28" s="2807"/>
      <c r="AA28" s="3320"/>
      <c r="AB28" s="2808"/>
      <c r="AC28" s="1958"/>
      <c r="AD28" s="2701"/>
      <c r="AE28" s="238"/>
      <c r="AF28" s="2700"/>
      <c r="AG28" s="3321"/>
      <c r="AH28" s="2701"/>
      <c r="AI28" s="238">
        <v>11.045175</v>
      </c>
      <c r="AJ28" s="2700"/>
      <c r="AK28" s="3321">
        <f t="shared" si="1"/>
        <v>11.045175</v>
      </c>
      <c r="AL28" s="2701"/>
      <c r="AM28" s="3640">
        <v>0</v>
      </c>
      <c r="AN28" s="2807"/>
      <c r="AO28" s="3600">
        <f t="shared" si="6"/>
        <v>11.045175</v>
      </c>
      <c r="AP28" s="2700"/>
      <c r="AQ28" s="3597">
        <f t="shared" si="2"/>
        <v>11.045175</v>
      </c>
      <c r="AR28" s="2701"/>
      <c r="AS28" s="3872">
        <v>563.93377800000007</v>
      </c>
      <c r="AT28" s="2700"/>
      <c r="AU28" s="3874">
        <f t="shared" si="3"/>
        <v>574.97895300000005</v>
      </c>
      <c r="AV28" s="2701"/>
      <c r="AW28" s="4060"/>
      <c r="AX28" s="2700"/>
      <c r="AY28" s="4062">
        <f t="shared" si="4"/>
        <v>574.97895300000005</v>
      </c>
      <c r="AZ28" s="2701"/>
      <c r="BA28" s="4378">
        <v>1918.8050000000007</v>
      </c>
      <c r="BB28" s="2807"/>
      <c r="BC28" s="4558">
        <f t="shared" si="7"/>
        <v>2482.7387780000008</v>
      </c>
      <c r="BD28" s="2808"/>
      <c r="BE28" s="1958">
        <f t="shared" si="8"/>
        <v>2493.783953000001</v>
      </c>
      <c r="BF28" s="2700"/>
      <c r="BG28" s="4557">
        <f t="shared" si="5"/>
        <v>2493.783953000001</v>
      </c>
      <c r="BH28" s="4658"/>
      <c r="BI28" s="4658"/>
      <c r="BJ28" s="4658"/>
      <c r="BK28" s="4658"/>
      <c r="BL28" s="4658"/>
      <c r="BM28" s="4658"/>
      <c r="BN28" s="4658"/>
      <c r="BO28" s="4658"/>
      <c r="BP28" s="4658"/>
    </row>
    <row r="29" spans="1:68" s="1726" customFormat="1" ht="15" customHeight="1" x14ac:dyDescent="0.25">
      <c r="B29" s="3342" t="s">
        <v>1679</v>
      </c>
      <c r="C29" s="3338" t="s">
        <v>1451</v>
      </c>
      <c r="D29" s="2809"/>
      <c r="E29" s="3335" t="s">
        <v>53</v>
      </c>
      <c r="F29" s="2701"/>
      <c r="G29" s="3327"/>
      <c r="H29" s="2701"/>
      <c r="I29" s="3334"/>
      <c r="J29" s="2700"/>
      <c r="K29" s="3321"/>
      <c r="L29" s="2701"/>
      <c r="M29" s="238"/>
      <c r="N29" s="2807"/>
      <c r="O29" s="3320"/>
      <c r="P29" s="2701"/>
      <c r="Q29" s="3327"/>
      <c r="R29" s="2700"/>
      <c r="S29" s="3321"/>
      <c r="T29" s="2701"/>
      <c r="U29" s="3327"/>
      <c r="V29" s="2700"/>
      <c r="W29" s="3321"/>
      <c r="X29" s="2701"/>
      <c r="Y29" s="3327"/>
      <c r="Z29" s="2807"/>
      <c r="AA29" s="3320"/>
      <c r="AB29" s="2808"/>
      <c r="AC29" s="1958"/>
      <c r="AD29" s="2701"/>
      <c r="AE29" s="238"/>
      <c r="AF29" s="2700"/>
      <c r="AG29" s="3321"/>
      <c r="AH29" s="2701"/>
      <c r="AI29" s="238">
        <v>25.578299999999999</v>
      </c>
      <c r="AJ29" s="2700"/>
      <c r="AK29" s="3321">
        <f t="shared" si="1"/>
        <v>25.578299999999999</v>
      </c>
      <c r="AL29" s="2701"/>
      <c r="AM29" s="3640">
        <v>0</v>
      </c>
      <c r="AN29" s="2807"/>
      <c r="AO29" s="3600">
        <f t="shared" si="6"/>
        <v>25.578299999999999</v>
      </c>
      <c r="AP29" s="2700"/>
      <c r="AQ29" s="3597">
        <f t="shared" si="2"/>
        <v>25.578299999999999</v>
      </c>
      <c r="AR29" s="2701"/>
      <c r="AS29" s="3872"/>
      <c r="AT29" s="2700"/>
      <c r="AU29" s="3874">
        <f t="shared" si="3"/>
        <v>25.578299999999999</v>
      </c>
      <c r="AV29" s="2701"/>
      <c r="AW29" s="4060"/>
      <c r="AX29" s="2700"/>
      <c r="AY29" s="4062">
        <f t="shared" si="4"/>
        <v>25.578299999999999</v>
      </c>
      <c r="AZ29" s="2701"/>
      <c r="BA29" s="4378"/>
      <c r="BB29" s="2807"/>
      <c r="BC29" s="4558">
        <f t="shared" si="7"/>
        <v>0</v>
      </c>
      <c r="BD29" s="2808"/>
      <c r="BE29" s="1958">
        <f t="shared" si="8"/>
        <v>25.578299999999999</v>
      </c>
      <c r="BF29" s="2700"/>
      <c r="BG29" s="4557">
        <f t="shared" si="5"/>
        <v>25.578299999999999</v>
      </c>
      <c r="BH29" s="4658"/>
      <c r="BI29" s="4658"/>
      <c r="BJ29" s="4658"/>
      <c r="BK29" s="4658"/>
      <c r="BL29" s="4658"/>
      <c r="BM29" s="4658"/>
      <c r="BN29" s="4658"/>
      <c r="BO29" s="4658"/>
      <c r="BP29" s="4658"/>
    </row>
    <row r="30" spans="1:68" s="1726" customFormat="1" ht="15" customHeight="1" x14ac:dyDescent="0.25">
      <c r="B30" s="3342" t="s">
        <v>1680</v>
      </c>
      <c r="C30" s="3338" t="s">
        <v>1451</v>
      </c>
      <c r="D30" s="2809"/>
      <c r="E30" s="3335" t="s">
        <v>53</v>
      </c>
      <c r="F30" s="2701"/>
      <c r="G30" s="3327"/>
      <c r="H30" s="2701"/>
      <c r="I30" s="3334"/>
      <c r="J30" s="2700"/>
      <c r="K30" s="3321"/>
      <c r="L30" s="2701"/>
      <c r="M30" s="238"/>
      <c r="N30" s="2807"/>
      <c r="O30" s="3320"/>
      <c r="P30" s="2701"/>
      <c r="Q30" s="3327"/>
      <c r="R30" s="2700"/>
      <c r="S30" s="3321"/>
      <c r="T30" s="2701"/>
      <c r="U30" s="3327"/>
      <c r="V30" s="2700"/>
      <c r="W30" s="3321"/>
      <c r="X30" s="2701"/>
      <c r="Y30" s="3327"/>
      <c r="Z30" s="2807"/>
      <c r="AA30" s="3320"/>
      <c r="AB30" s="2808"/>
      <c r="AC30" s="1958"/>
      <c r="AD30" s="2701"/>
      <c r="AE30" s="238"/>
      <c r="AF30" s="2700"/>
      <c r="AG30" s="3321"/>
      <c r="AH30" s="2701"/>
      <c r="AI30" s="238">
        <v>14.726899999999999</v>
      </c>
      <c r="AJ30" s="2700"/>
      <c r="AK30" s="3321">
        <f t="shared" si="1"/>
        <v>14.726899999999999</v>
      </c>
      <c r="AL30" s="2701"/>
      <c r="AM30" s="3640">
        <v>0</v>
      </c>
      <c r="AN30" s="2807"/>
      <c r="AO30" s="3600">
        <f t="shared" si="6"/>
        <v>14.726899999999999</v>
      </c>
      <c r="AP30" s="2700"/>
      <c r="AQ30" s="3597">
        <f t="shared" si="2"/>
        <v>14.726899999999999</v>
      </c>
      <c r="AR30" s="2701"/>
      <c r="AS30" s="3872"/>
      <c r="AT30" s="2700"/>
      <c r="AU30" s="3874">
        <f t="shared" si="3"/>
        <v>14.726899999999999</v>
      </c>
      <c r="AV30" s="2701"/>
      <c r="AW30" s="4060"/>
      <c r="AX30" s="2700"/>
      <c r="AY30" s="4062">
        <f t="shared" si="4"/>
        <v>14.726899999999999</v>
      </c>
      <c r="AZ30" s="2701"/>
      <c r="BA30" s="4378"/>
      <c r="BB30" s="2807"/>
      <c r="BC30" s="4558">
        <f t="shared" si="7"/>
        <v>0</v>
      </c>
      <c r="BD30" s="2808"/>
      <c r="BE30" s="1958">
        <f t="shared" si="8"/>
        <v>14.726899999999999</v>
      </c>
      <c r="BF30" s="2700"/>
      <c r="BG30" s="4557">
        <f t="shared" si="5"/>
        <v>14.726899999999999</v>
      </c>
      <c r="BH30" s="4658"/>
      <c r="BI30" s="4658"/>
      <c r="BJ30" s="4658"/>
      <c r="BK30" s="4658"/>
      <c r="BL30" s="4658"/>
      <c r="BM30" s="4658"/>
      <c r="BN30" s="4658"/>
      <c r="BO30" s="4658"/>
      <c r="BP30" s="4658"/>
    </row>
    <row r="31" spans="1:68" s="1726" customFormat="1" ht="15" customHeight="1" x14ac:dyDescent="0.25">
      <c r="B31" s="3342" t="s">
        <v>1681</v>
      </c>
      <c r="C31" s="3338" t="s">
        <v>1451</v>
      </c>
      <c r="D31" s="2809"/>
      <c r="E31" s="3335" t="s">
        <v>53</v>
      </c>
      <c r="F31" s="2701"/>
      <c r="G31" s="3327"/>
      <c r="H31" s="2701"/>
      <c r="I31" s="3334"/>
      <c r="J31" s="2700"/>
      <c r="K31" s="3321"/>
      <c r="L31" s="2701"/>
      <c r="M31" s="238"/>
      <c r="N31" s="2807"/>
      <c r="O31" s="3320"/>
      <c r="P31" s="2701"/>
      <c r="Q31" s="3327"/>
      <c r="R31" s="2700"/>
      <c r="S31" s="3321"/>
      <c r="T31" s="2701"/>
      <c r="U31" s="3327"/>
      <c r="V31" s="2700"/>
      <c r="W31" s="3321"/>
      <c r="X31" s="2701"/>
      <c r="Y31" s="3327"/>
      <c r="Z31" s="2807"/>
      <c r="AA31" s="3320"/>
      <c r="AB31" s="2808"/>
      <c r="AC31" s="1958"/>
      <c r="AD31" s="2701"/>
      <c r="AE31" s="238"/>
      <c r="AF31" s="2700"/>
      <c r="AG31" s="3321"/>
      <c r="AH31" s="2701"/>
      <c r="AI31" s="238">
        <v>24.996975000000006</v>
      </c>
      <c r="AJ31" s="2700"/>
      <c r="AK31" s="3321">
        <f t="shared" si="1"/>
        <v>24.996975000000006</v>
      </c>
      <c r="AL31" s="2701"/>
      <c r="AM31" s="3640">
        <v>0</v>
      </c>
      <c r="AN31" s="2807"/>
      <c r="AO31" s="3600">
        <f t="shared" si="6"/>
        <v>24.996975000000006</v>
      </c>
      <c r="AP31" s="2700"/>
      <c r="AQ31" s="3597">
        <f t="shared" si="2"/>
        <v>24.996975000000006</v>
      </c>
      <c r="AR31" s="2701"/>
      <c r="AS31" s="3872"/>
      <c r="AT31" s="2700"/>
      <c r="AU31" s="3874">
        <f t="shared" si="3"/>
        <v>24.996975000000006</v>
      </c>
      <c r="AV31" s="2701"/>
      <c r="AW31" s="4060"/>
      <c r="AX31" s="2700"/>
      <c r="AY31" s="4062">
        <f t="shared" si="4"/>
        <v>24.996975000000006</v>
      </c>
      <c r="AZ31" s="2701"/>
      <c r="BA31" s="4378"/>
      <c r="BB31" s="2807"/>
      <c r="BC31" s="4558">
        <f t="shared" si="7"/>
        <v>0</v>
      </c>
      <c r="BD31" s="2808"/>
      <c r="BE31" s="1958">
        <f t="shared" si="8"/>
        <v>24.996975000000006</v>
      </c>
      <c r="BF31" s="2700"/>
      <c r="BG31" s="4557">
        <f t="shared" si="5"/>
        <v>24.996975000000006</v>
      </c>
      <c r="BH31" s="4658"/>
      <c r="BI31" s="4658"/>
      <c r="BJ31" s="4658"/>
      <c r="BK31" s="4658"/>
      <c r="BL31" s="4658"/>
      <c r="BM31" s="4658"/>
      <c r="BN31" s="4658"/>
      <c r="BO31" s="4658"/>
      <c r="BP31" s="4658"/>
    </row>
    <row r="32" spans="1:68" s="1726" customFormat="1" ht="15" customHeight="1" x14ac:dyDescent="0.25">
      <c r="B32" s="3342" t="s">
        <v>1840</v>
      </c>
      <c r="C32" s="3338" t="s">
        <v>1451</v>
      </c>
      <c r="D32" s="2809"/>
      <c r="E32" s="3621" t="s">
        <v>53</v>
      </c>
      <c r="F32" s="2701"/>
      <c r="G32" s="4092"/>
      <c r="H32" s="2701"/>
      <c r="I32" s="4098"/>
      <c r="J32" s="2700"/>
      <c r="K32" s="4094"/>
      <c r="L32" s="2701"/>
      <c r="M32" s="4091"/>
      <c r="N32" s="2807"/>
      <c r="O32" s="4093"/>
      <c r="P32" s="2701"/>
      <c r="Q32" s="4092"/>
      <c r="R32" s="2700"/>
      <c r="S32" s="4094"/>
      <c r="T32" s="2701"/>
      <c r="U32" s="4092"/>
      <c r="V32" s="2700"/>
      <c r="W32" s="4094"/>
      <c r="X32" s="2701"/>
      <c r="Y32" s="4092"/>
      <c r="Z32" s="2807"/>
      <c r="AA32" s="4093"/>
      <c r="AB32" s="2808"/>
      <c r="AC32" s="1958"/>
      <c r="AD32" s="2701"/>
      <c r="AE32" s="4091"/>
      <c r="AF32" s="2700"/>
      <c r="AG32" s="4094"/>
      <c r="AH32" s="2701"/>
      <c r="AI32" s="4091"/>
      <c r="AJ32" s="2700"/>
      <c r="AK32" s="4094"/>
      <c r="AL32" s="2701"/>
      <c r="AM32" s="4091"/>
      <c r="AN32" s="2807"/>
      <c r="AO32" s="4093"/>
      <c r="AP32" s="2700"/>
      <c r="AQ32" s="4094"/>
      <c r="AR32" s="2701"/>
      <c r="AS32" s="4091"/>
      <c r="AT32" s="2700"/>
      <c r="AU32" s="4094"/>
      <c r="AV32" s="2701"/>
      <c r="AW32" s="4091">
        <v>920.38654500000007</v>
      </c>
      <c r="AX32" s="2700"/>
      <c r="AY32" s="4094">
        <f t="shared" si="4"/>
        <v>920.38654500000007</v>
      </c>
      <c r="AZ32" s="2701"/>
      <c r="BA32" s="4378"/>
      <c r="BB32" s="2807"/>
      <c r="BC32" s="4558">
        <f t="shared" si="7"/>
        <v>920.38654500000007</v>
      </c>
      <c r="BD32" s="2808"/>
      <c r="BE32" s="1958">
        <f t="shared" si="8"/>
        <v>920.38654500000007</v>
      </c>
      <c r="BF32" s="2700"/>
      <c r="BG32" s="4557">
        <f t="shared" si="5"/>
        <v>920.38654500000007</v>
      </c>
      <c r="BH32" s="4658"/>
      <c r="BI32" s="4658"/>
      <c r="BJ32" s="4658"/>
      <c r="BK32" s="4658"/>
      <c r="BL32" s="4658"/>
      <c r="BM32" s="4658"/>
      <c r="BN32" s="4658"/>
      <c r="BO32" s="4658"/>
      <c r="BP32" s="4658"/>
    </row>
    <row r="33" spans="2:68" s="1726" customFormat="1" ht="15" customHeight="1" x14ac:dyDescent="0.25">
      <c r="B33" s="3342" t="s">
        <v>1588</v>
      </c>
      <c r="C33" s="3338" t="s">
        <v>1451</v>
      </c>
      <c r="D33" s="2806">
        <v>34.200000000000003</v>
      </c>
      <c r="E33" s="355" t="s">
        <v>53</v>
      </c>
      <c r="F33" s="2701"/>
      <c r="G33" s="475"/>
      <c r="H33" s="2701"/>
      <c r="I33" s="369"/>
      <c r="J33" s="2700"/>
      <c r="K33" s="2339"/>
      <c r="L33" s="2701"/>
      <c r="M33" s="238"/>
      <c r="N33" s="2807"/>
      <c r="O33" s="2338"/>
      <c r="P33" s="2701"/>
      <c r="Q33" s="475"/>
      <c r="R33" s="2700"/>
      <c r="S33" s="2339"/>
      <c r="T33" s="2701"/>
      <c r="U33" s="475"/>
      <c r="V33" s="2700"/>
      <c r="W33" s="2339"/>
      <c r="X33" s="2701"/>
      <c r="Y33" s="475">
        <v>479.95138800000007</v>
      </c>
      <c r="Z33" s="2807"/>
      <c r="AA33" s="2338">
        <f t="shared" si="9"/>
        <v>479.95138800000007</v>
      </c>
      <c r="AB33" s="2808"/>
      <c r="AC33" s="1958">
        <f t="shared" si="10"/>
        <v>479.95138800000007</v>
      </c>
      <c r="AD33" s="2701"/>
      <c r="AE33" s="238">
        <v>0</v>
      </c>
      <c r="AF33" s="2700"/>
      <c r="AG33" s="3163">
        <f t="shared" si="0"/>
        <v>479.95138800000007</v>
      </c>
      <c r="AH33" s="2701"/>
      <c r="AI33" s="238">
        <v>4885.0326000000005</v>
      </c>
      <c r="AJ33" s="2700"/>
      <c r="AK33" s="3321">
        <f t="shared" si="1"/>
        <v>5364.9839880000009</v>
      </c>
      <c r="AL33" s="2701"/>
      <c r="AM33" s="3640">
        <v>1533.4641000000001</v>
      </c>
      <c r="AN33" s="2807"/>
      <c r="AO33" s="3600">
        <f t="shared" si="6"/>
        <v>6418.4967000000006</v>
      </c>
      <c r="AP33" s="2700"/>
      <c r="AQ33" s="3597">
        <f t="shared" si="2"/>
        <v>6898.448088000001</v>
      </c>
      <c r="AR33" s="2701"/>
      <c r="AS33" s="3872">
        <v>4947.1184227499998</v>
      </c>
      <c r="AT33" s="2700"/>
      <c r="AU33" s="3874">
        <f t="shared" si="3"/>
        <v>11845.566510750001</v>
      </c>
      <c r="AV33" s="2701"/>
      <c r="AW33" s="4060"/>
      <c r="AX33" s="2700"/>
      <c r="AY33" s="4094">
        <f t="shared" si="4"/>
        <v>11845.566510750001</v>
      </c>
      <c r="AZ33" s="2701"/>
      <c r="BA33" s="4378">
        <v>2200.3100000000004</v>
      </c>
      <c r="BB33" s="2807"/>
      <c r="BC33" s="4558">
        <f t="shared" si="7"/>
        <v>7147.4284227500002</v>
      </c>
      <c r="BD33" s="2808"/>
      <c r="BE33" s="1958">
        <f t="shared" si="8"/>
        <v>13565.925122750001</v>
      </c>
      <c r="BF33" s="2700"/>
      <c r="BG33" s="4557">
        <f t="shared" si="5"/>
        <v>14045.87651075</v>
      </c>
      <c r="BH33" s="4658"/>
      <c r="BI33" s="4658"/>
      <c r="BJ33" s="4658"/>
      <c r="BK33" s="4658"/>
      <c r="BL33" s="4658"/>
      <c r="BM33" s="4658"/>
      <c r="BN33" s="4658"/>
      <c r="BO33" s="4658"/>
      <c r="BP33" s="4658"/>
    </row>
    <row r="34" spans="2:68" s="1726" customFormat="1" ht="15" customHeight="1" x14ac:dyDescent="0.25">
      <c r="B34" s="3342" t="s">
        <v>1588</v>
      </c>
      <c r="C34" s="3338" t="s">
        <v>1452</v>
      </c>
      <c r="D34" s="2806"/>
      <c r="E34" s="3331" t="s">
        <v>53</v>
      </c>
      <c r="F34" s="2701"/>
      <c r="G34" s="3327"/>
      <c r="H34" s="2701"/>
      <c r="I34" s="3334"/>
      <c r="J34" s="2700"/>
      <c r="K34" s="3321"/>
      <c r="L34" s="2701"/>
      <c r="M34" s="238"/>
      <c r="N34" s="2807"/>
      <c r="O34" s="3320"/>
      <c r="P34" s="2701"/>
      <c r="Q34" s="3327"/>
      <c r="R34" s="2700"/>
      <c r="S34" s="3321"/>
      <c r="T34" s="2701"/>
      <c r="U34" s="3327"/>
      <c r="V34" s="2700"/>
      <c r="W34" s="3321"/>
      <c r="X34" s="2701"/>
      <c r="Y34" s="3327"/>
      <c r="Z34" s="2807"/>
      <c r="AA34" s="3320"/>
      <c r="AB34" s="2808"/>
      <c r="AC34" s="1958"/>
      <c r="AD34" s="2701"/>
      <c r="AE34" s="238"/>
      <c r="AF34" s="2700"/>
      <c r="AG34" s="3321"/>
      <c r="AH34" s="2701"/>
      <c r="AI34" s="238">
        <v>651.5775000000001</v>
      </c>
      <c r="AJ34" s="2700"/>
      <c r="AK34" s="3321">
        <f t="shared" si="1"/>
        <v>651.5775000000001</v>
      </c>
      <c r="AL34" s="2701"/>
      <c r="AM34" s="3640">
        <v>0</v>
      </c>
      <c r="AN34" s="2807"/>
      <c r="AO34" s="3600">
        <f t="shared" si="6"/>
        <v>651.5775000000001</v>
      </c>
      <c r="AP34" s="2700"/>
      <c r="AQ34" s="3597">
        <f t="shared" si="2"/>
        <v>651.5775000000001</v>
      </c>
      <c r="AR34" s="2701"/>
      <c r="AS34" s="3872"/>
      <c r="AT34" s="2700"/>
      <c r="AU34" s="3874">
        <f t="shared" si="3"/>
        <v>651.5775000000001</v>
      </c>
      <c r="AV34" s="2701"/>
      <c r="AW34" s="4060"/>
      <c r="AX34" s="2700"/>
      <c r="AY34" s="4062">
        <f t="shared" si="4"/>
        <v>651.5775000000001</v>
      </c>
      <c r="AZ34" s="2701"/>
      <c r="BA34" s="4378">
        <v>731.71</v>
      </c>
      <c r="BB34" s="2807"/>
      <c r="BC34" s="4558">
        <f t="shared" si="7"/>
        <v>731.71</v>
      </c>
      <c r="BD34" s="2808"/>
      <c r="BE34" s="1958">
        <f t="shared" si="8"/>
        <v>1383.2875000000001</v>
      </c>
      <c r="BF34" s="2700"/>
      <c r="BG34" s="4557">
        <f t="shared" si="5"/>
        <v>1383.2875000000001</v>
      </c>
      <c r="BH34" s="4658"/>
      <c r="BI34" s="4658"/>
      <c r="BJ34" s="4658"/>
      <c r="BK34" s="4658"/>
      <c r="BL34" s="4658"/>
      <c r="BM34" s="4658"/>
      <c r="BN34" s="4658"/>
      <c r="BO34" s="4658"/>
      <c r="BP34" s="4658"/>
    </row>
    <row r="35" spans="2:68" s="1623" customFormat="1" ht="15" customHeight="1" x14ac:dyDescent="0.25">
      <c r="B35" s="3342" t="s">
        <v>1450</v>
      </c>
      <c r="C35" s="3338" t="s">
        <v>1452</v>
      </c>
      <c r="D35" s="2809"/>
      <c r="E35" s="1504" t="s">
        <v>53</v>
      </c>
      <c r="F35" s="2701"/>
      <c r="G35" s="475"/>
      <c r="H35" s="2701"/>
      <c r="I35" s="369"/>
      <c r="J35" s="2700"/>
      <c r="K35" s="2339"/>
      <c r="L35" s="2701"/>
      <c r="M35" s="238"/>
      <c r="N35" s="2807"/>
      <c r="O35" s="2338"/>
      <c r="P35" s="2701"/>
      <c r="Q35" s="475">
        <v>297.59893486940001</v>
      </c>
      <c r="R35" s="2700"/>
      <c r="S35" s="2339">
        <f t="shared" ref="S35:S41" si="13">+O35+Q35</f>
        <v>297.59893486940001</v>
      </c>
      <c r="T35" s="2701"/>
      <c r="U35" s="475">
        <v>0</v>
      </c>
      <c r="V35" s="2700"/>
      <c r="W35" s="2339">
        <f t="shared" ref="W35:W41" si="14">+S35+U35</f>
        <v>297.59893486940001</v>
      </c>
      <c r="X35" s="2701"/>
      <c r="Y35" s="475"/>
      <c r="Z35" s="2807"/>
      <c r="AA35" s="2338">
        <f t="shared" si="9"/>
        <v>297.59893486940001</v>
      </c>
      <c r="AB35" s="2808"/>
      <c r="AC35" s="1958">
        <f t="shared" si="10"/>
        <v>297.59893486940001</v>
      </c>
      <c r="AD35" s="2701"/>
      <c r="AE35" s="238">
        <v>583.19754749999993</v>
      </c>
      <c r="AF35" s="2700"/>
      <c r="AG35" s="3163">
        <f t="shared" si="0"/>
        <v>880.79648236939988</v>
      </c>
      <c r="AH35" s="2701"/>
      <c r="AI35" s="238">
        <v>0</v>
      </c>
      <c r="AJ35" s="2700"/>
      <c r="AK35" s="3321">
        <f t="shared" si="1"/>
        <v>880.79648236939988</v>
      </c>
      <c r="AL35" s="2701"/>
      <c r="AM35" s="3640">
        <v>0</v>
      </c>
      <c r="AN35" s="2807"/>
      <c r="AO35" s="3600">
        <f t="shared" si="6"/>
        <v>583.19754749999993</v>
      </c>
      <c r="AP35" s="2700"/>
      <c r="AQ35" s="3597">
        <f t="shared" si="2"/>
        <v>880.79648236939988</v>
      </c>
      <c r="AR35" s="2701"/>
      <c r="AS35" s="3872"/>
      <c r="AT35" s="2700"/>
      <c r="AU35" s="3874">
        <f t="shared" si="3"/>
        <v>880.79648236939988</v>
      </c>
      <c r="AV35" s="2701"/>
      <c r="AW35" s="4060"/>
      <c r="AX35" s="2700"/>
      <c r="AY35" s="4062">
        <f t="shared" si="4"/>
        <v>880.79648236939988</v>
      </c>
      <c r="AZ35" s="2701"/>
      <c r="BA35" s="4378"/>
      <c r="BB35" s="2807"/>
      <c r="BC35" s="4558">
        <f t="shared" si="7"/>
        <v>0</v>
      </c>
      <c r="BD35" s="2808"/>
      <c r="BE35" s="1958">
        <f t="shared" si="8"/>
        <v>583.19754749999993</v>
      </c>
      <c r="BF35" s="2700"/>
      <c r="BG35" s="4557">
        <f t="shared" si="5"/>
        <v>880.79648236939988</v>
      </c>
      <c r="BH35" s="4658"/>
      <c r="BI35" s="4658"/>
      <c r="BJ35" s="4658"/>
      <c r="BK35" s="4658"/>
      <c r="BL35" s="4658"/>
      <c r="BM35" s="4658"/>
      <c r="BN35" s="4658"/>
      <c r="BO35" s="4658"/>
      <c r="BP35" s="4658"/>
    </row>
    <row r="36" spans="2:68" s="1482" customFormat="1" ht="15" customHeight="1" x14ac:dyDescent="0.25">
      <c r="B36" s="3342" t="s">
        <v>1299</v>
      </c>
      <c r="C36" s="3338" t="s">
        <v>1451</v>
      </c>
      <c r="D36" s="2806">
        <v>36.299999999999997</v>
      </c>
      <c r="E36" s="355" t="s">
        <v>53</v>
      </c>
      <c r="F36" s="2701"/>
      <c r="G36" s="475">
        <v>1691.5107675153001</v>
      </c>
      <c r="H36" s="2701"/>
      <c r="I36" s="475">
        <v>1337.01327471995</v>
      </c>
      <c r="J36" s="2700"/>
      <c r="K36" s="1325">
        <f t="shared" ref="K36:K41" si="15">+G36+I36</f>
        <v>3028.5240422352499</v>
      </c>
      <c r="L36" s="2701"/>
      <c r="M36" s="238">
        <v>1605.3047891555</v>
      </c>
      <c r="N36" s="2807"/>
      <c r="O36" s="2338">
        <f t="shared" ref="O36:O41" si="16">+K36+M36</f>
        <v>4633.8288313907497</v>
      </c>
      <c r="P36" s="2701"/>
      <c r="Q36" s="475">
        <v>4104.3849026473999</v>
      </c>
      <c r="R36" s="2700"/>
      <c r="S36" s="2339">
        <f t="shared" si="13"/>
        <v>8738.2137340381487</v>
      </c>
      <c r="T36" s="2701"/>
      <c r="U36" s="475">
        <v>3384.0180172350001</v>
      </c>
      <c r="V36" s="2700"/>
      <c r="W36" s="2339">
        <f t="shared" si="14"/>
        <v>12122.23175127315</v>
      </c>
      <c r="X36" s="2701"/>
      <c r="Y36" s="475">
        <v>470.58019199999995</v>
      </c>
      <c r="Z36" s="2807"/>
      <c r="AA36" s="2338">
        <f t="shared" si="9"/>
        <v>7958.9831118824004</v>
      </c>
      <c r="AB36" s="2808"/>
      <c r="AC36" s="1958">
        <f t="shared" si="10"/>
        <v>12592.811943273151</v>
      </c>
      <c r="AD36" s="2701"/>
      <c r="AE36" s="238">
        <v>4027.0240124999991</v>
      </c>
      <c r="AF36" s="2700"/>
      <c r="AG36" s="3163">
        <f t="shared" si="0"/>
        <v>16619.835955773149</v>
      </c>
      <c r="AH36" s="2701"/>
      <c r="AI36" s="238">
        <v>3072.1088500000005</v>
      </c>
      <c r="AJ36" s="2700"/>
      <c r="AK36" s="3321">
        <f t="shared" si="1"/>
        <v>19691.94480577315</v>
      </c>
      <c r="AL36" s="2701"/>
      <c r="AM36" s="3640">
        <v>5398.6388808000002</v>
      </c>
      <c r="AN36" s="2807"/>
      <c r="AO36" s="3600">
        <f t="shared" si="6"/>
        <v>12497.7717433</v>
      </c>
      <c r="AP36" s="2700"/>
      <c r="AQ36" s="3597">
        <f t="shared" si="2"/>
        <v>25090.583686573151</v>
      </c>
      <c r="AR36" s="2701"/>
      <c r="AS36" s="3872"/>
      <c r="AT36" s="2700"/>
      <c r="AU36" s="3874">
        <f t="shared" si="3"/>
        <v>25090.583686573151</v>
      </c>
      <c r="AV36" s="2701"/>
      <c r="AW36" s="4060">
        <v>2786.5697610000007</v>
      </c>
      <c r="AX36" s="2700"/>
      <c r="AY36" s="4062">
        <f t="shared" si="4"/>
        <v>27877.153447573153</v>
      </c>
      <c r="AZ36" s="2701"/>
      <c r="BA36" s="4378"/>
      <c r="BB36" s="2807"/>
      <c r="BC36" s="4558">
        <f t="shared" si="7"/>
        <v>2786.5697610000007</v>
      </c>
      <c r="BD36" s="2808"/>
      <c r="BE36" s="1958">
        <f t="shared" si="8"/>
        <v>15284.3415043</v>
      </c>
      <c r="BF36" s="2700"/>
      <c r="BG36" s="4557">
        <f t="shared" si="5"/>
        <v>27877.153447573153</v>
      </c>
      <c r="BH36" s="4658"/>
      <c r="BI36" s="4658"/>
      <c r="BJ36" s="4658"/>
      <c r="BK36" s="4658"/>
      <c r="BL36" s="4658"/>
      <c r="BM36" s="4658"/>
      <c r="BN36" s="4658"/>
      <c r="BO36" s="4658"/>
      <c r="BP36" s="4658"/>
    </row>
    <row r="37" spans="2:68" s="1352" customFormat="1" ht="15" customHeight="1" x14ac:dyDescent="0.25">
      <c r="B37" s="3343" t="s">
        <v>1212</v>
      </c>
      <c r="C37" s="3340"/>
      <c r="D37" s="2810"/>
      <c r="E37" s="1624" t="s">
        <v>53</v>
      </c>
      <c r="F37" s="2811"/>
      <c r="G37" s="1123"/>
      <c r="H37" s="2811"/>
      <c r="I37" s="1039"/>
      <c r="J37" s="2812"/>
      <c r="K37" s="2339">
        <f t="shared" si="15"/>
        <v>0</v>
      </c>
      <c r="L37" s="2811"/>
      <c r="M37" s="1717">
        <v>7.1</v>
      </c>
      <c r="N37" s="2813"/>
      <c r="O37" s="2338">
        <f t="shared" si="16"/>
        <v>7.1</v>
      </c>
      <c r="P37" s="2811"/>
      <c r="Q37" s="1123">
        <v>0</v>
      </c>
      <c r="R37" s="2812"/>
      <c r="S37" s="2339">
        <f t="shared" si="13"/>
        <v>7.1</v>
      </c>
      <c r="T37" s="2811"/>
      <c r="U37" s="1123"/>
      <c r="V37" s="2812"/>
      <c r="W37" s="2339">
        <f t="shared" si="14"/>
        <v>7.1</v>
      </c>
      <c r="X37" s="2811"/>
      <c r="Y37" s="1123"/>
      <c r="Z37" s="2813"/>
      <c r="AA37" s="2338">
        <f t="shared" si="9"/>
        <v>0</v>
      </c>
      <c r="AB37" s="2814"/>
      <c r="AC37" s="1958">
        <f t="shared" si="10"/>
        <v>7.1</v>
      </c>
      <c r="AD37" s="2811"/>
      <c r="AE37" s="238">
        <v>0</v>
      </c>
      <c r="AF37" s="2812"/>
      <c r="AG37" s="3163">
        <f t="shared" si="0"/>
        <v>7.1</v>
      </c>
      <c r="AH37" s="2811"/>
      <c r="AI37" s="238">
        <v>0</v>
      </c>
      <c r="AJ37" s="2812"/>
      <c r="AK37" s="3321">
        <f t="shared" si="1"/>
        <v>7.1</v>
      </c>
      <c r="AL37" s="2811"/>
      <c r="AM37" s="3640">
        <v>0</v>
      </c>
      <c r="AN37" s="2813"/>
      <c r="AO37" s="3600">
        <f t="shared" si="6"/>
        <v>0</v>
      </c>
      <c r="AP37" s="2812"/>
      <c r="AQ37" s="3597">
        <f t="shared" si="2"/>
        <v>7.1</v>
      </c>
      <c r="AR37" s="2811"/>
      <c r="AS37" s="3872"/>
      <c r="AT37" s="2812"/>
      <c r="AU37" s="3874">
        <f t="shared" si="3"/>
        <v>7.1</v>
      </c>
      <c r="AV37" s="2811"/>
      <c r="AW37" s="4060"/>
      <c r="AX37" s="2812"/>
      <c r="AY37" s="4062">
        <f t="shared" si="4"/>
        <v>7.1</v>
      </c>
      <c r="AZ37" s="2811"/>
      <c r="BA37" s="4378">
        <v>21.3</v>
      </c>
      <c r="BB37" s="2813"/>
      <c r="BC37" s="4558">
        <f t="shared" si="7"/>
        <v>21.3</v>
      </c>
      <c r="BD37" s="2814"/>
      <c r="BE37" s="1958">
        <f t="shared" si="8"/>
        <v>21.3</v>
      </c>
      <c r="BF37" s="2812"/>
      <c r="BG37" s="4557">
        <f t="shared" si="5"/>
        <v>28.4</v>
      </c>
      <c r="BH37" s="4658"/>
      <c r="BI37" s="4658"/>
      <c r="BJ37" s="4658"/>
      <c r="BK37" s="4658"/>
      <c r="BL37" s="4658"/>
      <c r="BM37" s="4658"/>
      <c r="BN37" s="4658"/>
      <c r="BO37" s="4658"/>
      <c r="BP37" s="4658"/>
    </row>
    <row r="38" spans="2:68" s="1352" customFormat="1" ht="15" customHeight="1" x14ac:dyDescent="0.25">
      <c r="B38" s="3343" t="s">
        <v>1213</v>
      </c>
      <c r="C38" s="3340"/>
      <c r="D38" s="2810"/>
      <c r="E38" s="1624" t="s">
        <v>53</v>
      </c>
      <c r="F38" s="2811"/>
      <c r="G38" s="1123"/>
      <c r="H38" s="2811"/>
      <c r="I38" s="1039"/>
      <c r="J38" s="2812"/>
      <c r="K38" s="2339">
        <f t="shared" si="15"/>
        <v>0</v>
      </c>
      <c r="L38" s="2811"/>
      <c r="M38" s="639"/>
      <c r="N38" s="2813"/>
      <c r="O38" s="2338">
        <f t="shared" si="16"/>
        <v>0</v>
      </c>
      <c r="P38" s="2811"/>
      <c r="Q38" s="1123">
        <v>28</v>
      </c>
      <c r="R38" s="2812"/>
      <c r="S38" s="2339">
        <f t="shared" si="13"/>
        <v>28</v>
      </c>
      <c r="T38" s="2811"/>
      <c r="U38" s="1123"/>
      <c r="V38" s="2812"/>
      <c r="W38" s="2339">
        <f t="shared" si="14"/>
        <v>28</v>
      </c>
      <c r="X38" s="2811"/>
      <c r="Y38" s="1123"/>
      <c r="Z38" s="2813"/>
      <c r="AA38" s="2338">
        <f t="shared" si="9"/>
        <v>28</v>
      </c>
      <c r="AB38" s="2814"/>
      <c r="AC38" s="1958">
        <f t="shared" si="10"/>
        <v>28</v>
      </c>
      <c r="AD38" s="2811"/>
      <c r="AE38" s="238">
        <v>0</v>
      </c>
      <c r="AF38" s="2812"/>
      <c r="AG38" s="3163">
        <f t="shared" si="0"/>
        <v>28</v>
      </c>
      <c r="AH38" s="2811"/>
      <c r="AI38" s="238">
        <f>86.6+31.6</f>
        <v>118.19999999999999</v>
      </c>
      <c r="AJ38" s="2812"/>
      <c r="AK38" s="3321">
        <f t="shared" si="1"/>
        <v>146.19999999999999</v>
      </c>
      <c r="AL38" s="2811"/>
      <c r="AM38" s="3640">
        <v>0</v>
      </c>
      <c r="AN38" s="2813"/>
      <c r="AO38" s="3600">
        <f t="shared" si="6"/>
        <v>118.19999999999999</v>
      </c>
      <c r="AP38" s="2812"/>
      <c r="AQ38" s="3597">
        <f t="shared" si="2"/>
        <v>146.19999999999999</v>
      </c>
      <c r="AR38" s="2811"/>
      <c r="AS38" s="3872"/>
      <c r="AT38" s="2812"/>
      <c r="AU38" s="3874">
        <f t="shared" si="3"/>
        <v>146.19999999999999</v>
      </c>
      <c r="AV38" s="2811"/>
      <c r="AW38" s="4060"/>
      <c r="AX38" s="2812"/>
      <c r="AY38" s="4062">
        <f t="shared" si="4"/>
        <v>146.19999999999999</v>
      </c>
      <c r="AZ38" s="2811"/>
      <c r="BA38" s="4378">
        <v>10.343</v>
      </c>
      <c r="BB38" s="2813"/>
      <c r="BC38" s="4558">
        <f t="shared" si="7"/>
        <v>10.343</v>
      </c>
      <c r="BD38" s="2814"/>
      <c r="BE38" s="1958">
        <f t="shared" si="8"/>
        <v>128.54299999999998</v>
      </c>
      <c r="BF38" s="2812"/>
      <c r="BG38" s="4557">
        <f t="shared" si="5"/>
        <v>156.54299999999998</v>
      </c>
      <c r="BH38" s="4658"/>
      <c r="BI38" s="4658"/>
      <c r="BJ38" s="4658"/>
      <c r="BK38" s="4658"/>
      <c r="BL38" s="4658"/>
      <c r="BM38" s="4658"/>
      <c r="BN38" s="4658"/>
      <c r="BO38" s="4658"/>
      <c r="BP38" s="4658"/>
    </row>
    <row r="39" spans="2:68" s="1352" customFormat="1" ht="15" customHeight="1" x14ac:dyDescent="0.25">
      <c r="B39" s="3343" t="s">
        <v>1300</v>
      </c>
      <c r="C39" s="3340"/>
      <c r="D39" s="2810"/>
      <c r="E39" s="1624" t="s">
        <v>53</v>
      </c>
      <c r="F39" s="2811"/>
      <c r="G39" s="1123"/>
      <c r="H39" s="2811"/>
      <c r="I39" s="1039"/>
      <c r="J39" s="2812"/>
      <c r="K39" s="2339">
        <f t="shared" si="15"/>
        <v>0</v>
      </c>
      <c r="L39" s="2811"/>
      <c r="M39" s="639"/>
      <c r="N39" s="2813"/>
      <c r="O39" s="2338">
        <f t="shared" si="16"/>
        <v>0</v>
      </c>
      <c r="P39" s="2811"/>
      <c r="Q39" s="1123">
        <v>0</v>
      </c>
      <c r="R39" s="2812"/>
      <c r="S39" s="2339">
        <f t="shared" si="13"/>
        <v>0</v>
      </c>
      <c r="T39" s="2811"/>
      <c r="U39" s="1123"/>
      <c r="V39" s="2812"/>
      <c r="W39" s="2339">
        <f t="shared" si="14"/>
        <v>0</v>
      </c>
      <c r="X39" s="2811"/>
      <c r="Y39" s="1123"/>
      <c r="Z39" s="2813"/>
      <c r="AA39" s="2338">
        <f t="shared" si="9"/>
        <v>0</v>
      </c>
      <c r="AB39" s="2814"/>
      <c r="AC39" s="1958">
        <f t="shared" si="10"/>
        <v>0</v>
      </c>
      <c r="AD39" s="2811"/>
      <c r="AE39" s="238">
        <v>0</v>
      </c>
      <c r="AF39" s="2812"/>
      <c r="AG39" s="3163">
        <f t="shared" si="0"/>
        <v>0</v>
      </c>
      <c r="AH39" s="2811"/>
      <c r="AI39" s="238">
        <v>0</v>
      </c>
      <c r="AJ39" s="2812"/>
      <c r="AK39" s="3321">
        <f t="shared" si="1"/>
        <v>0</v>
      </c>
      <c r="AL39" s="2811"/>
      <c r="AM39" s="3640">
        <v>7.4</v>
      </c>
      <c r="AN39" s="2813"/>
      <c r="AO39" s="3600">
        <f t="shared" si="6"/>
        <v>7.4</v>
      </c>
      <c r="AP39" s="2812"/>
      <c r="AQ39" s="3597">
        <f t="shared" si="2"/>
        <v>7.4</v>
      </c>
      <c r="AR39" s="2811"/>
      <c r="AS39" s="3872"/>
      <c r="AT39" s="2812"/>
      <c r="AU39" s="3874">
        <f t="shared" si="3"/>
        <v>7.4</v>
      </c>
      <c r="AV39" s="2811"/>
      <c r="AW39" s="4060"/>
      <c r="AX39" s="2812"/>
      <c r="AY39" s="4062">
        <f t="shared" si="4"/>
        <v>7.4</v>
      </c>
      <c r="AZ39" s="2811"/>
      <c r="BA39" s="4378"/>
      <c r="BB39" s="2813"/>
      <c r="BC39" s="4558">
        <f t="shared" si="7"/>
        <v>0</v>
      </c>
      <c r="BD39" s="2814"/>
      <c r="BE39" s="1958">
        <f t="shared" si="8"/>
        <v>7.4</v>
      </c>
      <c r="BF39" s="2812"/>
      <c r="BG39" s="4557">
        <f t="shared" si="5"/>
        <v>7.4</v>
      </c>
      <c r="BH39" s="4658"/>
      <c r="BI39" s="4658"/>
      <c r="BJ39" s="4658"/>
      <c r="BK39" s="4658"/>
      <c r="BL39" s="4658"/>
      <c r="BM39" s="4658"/>
      <c r="BN39" s="4658"/>
      <c r="BO39" s="4658"/>
      <c r="BP39" s="4658"/>
    </row>
    <row r="40" spans="2:68" s="1352" customFormat="1" ht="15" customHeight="1" x14ac:dyDescent="0.25">
      <c r="B40" s="3343" t="s">
        <v>1861</v>
      </c>
      <c r="C40" s="3340"/>
      <c r="D40" s="2810"/>
      <c r="E40" s="1624" t="s">
        <v>53</v>
      </c>
      <c r="F40" s="2811"/>
      <c r="G40" s="1123"/>
      <c r="H40" s="2811"/>
      <c r="I40" s="1039"/>
      <c r="J40" s="2812"/>
      <c r="K40" s="2339">
        <f t="shared" si="15"/>
        <v>0</v>
      </c>
      <c r="L40" s="2811"/>
      <c r="M40" s="639"/>
      <c r="N40" s="2813"/>
      <c r="O40" s="2338">
        <f t="shared" si="16"/>
        <v>0</v>
      </c>
      <c r="P40" s="2811"/>
      <c r="Q40" s="1123">
        <v>0</v>
      </c>
      <c r="R40" s="2812"/>
      <c r="S40" s="2339">
        <f t="shared" si="13"/>
        <v>0</v>
      </c>
      <c r="T40" s="2811"/>
      <c r="U40" s="1123"/>
      <c r="V40" s="2812"/>
      <c r="W40" s="2339">
        <f t="shared" si="14"/>
        <v>0</v>
      </c>
      <c r="X40" s="2811"/>
      <c r="Y40" s="1123"/>
      <c r="Z40" s="2813"/>
      <c r="AA40" s="2338">
        <f t="shared" si="9"/>
        <v>0</v>
      </c>
      <c r="AB40" s="2814"/>
      <c r="AC40" s="1958">
        <f t="shared" si="10"/>
        <v>0</v>
      </c>
      <c r="AD40" s="2811"/>
      <c r="AE40" s="238">
        <v>0</v>
      </c>
      <c r="AF40" s="2812"/>
      <c r="AG40" s="3163">
        <f t="shared" si="0"/>
        <v>0</v>
      </c>
      <c r="AH40" s="2811"/>
      <c r="AI40" s="238">
        <v>0</v>
      </c>
      <c r="AJ40" s="2812"/>
      <c r="AK40" s="3321">
        <f t="shared" si="1"/>
        <v>0</v>
      </c>
      <c r="AL40" s="2811"/>
      <c r="AM40" s="3640">
        <v>0</v>
      </c>
      <c r="AN40" s="2813"/>
      <c r="AO40" s="3600">
        <f t="shared" si="6"/>
        <v>0</v>
      </c>
      <c r="AP40" s="2812"/>
      <c r="AQ40" s="3597">
        <f t="shared" si="2"/>
        <v>0</v>
      </c>
      <c r="AR40" s="2811"/>
      <c r="AS40" s="3872"/>
      <c r="AT40" s="2812"/>
      <c r="AU40" s="3874">
        <f t="shared" si="3"/>
        <v>0</v>
      </c>
      <c r="AV40" s="2811"/>
      <c r="AW40" s="4060"/>
      <c r="AX40" s="2812"/>
      <c r="AY40" s="4062">
        <f t="shared" si="4"/>
        <v>0</v>
      </c>
      <c r="AZ40" s="2811"/>
      <c r="BA40" s="4378">
        <v>50</v>
      </c>
      <c r="BB40" s="2813"/>
      <c r="BC40" s="4558">
        <f t="shared" si="7"/>
        <v>50</v>
      </c>
      <c r="BD40" s="2814"/>
      <c r="BE40" s="1958">
        <f t="shared" si="8"/>
        <v>50</v>
      </c>
      <c r="BF40" s="2812"/>
      <c r="BG40" s="4557">
        <f t="shared" si="5"/>
        <v>50</v>
      </c>
      <c r="BH40" s="4658"/>
      <c r="BI40" s="4658"/>
      <c r="BJ40" s="4658"/>
      <c r="BK40" s="4658"/>
      <c r="BL40" s="4658"/>
      <c r="BM40" s="4658"/>
      <c r="BN40" s="4658"/>
      <c r="BO40" s="4658"/>
      <c r="BP40" s="4658"/>
    </row>
    <row r="41" spans="2:68" s="1352" customFormat="1" ht="15" customHeight="1" thickBot="1" x14ac:dyDescent="0.3">
      <c r="B41" s="3344" t="s">
        <v>1454</v>
      </c>
      <c r="C41" s="3340"/>
      <c r="D41" s="2810"/>
      <c r="E41" s="1624" t="s">
        <v>53</v>
      </c>
      <c r="F41" s="2811"/>
      <c r="G41" s="1123"/>
      <c r="H41" s="2811"/>
      <c r="I41" s="1039"/>
      <c r="J41" s="2812"/>
      <c r="K41" s="2339">
        <f t="shared" si="15"/>
        <v>0</v>
      </c>
      <c r="L41" s="2811"/>
      <c r="M41" s="639"/>
      <c r="N41" s="2813"/>
      <c r="O41" s="2338">
        <f t="shared" si="16"/>
        <v>0</v>
      </c>
      <c r="P41" s="2811"/>
      <c r="Q41" s="1123">
        <v>33</v>
      </c>
      <c r="R41" s="2812"/>
      <c r="S41" s="2339">
        <f t="shared" si="13"/>
        <v>33</v>
      </c>
      <c r="T41" s="2811"/>
      <c r="U41" s="1123"/>
      <c r="V41" s="2812"/>
      <c r="W41" s="2339">
        <f t="shared" si="14"/>
        <v>33</v>
      </c>
      <c r="X41" s="2811"/>
      <c r="Y41" s="1123">
        <v>19</v>
      </c>
      <c r="Z41" s="2813"/>
      <c r="AA41" s="2338">
        <f t="shared" si="9"/>
        <v>52</v>
      </c>
      <c r="AB41" s="2814"/>
      <c r="AC41" s="1958">
        <f t="shared" si="10"/>
        <v>52</v>
      </c>
      <c r="AD41" s="2811"/>
      <c r="AE41" s="238">
        <v>0</v>
      </c>
      <c r="AF41" s="2812"/>
      <c r="AG41" s="3163">
        <f t="shared" si="0"/>
        <v>52</v>
      </c>
      <c r="AH41" s="2811"/>
      <c r="AI41" s="238">
        <v>0</v>
      </c>
      <c r="AJ41" s="2812"/>
      <c r="AK41" s="3321">
        <f t="shared" si="1"/>
        <v>52</v>
      </c>
      <c r="AL41" s="2811"/>
      <c r="AM41" s="3640">
        <v>0</v>
      </c>
      <c r="AN41" s="2813"/>
      <c r="AO41" s="3600">
        <f t="shared" si="6"/>
        <v>0</v>
      </c>
      <c r="AP41" s="2812"/>
      <c r="AQ41" s="3597">
        <f t="shared" si="2"/>
        <v>52</v>
      </c>
      <c r="AR41" s="2811"/>
      <c r="AS41" s="3872">
        <v>152.136</v>
      </c>
      <c r="AT41" s="2812"/>
      <c r="AU41" s="3874">
        <f t="shared" si="3"/>
        <v>204.136</v>
      </c>
      <c r="AV41" s="2811"/>
      <c r="AW41" s="4060"/>
      <c r="AX41" s="2812"/>
      <c r="AY41" s="4062">
        <f t="shared" si="4"/>
        <v>204.136</v>
      </c>
      <c r="AZ41" s="2811"/>
      <c r="BA41" s="4378"/>
      <c r="BB41" s="2813"/>
      <c r="BC41" s="4558">
        <f t="shared" si="7"/>
        <v>152.136</v>
      </c>
      <c r="BD41" s="2814"/>
      <c r="BE41" s="1958">
        <f t="shared" si="8"/>
        <v>152.136</v>
      </c>
      <c r="BF41" s="2812"/>
      <c r="BG41" s="4557">
        <f t="shared" si="5"/>
        <v>204.136</v>
      </c>
      <c r="BH41" s="4658"/>
      <c r="BI41" s="4658"/>
      <c r="BJ41" s="4658"/>
      <c r="BK41" s="4658"/>
      <c r="BL41" s="4658"/>
      <c r="BM41" s="4658"/>
      <c r="BN41" s="4658"/>
      <c r="BO41" s="4658"/>
      <c r="BP41" s="4658"/>
    </row>
    <row r="42" spans="2:68" s="334" customFormat="1" ht="16.5" thickBot="1" x14ac:dyDescent="0.3">
      <c r="B42" s="3200" t="s">
        <v>331</v>
      </c>
      <c r="C42" s="3199"/>
      <c r="D42" s="3199"/>
      <c r="E42" s="2049" t="s">
        <v>53</v>
      </c>
      <c r="F42" s="1121">
        <f>+'Maj Production Summ'!E30</f>
        <v>10000</v>
      </c>
      <c r="G42" s="557">
        <f>+SUM(G6:G41)</f>
        <v>7869.3199256806001</v>
      </c>
      <c r="H42" s="1121">
        <f>+'Maj Production Summ'!G30</f>
        <v>0</v>
      </c>
      <c r="I42" s="557">
        <f>+SUM(I6:I41)</f>
        <v>2728.5069318792503</v>
      </c>
      <c r="J42" s="1121">
        <f>+F42+H42</f>
        <v>10000</v>
      </c>
      <c r="K42" s="1121">
        <f>+G42+I42</f>
        <v>10597.82685755985</v>
      </c>
      <c r="L42" s="1121">
        <f>+'Maj Production Summ'!K30</f>
        <v>40000</v>
      </c>
      <c r="M42" s="557">
        <f>+SUM(M6:M41)</f>
        <v>9453.3789561899921</v>
      </c>
      <c r="N42" s="1121">
        <f>+F42+H42+L42</f>
        <v>50000</v>
      </c>
      <c r="O42" s="1121">
        <f>+G42+I42+M42</f>
        <v>20051.205813749842</v>
      </c>
      <c r="P42" s="1121">
        <f>+'Maj Production Summ'!O30</f>
        <v>40000</v>
      </c>
      <c r="Q42" s="557">
        <f>+SUM(Q6:Q41)</f>
        <v>23344.082627484044</v>
      </c>
      <c r="R42" s="1121">
        <f>+N42+P42</f>
        <v>90000</v>
      </c>
      <c r="S42" s="1121">
        <f>+O42+Q42</f>
        <v>43395.28844123389</v>
      </c>
      <c r="T42" s="1121">
        <f>+'Maj Production Summ'!S30</f>
        <v>45000</v>
      </c>
      <c r="U42" s="557">
        <f>+SUM(U6:U41)</f>
        <v>18608.684864535</v>
      </c>
      <c r="V42" s="1121">
        <f>+R42+T42</f>
        <v>135000</v>
      </c>
      <c r="W42" s="1121">
        <f>+S42+U42</f>
        <v>62003.973305768886</v>
      </c>
      <c r="X42" s="1121">
        <f>+'Maj Production Summ'!W30</f>
        <v>45000</v>
      </c>
      <c r="Y42" s="557">
        <f>+SUM(Y6:Y41)</f>
        <v>8018.4363389999999</v>
      </c>
      <c r="Z42" s="1121">
        <f>+P42+T42+X42</f>
        <v>130000</v>
      </c>
      <c r="AA42" s="1121">
        <f>+Q42+U42+Y42</f>
        <v>49971.203831019047</v>
      </c>
      <c r="AB42" s="1121">
        <f>+N42+Z42</f>
        <v>180000</v>
      </c>
      <c r="AC42" s="1121">
        <f>+O42+AA42</f>
        <v>70022.409644768893</v>
      </c>
      <c r="AD42" s="1121">
        <f>+'Maj Production Summ'!AC30</f>
        <v>45000</v>
      </c>
      <c r="AE42" s="557">
        <f>+SUM(AE6:AE41)</f>
        <v>22485.667316714997</v>
      </c>
      <c r="AF42" s="1121">
        <f>+AB42+AD42</f>
        <v>225000</v>
      </c>
      <c r="AG42" s="1121">
        <f>+AC42+AE42</f>
        <v>92508.076961483894</v>
      </c>
      <c r="AH42" s="1121">
        <f>+'Maj Production Summ'!AG30</f>
        <v>45000</v>
      </c>
      <c r="AI42" s="557">
        <f>+SUM(AI6:AI41)</f>
        <v>21027.742174999999</v>
      </c>
      <c r="AJ42" s="1121">
        <f>+AF42+AH42</f>
        <v>270000</v>
      </c>
      <c r="AK42" s="1121">
        <f>+AG42+AI42</f>
        <v>113535.81913648389</v>
      </c>
      <c r="AL42" s="1121">
        <f>+'Maj Production Summ'!AK30</f>
        <v>45000</v>
      </c>
      <c r="AM42" s="557">
        <f>+SUM(AM6:AM41)</f>
        <v>29553.213258500004</v>
      </c>
      <c r="AN42" s="1121">
        <f>+AD42+AH42+AL42</f>
        <v>135000</v>
      </c>
      <c r="AO42" s="1121">
        <f>+AE42+AI42+AM42</f>
        <v>73066.622750215</v>
      </c>
      <c r="AP42" s="1121">
        <f>+AJ42+AL42</f>
        <v>315000</v>
      </c>
      <c r="AQ42" s="1121">
        <f>+AK42+AM42</f>
        <v>143089.03239498389</v>
      </c>
      <c r="AR42" s="1121">
        <f>+'Maj Production Summ'!AQ30</f>
        <v>45000</v>
      </c>
      <c r="AS42" s="557">
        <f>+SUM(AS6:AS41)</f>
        <v>20534.637798780001</v>
      </c>
      <c r="AT42" s="1121">
        <f>+AP42+AR42</f>
        <v>360000</v>
      </c>
      <c r="AU42" s="1121">
        <f>+AQ42+AS42</f>
        <v>163623.67019376389</v>
      </c>
      <c r="AV42" s="1121">
        <f>+'Maj Production Summ'!AU30</f>
        <v>45000</v>
      </c>
      <c r="AW42" s="557">
        <f>+SUM(AW6:AW41)</f>
        <v>24125.900859449997</v>
      </c>
      <c r="AX42" s="1121">
        <f>+AT42+AV42</f>
        <v>405000</v>
      </c>
      <c r="AY42" s="1121">
        <f>+AU42+AW42</f>
        <v>187749.57105321388</v>
      </c>
      <c r="AZ42" s="1121">
        <f>+'Maj Production Summ'!AY30</f>
        <v>45000</v>
      </c>
      <c r="BA42" s="557">
        <f>+SUM(BA6:BA41)</f>
        <v>25923.072000000004</v>
      </c>
      <c r="BB42" s="1121">
        <f>+AR42+AV42+AZ42</f>
        <v>135000</v>
      </c>
      <c r="BC42" s="1121">
        <f>+AS42+AW42+BA42</f>
        <v>70583.610658229998</v>
      </c>
      <c r="BD42" s="1121">
        <f>+AN42+BB42</f>
        <v>270000</v>
      </c>
      <c r="BE42" s="1121">
        <f>+AO42+BC42</f>
        <v>143650.233408445</v>
      </c>
      <c r="BF42" s="1121">
        <f>+BD42+AB42</f>
        <v>450000</v>
      </c>
      <c r="BG42" s="1121">
        <f>+BE42+AC42</f>
        <v>213672.64305321389</v>
      </c>
      <c r="BH42" s="4658"/>
      <c r="BI42" s="4658"/>
      <c r="BJ42" s="4658"/>
      <c r="BK42" s="4658"/>
      <c r="BL42" s="4658"/>
      <c r="BM42" s="4658"/>
      <c r="BN42" s="4658"/>
      <c r="BO42" s="4658"/>
      <c r="BP42" s="4658"/>
    </row>
    <row r="43" spans="2:68" s="334" customFormat="1" ht="16.5" thickBot="1" x14ac:dyDescent="0.3">
      <c r="B43" s="2815" t="s">
        <v>1056</v>
      </c>
      <c r="C43" s="3200"/>
      <c r="D43" s="3200"/>
      <c r="E43" s="2816" t="s">
        <v>53</v>
      </c>
      <c r="F43" s="1999">
        <f>+F42</f>
        <v>10000</v>
      </c>
      <c r="G43" s="939">
        <f>+SUM(G6:G36)</f>
        <v>7869.3199256806001</v>
      </c>
      <c r="H43" s="1999">
        <f>+H42</f>
        <v>0</v>
      </c>
      <c r="I43" s="939">
        <f>+SUM(I6:I36)</f>
        <v>2728.5069318792503</v>
      </c>
      <c r="J43" s="1121">
        <f>+F43+H43</f>
        <v>10000</v>
      </c>
      <c r="K43" s="1121">
        <f>+G43+I43</f>
        <v>10597.82685755985</v>
      </c>
      <c r="L43" s="1999">
        <f>+L42</f>
        <v>40000</v>
      </c>
      <c r="M43" s="939">
        <f>+SUM(M6:M36)</f>
        <v>9446.2789561899917</v>
      </c>
      <c r="N43" s="1121">
        <f>+F43+H43+L43</f>
        <v>50000</v>
      </c>
      <c r="O43" s="1121">
        <f>+G43+I43+M43</f>
        <v>20044.10581374984</v>
      </c>
      <c r="P43" s="1999">
        <f>+P42</f>
        <v>40000</v>
      </c>
      <c r="Q43" s="939">
        <f>+SUM(Q6:Q36)</f>
        <v>23283.082627484044</v>
      </c>
      <c r="R43" s="1121">
        <f>+N43+P43</f>
        <v>90000</v>
      </c>
      <c r="S43" s="1121">
        <f>+O43+Q43</f>
        <v>43327.188441233884</v>
      </c>
      <c r="T43" s="1999">
        <f>+T42</f>
        <v>45000</v>
      </c>
      <c r="U43" s="939">
        <f>+SUM(U6:U36)</f>
        <v>18608.684864535</v>
      </c>
      <c r="V43" s="1121">
        <f>+R43+T43</f>
        <v>135000</v>
      </c>
      <c r="W43" s="1121">
        <f>+S43+U43</f>
        <v>61935.873305768881</v>
      </c>
      <c r="X43" s="1999">
        <f>+X42</f>
        <v>45000</v>
      </c>
      <c r="Y43" s="939">
        <f>+SUM(Y6:Y36)</f>
        <v>7999.4363389999999</v>
      </c>
      <c r="Z43" s="1121">
        <f>+P43+T43+X43</f>
        <v>130000</v>
      </c>
      <c r="AA43" s="1121">
        <f>+Q43+U43+Y43</f>
        <v>49891.203831019047</v>
      </c>
      <c r="AB43" s="1121">
        <f>+N43+Z43</f>
        <v>180000</v>
      </c>
      <c r="AC43" s="1121">
        <f>+O43+AA43</f>
        <v>69935.309644768888</v>
      </c>
      <c r="AD43" s="1999">
        <f>+AD42</f>
        <v>45000</v>
      </c>
      <c r="AE43" s="939">
        <f>+AE42-AE44</f>
        <v>22485.667316714997</v>
      </c>
      <c r="AF43" s="1121">
        <f>+AB43+AD43</f>
        <v>225000</v>
      </c>
      <c r="AG43" s="1121">
        <f>+AC43+AE43</f>
        <v>92420.976961483888</v>
      </c>
      <c r="AH43" s="1999">
        <f>+AH42</f>
        <v>45000</v>
      </c>
      <c r="AI43" s="939">
        <f>+AI42-AI44</f>
        <v>20909.542174999999</v>
      </c>
      <c r="AJ43" s="1121">
        <f>+AF43+AH43</f>
        <v>270000</v>
      </c>
      <c r="AK43" s="1121">
        <f>+AG43+AI43</f>
        <v>113330.51913648388</v>
      </c>
      <c r="AL43" s="1999">
        <f>+AL42</f>
        <v>45000</v>
      </c>
      <c r="AM43" s="939">
        <f>+AM42-AM44</f>
        <v>29545.813258500002</v>
      </c>
      <c r="AN43" s="1121">
        <f>+AD43+AH43+AL43</f>
        <v>135000</v>
      </c>
      <c r="AO43" s="1121">
        <f>+AE43+AI43+AM43</f>
        <v>72941.022750214994</v>
      </c>
      <c r="AP43" s="1121">
        <f>+AJ43+AL43</f>
        <v>315000</v>
      </c>
      <c r="AQ43" s="1121">
        <f>+AK43+AM43</f>
        <v>142876.33239498388</v>
      </c>
      <c r="AR43" s="1999">
        <f>+AR42</f>
        <v>45000</v>
      </c>
      <c r="AS43" s="939">
        <f>+AS42-AS44</f>
        <v>20382.501798780002</v>
      </c>
      <c r="AT43" s="1121">
        <f>+AP43+AR43</f>
        <v>360000</v>
      </c>
      <c r="AU43" s="1121">
        <f>+AQ43+AS43</f>
        <v>163258.83419376388</v>
      </c>
      <c r="AV43" s="1999">
        <f>+AV42</f>
        <v>45000</v>
      </c>
      <c r="AW43" s="939">
        <f>+AW42-AW44</f>
        <v>24125.900859449997</v>
      </c>
      <c r="AX43" s="1121">
        <f>+AT43+AV43</f>
        <v>405000</v>
      </c>
      <c r="AY43" s="1121">
        <f>+AU43+AW43</f>
        <v>187384.73505321387</v>
      </c>
      <c r="AZ43" s="1999">
        <f>+AZ42</f>
        <v>45000</v>
      </c>
      <c r="BA43" s="939">
        <f>+BA42-BA44</f>
        <v>25841.429000000004</v>
      </c>
      <c r="BB43" s="1121">
        <f>+AR43+AV43+AZ43</f>
        <v>135000</v>
      </c>
      <c r="BC43" s="1121">
        <f>+AS43+AW43+BA43</f>
        <v>70349.831658230003</v>
      </c>
      <c r="BD43" s="1121">
        <f>+AN43+BB43</f>
        <v>270000</v>
      </c>
      <c r="BE43" s="1121">
        <f>+AO43+BC43</f>
        <v>143290.85440844501</v>
      </c>
      <c r="BF43" s="1121">
        <f>+BD43+AB43</f>
        <v>450000</v>
      </c>
      <c r="BG43" s="1121">
        <f>+BE43+AC43</f>
        <v>213226.1640532139</v>
      </c>
      <c r="BH43" s="4658"/>
      <c r="BI43" s="4658"/>
      <c r="BJ43" s="4658"/>
      <c r="BK43" s="4658"/>
      <c r="BL43" s="4658"/>
      <c r="BM43" s="4658"/>
      <c r="BN43" s="4658"/>
      <c r="BO43" s="4658"/>
      <c r="BP43" s="4658"/>
    </row>
    <row r="44" spans="2:68" s="334" customFormat="1" ht="16.5" thickBot="1" x14ac:dyDescent="0.3">
      <c r="B44" s="2815" t="s">
        <v>1055</v>
      </c>
      <c r="C44" s="2815"/>
      <c r="D44" s="2815"/>
      <c r="E44" s="2816" t="s">
        <v>53</v>
      </c>
      <c r="F44" s="1999"/>
      <c r="G44" s="939">
        <f>+SUM(G37:G41)</f>
        <v>0</v>
      </c>
      <c r="H44" s="1999"/>
      <c r="I44" s="939">
        <f>+SUM(I37:I41)</f>
        <v>0</v>
      </c>
      <c r="J44" s="1121"/>
      <c r="K44" s="939">
        <v>0</v>
      </c>
      <c r="L44" s="1999"/>
      <c r="M44" s="939">
        <f>+SUM(M37:M41)</f>
        <v>7.1</v>
      </c>
      <c r="N44" s="1121"/>
      <c r="O44" s="939">
        <f>+SUM(O37:O41)</f>
        <v>7.1</v>
      </c>
      <c r="P44" s="2817"/>
      <c r="Q44" s="939">
        <f>+SUM(Q37:Q41)</f>
        <v>61</v>
      </c>
      <c r="R44" s="1121"/>
      <c r="S44" s="939">
        <f>+SUM(S37:S41)</f>
        <v>68.099999999999994</v>
      </c>
      <c r="T44" s="2817"/>
      <c r="U44" s="939">
        <f>+SUM(U37:U41)</f>
        <v>0</v>
      </c>
      <c r="V44" s="1121"/>
      <c r="W44" s="939">
        <f>+SUM(W37:W41)</f>
        <v>68.099999999999994</v>
      </c>
      <c r="X44" s="2817"/>
      <c r="Y44" s="939">
        <v>19</v>
      </c>
      <c r="Z44" s="1121"/>
      <c r="AA44" s="939">
        <f>+SUM(AA37:AA41)</f>
        <v>80</v>
      </c>
      <c r="AB44" s="1121"/>
      <c r="AC44" s="939">
        <f>+SUM(AC37:AC41)</f>
        <v>87.1</v>
      </c>
      <c r="AD44" s="2817"/>
      <c r="AE44" s="939">
        <f>+SUM(AE37:AE41)</f>
        <v>0</v>
      </c>
      <c r="AF44" s="1121"/>
      <c r="AG44" s="939">
        <f>+SUM(AG37:AG41)</f>
        <v>87.1</v>
      </c>
      <c r="AH44" s="2817"/>
      <c r="AI44" s="939">
        <f>+SUM(AI37:AI41)</f>
        <v>118.19999999999999</v>
      </c>
      <c r="AJ44" s="1121"/>
      <c r="AK44" s="939">
        <f>+SUM(AK37:AK41)</f>
        <v>205.29999999999998</v>
      </c>
      <c r="AL44" s="2817"/>
      <c r="AM44" s="939">
        <f>+SUM(AM37:AM41)</f>
        <v>7.4</v>
      </c>
      <c r="AN44" s="1121"/>
      <c r="AO44" s="939">
        <f>+SUM(AO37:AO41)</f>
        <v>125.6</v>
      </c>
      <c r="AP44" s="1121"/>
      <c r="AQ44" s="939">
        <f>+SUM(AQ37:AQ41)</f>
        <v>212.7</v>
      </c>
      <c r="AR44" s="2817"/>
      <c r="AS44" s="939">
        <f>+SUM(AS37:AS41)</f>
        <v>152.136</v>
      </c>
      <c r="AT44" s="1121"/>
      <c r="AU44" s="939">
        <f>+SUM(AU37:AU41)</f>
        <v>364.83600000000001</v>
      </c>
      <c r="AV44" s="2817"/>
      <c r="AW44" s="939">
        <f>+SUM(AW37:AW41)</f>
        <v>0</v>
      </c>
      <c r="AX44" s="1121"/>
      <c r="AY44" s="939">
        <f>+SUM(AY37:AY41)</f>
        <v>364.83600000000001</v>
      </c>
      <c r="AZ44" s="2817"/>
      <c r="BA44" s="939">
        <f>+SUM(BA37:BA41)</f>
        <v>81.643000000000001</v>
      </c>
      <c r="BB44" s="1121"/>
      <c r="BC44" s="939">
        <f>+SUM(BC37:BC41)</f>
        <v>233.779</v>
      </c>
      <c r="BD44" s="1121"/>
      <c r="BE44" s="939">
        <f>+SUM(BE37:BE41)</f>
        <v>359.37900000000002</v>
      </c>
      <c r="BF44" s="1121"/>
      <c r="BG44" s="939">
        <f>+SUM(BG37:BG41)</f>
        <v>446.47899999999998</v>
      </c>
      <c r="BH44" s="4658"/>
      <c r="BI44" s="4658"/>
      <c r="BJ44" s="4658"/>
      <c r="BK44" s="4658"/>
      <c r="BL44" s="4658"/>
      <c r="BM44" s="4658"/>
      <c r="BN44" s="4658"/>
      <c r="BO44" s="4658"/>
      <c r="BP44" s="4658"/>
    </row>
    <row r="45" spans="2:68" s="334" customFormat="1" ht="16.5" thickBot="1" x14ac:dyDescent="0.3">
      <c r="B45" s="3201" t="s">
        <v>348</v>
      </c>
      <c r="C45" s="2009"/>
      <c r="D45" s="2009"/>
      <c r="E45" s="3202" t="s">
        <v>52</v>
      </c>
      <c r="F45" s="3203">
        <f>+F43*100/F5</f>
        <v>95.702938080199061</v>
      </c>
      <c r="G45" s="3203">
        <f t="shared" ref="G45:BG45" si="17">+G43*100/G5</f>
        <v>93.890167951223006</v>
      </c>
      <c r="H45" s="3203" t="e">
        <f t="shared" si="17"/>
        <v>#DIV/0!</v>
      </c>
      <c r="I45" s="3203">
        <f t="shared" si="17"/>
        <v>91.729935514515063</v>
      </c>
      <c r="J45" s="3203">
        <f t="shared" si="17"/>
        <v>95.702938080199061</v>
      </c>
      <c r="K45" s="3203">
        <f t="shared" si="17"/>
        <v>93.324329424589052</v>
      </c>
      <c r="L45" s="3203">
        <f t="shared" si="17"/>
        <v>95.7</v>
      </c>
      <c r="M45" s="3203">
        <f t="shared" si="17"/>
        <v>93.15056003309347</v>
      </c>
      <c r="N45" s="3203">
        <f t="shared" si="17"/>
        <v>95.700587601607879</v>
      </c>
      <c r="O45" s="3203">
        <f t="shared" si="17"/>
        <v>93.24235561351253</v>
      </c>
      <c r="P45" s="3203">
        <f t="shared" si="17"/>
        <v>95.7</v>
      </c>
      <c r="Q45" s="3203">
        <f t="shared" si="17"/>
        <v>93.442549163692604</v>
      </c>
      <c r="R45" s="3203">
        <f t="shared" si="17"/>
        <v>95.700326444446873</v>
      </c>
      <c r="S45" s="3203">
        <f t="shared" si="17"/>
        <v>93.349828496567596</v>
      </c>
      <c r="T45" s="3203">
        <f t="shared" si="17"/>
        <v>95.7</v>
      </c>
      <c r="U45" s="3203">
        <f t="shared" si="17"/>
        <v>93.615564413689953</v>
      </c>
      <c r="V45" s="3203">
        <f t="shared" si="17"/>
        <v>95.7002176293838</v>
      </c>
      <c r="W45" s="3203">
        <f t="shared" si="17"/>
        <v>93.429510397564727</v>
      </c>
      <c r="X45" s="3203">
        <f t="shared" si="17"/>
        <v>95.7</v>
      </c>
      <c r="Y45" s="3203">
        <f t="shared" si="17"/>
        <v>92.464122045798661</v>
      </c>
      <c r="Z45" s="3203">
        <f t="shared" si="17"/>
        <v>95.7</v>
      </c>
      <c r="AA45" s="3203">
        <f t="shared" si="17"/>
        <v>93.348518052887798</v>
      </c>
      <c r="AB45" s="3203">
        <f t="shared" si="17"/>
        <v>95.700163221945061</v>
      </c>
      <c r="AC45" s="3203">
        <f t="shared" si="17"/>
        <v>93.318066210905442</v>
      </c>
      <c r="AD45" s="3203">
        <f t="shared" si="17"/>
        <v>95.7</v>
      </c>
      <c r="AE45" s="3203">
        <f t="shared" si="17"/>
        <v>93.477831550160275</v>
      </c>
      <c r="AF45" s="3203">
        <f t="shared" si="17"/>
        <v>95.700130577511516</v>
      </c>
      <c r="AG45" s="3203">
        <f t="shared" si="17"/>
        <v>93.356886209956215</v>
      </c>
      <c r="AH45" s="3203">
        <f t="shared" si="17"/>
        <v>95.7</v>
      </c>
      <c r="AI45" s="3203">
        <f t="shared" si="17"/>
        <v>92.872683509236751</v>
      </c>
      <c r="AJ45" s="3203">
        <f t="shared" si="17"/>
        <v>95.700108814568182</v>
      </c>
      <c r="AK45" s="3203">
        <f t="shared" si="17"/>
        <v>93.267171085709023</v>
      </c>
      <c r="AL45" s="3203">
        <f t="shared" si="17"/>
        <v>95.7</v>
      </c>
      <c r="AM45" s="3203">
        <f t="shared" si="17"/>
        <v>93.508790019330874</v>
      </c>
      <c r="AN45" s="3203">
        <f t="shared" si="17"/>
        <v>95.700000000000017</v>
      </c>
      <c r="AO45" s="3203">
        <f t="shared" si="17"/>
        <v>93.316043771528669</v>
      </c>
      <c r="AP45" s="3203">
        <f t="shared" si="17"/>
        <v>95.700093269614712</v>
      </c>
      <c r="AQ45" s="3203">
        <f t="shared" si="17"/>
        <v>93.317033707067608</v>
      </c>
      <c r="AR45" s="3203">
        <f t="shared" si="17"/>
        <v>95.7</v>
      </c>
      <c r="AS45" s="3203">
        <f t="shared" si="17"/>
        <v>93.241083755201743</v>
      </c>
      <c r="AT45" s="3203">
        <f t="shared" si="17"/>
        <v>95.700081610902927</v>
      </c>
      <c r="AU45" s="3203">
        <f t="shared" si="17"/>
        <v>93.307544765977525</v>
      </c>
      <c r="AV45" s="3203">
        <f t="shared" si="17"/>
        <v>95.7</v>
      </c>
      <c r="AW45" s="3203">
        <f t="shared" si="17"/>
        <v>94.088207441195308</v>
      </c>
      <c r="AX45" s="3203">
        <f t="shared" si="17"/>
        <v>95.700072543017953</v>
      </c>
      <c r="AY45" s="3203">
        <f t="shared" si="17"/>
        <v>93.407328212578292</v>
      </c>
      <c r="AZ45" s="3203">
        <f t="shared" si="17"/>
        <v>95.7</v>
      </c>
      <c r="BA45" s="3203">
        <f t="shared" si="17"/>
        <v>93.72307378724372</v>
      </c>
      <c r="BB45" s="3203">
        <f t="shared" si="17"/>
        <v>95.700000000000017</v>
      </c>
      <c r="BC45" s="3203">
        <f t="shared" si="17"/>
        <v>93.707440898176401</v>
      </c>
      <c r="BD45" s="3203">
        <f t="shared" si="17"/>
        <v>95.700000000000017</v>
      </c>
      <c r="BE45" s="3203">
        <f t="shared" si="17"/>
        <v>93.507794029626083</v>
      </c>
      <c r="BF45" s="3203">
        <f t="shared" si="17"/>
        <v>95.700065288711201</v>
      </c>
      <c r="BG45" s="3203">
        <f t="shared" si="17"/>
        <v>93.445480895587224</v>
      </c>
      <c r="BH45" s="4658"/>
      <c r="BI45" s="4658"/>
      <c r="BJ45" s="4658"/>
      <c r="BK45" s="4658"/>
      <c r="BL45" s="4658"/>
      <c r="BM45" s="4658"/>
      <c r="BN45" s="4658"/>
      <c r="BO45" s="4658"/>
      <c r="BP45" s="4658"/>
    </row>
    <row r="46" spans="2:68" s="334" customFormat="1" ht="16.5" thickBot="1" x14ac:dyDescent="0.3">
      <c r="B46" s="2788" t="s">
        <v>1048</v>
      </c>
      <c r="C46" s="2789"/>
      <c r="D46" s="2789"/>
      <c r="E46" s="2790" t="s">
        <v>53</v>
      </c>
      <c r="F46" s="939"/>
      <c r="G46" s="939">
        <f>+G43</f>
        <v>7869.3199256806001</v>
      </c>
      <c r="H46" s="939">
        <f t="shared" ref="H46:BG46" si="18">+H43</f>
        <v>0</v>
      </c>
      <c r="I46" s="939">
        <f t="shared" si="18"/>
        <v>2728.5069318792503</v>
      </c>
      <c r="J46" s="939">
        <f t="shared" si="18"/>
        <v>10000</v>
      </c>
      <c r="K46" s="939">
        <f t="shared" si="18"/>
        <v>10597.82685755985</v>
      </c>
      <c r="L46" s="939">
        <f t="shared" si="18"/>
        <v>40000</v>
      </c>
      <c r="M46" s="939">
        <f t="shared" si="18"/>
        <v>9446.2789561899917</v>
      </c>
      <c r="N46" s="939">
        <f t="shared" si="18"/>
        <v>50000</v>
      </c>
      <c r="O46" s="939">
        <f t="shared" si="18"/>
        <v>20044.10581374984</v>
      </c>
      <c r="P46" s="939">
        <f t="shared" si="18"/>
        <v>40000</v>
      </c>
      <c r="Q46" s="939">
        <f t="shared" si="18"/>
        <v>23283.082627484044</v>
      </c>
      <c r="R46" s="939">
        <f t="shared" si="18"/>
        <v>90000</v>
      </c>
      <c r="S46" s="939">
        <f t="shared" si="18"/>
        <v>43327.188441233884</v>
      </c>
      <c r="T46" s="939">
        <f t="shared" si="18"/>
        <v>45000</v>
      </c>
      <c r="U46" s="939">
        <f t="shared" si="18"/>
        <v>18608.684864535</v>
      </c>
      <c r="V46" s="939">
        <f t="shared" si="18"/>
        <v>135000</v>
      </c>
      <c r="W46" s="939">
        <f t="shared" si="18"/>
        <v>61935.873305768881</v>
      </c>
      <c r="X46" s="939">
        <f t="shared" si="18"/>
        <v>45000</v>
      </c>
      <c r="Y46" s="939">
        <f t="shared" si="18"/>
        <v>7999.4363389999999</v>
      </c>
      <c r="Z46" s="939">
        <f t="shared" si="18"/>
        <v>130000</v>
      </c>
      <c r="AA46" s="939">
        <f t="shared" si="18"/>
        <v>49891.203831019047</v>
      </c>
      <c r="AB46" s="939">
        <f t="shared" si="18"/>
        <v>180000</v>
      </c>
      <c r="AC46" s="939">
        <f t="shared" si="18"/>
        <v>69935.309644768888</v>
      </c>
      <c r="AD46" s="939">
        <f t="shared" si="18"/>
        <v>45000</v>
      </c>
      <c r="AE46" s="939">
        <f t="shared" si="18"/>
        <v>22485.667316714997</v>
      </c>
      <c r="AF46" s="939">
        <f t="shared" si="18"/>
        <v>225000</v>
      </c>
      <c r="AG46" s="939">
        <f t="shared" si="18"/>
        <v>92420.976961483888</v>
      </c>
      <c r="AH46" s="939">
        <f t="shared" si="18"/>
        <v>45000</v>
      </c>
      <c r="AI46" s="939">
        <f t="shared" si="18"/>
        <v>20909.542174999999</v>
      </c>
      <c r="AJ46" s="939">
        <f t="shared" si="18"/>
        <v>270000</v>
      </c>
      <c r="AK46" s="939">
        <f t="shared" si="18"/>
        <v>113330.51913648388</v>
      </c>
      <c r="AL46" s="939">
        <f t="shared" si="18"/>
        <v>45000</v>
      </c>
      <c r="AM46" s="939">
        <f t="shared" si="18"/>
        <v>29545.813258500002</v>
      </c>
      <c r="AN46" s="939">
        <f t="shared" si="18"/>
        <v>135000</v>
      </c>
      <c r="AO46" s="939">
        <f t="shared" si="18"/>
        <v>72941.022750214994</v>
      </c>
      <c r="AP46" s="939">
        <f t="shared" si="18"/>
        <v>315000</v>
      </c>
      <c r="AQ46" s="939">
        <f t="shared" si="18"/>
        <v>142876.33239498388</v>
      </c>
      <c r="AR46" s="939">
        <f t="shared" si="18"/>
        <v>45000</v>
      </c>
      <c r="AS46" s="939">
        <f t="shared" si="18"/>
        <v>20382.501798780002</v>
      </c>
      <c r="AT46" s="939">
        <f t="shared" si="18"/>
        <v>360000</v>
      </c>
      <c r="AU46" s="939">
        <f t="shared" si="18"/>
        <v>163258.83419376388</v>
      </c>
      <c r="AV46" s="939">
        <f t="shared" si="18"/>
        <v>45000</v>
      </c>
      <c r="AW46" s="939">
        <f t="shared" si="18"/>
        <v>24125.900859449997</v>
      </c>
      <c r="AX46" s="939">
        <f t="shared" si="18"/>
        <v>405000</v>
      </c>
      <c r="AY46" s="939">
        <f t="shared" si="18"/>
        <v>187384.73505321387</v>
      </c>
      <c r="AZ46" s="939">
        <f t="shared" si="18"/>
        <v>45000</v>
      </c>
      <c r="BA46" s="939">
        <f t="shared" si="18"/>
        <v>25841.429000000004</v>
      </c>
      <c r="BB46" s="939">
        <f t="shared" si="18"/>
        <v>135000</v>
      </c>
      <c r="BC46" s="939">
        <f t="shared" si="18"/>
        <v>70349.831658230003</v>
      </c>
      <c r="BD46" s="939">
        <f t="shared" si="18"/>
        <v>270000</v>
      </c>
      <c r="BE46" s="939">
        <f t="shared" si="18"/>
        <v>143290.85440844501</v>
      </c>
      <c r="BF46" s="939">
        <f t="shared" si="18"/>
        <v>450000</v>
      </c>
      <c r="BG46" s="939">
        <f t="shared" si="18"/>
        <v>213226.1640532139</v>
      </c>
      <c r="BH46" s="4658"/>
      <c r="BI46" s="4658"/>
      <c r="BJ46" s="4658"/>
      <c r="BK46" s="4658"/>
      <c r="BL46" s="4658"/>
      <c r="BM46" s="4658"/>
      <c r="BN46" s="4658"/>
      <c r="BO46" s="4658"/>
      <c r="BP46" s="4658"/>
    </row>
    <row r="47" spans="2:68" s="334" customFormat="1" ht="15.75" thickBot="1" x14ac:dyDescent="0.3">
      <c r="B47" s="3204" t="s">
        <v>1118</v>
      </c>
      <c r="C47" s="3205"/>
      <c r="D47" s="3205"/>
      <c r="E47" s="3206" t="s">
        <v>52</v>
      </c>
      <c r="F47" s="2541"/>
      <c r="G47" s="960">
        <f>+G46/G43</f>
        <v>1</v>
      </c>
      <c r="H47" s="2541"/>
      <c r="I47" s="960">
        <f>+I46/I43</f>
        <v>1</v>
      </c>
      <c r="J47" s="2818"/>
      <c r="K47" s="960">
        <f>+K46/K42</f>
        <v>1</v>
      </c>
      <c r="L47" s="2541"/>
      <c r="M47" s="960">
        <f>+M46/M43</f>
        <v>1</v>
      </c>
      <c r="N47" s="2818"/>
      <c r="O47" s="960">
        <f>+O46/O43</f>
        <v>1</v>
      </c>
      <c r="P47" s="2541"/>
      <c r="Q47" s="960">
        <f>+Q46/Q43</f>
        <v>1</v>
      </c>
      <c r="R47" s="2818"/>
      <c r="S47" s="960">
        <f>+S46/S42</f>
        <v>0.99843070521141419</v>
      </c>
      <c r="T47" s="2541"/>
      <c r="U47" s="960">
        <f>+U46/U43</f>
        <v>1</v>
      </c>
      <c r="V47" s="2818"/>
      <c r="W47" s="960">
        <f>+W46/W43</f>
        <v>1</v>
      </c>
      <c r="X47" s="2541"/>
      <c r="Y47" s="960">
        <f>+Y46/Y43</f>
        <v>1</v>
      </c>
      <c r="Z47" s="2818"/>
      <c r="AA47" s="960">
        <f>+AA46/AA43</f>
        <v>1</v>
      </c>
      <c r="AB47" s="2818"/>
      <c r="AC47" s="960">
        <f>+AC46/AC43</f>
        <v>1</v>
      </c>
      <c r="AD47" s="2541"/>
      <c r="AE47" s="960">
        <f>+AE46/AE43</f>
        <v>1</v>
      </c>
      <c r="AF47" s="2818"/>
      <c r="AG47" s="960">
        <f>+AG46/(W42+Y43+AE43)</f>
        <v>0.99926369683602356</v>
      </c>
      <c r="AH47" s="2541"/>
      <c r="AI47" s="960">
        <f>+AI46/AI43</f>
        <v>1</v>
      </c>
      <c r="AJ47" s="2818"/>
      <c r="AK47" s="960">
        <f>+AK46/(W42+Y43+AE43+AI43)</f>
        <v>0.99939946358678278</v>
      </c>
      <c r="AL47" s="2541"/>
      <c r="AM47" s="960">
        <f>+AM46/AM43</f>
        <v>1</v>
      </c>
      <c r="AN47" s="2818"/>
      <c r="AO47" s="960">
        <f>+AO46/AO43</f>
        <v>1</v>
      </c>
      <c r="AP47" s="2818"/>
      <c r="AQ47" s="960">
        <f>+AQ46/(W42+Y43+AE43+AI43+AM43)</f>
        <v>0.99952359109858979</v>
      </c>
      <c r="AR47" s="2541"/>
      <c r="AS47" s="960">
        <f>+AS46/AS43</f>
        <v>1</v>
      </c>
      <c r="AT47" s="2818"/>
      <c r="AU47" s="960">
        <f>+AU46/(W42+Y43+AE43+AI43+AM43+AS43)</f>
        <v>0.9995830448888533</v>
      </c>
      <c r="AV47" s="2541"/>
      <c r="AW47" s="960">
        <f>+AW46/AW43</f>
        <v>1</v>
      </c>
      <c r="AX47" s="2818"/>
      <c r="AY47" s="960">
        <f>+AY46/(W42+Y43+AE43+AI43+AM43+AS43+AW43)</f>
        <v>0.99963670861536624</v>
      </c>
      <c r="AZ47" s="2541"/>
      <c r="BA47" s="960">
        <f>+BA46/BA43</f>
        <v>1</v>
      </c>
      <c r="BB47" s="2818"/>
      <c r="BC47" s="960">
        <f>+BC46/BC43</f>
        <v>1</v>
      </c>
      <c r="BD47" s="2818"/>
      <c r="BE47" s="960">
        <f>+BE46/BE43</f>
        <v>1</v>
      </c>
      <c r="BF47" s="2818"/>
      <c r="BG47" s="960">
        <f>+BG46/BG43</f>
        <v>1</v>
      </c>
      <c r="BH47" s="4658"/>
      <c r="BI47" s="4658"/>
      <c r="BJ47" s="4658"/>
      <c r="BK47" s="4658"/>
      <c r="BL47" s="4658"/>
      <c r="BM47" s="4658"/>
      <c r="BN47" s="4658"/>
      <c r="BO47" s="4658"/>
      <c r="BP47" s="4658"/>
    </row>
    <row r="48" spans="2:68" s="334" customFormat="1" ht="18.75" x14ac:dyDescent="0.25">
      <c r="B48" s="690" t="s">
        <v>56</v>
      </c>
      <c r="C48" s="622"/>
      <c r="D48" s="622"/>
      <c r="E48" s="622"/>
      <c r="F48" s="622"/>
      <c r="G48" s="684"/>
      <c r="H48" s="622"/>
      <c r="I48" s="622"/>
      <c r="J48" s="622"/>
      <c r="K48" s="622"/>
      <c r="L48" s="622"/>
      <c r="M48" s="622"/>
      <c r="N48" s="622"/>
      <c r="O48" s="622"/>
      <c r="P48" s="622"/>
      <c r="Q48" s="622"/>
      <c r="R48" s="622"/>
      <c r="S48" s="622"/>
      <c r="T48" s="622"/>
      <c r="U48" s="622"/>
      <c r="V48" s="622"/>
      <c r="W48" s="622"/>
      <c r="X48" s="622"/>
      <c r="Y48" s="622"/>
      <c r="Z48" s="622"/>
      <c r="AA48" s="622"/>
      <c r="AB48" s="622"/>
      <c r="AC48" s="622"/>
      <c r="AD48" s="622"/>
      <c r="AE48" s="622"/>
      <c r="AF48" s="622"/>
      <c r="AG48" s="622"/>
      <c r="AH48" s="622"/>
      <c r="AI48" s="622"/>
      <c r="AJ48" s="622"/>
      <c r="AK48" s="622"/>
      <c r="AL48" s="622"/>
      <c r="AM48" s="622"/>
      <c r="AN48" s="622"/>
      <c r="AO48" s="622"/>
      <c r="AP48" s="622"/>
      <c r="AQ48" s="622"/>
      <c r="AR48" s="622"/>
      <c r="AS48" s="622"/>
      <c r="AT48" s="622"/>
      <c r="AU48" s="622"/>
      <c r="AV48" s="622"/>
      <c r="AW48" s="622"/>
      <c r="AX48" s="622"/>
      <c r="AY48" s="622"/>
      <c r="AZ48" s="622"/>
      <c r="BA48" s="622"/>
      <c r="BB48" s="622"/>
      <c r="BC48" s="622"/>
      <c r="BD48" s="622"/>
      <c r="BE48" s="622"/>
      <c r="BF48" s="622"/>
      <c r="BG48" s="622"/>
      <c r="BH48" s="4658"/>
      <c r="BI48" s="4658"/>
      <c r="BJ48" s="4658"/>
      <c r="BK48" s="4658"/>
      <c r="BL48" s="4658"/>
      <c r="BM48" s="4658"/>
      <c r="BN48" s="4658"/>
      <c r="BO48" s="4658"/>
      <c r="BP48" s="4658"/>
    </row>
    <row r="49" spans="2:68" x14ac:dyDescent="0.25">
      <c r="B49" s="28" t="s">
        <v>98</v>
      </c>
      <c r="C49" s="2328"/>
      <c r="D49" s="2328"/>
      <c r="E49" s="33" t="s">
        <v>250</v>
      </c>
      <c r="F49" s="481">
        <v>720</v>
      </c>
      <c r="G49" s="481">
        <v>720</v>
      </c>
      <c r="H49" s="481">
        <v>744</v>
      </c>
      <c r="I49" s="481">
        <f>+I2*24</f>
        <v>744</v>
      </c>
      <c r="J49" s="961">
        <f>+F49+H49</f>
        <v>1464</v>
      </c>
      <c r="K49" s="961">
        <f>+G49+I49</f>
        <v>1464</v>
      </c>
      <c r="L49" s="481">
        <f>+L2*24</f>
        <v>720</v>
      </c>
      <c r="M49" s="481">
        <f>+M2*24</f>
        <v>720</v>
      </c>
      <c r="N49" s="577">
        <f>+J49+L49</f>
        <v>2184</v>
      </c>
      <c r="O49" s="577">
        <f>+K49+M49</f>
        <v>2184</v>
      </c>
      <c r="P49" s="481">
        <f>+P2*24</f>
        <v>744</v>
      </c>
      <c r="Q49" s="481">
        <f>+Q2*24</f>
        <v>744</v>
      </c>
      <c r="R49" s="961">
        <f>+N49+P49</f>
        <v>2928</v>
      </c>
      <c r="S49" s="961">
        <f>+O49+Q49</f>
        <v>2928</v>
      </c>
      <c r="T49" s="481">
        <f>+T2*24</f>
        <v>744</v>
      </c>
      <c r="U49" s="481">
        <f>+U2*24</f>
        <v>744</v>
      </c>
      <c r="V49" s="961">
        <f>+R49+T49</f>
        <v>3672</v>
      </c>
      <c r="W49" s="961">
        <f>+S49+U49</f>
        <v>3672</v>
      </c>
      <c r="X49" s="481">
        <f>+X2*24</f>
        <v>720</v>
      </c>
      <c r="Y49" s="481">
        <f>+Y2*24</f>
        <v>720</v>
      </c>
      <c r="Z49" s="577">
        <f>+P49+T49+X49</f>
        <v>2208</v>
      </c>
      <c r="AA49" s="577">
        <f>+Q49+U49+Y49</f>
        <v>2208</v>
      </c>
      <c r="AB49" s="1959">
        <f>+N49+Z49</f>
        <v>4392</v>
      </c>
      <c r="AC49" s="1959">
        <f>+AA49+O49</f>
        <v>4392</v>
      </c>
      <c r="AD49" s="481">
        <f>+AD2*24</f>
        <v>744</v>
      </c>
      <c r="AE49" s="481">
        <f>+AE2*24</f>
        <v>744</v>
      </c>
      <c r="AF49" s="3168">
        <f>+AB49+AD49</f>
        <v>5136</v>
      </c>
      <c r="AG49" s="3226">
        <f>+AC49+AE49</f>
        <v>5136</v>
      </c>
      <c r="AH49" s="481">
        <f>+AH2*24</f>
        <v>720</v>
      </c>
      <c r="AI49" s="481">
        <f>+AI2*24</f>
        <v>720</v>
      </c>
      <c r="AJ49" s="3325">
        <f>+AF49+AH49</f>
        <v>5856</v>
      </c>
      <c r="AK49" s="3314">
        <f>+AG49+AI49</f>
        <v>5856</v>
      </c>
      <c r="AL49" s="481">
        <f>+AL2*24</f>
        <v>744</v>
      </c>
      <c r="AM49" s="481">
        <f>+AM2*24</f>
        <v>744</v>
      </c>
      <c r="AN49" s="577">
        <f>+AD49+AH49+AL49</f>
        <v>2208</v>
      </c>
      <c r="AO49" s="577">
        <f>+AE49+AI49+AM49</f>
        <v>2208</v>
      </c>
      <c r="AP49" s="3608">
        <f>+AJ49+AL49</f>
        <v>6600</v>
      </c>
      <c r="AQ49" s="3497">
        <f>+AK49+AM49</f>
        <v>6600</v>
      </c>
      <c r="AR49" s="481">
        <f>+AR2*24</f>
        <v>744</v>
      </c>
      <c r="AS49" s="481">
        <f>+AS2*24</f>
        <v>744</v>
      </c>
      <c r="AT49" s="3893">
        <f>+AP49+AR49</f>
        <v>7344</v>
      </c>
      <c r="AU49" s="3497">
        <f>+AQ49+AS49</f>
        <v>7344</v>
      </c>
      <c r="AV49" s="481">
        <f>+AV2*24</f>
        <v>672</v>
      </c>
      <c r="AW49" s="481">
        <f>+AW2*24</f>
        <v>672</v>
      </c>
      <c r="AX49" s="4080">
        <f>+AT49+AV49</f>
        <v>8016</v>
      </c>
      <c r="AY49" s="3497">
        <f>+AU49+AW49</f>
        <v>8016</v>
      </c>
      <c r="AZ49" s="481">
        <f>+AZ2*24</f>
        <v>744</v>
      </c>
      <c r="BA49" s="481">
        <f>+BA2*24</f>
        <v>744</v>
      </c>
      <c r="BB49" s="577">
        <f>+AR49+AV49+AZ49</f>
        <v>2160</v>
      </c>
      <c r="BC49" s="577">
        <f>+AS49+AW49+BA49</f>
        <v>2160</v>
      </c>
      <c r="BD49" s="1959">
        <f>+AN49+BB49</f>
        <v>4368</v>
      </c>
      <c r="BE49" s="1959">
        <f>+AO49+BC49</f>
        <v>4368</v>
      </c>
      <c r="BF49" s="4401">
        <f>+AX49+AZ49</f>
        <v>8760</v>
      </c>
      <c r="BG49" s="3497">
        <f>+AY49+BA49</f>
        <v>8760</v>
      </c>
    </row>
    <row r="50" spans="2:68" x14ac:dyDescent="0.25">
      <c r="B50" s="28" t="s">
        <v>335</v>
      </c>
      <c r="C50" s="2328"/>
      <c r="D50" s="2328"/>
      <c r="E50" s="33" t="s">
        <v>52</v>
      </c>
      <c r="F50" s="118">
        <f t="shared" ref="F50:AG50" si="19">+F51/F49*100</f>
        <v>50</v>
      </c>
      <c r="G50" s="118">
        <f t="shared" si="19"/>
        <v>98.796296296296305</v>
      </c>
      <c r="H50" s="118">
        <f t="shared" si="19"/>
        <v>80.645161290322577</v>
      </c>
      <c r="I50" s="118">
        <f t="shared" si="19"/>
        <v>99.215949820788524</v>
      </c>
      <c r="J50" s="120">
        <f t="shared" si="19"/>
        <v>65.573770491803273</v>
      </c>
      <c r="K50" s="120">
        <f t="shared" si="19"/>
        <v>99.009562841530055</v>
      </c>
      <c r="L50" s="118">
        <f t="shared" si="19"/>
        <v>93.333333333333329</v>
      </c>
      <c r="M50" s="118">
        <f t="shared" si="19"/>
        <v>95.43981481481481</v>
      </c>
      <c r="N50" s="173">
        <f t="shared" si="19"/>
        <v>74.72527472527473</v>
      </c>
      <c r="O50" s="173">
        <f t="shared" si="19"/>
        <v>97.832722832722823</v>
      </c>
      <c r="P50" s="118">
        <f t="shared" si="19"/>
        <v>93.548387096774192</v>
      </c>
      <c r="Q50" s="118">
        <f t="shared" si="19"/>
        <v>90.524193548387103</v>
      </c>
      <c r="R50" s="120">
        <f t="shared" si="19"/>
        <v>79.508196721311478</v>
      </c>
      <c r="S50" s="120">
        <f t="shared" si="19"/>
        <v>95.975637522768665</v>
      </c>
      <c r="T50" s="118">
        <f t="shared" si="19"/>
        <v>93.548387096774192</v>
      </c>
      <c r="U50" s="118">
        <f t="shared" si="19"/>
        <v>94.142025089605724</v>
      </c>
      <c r="V50" s="120">
        <f t="shared" si="19"/>
        <v>82.35294117647058</v>
      </c>
      <c r="W50" s="120">
        <f t="shared" si="19"/>
        <v>76.550236020334054</v>
      </c>
      <c r="X50" s="118">
        <f t="shared" si="19"/>
        <v>93.333333333333329</v>
      </c>
      <c r="Y50" s="118">
        <f t="shared" si="19"/>
        <v>91.712962962962962</v>
      </c>
      <c r="Z50" s="173">
        <f t="shared" si="19"/>
        <v>93.478260869565219</v>
      </c>
      <c r="AA50" s="173">
        <f t="shared" si="19"/>
        <v>92.130887681159422</v>
      </c>
      <c r="AB50" s="1960">
        <f t="shared" si="19"/>
        <v>84.153005464480884</v>
      </c>
      <c r="AC50" s="1960">
        <f t="shared" si="19"/>
        <v>94.966226472374004</v>
      </c>
      <c r="AD50" s="118">
        <f t="shared" si="19"/>
        <v>93.548387096774192</v>
      </c>
      <c r="AE50" s="118">
        <f t="shared" si="19"/>
        <v>92.002688172043008</v>
      </c>
      <c r="AF50" s="120">
        <f t="shared" si="19"/>
        <v>85.514018691588788</v>
      </c>
      <c r="AG50" s="120">
        <f t="shared" si="19"/>
        <v>94.536928868120441</v>
      </c>
      <c r="AH50" s="118">
        <f t="shared" ref="AH50:AK50" si="20">+AH51/AH49*100</f>
        <v>93.333333333333329</v>
      </c>
      <c r="AI50" s="118">
        <f t="shared" si="20"/>
        <v>88.611111111111114</v>
      </c>
      <c r="AJ50" s="120">
        <f t="shared" si="20"/>
        <v>86.47540983606558</v>
      </c>
      <c r="AK50" s="120">
        <f t="shared" si="20"/>
        <v>93.808344717668476</v>
      </c>
      <c r="AL50" s="118">
        <f t="shared" ref="AL50:AQ50" si="21">+AL51/AL49*100</f>
        <v>93.548387096774192</v>
      </c>
      <c r="AM50" s="118">
        <f t="shared" si="21"/>
        <v>85.864695340501797</v>
      </c>
      <c r="AN50" s="173">
        <f t="shared" si="21"/>
        <v>93.478260869565219</v>
      </c>
      <c r="AO50" s="173">
        <f t="shared" si="21"/>
        <v>88.828502415458942</v>
      </c>
      <c r="AP50" s="120">
        <f t="shared" si="21"/>
        <v>87.272727272727266</v>
      </c>
      <c r="AQ50" s="120">
        <f t="shared" si="21"/>
        <v>92.912878787878768</v>
      </c>
      <c r="AR50" s="118">
        <f t="shared" ref="AR50:AU50" si="22">+AR51/AR49*100</f>
        <v>93.548387096774192</v>
      </c>
      <c r="AS50" s="118">
        <f t="shared" si="22"/>
        <v>89.59453405017922</v>
      </c>
      <c r="AT50" s="120">
        <f t="shared" si="22"/>
        <v>87.908496732026137</v>
      </c>
      <c r="AU50" s="120">
        <f t="shared" si="22"/>
        <v>92.576706608569339</v>
      </c>
      <c r="AV50" s="118">
        <f t="shared" ref="AV50:AY50" si="23">+AV51/AV49*100</f>
        <v>92.857142857142861</v>
      </c>
      <c r="AW50" s="118">
        <f t="shared" si="23"/>
        <v>88.070436507936506</v>
      </c>
      <c r="AX50" s="120">
        <f t="shared" si="23"/>
        <v>88.323353293413177</v>
      </c>
      <c r="AY50" s="120">
        <f t="shared" si="23"/>
        <v>92.1989354624085</v>
      </c>
      <c r="AZ50" s="118">
        <f t="shared" ref="AZ50:BG50" si="24">+AZ51/AZ49*100</f>
        <v>93.548387096774192</v>
      </c>
      <c r="BA50" s="118">
        <f t="shared" si="24"/>
        <v>86.760752688172033</v>
      </c>
      <c r="BB50" s="173">
        <f t="shared" si="24"/>
        <v>93.333333333333329</v>
      </c>
      <c r="BC50" s="173">
        <f t="shared" si="24"/>
        <v>88.144290123456798</v>
      </c>
      <c r="BD50" s="1960">
        <f t="shared" si="24"/>
        <v>93.406593406593402</v>
      </c>
      <c r="BE50" s="1960">
        <f t="shared" si="24"/>
        <v>88.490155677655679</v>
      </c>
      <c r="BF50" s="120">
        <f t="shared" si="24"/>
        <v>88.767123287671239</v>
      </c>
      <c r="BG50" s="120">
        <f t="shared" si="24"/>
        <v>91.737062404870613</v>
      </c>
    </row>
    <row r="51" spans="2:68" x14ac:dyDescent="0.25">
      <c r="B51" s="28" t="s">
        <v>334</v>
      </c>
      <c r="C51" s="2328"/>
      <c r="D51" s="2328"/>
      <c r="E51" s="33" t="s">
        <v>250</v>
      </c>
      <c r="F51" s="2045">
        <v>360</v>
      </c>
      <c r="G51" s="238">
        <v>711.33333333333337</v>
      </c>
      <c r="H51" s="2045">
        <v>600</v>
      </c>
      <c r="I51" s="238">
        <v>738.16666666666663</v>
      </c>
      <c r="J51" s="2548">
        <f>+F51+H51</f>
        <v>960</v>
      </c>
      <c r="K51" s="961">
        <f>+G51+I51</f>
        <v>1449.5</v>
      </c>
      <c r="L51" s="2045">
        <v>672</v>
      </c>
      <c r="M51" s="238">
        <v>687.16666666666663</v>
      </c>
      <c r="N51" s="173">
        <f>+J51+L51</f>
        <v>1632</v>
      </c>
      <c r="O51" s="577">
        <f>+K51+M51</f>
        <v>2136.6666666666665</v>
      </c>
      <c r="P51" s="2045">
        <v>696</v>
      </c>
      <c r="Q51" s="475">
        <v>673.5</v>
      </c>
      <c r="R51" s="2548">
        <f>+N51+P51</f>
        <v>2328</v>
      </c>
      <c r="S51" s="961">
        <f>+O51+Q51</f>
        <v>2810.1666666666665</v>
      </c>
      <c r="T51" s="2045">
        <v>696</v>
      </c>
      <c r="U51" s="475">
        <v>700.41666666666663</v>
      </c>
      <c r="V51" s="2548">
        <f>+R51+T51</f>
        <v>3024</v>
      </c>
      <c r="W51" s="2010">
        <f>+S51+U55</f>
        <v>2810.9246666666663</v>
      </c>
      <c r="X51" s="2045">
        <v>672</v>
      </c>
      <c r="Y51" s="475">
        <v>660.33333333333337</v>
      </c>
      <c r="Z51" s="173">
        <f>+P51+T51+X51</f>
        <v>2064</v>
      </c>
      <c r="AA51" s="577">
        <f>+Q51+U51+Y51</f>
        <v>2034.25</v>
      </c>
      <c r="AB51" s="1959">
        <f>+N51+Z51</f>
        <v>3696</v>
      </c>
      <c r="AC51" s="1959">
        <f>+AA51+O51</f>
        <v>4170.9166666666661</v>
      </c>
      <c r="AD51" s="2045">
        <v>696</v>
      </c>
      <c r="AE51" s="3225">
        <v>684.5</v>
      </c>
      <c r="AF51" s="2548">
        <f>+AB51+AD51</f>
        <v>4392</v>
      </c>
      <c r="AG51" s="3157">
        <f>+AC51+AE51</f>
        <v>4855.4166666666661</v>
      </c>
      <c r="AH51" s="2045">
        <v>672</v>
      </c>
      <c r="AI51" s="3357">
        <v>638</v>
      </c>
      <c r="AJ51" s="2548">
        <f>+AF51+AH51</f>
        <v>5064</v>
      </c>
      <c r="AK51" s="3314">
        <f>+AG51+AI51</f>
        <v>5493.4166666666661</v>
      </c>
      <c r="AL51" s="2045">
        <v>696</v>
      </c>
      <c r="AM51" s="3601">
        <v>638.83333333333337</v>
      </c>
      <c r="AN51" s="173">
        <f>+AD51+AH51+AL51</f>
        <v>2064</v>
      </c>
      <c r="AO51" s="577">
        <f>+AE51+AI51+AM51</f>
        <v>1961.3333333333335</v>
      </c>
      <c r="AP51" s="2548">
        <f>+AJ51+AL51</f>
        <v>5760</v>
      </c>
      <c r="AQ51" s="3497">
        <f>+AK51+AM51</f>
        <v>6132.2499999999991</v>
      </c>
      <c r="AR51" s="2045">
        <v>696</v>
      </c>
      <c r="AS51" s="3873">
        <v>666.58333333333337</v>
      </c>
      <c r="AT51" s="2548">
        <f>+AP51+AR51</f>
        <v>6456</v>
      </c>
      <c r="AU51" s="3497">
        <f>+AQ51+AS51</f>
        <v>6798.8333333333321</v>
      </c>
      <c r="AV51" s="2045">
        <v>624</v>
      </c>
      <c r="AW51" s="4061">
        <v>591.83333333333337</v>
      </c>
      <c r="AX51" s="2548">
        <f>+AT51+AV51</f>
        <v>7080</v>
      </c>
      <c r="AY51" s="3497">
        <f>+AU51+AW51</f>
        <v>7390.6666666666652</v>
      </c>
      <c r="AZ51" s="2045">
        <v>696</v>
      </c>
      <c r="BA51" s="4379">
        <v>645.5</v>
      </c>
      <c r="BB51" s="173">
        <f>+AR51+AV51+AZ51</f>
        <v>2016</v>
      </c>
      <c r="BC51" s="577">
        <f>+AS51+AW51+BA51</f>
        <v>1903.9166666666667</v>
      </c>
      <c r="BD51" s="1959">
        <f>+AN51+BB51</f>
        <v>4080</v>
      </c>
      <c r="BE51" s="1959">
        <f>+AO51+BC51</f>
        <v>3865.25</v>
      </c>
      <c r="BF51" s="2548">
        <f>+AX51+AZ51</f>
        <v>7776</v>
      </c>
      <c r="BG51" s="3497">
        <f>+AY51+BA51</f>
        <v>8036.1666666666652</v>
      </c>
    </row>
    <row r="52" spans="2:68" x14ac:dyDescent="0.25">
      <c r="B52" s="28" t="s">
        <v>336</v>
      </c>
      <c r="C52" s="2328"/>
      <c r="D52" s="2328"/>
      <c r="E52" s="33" t="s">
        <v>52</v>
      </c>
      <c r="F52" s="1109">
        <f t="shared" ref="F52:AG52" si="25">+F53/F51*100</f>
        <v>58.333333333333336</v>
      </c>
      <c r="G52" s="1109">
        <f t="shared" si="25"/>
        <v>15.346766635426423</v>
      </c>
      <c r="H52" s="1109">
        <f t="shared" si="25"/>
        <v>0</v>
      </c>
      <c r="I52" s="1109">
        <f t="shared" si="25"/>
        <v>6.2993903815759618</v>
      </c>
      <c r="J52" s="120">
        <f t="shared" si="25"/>
        <v>21.875</v>
      </c>
      <c r="K52" s="120">
        <f t="shared" si="25"/>
        <v>10.739335403012523</v>
      </c>
      <c r="L52" s="1109">
        <f t="shared" si="25"/>
        <v>58.333333333333336</v>
      </c>
      <c r="M52" s="1109">
        <f t="shared" si="25"/>
        <v>18.73393160320154</v>
      </c>
      <c r="N52" s="173">
        <f t="shared" si="25"/>
        <v>36.887254901960787</v>
      </c>
      <c r="O52" s="173">
        <f t="shared" si="25"/>
        <v>13.310452418096713</v>
      </c>
      <c r="P52" s="1109">
        <f t="shared" si="25"/>
        <v>58.333333333333336</v>
      </c>
      <c r="Q52" s="1109">
        <f t="shared" si="25"/>
        <v>46.869586735956474</v>
      </c>
      <c r="R52" s="120">
        <f t="shared" si="25"/>
        <v>43.298969072164951</v>
      </c>
      <c r="S52" s="120">
        <f t="shared" si="25"/>
        <v>21.353419132910265</v>
      </c>
      <c r="T52" s="1109">
        <f t="shared" si="25"/>
        <v>58.333333333333336</v>
      </c>
      <c r="U52" s="1109">
        <f t="shared" si="25"/>
        <v>37.192147531231413</v>
      </c>
      <c r="V52" s="120">
        <f t="shared" si="25"/>
        <v>46.75925925925926</v>
      </c>
      <c r="W52" s="120">
        <f t="shared" si="25"/>
        <v>30.6150739958168</v>
      </c>
      <c r="X52" s="1109">
        <f t="shared" si="25"/>
        <v>58.333333333333336</v>
      </c>
      <c r="Y52" s="1109">
        <f t="shared" si="25"/>
        <v>15.018172640080769</v>
      </c>
      <c r="Z52" s="173">
        <f t="shared" si="25"/>
        <v>58.333333333333336</v>
      </c>
      <c r="AA52" s="173">
        <f t="shared" si="25"/>
        <v>33.198312236286924</v>
      </c>
      <c r="AB52" s="1960">
        <f t="shared" si="25"/>
        <v>48.863636363636367</v>
      </c>
      <c r="AC52" s="1960">
        <f t="shared" si="25"/>
        <v>23.010209586222054</v>
      </c>
      <c r="AD52" s="1109">
        <f t="shared" si="25"/>
        <v>58.333333333333336</v>
      </c>
      <c r="AE52" s="1109">
        <f t="shared" si="25"/>
        <v>45.278792305819344</v>
      </c>
      <c r="AF52" s="120">
        <f t="shared" si="25"/>
        <v>50.364298724954459</v>
      </c>
      <c r="AG52" s="120">
        <f t="shared" si="25"/>
        <v>26.149558053720078</v>
      </c>
      <c r="AH52" s="1109">
        <f t="shared" ref="AH52:AK52" si="26">+AH53/AH51*100</f>
        <v>58.333333333333336</v>
      </c>
      <c r="AI52" s="1109">
        <f t="shared" si="26"/>
        <v>49.595088819226746</v>
      </c>
      <c r="AJ52" s="120">
        <f t="shared" si="26"/>
        <v>51.421800947867304</v>
      </c>
      <c r="AK52" s="120">
        <f t="shared" si="26"/>
        <v>28.872498900198725</v>
      </c>
      <c r="AL52" s="1109">
        <f t="shared" ref="AL52:AQ52" si="27">+AL53/AL51*100</f>
        <v>58.333333333333336</v>
      </c>
      <c r="AM52" s="1109">
        <f t="shared" si="27"/>
        <v>57.20062614140361</v>
      </c>
      <c r="AN52" s="173">
        <f t="shared" si="27"/>
        <v>58.333333333333336</v>
      </c>
      <c r="AO52" s="173">
        <f t="shared" si="27"/>
        <v>50.56594153636982</v>
      </c>
      <c r="AP52" s="120">
        <f t="shared" si="27"/>
        <v>52.256944444444443</v>
      </c>
      <c r="AQ52" s="120">
        <f t="shared" si="27"/>
        <v>31.823610148531671</v>
      </c>
      <c r="AR52" s="1109">
        <f t="shared" ref="AR52:AU52" si="28">+AR53/AR51*100</f>
        <v>58.333333333333336</v>
      </c>
      <c r="AS52" s="1109">
        <f t="shared" si="28"/>
        <v>41.255156894611815</v>
      </c>
      <c r="AT52" s="120">
        <f t="shared" si="28"/>
        <v>52.912019826517962</v>
      </c>
      <c r="AU52" s="120">
        <f t="shared" si="28"/>
        <v>32.748314661829234</v>
      </c>
      <c r="AV52" s="1109">
        <f t="shared" ref="AV52:AY52" si="29">+AV53/AV51*100</f>
        <v>58.333333333333336</v>
      </c>
      <c r="AW52" s="1109">
        <f t="shared" si="29"/>
        <v>48.014643762320475</v>
      </c>
      <c r="AX52" s="120">
        <f t="shared" si="29"/>
        <v>53.389830508474581</v>
      </c>
      <c r="AY52" s="120">
        <f t="shared" si="29"/>
        <v>33.970819051055386</v>
      </c>
      <c r="AZ52" s="1109">
        <f t="shared" ref="AZ52:BG52" si="30">+AZ53/AZ51*100</f>
        <v>58.333333333333336</v>
      </c>
      <c r="BA52" s="1109">
        <f t="shared" si="30"/>
        <v>51.575006454944493</v>
      </c>
      <c r="BB52" s="173">
        <f t="shared" si="30"/>
        <v>58.333333333333336</v>
      </c>
      <c r="BC52" s="173">
        <f t="shared" si="30"/>
        <v>46.855166980347526</v>
      </c>
      <c r="BD52" s="1960">
        <f t="shared" si="30"/>
        <v>58.333333333333336</v>
      </c>
      <c r="BE52" s="1960">
        <f t="shared" si="30"/>
        <v>48.738115257745292</v>
      </c>
      <c r="BF52" s="120">
        <f t="shared" si="30"/>
        <v>53.832304526748977</v>
      </c>
      <c r="BG52" s="120">
        <f t="shared" si="30"/>
        <v>35.38486425949354</v>
      </c>
    </row>
    <row r="53" spans="2:68" x14ac:dyDescent="0.25">
      <c r="B53" s="28" t="s">
        <v>337</v>
      </c>
      <c r="C53" s="2328"/>
      <c r="D53" s="2328"/>
      <c r="E53" s="33" t="s">
        <v>250</v>
      </c>
      <c r="F53" s="823">
        <v>210</v>
      </c>
      <c r="G53" s="475">
        <v>109.16666666666663</v>
      </c>
      <c r="H53" s="823">
        <v>0</v>
      </c>
      <c r="I53" s="475">
        <v>46.499999999999886</v>
      </c>
      <c r="J53" s="143">
        <f>+F53+H53</f>
        <v>210</v>
      </c>
      <c r="K53" s="961">
        <f>+G53+I53</f>
        <v>155.66666666666652</v>
      </c>
      <c r="L53" s="823">
        <v>392</v>
      </c>
      <c r="M53" s="475">
        <v>128.73333333333323</v>
      </c>
      <c r="N53" s="173">
        <f>+J53+L53</f>
        <v>602</v>
      </c>
      <c r="O53" s="577">
        <f>+K53+M53</f>
        <v>284.39999999999975</v>
      </c>
      <c r="P53" s="823">
        <v>406</v>
      </c>
      <c r="Q53" s="475">
        <v>315.66666666666686</v>
      </c>
      <c r="R53" s="143">
        <f>+N53+P53</f>
        <v>1008</v>
      </c>
      <c r="S53" s="2010">
        <f>+O53+Q53</f>
        <v>600.06666666666661</v>
      </c>
      <c r="T53" s="823">
        <v>406</v>
      </c>
      <c r="U53" s="475">
        <v>260.5</v>
      </c>
      <c r="V53" s="143">
        <f>+R53+T53</f>
        <v>1414</v>
      </c>
      <c r="W53" s="2010">
        <f>+S53+U53</f>
        <v>860.56666666666661</v>
      </c>
      <c r="X53" s="823">
        <v>392</v>
      </c>
      <c r="Y53" s="475">
        <v>99.17</v>
      </c>
      <c r="Z53" s="173">
        <f>+P53+T53+X53</f>
        <v>1204</v>
      </c>
      <c r="AA53" s="577">
        <f>+Q53+U53+Y53</f>
        <v>675.33666666666682</v>
      </c>
      <c r="AB53" s="1959">
        <f>+N53+Z53</f>
        <v>1806</v>
      </c>
      <c r="AC53" s="1959">
        <f>+AA53+O53</f>
        <v>959.73666666666657</v>
      </c>
      <c r="AD53" s="823">
        <v>406</v>
      </c>
      <c r="AE53" s="3225">
        <v>309.93333333333339</v>
      </c>
      <c r="AF53" s="143">
        <f>+AB53+AD53</f>
        <v>2212</v>
      </c>
      <c r="AG53" s="3157">
        <f>+AC53+AE53</f>
        <v>1269.67</v>
      </c>
      <c r="AH53" s="823">
        <v>392</v>
      </c>
      <c r="AI53" s="3357">
        <v>316.41666666666663</v>
      </c>
      <c r="AJ53" s="143">
        <f>+AF53+AH53</f>
        <v>2604</v>
      </c>
      <c r="AK53" s="3314">
        <f>+AG53+AI53</f>
        <v>1586.0866666666666</v>
      </c>
      <c r="AL53" s="823">
        <v>406</v>
      </c>
      <c r="AM53" s="3601">
        <v>365.41666666666674</v>
      </c>
      <c r="AN53" s="173">
        <f>+AD53+AH53+AL53</f>
        <v>1204</v>
      </c>
      <c r="AO53" s="577">
        <f>+AE53+AI53+AM53</f>
        <v>991.76666666666677</v>
      </c>
      <c r="AP53" s="143">
        <f>+AJ53+AL53</f>
        <v>3010</v>
      </c>
      <c r="AQ53" s="3497">
        <f>+AK53+AM53</f>
        <v>1951.5033333333333</v>
      </c>
      <c r="AR53" s="823">
        <v>406</v>
      </c>
      <c r="AS53" s="3873">
        <v>274.99999999999994</v>
      </c>
      <c r="AT53" s="143">
        <f>+AP53+AR53</f>
        <v>3416</v>
      </c>
      <c r="AU53" s="3497">
        <f>+AQ53+AS53</f>
        <v>2226.5033333333331</v>
      </c>
      <c r="AV53" s="823">
        <v>364</v>
      </c>
      <c r="AW53" s="4061">
        <v>284.16666666666669</v>
      </c>
      <c r="AX53" s="143">
        <f>+AT53+AV53</f>
        <v>3780</v>
      </c>
      <c r="AY53" s="3497">
        <f>+AU53+AW53</f>
        <v>2510.6699999999996</v>
      </c>
      <c r="AZ53" s="823">
        <v>406</v>
      </c>
      <c r="BA53" s="4379">
        <v>332.91666666666669</v>
      </c>
      <c r="BB53" s="173">
        <f>+AR53+AV53+AZ53</f>
        <v>1176</v>
      </c>
      <c r="BC53" s="577">
        <f>+AS53+AW53+BA53</f>
        <v>892.08333333333326</v>
      </c>
      <c r="BD53" s="1959">
        <f>+AN53+BB53</f>
        <v>2380</v>
      </c>
      <c r="BE53" s="1959">
        <f>+AO53+BC53</f>
        <v>1883.85</v>
      </c>
      <c r="BF53" s="143">
        <f>+AX53+AZ53</f>
        <v>4186</v>
      </c>
      <c r="BG53" s="3497">
        <f>+AY53+BA53</f>
        <v>2843.5866666666661</v>
      </c>
    </row>
    <row r="54" spans="2:68" x14ac:dyDescent="0.25">
      <c r="B54" s="28" t="s">
        <v>559</v>
      </c>
      <c r="C54" s="2328"/>
      <c r="D54" s="2328"/>
      <c r="E54" s="33" t="s">
        <v>558</v>
      </c>
      <c r="F54" s="2307">
        <f t="shared" ref="F54:AD54" si="31">+F53/(F51/24)</f>
        <v>14</v>
      </c>
      <c r="G54" s="1109">
        <f t="shared" si="31"/>
        <v>3.6832239925023416</v>
      </c>
      <c r="H54" s="2307">
        <f t="shared" si="31"/>
        <v>0</v>
      </c>
      <c r="I54" s="1109">
        <f t="shared" si="31"/>
        <v>1.5118536915782308</v>
      </c>
      <c r="J54" s="120">
        <f t="shared" si="31"/>
        <v>5.25</v>
      </c>
      <c r="K54" s="243">
        <f t="shared" si="31"/>
        <v>2.5774404967230051</v>
      </c>
      <c r="L54" s="2307">
        <f t="shared" si="31"/>
        <v>14</v>
      </c>
      <c r="M54" s="1109">
        <f t="shared" si="31"/>
        <v>4.4961435847683697</v>
      </c>
      <c r="N54" s="173">
        <f t="shared" si="31"/>
        <v>8.8529411764705888</v>
      </c>
      <c r="O54" s="260">
        <f t="shared" si="31"/>
        <v>3.1945085803432112</v>
      </c>
      <c r="P54" s="2307">
        <f t="shared" si="31"/>
        <v>14</v>
      </c>
      <c r="Q54" s="1109">
        <f t="shared" si="31"/>
        <v>11.248700816629555</v>
      </c>
      <c r="R54" s="120">
        <f t="shared" si="31"/>
        <v>10.391752577319588</v>
      </c>
      <c r="S54" s="243">
        <f t="shared" si="31"/>
        <v>5.1248205918984633</v>
      </c>
      <c r="T54" s="2307">
        <f t="shared" si="31"/>
        <v>14</v>
      </c>
      <c r="U54" s="1109">
        <f t="shared" si="31"/>
        <v>8.9261154074955389</v>
      </c>
      <c r="V54" s="120">
        <f t="shared" si="31"/>
        <v>11.222222222222221</v>
      </c>
      <c r="W54" s="243">
        <f t="shared" si="31"/>
        <v>7.3476177589960319</v>
      </c>
      <c r="X54" s="2307">
        <f t="shared" si="31"/>
        <v>14</v>
      </c>
      <c r="Y54" s="1109">
        <f t="shared" si="31"/>
        <v>3.6043614336193843</v>
      </c>
      <c r="Z54" s="173">
        <f t="shared" si="31"/>
        <v>14</v>
      </c>
      <c r="AA54" s="260">
        <f t="shared" si="31"/>
        <v>7.9675949367088617</v>
      </c>
      <c r="AB54" s="1960">
        <f t="shared" si="31"/>
        <v>11.727272727272727</v>
      </c>
      <c r="AC54" s="1961">
        <f t="shared" si="31"/>
        <v>5.5224503006932926</v>
      </c>
      <c r="AD54" s="2307">
        <f t="shared" si="31"/>
        <v>14</v>
      </c>
      <c r="AE54" s="1109">
        <f t="shared" ref="AE54:AH54" si="32">+AE53/(AE51/24)</f>
        <v>10.866910153396642</v>
      </c>
      <c r="AF54" s="120">
        <f t="shared" si="32"/>
        <v>12.087431693989071</v>
      </c>
      <c r="AG54" s="243">
        <f t="shared" si="32"/>
        <v>6.2758939328928189</v>
      </c>
      <c r="AH54" s="2307">
        <f t="shared" si="32"/>
        <v>14</v>
      </c>
      <c r="AI54" s="1109">
        <f t="shared" ref="AI54:AL54" si="33">+AI53/(AI51/24)</f>
        <v>11.902821316614419</v>
      </c>
      <c r="AJ54" s="120">
        <f t="shared" si="33"/>
        <v>12.341232227488153</v>
      </c>
      <c r="AK54" s="243">
        <f t="shared" si="33"/>
        <v>6.929399736047694</v>
      </c>
      <c r="AL54" s="2307">
        <f t="shared" si="33"/>
        <v>14</v>
      </c>
      <c r="AM54" s="1109">
        <f t="shared" ref="AM54:AR54" si="34">+AM53/(AM51/24)</f>
        <v>13.728150273936865</v>
      </c>
      <c r="AN54" s="173">
        <f t="shared" si="34"/>
        <v>14</v>
      </c>
      <c r="AO54" s="260">
        <f t="shared" si="34"/>
        <v>12.135825968728756</v>
      </c>
      <c r="AP54" s="120">
        <f t="shared" si="34"/>
        <v>12.541666666666666</v>
      </c>
      <c r="AQ54" s="243">
        <f t="shared" si="34"/>
        <v>7.6376664356476018</v>
      </c>
      <c r="AR54" s="2307">
        <f t="shared" si="34"/>
        <v>14</v>
      </c>
      <c r="AS54" s="1109">
        <f t="shared" ref="AS54:AV54" si="35">+AS53/(AS51/24)</f>
        <v>9.9012376547068364</v>
      </c>
      <c r="AT54" s="120">
        <f t="shared" si="35"/>
        <v>12.698884758364311</v>
      </c>
      <c r="AU54" s="243">
        <f t="shared" si="35"/>
        <v>7.8595955188390167</v>
      </c>
      <c r="AV54" s="2307">
        <f t="shared" si="35"/>
        <v>14</v>
      </c>
      <c r="AW54" s="1109">
        <f t="shared" ref="AW54:AZ54" si="36">+AW53/(AW51/24)</f>
        <v>11.523514502956912</v>
      </c>
      <c r="AX54" s="120">
        <f t="shared" si="36"/>
        <v>12.813559322033898</v>
      </c>
      <c r="AY54" s="243">
        <f t="shared" si="36"/>
        <v>8.1529965722532918</v>
      </c>
      <c r="AZ54" s="2307">
        <f t="shared" si="36"/>
        <v>14</v>
      </c>
      <c r="BA54" s="1109">
        <f t="shared" ref="BA54:BG54" si="37">+BA53/(BA51/24)</f>
        <v>12.378001549186678</v>
      </c>
      <c r="BB54" s="173">
        <f t="shared" si="37"/>
        <v>14</v>
      </c>
      <c r="BC54" s="260">
        <f t="shared" si="37"/>
        <v>11.245240075283405</v>
      </c>
      <c r="BD54" s="1960">
        <f t="shared" si="37"/>
        <v>14</v>
      </c>
      <c r="BE54" s="1961">
        <f t="shared" si="37"/>
        <v>11.697147661858869</v>
      </c>
      <c r="BF54" s="120">
        <f t="shared" si="37"/>
        <v>12.919753086419753</v>
      </c>
      <c r="BG54" s="243">
        <f t="shared" si="37"/>
        <v>8.4923674222784502</v>
      </c>
    </row>
    <row r="55" spans="2:68" x14ac:dyDescent="0.25">
      <c r="B55" s="28" t="s">
        <v>338</v>
      </c>
      <c r="C55" s="2328"/>
      <c r="D55" s="2328"/>
      <c r="E55" s="33" t="s">
        <v>1628</v>
      </c>
      <c r="F55" s="2352">
        <v>0.28399999999999997</v>
      </c>
      <c r="G55" s="483">
        <v>1.46</v>
      </c>
      <c r="H55" s="2352">
        <v>0</v>
      </c>
      <c r="I55" s="483">
        <v>1.615</v>
      </c>
      <c r="J55" s="953">
        <f>+((F55*F5)+(H55*0))/J5</f>
        <v>0.28399999999999997</v>
      </c>
      <c r="K55" s="953">
        <f>+((G55*G5)+(I55*I5))/K5</f>
        <v>1.500599784605549</v>
      </c>
      <c r="L55" s="2352">
        <v>0.28399999999999997</v>
      </c>
      <c r="M55" s="483">
        <v>0.99</v>
      </c>
      <c r="N55" s="173">
        <f>+((J55*J5)+(L55*L5))/N5</f>
        <v>0.28399999999999997</v>
      </c>
      <c r="O55" s="173">
        <f>+((K55*K5)+(M55*M5))/O5</f>
        <v>1.2597299172559331</v>
      </c>
      <c r="P55" s="2352">
        <v>0.28399999999999997</v>
      </c>
      <c r="Q55" s="483">
        <v>0.81599999999999995</v>
      </c>
      <c r="R55" s="953">
        <f>+((N55*N5)+(P55*P5))/R5</f>
        <v>0.28399999999999997</v>
      </c>
      <c r="S55" s="953">
        <f>+((O55*O5)+(Q55*Q5))/S5</f>
        <v>1.0215157816737226</v>
      </c>
      <c r="T55" s="2352">
        <v>0.28399999999999997</v>
      </c>
      <c r="U55" s="483">
        <v>0.75800000000000001</v>
      </c>
      <c r="V55" s="953">
        <f>+((R55*R5)+(T55*T5))/V5</f>
        <v>0.28399999999999997</v>
      </c>
      <c r="W55" s="953">
        <f>+((S55*S5)+(U55*U5))/W5</f>
        <v>0.94249959653061821</v>
      </c>
      <c r="X55" s="2352">
        <v>0.28399999999999997</v>
      </c>
      <c r="Y55" s="483">
        <v>1.0129999999999999</v>
      </c>
      <c r="Z55" s="173">
        <f>+((P55*P5)+(T55*T5)+(X55*X5))/Z5</f>
        <v>0.28399999999999997</v>
      </c>
      <c r="AA55" s="173">
        <f>+((Q55*Q5)+(U55*U5)+(Y55*Y5))/AA5</f>
        <v>0.82631718986974378</v>
      </c>
      <c r="AB55" s="1962">
        <f>+((N55*N5)+(Z55*Z5))/AB5</f>
        <v>0.28399999999999997</v>
      </c>
      <c r="AC55" s="1962">
        <f>+((O55*O5)+(AA55*AA5))/AC5</f>
        <v>0.95063814523946299</v>
      </c>
      <c r="AD55" s="2352">
        <v>0.28399999999999997</v>
      </c>
      <c r="AE55" s="483">
        <v>0.80300000000000005</v>
      </c>
      <c r="AF55" s="953">
        <f>+((AB55*AB5)+(AD55*AD5))/AF5</f>
        <v>0.28399999999999997</v>
      </c>
      <c r="AG55" s="953">
        <f>+((AC55*AC5)+(AE55*AE5))/AG5</f>
        <v>0.91476482825602801</v>
      </c>
      <c r="AH55" s="2352">
        <v>0.28399999999999997</v>
      </c>
      <c r="AI55" s="483">
        <v>0.77800000000000002</v>
      </c>
      <c r="AJ55" s="953">
        <f>+((AF55*AF5)+(AH55*AH5))/AJ5</f>
        <v>0.28399999999999997</v>
      </c>
      <c r="AK55" s="953">
        <f>+((AG55*AG5)+(AI55*AI5))/AK5</f>
        <v>0.88942446245178164</v>
      </c>
      <c r="AL55" s="2352">
        <v>0.28399999999999997</v>
      </c>
      <c r="AM55" s="483">
        <v>0.66800000000000004</v>
      </c>
      <c r="AN55" s="173">
        <f>+((AD55*AD5)+(AH55*AH5)+(AL55*AL5))/AN5</f>
        <v>0.28400000000000003</v>
      </c>
      <c r="AO55" s="173">
        <f>+((AE55*AE5)+(AI55*AI5)+(AM55*AM5))/AO5</f>
        <v>0.7412282161694872</v>
      </c>
      <c r="AP55" s="953">
        <f>+((AJ55*AJ5)+(AL55*AL5))/AP5</f>
        <v>0.28399999999999992</v>
      </c>
      <c r="AQ55" s="953">
        <f>+((AK55*AK5)+(AM55*AM5))/AQ5</f>
        <v>0.84372935087562795</v>
      </c>
      <c r="AR55" s="2352">
        <v>0.28399999999999997</v>
      </c>
      <c r="AS55" s="483">
        <v>0.79300000000000004</v>
      </c>
      <c r="AT55" s="953">
        <f>+((AP55*AP5)+(AR55*AR5))/AT5</f>
        <v>0.28399999999999992</v>
      </c>
      <c r="AU55" s="953">
        <f>+((AQ55*AQ5)+(AS55*AS5))/AU5</f>
        <v>0.8373913900188833</v>
      </c>
      <c r="AV55" s="2352">
        <v>0.28399999999999997</v>
      </c>
      <c r="AW55" s="483">
        <v>0.68400000000000005</v>
      </c>
      <c r="AX55" s="953">
        <f>+((AT55*AT5)+(AV55*AV5))/AX5</f>
        <v>0.28399999999999992</v>
      </c>
      <c r="AY55" s="953">
        <f>+((AU55*AU5)+(AW55*AW5))/AY5</f>
        <v>0.81778507084818874</v>
      </c>
      <c r="AZ55" s="2352">
        <v>0.28399999999999997</v>
      </c>
      <c r="BA55" s="483">
        <v>0.71899999999999997</v>
      </c>
      <c r="BB55" s="173">
        <f>+((AR55*AR5)+(AV55*AV5)+(AZ55*AZ5))/BB5</f>
        <v>0.28400000000000003</v>
      </c>
      <c r="BC55" s="173">
        <f>+((AS55*AS5)+(AW55*AW5)+(BA55*BA5))/BC5</f>
        <v>0.72859291308433061</v>
      </c>
      <c r="BD55" s="1962">
        <f>+((AN55*AN5)+(BB55*BB5))/BD5</f>
        <v>0.28400000000000003</v>
      </c>
      <c r="BE55" s="1962">
        <f>+((AO55*AO5)+(BC55*BC5))/BE5</f>
        <v>0.73503802604604662</v>
      </c>
      <c r="BF55" s="953">
        <f>+((AX55*AX5)+(AZ55*AZ5))/BF5</f>
        <v>0.28399999999999992</v>
      </c>
      <c r="BG55" s="953">
        <f>+((AY55*AY5)+(BA55*BA5))/BG5</f>
        <v>0.80584851244011324</v>
      </c>
    </row>
    <row r="56" spans="2:68" x14ac:dyDescent="0.25">
      <c r="B56" s="28" t="s">
        <v>339</v>
      </c>
      <c r="C56" s="2328"/>
      <c r="D56" s="2328"/>
      <c r="E56" s="33" t="s">
        <v>242</v>
      </c>
      <c r="F56" s="823">
        <f>+'POWER DISTRIBUTION'!I27</f>
        <v>1457178.6833856001</v>
      </c>
      <c r="G56" s="823">
        <f>+'POWER DISTRIBUTION'!J27</f>
        <v>1694370</v>
      </c>
      <c r="H56" s="823">
        <f>+'POWER DISTRIBUTION'!K27</f>
        <v>372000</v>
      </c>
      <c r="I56" s="823">
        <f>+'POWER DISTRIBUTION'!L27</f>
        <v>1514666.66666667</v>
      </c>
      <c r="J56" s="2548">
        <f>+F56+H56</f>
        <v>1829178.6833856001</v>
      </c>
      <c r="K56" s="96">
        <f>+G56+I56</f>
        <v>3209036.6666666698</v>
      </c>
      <c r="L56" s="823">
        <f>+'POWER DISTRIBUTION'!O27</f>
        <v>4748714.7335423194</v>
      </c>
      <c r="M56" s="823">
        <f>+'POWER DISTRIBUTION'!P27</f>
        <v>1919963.3333333326</v>
      </c>
      <c r="N56" s="173">
        <f>+J56+L56</f>
        <v>6577893.4169279197</v>
      </c>
      <c r="O56" s="261">
        <f>+K56+M56</f>
        <v>5129000.0000000019</v>
      </c>
      <c r="P56" s="823">
        <f>+'POWER DISTRIBUTION'!S27</f>
        <v>4388714.7335423194</v>
      </c>
      <c r="Q56" s="823">
        <f>+'POWER DISTRIBUTION'!T27</f>
        <v>2896093.333333334</v>
      </c>
      <c r="R56" s="143">
        <f>+N56+P56</f>
        <v>10966608.150470238</v>
      </c>
      <c r="S56" s="96">
        <f>+O56+Q56</f>
        <v>8025093.3333333358</v>
      </c>
      <c r="T56" s="823">
        <f>+'POWER DISTRIBUTION'!W27</f>
        <v>4937304.0752351098</v>
      </c>
      <c r="U56" s="823">
        <f>+'POWER DISTRIBUTION'!X27</f>
        <v>2522047.0000000014</v>
      </c>
      <c r="V56" s="143">
        <f>+R56+T56</f>
        <v>15903912.225705348</v>
      </c>
      <c r="W56" s="96">
        <f>+S56+U56</f>
        <v>10547140.333333338</v>
      </c>
      <c r="X56" s="823">
        <f>+'POWER DISTRIBUTION'!AA27</f>
        <v>4937304.0752351098</v>
      </c>
      <c r="Y56" s="823">
        <f>+'POWER DISTRIBUTION'!AB27</f>
        <v>1924236.3333333293</v>
      </c>
      <c r="Z56" s="167">
        <f>+P56+T56+X56</f>
        <v>14263322.884012539</v>
      </c>
      <c r="AA56" s="163">
        <f>+Q56+U56+Y56</f>
        <v>7342376.6666666651</v>
      </c>
      <c r="AB56" s="1959">
        <f>+N56+Z56</f>
        <v>20841216.300940458</v>
      </c>
      <c r="AC56" s="1959">
        <f>+AA56+O56</f>
        <v>12471376.666666668</v>
      </c>
      <c r="AD56" s="823">
        <f>+'POWER DISTRIBUTION'!AG27</f>
        <v>4937304.0752351098</v>
      </c>
      <c r="AE56" s="823">
        <f>+'POWER DISTRIBUTION'!AH27</f>
        <v>3027155.3333333367</v>
      </c>
      <c r="AF56" s="143">
        <f>+AB56+AD56</f>
        <v>25778520.376175568</v>
      </c>
      <c r="AG56" s="96">
        <f>+AC56+AE56</f>
        <v>15498532.000000004</v>
      </c>
      <c r="AH56" s="823">
        <f>+'POWER DISTRIBUTION'!AK27</f>
        <v>4937304.0752351098</v>
      </c>
      <c r="AI56" s="823">
        <f>+'POWER DISTRIBUTION'!AL27</f>
        <v>2857664.6666666674</v>
      </c>
      <c r="AJ56" s="143">
        <f>+AF56+AH56</f>
        <v>30715824.451410677</v>
      </c>
      <c r="AK56" s="96">
        <f>+AG56+AI56</f>
        <v>18356196.666666672</v>
      </c>
      <c r="AL56" s="823">
        <f>+'POWER DISTRIBUTION'!AO27</f>
        <v>4937304.0752351098</v>
      </c>
      <c r="AM56" s="823">
        <f>+'POWER DISTRIBUTION'!AP27</f>
        <v>3240616.6666666633</v>
      </c>
      <c r="AN56" s="167">
        <f>+AD56+AH56+AL56</f>
        <v>14811912.225705329</v>
      </c>
      <c r="AO56" s="163">
        <f>+AE56+AI56+AM56</f>
        <v>9125436.6666666679</v>
      </c>
      <c r="AP56" s="143">
        <f>+AJ56+AL56</f>
        <v>35653128.526645787</v>
      </c>
      <c r="AQ56" s="96">
        <f>+AK56+AM56</f>
        <v>21596813.333333336</v>
      </c>
      <c r="AR56" s="823">
        <f>+'POWER DISTRIBUTION'!AU27</f>
        <v>4937304.0752351098</v>
      </c>
      <c r="AS56" s="823">
        <f>+'POWER DISTRIBUTION'!AV27</f>
        <v>2809210.0000000023</v>
      </c>
      <c r="AT56" s="143">
        <f>+AP56+AR56</f>
        <v>40590432.601880893</v>
      </c>
      <c r="AU56" s="96">
        <f>+AQ56+AS56</f>
        <v>24406023.33333334</v>
      </c>
      <c r="AV56" s="823">
        <f>+'POWER DISTRIBUTION'!AY27</f>
        <v>4937304.0752351098</v>
      </c>
      <c r="AW56" s="823">
        <f>+'POWER DISTRIBUTION'!AZ27</f>
        <v>2670593.3333333316</v>
      </c>
      <c r="AX56" s="143">
        <f>+AT56+AV56</f>
        <v>45527736.677116007</v>
      </c>
      <c r="AY56" s="96">
        <f>+AU56+AW56</f>
        <v>27076616.666666672</v>
      </c>
      <c r="AZ56" s="823">
        <f>+'POWER DISTRIBUTION'!BC27</f>
        <v>4937304.0752351098</v>
      </c>
      <c r="BA56" s="823">
        <f>+'POWER DISTRIBUTION'!BD27</f>
        <v>2962572.0000000019</v>
      </c>
      <c r="BB56" s="167">
        <f>+AR56+AV56+AZ56</f>
        <v>14811912.225705329</v>
      </c>
      <c r="BC56" s="163">
        <f>+AS56+AW56+BA56</f>
        <v>8442375.3333333358</v>
      </c>
      <c r="BD56" s="1959">
        <f>+AN56+BB56</f>
        <v>29623824.451410659</v>
      </c>
      <c r="BE56" s="1959">
        <f>+AO56+BC56</f>
        <v>17567812.000000004</v>
      </c>
      <c r="BF56" s="143">
        <f>+AX56+AZ56</f>
        <v>50465040.75235112</v>
      </c>
      <c r="BG56" s="96">
        <f>+AY56+BA56</f>
        <v>30039188.666666672</v>
      </c>
    </row>
    <row r="57" spans="2:68" x14ac:dyDescent="0.25">
      <c r="B57" s="28" t="s">
        <v>340</v>
      </c>
      <c r="C57" s="2328"/>
      <c r="D57" s="2328"/>
      <c r="E57" s="33" t="s">
        <v>332</v>
      </c>
      <c r="F57" s="1109">
        <f t="shared" ref="F57:AY57" si="38">+F56/F5</f>
        <v>139.45628130783808</v>
      </c>
      <c r="G57" s="1109">
        <f t="shared" si="38"/>
        <v>202.15810943504732</v>
      </c>
      <c r="H57" s="1109" t="e">
        <f t="shared" si="38"/>
        <v>#DIV/0!</v>
      </c>
      <c r="I57" s="1109">
        <f t="shared" si="38"/>
        <v>509.21723538970247</v>
      </c>
      <c r="J57" s="120">
        <f t="shared" si="38"/>
        <v>175.05777427367212</v>
      </c>
      <c r="K57" s="243">
        <f t="shared" si="38"/>
        <v>282.58736346683531</v>
      </c>
      <c r="L57" s="1109">
        <f t="shared" si="38"/>
        <v>113.613</v>
      </c>
      <c r="M57" s="1109">
        <f t="shared" si="38"/>
        <v>189.32921690377376</v>
      </c>
      <c r="N57" s="173">
        <f t="shared" si="38"/>
        <v>125.90165303615004</v>
      </c>
      <c r="O57" s="260">
        <f t="shared" si="38"/>
        <v>238.59385217056837</v>
      </c>
      <c r="P57" s="1109">
        <f t="shared" si="38"/>
        <v>105</v>
      </c>
      <c r="Q57" s="1109">
        <f t="shared" si="38"/>
        <v>116.22960241664757</v>
      </c>
      <c r="R57" s="120">
        <f t="shared" si="38"/>
        <v>116.61199777648152</v>
      </c>
      <c r="S57" s="243">
        <f t="shared" si="38"/>
        <v>172.90323080891804</v>
      </c>
      <c r="T57" s="1109">
        <f t="shared" si="38"/>
        <v>105</v>
      </c>
      <c r="U57" s="1109">
        <f t="shared" si="38"/>
        <v>126.87777513650396</v>
      </c>
      <c r="V57" s="120">
        <f t="shared" si="38"/>
        <v>112.74132304878663</v>
      </c>
      <c r="W57" s="243">
        <f t="shared" si="38"/>
        <v>159.10232710740792</v>
      </c>
      <c r="X57" s="1109">
        <f t="shared" si="38"/>
        <v>105</v>
      </c>
      <c r="Y57" s="1109">
        <f t="shared" si="38"/>
        <v>222.41920009145917</v>
      </c>
      <c r="Z57" s="173">
        <f t="shared" si="38"/>
        <v>105</v>
      </c>
      <c r="AA57" s="260">
        <f t="shared" si="38"/>
        <v>137.37892217250908</v>
      </c>
      <c r="AB57" s="1960">
        <f t="shared" si="38"/>
        <v>110.80598898577021</v>
      </c>
      <c r="AC57" s="1961">
        <f t="shared" si="38"/>
        <v>166.41161087762381</v>
      </c>
      <c r="AD57" s="1109">
        <f t="shared" si="38"/>
        <v>105</v>
      </c>
      <c r="AE57" s="1109">
        <f t="shared" si="38"/>
        <v>125.84546072828904</v>
      </c>
      <c r="AF57" s="120">
        <f t="shared" si="38"/>
        <v>109.64478960422413</v>
      </c>
      <c r="AG57" s="243">
        <f t="shared" si="38"/>
        <v>156.55479263634638</v>
      </c>
      <c r="AH57" s="1109">
        <f t="shared" si="38"/>
        <v>105</v>
      </c>
      <c r="AI57" s="1109">
        <f t="shared" si="38"/>
        <v>126.92721052504918</v>
      </c>
      <c r="AJ57" s="120">
        <f t="shared" si="38"/>
        <v>108.87065712330281</v>
      </c>
      <c r="AK57" s="243">
        <f t="shared" si="38"/>
        <v>151.06526891764474</v>
      </c>
      <c r="AL57" s="1109">
        <f t="shared" si="38"/>
        <v>105</v>
      </c>
      <c r="AM57" s="1109">
        <f t="shared" si="38"/>
        <v>102.56144949041121</v>
      </c>
      <c r="AN57" s="173">
        <f t="shared" si="38"/>
        <v>105.00000000000001</v>
      </c>
      <c r="AO57" s="260">
        <f t="shared" si="38"/>
        <v>116.74495576201248</v>
      </c>
      <c r="AP57" s="120">
        <f t="shared" si="38"/>
        <v>108.31770556677976</v>
      </c>
      <c r="AQ57" s="243">
        <f t="shared" si="38"/>
        <v>141.055591504158</v>
      </c>
      <c r="AR57" s="1109">
        <f t="shared" si="38"/>
        <v>105</v>
      </c>
      <c r="AS57" s="1109">
        <f t="shared" si="38"/>
        <v>128.50914352016815</v>
      </c>
      <c r="AT57" s="120">
        <f t="shared" si="38"/>
        <v>107.90299201727379</v>
      </c>
      <c r="AU57" s="243">
        <f t="shared" si="38"/>
        <v>139.48807891349495</v>
      </c>
      <c r="AV57" s="1109">
        <f t="shared" si="38"/>
        <v>105</v>
      </c>
      <c r="AW57" s="1109">
        <f t="shared" si="38"/>
        <v>104.1500340242499</v>
      </c>
      <c r="AX57" s="120">
        <f t="shared" si="38"/>
        <v>107.58043710418323</v>
      </c>
      <c r="AY57" s="243">
        <f t="shared" si="38"/>
        <v>134.97120878876646</v>
      </c>
      <c r="AZ57" s="1109">
        <f t="shared" ref="AZ57:BA57" si="39">+AZ56/AZ5</f>
        <v>105</v>
      </c>
      <c r="BA57" s="1109">
        <f t="shared" si="39"/>
        <v>107.44814234383955</v>
      </c>
      <c r="BB57" s="173">
        <f t="shared" ref="BB57:BG57" si="40">+BB56/BB5</f>
        <v>105.00000000000001</v>
      </c>
      <c r="BC57" s="260">
        <f t="shared" si="40"/>
        <v>112.4541976776722</v>
      </c>
      <c r="BD57" s="1960">
        <f t="shared" si="40"/>
        <v>105.00000000000001</v>
      </c>
      <c r="BE57" s="1961">
        <f t="shared" si="40"/>
        <v>114.64286069260663</v>
      </c>
      <c r="BF57" s="120">
        <f t="shared" si="40"/>
        <v>107.32239321772164</v>
      </c>
      <c r="BG57" s="243">
        <f t="shared" si="40"/>
        <v>131.6454968429392</v>
      </c>
    </row>
    <row r="58" spans="2:68" ht="15" customHeight="1" x14ac:dyDescent="0.25">
      <c r="B58" s="28" t="s">
        <v>341</v>
      </c>
      <c r="C58" s="2328"/>
      <c r="D58" s="2328"/>
      <c r="E58" s="33" t="s">
        <v>333</v>
      </c>
      <c r="F58" s="1110">
        <f>+EMD!D29/(EMD!D2*24)</f>
        <v>0.51363979999999998</v>
      </c>
      <c r="G58" s="369">
        <f>+EMD!E29/(EMD!E2*24)</f>
        <v>0.66579808706645005</v>
      </c>
      <c r="H58" s="1110">
        <f>+EMD!F29/(EMD!F2*24)</f>
        <v>0</v>
      </c>
      <c r="I58" s="369">
        <f>+EMD!G29/(EMD!G2*24)</f>
        <v>0.3056451612903226</v>
      </c>
      <c r="J58" s="182">
        <f t="shared" ref="J58:K60" si="41">+((F58*F$2)+(H58*H$2))/J$2</f>
        <v>0.25260973770491801</v>
      </c>
      <c r="K58" s="182">
        <f t="shared" si="41"/>
        <v>0.48276955101628694</v>
      </c>
      <c r="L58" s="1110">
        <f>+EMD!J29/(EMD!J2*24)</f>
        <v>1.2218130999999999</v>
      </c>
      <c r="M58" s="369">
        <f>+EMD!K29/(EMD!K2*24)</f>
        <v>0.89559722222222227</v>
      </c>
      <c r="N58" s="962">
        <f t="shared" ref="N58:O60" si="42">+((J58*J$2)+(L58*L$2))/N$2</f>
        <v>0.57212732967032964</v>
      </c>
      <c r="O58" s="962">
        <f t="shared" si="42"/>
        <v>0.61886658547978213</v>
      </c>
      <c r="P58" s="1110">
        <f>+EMD!N29/(EMD!N2*24)</f>
        <v>1.1892552999999999</v>
      </c>
      <c r="Q58" s="369">
        <f>+EMD!O29/(EMD!O2*24)</f>
        <v>1.840994623655914</v>
      </c>
      <c r="R58" s="182">
        <f t="shared" ref="R58:S60" si="43">+((N58*N$2)+(P58*P$2))/R$2</f>
        <v>0.72893853524590169</v>
      </c>
      <c r="S58" s="182">
        <f t="shared" si="43"/>
        <v>0.92940731649175012</v>
      </c>
      <c r="T58" s="1110">
        <f>+EMD!R29/(EMD!R2*24)</f>
        <v>1.2951277999999999</v>
      </c>
      <c r="U58" s="369">
        <f>+EMD!S29/(EMD!S2*24)</f>
        <v>1.1058870967741936</v>
      </c>
      <c r="V58" s="182">
        <f t="shared" ref="V58:W60" si="44">+((R58*R$2)+(T58*T$2))/V$2</f>
        <v>0.84365662156862742</v>
      </c>
      <c r="W58" s="182">
        <f t="shared" si="44"/>
        <v>0.9651646575947288</v>
      </c>
      <c r="X58" s="1110">
        <f>+EMD!V29/(EMD!V2*24)</f>
        <v>1.3250234000000001</v>
      </c>
      <c r="Y58" s="369">
        <f>+EMD!W29/(EMD!W2*24)</f>
        <v>0.63802777777777775</v>
      </c>
      <c r="Z58" s="962">
        <f t="shared" ref="Z58:AA60" si="45">+((P58*P$2)+(T58*T$2)+(X58*X$2))/Z$2</f>
        <v>1.2692019358695652</v>
      </c>
      <c r="AA58" s="962">
        <f t="shared" si="45"/>
        <v>1.2010235507246376</v>
      </c>
      <c r="AB58" s="1963">
        <f t="shared" ref="AB58:AC60" si="46">+((N58*N$2)+(Z58*Z$2))/AB$2</f>
        <v>0.92256920819672128</v>
      </c>
      <c r="AC58" s="1963">
        <f t="shared" si="46"/>
        <v>0.9115356609034253</v>
      </c>
      <c r="AD58" s="1110">
        <f>+EMD!AB29/(EMD!AB2*24)</f>
        <v>1.2951277999999999</v>
      </c>
      <c r="AE58" s="3175">
        <f>+EMD!AC29/(EMD!AC2*24)</f>
        <v>1.3826075268817206</v>
      </c>
      <c r="AF58" s="182">
        <f t="shared" ref="AF58:AG60" si="47">+((AB58*AB$2)+(AD58*AD$2))/AF$2</f>
        <v>0.97653797616822424</v>
      </c>
      <c r="AG58" s="182">
        <f t="shared" si="47"/>
        <v>0.97977504335822518</v>
      </c>
      <c r="AH58" s="1110">
        <f>+EMD!AF29/(EMD!AF2*24)</f>
        <v>1.3250234000000001</v>
      </c>
      <c r="AI58" s="3334">
        <f>+EMD!AG29/(EMD!AG2*24)</f>
        <v>1.4842916666666668</v>
      </c>
      <c r="AJ58" s="182">
        <f t="shared" ref="AJ58:AJ60" si="48">+((AF58*AF$2)+(AH58*AH$2))/AJ$2</f>
        <v>1.019384544672131</v>
      </c>
      <c r="AK58" s="182">
        <f t="shared" ref="AK58:AK60" si="49">+((AG58*AG$2)+(AI58*AI$2))/AK$2</f>
        <v>1.0418057757322139</v>
      </c>
      <c r="AL58" s="1110">
        <f>+EMD!AJ29/(EMD!AJ2*24)</f>
        <v>1.2951277999999999</v>
      </c>
      <c r="AM58" s="3624">
        <f>+EMD!AK29/(EMD!AK2*24)</f>
        <v>1.6383064516129033</v>
      </c>
      <c r="AN58" s="962">
        <f t="shared" ref="AN58:AN60" si="50">+((AD58*AD$2)+(AH58*AH$2)+(AL58*AL$2))/AN$2</f>
        <v>1.3048763652173911</v>
      </c>
      <c r="AO58" s="962">
        <f t="shared" ref="AO58:AO60" si="51">+((AE58*AE$2)+(AI58*AI$2)+(AM58*AM$2))/AO$2</f>
        <v>1.5019248188405798</v>
      </c>
      <c r="AP58" s="182">
        <f t="shared" ref="AP58:AP60" si="52">+((AJ58*AJ$2)+(AL58*AL$2))/AP$2</f>
        <v>1.0504683298181816</v>
      </c>
      <c r="AQ58" s="182">
        <f t="shared" ref="AQ58:AQ60" si="53">+((AK58*AK$2)+(AM58*AM$2))/AQ$2</f>
        <v>1.1090476701042189</v>
      </c>
      <c r="AR58" s="1110">
        <f>+EMD!AP29/(EMD!AP2*24)</f>
        <v>1.2951277999999999</v>
      </c>
      <c r="AS58" s="3898">
        <f>+EMD!AQ29/(EMD!AQ2*24)</f>
        <v>1.2732930107526883</v>
      </c>
      <c r="AT58" s="182">
        <f t="shared" ref="AT58:AT60" si="54">+((AP58*AP$2)+(AR58*AR$2))/AT$2</f>
        <v>1.0752540931372547</v>
      </c>
      <c r="AU58" s="182">
        <f t="shared" ref="AU58:AU60" si="55">+((AQ58*AQ$2)+(AS58*AS$2))/AU$2</f>
        <v>1.1256869039607631</v>
      </c>
      <c r="AV58" s="1110">
        <f>+EMD!AT29/(EMD!AT2*24)</f>
        <v>1.4085909999999999</v>
      </c>
      <c r="AW58" s="4086">
        <f>+EMD!AU29/(EMD!AU2*24)</f>
        <v>1.4611150518307756</v>
      </c>
      <c r="AX58" s="182">
        <f t="shared" ref="AX58:AX60" si="56">+((AT58*AT$2)+(AV58*AV$2))/AX$2</f>
        <v>1.1031985044910178</v>
      </c>
      <c r="AY58" s="182">
        <f t="shared" ref="AY58:AY60" si="57">+((AU58*AU$2)+(AW58*AW$2))/AY$2</f>
        <v>1.153806628931902</v>
      </c>
      <c r="AZ58" s="1110">
        <f>+EMD!AX29/(EMD!AX2*24)</f>
        <v>1.2951277999999999</v>
      </c>
      <c r="BA58" s="4476">
        <f>+EMD!AY29/(EMD!AY2*24)</f>
        <v>1.4162768817204301</v>
      </c>
      <c r="BB58" s="962">
        <f t="shared" ref="BB58:BB60" si="58">+((AR58*AR$2)+(AV58*AV$2)+(AZ58*AZ$2))/BB$2</f>
        <v>1.3304274622222221</v>
      </c>
      <c r="BC58" s="962">
        <f t="shared" ref="BC58:BC60" si="59">+((AS58*AS$2)+(AW58*AW$2)+(BA58*BA$2))/BC$2</f>
        <v>1.3809765346436487</v>
      </c>
      <c r="BD58" s="1963">
        <f t="shared" ref="BD58:BE60" si="60">+((AN58*AN$2)+(BB58*BB$2))/BD$2</f>
        <v>1.3175115230769228</v>
      </c>
      <c r="BE58" s="1963">
        <f t="shared" si="60"/>
        <v>1.4421152277541851</v>
      </c>
      <c r="BF58" s="182">
        <f t="shared" ref="BF58:BF60" si="61">+((AX58*AX$2)+(AZ58*AZ$2))/BF$2</f>
        <v>1.1194993487671232</v>
      </c>
      <c r="BG58" s="182">
        <f t="shared" ref="BG58:BG60" si="62">+((AY58*AY$2)+(BA58*BA$2))/BG$2</f>
        <v>1.1760986230043524</v>
      </c>
    </row>
    <row r="59" spans="2:68" x14ac:dyDescent="0.25">
      <c r="B59" s="28" t="s">
        <v>342</v>
      </c>
      <c r="C59" s="2328"/>
      <c r="D59" s="2328"/>
      <c r="E59" s="33" t="s">
        <v>333</v>
      </c>
      <c r="F59" s="1110">
        <f>+EMD!D48/(EMD!D2*24)</f>
        <v>1.0784065277777779</v>
      </c>
      <c r="G59" s="369">
        <f>+EMD!E48/(EMD!E2*24)</f>
        <v>5.1273304741397219</v>
      </c>
      <c r="H59" s="1110">
        <f>+EMD!F48/(EMD!F2*24)</f>
        <v>0</v>
      </c>
      <c r="I59" s="369">
        <f>+EMD!G48/(EMD!G2*24)</f>
        <v>1.7846774193548387</v>
      </c>
      <c r="J59" s="120">
        <f t="shared" si="41"/>
        <v>0.53036386612021869</v>
      </c>
      <c r="K59" s="120">
        <f t="shared" si="41"/>
        <v>3.428605151216257</v>
      </c>
      <c r="L59" s="1110">
        <f>+EMD!J48/(EMD!J2*24)</f>
        <v>4.7551455598372998</v>
      </c>
      <c r="M59" s="369">
        <f>+EMD!K48/(EMD!K2*24)</f>
        <v>3.7001805555555558</v>
      </c>
      <c r="N59" s="173">
        <f t="shared" si="42"/>
        <v>1.9231490398731026</v>
      </c>
      <c r="O59" s="173">
        <f t="shared" si="42"/>
        <v>3.518135504295147</v>
      </c>
      <c r="P59" s="1110">
        <f>+EMD!N48/(EMD!N2*24)</f>
        <v>4.5981190140088</v>
      </c>
      <c r="Q59" s="369">
        <f>+EMD!O48/(EMD!O2*24)</f>
        <v>7.1636827956989242</v>
      </c>
      <c r="R59" s="120">
        <f t="shared" si="43"/>
        <v>2.6028545251043047</v>
      </c>
      <c r="S59" s="120">
        <f t="shared" si="43"/>
        <v>4.4444630947338108</v>
      </c>
      <c r="T59" s="1110">
        <f>+EMD!R48/(EMD!R2*24)</f>
        <v>5.1955680241303988</v>
      </c>
      <c r="U59" s="369">
        <f>+EMD!S48/(EMD!S2*24)</f>
        <v>5.3822311827956995</v>
      </c>
      <c r="V59" s="120">
        <f t="shared" si="44"/>
        <v>3.1281755608546895</v>
      </c>
      <c r="W59" s="120">
        <f t="shared" si="44"/>
        <v>4.6344683936221669</v>
      </c>
      <c r="X59" s="1110">
        <f>+EMD!V48/(EMD!V2*24)</f>
        <v>5.3757921949274996</v>
      </c>
      <c r="Y59" s="369">
        <f>+EMD!W48/(EMD!W2*24)</f>
        <v>3.2954444444444442</v>
      </c>
      <c r="Z59" s="173">
        <f t="shared" si="45"/>
        <v>5.0530224351102184</v>
      </c>
      <c r="AA59" s="173">
        <f t="shared" si="45"/>
        <v>5.3020289855072464</v>
      </c>
      <c r="AB59" s="1963">
        <f t="shared" si="46"/>
        <v>3.4966373041453136</v>
      </c>
      <c r="AC59" s="1963">
        <f t="shared" si="46"/>
        <v>4.4149562708061474</v>
      </c>
      <c r="AD59" s="1110">
        <f>+EMD!AB48/(EMD!AB2*24)</f>
        <v>5.1955680241303988</v>
      </c>
      <c r="AE59" s="3175">
        <f>+EMD!AC48/(EMD!AC2*24)</f>
        <v>7.2141129032258071</v>
      </c>
      <c r="AF59" s="120">
        <f t="shared" si="47"/>
        <v>3.7427440906852087</v>
      </c>
      <c r="AG59" s="120">
        <f t="shared" si="47"/>
        <v>4.8204415773716116</v>
      </c>
      <c r="AH59" s="1110">
        <f>+EMD!AF48/(EMD!AF2*24)</f>
        <v>5.3757921949274996</v>
      </c>
      <c r="AI59" s="3334">
        <f>+EMD!AG48/(EMD!AG2*24)</f>
        <v>6.5850277777777784</v>
      </c>
      <c r="AJ59" s="120">
        <f t="shared" si="48"/>
        <v>3.9435286936658183</v>
      </c>
      <c r="AK59" s="120">
        <f t="shared" si="49"/>
        <v>5.0373988970936807</v>
      </c>
      <c r="AL59" s="1110">
        <f>+EMD!AJ48/(EMD!AJ2*24)</f>
        <v>5.1955680241303988</v>
      </c>
      <c r="AM59" s="3624">
        <f>+EMD!AK48/(EMD!AK2*24)</f>
        <v>7.8583602150537635</v>
      </c>
      <c r="AN59" s="173">
        <f t="shared" si="50"/>
        <v>5.2543367754772792</v>
      </c>
      <c r="AO59" s="173">
        <f t="shared" si="51"/>
        <v>7.2260597826086972</v>
      </c>
      <c r="AP59" s="120">
        <f t="shared" si="52"/>
        <v>4.0846676727363711</v>
      </c>
      <c r="AQ59" s="120">
        <f t="shared" si="53"/>
        <v>5.3553981729364537</v>
      </c>
      <c r="AR59" s="1110">
        <f>+EMD!AP48/(EMD!AP2*24)</f>
        <v>5.1955680241303988</v>
      </c>
      <c r="AS59" s="3898">
        <f>+EMD!AQ48/(EMD!AQ2*24)</f>
        <v>6.8242204301075269</v>
      </c>
      <c r="AT59" s="120">
        <f t="shared" si="54"/>
        <v>4.1972098651978573</v>
      </c>
      <c r="AU59" s="120">
        <f t="shared" si="55"/>
        <v>5.504200427747902</v>
      </c>
      <c r="AV59" s="1110">
        <f>+EMD!AT48/(EMD!AT2*24)</f>
        <v>5.7656502909909007</v>
      </c>
      <c r="AW59" s="4086">
        <f>+EMD!AU48/(EMD!AU2*24)</f>
        <v>8.310738160934239</v>
      </c>
      <c r="AX59" s="120">
        <f t="shared" si="56"/>
        <v>4.3286958889170339</v>
      </c>
      <c r="AY59" s="120">
        <f t="shared" si="57"/>
        <v>5.7394790401108287</v>
      </c>
      <c r="AZ59" s="1110">
        <f>+EMD!AX48/(EMD!AX2*24)</f>
        <v>5.1955680241303988</v>
      </c>
      <c r="BA59" s="4476">
        <f>+EMD!AY48/(EMD!AY2*24)</f>
        <v>7.9881182795698926</v>
      </c>
      <c r="BB59" s="173">
        <f t="shared" si="58"/>
        <v>5.3729269515981102</v>
      </c>
      <c r="BC59" s="173">
        <f t="shared" si="59"/>
        <v>7.6875907611795409</v>
      </c>
      <c r="BD59" s="1963">
        <f t="shared" si="60"/>
        <v>5.312980269163404</v>
      </c>
      <c r="BE59" s="1963">
        <f t="shared" si="60"/>
        <v>7.4542893873964768</v>
      </c>
      <c r="BF59" s="120">
        <f t="shared" si="61"/>
        <v>4.4023206456063884</v>
      </c>
      <c r="BG59" s="120">
        <f t="shared" si="62"/>
        <v>5.9304593590785846</v>
      </c>
    </row>
    <row r="60" spans="2:68" x14ac:dyDescent="0.25">
      <c r="B60" s="28" t="s">
        <v>343</v>
      </c>
      <c r="C60" s="2328"/>
      <c r="D60" s="2328"/>
      <c r="E60" s="33" t="s">
        <v>333</v>
      </c>
      <c r="F60" s="1110">
        <f>+EMD!D69/(EMD!D2*24)</f>
        <v>0.12531880000000001</v>
      </c>
      <c r="G60" s="369">
        <f>+EMD!E69/(EMD!E2*24)</f>
        <v>1.182024140648618</v>
      </c>
      <c r="H60" s="1110">
        <f>+EMD!F69/(EMD!F2*24)</f>
        <v>0</v>
      </c>
      <c r="I60" s="369">
        <f>+EMD!G69/(EMD!G2*24)</f>
        <v>0.43531317204301073</v>
      </c>
      <c r="J60" s="120">
        <f t="shared" si="41"/>
        <v>6.1632196721311476E-2</v>
      </c>
      <c r="K60" s="120">
        <f t="shared" si="41"/>
        <v>0.80254807463593236</v>
      </c>
      <c r="L60" s="1110">
        <f>+EMD!J69/(EMD!J2*24)</f>
        <v>0.89250218999999997</v>
      </c>
      <c r="M60" s="369">
        <f>+EMD!K69/(EMD!K2*24)</f>
        <v>0.83669583333333342</v>
      </c>
      <c r="N60" s="173">
        <f t="shared" si="42"/>
        <v>0.33554538131868133</v>
      </c>
      <c r="O60" s="173">
        <f t="shared" si="42"/>
        <v>0.81380557750320748</v>
      </c>
      <c r="P60" s="1110">
        <f>+EMD!N69/(EMD!N2*24)</f>
        <v>0.86049107000000002</v>
      </c>
      <c r="Q60" s="369">
        <f>+EMD!O69/(EMD!O2*24)</f>
        <v>1.5982379032258063</v>
      </c>
      <c r="R60" s="120">
        <f t="shared" si="43"/>
        <v>0.46893322024590167</v>
      </c>
      <c r="S60" s="120">
        <f t="shared" si="43"/>
        <v>1.0131285455146875</v>
      </c>
      <c r="T60" s="1110">
        <f>+EMD!R69/(EMD!R2*24)</f>
        <v>0.98815269999999988</v>
      </c>
      <c r="U60" s="369">
        <f>+EMD!S69/(EMD!S2*24)</f>
        <v>1.3220631720430107</v>
      </c>
      <c r="V60" s="120">
        <f t="shared" si="44"/>
        <v>0.57413455274509806</v>
      </c>
      <c r="W60" s="120">
        <f t="shared" si="44"/>
        <v>1.0757231430465699</v>
      </c>
      <c r="X60" s="1110">
        <f>+EMD!V69/(EMD!V2*24)</f>
        <v>1.0273279500000001</v>
      </c>
      <c r="Y60" s="369">
        <f>+EMD!W69/(EMD!W2*24)</f>
        <v>0.80172499999999991</v>
      </c>
      <c r="Z60" s="173">
        <f t="shared" si="45"/>
        <v>0.95791081923913046</v>
      </c>
      <c r="AA60" s="173">
        <f t="shared" si="45"/>
        <v>1.2454465579710143</v>
      </c>
      <c r="AB60" s="1963">
        <f t="shared" si="46"/>
        <v>0.64842855229508201</v>
      </c>
      <c r="AC60" s="1963">
        <f t="shared" si="46"/>
        <v>1.0308054146782799</v>
      </c>
      <c r="AD60" s="1110">
        <f>+EMD!AB69/(EMD!AB2*24)</f>
        <v>0.95627680645161284</v>
      </c>
      <c r="AE60" s="3175">
        <f>+EMD!AC69/(EMD!AC2*24)</f>
        <v>1.6722150537634408</v>
      </c>
      <c r="AF60" s="120">
        <f t="shared" si="47"/>
        <v>0.69302339285046732</v>
      </c>
      <c r="AG60" s="120">
        <f t="shared" si="47"/>
        <v>1.1237198951065042</v>
      </c>
      <c r="AH60" s="1110">
        <f>+EMD!AF69/(EMD!AF2*24)</f>
        <v>1.0273279500000001</v>
      </c>
      <c r="AI60" s="3334">
        <f>+EMD!AG69/(EMD!AG2*24)</f>
        <v>1.4713861111111111</v>
      </c>
      <c r="AJ60" s="120">
        <f t="shared" si="48"/>
        <v>0.73412641217213115</v>
      </c>
      <c r="AK60" s="120">
        <f t="shared" si="49"/>
        <v>1.1664657413365789</v>
      </c>
      <c r="AL60" s="1110">
        <f>+EMD!AJ69/(EMD!AJ2*24)</f>
        <v>0.98815269999999988</v>
      </c>
      <c r="AM60" s="3624">
        <f>+EMD!AK69/(EMD!AK2*24)</f>
        <v>1.7387258064516131</v>
      </c>
      <c r="AN60" s="173">
        <f t="shared" si="50"/>
        <v>0.990186447826087</v>
      </c>
      <c r="AO60" s="173">
        <f t="shared" si="51"/>
        <v>1.6291385869565218</v>
      </c>
      <c r="AP60" s="120">
        <f t="shared" si="52"/>
        <v>0.76276210280000001</v>
      </c>
      <c r="AQ60" s="120">
        <f t="shared" si="53"/>
        <v>1.2309750577677281</v>
      </c>
      <c r="AR60" s="1110">
        <f>+EMD!AP69/(EMD!AP2*24)</f>
        <v>0.98815269999999988</v>
      </c>
      <c r="AS60" s="3898">
        <f>+EMD!AQ69/(EMD!AQ2*24)</f>
        <v>1.4297150537634409</v>
      </c>
      <c r="AT60" s="120">
        <f t="shared" si="54"/>
        <v>0.78559579075163388</v>
      </c>
      <c r="AU60" s="120">
        <f t="shared" si="55"/>
        <v>1.2511088482117383</v>
      </c>
      <c r="AV60" s="1110">
        <f>+EMD!AT69/(EMD!AT2*24)</f>
        <v>1.10591248</v>
      </c>
      <c r="AW60" s="4086">
        <f>+EMD!AU69/(EMD!AU2*24)</f>
        <v>1.5096555252886521</v>
      </c>
      <c r="AX60" s="120">
        <f t="shared" si="56"/>
        <v>0.81244868685628746</v>
      </c>
      <c r="AY60" s="120">
        <f t="shared" si="57"/>
        <v>1.272783419942737</v>
      </c>
      <c r="AZ60" s="1110">
        <f>+EMD!AX69/(EMD!AX2*24)</f>
        <v>0.98815269999999988</v>
      </c>
      <c r="BA60" s="4476">
        <f>+EMD!AY69/(EMD!AY2*24)</f>
        <v>1.6379811827956987</v>
      </c>
      <c r="BB60" s="173">
        <f t="shared" si="58"/>
        <v>1.024789076</v>
      </c>
      <c r="BC60" s="173">
        <f t="shared" si="59"/>
        <v>1.5263215337935065</v>
      </c>
      <c r="BD60" s="1963">
        <f t="shared" si="60"/>
        <v>1.0072976375824176</v>
      </c>
      <c r="BE60" s="1963">
        <f t="shared" si="60"/>
        <v>1.5782949892385472</v>
      </c>
      <c r="BF60" s="120">
        <f t="shared" si="61"/>
        <v>0.82737149345205485</v>
      </c>
      <c r="BG60" s="120">
        <f t="shared" si="62"/>
        <v>1.3038002162398381</v>
      </c>
    </row>
    <row r="61" spans="2:68" ht="15.75" thickBot="1" x14ac:dyDescent="0.3">
      <c r="B61" s="31" t="s">
        <v>344</v>
      </c>
      <c r="C61" s="2328"/>
      <c r="D61" s="2328"/>
      <c r="E61" s="2041" t="s">
        <v>609</v>
      </c>
      <c r="F61" s="822">
        <f t="shared" ref="F61:AG61" si="63">+F42/F53</f>
        <v>47.61904761904762</v>
      </c>
      <c r="G61" s="822">
        <f t="shared" si="63"/>
        <v>72.085373365013155</v>
      </c>
      <c r="H61" s="822" t="e">
        <f t="shared" si="63"/>
        <v>#DIV/0!</v>
      </c>
      <c r="I61" s="822">
        <f t="shared" si="63"/>
        <v>58.677568427510899</v>
      </c>
      <c r="J61" s="2552">
        <f t="shared" si="63"/>
        <v>47.61904761904762</v>
      </c>
      <c r="K61" s="415">
        <f t="shared" si="63"/>
        <v>68.080258185609381</v>
      </c>
      <c r="L61" s="822">
        <f t="shared" si="63"/>
        <v>102.04081632653062</v>
      </c>
      <c r="M61" s="822">
        <f t="shared" si="63"/>
        <v>73.433808566986016</v>
      </c>
      <c r="N61" s="2819">
        <f t="shared" si="63"/>
        <v>83.056478405315616</v>
      </c>
      <c r="O61" s="416">
        <f t="shared" si="63"/>
        <v>70.503536616560694</v>
      </c>
      <c r="P61" s="822">
        <f t="shared" si="63"/>
        <v>98.522167487684726</v>
      </c>
      <c r="Q61" s="822">
        <f t="shared" si="63"/>
        <v>73.951687309875496</v>
      </c>
      <c r="R61" s="2552">
        <f t="shared" si="63"/>
        <v>89.285714285714292</v>
      </c>
      <c r="S61" s="415">
        <f t="shared" si="63"/>
        <v>72.317445463671632</v>
      </c>
      <c r="T61" s="1102">
        <f t="shared" si="63"/>
        <v>110.83743842364532</v>
      </c>
      <c r="U61" s="822">
        <f t="shared" si="63"/>
        <v>71.434490842744722</v>
      </c>
      <c r="V61" s="2552">
        <f t="shared" si="63"/>
        <v>95.473833097595474</v>
      </c>
      <c r="W61" s="415">
        <f t="shared" si="63"/>
        <v>72.050168461597664</v>
      </c>
      <c r="X61" s="1102">
        <f t="shared" si="63"/>
        <v>114.79591836734694</v>
      </c>
      <c r="Y61" s="822">
        <f t="shared" si="63"/>
        <v>80.855463739033979</v>
      </c>
      <c r="Z61" s="2819">
        <f t="shared" si="63"/>
        <v>107.97342192691031</v>
      </c>
      <c r="AA61" s="416">
        <f t="shared" si="63"/>
        <v>73.994507180644277</v>
      </c>
      <c r="AB61" s="2820">
        <f t="shared" si="63"/>
        <v>99.667774086378742</v>
      </c>
      <c r="AC61" s="1964">
        <f t="shared" si="63"/>
        <v>72.960023386382616</v>
      </c>
      <c r="AD61" s="1102">
        <f t="shared" si="63"/>
        <v>110.83743842364532</v>
      </c>
      <c r="AE61" s="822">
        <f t="shared" si="63"/>
        <v>72.55001285238221</v>
      </c>
      <c r="AF61" s="2552">
        <f t="shared" si="63"/>
        <v>101.71790235081374</v>
      </c>
      <c r="AG61" s="415">
        <f t="shared" si="63"/>
        <v>72.859937591251182</v>
      </c>
      <c r="AH61" s="1102">
        <f t="shared" ref="AH61:AK61" si="64">+AH42/AH53</f>
        <v>114.79591836734694</v>
      </c>
      <c r="AI61" s="822">
        <f t="shared" si="64"/>
        <v>66.45586149591783</v>
      </c>
      <c r="AJ61" s="2552">
        <f t="shared" si="64"/>
        <v>103.68663594470046</v>
      </c>
      <c r="AK61" s="415">
        <f t="shared" si="64"/>
        <v>71.582355190647775</v>
      </c>
      <c r="AL61" s="1102">
        <f t="shared" ref="AL61:AQ61" si="65">+AL42/AL53</f>
        <v>110.83743842364532</v>
      </c>
      <c r="AM61" s="822">
        <f t="shared" si="65"/>
        <v>80.875384059749138</v>
      </c>
      <c r="AN61" s="2819">
        <f t="shared" si="65"/>
        <v>112.12624584717608</v>
      </c>
      <c r="AO61" s="416">
        <f t="shared" si="65"/>
        <v>73.6731987532837</v>
      </c>
      <c r="AP61" s="2552">
        <f t="shared" si="65"/>
        <v>104.65116279069767</v>
      </c>
      <c r="AQ61" s="415">
        <f t="shared" si="65"/>
        <v>73.322463739057866</v>
      </c>
      <c r="AR61" s="1102">
        <f t="shared" ref="AR61:AU61" si="66">+AR42/AR53</f>
        <v>110.83743842364532</v>
      </c>
      <c r="AS61" s="822">
        <f t="shared" si="66"/>
        <v>74.67141017738183</v>
      </c>
      <c r="AT61" s="2552">
        <f t="shared" si="66"/>
        <v>105.3864168618267</v>
      </c>
      <c r="AU61" s="415">
        <f t="shared" si="66"/>
        <v>73.489074884428902</v>
      </c>
      <c r="AV61" s="1102">
        <f t="shared" ref="AV61:AY61" si="67">+AV42/AV53</f>
        <v>123.62637362637362</v>
      </c>
      <c r="AW61" s="822">
        <f t="shared" si="67"/>
        <v>84.900530883694998</v>
      </c>
      <c r="AX61" s="2552">
        <f t="shared" si="67"/>
        <v>107.14285714285714</v>
      </c>
      <c r="AY61" s="415">
        <f t="shared" si="67"/>
        <v>74.780664545007468</v>
      </c>
      <c r="AZ61" s="1102">
        <f t="shared" ref="AZ61:BG61" si="68">+AZ42/AZ53</f>
        <v>110.83743842364532</v>
      </c>
      <c r="BA61" s="822">
        <f t="shared" si="68"/>
        <v>77.866549186483113</v>
      </c>
      <c r="BB61" s="2819">
        <f t="shared" si="68"/>
        <v>114.79591836734694</v>
      </c>
      <c r="BC61" s="416">
        <f t="shared" si="68"/>
        <v>79.122216524872499</v>
      </c>
      <c r="BD61" s="2820">
        <f t="shared" si="68"/>
        <v>113.4453781512605</v>
      </c>
      <c r="BE61" s="1964">
        <f t="shared" si="68"/>
        <v>76.253541103827274</v>
      </c>
      <c r="BF61" s="2552">
        <f t="shared" si="68"/>
        <v>107.5011944577162</v>
      </c>
      <c r="BG61" s="415">
        <f t="shared" si="68"/>
        <v>75.141948567260343</v>
      </c>
    </row>
    <row r="62" spans="2:68" s="334" customFormat="1" x14ac:dyDescent="0.25">
      <c r="B62" s="343"/>
      <c r="C62" s="343"/>
      <c r="D62" s="343"/>
      <c r="E62" s="343"/>
      <c r="F62" s="343"/>
      <c r="G62" s="343"/>
      <c r="H62" s="343"/>
      <c r="I62" s="343"/>
      <c r="J62" s="343"/>
      <c r="K62" s="343"/>
      <c r="L62" s="343"/>
      <c r="M62" s="343"/>
      <c r="N62" s="343"/>
      <c r="O62" s="343"/>
      <c r="P62" s="343"/>
      <c r="Q62" s="343"/>
      <c r="R62" s="343"/>
      <c r="S62" s="343"/>
      <c r="T62" s="343"/>
      <c r="U62" s="343"/>
      <c r="V62" s="343"/>
      <c r="W62" s="343"/>
      <c r="X62" s="343"/>
      <c r="Y62" s="343"/>
      <c r="Z62" s="343"/>
      <c r="AA62" s="343"/>
      <c r="AB62" s="343"/>
      <c r="AC62" s="343"/>
      <c r="AD62" s="343"/>
      <c r="AE62" s="343"/>
      <c r="AF62" s="343"/>
      <c r="AG62" s="343"/>
      <c r="AH62" s="343"/>
      <c r="AI62" s="343"/>
      <c r="AJ62" s="343"/>
      <c r="AK62" s="343"/>
      <c r="AL62" s="343"/>
      <c r="AM62" s="343"/>
      <c r="AN62" s="343"/>
      <c r="AO62" s="343"/>
      <c r="AP62" s="343"/>
      <c r="AQ62" s="343"/>
      <c r="AR62" s="343"/>
      <c r="AS62" s="343"/>
      <c r="AT62" s="343"/>
      <c r="AU62" s="343"/>
      <c r="AV62" s="343"/>
      <c r="AW62" s="343"/>
      <c r="AX62" s="343"/>
      <c r="AY62" s="343"/>
      <c r="AZ62" s="343"/>
      <c r="BA62" s="343"/>
      <c r="BB62" s="343"/>
      <c r="BC62" s="343"/>
      <c r="BD62" s="343"/>
      <c r="BE62" s="343"/>
      <c r="BF62" s="343"/>
      <c r="BG62" s="343"/>
      <c r="BH62" s="4658"/>
      <c r="BI62" s="4658"/>
      <c r="BJ62" s="4658"/>
      <c r="BK62" s="4658"/>
      <c r="BL62" s="4658"/>
      <c r="BM62" s="4658"/>
      <c r="BN62" s="4658"/>
      <c r="BO62" s="4658"/>
      <c r="BP62" s="4658"/>
    </row>
    <row r="63" spans="2:68" x14ac:dyDescent="0.25">
      <c r="B63" s="700" t="s">
        <v>1026</v>
      </c>
      <c r="C63" s="2794"/>
      <c r="D63" s="2794"/>
      <c r="E63" s="33" t="s">
        <v>53</v>
      </c>
      <c r="F63" s="1791"/>
      <c r="G63" s="980">
        <v>95.52</v>
      </c>
      <c r="H63" s="1791"/>
      <c r="I63" s="980">
        <v>97.78</v>
      </c>
      <c r="J63" s="2761"/>
      <c r="K63" s="96">
        <f>+G63+I63</f>
        <v>193.3</v>
      </c>
      <c r="L63" s="1791"/>
      <c r="M63" s="980">
        <v>168.58640569999997</v>
      </c>
      <c r="N63" s="2762"/>
      <c r="O63" s="163">
        <f>+K63+M63</f>
        <v>361.88640569999995</v>
      </c>
      <c r="P63" s="700"/>
      <c r="Q63" s="980">
        <v>326.64307399999996</v>
      </c>
      <c r="R63" s="2761"/>
      <c r="S63" s="96">
        <f>+O63+Q63</f>
        <v>688.52947969999991</v>
      </c>
      <c r="T63" s="700"/>
      <c r="U63" s="980">
        <v>275.19489629999998</v>
      </c>
      <c r="V63" s="2761"/>
      <c r="W63" s="96">
        <f>+S63+U63</f>
        <v>963.72437599999989</v>
      </c>
      <c r="X63" s="700"/>
      <c r="Y63" s="980">
        <v>200.279754</v>
      </c>
      <c r="Z63" s="2762"/>
      <c r="AA63" s="163">
        <f>+Q63+U63+Y63</f>
        <v>802.11772429999996</v>
      </c>
      <c r="AB63" s="2808"/>
      <c r="AC63" s="1958">
        <f>+AA63+O63</f>
        <v>1164.0041299999998</v>
      </c>
      <c r="AD63" s="700"/>
      <c r="AE63" s="980">
        <v>366.15069899999997</v>
      </c>
      <c r="AF63" s="2761"/>
      <c r="AG63" s="96">
        <f>+AC63+AE63</f>
        <v>1530.1548289999998</v>
      </c>
      <c r="AH63" s="700"/>
      <c r="AI63" s="980">
        <v>360.74829999999997</v>
      </c>
      <c r="AJ63" s="2761"/>
      <c r="AK63" s="96">
        <f>+AG63+AI63</f>
        <v>1890.9031289999998</v>
      </c>
      <c r="AL63" s="700"/>
      <c r="AM63" s="980">
        <v>463.77508000000006</v>
      </c>
      <c r="AN63" s="2762"/>
      <c r="AO63" s="163">
        <f>+AE63+AI63+AM63</f>
        <v>1190.6740790000001</v>
      </c>
      <c r="AP63" s="2761"/>
      <c r="AQ63" s="96">
        <f>+AK63+AM63</f>
        <v>2354.6782089999997</v>
      </c>
      <c r="AR63" s="700"/>
      <c r="AS63" s="980">
        <v>232.36310790000002</v>
      </c>
      <c r="AT63" s="2761"/>
      <c r="AU63" s="96">
        <f>+AQ63+AS63</f>
        <v>2587.0413168999999</v>
      </c>
      <c r="AV63" s="700"/>
      <c r="AW63" s="980">
        <v>233.799936</v>
      </c>
      <c r="AX63" s="2761"/>
      <c r="AY63" s="96">
        <f>+AU63+AW63</f>
        <v>2820.8412528999997</v>
      </c>
      <c r="AZ63" s="700"/>
      <c r="BA63" s="980">
        <v>279.9449999999938</v>
      </c>
      <c r="BB63" s="2762"/>
      <c r="BC63" s="163">
        <f>+AS63+AW63+BA63</f>
        <v>746.10804389999385</v>
      </c>
      <c r="BD63" s="2808"/>
      <c r="BE63" s="1958">
        <f>+AO63+BC63</f>
        <v>1936.782122899994</v>
      </c>
      <c r="BF63" s="2761"/>
      <c r="BG63" s="96">
        <f>+AY63+BA63</f>
        <v>3100.7862528999935</v>
      </c>
    </row>
    <row r="64" spans="2:68" x14ac:dyDescent="0.25">
      <c r="B64" s="700" t="s">
        <v>1024</v>
      </c>
      <c r="C64" s="2794"/>
      <c r="D64" s="2794"/>
      <c r="E64" s="33" t="s">
        <v>53</v>
      </c>
      <c r="F64" s="1791"/>
      <c r="G64" s="980">
        <v>163.19999999999999</v>
      </c>
      <c r="H64" s="1791"/>
      <c r="I64" s="980">
        <v>56.64</v>
      </c>
      <c r="J64" s="2761"/>
      <c r="K64" s="96">
        <f>+G64+I64</f>
        <v>219.83999999999997</v>
      </c>
      <c r="L64" s="1791"/>
      <c r="M64" s="980">
        <v>196.40344808551001</v>
      </c>
      <c r="N64" s="2762"/>
      <c r="O64" s="163">
        <f>+K64+M64</f>
        <v>416.24344808550995</v>
      </c>
      <c r="P64" s="700"/>
      <c r="Q64" s="980">
        <v>484.33209443845004</v>
      </c>
      <c r="R64" s="2761"/>
      <c r="S64" s="96">
        <f>+O64+Q64</f>
        <v>900.57554252395994</v>
      </c>
      <c r="T64" s="700"/>
      <c r="U64" s="980">
        <v>397.55536338600001</v>
      </c>
      <c r="V64" s="2761"/>
      <c r="W64" s="96">
        <f>+S64+U64</f>
        <v>1298.1309059099599</v>
      </c>
      <c r="X64" s="700"/>
      <c r="Y64" s="980">
        <v>173.02789799999996</v>
      </c>
      <c r="Z64" s="2762"/>
      <c r="AA64" s="163">
        <f>+Q64+U64+Y64</f>
        <v>1054.91535582445</v>
      </c>
      <c r="AB64" s="2808"/>
      <c r="AC64" s="1958">
        <f>+AA64+O64</f>
        <v>1471.1588039099599</v>
      </c>
      <c r="AD64" s="700"/>
      <c r="AE64" s="980">
        <v>481.09090559400005</v>
      </c>
      <c r="AF64" s="2761"/>
      <c r="AG64" s="96">
        <f>+AC64+AE64</f>
        <v>1952.24970950396</v>
      </c>
      <c r="AH64" s="700"/>
      <c r="AI64" s="980">
        <v>450.29160999999999</v>
      </c>
      <c r="AJ64" s="2761"/>
      <c r="AK64" s="96">
        <f>+AG64+AI64</f>
        <v>2402.54131950396</v>
      </c>
      <c r="AL64" s="700"/>
      <c r="AM64" s="980">
        <v>631.93659660000003</v>
      </c>
      <c r="AN64" s="2762"/>
      <c r="AO64" s="163">
        <f>+AE64+AI64+AM64</f>
        <v>1563.3191121940001</v>
      </c>
      <c r="AP64" s="2761"/>
      <c r="AQ64" s="96">
        <f>+AK64+AM64</f>
        <v>3034.4779161039601</v>
      </c>
      <c r="AR64" s="700"/>
      <c r="AS64" s="980">
        <v>437.20001908799998</v>
      </c>
      <c r="AT64" s="2761"/>
      <c r="AU64" s="96">
        <f>+AQ64+AS64</f>
        <v>3471.6779351919599</v>
      </c>
      <c r="AV64" s="700"/>
      <c r="AW64" s="980">
        <v>512.83580621999999</v>
      </c>
      <c r="AX64" s="2761"/>
      <c r="AY64" s="96">
        <f>+AU64+AW64</f>
        <v>3984.5137414119599</v>
      </c>
      <c r="AZ64" s="700"/>
      <c r="BA64" s="980">
        <v>537.57399999999996</v>
      </c>
      <c r="BB64" s="2762"/>
      <c r="BC64" s="163">
        <f>+AS64+AW64+BA64</f>
        <v>1487.6098253079999</v>
      </c>
      <c r="BD64" s="2808"/>
      <c r="BE64" s="1958">
        <f>+AO64+BC64</f>
        <v>3050.9289375019998</v>
      </c>
      <c r="BF64" s="2761"/>
      <c r="BG64" s="96">
        <f>+AY64+BA64</f>
        <v>4522.0877414119595</v>
      </c>
    </row>
    <row r="65" spans="2:68" x14ac:dyDescent="0.25">
      <c r="B65" s="1791" t="s">
        <v>1058</v>
      </c>
      <c r="C65" s="1791"/>
      <c r="D65" s="1791"/>
      <c r="E65" s="483" t="s">
        <v>53</v>
      </c>
      <c r="F65" s="1791"/>
      <c r="G65" s="980">
        <f>SUM(G63:G64)</f>
        <v>258.71999999999997</v>
      </c>
      <c r="H65" s="1791"/>
      <c r="I65" s="980">
        <f>SUM(I63:I64)</f>
        <v>154.42000000000002</v>
      </c>
      <c r="J65" s="2761"/>
      <c r="K65" s="930">
        <f>SUM(K63:K64)</f>
        <v>413.14</v>
      </c>
      <c r="L65" s="700"/>
      <c r="M65" s="980">
        <f>SUM(M63:M64)</f>
        <v>364.98985378550998</v>
      </c>
      <c r="N65" s="2762"/>
      <c r="O65" s="1086">
        <f>SUM(O63:O64)</f>
        <v>778.12985378550991</v>
      </c>
      <c r="P65" s="700"/>
      <c r="Q65" s="980">
        <f>SUM(Q63:Q64)</f>
        <v>810.97516843845005</v>
      </c>
      <c r="R65" s="2761"/>
      <c r="S65" s="930">
        <f>SUM(S63:S64)</f>
        <v>1589.1050222239598</v>
      </c>
      <c r="T65" s="700"/>
      <c r="U65" s="980">
        <f>SUM(U63:U64)</f>
        <v>672.75025968599994</v>
      </c>
      <c r="V65" s="2761"/>
      <c r="W65" s="930">
        <f>SUM(W63:W64)</f>
        <v>2261.8552819099596</v>
      </c>
      <c r="X65" s="700"/>
      <c r="Y65" s="980">
        <f>SUM(Y63:Y64)</f>
        <v>373.30765199999996</v>
      </c>
      <c r="Z65" s="2762"/>
      <c r="AA65" s="1086">
        <f>SUM(AA63:AA64)</f>
        <v>1857.03308012445</v>
      </c>
      <c r="AB65" s="2821"/>
      <c r="AC65" s="1965">
        <f>SUM(AC63:AC64)</f>
        <v>2635.16293390996</v>
      </c>
      <c r="AD65" s="700"/>
      <c r="AE65" s="980">
        <f>SUM(AE63:AE64)</f>
        <v>847.24160459400002</v>
      </c>
      <c r="AF65" s="2761"/>
      <c r="AG65" s="930">
        <f>SUM(AG63:AG64)</f>
        <v>3482.4045385039599</v>
      </c>
      <c r="AH65" s="700"/>
      <c r="AI65" s="980">
        <f>SUM(AI63:AI64)</f>
        <v>811.03990999999996</v>
      </c>
      <c r="AJ65" s="2761"/>
      <c r="AK65" s="930">
        <f>SUM(AK63:AK64)</f>
        <v>4293.4444485039603</v>
      </c>
      <c r="AL65" s="700"/>
      <c r="AM65" s="980">
        <f>SUM(AM63:AM64)</f>
        <v>1095.7116766000001</v>
      </c>
      <c r="AN65" s="2762"/>
      <c r="AO65" s="1086">
        <f>SUM(AO63:AO64)</f>
        <v>2753.9931911940002</v>
      </c>
      <c r="AP65" s="2761"/>
      <c r="AQ65" s="930">
        <f>SUM(AQ63:AQ64)</f>
        <v>5389.1561251039602</v>
      </c>
      <c r="AR65" s="700"/>
      <c r="AS65" s="980">
        <f>SUM(AS63:AS64)</f>
        <v>669.56312698800002</v>
      </c>
      <c r="AT65" s="2761"/>
      <c r="AU65" s="930">
        <f>SUM(AU63:AU64)</f>
        <v>6058.7192520919598</v>
      </c>
      <c r="AV65" s="700"/>
      <c r="AW65" s="980">
        <f>SUM(AW63:AW64)</f>
        <v>746.63574222</v>
      </c>
      <c r="AX65" s="2761"/>
      <c r="AY65" s="930">
        <f>SUM(AY63:AY64)</f>
        <v>6805.3549943119597</v>
      </c>
      <c r="AZ65" s="700"/>
      <c r="BA65" s="980">
        <f>SUM(BA63:BA64)</f>
        <v>817.51899999999375</v>
      </c>
      <c r="BB65" s="2762"/>
      <c r="BC65" s="1086">
        <f>SUM(BC63:BC64)</f>
        <v>2233.7178692079938</v>
      </c>
      <c r="BD65" s="2821"/>
      <c r="BE65" s="1965">
        <f>SUM(BE63:BE64)</f>
        <v>4987.7110604019936</v>
      </c>
      <c r="BF65" s="2761"/>
      <c r="BG65" s="930">
        <f>SUM(BG63:BG64)</f>
        <v>7622.8739943119526</v>
      </c>
    </row>
    <row r="66" spans="2:68" x14ac:dyDescent="0.25">
      <c r="B66" s="1791" t="s">
        <v>1054</v>
      </c>
      <c r="C66" s="1791"/>
      <c r="D66" s="1791"/>
      <c r="E66" s="483" t="s">
        <v>52</v>
      </c>
      <c r="F66" s="700"/>
      <c r="G66" s="1078">
        <f>+G65/G5</f>
        <v>3.0868314519871952E-2</v>
      </c>
      <c r="H66" s="700"/>
      <c r="I66" s="1078">
        <f>+I65/I5</f>
        <v>5.1914607497058333E-2</v>
      </c>
      <c r="J66" s="2761"/>
      <c r="K66" s="1079">
        <f>+K65/K5</f>
        <v>3.638105620773676E-2</v>
      </c>
      <c r="L66" s="700"/>
      <c r="M66" s="1082">
        <f>+M65/M5</f>
        <v>3.5991959843868646E-2</v>
      </c>
      <c r="N66" s="2762"/>
      <c r="O66" s="1080">
        <f>+O65/O5</f>
        <v>3.6197504251044232E-2</v>
      </c>
      <c r="P66" s="700"/>
      <c r="Q66" s="1078">
        <f>+Q65/Q5</f>
        <v>3.2547059278951011E-2</v>
      </c>
      <c r="R66" s="2761"/>
      <c r="S66" s="1079">
        <f>+S65/S5</f>
        <v>3.4237781546532384E-2</v>
      </c>
      <c r="T66" s="700"/>
      <c r="U66" s="1078">
        <f>+U65/U5</f>
        <v>3.3844355863100445E-2</v>
      </c>
      <c r="V66" s="2761"/>
      <c r="W66" s="1079">
        <f>+W65/W5</f>
        <v>3.4119811395201552E-2</v>
      </c>
      <c r="X66" s="700"/>
      <c r="Y66" s="1078">
        <f>+Y65/Y5</f>
        <v>4.3149995615157963E-2</v>
      </c>
      <c r="Z66" s="2762"/>
      <c r="AA66" s="1080">
        <f>+AA65/AA5</f>
        <v>3.474586153341698E-2</v>
      </c>
      <c r="AB66" s="2821"/>
      <c r="AC66" s="1966">
        <f>+AC65/AC5</f>
        <v>3.5162253572938493E-2</v>
      </c>
      <c r="AD66" s="700"/>
      <c r="AE66" s="1078">
        <f>+AE65/AE5</f>
        <v>3.5221684498397077E-2</v>
      </c>
      <c r="AF66" s="2761"/>
      <c r="AG66" s="1079">
        <f>+AG65/AG5</f>
        <v>3.517669417989773E-2</v>
      </c>
      <c r="AH66" s="700"/>
      <c r="AI66" s="1078">
        <f>+AI65/AI5</f>
        <v>3.6023482601569616E-2</v>
      </c>
      <c r="AJ66" s="2761"/>
      <c r="AK66" s="1079">
        <f>+AK65/AK5</f>
        <v>3.5333590720021318E-2</v>
      </c>
      <c r="AL66" s="700"/>
      <c r="AM66" s="1078">
        <f>+AM65/AM5</f>
        <v>3.4677899096056244E-2</v>
      </c>
      <c r="AN66" s="2762"/>
      <c r="AO66" s="1080">
        <f>+AO65/AO5</f>
        <v>3.523281405801152E-2</v>
      </c>
      <c r="AP66" s="2761"/>
      <c r="AQ66" s="1079">
        <f>+AQ65/AQ5</f>
        <v>3.5198276393930729E-2</v>
      </c>
      <c r="AR66" s="700"/>
      <c r="AS66" s="1078">
        <f>+AS65/AS5</f>
        <v>3.0629601910114729E-2</v>
      </c>
      <c r="AT66" s="2761"/>
      <c r="AU66" s="1079">
        <f>+AU65/AU5</f>
        <v>3.4627480995491178E-2</v>
      </c>
      <c r="AV66" s="700"/>
      <c r="AW66" s="1078">
        <f>+AW65/AW5</f>
        <v>2.9117925588046899E-2</v>
      </c>
      <c r="AX66" s="2761"/>
      <c r="AY66" s="1079">
        <f>+AY65/AY5</f>
        <v>3.3923255668413296E-2</v>
      </c>
      <c r="AZ66" s="700"/>
      <c r="BA66" s="1078">
        <f>+BA65/BA5</f>
        <v>2.9650215380686996E-2</v>
      </c>
      <c r="BB66" s="2762"/>
      <c r="BC66" s="1080">
        <f>+BC65/BC5</f>
        <v>2.9753587219497116E-2</v>
      </c>
      <c r="BD66" s="2821"/>
      <c r="BE66" s="1966">
        <f>+BE65/BE5</f>
        <v>3.2548473553373578E-2</v>
      </c>
      <c r="BF66" s="2761"/>
      <c r="BG66" s="1079">
        <f>+BG65/BG5</f>
        <v>3.340692871195558E-2</v>
      </c>
    </row>
    <row r="67" spans="2:68" x14ac:dyDescent="0.25">
      <c r="B67" s="1791" t="s">
        <v>1057</v>
      </c>
      <c r="C67" s="1791"/>
      <c r="D67" s="1791"/>
      <c r="E67" s="483" t="s">
        <v>53</v>
      </c>
      <c r="F67" s="700"/>
      <c r="G67" s="929">
        <f>+G44</f>
        <v>0</v>
      </c>
      <c r="H67" s="700"/>
      <c r="I67" s="929">
        <f>+I44</f>
        <v>0</v>
      </c>
      <c r="J67" s="2761"/>
      <c r="K67" s="930">
        <f>+K44</f>
        <v>0</v>
      </c>
      <c r="L67" s="700"/>
      <c r="M67" s="980">
        <f>+M44</f>
        <v>7.1</v>
      </c>
      <c r="N67" s="2762"/>
      <c r="O67" s="1086">
        <f>+O44</f>
        <v>7.1</v>
      </c>
      <c r="P67" s="700"/>
      <c r="Q67" s="929">
        <f>+Q44</f>
        <v>61</v>
      </c>
      <c r="R67" s="2761"/>
      <c r="S67" s="930">
        <f>+S44</f>
        <v>68.099999999999994</v>
      </c>
      <c r="T67" s="700"/>
      <c r="U67" s="929">
        <f>+U44</f>
        <v>0</v>
      </c>
      <c r="V67" s="2761"/>
      <c r="W67" s="930">
        <f>+W44</f>
        <v>68.099999999999994</v>
      </c>
      <c r="X67" s="700"/>
      <c r="Y67" s="929">
        <f>+Y44</f>
        <v>19</v>
      </c>
      <c r="Z67" s="2762"/>
      <c r="AA67" s="1086">
        <f>+AA44</f>
        <v>80</v>
      </c>
      <c r="AB67" s="2821"/>
      <c r="AC67" s="1965">
        <f>+AC44</f>
        <v>87.1</v>
      </c>
      <c r="AD67" s="700"/>
      <c r="AE67" s="929">
        <f>+AE44</f>
        <v>0</v>
      </c>
      <c r="AF67" s="2761"/>
      <c r="AG67" s="930">
        <f>+AG44</f>
        <v>87.1</v>
      </c>
      <c r="AH67" s="700"/>
      <c r="AI67" s="929">
        <f>+AI44</f>
        <v>118.19999999999999</v>
      </c>
      <c r="AJ67" s="2761"/>
      <c r="AK67" s="930">
        <f>+AK44</f>
        <v>205.29999999999998</v>
      </c>
      <c r="AL67" s="700"/>
      <c r="AM67" s="929">
        <f>+AM44</f>
        <v>7.4</v>
      </c>
      <c r="AN67" s="2762"/>
      <c r="AO67" s="1086">
        <f>+AO44</f>
        <v>125.6</v>
      </c>
      <c r="AP67" s="2761"/>
      <c r="AQ67" s="930">
        <f>+AQ44</f>
        <v>212.7</v>
      </c>
      <c r="AR67" s="700"/>
      <c r="AS67" s="929">
        <f>+AS44</f>
        <v>152.136</v>
      </c>
      <c r="AT67" s="2761"/>
      <c r="AU67" s="930">
        <f>+AU44</f>
        <v>364.83600000000001</v>
      </c>
      <c r="AV67" s="700"/>
      <c r="AW67" s="929">
        <f>+AW44</f>
        <v>0</v>
      </c>
      <c r="AX67" s="2761"/>
      <c r="AY67" s="930">
        <f>+AY44</f>
        <v>364.83600000000001</v>
      </c>
      <c r="AZ67" s="700"/>
      <c r="BA67" s="929">
        <f>+BA44</f>
        <v>81.643000000000001</v>
      </c>
      <c r="BB67" s="2762"/>
      <c r="BC67" s="1086">
        <f>+BC44</f>
        <v>233.779</v>
      </c>
      <c r="BD67" s="2821"/>
      <c r="BE67" s="1965">
        <f>+BE44</f>
        <v>359.37900000000002</v>
      </c>
      <c r="BF67" s="2761"/>
      <c r="BG67" s="930">
        <f>+BG44</f>
        <v>446.47899999999998</v>
      </c>
    </row>
    <row r="68" spans="2:68" x14ac:dyDescent="0.25">
      <c r="B68" s="700" t="s">
        <v>1027</v>
      </c>
      <c r="C68" s="2794"/>
      <c r="D68" s="2794"/>
      <c r="E68" s="33" t="s">
        <v>53</v>
      </c>
      <c r="F68" s="700"/>
      <c r="G68" s="929">
        <v>125.72</v>
      </c>
      <c r="H68" s="700"/>
      <c r="I68" s="929">
        <v>44.62</v>
      </c>
      <c r="J68" s="2761"/>
      <c r="K68" s="96">
        <f>+G68+I68</f>
        <v>170.34</v>
      </c>
      <c r="L68" s="700"/>
      <c r="M68" s="980">
        <v>152.11307832450001</v>
      </c>
      <c r="N68" s="2762"/>
      <c r="O68" s="163">
        <f>+K68+M68</f>
        <v>322.45307832449998</v>
      </c>
      <c r="P68" s="700"/>
      <c r="Q68" s="929">
        <v>373.75504257750003</v>
      </c>
      <c r="R68" s="2761"/>
      <c r="S68" s="96">
        <f>+O68+Q68</f>
        <v>696.20812090200002</v>
      </c>
      <c r="T68" s="700"/>
      <c r="U68" s="929">
        <v>298.16652253950002</v>
      </c>
      <c r="V68" s="2761"/>
      <c r="W68" s="96">
        <f>+S68+U68</f>
        <v>994.37464344149998</v>
      </c>
      <c r="X68" s="700"/>
      <c r="Y68" s="929">
        <v>129.77092349999998</v>
      </c>
      <c r="Z68" s="2762"/>
      <c r="AA68" s="163">
        <f>+Q68+U68+Y68</f>
        <v>801.69248861699998</v>
      </c>
      <c r="AB68" s="2808"/>
      <c r="AC68" s="1958">
        <f>+AA68+O68</f>
        <v>1124.1455669415</v>
      </c>
      <c r="AD68" s="700"/>
      <c r="AE68" s="929">
        <v>360.81817919550002</v>
      </c>
      <c r="AF68" s="2761"/>
      <c r="AG68" s="96">
        <f>+AC68+AE68</f>
        <v>1484.963746137</v>
      </c>
      <c r="AH68" s="700"/>
      <c r="AI68" s="929">
        <v>337.71870749999999</v>
      </c>
      <c r="AJ68" s="2761"/>
      <c r="AK68" s="96">
        <f>+AG68+AI68</f>
        <v>1822.682453637</v>
      </c>
      <c r="AL68" s="700"/>
      <c r="AM68" s="929">
        <v>473.95244745000002</v>
      </c>
      <c r="AN68" s="2762"/>
      <c r="AO68" s="163">
        <f>+AE68+AI68+AM68</f>
        <v>1172.4893341454999</v>
      </c>
      <c r="AP68" s="2761"/>
      <c r="AQ68" s="96">
        <f>+AK68+AM68</f>
        <v>2296.6349010869999</v>
      </c>
      <c r="AR68" s="700"/>
      <c r="AS68" s="929">
        <v>327.90001431600001</v>
      </c>
      <c r="AT68" s="2761"/>
      <c r="AU68" s="96">
        <f>+AQ68+AS68</f>
        <v>2624.534915403</v>
      </c>
      <c r="AV68" s="700"/>
      <c r="AW68" s="929">
        <v>384.62685466499994</v>
      </c>
      <c r="AX68" s="2761"/>
      <c r="AY68" s="96">
        <f>+AU68+AW68</f>
        <v>3009.1617700679999</v>
      </c>
      <c r="AZ68" s="700"/>
      <c r="BA68" s="929">
        <v>413.572</v>
      </c>
      <c r="BB68" s="2762"/>
      <c r="BC68" s="163">
        <f>+AS68+AW68+BA68</f>
        <v>1126.0988689810001</v>
      </c>
      <c r="BD68" s="2808"/>
      <c r="BE68" s="1958">
        <f>+AO68+BC68</f>
        <v>2298.5882031265</v>
      </c>
      <c r="BF68" s="2761"/>
      <c r="BG68" s="96">
        <f>+AY68+BA68</f>
        <v>3422.733770068</v>
      </c>
    </row>
    <row r="69" spans="2:68" s="334" customFormat="1" x14ac:dyDescent="0.25">
      <c r="B69" s="700" t="s">
        <v>1622</v>
      </c>
      <c r="C69" s="2794"/>
      <c r="D69" s="2794"/>
      <c r="E69" s="33" t="s">
        <v>53</v>
      </c>
      <c r="F69" s="700"/>
      <c r="G69" s="929">
        <v>127.63999999999999</v>
      </c>
      <c r="H69" s="700"/>
      <c r="I69" s="929">
        <v>46.96</v>
      </c>
      <c r="J69" s="2761"/>
      <c r="K69" s="96">
        <f>+G69+I69</f>
        <v>174.6</v>
      </c>
      <c r="L69" s="700"/>
      <c r="M69" s="980">
        <v>170.39</v>
      </c>
      <c r="N69" s="2762"/>
      <c r="O69" s="163">
        <f>+K69+M69</f>
        <v>344.99</v>
      </c>
      <c r="P69" s="700"/>
      <c r="Q69" s="929">
        <v>388.18999999999994</v>
      </c>
      <c r="R69" s="2761"/>
      <c r="S69" s="96">
        <f>+O69+Q69</f>
        <v>733.18</v>
      </c>
      <c r="T69" s="700"/>
      <c r="U69" s="929">
        <v>298.16652253950002</v>
      </c>
      <c r="V69" s="2761"/>
      <c r="W69" s="96">
        <f>+S69+U69</f>
        <v>1031.3465225395</v>
      </c>
      <c r="X69" s="700"/>
      <c r="Y69" s="929">
        <v>129.76914959999999</v>
      </c>
      <c r="Z69" s="2762"/>
      <c r="AA69" s="163">
        <f>+Q69+U69+Y69</f>
        <v>816.12567213950001</v>
      </c>
      <c r="AB69" s="2808"/>
      <c r="AC69" s="1958">
        <f>+AA69+O69</f>
        <v>1161.1156721395</v>
      </c>
      <c r="AD69" s="700"/>
      <c r="AE69" s="929">
        <v>360.81817919549997</v>
      </c>
      <c r="AF69" s="2761"/>
      <c r="AG69" s="96">
        <f>+AC69+AE69</f>
        <v>1521.9338513349999</v>
      </c>
      <c r="AH69" s="700"/>
      <c r="AI69" s="929">
        <v>337.71870749999999</v>
      </c>
      <c r="AJ69" s="2761"/>
      <c r="AK69" s="96">
        <f>+AG69+AI69</f>
        <v>1859.6525588349998</v>
      </c>
      <c r="AL69" s="700"/>
      <c r="AM69" s="929">
        <v>473.95244745000002</v>
      </c>
      <c r="AN69" s="2762"/>
      <c r="AO69" s="163">
        <f>+AE69+AI69+AM69</f>
        <v>1172.4893341454999</v>
      </c>
      <c r="AP69" s="2761"/>
      <c r="AQ69" s="96">
        <f>+AK69+AM69</f>
        <v>2333.6050062849999</v>
      </c>
      <c r="AR69" s="700"/>
      <c r="AS69" s="929">
        <v>327.90001431600001</v>
      </c>
      <c r="AT69" s="2761"/>
      <c r="AU69" s="96">
        <f>+AQ69+AS69</f>
        <v>2661.5050206010001</v>
      </c>
      <c r="AV69" s="700"/>
      <c r="AW69" s="929">
        <v>384.62685466499994</v>
      </c>
      <c r="AX69" s="2761"/>
      <c r="AY69" s="96">
        <f>+AU69+AW69</f>
        <v>3046.131875266</v>
      </c>
      <c r="AZ69" s="700"/>
      <c r="BA69" s="929">
        <v>417.947</v>
      </c>
      <c r="BB69" s="2762"/>
      <c r="BC69" s="163">
        <f>+AS69+AW69+BA69</f>
        <v>1130.4738689810001</v>
      </c>
      <c r="BD69" s="2808"/>
      <c r="BE69" s="1958">
        <f>+AO69+BC69</f>
        <v>2302.9632031265</v>
      </c>
      <c r="BF69" s="2761"/>
      <c r="BG69" s="96">
        <f>+AY69+BA69</f>
        <v>3464.0788752660001</v>
      </c>
      <c r="BH69" s="4658"/>
      <c r="BI69" s="4658"/>
      <c r="BJ69" s="4658"/>
      <c r="BK69" s="4658"/>
      <c r="BL69" s="4658"/>
      <c r="BM69" s="4658"/>
      <c r="BN69" s="4658"/>
      <c r="BO69" s="4658"/>
      <c r="BP69" s="4658"/>
    </row>
    <row r="70" spans="2:68" s="334" customFormat="1" ht="18.75" x14ac:dyDescent="0.3">
      <c r="B70" s="2771" t="s">
        <v>1059</v>
      </c>
      <c r="C70" s="2771"/>
      <c r="D70" s="2771"/>
      <c r="E70" s="343"/>
      <c r="F70" s="343"/>
      <c r="G70" s="343"/>
      <c r="H70" s="343"/>
      <c r="I70" s="343"/>
      <c r="J70" s="343"/>
      <c r="K70" s="343"/>
      <c r="L70" s="343"/>
      <c r="M70" s="343"/>
      <c r="N70" s="343"/>
      <c r="O70" s="343"/>
      <c r="P70" s="343"/>
      <c r="Q70" s="343"/>
      <c r="R70" s="343"/>
      <c r="S70" s="343"/>
      <c r="T70" s="343"/>
      <c r="U70" s="343"/>
      <c r="V70" s="343"/>
      <c r="W70" s="343"/>
      <c r="X70" s="343"/>
      <c r="Y70" s="343"/>
      <c r="Z70" s="343"/>
      <c r="AA70" s="343"/>
      <c r="AB70" s="343"/>
      <c r="AC70" s="343"/>
      <c r="AD70" s="343"/>
      <c r="AE70" s="343"/>
      <c r="AF70" s="343"/>
      <c r="AG70" s="343"/>
      <c r="AH70" s="343"/>
      <c r="AI70" s="343"/>
      <c r="AJ70" s="343"/>
      <c r="AK70" s="343"/>
      <c r="AL70" s="343"/>
      <c r="AM70" s="343"/>
      <c r="AN70" s="343"/>
      <c r="AO70" s="343"/>
      <c r="AP70" s="343"/>
      <c r="AQ70" s="343"/>
      <c r="AR70" s="343"/>
      <c r="AS70" s="343"/>
      <c r="AT70" s="343"/>
      <c r="AU70" s="343"/>
      <c r="AV70" s="343"/>
      <c r="AW70" s="343"/>
      <c r="AX70" s="343"/>
      <c r="AY70" s="343"/>
      <c r="AZ70" s="343"/>
      <c r="BA70" s="343"/>
      <c r="BB70" s="343"/>
      <c r="BC70" s="343"/>
      <c r="BD70" s="343"/>
      <c r="BE70" s="343"/>
      <c r="BF70" s="343"/>
      <c r="BG70" s="343"/>
      <c r="BH70" s="4658"/>
      <c r="BI70" s="4658"/>
      <c r="BJ70" s="4658"/>
      <c r="BK70" s="4658"/>
      <c r="BL70" s="4658"/>
      <c r="BM70" s="4658"/>
      <c r="BN70" s="4658"/>
      <c r="BO70" s="4658"/>
      <c r="BP70" s="4658"/>
    </row>
    <row r="71" spans="2:68" x14ac:dyDescent="0.25">
      <c r="B71" s="700" t="s">
        <v>1060</v>
      </c>
      <c r="C71" s="700"/>
      <c r="D71" s="700"/>
      <c r="E71" s="355" t="s">
        <v>53</v>
      </c>
      <c r="F71" s="2765"/>
      <c r="G71" s="929">
        <f>+G5</f>
        <v>8381.41</v>
      </c>
      <c r="H71" s="2765"/>
      <c r="I71" s="929">
        <f>+I5</f>
        <v>2974.5</v>
      </c>
      <c r="J71" s="2767"/>
      <c r="K71" s="930">
        <f>+K5</f>
        <v>11355.91</v>
      </c>
      <c r="L71" s="2765"/>
      <c r="M71" s="929">
        <f>+M5</f>
        <v>10140.8718883</v>
      </c>
      <c r="N71" s="2768"/>
      <c r="O71" s="1086">
        <f>+O5</f>
        <v>21496.7818883</v>
      </c>
      <c r="P71" s="2765"/>
      <c r="Q71" s="929">
        <f>+Q5</f>
        <v>24917.002838500001</v>
      </c>
      <c r="R71" s="2767"/>
      <c r="S71" s="930">
        <f>+S5</f>
        <v>46413.784726800004</v>
      </c>
      <c r="T71" s="2765"/>
      <c r="U71" s="929">
        <f>+U5</f>
        <v>19877.768169300001</v>
      </c>
      <c r="V71" s="2767"/>
      <c r="W71" s="930">
        <f>+W5</f>
        <v>66291.552896100009</v>
      </c>
      <c r="X71" s="2765"/>
      <c r="Y71" s="929">
        <f>+Y5</f>
        <v>8651.3948999999993</v>
      </c>
      <c r="Z71" s="2768"/>
      <c r="AA71" s="1086">
        <f>+AA5</f>
        <v>53446.165907800001</v>
      </c>
      <c r="AB71" s="2822"/>
      <c r="AC71" s="1965">
        <f>+AC5</f>
        <v>74942.947796099994</v>
      </c>
      <c r="AD71" s="2765"/>
      <c r="AE71" s="929">
        <f>+AE5</f>
        <v>24054.5452797</v>
      </c>
      <c r="AF71" s="2767"/>
      <c r="AG71" s="930">
        <f>+AG5</f>
        <v>98997.493075799997</v>
      </c>
      <c r="AH71" s="2765"/>
      <c r="AI71" s="929">
        <f>+AI5</f>
        <v>22514.200499999999</v>
      </c>
      <c r="AJ71" s="2767"/>
      <c r="AK71" s="930">
        <f>+AK5</f>
        <v>121511.69357579999</v>
      </c>
      <c r="AL71" s="2765"/>
      <c r="AM71" s="929">
        <f>+AM5</f>
        <v>31596.829830000002</v>
      </c>
      <c r="AN71" s="2768"/>
      <c r="AO71" s="1086">
        <f>+AO5</f>
        <v>78165.575609699998</v>
      </c>
      <c r="AP71" s="2767"/>
      <c r="AQ71" s="930">
        <f>+AQ5</f>
        <v>153108.52340579999</v>
      </c>
      <c r="AR71" s="2765"/>
      <c r="AS71" s="929">
        <f>+AS5</f>
        <v>21860.000954399999</v>
      </c>
      <c r="AT71" s="2767"/>
      <c r="AU71" s="930">
        <f>+AU5</f>
        <v>174968.52436019998</v>
      </c>
      <c r="AV71" s="2765"/>
      <c r="AW71" s="929">
        <f>+AW5</f>
        <v>25641.790311000001</v>
      </c>
      <c r="AX71" s="2767"/>
      <c r="AY71" s="930">
        <f>+AY5</f>
        <v>200610.31467119997</v>
      </c>
      <c r="AZ71" s="2765"/>
      <c r="BA71" s="929">
        <f>+BA5</f>
        <v>27572.11</v>
      </c>
      <c r="BB71" s="2768"/>
      <c r="BC71" s="1086">
        <f>+BC5</f>
        <v>75073.901265399996</v>
      </c>
      <c r="BD71" s="2822"/>
      <c r="BE71" s="1965">
        <f>+BE5</f>
        <v>153239.47687509999</v>
      </c>
      <c r="BF71" s="2767"/>
      <c r="BG71" s="930">
        <f>+BG5</f>
        <v>228182.42467119999</v>
      </c>
    </row>
    <row r="72" spans="2:68" ht="30" x14ac:dyDescent="0.25">
      <c r="B72" s="2798" t="s">
        <v>1065</v>
      </c>
      <c r="C72" s="2798"/>
      <c r="D72" s="2798"/>
      <c r="E72" s="355" t="s">
        <v>53</v>
      </c>
      <c r="F72" s="2765"/>
      <c r="G72" s="929">
        <f>+G65</f>
        <v>258.71999999999997</v>
      </c>
      <c r="H72" s="2765"/>
      <c r="I72" s="929">
        <f>+I65</f>
        <v>154.42000000000002</v>
      </c>
      <c r="J72" s="2767"/>
      <c r="K72" s="930">
        <f>+K65</f>
        <v>413.14</v>
      </c>
      <c r="L72" s="2765"/>
      <c r="M72" s="929">
        <f>+M65</f>
        <v>364.98985378550998</v>
      </c>
      <c r="N72" s="2768"/>
      <c r="O72" s="1086">
        <f>+O65</f>
        <v>778.12985378550991</v>
      </c>
      <c r="P72" s="2765"/>
      <c r="Q72" s="929">
        <f>+Q65</f>
        <v>810.97516843845005</v>
      </c>
      <c r="R72" s="2767"/>
      <c r="S72" s="930">
        <f>+S65</f>
        <v>1589.1050222239598</v>
      </c>
      <c r="T72" s="2765"/>
      <c r="U72" s="929">
        <f>+U65</f>
        <v>672.75025968599994</v>
      </c>
      <c r="V72" s="2767"/>
      <c r="W72" s="930">
        <f>+W65</f>
        <v>2261.8552819099596</v>
      </c>
      <c r="X72" s="2765"/>
      <c r="Y72" s="929">
        <f>+Y65</f>
        <v>373.30765199999996</v>
      </c>
      <c r="Z72" s="2768"/>
      <c r="AA72" s="1086">
        <f>+AA65</f>
        <v>1857.03308012445</v>
      </c>
      <c r="AB72" s="2822"/>
      <c r="AC72" s="1965">
        <f>+AC65</f>
        <v>2635.16293390996</v>
      </c>
      <c r="AD72" s="2765"/>
      <c r="AE72" s="929">
        <f>+AE65</f>
        <v>847.24160459400002</v>
      </c>
      <c r="AF72" s="2767"/>
      <c r="AG72" s="930">
        <f>+AG65</f>
        <v>3482.4045385039599</v>
      </c>
      <c r="AH72" s="2765"/>
      <c r="AI72" s="929">
        <f>+AI65</f>
        <v>811.03990999999996</v>
      </c>
      <c r="AJ72" s="2767"/>
      <c r="AK72" s="930">
        <f>+AK65</f>
        <v>4293.4444485039603</v>
      </c>
      <c r="AL72" s="2765"/>
      <c r="AM72" s="929">
        <f>+AM65</f>
        <v>1095.7116766000001</v>
      </c>
      <c r="AN72" s="2768"/>
      <c r="AO72" s="1086">
        <f>+AO65</f>
        <v>2753.9931911940002</v>
      </c>
      <c r="AP72" s="2767"/>
      <c r="AQ72" s="930">
        <f>+AQ65</f>
        <v>5389.1561251039602</v>
      </c>
      <c r="AR72" s="2765"/>
      <c r="AS72" s="929">
        <f>+AS65</f>
        <v>669.56312698800002</v>
      </c>
      <c r="AT72" s="2767"/>
      <c r="AU72" s="930">
        <f>+AU65</f>
        <v>6058.7192520919598</v>
      </c>
      <c r="AV72" s="2765"/>
      <c r="AW72" s="929">
        <f>+AW65</f>
        <v>746.63574222</v>
      </c>
      <c r="AX72" s="2767"/>
      <c r="AY72" s="930">
        <f>+AY65</f>
        <v>6805.3549943119597</v>
      </c>
      <c r="AZ72" s="2765"/>
      <c r="BA72" s="929">
        <f>+BA65</f>
        <v>817.51899999999375</v>
      </c>
      <c r="BB72" s="2768"/>
      <c r="BC72" s="1086">
        <f>+BC65</f>
        <v>2233.7178692079938</v>
      </c>
      <c r="BD72" s="2822"/>
      <c r="BE72" s="1965">
        <f>+BE65</f>
        <v>4987.7110604019936</v>
      </c>
      <c r="BF72" s="2767"/>
      <c r="BG72" s="930">
        <f>+BG65</f>
        <v>7622.8739943119526</v>
      </c>
    </row>
    <row r="73" spans="2:68" x14ac:dyDescent="0.25">
      <c r="B73" s="700" t="s">
        <v>1025</v>
      </c>
      <c r="C73" s="700"/>
      <c r="D73" s="700"/>
      <c r="E73" s="355" t="s">
        <v>53</v>
      </c>
      <c r="F73" s="2765"/>
      <c r="G73" s="929">
        <f>+G68</f>
        <v>125.72</v>
      </c>
      <c r="H73" s="2765"/>
      <c r="I73" s="929">
        <f>+I68</f>
        <v>44.62</v>
      </c>
      <c r="J73" s="2767"/>
      <c r="K73" s="930">
        <f>+K68</f>
        <v>170.34</v>
      </c>
      <c r="L73" s="2765"/>
      <c r="M73" s="929">
        <f>+M68</f>
        <v>152.11307832450001</v>
      </c>
      <c r="N73" s="2768"/>
      <c r="O73" s="1086">
        <f>+O68</f>
        <v>322.45307832449998</v>
      </c>
      <c r="P73" s="2765"/>
      <c r="Q73" s="929">
        <f>+Q68</f>
        <v>373.75504257750003</v>
      </c>
      <c r="R73" s="2767"/>
      <c r="S73" s="930">
        <f>+S68</f>
        <v>696.20812090200002</v>
      </c>
      <c r="T73" s="2765"/>
      <c r="U73" s="929">
        <f>+U68</f>
        <v>298.16652253950002</v>
      </c>
      <c r="V73" s="2767"/>
      <c r="W73" s="930">
        <f>+W68</f>
        <v>994.37464344149998</v>
      </c>
      <c r="X73" s="2765"/>
      <c r="Y73" s="929">
        <f>+Y68</f>
        <v>129.77092349999998</v>
      </c>
      <c r="Z73" s="2768"/>
      <c r="AA73" s="1086">
        <f>+AA68</f>
        <v>801.69248861699998</v>
      </c>
      <c r="AB73" s="2822"/>
      <c r="AC73" s="1965">
        <f>+AC68</f>
        <v>1124.1455669415</v>
      </c>
      <c r="AD73" s="2765"/>
      <c r="AE73" s="929">
        <f>+AE68</f>
        <v>360.81817919550002</v>
      </c>
      <c r="AF73" s="2767"/>
      <c r="AG73" s="930">
        <f>+AG68</f>
        <v>1484.963746137</v>
      </c>
      <c r="AH73" s="2765"/>
      <c r="AI73" s="929">
        <f>+AI68</f>
        <v>337.71870749999999</v>
      </c>
      <c r="AJ73" s="2767"/>
      <c r="AK73" s="930">
        <f>+AK68</f>
        <v>1822.682453637</v>
      </c>
      <c r="AL73" s="2765"/>
      <c r="AM73" s="929">
        <f>+AM68</f>
        <v>473.95244745000002</v>
      </c>
      <c r="AN73" s="2768"/>
      <c r="AO73" s="1086">
        <f>+AO68</f>
        <v>1172.4893341454999</v>
      </c>
      <c r="AP73" s="2767"/>
      <c r="AQ73" s="930">
        <f>+AQ68</f>
        <v>2296.6349010869999</v>
      </c>
      <c r="AR73" s="2765"/>
      <c r="AS73" s="929">
        <f>+AS68</f>
        <v>327.90001431600001</v>
      </c>
      <c r="AT73" s="2767"/>
      <c r="AU73" s="930">
        <f>+AU68</f>
        <v>2624.534915403</v>
      </c>
      <c r="AV73" s="2765"/>
      <c r="AW73" s="929">
        <f>+AW68</f>
        <v>384.62685466499994</v>
      </c>
      <c r="AX73" s="2767"/>
      <c r="AY73" s="930">
        <f>+AY68</f>
        <v>3009.1617700679999</v>
      </c>
      <c r="AZ73" s="2765"/>
      <c r="BA73" s="929">
        <f>+BA68</f>
        <v>413.572</v>
      </c>
      <c r="BB73" s="2768"/>
      <c r="BC73" s="1086">
        <f>+BC68</f>
        <v>1126.0988689810001</v>
      </c>
      <c r="BD73" s="2822"/>
      <c r="BE73" s="1965">
        <f>+BE68</f>
        <v>2298.5882031265</v>
      </c>
      <c r="BF73" s="2767"/>
      <c r="BG73" s="930">
        <f>+BG68</f>
        <v>3422.733770068</v>
      </c>
    </row>
    <row r="74" spans="2:68" s="1726" customFormat="1" x14ac:dyDescent="0.25">
      <c r="B74" s="700" t="s">
        <v>1622</v>
      </c>
      <c r="C74" s="2794"/>
      <c r="D74" s="2794"/>
      <c r="E74" s="33" t="s">
        <v>53</v>
      </c>
      <c r="F74" s="700"/>
      <c r="G74" s="929"/>
      <c r="H74" s="700"/>
      <c r="I74" s="929"/>
      <c r="J74" s="2761"/>
      <c r="K74" s="96">
        <f>+G74+I74</f>
        <v>0</v>
      </c>
      <c r="L74" s="700"/>
      <c r="M74" s="980"/>
      <c r="N74" s="2762"/>
      <c r="O74" s="163">
        <f>+K74+M74</f>
        <v>0</v>
      </c>
      <c r="P74" s="700"/>
      <c r="Q74" s="929"/>
      <c r="R74" s="2761"/>
      <c r="S74" s="96">
        <f>+O74+Q74</f>
        <v>0</v>
      </c>
      <c r="T74" s="700"/>
      <c r="U74" s="929">
        <f>+U69</f>
        <v>298.16652253950002</v>
      </c>
      <c r="V74" s="2761"/>
      <c r="W74" s="96">
        <f>+S74+U74</f>
        <v>298.16652253950002</v>
      </c>
      <c r="X74" s="700"/>
      <c r="Y74" s="929">
        <f>+Y69</f>
        <v>129.76914959999999</v>
      </c>
      <c r="Z74" s="2762"/>
      <c r="AA74" s="163">
        <f>+Q74+U74+Y74</f>
        <v>427.93567213950001</v>
      </c>
      <c r="AB74" s="2808"/>
      <c r="AC74" s="1958">
        <f>+AA74+O74</f>
        <v>427.93567213950001</v>
      </c>
      <c r="AD74" s="700"/>
      <c r="AE74" s="929">
        <f>+AE69</f>
        <v>360.81817919549997</v>
      </c>
      <c r="AF74" s="2761"/>
      <c r="AG74" s="96">
        <f>+AC74+AE74</f>
        <v>788.75385133500004</v>
      </c>
      <c r="AH74" s="700"/>
      <c r="AI74" s="929">
        <f>+AI69</f>
        <v>337.71870749999999</v>
      </c>
      <c r="AJ74" s="2761"/>
      <c r="AK74" s="96">
        <f>+AG74+AI74</f>
        <v>1126.472558835</v>
      </c>
      <c r="AL74" s="700"/>
      <c r="AM74" s="929">
        <f>+AM69</f>
        <v>473.95244745000002</v>
      </c>
      <c r="AN74" s="2762"/>
      <c r="AO74" s="163">
        <f>+AE74+AI74+AM74</f>
        <v>1172.4893341454999</v>
      </c>
      <c r="AP74" s="2761"/>
      <c r="AQ74" s="96">
        <f>+AK74+AM74</f>
        <v>1600.4250062850001</v>
      </c>
      <c r="AR74" s="700"/>
      <c r="AS74" s="929">
        <f>+AS69</f>
        <v>327.90001431600001</v>
      </c>
      <c r="AT74" s="2761"/>
      <c r="AU74" s="96">
        <f>+AQ74+AS74</f>
        <v>1928.3250206010002</v>
      </c>
      <c r="AV74" s="700"/>
      <c r="AW74" s="929">
        <f>+AW69</f>
        <v>384.62685466499994</v>
      </c>
      <c r="AX74" s="2761"/>
      <c r="AY74" s="96">
        <f>+AU74+AW74</f>
        <v>2312.9518752660001</v>
      </c>
      <c r="AZ74" s="700"/>
      <c r="BA74" s="929">
        <f>+BA69</f>
        <v>417.947</v>
      </c>
      <c r="BB74" s="2762"/>
      <c r="BC74" s="163">
        <f>+AS74+AW74+BA74</f>
        <v>1130.4738689810001</v>
      </c>
      <c r="BD74" s="2808"/>
      <c r="BE74" s="1958">
        <f>+AO74+BC74</f>
        <v>2302.9632031265</v>
      </c>
      <c r="BF74" s="2761"/>
      <c r="BG74" s="96">
        <f>+AY74+BA74</f>
        <v>2730.8988752660002</v>
      </c>
      <c r="BH74" s="4658"/>
      <c r="BI74" s="4658"/>
      <c r="BJ74" s="4658"/>
      <c r="BK74" s="4658"/>
      <c r="BL74" s="4658"/>
      <c r="BM74" s="4658"/>
      <c r="BN74" s="4658"/>
      <c r="BO74" s="4658"/>
      <c r="BP74" s="4658"/>
    </row>
    <row r="75" spans="2:68" x14ac:dyDescent="0.25">
      <c r="B75" s="700" t="s">
        <v>1063</v>
      </c>
      <c r="C75" s="700"/>
      <c r="D75" s="700"/>
      <c r="E75" s="355" t="s">
        <v>53</v>
      </c>
      <c r="F75" s="2765"/>
      <c r="G75" s="929">
        <f>+G42</f>
        <v>7869.3199256806001</v>
      </c>
      <c r="H75" s="2765"/>
      <c r="I75" s="929">
        <f>+I42</f>
        <v>2728.5069318792503</v>
      </c>
      <c r="J75" s="2767"/>
      <c r="K75" s="930">
        <f>+K42</f>
        <v>10597.82685755985</v>
      </c>
      <c r="L75" s="2765"/>
      <c r="M75" s="929">
        <f>+M42</f>
        <v>9453.3789561899921</v>
      </c>
      <c r="N75" s="2768"/>
      <c r="O75" s="1086">
        <f>+O42</f>
        <v>20051.205813749842</v>
      </c>
      <c r="P75" s="2765"/>
      <c r="Q75" s="929">
        <f>+Q42</f>
        <v>23344.082627484044</v>
      </c>
      <c r="R75" s="2767"/>
      <c r="S75" s="930">
        <f>+S42</f>
        <v>43395.28844123389</v>
      </c>
      <c r="T75" s="2765"/>
      <c r="U75" s="929">
        <f>+U42</f>
        <v>18608.684864535</v>
      </c>
      <c r="V75" s="2767"/>
      <c r="W75" s="930">
        <f>+W42</f>
        <v>62003.973305768886</v>
      </c>
      <c r="X75" s="2765"/>
      <c r="Y75" s="929">
        <f>+Y42</f>
        <v>8018.4363389999999</v>
      </c>
      <c r="Z75" s="2768"/>
      <c r="AA75" s="1086">
        <f>+AA42</f>
        <v>49971.203831019047</v>
      </c>
      <c r="AB75" s="2822"/>
      <c r="AC75" s="1965">
        <f>+AC42</f>
        <v>70022.409644768893</v>
      </c>
      <c r="AD75" s="2765"/>
      <c r="AE75" s="929">
        <f>+AE42</f>
        <v>22485.667316714997</v>
      </c>
      <c r="AF75" s="2767"/>
      <c r="AG75" s="930">
        <f>+AG42</f>
        <v>92508.076961483894</v>
      </c>
      <c r="AH75" s="2765"/>
      <c r="AI75" s="929">
        <f>+AI42</f>
        <v>21027.742174999999</v>
      </c>
      <c r="AJ75" s="2767"/>
      <c r="AK75" s="930">
        <f>+AK42</f>
        <v>113535.81913648389</v>
      </c>
      <c r="AL75" s="2765"/>
      <c r="AM75" s="929">
        <f>+AM42</f>
        <v>29553.213258500004</v>
      </c>
      <c r="AN75" s="2768"/>
      <c r="AO75" s="1086">
        <f>+AO42</f>
        <v>73066.622750215</v>
      </c>
      <c r="AP75" s="2767"/>
      <c r="AQ75" s="930">
        <f>+AQ42</f>
        <v>143089.03239498389</v>
      </c>
      <c r="AR75" s="2765"/>
      <c r="AS75" s="929">
        <f>+AS42</f>
        <v>20534.637798780001</v>
      </c>
      <c r="AT75" s="2767"/>
      <c r="AU75" s="930">
        <f>+AU42</f>
        <v>163623.67019376389</v>
      </c>
      <c r="AV75" s="2765"/>
      <c r="AW75" s="929">
        <f>+AW42</f>
        <v>24125.900859449997</v>
      </c>
      <c r="AX75" s="2767"/>
      <c r="AY75" s="930">
        <f>+AY42</f>
        <v>187749.57105321388</v>
      </c>
      <c r="AZ75" s="2765"/>
      <c r="BA75" s="929">
        <f>+BA42</f>
        <v>25923.072000000004</v>
      </c>
      <c r="BB75" s="2768"/>
      <c r="BC75" s="1086">
        <f>+BC42</f>
        <v>70583.610658229998</v>
      </c>
      <c r="BD75" s="2822"/>
      <c r="BE75" s="1965">
        <f>+BE42</f>
        <v>143650.233408445</v>
      </c>
      <c r="BF75" s="2767"/>
      <c r="BG75" s="930">
        <f>+BG42</f>
        <v>213672.64305321389</v>
      </c>
    </row>
    <row r="76" spans="2:68" x14ac:dyDescent="0.25">
      <c r="B76" s="700" t="s">
        <v>1061</v>
      </c>
      <c r="C76" s="700"/>
      <c r="D76" s="700"/>
      <c r="E76" s="355" t="s">
        <v>53</v>
      </c>
      <c r="F76" s="2765"/>
      <c r="G76" s="929">
        <f>+G44</f>
        <v>0</v>
      </c>
      <c r="H76" s="2765"/>
      <c r="I76" s="929">
        <f>+I44</f>
        <v>0</v>
      </c>
      <c r="J76" s="2767"/>
      <c r="K76" s="930">
        <f>+K44</f>
        <v>0</v>
      </c>
      <c r="L76" s="2765"/>
      <c r="M76" s="929">
        <f>+M44</f>
        <v>7.1</v>
      </c>
      <c r="N76" s="2768"/>
      <c r="O76" s="1086">
        <f>+O44</f>
        <v>7.1</v>
      </c>
      <c r="P76" s="2765"/>
      <c r="Q76" s="929">
        <f>+Q44</f>
        <v>61</v>
      </c>
      <c r="R76" s="2767"/>
      <c r="S76" s="930">
        <f>+S44</f>
        <v>68.099999999999994</v>
      </c>
      <c r="T76" s="2765"/>
      <c r="U76" s="929">
        <f>+U44</f>
        <v>0</v>
      </c>
      <c r="V76" s="2767"/>
      <c r="W76" s="930">
        <f>+W44</f>
        <v>68.099999999999994</v>
      </c>
      <c r="X76" s="2765"/>
      <c r="Y76" s="929">
        <f>+Y44</f>
        <v>19</v>
      </c>
      <c r="Z76" s="2768"/>
      <c r="AA76" s="1086">
        <f>+AA44</f>
        <v>80</v>
      </c>
      <c r="AB76" s="2822"/>
      <c r="AC76" s="1965">
        <f>+AC44</f>
        <v>87.1</v>
      </c>
      <c r="AD76" s="2765"/>
      <c r="AE76" s="929">
        <f>+AE44</f>
        <v>0</v>
      </c>
      <c r="AF76" s="2767"/>
      <c r="AG76" s="930">
        <f>+AG44</f>
        <v>87.1</v>
      </c>
      <c r="AH76" s="2765"/>
      <c r="AI76" s="929">
        <f>+AI44</f>
        <v>118.19999999999999</v>
      </c>
      <c r="AJ76" s="2767"/>
      <c r="AK76" s="930">
        <f>+AK44</f>
        <v>205.29999999999998</v>
      </c>
      <c r="AL76" s="2765"/>
      <c r="AM76" s="929">
        <f>+AM44</f>
        <v>7.4</v>
      </c>
      <c r="AN76" s="2768"/>
      <c r="AO76" s="1086">
        <f>+AO44</f>
        <v>125.6</v>
      </c>
      <c r="AP76" s="2767"/>
      <c r="AQ76" s="930">
        <f>+AQ44</f>
        <v>212.7</v>
      </c>
      <c r="AR76" s="2765"/>
      <c r="AS76" s="929">
        <f>+AS44</f>
        <v>152.136</v>
      </c>
      <c r="AT76" s="2767"/>
      <c r="AU76" s="930">
        <f>+AU44</f>
        <v>364.83600000000001</v>
      </c>
      <c r="AV76" s="2765"/>
      <c r="AW76" s="929">
        <f>+AW44</f>
        <v>0</v>
      </c>
      <c r="AX76" s="2767"/>
      <c r="AY76" s="930">
        <f>+AY44</f>
        <v>364.83600000000001</v>
      </c>
      <c r="AZ76" s="2765"/>
      <c r="BA76" s="929">
        <f>+BA44</f>
        <v>81.643000000000001</v>
      </c>
      <c r="BB76" s="2768"/>
      <c r="BC76" s="1086">
        <f>+BC44</f>
        <v>233.779</v>
      </c>
      <c r="BD76" s="2822"/>
      <c r="BE76" s="1965">
        <f>+BE44</f>
        <v>359.37900000000002</v>
      </c>
      <c r="BF76" s="2767"/>
      <c r="BG76" s="930">
        <f>+BG44</f>
        <v>446.47899999999998</v>
      </c>
    </row>
    <row r="77" spans="2:68" x14ac:dyDescent="0.25">
      <c r="B77" s="700" t="s">
        <v>1062</v>
      </c>
      <c r="C77" s="700"/>
      <c r="D77" s="700"/>
      <c r="E77" s="355" t="s">
        <v>53</v>
      </c>
      <c r="F77" s="2765"/>
      <c r="G77" s="929">
        <f>+G75-G76</f>
        <v>7869.3199256806001</v>
      </c>
      <c r="H77" s="2765"/>
      <c r="I77" s="929">
        <f>+I75-I76</f>
        <v>2728.5069318792503</v>
      </c>
      <c r="J77" s="2767"/>
      <c r="K77" s="930">
        <f>+K75-K76</f>
        <v>10597.82685755985</v>
      </c>
      <c r="L77" s="2765"/>
      <c r="M77" s="929">
        <f>+M75-M76</f>
        <v>9446.2789561899917</v>
      </c>
      <c r="N77" s="2768"/>
      <c r="O77" s="1086">
        <f>+O75-O76</f>
        <v>20044.105813749844</v>
      </c>
      <c r="P77" s="2765"/>
      <c r="Q77" s="929">
        <f>+Q75-Q76</f>
        <v>23283.082627484044</v>
      </c>
      <c r="R77" s="2767"/>
      <c r="S77" s="930">
        <f>+S75-S76</f>
        <v>43327.188441233891</v>
      </c>
      <c r="T77" s="2765"/>
      <c r="U77" s="929">
        <f>+U75-U76</f>
        <v>18608.684864535</v>
      </c>
      <c r="V77" s="2767"/>
      <c r="W77" s="930">
        <f>+W75-W76</f>
        <v>61935.873305768888</v>
      </c>
      <c r="X77" s="2765"/>
      <c r="Y77" s="929">
        <f>+Y75-Y76</f>
        <v>7999.4363389999999</v>
      </c>
      <c r="Z77" s="2768"/>
      <c r="AA77" s="1086">
        <f>+AA75-AA76</f>
        <v>49891.203831019047</v>
      </c>
      <c r="AB77" s="2822"/>
      <c r="AC77" s="1965">
        <f>+AC75-AC76</f>
        <v>69935.309644768888</v>
      </c>
      <c r="AD77" s="2765"/>
      <c r="AE77" s="929">
        <f>+AE75-AE76</f>
        <v>22485.667316714997</v>
      </c>
      <c r="AF77" s="2767"/>
      <c r="AG77" s="930">
        <f>+AG75-AG76</f>
        <v>92420.976961483888</v>
      </c>
      <c r="AH77" s="2765"/>
      <c r="AI77" s="929">
        <f>+AI75-AI76</f>
        <v>20909.542174999999</v>
      </c>
      <c r="AJ77" s="2767"/>
      <c r="AK77" s="930">
        <f>+AK75-AK76</f>
        <v>113330.51913648388</v>
      </c>
      <c r="AL77" s="2765"/>
      <c r="AM77" s="929">
        <f>+AM75-AM76</f>
        <v>29545.813258500002</v>
      </c>
      <c r="AN77" s="2768"/>
      <c r="AO77" s="1086">
        <f>+AO75-AO76</f>
        <v>72941.022750214994</v>
      </c>
      <c r="AP77" s="2767"/>
      <c r="AQ77" s="930">
        <f>+AQ75-AQ76</f>
        <v>142876.33239498388</v>
      </c>
      <c r="AR77" s="2765"/>
      <c r="AS77" s="929">
        <f>+AS75-AS76</f>
        <v>20382.501798780002</v>
      </c>
      <c r="AT77" s="2767"/>
      <c r="AU77" s="930">
        <f>+AU75-AU76</f>
        <v>163258.83419376388</v>
      </c>
      <c r="AV77" s="2765"/>
      <c r="AW77" s="929">
        <f>+AW75-AW76</f>
        <v>24125.900859449997</v>
      </c>
      <c r="AX77" s="2767"/>
      <c r="AY77" s="930">
        <f>+AY75-AY76</f>
        <v>187384.73505321387</v>
      </c>
      <c r="AZ77" s="2765"/>
      <c r="BA77" s="929">
        <f>+BA75-BA76</f>
        <v>25841.429000000004</v>
      </c>
      <c r="BB77" s="2768"/>
      <c r="BC77" s="1086">
        <f>+BC75-BC76</f>
        <v>70349.831658230003</v>
      </c>
      <c r="BD77" s="2822"/>
      <c r="BE77" s="1965">
        <f>+BE75-BE76</f>
        <v>143290.85440844501</v>
      </c>
      <c r="BF77" s="2767"/>
      <c r="BG77" s="930">
        <f>+BG75-BG76</f>
        <v>213226.1640532139</v>
      </c>
    </row>
    <row r="78" spans="2:68" s="334" customFormat="1" x14ac:dyDescent="0.25">
      <c r="B78" s="343"/>
      <c r="C78" s="343"/>
      <c r="D78" s="343"/>
      <c r="E78" s="343"/>
      <c r="F78" s="343"/>
      <c r="G78" s="343"/>
      <c r="H78" s="343"/>
      <c r="I78" s="343"/>
      <c r="J78" s="343"/>
      <c r="K78" s="343"/>
      <c r="L78" s="343"/>
      <c r="M78" s="343"/>
      <c r="N78" s="343"/>
      <c r="O78" s="343"/>
      <c r="P78" s="343"/>
      <c r="Q78" s="343"/>
      <c r="R78" s="343"/>
      <c r="S78" s="343"/>
      <c r="T78" s="343"/>
      <c r="U78" s="343"/>
      <c r="V78" s="343"/>
      <c r="W78" s="343"/>
      <c r="X78" s="343"/>
      <c r="Y78" s="343"/>
      <c r="Z78" s="343"/>
      <c r="AA78" s="343"/>
      <c r="AB78" s="343"/>
      <c r="AC78" s="343"/>
      <c r="AD78" s="343"/>
      <c r="AE78" s="343"/>
      <c r="AF78" s="343"/>
      <c r="AG78" s="343"/>
      <c r="AH78" s="343"/>
      <c r="AI78" s="343"/>
      <c r="AJ78" s="343"/>
      <c r="AK78" s="343"/>
      <c r="AL78" s="343"/>
      <c r="AM78" s="343"/>
      <c r="AN78" s="343"/>
      <c r="AO78" s="343"/>
      <c r="AP78" s="343"/>
      <c r="AQ78" s="343"/>
      <c r="AR78" s="343"/>
      <c r="AS78" s="343"/>
      <c r="AT78" s="343"/>
      <c r="AU78" s="343"/>
      <c r="AV78" s="343"/>
      <c r="AW78" s="343"/>
      <c r="AX78" s="343"/>
      <c r="AY78" s="343"/>
      <c r="AZ78" s="343"/>
      <c r="BA78" s="343"/>
      <c r="BB78" s="343"/>
      <c r="BC78" s="343"/>
      <c r="BD78" s="343"/>
      <c r="BE78" s="343"/>
      <c r="BF78" s="343"/>
      <c r="BG78" s="343"/>
      <c r="BH78" s="4658"/>
      <c r="BI78" s="4658"/>
      <c r="BJ78" s="4658"/>
      <c r="BK78" s="4658"/>
      <c r="BL78" s="4658"/>
      <c r="BM78" s="4658"/>
      <c r="BN78" s="4658"/>
      <c r="BO78" s="4658"/>
      <c r="BP78" s="4658"/>
    </row>
    <row r="79" spans="2:68" x14ac:dyDescent="0.25">
      <c r="B79" s="700" t="s">
        <v>1623</v>
      </c>
      <c r="C79" s="700"/>
      <c r="D79" s="700"/>
      <c r="E79" s="355" t="s">
        <v>53</v>
      </c>
      <c r="F79" s="2765"/>
      <c r="G79" s="929">
        <f>+G71-G72-G73-G75-G74</f>
        <v>127.65007431939921</v>
      </c>
      <c r="H79" s="2765"/>
      <c r="I79" s="929">
        <f>+I71-I72-I73-I75-I74</f>
        <v>46.953068120749776</v>
      </c>
      <c r="J79" s="2767"/>
      <c r="K79" s="930">
        <f>+K71-K72-K73-K75</f>
        <v>174.6031424401499</v>
      </c>
      <c r="L79" s="2765"/>
      <c r="M79" s="929">
        <f>+M71-M72-M73-M75-M74</f>
        <v>170.3899999999976</v>
      </c>
      <c r="N79" s="2768"/>
      <c r="O79" s="2769">
        <f>+O71-O72-O73-O75-O74</f>
        <v>344.99314244014749</v>
      </c>
      <c r="P79" s="2765"/>
      <c r="Q79" s="929">
        <f>+Q71-Q72-Q73-Q75-Q74</f>
        <v>388.19000000000597</v>
      </c>
      <c r="R79" s="2767"/>
      <c r="S79" s="930">
        <f>+S71-S72-S73-S75</f>
        <v>733.18314244015346</v>
      </c>
      <c r="T79" s="2765"/>
      <c r="U79" s="929">
        <f>+U71-U72-U73-U75-U74</f>
        <v>8.5265128291212022E-13</v>
      </c>
      <c r="V79" s="2767"/>
      <c r="W79" s="930">
        <f>+W71-W72-W73-W75</f>
        <v>1031.3496649796652</v>
      </c>
      <c r="X79" s="2765"/>
      <c r="Y79" s="929">
        <f>+Y71-Y72-Y73-Y75-Y74</f>
        <v>0.11083589999975629</v>
      </c>
      <c r="Z79" s="2768"/>
      <c r="AA79" s="929">
        <f>+AA71-AA72-AA73-AA75-AA74</f>
        <v>388.30083590000294</v>
      </c>
      <c r="AB79" s="2822"/>
      <c r="AC79" s="929">
        <f>+AC71-AC72-AC73-AC75-AC74</f>
        <v>733.29397834013957</v>
      </c>
      <c r="AD79" s="2765"/>
      <c r="AE79" s="929">
        <f>+AE71-AE72-AE73-AE75-AE74</f>
        <v>3.0695446184836328E-12</v>
      </c>
      <c r="AF79" s="2767"/>
      <c r="AG79" s="930">
        <f>+AG71-AG72-AG73-AG75</f>
        <v>1522.0478296751389</v>
      </c>
      <c r="AH79" s="2765"/>
      <c r="AI79" s="929">
        <f>+AI71-AI72-AI73-AI75-AI74</f>
        <v>-1.90000000000623E-2</v>
      </c>
      <c r="AJ79" s="2767"/>
      <c r="AK79" s="930">
        <f>+AK71-AK72-AK73-AK75</f>
        <v>1859.7475371751498</v>
      </c>
      <c r="AL79" s="2765"/>
      <c r="AM79" s="929">
        <f>+AM71-AM72-AM73-AM75-AM74</f>
        <v>-5.6843418860808015E-13</v>
      </c>
      <c r="AN79" s="2768"/>
      <c r="AO79" s="929">
        <f>+AO71-AO72-AO73-AO75-AO74</f>
        <v>-1.8999999997504347E-2</v>
      </c>
      <c r="AP79" s="2767"/>
      <c r="AQ79" s="930">
        <f>+AQ71-AQ72-AQ73-AQ75</f>
        <v>2333.6999846251274</v>
      </c>
      <c r="AR79" s="2765"/>
      <c r="AS79" s="929">
        <f>+AS71-AS72-AS73-AS75-AS74</f>
        <v>-2.6147972675971687E-12</v>
      </c>
      <c r="AT79" s="2767"/>
      <c r="AU79" s="930">
        <f>+AU71-AU72-AU73-AU75</f>
        <v>2661.5999989411503</v>
      </c>
      <c r="AV79" s="2765"/>
      <c r="AW79" s="929">
        <f>+AW71-AW72-AW73-AW75-AW74</f>
        <v>2.6716406864579767E-12</v>
      </c>
      <c r="AX79" s="2767"/>
      <c r="AY79" s="930">
        <f>+AY71-AY72-AY73-AY75</f>
        <v>3046.2268536061456</v>
      </c>
      <c r="AZ79" s="2765"/>
      <c r="BA79" s="929">
        <f>+BA71-BA72-BA73-BA75-BA74</f>
        <v>3.751665644813329E-12</v>
      </c>
      <c r="BB79" s="2768"/>
      <c r="BC79" s="1086">
        <f>+BC71-BC72-BC73-BC75-BC74</f>
        <v>3.637978807091713E-12</v>
      </c>
      <c r="BD79" s="2822"/>
      <c r="BE79" s="1965">
        <f>+BE71-BE72-BE73-BE75</f>
        <v>2302.9442031265062</v>
      </c>
      <c r="BF79" s="2767"/>
      <c r="BG79" s="930">
        <f>+BG71-BG72-BG73-BG75</f>
        <v>3464.1738536061312</v>
      </c>
    </row>
    <row r="80" spans="2:68" x14ac:dyDescent="0.25">
      <c r="T80" s="189"/>
      <c r="U80" s="200"/>
      <c r="V80" s="189"/>
      <c r="W80" s="200"/>
      <c r="AH80" s="1726"/>
      <c r="AI80" s="1726"/>
      <c r="AJ80" s="1726"/>
      <c r="AK80" s="1726"/>
      <c r="AL80" s="1726"/>
      <c r="AM80" s="1726"/>
      <c r="AP80" s="1726"/>
      <c r="AQ80" s="1726"/>
      <c r="AV80" s="1726"/>
      <c r="AW80" s="1726"/>
      <c r="AX80" s="1726"/>
      <c r="AY80" s="1726"/>
      <c r="AZ80" s="4390"/>
      <c r="BA80" s="4390"/>
      <c r="BD80" s="189"/>
      <c r="BE80" s="200"/>
      <c r="BF80" s="4390"/>
      <c r="BG80" s="4390"/>
    </row>
    <row r="81" spans="20:59" x14ac:dyDescent="0.25">
      <c r="T81" s="189"/>
      <c r="U81" s="200"/>
      <c r="V81" s="189"/>
      <c r="W81" s="200"/>
      <c r="AH81" s="1726"/>
      <c r="AI81" s="1726"/>
      <c r="AJ81" s="1726"/>
      <c r="AK81" s="1726"/>
      <c r="AL81" s="1726"/>
      <c r="AM81" s="1726"/>
      <c r="AP81" s="1726"/>
      <c r="AQ81" s="1726"/>
      <c r="AV81" s="1726"/>
      <c r="AW81" s="1726"/>
      <c r="AX81" s="1726"/>
      <c r="AY81" s="1726"/>
      <c r="AZ81" s="4390"/>
      <c r="BA81" s="5236" t="s">
        <v>1894</v>
      </c>
      <c r="BD81" s="189"/>
      <c r="BE81" s="200"/>
      <c r="BF81" s="4390"/>
      <c r="BG81" s="4390"/>
    </row>
    <row r="82" spans="20:59" x14ac:dyDescent="0.25">
      <c r="T82" s="189"/>
      <c r="U82" s="200"/>
      <c r="V82" s="189"/>
      <c r="W82" s="200"/>
      <c r="AH82" s="1726"/>
      <c r="AI82" s="1726"/>
      <c r="AJ82" s="1726"/>
      <c r="AK82" s="1726"/>
      <c r="AL82" s="1726"/>
      <c r="AM82" s="1726"/>
      <c r="AP82" s="1726"/>
      <c r="AQ82" s="1726"/>
      <c r="AV82" s="1726"/>
      <c r="AW82" s="1726"/>
      <c r="AX82" s="1726"/>
      <c r="AY82" s="1726"/>
      <c r="AZ82" s="4390"/>
      <c r="BA82" s="5236"/>
      <c r="BD82" s="189"/>
      <c r="BE82" s="200"/>
      <c r="BF82" s="4390"/>
      <c r="BG82" s="4390"/>
    </row>
    <row r="83" spans="20:59" x14ac:dyDescent="0.25">
      <c r="T83" s="189"/>
      <c r="U83" s="200"/>
      <c r="V83" s="189"/>
      <c r="W83" s="200"/>
      <c r="AH83" s="1726"/>
      <c r="AI83" s="1726"/>
      <c r="AJ83" s="1726"/>
      <c r="AK83" s="1726"/>
      <c r="AL83" s="1726"/>
      <c r="AM83" s="1726"/>
      <c r="AP83" s="1726"/>
      <c r="AQ83" s="1726"/>
      <c r="AV83" s="1726"/>
      <c r="AW83" s="1726"/>
      <c r="AX83" s="1726"/>
      <c r="AY83" s="1726"/>
      <c r="AZ83" s="4390"/>
      <c r="BA83" s="5236"/>
      <c r="BF83" s="4390"/>
      <c r="BG83" s="4390"/>
    </row>
    <row r="84" spans="20:59" x14ac:dyDescent="0.25">
      <c r="T84" s="189"/>
      <c r="U84" s="200"/>
      <c r="V84" s="189"/>
      <c r="W84" s="200"/>
      <c r="AH84" s="1726"/>
      <c r="AI84" s="1726"/>
      <c r="AJ84" s="1726"/>
      <c r="AK84" s="1726"/>
      <c r="AL84" s="1726"/>
      <c r="AM84" s="1726"/>
      <c r="AP84" s="1726"/>
      <c r="AQ84" s="1726"/>
      <c r="AV84" s="1726"/>
      <c r="AW84" s="1726"/>
      <c r="AX84" s="1726"/>
      <c r="AY84" s="1726"/>
      <c r="AZ84" s="4390"/>
      <c r="BA84" s="5236"/>
      <c r="BF84" s="4390"/>
      <c r="BG84" s="4390"/>
    </row>
    <row r="85" spans="20:59" x14ac:dyDescent="0.25">
      <c r="T85" s="189"/>
      <c r="U85" s="200"/>
      <c r="V85" s="189"/>
      <c r="W85" s="200"/>
      <c r="AH85" s="1726"/>
      <c r="AI85" s="1726"/>
      <c r="AJ85" s="1726"/>
      <c r="AK85" s="1726"/>
      <c r="AL85" s="1726"/>
      <c r="AM85" s="1726"/>
      <c r="AP85" s="1726"/>
      <c r="AQ85" s="1726"/>
      <c r="AV85" s="1726"/>
      <c r="AW85" s="1726"/>
      <c r="AX85" s="1726"/>
      <c r="AY85" s="1726"/>
      <c r="AZ85" s="4390"/>
      <c r="BA85" s="5236"/>
      <c r="BF85" s="4390"/>
      <c r="BG85" s="4390"/>
    </row>
    <row r="86" spans="20:59" x14ac:dyDescent="0.25">
      <c r="T86" s="189"/>
      <c r="U86" s="200"/>
      <c r="V86" s="189"/>
      <c r="W86" s="200"/>
      <c r="AH86" s="1726"/>
      <c r="AI86" s="1726"/>
      <c r="AJ86" s="1726"/>
      <c r="AK86" s="1726"/>
      <c r="AL86" s="1726"/>
      <c r="AM86" s="1726"/>
      <c r="AP86" s="1726"/>
      <c r="AQ86" s="1726"/>
      <c r="AZ86" s="4390"/>
      <c r="BA86" s="5236"/>
      <c r="BF86" s="4390"/>
      <c r="BG86" s="4390"/>
    </row>
    <row r="87" spans="20:59" x14ac:dyDescent="0.25">
      <c r="T87" s="189"/>
      <c r="U87" s="200"/>
      <c r="V87" s="189"/>
      <c r="W87" s="200"/>
      <c r="AL87" s="1726"/>
      <c r="AM87" s="1726"/>
      <c r="AP87" s="1726"/>
      <c r="AQ87" s="1726"/>
      <c r="BA87" s="5236"/>
    </row>
    <row r="88" spans="20:59" x14ac:dyDescent="0.25">
      <c r="T88" s="189"/>
      <c r="U88" s="200"/>
      <c r="V88" s="189"/>
      <c r="W88" s="200"/>
      <c r="AL88" s="1726"/>
      <c r="AM88" s="1726"/>
      <c r="AP88" s="1726"/>
      <c r="AQ88" s="1726"/>
      <c r="BA88" s="5236"/>
    </row>
    <row r="89" spans="20:59" x14ac:dyDescent="0.25">
      <c r="T89" s="189"/>
      <c r="U89" s="200"/>
      <c r="V89" s="189"/>
      <c r="W89" s="200"/>
    </row>
    <row r="90" spans="20:59" x14ac:dyDescent="0.25">
      <c r="T90" s="189"/>
      <c r="U90" s="200"/>
      <c r="V90" s="189"/>
      <c r="W90" s="200"/>
    </row>
    <row r="91" spans="20:59" x14ac:dyDescent="0.25">
      <c r="T91" s="189"/>
      <c r="U91" s="200"/>
      <c r="V91" s="189"/>
      <c r="W91" s="200"/>
    </row>
    <row r="92" spans="20:59" x14ac:dyDescent="0.25">
      <c r="T92" s="189"/>
      <c r="U92" s="200"/>
      <c r="V92" s="189"/>
      <c r="W92" s="200"/>
    </row>
    <row r="93" spans="20:59" x14ac:dyDescent="0.25">
      <c r="T93" s="189"/>
      <c r="U93" s="200"/>
      <c r="V93" s="189"/>
      <c r="W93" s="200"/>
    </row>
    <row r="94" spans="20:59" x14ac:dyDescent="0.25">
      <c r="T94" s="189"/>
      <c r="U94" s="200"/>
      <c r="V94" s="189"/>
      <c r="W94" s="200"/>
    </row>
    <row r="95" spans="20:59" x14ac:dyDescent="0.25">
      <c r="T95" s="189"/>
      <c r="U95" s="200"/>
      <c r="V95" s="189"/>
      <c r="W95" s="200"/>
    </row>
    <row r="96" spans="20:59" x14ac:dyDescent="0.25">
      <c r="T96" s="189"/>
      <c r="U96" s="200"/>
      <c r="V96" s="189"/>
      <c r="W96" s="200"/>
    </row>
    <row r="97" spans="20:23" x14ac:dyDescent="0.25">
      <c r="T97" s="189"/>
      <c r="U97" s="200"/>
      <c r="V97" s="189"/>
      <c r="W97" s="200"/>
    </row>
    <row r="98" spans="20:23" x14ac:dyDescent="0.25">
      <c r="T98" s="189"/>
      <c r="U98" s="200"/>
      <c r="V98" s="189"/>
      <c r="W98" s="200"/>
    </row>
  </sheetData>
  <autoFilter ref="C5:C61"/>
  <mergeCells count="32">
    <mergeCell ref="R3:S3"/>
    <mergeCell ref="T3:U3"/>
    <mergeCell ref="V3:W3"/>
    <mergeCell ref="B3:B4"/>
    <mergeCell ref="E3:E4"/>
    <mergeCell ref="F3:G3"/>
    <mergeCell ref="H3:I3"/>
    <mergeCell ref="J3:K3"/>
    <mergeCell ref="L3:M3"/>
    <mergeCell ref="C3:C4"/>
    <mergeCell ref="D3:D4"/>
    <mergeCell ref="N3:O3"/>
    <mergeCell ref="P3:Q3"/>
    <mergeCell ref="AH3:AI3"/>
    <mergeCell ref="AJ3:AK3"/>
    <mergeCell ref="AD3:AE3"/>
    <mergeCell ref="AF3:AG3"/>
    <mergeCell ref="X3:Y3"/>
    <mergeCell ref="Z3:AA3"/>
    <mergeCell ref="AB3:AC3"/>
    <mergeCell ref="AR3:AS3"/>
    <mergeCell ref="AT3:AU3"/>
    <mergeCell ref="AL3:AM3"/>
    <mergeCell ref="AP3:AQ3"/>
    <mergeCell ref="AN3:AO3"/>
    <mergeCell ref="BA81:BA88"/>
    <mergeCell ref="AZ3:BA3"/>
    <mergeCell ref="BF3:BG3"/>
    <mergeCell ref="BD3:BE3"/>
    <mergeCell ref="AV3:AW3"/>
    <mergeCell ref="AX3:AY3"/>
    <mergeCell ref="BB3:BC3"/>
  </mergeCells>
  <printOptions horizontalCentered="1" verticalCentered="1"/>
  <pageMargins left="0" right="0" top="0" bottom="0" header="0" footer="0"/>
  <pageSetup scale="76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AT55"/>
  <sheetViews>
    <sheetView workbookViewId="0">
      <pane xSplit="3" topLeftCell="H1" activePane="topRight" state="frozen"/>
      <selection pane="topRight" activeCell="O31" sqref="O31"/>
    </sheetView>
  </sheetViews>
  <sheetFormatPr defaultColWidth="9.140625" defaultRowHeight="15" x14ac:dyDescent="0.25"/>
  <cols>
    <col min="1" max="1" width="9.140625" style="332"/>
    <col min="2" max="2" width="60" style="1386" customWidth="1"/>
    <col min="3" max="3" width="11.7109375" style="1386" bestFit="1" customWidth="1"/>
    <col min="4" max="4" width="12.42578125" style="189" customWidth="1"/>
    <col min="5" max="5" width="11.28515625" style="200" customWidth="1"/>
    <col min="6" max="6" width="12" style="189" customWidth="1"/>
    <col min="7" max="7" width="12.140625" style="200" customWidth="1"/>
    <col min="8" max="8" width="11" style="189" customWidth="1"/>
    <col min="9" max="9" width="17" style="200" customWidth="1"/>
    <col min="10" max="10" width="11.140625" style="189" customWidth="1"/>
    <col min="11" max="11" width="11.42578125" style="200" customWidth="1"/>
    <col min="12" max="12" width="11" style="189" customWidth="1"/>
    <col min="13" max="13" width="11.85546875" style="200" customWidth="1"/>
    <col min="14" max="14" width="9.140625" style="189" customWidth="1"/>
    <col min="15" max="15" width="14.42578125" style="343" customWidth="1"/>
    <col min="16" max="16" width="9.140625" style="189" customWidth="1"/>
    <col min="17" max="17" width="9.42578125" style="200" customWidth="1"/>
    <col min="18" max="33" width="9.140625" style="1386" hidden="1" customWidth="1"/>
    <col min="34" max="34" width="11.42578125" style="1386" hidden="1" customWidth="1"/>
    <col min="35" max="35" width="9.85546875" style="1386" hidden="1" customWidth="1"/>
    <col min="36" max="36" width="10" style="1386" hidden="1" customWidth="1"/>
    <col min="37" max="37" width="9.42578125" style="1386" hidden="1" customWidth="1"/>
    <col min="38" max="38" width="9" style="1386" hidden="1" customWidth="1"/>
    <col min="39" max="39" width="9.42578125" style="1386" hidden="1" customWidth="1"/>
    <col min="40" max="41" width="9.140625" style="1386" hidden="1" customWidth="1"/>
    <col min="42" max="45" width="9.140625" style="1470" hidden="1" customWidth="1"/>
    <col min="46" max="46" width="9.140625" style="1386" hidden="1" customWidth="1"/>
    <col min="47" max="16384" width="9.140625" style="1386"/>
  </cols>
  <sheetData>
    <row r="1" spans="2:45" ht="22.5" x14ac:dyDescent="0.3">
      <c r="B1" s="37"/>
      <c r="C1" s="5"/>
      <c r="D1" s="259"/>
      <c r="E1" s="106"/>
      <c r="F1" s="259"/>
      <c r="G1" s="106"/>
      <c r="H1" s="259"/>
      <c r="I1" s="106"/>
    </row>
    <row r="2" spans="2:45" ht="15.75" thickBot="1" x14ac:dyDescent="0.3">
      <c r="B2" s="5"/>
      <c r="C2" s="5"/>
      <c r="D2" s="252">
        <v>30</v>
      </c>
      <c r="E2" s="207">
        <v>30</v>
      </c>
      <c r="F2" s="252">
        <v>31</v>
      </c>
      <c r="G2" s="207">
        <v>31</v>
      </c>
      <c r="H2" s="252">
        <f>+D2+F2</f>
        <v>61</v>
      </c>
      <c r="I2" s="207">
        <f>+E2+G2</f>
        <v>61</v>
      </c>
      <c r="J2" s="252">
        <v>30</v>
      </c>
      <c r="K2" s="207">
        <v>30</v>
      </c>
      <c r="L2" s="252">
        <f>+H2+J2</f>
        <v>91</v>
      </c>
      <c r="M2" s="207">
        <f>+I2+K2</f>
        <v>91</v>
      </c>
      <c r="N2" s="252">
        <v>31</v>
      </c>
      <c r="O2" s="984">
        <v>31</v>
      </c>
      <c r="P2" s="252">
        <f>+L2+N2</f>
        <v>122</v>
      </c>
      <c r="Q2" s="207">
        <f>+M2+O2</f>
        <v>122</v>
      </c>
      <c r="R2" s="252">
        <v>31</v>
      </c>
      <c r="S2" s="984">
        <v>31</v>
      </c>
      <c r="T2" s="252">
        <f>+P2+R2</f>
        <v>153</v>
      </c>
      <c r="U2" s="207">
        <f>+Q2+S2</f>
        <v>153</v>
      </c>
      <c r="V2" s="252">
        <v>30</v>
      </c>
      <c r="W2" s="984">
        <v>30</v>
      </c>
      <c r="X2" s="252">
        <f>+N2+R2+V2</f>
        <v>92</v>
      </c>
      <c r="Y2" s="252">
        <f>+O2+S2+W2</f>
        <v>92</v>
      </c>
      <c r="Z2" s="252">
        <f>+T2+V2</f>
        <v>183</v>
      </c>
      <c r="AA2" s="207">
        <f>+U2+W2</f>
        <v>183</v>
      </c>
      <c r="AB2" s="252">
        <v>31</v>
      </c>
      <c r="AC2" s="984">
        <v>31</v>
      </c>
      <c r="AD2" s="252">
        <f>+Z2+AB2</f>
        <v>214</v>
      </c>
      <c r="AE2" s="207">
        <f>+AA2+AC2</f>
        <v>214</v>
      </c>
      <c r="AF2" s="252">
        <v>30</v>
      </c>
      <c r="AG2" s="984">
        <v>30</v>
      </c>
      <c r="AH2" s="252">
        <f>+AD2+AF2</f>
        <v>244</v>
      </c>
      <c r="AI2" s="207">
        <f>+AE2+AG2</f>
        <v>244</v>
      </c>
      <c r="AJ2" s="252">
        <v>31</v>
      </c>
      <c r="AK2" s="984">
        <v>31</v>
      </c>
      <c r="AL2" s="252">
        <f>+AB2+AF2+AJ2</f>
        <v>92</v>
      </c>
      <c r="AM2" s="252">
        <f>+AC2+AG2+AK2</f>
        <v>92</v>
      </c>
      <c r="AN2" s="252">
        <f>+AH2+AJ2</f>
        <v>275</v>
      </c>
      <c r="AO2" s="207">
        <f>+AI2+AK2</f>
        <v>275</v>
      </c>
      <c r="AP2" s="252">
        <v>31</v>
      </c>
      <c r="AQ2" s="984">
        <v>31</v>
      </c>
      <c r="AR2" s="252">
        <f>+AN2+AP2</f>
        <v>306</v>
      </c>
      <c r="AS2" s="207">
        <f>+AO2+AQ2</f>
        <v>306</v>
      </c>
    </row>
    <row r="3" spans="2:45" s="200" customFormat="1" ht="15.75" thickBot="1" x14ac:dyDescent="0.3">
      <c r="B3" s="5073" t="s">
        <v>197</v>
      </c>
      <c r="C3" s="4873" t="s">
        <v>198</v>
      </c>
      <c r="D3" s="4875" t="s">
        <v>1323</v>
      </c>
      <c r="E3" s="4876"/>
      <c r="F3" s="4875" t="s">
        <v>1384</v>
      </c>
      <c r="G3" s="4875"/>
      <c r="H3" s="4877" t="s">
        <v>15</v>
      </c>
      <c r="I3" s="4878"/>
      <c r="J3" s="4879" t="s">
        <v>1397</v>
      </c>
      <c r="K3" s="4880"/>
      <c r="L3" s="4881" t="s">
        <v>741</v>
      </c>
      <c r="M3" s="4859"/>
      <c r="N3" s="4875" t="s">
        <v>1424</v>
      </c>
      <c r="O3" s="4875"/>
      <c r="P3" s="4877" t="s">
        <v>18</v>
      </c>
      <c r="Q3" s="4878"/>
      <c r="R3" s="4875" t="s">
        <v>1053</v>
      </c>
      <c r="S3" s="4875"/>
      <c r="T3" s="4877" t="s">
        <v>19</v>
      </c>
      <c r="U3" s="4878"/>
      <c r="V3" s="4875" t="s">
        <v>1103</v>
      </c>
      <c r="W3" s="4875"/>
      <c r="X3" s="4858" t="s">
        <v>788</v>
      </c>
      <c r="Y3" s="4859"/>
      <c r="Z3" s="4850" t="s">
        <v>784</v>
      </c>
      <c r="AA3" s="4851"/>
      <c r="AB3" s="4875" t="s">
        <v>1116</v>
      </c>
      <c r="AC3" s="4875"/>
      <c r="AD3" s="4877" t="s">
        <v>26</v>
      </c>
      <c r="AE3" s="4878"/>
      <c r="AF3" s="4875" t="s">
        <v>1210</v>
      </c>
      <c r="AG3" s="4875"/>
      <c r="AH3" s="4877" t="s">
        <v>29</v>
      </c>
      <c r="AI3" s="4878"/>
      <c r="AJ3" s="4875" t="s">
        <v>1222</v>
      </c>
      <c r="AK3" s="4875"/>
      <c r="AL3" s="4858" t="s">
        <v>799</v>
      </c>
      <c r="AM3" s="4859"/>
      <c r="AN3" s="4877" t="s">
        <v>30</v>
      </c>
      <c r="AO3" s="4878"/>
      <c r="AP3" s="4875" t="s">
        <v>1290</v>
      </c>
      <c r="AQ3" s="4875"/>
      <c r="AR3" s="4877" t="s">
        <v>31</v>
      </c>
      <c r="AS3" s="4878"/>
    </row>
    <row r="4" spans="2:45" s="200" customFormat="1" ht="15.75" thickBot="1" x14ac:dyDescent="0.3">
      <c r="B4" s="5098"/>
      <c r="C4" s="4874"/>
      <c r="D4" s="1387" t="s">
        <v>199</v>
      </c>
      <c r="E4" s="353" t="s">
        <v>200</v>
      </c>
      <c r="F4" s="1387" t="s">
        <v>199</v>
      </c>
      <c r="G4" s="410" t="s">
        <v>200</v>
      </c>
      <c r="H4" s="330" t="s">
        <v>199</v>
      </c>
      <c r="I4" s="381" t="s">
        <v>200</v>
      </c>
      <c r="J4" s="1387" t="s">
        <v>199</v>
      </c>
      <c r="K4" s="410" t="s">
        <v>200</v>
      </c>
      <c r="L4" s="1389" t="s">
        <v>199</v>
      </c>
      <c r="M4" s="395" t="s">
        <v>200</v>
      </c>
      <c r="N4" s="1387" t="s">
        <v>199</v>
      </c>
      <c r="O4" s="985" t="s">
        <v>200</v>
      </c>
      <c r="P4" s="330" t="s">
        <v>199</v>
      </c>
      <c r="Q4" s="381" t="s">
        <v>200</v>
      </c>
      <c r="R4" s="1387" t="s">
        <v>199</v>
      </c>
      <c r="S4" s="985" t="s">
        <v>200</v>
      </c>
      <c r="T4" s="330" t="s">
        <v>199</v>
      </c>
      <c r="U4" s="381" t="s">
        <v>200</v>
      </c>
      <c r="V4" s="1387" t="s">
        <v>199</v>
      </c>
      <c r="W4" s="1192" t="s">
        <v>200</v>
      </c>
      <c r="X4" s="1388" t="s">
        <v>199</v>
      </c>
      <c r="Y4" s="395" t="s">
        <v>200</v>
      </c>
      <c r="Z4" s="1393" t="s">
        <v>199</v>
      </c>
      <c r="AA4" s="1137" t="s">
        <v>200</v>
      </c>
      <c r="AB4" s="1387" t="s">
        <v>199</v>
      </c>
      <c r="AC4" s="985" t="s">
        <v>200</v>
      </c>
      <c r="AD4" s="330" t="s">
        <v>199</v>
      </c>
      <c r="AE4" s="381" t="s">
        <v>200</v>
      </c>
      <c r="AF4" s="1387" t="s">
        <v>199</v>
      </c>
      <c r="AG4" s="985" t="s">
        <v>200</v>
      </c>
      <c r="AH4" s="330" t="s">
        <v>199</v>
      </c>
      <c r="AI4" s="381" t="s">
        <v>200</v>
      </c>
      <c r="AJ4" s="1387" t="s">
        <v>199</v>
      </c>
      <c r="AK4" s="1192" t="s">
        <v>200</v>
      </c>
      <c r="AL4" s="1388" t="s">
        <v>199</v>
      </c>
      <c r="AM4" s="395" t="s">
        <v>200</v>
      </c>
      <c r="AN4" s="330" t="s">
        <v>199</v>
      </c>
      <c r="AO4" s="381" t="s">
        <v>200</v>
      </c>
      <c r="AP4" s="1471" t="s">
        <v>199</v>
      </c>
      <c r="AQ4" s="1192" t="s">
        <v>200</v>
      </c>
      <c r="AR4" s="330" t="s">
        <v>199</v>
      </c>
      <c r="AS4" s="381" t="s">
        <v>200</v>
      </c>
    </row>
    <row r="6" spans="2:45" x14ac:dyDescent="0.25">
      <c r="B6" s="421" t="s">
        <v>1233</v>
      </c>
      <c r="C6" s="1392" t="s">
        <v>393</v>
      </c>
      <c r="D6" s="1396">
        <f>+'COKE OVENS'!E239</f>
        <v>0</v>
      </c>
      <c r="E6" s="639">
        <f>+'COKE OVENS'!F239</f>
        <v>8547.3958333333248</v>
      </c>
      <c r="F6" s="639">
        <f>+'COKE OVENS'!G239</f>
        <v>0</v>
      </c>
      <c r="G6" s="639">
        <f>+'COKE OVENS'!H239</f>
        <v>6696.6666666666697</v>
      </c>
      <c r="H6" s="950">
        <f>+'COKE OVENS'!I239</f>
        <v>0</v>
      </c>
      <c r="I6" s="950">
        <f>+'COKE OVENS'!J239</f>
        <v>15244.06249999996</v>
      </c>
      <c r="J6" s="236">
        <f>+'COKE OVENS'!K239</f>
        <v>0</v>
      </c>
      <c r="K6" s="639">
        <f>+'COKE OVENS'!L239</f>
        <v>6802.0833333333385</v>
      </c>
      <c r="L6" s="952">
        <f>+'COKE OVENS'!M239</f>
        <v>0</v>
      </c>
      <c r="M6" s="952">
        <f>+'COKE OVENS'!N239</f>
        <v>22046.145833333365</v>
      </c>
      <c r="N6" s="639">
        <f>+'COKE OVENS'!O239</f>
        <v>0</v>
      </c>
      <c r="O6" s="1123">
        <f>+'COKE OVENS'!P239</f>
        <v>6248.2291666666406</v>
      </c>
      <c r="P6" s="519">
        <f>+'COKE OVENS'!Q239</f>
        <v>0</v>
      </c>
      <c r="Q6" s="950">
        <f>+'COKE OVENS'!R239</f>
        <v>28294.37500000004</v>
      </c>
      <c r="R6" s="639">
        <f>+'COKE OVENS'!S239</f>
        <v>0</v>
      </c>
      <c r="S6" s="1123">
        <f>+'COKE OVENS'!T239</f>
        <v>7943.1250000000164</v>
      </c>
      <c r="T6" s="950">
        <f>+'COKE OVENS'!U239</f>
        <v>0</v>
      </c>
      <c r="U6" s="950">
        <f>+'COKE OVENS'!V239</f>
        <v>36237.500000000015</v>
      </c>
      <c r="V6" s="236">
        <f>+'COKE OVENS'!W239</f>
        <v>0</v>
      </c>
      <c r="W6" s="1123">
        <f>+'COKE OVENS'!X239</f>
        <v>8504.375</v>
      </c>
      <c r="X6" s="952">
        <f>+'COKE OVENS'!Y239</f>
        <v>0</v>
      </c>
      <c r="Y6" s="952">
        <f>+'COKE OVENS'!Z239</f>
        <v>22695.729166666628</v>
      </c>
      <c r="Z6" s="1434">
        <f>+'COKE OVENS'!AA239</f>
        <v>0</v>
      </c>
      <c r="AA6" s="1434">
        <f>+'COKE OVENS'!AB239</f>
        <v>44741.874999999978</v>
      </c>
      <c r="AB6" s="236">
        <f>+'COKE OVENS'!AC239</f>
        <v>0</v>
      </c>
      <c r="AC6" s="1123">
        <f>+'COKE OVENS'!AD239</f>
        <v>12440.238261162825</v>
      </c>
      <c r="AD6" s="519">
        <f>+'COKE OVENS'!AE239</f>
        <v>0</v>
      </c>
      <c r="AE6" s="950">
        <f>+'COKE OVENS'!AF239</f>
        <v>57294.741832050975</v>
      </c>
      <c r="AF6" s="639">
        <f>+'COKE OVENS'!AG239</f>
        <v>0</v>
      </c>
      <c r="AG6" s="1123">
        <f>+'COKE OVENS'!AH239</f>
        <v>6431.5250149066851</v>
      </c>
      <c r="AH6" s="519">
        <f>+'COKE OVENS'!AI239</f>
        <v>0</v>
      </c>
      <c r="AI6" s="950">
        <f>+'COKE OVENS'!AJ239</f>
        <v>63629.748383733575</v>
      </c>
      <c r="AJ6" s="236">
        <f>+'COKE OVENS'!AK239</f>
        <v>0</v>
      </c>
      <c r="AK6" s="1123">
        <f>+'COKE OVENS'!AL239</f>
        <v>7352.5565832370103</v>
      </c>
      <c r="AL6" s="1435">
        <f>+'COKE OVENS'!AM239</f>
        <v>0</v>
      </c>
      <c r="AM6" s="952">
        <f>+'COKE OVENS'!AN239</f>
        <v>26257.255598225252</v>
      </c>
      <c r="AN6" s="950">
        <f>+'COKE OVENS'!AO239</f>
        <v>0</v>
      </c>
      <c r="AO6" s="950">
        <f>+'COKE OVENS'!AP239</f>
        <v>70973.131343796311</v>
      </c>
      <c r="AP6" s="236">
        <f>+'COKE OVENS'!AQ239</f>
        <v>0</v>
      </c>
      <c r="AQ6" s="1123">
        <f>+'COKE OVENS'!AR239</f>
        <v>12860.77695150609</v>
      </c>
      <c r="AR6" s="519">
        <f>+'COKE OVENS'!AS239</f>
        <v>0</v>
      </c>
      <c r="AS6" s="950">
        <f>+'COKE OVENS'!AT239</f>
        <v>83817.521453447873</v>
      </c>
    </row>
    <row r="7" spans="2:45" ht="15.75" thickBot="1" x14ac:dyDescent="0.3">
      <c r="B7" s="1427" t="s">
        <v>1241</v>
      </c>
      <c r="C7" s="1428" t="s">
        <v>393</v>
      </c>
      <c r="D7" s="1429">
        <f>+'COKE OVENS'!E253</f>
        <v>0</v>
      </c>
      <c r="E7" s="1444">
        <f>+'COKE OVENS'!F253</f>
        <v>147009.48453608248</v>
      </c>
      <c r="F7" s="1444">
        <f>+'COKE OVENS'!G253</f>
        <v>0</v>
      </c>
      <c r="G7" s="1444">
        <f>+'COKE OVENS'!H253</f>
        <v>155446.18556701031</v>
      </c>
      <c r="H7" s="1445">
        <f>+'COKE OVENS'!I253</f>
        <v>0</v>
      </c>
      <c r="I7" s="1445">
        <f>+'COKE OVENS'!J253</f>
        <v>302455.67010309279</v>
      </c>
      <c r="J7" s="1446">
        <f>+'COKE OVENS'!K253</f>
        <v>0</v>
      </c>
      <c r="K7" s="1444">
        <f>+'COKE OVENS'!L253</f>
        <v>151247.42268041236</v>
      </c>
      <c r="L7" s="1447">
        <f>+'COKE OVENS'!M253</f>
        <v>0</v>
      </c>
      <c r="M7" s="1447">
        <f>+'COKE OVENS'!N253</f>
        <v>453703.09278350516</v>
      </c>
      <c r="N7" s="1444">
        <f>+'COKE OVENS'!O253</f>
        <v>0</v>
      </c>
      <c r="O7" s="1448">
        <f>+'COKE OVENS'!P253</f>
        <v>155532.78350515466</v>
      </c>
      <c r="P7" s="1449">
        <f>+'COKE OVENS'!Q253</f>
        <v>0</v>
      </c>
      <c r="Q7" s="1445">
        <f>+'COKE OVENS'!R253</f>
        <v>609235.87628865975</v>
      </c>
      <c r="R7" s="1444">
        <f>+'COKE OVENS'!S253</f>
        <v>0</v>
      </c>
      <c r="S7" s="1448">
        <f>+'COKE OVENS'!T253</f>
        <v>160209.58762886596</v>
      </c>
      <c r="T7" s="1445">
        <f>+'COKE OVENS'!U253</f>
        <v>0</v>
      </c>
      <c r="U7" s="1445">
        <f>+'COKE OVENS'!V253</f>
        <v>769445.46391752572</v>
      </c>
      <c r="V7" s="1446">
        <f>+'COKE OVENS'!W253</f>
        <v>0</v>
      </c>
      <c r="W7" s="1448">
        <f>+'COKE OVENS'!X253</f>
        <v>153500.30927835053</v>
      </c>
      <c r="X7" s="1447">
        <f>+'COKE OVENS'!Y253</f>
        <v>0</v>
      </c>
      <c r="Y7" s="1447">
        <f>+'COKE OVENS'!Z253</f>
        <v>469242.68041237106</v>
      </c>
      <c r="Z7" s="1450">
        <f>+'COKE OVENS'!AA253</f>
        <v>0</v>
      </c>
      <c r="AA7" s="1450">
        <f>+'COKE OVENS'!AB253</f>
        <v>922945.77319587627</v>
      </c>
      <c r="AB7" s="1446">
        <f>+'COKE OVENS'!AC253</f>
        <v>0</v>
      </c>
      <c r="AC7" s="1448">
        <f>+'COKE OVENS'!AD253</f>
        <v>149038.52708173575</v>
      </c>
      <c r="AD7" s="1449">
        <f>+'COKE OVENS'!AE253</f>
        <v>0</v>
      </c>
      <c r="AE7" s="1445">
        <f>+'COKE OVENS'!AF253</f>
        <v>1071872.8328260113</v>
      </c>
      <c r="AF7" s="1444">
        <f>+'COKE OVENS'!AG253</f>
        <v>0</v>
      </c>
      <c r="AG7" s="1448">
        <f>+'COKE OVENS'!AH253</f>
        <v>154985.29483060783</v>
      </c>
      <c r="AH7" s="1449">
        <f>+'COKE OVENS'!AI253</f>
        <v>0</v>
      </c>
      <c r="AI7" s="1445">
        <f>+'COKE OVENS'!AJ253</f>
        <v>1226953.6510841399</v>
      </c>
      <c r="AJ7" s="1446">
        <f>+'COKE OVENS'!AK253</f>
        <v>0</v>
      </c>
      <c r="AK7" s="1448">
        <f>+'COKE OVENS'!AL253</f>
        <v>161924.27389700254</v>
      </c>
      <c r="AL7" s="1451">
        <f>+'COKE OVENS'!AM253</f>
        <v>0</v>
      </c>
      <c r="AM7" s="1447">
        <f>+'COKE OVENS'!AN253</f>
        <v>465915.49961412756</v>
      </c>
      <c r="AN7" s="1445">
        <f>+'COKE OVENS'!AO253</f>
        <v>0</v>
      </c>
      <c r="AO7" s="1445">
        <f>+'COKE OVENS'!AP253</f>
        <v>1388887.0040308819</v>
      </c>
      <c r="AP7" s="1446">
        <f>+'COKE OVENS'!AQ253</f>
        <v>0</v>
      </c>
      <c r="AQ7" s="1448">
        <f>+'COKE OVENS'!AR253</f>
        <v>156651.18982118985</v>
      </c>
      <c r="AR7" s="1449">
        <f>+'COKE OVENS'!AS253</f>
        <v>0</v>
      </c>
      <c r="AS7" s="1445">
        <f>+'COKE OVENS'!AT253</f>
        <v>1545554.4117574124</v>
      </c>
    </row>
    <row r="8" spans="2:45" ht="16.5" thickBot="1" x14ac:dyDescent="0.3">
      <c r="B8" s="1424" t="s">
        <v>1242</v>
      </c>
      <c r="C8" s="1425" t="s">
        <v>393</v>
      </c>
      <c r="D8" s="1426">
        <f>SUM(D6:D7)</f>
        <v>0</v>
      </c>
      <c r="E8" s="358">
        <f t="shared" ref="E8:AO8" si="0">SUM(E6:E7)</f>
        <v>155556.8803694158</v>
      </c>
      <c r="F8" s="358">
        <f t="shared" si="0"/>
        <v>0</v>
      </c>
      <c r="G8" s="358">
        <f t="shared" si="0"/>
        <v>162142.85223367697</v>
      </c>
      <c r="H8" s="1452">
        <f t="shared" si="0"/>
        <v>0</v>
      </c>
      <c r="I8" s="1452">
        <f t="shared" si="0"/>
        <v>317699.73260309274</v>
      </c>
      <c r="J8" s="1453">
        <f t="shared" si="0"/>
        <v>0</v>
      </c>
      <c r="K8" s="358">
        <f t="shared" si="0"/>
        <v>158049.5060137457</v>
      </c>
      <c r="L8" s="1454">
        <f t="shared" si="0"/>
        <v>0</v>
      </c>
      <c r="M8" s="1454">
        <f t="shared" si="0"/>
        <v>475749.23861683853</v>
      </c>
      <c r="N8" s="358">
        <f t="shared" si="0"/>
        <v>0</v>
      </c>
      <c r="O8" s="1455">
        <f t="shared" si="0"/>
        <v>161781.01267182129</v>
      </c>
      <c r="P8" s="1456">
        <f t="shared" si="0"/>
        <v>0</v>
      </c>
      <c r="Q8" s="1452">
        <f t="shared" si="0"/>
        <v>637530.25128865975</v>
      </c>
      <c r="R8" s="358">
        <f t="shared" si="0"/>
        <v>0</v>
      </c>
      <c r="S8" s="1455">
        <f t="shared" si="0"/>
        <v>168152.71262886599</v>
      </c>
      <c r="T8" s="1452">
        <f t="shared" si="0"/>
        <v>0</v>
      </c>
      <c r="U8" s="1452">
        <f t="shared" si="0"/>
        <v>805682.96391752572</v>
      </c>
      <c r="V8" s="1453">
        <f t="shared" si="0"/>
        <v>0</v>
      </c>
      <c r="W8" s="1455">
        <f t="shared" si="0"/>
        <v>162004.68427835053</v>
      </c>
      <c r="X8" s="1454">
        <f t="shared" si="0"/>
        <v>0</v>
      </c>
      <c r="Y8" s="1454">
        <f t="shared" si="0"/>
        <v>491938.40957903769</v>
      </c>
      <c r="Z8" s="1457">
        <f t="shared" si="0"/>
        <v>0</v>
      </c>
      <c r="AA8" s="1457">
        <f t="shared" si="0"/>
        <v>967687.64819587627</v>
      </c>
      <c r="AB8" s="1453">
        <f t="shared" si="0"/>
        <v>0</v>
      </c>
      <c r="AC8" s="1455">
        <f t="shared" si="0"/>
        <v>161478.76534289858</v>
      </c>
      <c r="AD8" s="1456">
        <f t="shared" si="0"/>
        <v>0</v>
      </c>
      <c r="AE8" s="1452">
        <f t="shared" si="0"/>
        <v>1129167.5746580623</v>
      </c>
      <c r="AF8" s="358">
        <f t="shared" si="0"/>
        <v>0</v>
      </c>
      <c r="AG8" s="1455">
        <f t="shared" si="0"/>
        <v>161416.81984551452</v>
      </c>
      <c r="AH8" s="1456">
        <f t="shared" si="0"/>
        <v>0</v>
      </c>
      <c r="AI8" s="1452">
        <f t="shared" si="0"/>
        <v>1290583.3994678736</v>
      </c>
      <c r="AJ8" s="1453">
        <f t="shared" si="0"/>
        <v>0</v>
      </c>
      <c r="AK8" s="1455">
        <f t="shared" si="0"/>
        <v>169276.83048023956</v>
      </c>
      <c r="AL8" s="1458">
        <f t="shared" si="0"/>
        <v>0</v>
      </c>
      <c r="AM8" s="1454">
        <f t="shared" si="0"/>
        <v>492172.75521235284</v>
      </c>
      <c r="AN8" s="1452">
        <f t="shared" si="0"/>
        <v>0</v>
      </c>
      <c r="AO8" s="384">
        <f t="shared" si="0"/>
        <v>1459860.1353746783</v>
      </c>
      <c r="AP8" s="1453">
        <f t="shared" ref="AP8:AS8" si="1">SUM(AP6:AP7)</f>
        <v>0</v>
      </c>
      <c r="AQ8" s="1455">
        <f t="shared" si="1"/>
        <v>169511.96677269595</v>
      </c>
      <c r="AR8" s="1456">
        <f t="shared" si="1"/>
        <v>0</v>
      </c>
      <c r="AS8" s="1452">
        <f t="shared" si="1"/>
        <v>1629371.9332108602</v>
      </c>
    </row>
    <row r="10" spans="2:45" x14ac:dyDescent="0.25">
      <c r="B10" s="1430" t="s">
        <v>146</v>
      </c>
      <c r="C10" s="758"/>
    </row>
    <row r="11" spans="2:45" x14ac:dyDescent="0.25">
      <c r="B11" s="1431" t="s">
        <v>16</v>
      </c>
      <c r="C11" s="1432" t="s">
        <v>393</v>
      </c>
      <c r="D11" s="236"/>
      <c r="E11" s="639">
        <f>+'B-FCE'!F94</f>
        <v>59528.205128205125</v>
      </c>
      <c r="F11" s="639"/>
      <c r="G11" s="639">
        <f>+'B-FCE'!H94</f>
        <v>58167.521367521367</v>
      </c>
      <c r="H11" s="950"/>
      <c r="I11" s="950">
        <f>+'B-FCE'!J94</f>
        <v>117695.7264957265</v>
      </c>
      <c r="J11" s="236"/>
      <c r="K11" s="639">
        <f>+'B-FCE'!L94</f>
        <v>109954.18803418805</v>
      </c>
      <c r="L11" s="952"/>
      <c r="M11" s="952">
        <f>+'B-FCE'!N94</f>
        <v>227649.91452991456</v>
      </c>
      <c r="N11" s="639"/>
      <c r="O11" s="1123">
        <f>+'B-FCE'!P94</f>
        <v>115343.58974358974</v>
      </c>
      <c r="P11" s="519"/>
      <c r="Q11" s="950">
        <f>+'B-FCE'!R94</f>
        <v>342993.50427350431</v>
      </c>
      <c r="R11" s="639"/>
      <c r="S11" s="1123">
        <f>+'B-FCE'!T94</f>
        <v>116549.74358974359</v>
      </c>
      <c r="T11" s="950"/>
      <c r="U11" s="950">
        <f>+'B-FCE'!V94</f>
        <v>459543.24786324787</v>
      </c>
      <c r="V11" s="236"/>
      <c r="W11" s="1123">
        <f>+'B-FCE'!X94</f>
        <v>124426.66666666666</v>
      </c>
      <c r="X11" s="952"/>
      <c r="Y11" s="952">
        <f>+'B-FCE'!Z94</f>
        <v>356320</v>
      </c>
      <c r="Z11" s="1434"/>
      <c r="AA11" s="1434">
        <f>+'B-FCE'!AB94</f>
        <v>583969.9145299145</v>
      </c>
      <c r="AB11" s="236"/>
      <c r="AC11" s="1123">
        <f>+'B-FCE'!AD94</f>
        <v>166703.58974358972</v>
      </c>
      <c r="AD11" s="519"/>
      <c r="AE11" s="950">
        <f>+'B-FCE'!AF94</f>
        <v>750673.50427350425</v>
      </c>
      <c r="AF11" s="639"/>
      <c r="AG11" s="1123">
        <f>+'B-FCE'!AH94</f>
        <v>136000</v>
      </c>
      <c r="AH11" s="519"/>
      <c r="AI11" s="950">
        <f>+'B-FCE'!AJ94</f>
        <v>886673.50427350425</v>
      </c>
      <c r="AJ11" s="236"/>
      <c r="AK11" s="1123">
        <f>+'B-FCE'!AL94</f>
        <v>130848</v>
      </c>
      <c r="AL11" s="1435"/>
      <c r="AM11" s="952">
        <f>+'B-FCE'!AN94</f>
        <v>433551.58974358975</v>
      </c>
      <c r="AN11" s="950"/>
      <c r="AO11" s="950">
        <f>+'B-FCE'!AP94</f>
        <v>1017521.5042735043</v>
      </c>
      <c r="AP11" s="236"/>
      <c r="AQ11" s="1123">
        <f>+'B-FCE'!AR94</f>
        <v>128248.12307692309</v>
      </c>
      <c r="AR11" s="519"/>
      <c r="AS11" s="950">
        <f>+'B-FCE'!AT94</f>
        <v>1145769.6273504274</v>
      </c>
    </row>
    <row r="12" spans="2:45" ht="15.75" thickBot="1" x14ac:dyDescent="0.3">
      <c r="B12" s="1459" t="s">
        <v>60</v>
      </c>
      <c r="C12" s="1460" t="s">
        <v>393</v>
      </c>
      <c r="D12" s="1446"/>
      <c r="E12" s="1444">
        <f>+SMS!F142</f>
        <v>612.97783553640352</v>
      </c>
      <c r="F12" s="1444"/>
      <c r="G12" s="1444">
        <f>+SMS!H142</f>
        <v>113.51534645788918</v>
      </c>
      <c r="H12" s="1445"/>
      <c r="I12" s="1445">
        <f>+SMS!J142</f>
        <v>726.49519891831494</v>
      </c>
      <c r="J12" s="1446"/>
      <c r="K12" s="1444">
        <f>+SMS!L142</f>
        <v>2146.0959787824063</v>
      </c>
      <c r="L12" s="1447"/>
      <c r="M12" s="1447">
        <f>+SMS!N142</f>
        <v>2872.5921993418378</v>
      </c>
      <c r="N12" s="1444"/>
      <c r="O12" s="1448">
        <f>+SMS!P142</f>
        <v>94.15087357961967</v>
      </c>
      <c r="P12" s="1449"/>
      <c r="Q12" s="1445">
        <f>+SMS!R142</f>
        <v>2966.7465484452805</v>
      </c>
      <c r="R12" s="1444"/>
      <c r="S12" s="1448">
        <f>+SMS!T142</f>
        <v>53.418751186968457</v>
      </c>
      <c r="T12" s="1445"/>
      <c r="U12" s="1445">
        <f>+SMS!V142</f>
        <v>3020.1646620938682</v>
      </c>
      <c r="V12" s="1446"/>
      <c r="W12" s="1448">
        <f>+SMS!X142</f>
        <v>2266.7068702989227</v>
      </c>
      <c r="X12" s="1447"/>
      <c r="Y12" s="1447">
        <f>+SMS!Z142</f>
        <v>2414.2689976652696</v>
      </c>
      <c r="Z12" s="1450"/>
      <c r="AA12" s="1450">
        <f>+SMS!AB142</f>
        <v>5286.8643908730464</v>
      </c>
      <c r="AB12" s="1446"/>
      <c r="AC12" s="1448">
        <f>+SMS!AD142</f>
        <v>2848.9563857604294</v>
      </c>
      <c r="AD12" s="1449"/>
      <c r="AE12" s="1445">
        <f>+SMS!AF142</f>
        <v>8939.3754257563269</v>
      </c>
      <c r="AF12" s="1444"/>
      <c r="AG12" s="1448">
        <f>+SMS!AH142</f>
        <v>921.875</v>
      </c>
      <c r="AH12" s="1449"/>
      <c r="AI12" s="1445">
        <f>+SMS!AJ142</f>
        <v>10121.266212332072</v>
      </c>
      <c r="AJ12" s="1446"/>
      <c r="AK12" s="1448">
        <f>+SMS!AL142</f>
        <v>1175.0037864024823</v>
      </c>
      <c r="AL12" s="1451"/>
      <c r="AM12" s="1447">
        <f>+SMS!AN142</f>
        <v>6340.8164659002996</v>
      </c>
      <c r="AN12" s="1445"/>
      <c r="AO12" s="1445">
        <f>+SMS!AP142</f>
        <v>11627.681293249911</v>
      </c>
      <c r="AP12" s="1446"/>
      <c r="AQ12" s="1448">
        <f>+SMS!AR142</f>
        <v>3437.5</v>
      </c>
      <c r="AR12" s="1449"/>
      <c r="AS12" s="1445">
        <f>+SMS!AT142</f>
        <v>16034.734901207052</v>
      </c>
    </row>
    <row r="13" spans="2:45" ht="15.75" thickBot="1" x14ac:dyDescent="0.3">
      <c r="B13" s="1461" t="s">
        <v>2</v>
      </c>
      <c r="C13" s="1462" t="s">
        <v>393</v>
      </c>
      <c r="D13" s="1453"/>
      <c r="E13" s="358">
        <f>SUM(E11:E12)</f>
        <v>60141.182963741529</v>
      </c>
      <c r="F13" s="358"/>
      <c r="G13" s="358">
        <f t="shared" ref="G13:AO13" si="2">SUM(G11:G12)</f>
        <v>58281.036713979258</v>
      </c>
      <c r="H13" s="1452"/>
      <c r="I13" s="1452">
        <f t="shared" si="2"/>
        <v>118422.22169464482</v>
      </c>
      <c r="J13" s="1453"/>
      <c r="K13" s="358">
        <f t="shared" si="2"/>
        <v>112100.28401297046</v>
      </c>
      <c r="L13" s="1454"/>
      <c r="M13" s="1454">
        <f t="shared" si="2"/>
        <v>230522.50672925639</v>
      </c>
      <c r="N13" s="358"/>
      <c r="O13" s="1455">
        <f t="shared" si="2"/>
        <v>115437.74061716936</v>
      </c>
      <c r="P13" s="1456"/>
      <c r="Q13" s="1452">
        <f t="shared" si="2"/>
        <v>345960.25082194956</v>
      </c>
      <c r="R13" s="358"/>
      <c r="S13" s="1455">
        <f t="shared" si="2"/>
        <v>116603.16234093056</v>
      </c>
      <c r="T13" s="1452"/>
      <c r="U13" s="1452">
        <f t="shared" si="2"/>
        <v>462563.41252534173</v>
      </c>
      <c r="V13" s="1453"/>
      <c r="W13" s="1455">
        <f t="shared" si="2"/>
        <v>126693.37353696558</v>
      </c>
      <c r="X13" s="1454"/>
      <c r="Y13" s="1454">
        <f t="shared" si="2"/>
        <v>358734.26899766526</v>
      </c>
      <c r="Z13" s="1457"/>
      <c r="AA13" s="1457">
        <f t="shared" si="2"/>
        <v>589256.7789207875</v>
      </c>
      <c r="AB13" s="1453"/>
      <c r="AC13" s="1455">
        <f t="shared" si="2"/>
        <v>169552.54612935014</v>
      </c>
      <c r="AD13" s="1456"/>
      <c r="AE13" s="1452">
        <f t="shared" si="2"/>
        <v>759612.87969926058</v>
      </c>
      <c r="AF13" s="358"/>
      <c r="AG13" s="1455">
        <f t="shared" si="2"/>
        <v>136921.875</v>
      </c>
      <c r="AH13" s="1456"/>
      <c r="AI13" s="1452">
        <f t="shared" si="2"/>
        <v>896794.77048583631</v>
      </c>
      <c r="AJ13" s="1453"/>
      <c r="AK13" s="1455">
        <f t="shared" si="2"/>
        <v>132023.00378640249</v>
      </c>
      <c r="AL13" s="1458"/>
      <c r="AM13" s="1454">
        <f t="shared" si="2"/>
        <v>439892.40620949003</v>
      </c>
      <c r="AN13" s="1452"/>
      <c r="AO13" s="384">
        <f t="shared" si="2"/>
        <v>1029149.1855667542</v>
      </c>
      <c r="AP13" s="1453"/>
      <c r="AQ13" s="1455">
        <f t="shared" ref="AQ13" si="3">SUM(AQ11:AQ12)</f>
        <v>131685.62307692308</v>
      </c>
      <c r="AR13" s="1456"/>
      <c r="AS13" s="1452">
        <f t="shared" ref="AS13" si="4">SUM(AS11:AS12)</f>
        <v>1161804.3622516345</v>
      </c>
    </row>
    <row r="15" spans="2:45" x14ac:dyDescent="0.25">
      <c r="B15" s="1430" t="s">
        <v>1251</v>
      </c>
    </row>
    <row r="16" spans="2:45" x14ac:dyDescent="0.25">
      <c r="B16" s="1394" t="s">
        <v>1260</v>
      </c>
      <c r="C16" s="1432" t="s">
        <v>393</v>
      </c>
      <c r="D16" s="236"/>
      <c r="E16" s="639">
        <f>+SINTER!F109</f>
        <v>236046.99795589744</v>
      </c>
      <c r="F16" s="639"/>
      <c r="G16" s="639">
        <f>+SINTER!H109</f>
        <v>208154.58110256409</v>
      </c>
      <c r="H16" s="950"/>
      <c r="I16" s="950">
        <f>+SINTER!J109</f>
        <v>444201.57905846147</v>
      </c>
      <c r="J16" s="236"/>
      <c r="K16" s="639">
        <f>+SINTER!L109</f>
        <v>317912.94808717945</v>
      </c>
      <c r="L16" s="952"/>
      <c r="M16" s="952">
        <f>+SINTER!N109</f>
        <v>762114.52714564081</v>
      </c>
      <c r="N16" s="639"/>
      <c r="O16" s="1123">
        <f>+SINTER!P109</f>
        <v>323627.09538974357</v>
      </c>
      <c r="P16" s="519"/>
      <c r="Q16" s="950">
        <f>+SINTER!R109</f>
        <v>1085741.6225353845</v>
      </c>
      <c r="R16" s="639"/>
      <c r="S16" s="1123">
        <f>+SINTER!T109</f>
        <v>313286.95939589746</v>
      </c>
      <c r="T16" s="950"/>
      <c r="U16" s="950">
        <f>+SINTER!V109</f>
        <v>1399028.5819312821</v>
      </c>
      <c r="V16" s="236"/>
      <c r="W16" s="1123">
        <f>+SINTER!X109</f>
        <v>292470.50967282045</v>
      </c>
      <c r="X16" s="952"/>
      <c r="Y16" s="952">
        <f>+SINTER!Z109</f>
        <v>929384.56445846136</v>
      </c>
      <c r="Z16" s="1434"/>
      <c r="AA16" s="1434">
        <f>+SINTER!AB109</f>
        <v>1691499.0916041026</v>
      </c>
      <c r="AB16" s="236"/>
      <c r="AC16" s="1123">
        <f>+SINTER!AD109</f>
        <v>314380.35013230768</v>
      </c>
      <c r="AD16" s="519"/>
      <c r="AE16" s="950">
        <f>+SINTER!AF109</f>
        <v>2005879.4417364101</v>
      </c>
      <c r="AF16" s="639"/>
      <c r="AG16" s="1123">
        <f>+SINTER!AH109</f>
        <v>298273.53575897432</v>
      </c>
      <c r="AH16" s="519"/>
      <c r="AI16" s="950">
        <f>+SINTER!AJ109</f>
        <v>2304152.9774953849</v>
      </c>
      <c r="AJ16" s="236"/>
      <c r="AK16" s="1123">
        <f>+SINTER!AL109</f>
        <v>326528.70239692309</v>
      </c>
      <c r="AL16" s="1435"/>
      <c r="AM16" s="952">
        <f>+SINTER!AN109</f>
        <v>939182.58828820521</v>
      </c>
      <c r="AN16" s="950"/>
      <c r="AO16" s="950">
        <f>+SINTER!AP109</f>
        <v>2630681.6798923081</v>
      </c>
      <c r="AP16" s="236"/>
      <c r="AQ16" s="1123">
        <f>+SINTER!AR109</f>
        <v>326068.76925641025</v>
      </c>
      <c r="AR16" s="519"/>
      <c r="AS16" s="950">
        <f>+SINTER!AT109</f>
        <v>2956750.4491487178</v>
      </c>
    </row>
    <row r="17" spans="2:46" ht="15.75" thickBot="1" x14ac:dyDescent="0.3">
      <c r="B17" s="1463" t="s">
        <v>1261</v>
      </c>
      <c r="C17" s="1460" t="s">
        <v>393</v>
      </c>
      <c r="D17" s="1446"/>
      <c r="E17" s="1444">
        <f>+SINTER!F114</f>
        <v>15004.646849158564</v>
      </c>
      <c r="F17" s="1444"/>
      <c r="G17" s="1444">
        <f>+SINTER!H114</f>
        <v>14564.58341117192</v>
      </c>
      <c r="H17" s="1445"/>
      <c r="I17" s="1445">
        <f>+SINTER!J114</f>
        <v>29569.230663715291</v>
      </c>
      <c r="J17" s="1446"/>
      <c r="K17" s="1444">
        <f>+SINTER!L114</f>
        <v>27917.766204303491</v>
      </c>
      <c r="L17" s="1447"/>
      <c r="M17" s="1447">
        <f>+SINTER!N114</f>
        <v>57486.997072347003</v>
      </c>
      <c r="N17" s="1444"/>
      <c r="O17" s="1448">
        <f>+SINTER!P114</f>
        <v>28854.727610613361</v>
      </c>
      <c r="P17" s="1449"/>
      <c r="Q17" s="1445">
        <f>+SINTER!R114</f>
        <v>86341.725378065123</v>
      </c>
      <c r="R17" s="1444"/>
      <c r="S17" s="1448">
        <f>+SINTER!T114</f>
        <v>29148.119647673291</v>
      </c>
      <c r="T17" s="1445"/>
      <c r="U17" s="1445">
        <f>+SINTER!V114</f>
        <v>115489.84489823075</v>
      </c>
      <c r="V17" s="1446"/>
      <c r="W17" s="1448">
        <f>+SINTER!X114</f>
        <v>31560.00804072645</v>
      </c>
      <c r="X17" s="1447"/>
      <c r="Y17" s="1447">
        <f>+SINTER!Z114</f>
        <v>89562.853799533055</v>
      </c>
      <c r="Z17" s="1450"/>
      <c r="AA17" s="1450">
        <f>+SINTER!AB114</f>
        <v>147049.8515106533</v>
      </c>
      <c r="AB17" s="1446"/>
      <c r="AC17" s="1448">
        <f>+SINTER!AD114</f>
        <v>41675.89743589743</v>
      </c>
      <c r="AD17" s="1449"/>
      <c r="AE17" s="1445">
        <f>+SINTER!AF114</f>
        <v>189456.25115352735</v>
      </c>
      <c r="AF17" s="1444"/>
      <c r="AG17" s="1448">
        <f>+SINTER!AH114</f>
        <v>34000</v>
      </c>
      <c r="AH17" s="1449"/>
      <c r="AI17" s="1445">
        <f>+SINTER!AJ114</f>
        <v>223692.62931084252</v>
      </c>
      <c r="AJ17" s="1446"/>
      <c r="AK17" s="1448">
        <f>+SINTER!AL114</f>
        <v>32712</v>
      </c>
      <c r="AL17" s="1451"/>
      <c r="AM17" s="1447">
        <f>+SINTER!AN114</f>
        <v>109656.06072907748</v>
      </c>
      <c r="AN17" s="1445"/>
      <c r="AO17" s="1445">
        <f>+SINTER!AP114</f>
        <v>256705.91232702608</v>
      </c>
      <c r="AP17" s="1446"/>
      <c r="AQ17" s="1448">
        <f>+SINTER!AR114</f>
        <v>32062.030769230772</v>
      </c>
      <c r="AR17" s="1449"/>
      <c r="AS17" s="1445">
        <f>+SINTER!AT114</f>
        <v>289649.35381784826</v>
      </c>
    </row>
    <row r="18" spans="2:46" ht="15.75" thickBot="1" x14ac:dyDescent="0.3">
      <c r="B18" s="1461" t="s">
        <v>1288</v>
      </c>
      <c r="C18" s="1462" t="s">
        <v>393</v>
      </c>
      <c r="D18" s="1453"/>
      <c r="E18" s="358">
        <f>+E16-E17</f>
        <v>221042.35110673888</v>
      </c>
      <c r="F18" s="358"/>
      <c r="G18" s="358">
        <f>+G16-G17</f>
        <v>193589.99769139217</v>
      </c>
      <c r="H18" s="1452"/>
      <c r="I18" s="1452">
        <f>+I16-I17</f>
        <v>414632.34839474619</v>
      </c>
      <c r="J18" s="1453"/>
      <c r="K18" s="358">
        <f>+K16-K17</f>
        <v>289995.18188287597</v>
      </c>
      <c r="L18" s="1454"/>
      <c r="M18" s="1454">
        <f>+M16-M17</f>
        <v>704627.53007329383</v>
      </c>
      <c r="N18" s="358"/>
      <c r="O18" s="1455">
        <f>+O16-O17</f>
        <v>294772.36777913023</v>
      </c>
      <c r="P18" s="1456"/>
      <c r="Q18" s="1452">
        <f>+Q16-Q17</f>
        <v>999399.89715731936</v>
      </c>
      <c r="R18" s="358"/>
      <c r="S18" s="1455">
        <f>+S16-S17</f>
        <v>284138.83974822419</v>
      </c>
      <c r="T18" s="1452"/>
      <c r="U18" s="1452">
        <f>+U16-U17</f>
        <v>1283538.7370330514</v>
      </c>
      <c r="V18" s="1453"/>
      <c r="W18" s="1455">
        <f>+W16-W17</f>
        <v>260910.501632094</v>
      </c>
      <c r="X18" s="1454"/>
      <c r="Y18" s="1454">
        <f>+Y16-Y17</f>
        <v>839821.71065892826</v>
      </c>
      <c r="Z18" s="1457"/>
      <c r="AA18" s="1457">
        <f>+AA16-AA17</f>
        <v>1544449.2400934494</v>
      </c>
      <c r="AB18" s="1453"/>
      <c r="AC18" s="1455">
        <f>+AC16-AC17</f>
        <v>272704.45269641024</v>
      </c>
      <c r="AD18" s="1456"/>
      <c r="AE18" s="1452">
        <f>+AE16-AE17</f>
        <v>1816423.1905828828</v>
      </c>
      <c r="AF18" s="358"/>
      <c r="AG18" s="1455">
        <f>+AG16-AG17</f>
        <v>264273.53575897432</v>
      </c>
      <c r="AH18" s="1456"/>
      <c r="AI18" s="1452">
        <f>+AI16-AI17</f>
        <v>2080460.3481845423</v>
      </c>
      <c r="AJ18" s="1453"/>
      <c r="AK18" s="1455">
        <f>+AK16-AK17</f>
        <v>293816.70239692309</v>
      </c>
      <c r="AL18" s="1458"/>
      <c r="AM18" s="1454">
        <f>+AM16-AM17</f>
        <v>829526.52755912778</v>
      </c>
      <c r="AN18" s="1452"/>
      <c r="AO18" s="384">
        <f>+AO16-AO17</f>
        <v>2373975.7675652821</v>
      </c>
      <c r="AP18" s="1453"/>
      <c r="AQ18" s="1455">
        <f>+AQ16-AQ17</f>
        <v>294006.73848717945</v>
      </c>
      <c r="AR18" s="1456"/>
      <c r="AS18" s="1452">
        <f>+AS16-AS17</f>
        <v>2667101.0953308698</v>
      </c>
    </row>
    <row r="20" spans="2:46" x14ac:dyDescent="0.25">
      <c r="B20" s="60" t="s">
        <v>956</v>
      </c>
    </row>
    <row r="21" spans="2:46" x14ac:dyDescent="0.25">
      <c r="B21" s="1394" t="s">
        <v>989</v>
      </c>
      <c r="C21" s="1432" t="s">
        <v>393</v>
      </c>
      <c r="D21" s="236"/>
      <c r="E21" s="639">
        <f>+LDCP!F48</f>
        <v>24323.037974683546</v>
      </c>
      <c r="F21" s="639"/>
      <c r="G21" s="639">
        <f>+LDCP!H48</f>
        <v>19610.126582278481</v>
      </c>
      <c r="H21" s="950"/>
      <c r="I21" s="950">
        <f>+LDCP!J48</f>
        <v>43933.164556962023</v>
      </c>
      <c r="J21" s="236"/>
      <c r="K21" s="639">
        <f>+LDCP!L48</f>
        <v>47091.645569620254</v>
      </c>
      <c r="L21" s="952"/>
      <c r="M21" s="952">
        <f>+LDCP!N48</f>
        <v>91024.810126582277</v>
      </c>
      <c r="N21" s="639"/>
      <c r="O21" s="1123">
        <f>+LDCP!P48</f>
        <v>42743.291139240508</v>
      </c>
      <c r="P21" s="519"/>
      <c r="Q21" s="950">
        <f>+LDCP!R48</f>
        <v>133768.1012658228</v>
      </c>
      <c r="R21" s="639"/>
      <c r="S21" s="1123">
        <f>+LDCP!T48</f>
        <v>41783.291139240508</v>
      </c>
      <c r="T21" s="950"/>
      <c r="U21" s="950">
        <f>+LDCP!V48</f>
        <v>175551.39240506329</v>
      </c>
      <c r="V21" s="236"/>
      <c r="W21" s="1123">
        <f>+LDCP!X48</f>
        <v>44912.405063291139</v>
      </c>
      <c r="X21" s="952"/>
      <c r="Y21" s="952">
        <f>+LDCP!Z48</f>
        <v>129438.98734177215</v>
      </c>
      <c r="Z21" s="1434"/>
      <c r="AA21" s="1434">
        <f>+LDCP!AB48</f>
        <v>220463.79746835443</v>
      </c>
      <c r="AB21" s="236"/>
      <c r="AC21" s="1123">
        <f>+LDCP!AD48</f>
        <v>49232.405063291131</v>
      </c>
      <c r="AD21" s="519"/>
      <c r="AE21" s="950">
        <f>+LDCP!AF48</f>
        <v>269696.2025316456</v>
      </c>
      <c r="AF21" s="639"/>
      <c r="AG21" s="1123">
        <f>+LDCP!AH48</f>
        <v>47283.037974683546</v>
      </c>
      <c r="AH21" s="519"/>
      <c r="AI21" s="950">
        <f>+LDCP!AJ48</f>
        <v>316979.24050632911</v>
      </c>
      <c r="AJ21" s="236"/>
      <c r="AK21" s="1123" t="e">
        <f>+LDCP!#REF!</f>
        <v>#REF!</v>
      </c>
      <c r="AL21" s="1435"/>
      <c r="AM21" s="952" t="e">
        <f>+LDCP!#REF!</f>
        <v>#REF!</v>
      </c>
      <c r="AN21" s="950"/>
      <c r="AO21" s="950" t="e">
        <f>+LDCP!#REF!</f>
        <v>#REF!</v>
      </c>
      <c r="AP21" s="236"/>
      <c r="AQ21" s="1123" t="e">
        <f>+LDCP!#REF!</f>
        <v>#REF!</v>
      </c>
      <c r="AR21" s="519"/>
      <c r="AS21" s="950" t="e">
        <f>+LDCP!#REF!</f>
        <v>#REF!</v>
      </c>
    </row>
    <row r="22" spans="2:46" ht="15.75" thickBot="1" x14ac:dyDescent="0.3">
      <c r="B22" s="1463" t="s">
        <v>1264</v>
      </c>
      <c r="C22" s="1460" t="s">
        <v>393</v>
      </c>
      <c r="D22" s="1446"/>
      <c r="E22" s="1444">
        <f>+SINTER!F122</f>
        <v>17699.94454987342</v>
      </c>
      <c r="F22" s="1444"/>
      <c r="G22" s="1444">
        <f>+SINTER!H122</f>
        <v>19755.651212151897</v>
      </c>
      <c r="H22" s="1445"/>
      <c r="I22" s="1445">
        <f>+SINTER!J122</f>
        <v>37455.595762025318</v>
      </c>
      <c r="J22" s="1446"/>
      <c r="K22" s="1444">
        <f>+SINTER!L122</f>
        <v>27028.60608708861</v>
      </c>
      <c r="L22" s="1447"/>
      <c r="M22" s="1447">
        <f>+SINTER!N122</f>
        <v>64484.201849113924</v>
      </c>
      <c r="N22" s="1444"/>
      <c r="O22" s="1448">
        <f>+SINTER!P122</f>
        <v>31772.756172151901</v>
      </c>
      <c r="P22" s="1449"/>
      <c r="Q22" s="1445">
        <f>+SINTER!R122</f>
        <v>96256.958021265818</v>
      </c>
      <c r="R22" s="1444"/>
      <c r="S22" s="1448">
        <f>+SINTER!T122</f>
        <v>28674.292381772153</v>
      </c>
      <c r="T22" s="1445"/>
      <c r="U22" s="1445">
        <f>+SINTER!V122</f>
        <v>124931.25040303798</v>
      </c>
      <c r="V22" s="1446"/>
      <c r="W22" s="1448">
        <f>+SINTER!X122</f>
        <v>25694.276988354432</v>
      </c>
      <c r="X22" s="1447"/>
      <c r="Y22" s="1447">
        <f>+SINTER!Z122</f>
        <v>86141.325542278486</v>
      </c>
      <c r="Z22" s="1450"/>
      <c r="AA22" s="1450">
        <f>+SINTER!AB122</f>
        <v>150625.52739139239</v>
      </c>
      <c r="AB22" s="1446"/>
      <c r="AC22" s="1448">
        <f>+SINTER!AD122</f>
        <v>36640.659274936705</v>
      </c>
      <c r="AD22" s="1449"/>
      <c r="AE22" s="1445">
        <f>+SINTER!AF122</f>
        <v>187266.1866663291</v>
      </c>
      <c r="AF22" s="1444"/>
      <c r="AG22" s="1448">
        <f>+SINTER!AH122</f>
        <v>30408.810872911392</v>
      </c>
      <c r="AH22" s="1449"/>
      <c r="AI22" s="1445">
        <f>+SINTER!AJ122</f>
        <v>217674.99753924052</v>
      </c>
      <c r="AJ22" s="1446"/>
      <c r="AK22" s="1448">
        <f>+SINTER!AL122</f>
        <v>39496.704679493669</v>
      </c>
      <c r="AL22" s="1451"/>
      <c r="AM22" s="1447">
        <f>+SINTER!AN122</f>
        <v>106546.17482734178</v>
      </c>
      <c r="AN22" s="1445"/>
      <c r="AO22" s="1445">
        <f>+SINTER!AP122</f>
        <v>257171.70221873416</v>
      </c>
      <c r="AP22" s="1446"/>
      <c r="AQ22" s="1448">
        <f>+SINTER!AR122</f>
        <v>29772.315887594938</v>
      </c>
      <c r="AR22" s="1449"/>
      <c r="AS22" s="1445">
        <f>+SINTER!AT122</f>
        <v>286944.01810632914</v>
      </c>
    </row>
    <row r="23" spans="2:46" ht="15.75" thickBot="1" x14ac:dyDescent="0.3">
      <c r="B23" s="1461" t="s">
        <v>23</v>
      </c>
      <c r="C23" s="1462" t="s">
        <v>393</v>
      </c>
      <c r="D23" s="1453"/>
      <c r="E23" s="358">
        <f>SUM(E21:E22)</f>
        <v>42022.982524556966</v>
      </c>
      <c r="F23" s="358"/>
      <c r="G23" s="358">
        <f t="shared" ref="G23:AO23" si="5">SUM(G21:G22)</f>
        <v>39365.777794430382</v>
      </c>
      <c r="H23" s="1452"/>
      <c r="I23" s="1452">
        <f t="shared" si="5"/>
        <v>81388.760318987333</v>
      </c>
      <c r="J23" s="1453"/>
      <c r="K23" s="358">
        <f t="shared" si="5"/>
        <v>74120.251656708861</v>
      </c>
      <c r="L23" s="1454"/>
      <c r="M23" s="1454">
        <f t="shared" si="5"/>
        <v>155509.01197569619</v>
      </c>
      <c r="N23" s="358"/>
      <c r="O23" s="1455">
        <f t="shared" si="5"/>
        <v>74516.047311392409</v>
      </c>
      <c r="P23" s="1456"/>
      <c r="Q23" s="1452">
        <f t="shared" si="5"/>
        <v>230025.05928708863</v>
      </c>
      <c r="R23" s="358"/>
      <c r="S23" s="1455">
        <f t="shared" si="5"/>
        <v>70457.583521012653</v>
      </c>
      <c r="T23" s="1452"/>
      <c r="U23" s="1452">
        <f t="shared" si="5"/>
        <v>300482.64280810126</v>
      </c>
      <c r="V23" s="1453"/>
      <c r="W23" s="1455">
        <f t="shared" si="5"/>
        <v>70606.682051645563</v>
      </c>
      <c r="X23" s="1454"/>
      <c r="Y23" s="1454">
        <f t="shared" si="5"/>
        <v>215580.31288405065</v>
      </c>
      <c r="Z23" s="1457"/>
      <c r="AA23" s="1457">
        <f t="shared" si="5"/>
        <v>371089.32485974685</v>
      </c>
      <c r="AB23" s="1453"/>
      <c r="AC23" s="1455">
        <f t="shared" si="5"/>
        <v>85873.064338227836</v>
      </c>
      <c r="AD23" s="1456"/>
      <c r="AE23" s="1452">
        <f t="shared" si="5"/>
        <v>456962.3891979747</v>
      </c>
      <c r="AF23" s="358"/>
      <c r="AG23" s="1455">
        <f t="shared" si="5"/>
        <v>77691.848847594942</v>
      </c>
      <c r="AH23" s="1456"/>
      <c r="AI23" s="1452">
        <f t="shared" si="5"/>
        <v>534654.23804556963</v>
      </c>
      <c r="AJ23" s="1453"/>
      <c r="AK23" s="1455" t="e">
        <f t="shared" si="5"/>
        <v>#REF!</v>
      </c>
      <c r="AL23" s="1458"/>
      <c r="AM23" s="1454" t="e">
        <f t="shared" si="5"/>
        <v>#REF!</v>
      </c>
      <c r="AN23" s="1452"/>
      <c r="AO23" s="384" t="e">
        <f t="shared" si="5"/>
        <v>#REF!</v>
      </c>
      <c r="AP23" s="1453"/>
      <c r="AQ23" s="1455" t="e">
        <f t="shared" ref="AQ23" si="6">SUM(AQ21:AQ22)</f>
        <v>#REF!</v>
      </c>
      <c r="AR23" s="1456"/>
      <c r="AS23" s="1452" t="e">
        <f t="shared" ref="AS23" si="7">SUM(AS21:AS22)</f>
        <v>#REF!</v>
      </c>
    </row>
    <row r="24" spans="2:46" x14ac:dyDescent="0.25">
      <c r="AT24" s="1465"/>
    </row>
    <row r="25" spans="2:46" x14ac:dyDescent="0.25">
      <c r="B25" s="60" t="s">
        <v>955</v>
      </c>
      <c r="AT25" s="1465"/>
    </row>
    <row r="26" spans="2:46" x14ac:dyDescent="0.25">
      <c r="B26" s="1394" t="s">
        <v>1263</v>
      </c>
      <c r="C26" s="1432" t="s">
        <v>393</v>
      </c>
      <c r="D26" s="236"/>
      <c r="E26" s="639">
        <f>+LDCP!F56</f>
        <v>5118.9873417721519</v>
      </c>
      <c r="F26" s="639"/>
      <c r="G26" s="639">
        <f>+LDCP!H56</f>
        <v>5550.3797468354433</v>
      </c>
      <c r="H26" s="950"/>
      <c r="I26" s="950">
        <f>+LDCP!J56</f>
        <v>10669.367088607594</v>
      </c>
      <c r="J26" s="236"/>
      <c r="K26" s="639">
        <f>+LDCP!L56</f>
        <v>13478.481012658227</v>
      </c>
      <c r="L26" s="952"/>
      <c r="M26" s="952">
        <f>+LDCP!N56</f>
        <v>24147.848101265823</v>
      </c>
      <c r="N26" s="639"/>
      <c r="O26" s="1123">
        <f>+LDCP!P56</f>
        <v>14038.481012658227</v>
      </c>
      <c r="P26" s="519"/>
      <c r="Q26" s="950">
        <f>+LDCP!R56</f>
        <v>38186.329113924054</v>
      </c>
      <c r="R26" s="639"/>
      <c r="S26" s="1123">
        <f>+LDCP!T56</f>
        <v>9438.9873417721519</v>
      </c>
      <c r="T26" s="950"/>
      <c r="U26" s="950">
        <f>+LDCP!V56</f>
        <v>47625.3164556962</v>
      </c>
      <c r="V26" s="236"/>
      <c r="W26" s="1123">
        <f>+LDCP!X56</f>
        <v>12187.341772151898</v>
      </c>
      <c r="X26" s="952"/>
      <c r="Y26" s="952">
        <f>+LDCP!Z56</f>
        <v>35664.810126582277</v>
      </c>
      <c r="Z26" s="1434"/>
      <c r="AA26" s="1434">
        <f>+LDCP!AB56</f>
        <v>59812.658227848093</v>
      </c>
      <c r="AB26" s="236"/>
      <c r="AC26" s="1123">
        <f>+LDCP!AD56</f>
        <v>14177.215189873417</v>
      </c>
      <c r="AD26" s="519"/>
      <c r="AE26" s="950">
        <f>+LDCP!AF56</f>
        <v>73989.873417721523</v>
      </c>
      <c r="AF26" s="639"/>
      <c r="AG26" s="1123">
        <f>+LDCP!AH56</f>
        <v>11848.101265822785</v>
      </c>
      <c r="AH26" s="519"/>
      <c r="AI26" s="950">
        <f>+LDCP!AJ56</f>
        <v>85837.974683544307</v>
      </c>
      <c r="AJ26" s="236"/>
      <c r="AK26" s="1123" t="e">
        <f>+LDCP!#REF!</f>
        <v>#REF!</v>
      </c>
      <c r="AL26" s="1435"/>
      <c r="AM26" s="952" t="e">
        <f>+LDCP!#REF!</f>
        <v>#REF!</v>
      </c>
      <c r="AN26" s="950"/>
      <c r="AO26" s="950" t="e">
        <f>+LDCP!#REF!</f>
        <v>#REF!</v>
      </c>
      <c r="AP26" s="236"/>
      <c r="AQ26" s="1123" t="e">
        <f>+LDCP!#REF!</f>
        <v>#REF!</v>
      </c>
      <c r="AR26" s="519"/>
      <c r="AS26" s="950" t="e">
        <f>+LDCP!#REF!</f>
        <v>#REF!</v>
      </c>
    </row>
    <row r="27" spans="2:46" ht="15.75" thickBot="1" x14ac:dyDescent="0.3">
      <c r="B27" s="1463" t="s">
        <v>1265</v>
      </c>
      <c r="C27" s="1460" t="s">
        <v>393</v>
      </c>
      <c r="D27" s="1446"/>
      <c r="E27" s="1444">
        <f>+SINTER!F128</f>
        <v>41840.630656202535</v>
      </c>
      <c r="F27" s="1444"/>
      <c r="G27" s="1444">
        <f>+SINTER!H128</f>
        <v>33081.829664810124</v>
      </c>
      <c r="H27" s="1445"/>
      <c r="I27" s="1445">
        <f>+SINTER!J128</f>
        <v>74922.460321012652</v>
      </c>
      <c r="J27" s="1446"/>
      <c r="K27" s="1444">
        <f>+SINTER!L128</f>
        <v>54310.045024810126</v>
      </c>
      <c r="L27" s="1447"/>
      <c r="M27" s="1447">
        <f>+SINTER!N128</f>
        <v>129232.50534582279</v>
      </c>
      <c r="N27" s="1444"/>
      <c r="O27" s="1448">
        <f>+SINTER!P128</f>
        <v>52673.318760506329</v>
      </c>
      <c r="P27" s="1449"/>
      <c r="Q27" s="1445">
        <f>+SINTER!R128</f>
        <v>181905.82410632912</v>
      </c>
      <c r="R27" s="1444"/>
      <c r="S27" s="1448">
        <f>+SINTER!T128</f>
        <v>47369.945156455695</v>
      </c>
      <c r="T27" s="1445"/>
      <c r="U27" s="1445">
        <f>+SINTER!V128</f>
        <v>229275.7692627848</v>
      </c>
      <c r="V27" s="1446"/>
      <c r="W27" s="1448">
        <f>+SINTER!X128</f>
        <v>43155.820280506327</v>
      </c>
      <c r="X27" s="1447"/>
      <c r="Y27" s="1447">
        <f>+SINTER!Z128</f>
        <v>143199.08419746836</v>
      </c>
      <c r="Z27" s="1450"/>
      <c r="AA27" s="1450">
        <f>+SINTER!AB128</f>
        <v>272431.58954329119</v>
      </c>
      <c r="AB27" s="1446"/>
      <c r="AC27" s="1448">
        <f>+SINTER!AD128</f>
        <v>45442.560279493671</v>
      </c>
      <c r="AD27" s="1449"/>
      <c r="AE27" s="1445">
        <f>+SINTER!AF128</f>
        <v>317874.14982278476</v>
      </c>
      <c r="AF27" s="1444"/>
      <c r="AG27" s="1448">
        <f>+SINTER!AH128</f>
        <v>44624.686938734179</v>
      </c>
      <c r="AH27" s="1449"/>
      <c r="AI27" s="1445">
        <f>+SINTER!AJ128</f>
        <v>362498.83676151896</v>
      </c>
      <c r="AJ27" s="1446"/>
      <c r="AK27" s="1448">
        <f>+SINTER!AL128</f>
        <v>45718.320953924049</v>
      </c>
      <c r="AL27" s="1451"/>
      <c r="AM27" s="1447">
        <f>+SINTER!AN128</f>
        <v>135785.56817215189</v>
      </c>
      <c r="AN27" s="1445"/>
      <c r="AO27" s="1445">
        <f>+SINTER!AP128</f>
        <v>408217.157715443</v>
      </c>
      <c r="AP27" s="1446"/>
      <c r="AQ27" s="1448">
        <f>+SINTER!AR128</f>
        <v>44319.913154430375</v>
      </c>
      <c r="AR27" s="1449"/>
      <c r="AS27" s="1445">
        <f>+SINTER!AT128</f>
        <v>452537.07086987339</v>
      </c>
    </row>
    <row r="28" spans="2:46" ht="15.75" thickBot="1" x14ac:dyDescent="0.3">
      <c r="B28" s="1461" t="s">
        <v>23</v>
      </c>
      <c r="C28" s="1462" t="s">
        <v>393</v>
      </c>
      <c r="D28" s="1453"/>
      <c r="E28" s="358">
        <f>SUM(E26:E27)</f>
        <v>46959.617997974688</v>
      </c>
      <c r="F28" s="358"/>
      <c r="G28" s="358">
        <f>SUM(G26:G27)</f>
        <v>38632.20941164557</v>
      </c>
      <c r="H28" s="1452"/>
      <c r="I28" s="1452">
        <f>SUM(I26:I27)</f>
        <v>85591.827409620251</v>
      </c>
      <c r="J28" s="1453"/>
      <c r="K28" s="358">
        <f>SUM(K26:K27)</f>
        <v>67788.526037468357</v>
      </c>
      <c r="L28" s="1454"/>
      <c r="M28" s="1454">
        <f>SUM(M26:M27)</f>
        <v>153380.35344708862</v>
      </c>
      <c r="N28" s="358"/>
      <c r="O28" s="1455">
        <f>SUM(O26:O27)</f>
        <v>66711.799773164559</v>
      </c>
      <c r="P28" s="1456"/>
      <c r="Q28" s="1452">
        <f>SUM(Q26:Q27)</f>
        <v>220092.15322025318</v>
      </c>
      <c r="R28" s="358"/>
      <c r="S28" s="1455">
        <f>SUM(S26:S27)</f>
        <v>56808.932498227849</v>
      </c>
      <c r="T28" s="1452"/>
      <c r="U28" s="1452">
        <f>SUM(U26:U27)</f>
        <v>276901.08571848099</v>
      </c>
      <c r="V28" s="1453"/>
      <c r="W28" s="1455">
        <f>SUM(W26:W27)</f>
        <v>55343.162052658226</v>
      </c>
      <c r="X28" s="1454"/>
      <c r="Y28" s="1454">
        <f>SUM(Y26:Y27)</f>
        <v>178863.89432405063</v>
      </c>
      <c r="Z28" s="1457"/>
      <c r="AA28" s="1457">
        <f>SUM(AA26:AA27)</f>
        <v>332244.24777113926</v>
      </c>
      <c r="AB28" s="1453"/>
      <c r="AC28" s="1455">
        <f>SUM(AC26:AC27)</f>
        <v>59619.775469367087</v>
      </c>
      <c r="AD28" s="1456"/>
      <c r="AE28" s="1452">
        <f>SUM(AE26:AE27)</f>
        <v>391864.0232405063</v>
      </c>
      <c r="AF28" s="358"/>
      <c r="AG28" s="1455">
        <f>SUM(AG26:AG27)</f>
        <v>56472.788204556964</v>
      </c>
      <c r="AH28" s="1456"/>
      <c r="AI28" s="1452">
        <f>SUM(AI26:AI27)</f>
        <v>448336.81144506327</v>
      </c>
      <c r="AJ28" s="1453"/>
      <c r="AK28" s="1455" t="e">
        <f>SUM(AK26:AK27)</f>
        <v>#REF!</v>
      </c>
      <c r="AL28" s="1458"/>
      <c r="AM28" s="1454" t="e">
        <f>SUM(AM26:AM27)</f>
        <v>#REF!</v>
      </c>
      <c r="AN28" s="1452"/>
      <c r="AO28" s="384" t="e">
        <f>SUM(AO26:AO27)</f>
        <v>#REF!</v>
      </c>
      <c r="AP28" s="1453"/>
      <c r="AQ28" s="1455" t="e">
        <f>SUM(AQ26:AQ27)</f>
        <v>#REF!</v>
      </c>
      <c r="AR28" s="1456"/>
      <c r="AS28" s="1452" t="e">
        <f>SUM(AS26:AS27)</f>
        <v>#REF!</v>
      </c>
    </row>
    <row r="30" spans="2:46" ht="15.75" thickBot="1" x14ac:dyDescent="0.3">
      <c r="B30" s="60" t="s">
        <v>6</v>
      </c>
    </row>
    <row r="31" spans="2:46" ht="15.75" thickBot="1" x14ac:dyDescent="0.3">
      <c r="B31" s="1464" t="s">
        <v>1266</v>
      </c>
      <c r="C31" s="1462" t="s">
        <v>393</v>
      </c>
      <c r="D31" s="1416"/>
      <c r="E31" s="358">
        <f>+'B-FCE'!F118</f>
        <v>3809.6202531645567</v>
      </c>
      <c r="F31" s="358"/>
      <c r="G31" s="358">
        <f>+'B-FCE'!H118</f>
        <v>4172.1518987341769</v>
      </c>
      <c r="H31" s="1452"/>
      <c r="I31" s="1452">
        <f>+'B-FCE'!J118</f>
        <v>7981.7721518987346</v>
      </c>
      <c r="J31" s="1453"/>
      <c r="K31" s="358">
        <f>+'B-FCE'!L118</f>
        <v>2392.9113924050635</v>
      </c>
      <c r="L31" s="1454"/>
      <c r="M31" s="1454">
        <f>+'B-FCE'!N118</f>
        <v>10374.683544303798</v>
      </c>
      <c r="N31" s="358"/>
      <c r="O31" s="1455">
        <f>+'B-FCE'!P118</f>
        <v>3663.7974683544303</v>
      </c>
      <c r="P31" s="1456"/>
      <c r="Q31" s="1452">
        <f>+'B-FCE'!R118</f>
        <v>14038.481012658227</v>
      </c>
      <c r="R31" s="358"/>
      <c r="S31" s="1455">
        <f>+'B-FCE'!T118</f>
        <v>3156.4556962025317</v>
      </c>
      <c r="T31" s="1452"/>
      <c r="U31" s="1452">
        <f>+'B-FCE'!V118</f>
        <v>17194.936708860761</v>
      </c>
      <c r="V31" s="1453"/>
      <c r="W31" s="1455">
        <f>+'B-FCE'!X118</f>
        <v>3044.0506329113923</v>
      </c>
      <c r="X31" s="1454"/>
      <c r="Y31" s="1454">
        <f>+'B-FCE'!Z118</f>
        <v>9864.3037974683539</v>
      </c>
      <c r="Z31" s="1457"/>
      <c r="AA31" s="1457">
        <f>+'B-FCE'!AB118</f>
        <v>20238.98734177215</v>
      </c>
      <c r="AB31" s="1453"/>
      <c r="AC31" s="1455">
        <f>+'B-FCE'!AD118</f>
        <v>150.8860759493671</v>
      </c>
      <c r="AD31" s="1456"/>
      <c r="AE31" s="1452">
        <f>+'B-FCE'!AF118</f>
        <v>30366.582278481012</v>
      </c>
      <c r="AF31" s="358"/>
      <c r="AG31" s="1455">
        <f>+'B-FCE'!AH118</f>
        <v>1695.1898734177216</v>
      </c>
      <c r="AH31" s="1456"/>
      <c r="AI31" s="1452">
        <f>+'B-FCE'!AJ118</f>
        <v>14754.430379746835</v>
      </c>
      <c r="AJ31" s="1453"/>
      <c r="AK31" s="1455">
        <f>+'B-FCE'!AL118</f>
        <v>857.13797468354448</v>
      </c>
      <c r="AL31" s="1458"/>
      <c r="AM31" s="1454">
        <f>+'B-FCE'!AN118</f>
        <v>2703.2139240506331</v>
      </c>
      <c r="AN31" s="1452"/>
      <c r="AO31" s="384">
        <f>+'B-FCE'!AP118</f>
        <v>22942.201265822787</v>
      </c>
      <c r="AP31" s="1453"/>
      <c r="AQ31" s="1455">
        <f>+'B-FCE'!AR118</f>
        <v>642.57987341772161</v>
      </c>
      <c r="AR31" s="1456"/>
      <c r="AS31" s="1452">
        <f>+'B-FCE'!AT118</f>
        <v>19795.414050632913</v>
      </c>
    </row>
    <row r="32" spans="2:46" x14ac:dyDescent="0.25">
      <c r="N32" s="1386"/>
      <c r="O32" s="1386"/>
      <c r="P32" s="1386"/>
      <c r="Q32" s="1386"/>
    </row>
    <row r="33" spans="2:45" ht="15.75" thickBot="1" x14ac:dyDescent="0.3">
      <c r="B33" s="60" t="s">
        <v>139</v>
      </c>
      <c r="N33" s="1386"/>
      <c r="O33" s="1386"/>
      <c r="P33" s="1386"/>
      <c r="Q33" s="1386"/>
    </row>
    <row r="34" spans="2:45" ht="15.75" thickBot="1" x14ac:dyDescent="0.3">
      <c r="B34" s="1464" t="s">
        <v>1266</v>
      </c>
      <c r="C34" s="1462" t="s">
        <v>393</v>
      </c>
      <c r="D34" s="1416"/>
      <c r="E34" s="358">
        <f>+'B-FCE'!F106</f>
        <v>14689.690721649484</v>
      </c>
      <c r="F34" s="358"/>
      <c r="G34" s="358">
        <f>+'B-FCE'!H106</f>
        <v>12431.958762886597</v>
      </c>
      <c r="H34" s="1452"/>
      <c r="I34" s="1452">
        <f>+'B-FCE'!J106</f>
        <v>27121.649484536083</v>
      </c>
      <c r="J34" s="1453"/>
      <c r="K34" s="358">
        <f>+'B-FCE'!L106</f>
        <v>27660.82474226804</v>
      </c>
      <c r="L34" s="1454"/>
      <c r="M34" s="1454">
        <f>+'B-FCE'!N106</f>
        <v>54782.474226804123</v>
      </c>
      <c r="N34" s="358"/>
      <c r="O34" s="1455">
        <f>+'B-FCE'!P106</f>
        <v>23462.886597938144</v>
      </c>
      <c r="P34" s="1456"/>
      <c r="Q34" s="1452">
        <f>+'B-FCE'!R106</f>
        <v>78245.360824742267</v>
      </c>
      <c r="R34" s="358"/>
      <c r="S34" s="1455">
        <f>+'B-FCE'!T106</f>
        <v>30250.515463917527</v>
      </c>
      <c r="T34" s="1452"/>
      <c r="U34" s="1452">
        <f>+'B-FCE'!V106</f>
        <v>108495.8762886598</v>
      </c>
      <c r="V34" s="1453"/>
      <c r="W34" s="1455">
        <f>+'B-FCE'!X106</f>
        <v>30815.463917525773</v>
      </c>
      <c r="X34" s="1454"/>
      <c r="Y34" s="1454">
        <f>+'B-FCE'!Z106</f>
        <v>84528.865979381444</v>
      </c>
      <c r="Z34" s="1457"/>
      <c r="AA34" s="1457">
        <f>+'B-FCE'!AB106</f>
        <v>139311.34020618556</v>
      </c>
      <c r="AB34" s="1453"/>
      <c r="AC34" s="1455">
        <f>+'B-FCE'!AD106</f>
        <v>33178.350515463921</v>
      </c>
      <c r="AD34" s="1456"/>
      <c r="AE34" s="1452">
        <f>+'B-FCE'!AF106</f>
        <v>256453.60824742267</v>
      </c>
      <c r="AF34" s="358"/>
      <c r="AG34" s="1455">
        <f>+'B-FCE'!AH106</f>
        <v>26047.422680412372</v>
      </c>
      <c r="AH34" s="1456"/>
      <c r="AI34" s="1452">
        <f>+'B-FCE'!AJ106</f>
        <v>174570.10309278351</v>
      </c>
      <c r="AJ34" s="1453"/>
      <c r="AK34" s="1455">
        <f>+'B-FCE'!AL106</f>
        <v>31832.700141566791</v>
      </c>
      <c r="AL34" s="1458"/>
      <c r="AM34" s="1454">
        <f>+'B-FCE'!AN106</f>
        <v>91058.47333744308</v>
      </c>
      <c r="AN34" s="1452"/>
      <c r="AO34" s="384">
        <f>+'B-FCE'!AP106</f>
        <v>230369.81354362864</v>
      </c>
      <c r="AP34" s="1453"/>
      <c r="AQ34" s="1455">
        <f>+'B-FCE'!AR106</f>
        <v>33709.238277454235</v>
      </c>
      <c r="AR34" s="1456"/>
      <c r="AS34" s="1452">
        <f>+'B-FCE'!AT106</f>
        <v>325385.2373880932</v>
      </c>
    </row>
    <row r="35" spans="2:45" x14ac:dyDescent="0.25">
      <c r="N35" s="1386"/>
      <c r="O35" s="1386"/>
      <c r="P35" s="1386"/>
      <c r="Q35" s="1386"/>
    </row>
    <row r="36" spans="2:45" ht="15.75" thickBot="1" x14ac:dyDescent="0.3">
      <c r="B36" s="60" t="s">
        <v>128</v>
      </c>
      <c r="N36" s="1386"/>
      <c r="O36" s="1386"/>
      <c r="P36" s="1386"/>
      <c r="Q36" s="1386"/>
    </row>
    <row r="37" spans="2:45" ht="15.75" thickBot="1" x14ac:dyDescent="0.3">
      <c r="B37" s="1464" t="s">
        <v>1266</v>
      </c>
      <c r="C37" s="1462" t="s">
        <v>393</v>
      </c>
      <c r="D37" s="1416"/>
      <c r="E37" s="358">
        <f>+LDCP!F61</f>
        <v>15862.537552573602</v>
      </c>
      <c r="F37" s="358"/>
      <c r="G37" s="358">
        <f>+LDCP!H61</f>
        <v>6771.2746789342527</v>
      </c>
      <c r="H37" s="1452"/>
      <c r="I37" s="1452">
        <f>+LDCP!J61</f>
        <v>21579.032321253675</v>
      </c>
      <c r="J37" s="1453"/>
      <c r="K37" s="358">
        <f>+LDCP!L61</f>
        <v>20057.339353853982</v>
      </c>
      <c r="L37" s="1454"/>
      <c r="M37" s="1454">
        <f>+LDCP!N61</f>
        <v>41015.670394077271</v>
      </c>
      <c r="N37" s="358"/>
      <c r="O37" s="1455">
        <f>+LDCP!P61</f>
        <v>18795.987780344236</v>
      </c>
      <c r="P37" s="1456"/>
      <c r="Q37" s="1452">
        <f>+LDCP!R61</f>
        <v>59771.138610087663</v>
      </c>
      <c r="R37" s="358"/>
      <c r="S37" s="1455">
        <f>+LDCP!T61</f>
        <v>20179.724400961779</v>
      </c>
      <c r="T37" s="1452"/>
      <c r="U37" s="1452">
        <f>+LDCP!V61</f>
        <v>79920.867978839276</v>
      </c>
      <c r="V37" s="1453"/>
      <c r="W37" s="1455">
        <f>+LDCP!X61</f>
        <v>18420.395019455253</v>
      </c>
      <c r="X37" s="1454"/>
      <c r="Y37" s="1454">
        <f>+LDCP!Z61</f>
        <v>57307.230199311278</v>
      </c>
      <c r="Z37" s="1457"/>
      <c r="AA37" s="1457">
        <f>+LDCP!AB61</f>
        <v>98321.992935611372</v>
      </c>
      <c r="AB37" s="1453"/>
      <c r="AC37" s="1455">
        <f>+LDCP!AD61</f>
        <v>21711.044006519485</v>
      </c>
      <c r="AD37" s="1456"/>
      <c r="AE37" s="1452">
        <f>+LDCP!AF61</f>
        <v>120022.0767964611</v>
      </c>
      <c r="AF37" s="358"/>
      <c r="AG37" s="1455">
        <f>+LDCP!AH61</f>
        <v>19396.648752399233</v>
      </c>
      <c r="AH37" s="1456"/>
      <c r="AI37" s="1452">
        <f>+LDCP!AJ61</f>
        <v>139421.69668131601</v>
      </c>
      <c r="AJ37" s="1453"/>
      <c r="AK37" s="1455" t="e">
        <f>+LDCP!#REF!</f>
        <v>#REF!</v>
      </c>
      <c r="AL37" s="1458"/>
      <c r="AM37" s="1454" t="e">
        <f>+LDCP!#REF!</f>
        <v>#REF!</v>
      </c>
      <c r="AN37" s="1452"/>
      <c r="AO37" s="384" t="e">
        <f>+LDCP!#REF!</f>
        <v>#REF!</v>
      </c>
      <c r="AP37" s="1453"/>
      <c r="AQ37" s="1455" t="e">
        <f>+LDCP!#REF!</f>
        <v>#REF!</v>
      </c>
      <c r="AR37" s="1456"/>
      <c r="AS37" s="1452" t="e">
        <f>+LDCP!#REF!</f>
        <v>#REF!</v>
      </c>
    </row>
    <row r="38" spans="2:45" x14ac:dyDescent="0.25">
      <c r="N38" s="1386"/>
      <c r="O38" s="1386"/>
      <c r="P38" s="1386"/>
      <c r="Q38" s="1386"/>
    </row>
    <row r="39" spans="2:45" ht="15.75" thickBot="1" x14ac:dyDescent="0.3">
      <c r="B39" s="60" t="s">
        <v>606</v>
      </c>
      <c r="N39" s="1386"/>
      <c r="O39" s="1386"/>
      <c r="P39" s="1386"/>
      <c r="Q39" s="1386"/>
    </row>
    <row r="40" spans="2:45" ht="15.75" thickBot="1" x14ac:dyDescent="0.3">
      <c r="B40" s="1464" t="s">
        <v>1266</v>
      </c>
      <c r="C40" s="1462" t="s">
        <v>393</v>
      </c>
      <c r="D40" s="1416"/>
      <c r="E40" s="358">
        <f>+LDCP!F66</f>
        <v>3301.7335243553007</v>
      </c>
      <c r="F40" s="358"/>
      <c r="G40" s="358">
        <f>+LDCP!H66</f>
        <v>4062.0849220103987</v>
      </c>
      <c r="H40" s="1452"/>
      <c r="I40" s="1452">
        <f>+LDCP!J66</f>
        <v>7192.6133149361849</v>
      </c>
      <c r="J40" s="1453"/>
      <c r="K40" s="358">
        <f>+LDCP!L66</f>
        <v>5165.337482979965</v>
      </c>
      <c r="L40" s="1454"/>
      <c r="M40" s="1454">
        <f>+LDCP!N66</f>
        <v>11786.328358208955</v>
      </c>
      <c r="N40" s="358"/>
      <c r="O40" s="1455">
        <f>+LDCP!P66</f>
        <v>4741.8636163660358</v>
      </c>
      <c r="P40" s="1456"/>
      <c r="Q40" s="1452">
        <f>+LDCP!R66</f>
        <v>16464.000953440329</v>
      </c>
      <c r="R40" s="358"/>
      <c r="S40" s="1455">
        <f>+LDCP!T66</f>
        <v>4459.12965276043</v>
      </c>
      <c r="T40" s="1452"/>
      <c r="U40" s="1452">
        <f>+LDCP!V66</f>
        <v>20899.561878353124</v>
      </c>
      <c r="V40" s="1453"/>
      <c r="W40" s="1455">
        <f>+LDCP!X66</f>
        <v>4148.1501340482573</v>
      </c>
      <c r="X40" s="1454"/>
      <c r="Y40" s="1454">
        <f>+LDCP!Z66</f>
        <v>13344.071785028791</v>
      </c>
      <c r="Z40" s="1457"/>
      <c r="AA40" s="1457">
        <f>+LDCP!AB66</f>
        <v>24967.111844291478</v>
      </c>
      <c r="AB40" s="1453"/>
      <c r="AC40" s="1455">
        <f>+LDCP!AD66</f>
        <v>4811.3361456483126</v>
      </c>
      <c r="AD40" s="1456"/>
      <c r="AE40" s="1452">
        <f>+LDCP!AF66</f>
        <v>29767.393249638233</v>
      </c>
      <c r="AF40" s="358"/>
      <c r="AG40" s="1455">
        <f>+LDCP!AH66</f>
        <v>4380.7907676869045</v>
      </c>
      <c r="AH40" s="1456"/>
      <c r="AI40" s="1452">
        <f>+LDCP!AJ66</f>
        <v>34145.163491794956</v>
      </c>
      <c r="AJ40" s="1453"/>
      <c r="AK40" s="1455" t="e">
        <f>+LDCP!#REF!</f>
        <v>#REF!</v>
      </c>
      <c r="AL40" s="1458"/>
      <c r="AM40" s="1454" t="e">
        <f>+LDCP!#REF!</f>
        <v>#REF!</v>
      </c>
      <c r="AN40" s="1452"/>
      <c r="AO40" s="384" t="e">
        <f>+LDCP!#REF!</f>
        <v>#REF!</v>
      </c>
      <c r="AP40" s="1453"/>
      <c r="AQ40" s="1455" t="e">
        <f>+LDCP!#REF!</f>
        <v>#REF!</v>
      </c>
      <c r="AR40" s="1456"/>
      <c r="AS40" s="1452" t="e">
        <f>+LDCP!#REF!</f>
        <v>#REF!</v>
      </c>
    </row>
    <row r="41" spans="2:45" ht="15.75" thickBot="1" x14ac:dyDescent="0.3">
      <c r="N41" s="1386"/>
      <c r="O41" s="1386"/>
      <c r="P41" s="1386"/>
      <c r="Q41" s="1386"/>
    </row>
    <row r="42" spans="2:45" ht="15.75" thickBot="1" x14ac:dyDescent="0.3">
      <c r="B42" s="758" t="s">
        <v>1282</v>
      </c>
      <c r="C42" s="1432" t="s">
        <v>393</v>
      </c>
      <c r="D42" s="1416"/>
      <c r="E42" s="358">
        <f>+SMS!F56/((100-0.85)/100)</f>
        <v>267.27181038830054</v>
      </c>
      <c r="F42" s="358"/>
      <c r="G42" s="358">
        <f>+SMS!H56/((100-0.85)/100)</f>
        <v>138.90065557236508</v>
      </c>
      <c r="H42" s="1452"/>
      <c r="I42" s="1452">
        <f>+SMS!J56/((100-0.85)/100)</f>
        <v>406.17246596066565</v>
      </c>
      <c r="J42" s="358"/>
      <c r="K42" s="358">
        <f>+SMS!L56/((100-0.85)/100)</f>
        <v>426.62632375189105</v>
      </c>
      <c r="L42" s="1454"/>
      <c r="M42" s="1454">
        <f>+SMS!N56/((100-0.85)/100)</f>
        <v>832.79878971255675</v>
      </c>
      <c r="N42" s="358"/>
      <c r="O42" s="1455">
        <f>+SMS!P56/((100-0.85)/100)</f>
        <v>504.28643469490669</v>
      </c>
      <c r="P42" s="1452"/>
      <c r="Q42" s="1452">
        <f>+SMS!R56/((100-0.85)/100)</f>
        <v>1337.0852244074633</v>
      </c>
      <c r="R42" s="358"/>
      <c r="S42" s="1455">
        <f>+SMS!T56/((100-0.85)/100)</f>
        <v>492.18356026222892</v>
      </c>
      <c r="T42" s="1452"/>
      <c r="U42" s="1452">
        <f>+SMS!V56/((100-0.85)/100)</f>
        <v>1829.2687846696924</v>
      </c>
      <c r="V42" s="358"/>
      <c r="W42" s="1455">
        <f>+SMS!X56/((100-0.85)/100)</f>
        <v>458.90065557236505</v>
      </c>
      <c r="X42" s="1454"/>
      <c r="Y42" s="1454">
        <f>+SMS!Z56/((100-0.85)/100)</f>
        <v>1455.3706505295006</v>
      </c>
      <c r="Z42" s="1457"/>
      <c r="AA42" s="1457">
        <f>+SMS!AB56/((100-0.85)/100)</f>
        <v>2288.1694402420576</v>
      </c>
      <c r="AB42" s="358"/>
      <c r="AC42" s="1455">
        <f>+SMS!AD56/((100-0.85)/100)</f>
        <v>475.60262228946038</v>
      </c>
      <c r="AD42" s="1452"/>
      <c r="AE42" s="1452">
        <f>+SMS!AF56/((100-0.85)/100)</f>
        <v>2763.7720625315173</v>
      </c>
      <c r="AF42" s="358"/>
      <c r="AG42" s="1455">
        <f>+SMS!AH56/((100-0.85)/100)</f>
        <v>417.58951084215829</v>
      </c>
      <c r="AH42" s="1452"/>
      <c r="AI42" s="1452">
        <f>+SMS!AJ56/((100-0.85)/100)</f>
        <v>3181.361573373676</v>
      </c>
      <c r="AJ42" s="358"/>
      <c r="AK42" s="1455">
        <f>+SMS!AL56/((100-0.85)/100)</f>
        <v>585.37569339384765</v>
      </c>
      <c r="AL42" s="1454"/>
      <c r="AM42" s="1454">
        <f>+SMS!AN56/((100-0.85)/100)</f>
        <v>1478.5678265254664</v>
      </c>
      <c r="AN42" s="1452"/>
      <c r="AO42" s="384">
        <f>+SMS!AP56/((100-0.85)/100)</f>
        <v>3766.737266767524</v>
      </c>
      <c r="AP42" s="358"/>
      <c r="AQ42" s="1455">
        <f>+SMS!AR56/((100-0.85)/100)</f>
        <v>510.6404437720625</v>
      </c>
      <c r="AR42" s="1452"/>
      <c r="AS42" s="1452">
        <f>+SMS!AT56/((100-0.85)/100)</f>
        <v>4277.3777105395866</v>
      </c>
    </row>
    <row r="43" spans="2:45" ht="15.75" thickBot="1" x14ac:dyDescent="0.3">
      <c r="B43" s="758" t="s">
        <v>1283</v>
      </c>
      <c r="C43" s="1432" t="s">
        <v>393</v>
      </c>
      <c r="D43" s="1416"/>
      <c r="E43" s="358">
        <f>+SMS!F58/((100-0.85)/100)</f>
        <v>211.80030257186081</v>
      </c>
      <c r="F43" s="358"/>
      <c r="G43" s="358">
        <f>+SMS!H58/((100-0.85)/100)</f>
        <v>171.45738779626828</v>
      </c>
      <c r="H43" s="1452"/>
      <c r="I43" s="1452">
        <f>+SMS!J58/((100-0.85)/100)</f>
        <v>383.25769036812909</v>
      </c>
      <c r="J43" s="358"/>
      <c r="K43" s="358">
        <f>+SMS!L58/((100-0.85)/100)</f>
        <v>436.7120524457892</v>
      </c>
      <c r="L43" s="1454"/>
      <c r="M43" s="1454">
        <f>+SMS!N58/((100-0.85)/100)</f>
        <v>819.96974281391829</v>
      </c>
      <c r="N43" s="358"/>
      <c r="O43" s="1455">
        <f>+SMS!P58/((100-0.85)/100)</f>
        <v>426.62632375189105</v>
      </c>
      <c r="P43" s="1452"/>
      <c r="Q43" s="1452">
        <f>+SMS!R58/((100-0.85)/100)</f>
        <v>1246.5960665658092</v>
      </c>
      <c r="R43" s="358"/>
      <c r="S43" s="1455">
        <f>+SMS!T58/((100-0.85)/100)</f>
        <v>477.05496722138173</v>
      </c>
      <c r="T43" s="1452"/>
      <c r="U43" s="1452">
        <f>+SMS!V58/((100-0.85)/100)</f>
        <v>1723.651033787191</v>
      </c>
      <c r="V43" s="358"/>
      <c r="W43" s="1455">
        <f>+SMS!X58/((100-0.85)/100)</f>
        <v>498.23499747856778</v>
      </c>
      <c r="X43" s="1454"/>
      <c r="Y43" s="1454">
        <f>+SMS!Z58/((100-0.85)/100)</f>
        <v>1401.9162884518405</v>
      </c>
      <c r="Z43" s="1457"/>
      <c r="AA43" s="1457">
        <f>+SMS!AB58/((100-0.85)/100)</f>
        <v>2221.8860312657589</v>
      </c>
      <c r="AB43" s="358"/>
      <c r="AC43" s="1455">
        <f>+SMS!AD58/((100-0.85)/100)</f>
        <v>489.1578416540595</v>
      </c>
      <c r="AD43" s="1452"/>
      <c r="AE43" s="1452">
        <f>+SMS!AF58/((100-0.85)/100)</f>
        <v>2711.0438729198181</v>
      </c>
      <c r="AF43" s="358"/>
      <c r="AG43" s="1455">
        <f>+SMS!AH58/((100-0.85)/100)</f>
        <v>512.35501765002516</v>
      </c>
      <c r="AH43" s="1452"/>
      <c r="AI43" s="1452">
        <f>+SMS!AJ58/((100-0.85)/100)</f>
        <v>3223.3988905698434</v>
      </c>
      <c r="AJ43" s="358"/>
      <c r="AK43" s="1455">
        <f>+SMS!AL58/((100-0.85)/100)</f>
        <v>454.86636409480582</v>
      </c>
      <c r="AL43" s="1454"/>
      <c r="AM43" s="1454">
        <f>+SMS!AN58/((100-0.85)/100)</f>
        <v>1456.3792233988904</v>
      </c>
      <c r="AN43" s="1452"/>
      <c r="AO43" s="384">
        <f>+SMS!AP58/((100-0.85)/100)</f>
        <v>3678.2652546646495</v>
      </c>
      <c r="AP43" s="358"/>
      <c r="AQ43" s="1455">
        <f>+SMS!AR58/((100-0.85)/100)</f>
        <v>544.62934947049916</v>
      </c>
      <c r="AR43" s="1452"/>
      <c r="AS43" s="1452">
        <f>+SMS!AT58/((100-0.85)/100)</f>
        <v>4222.8946041351483</v>
      </c>
    </row>
    <row r="44" spans="2:45" ht="15.75" thickBot="1" x14ac:dyDescent="0.3">
      <c r="B44" s="758" t="s">
        <v>1284</v>
      </c>
      <c r="C44" s="1432" t="s">
        <v>393</v>
      </c>
      <c r="D44" s="1416"/>
      <c r="E44" s="358">
        <f>+SMS!F57/((100-0.85)/100)</f>
        <v>1463.4392334846191</v>
      </c>
      <c r="F44" s="358"/>
      <c r="G44" s="358">
        <f>+SMS!H57/((100-0.85)/100)</f>
        <v>1275.8446797781139</v>
      </c>
      <c r="H44" s="1452"/>
      <c r="I44" s="1452">
        <f>+SMS!J57/((100-0.85)/100)</f>
        <v>2739.2839132627332</v>
      </c>
      <c r="J44" s="358"/>
      <c r="K44" s="358">
        <f>+SMS!L57/((100-0.85)/100)</f>
        <v>2972.26424609178</v>
      </c>
      <c r="L44" s="1454"/>
      <c r="M44" s="1454">
        <f>+SMS!N57/((100-0.85)/100)</f>
        <v>5711.5481593545128</v>
      </c>
      <c r="N44" s="358"/>
      <c r="O44" s="1455">
        <f>+SMS!P57/((100-0.85)/100)</f>
        <v>3140.695915279879</v>
      </c>
      <c r="P44" s="1452"/>
      <c r="Q44" s="1452">
        <f>+SMS!R57/((100-0.85)/100)</f>
        <v>8852.2440746343927</v>
      </c>
      <c r="R44" s="358"/>
      <c r="S44" s="1455">
        <f>+SMS!T57/((100-0.85)/100)</f>
        <v>3134.6444780635397</v>
      </c>
      <c r="T44" s="1452"/>
      <c r="U44" s="1452">
        <f>+SMS!V57/((100-0.85)/100)</f>
        <v>11986.888552697932</v>
      </c>
      <c r="V44" s="358"/>
      <c r="W44" s="1455">
        <f>+SMS!X57/((100-0.85)/100)</f>
        <v>2785.6782652546644</v>
      </c>
      <c r="X44" s="1454"/>
      <c r="Y44" s="1454">
        <f>+SMS!Z57/((100-0.85)/100)</f>
        <v>9061.0186585980828</v>
      </c>
      <c r="Z44" s="1457"/>
      <c r="AA44" s="1457">
        <f>+SMS!AB57/((100-0.85)/100)</f>
        <v>14772.566817952596</v>
      </c>
      <c r="AB44" s="358"/>
      <c r="AC44" s="1455">
        <f>+SMS!AD57/((100-0.85)/100)</f>
        <v>3532.0221886031263</v>
      </c>
      <c r="AD44" s="1452"/>
      <c r="AE44" s="1452">
        <f>+SMS!AF57/((100-0.85)/100)</f>
        <v>18304.589006555721</v>
      </c>
      <c r="AF44" s="358"/>
      <c r="AG44" s="1455">
        <f>+SMS!AH57/((100-0.85)/100)</f>
        <v>3039.8386283408977</v>
      </c>
      <c r="AH44" s="1452"/>
      <c r="AI44" s="1452">
        <f>+SMS!AJ57/((100-0.85)/100)</f>
        <v>21344.42763489662</v>
      </c>
      <c r="AJ44" s="358"/>
      <c r="AK44" s="1455">
        <f>+SMS!AL57/((100-0.85)/100)</f>
        <v>3674.2309631870903</v>
      </c>
      <c r="AL44" s="1454"/>
      <c r="AM44" s="1454">
        <f>+SMS!AN57/((100-0.85)/100)</f>
        <v>10246.091780131113</v>
      </c>
      <c r="AN44" s="1452"/>
      <c r="AO44" s="384">
        <f>+SMS!AP57/((100-0.85)/100)</f>
        <v>25018.658598083712</v>
      </c>
      <c r="AP44" s="358"/>
      <c r="AQ44" s="1455">
        <f>+SMS!AR57/((100-0.85)/100)</f>
        <v>4091.7801311144726</v>
      </c>
      <c r="AR44" s="1452"/>
      <c r="AS44" s="1452">
        <f>+SMS!AT57/((100-0.85)/100)</f>
        <v>29110.438729198184</v>
      </c>
    </row>
    <row r="45" spans="2:45" ht="15.75" thickBot="1" x14ac:dyDescent="0.3">
      <c r="B45" s="758" t="s">
        <v>1285</v>
      </c>
      <c r="C45" s="1432" t="s">
        <v>393</v>
      </c>
      <c r="D45" s="1416"/>
      <c r="E45" s="358">
        <f>+SMS!F61/((100-2)/100)</f>
        <v>98.979591836734699</v>
      </c>
      <c r="F45" s="358"/>
      <c r="G45" s="358">
        <f>+SMS!H61/((100-2)/100)</f>
        <v>44.061224489795919</v>
      </c>
      <c r="H45" s="1452"/>
      <c r="I45" s="1452">
        <f>+SMS!J61/((100-2)/100)</f>
        <v>143.04081632653063</v>
      </c>
      <c r="J45" s="358"/>
      <c r="K45" s="358">
        <f>+SMS!L61/((100-2)/100)</f>
        <v>156.234693877551</v>
      </c>
      <c r="L45" s="1454"/>
      <c r="M45" s="1454">
        <f>+SMS!N61/((100-2)/100)</f>
        <v>299.27551020408163</v>
      </c>
      <c r="N45" s="358"/>
      <c r="O45" s="1455">
        <f>+SMS!P61/((100-2)/100)</f>
        <v>146.66326530612247</v>
      </c>
      <c r="P45" s="1452"/>
      <c r="Q45" s="1452">
        <f>+SMS!R61/((100-2)/100)</f>
        <v>445.9387755102041</v>
      </c>
      <c r="R45" s="358"/>
      <c r="S45" s="1455">
        <f>+SMS!T61/((100-2)/100)</f>
        <v>90.15306122448979</v>
      </c>
      <c r="T45" s="1452"/>
      <c r="U45" s="1452">
        <f>+SMS!V61/((100-2)/100)</f>
        <v>536.09183673469386</v>
      </c>
      <c r="V45" s="358"/>
      <c r="W45" s="1455">
        <f>+SMS!X61/((100-2)/100)</f>
        <v>110.87755102040816</v>
      </c>
      <c r="X45" s="1454"/>
      <c r="Y45" s="1454">
        <f>+SMS!Z61/((100-2)/100)</f>
        <v>347.69387755102042</v>
      </c>
      <c r="Z45" s="1457"/>
      <c r="AA45" s="1457">
        <f>+SMS!AB61/((100-2)/100)</f>
        <v>646.96938775510205</v>
      </c>
      <c r="AB45" s="358"/>
      <c r="AC45" s="1455">
        <f>+SMS!AD61/((100-2)/100)</f>
        <v>122.61224489795919</v>
      </c>
      <c r="AD45" s="1452"/>
      <c r="AE45" s="1452">
        <f>+SMS!AF61/((100-2)/100)</f>
        <v>769.58163265306121</v>
      </c>
      <c r="AF45" s="358"/>
      <c r="AG45" s="1455">
        <f>+SMS!AH61/((100-2)/100)</f>
        <v>119.4387755102041</v>
      </c>
      <c r="AH45" s="1452"/>
      <c r="AI45" s="1452">
        <f>+SMS!AJ61/((100-2)/100)</f>
        <v>889.0204081632653</v>
      </c>
      <c r="AJ45" s="358"/>
      <c r="AK45" s="1455">
        <f>+SMS!AL61/((100-2)/100)</f>
        <v>146.73469387755102</v>
      </c>
      <c r="AL45" s="1454"/>
      <c r="AM45" s="1454">
        <f>+SMS!AN61/((100-2)/100)</f>
        <v>388.78571428571428</v>
      </c>
      <c r="AN45" s="1452"/>
      <c r="AO45" s="384">
        <f>+SMS!AP61/((100-2)/100)</f>
        <v>1035.7551020408164</v>
      </c>
      <c r="AP45" s="358"/>
      <c r="AQ45" s="1455">
        <f>+SMS!AR61/((100-2)/100)</f>
        <v>118.73469387755102</v>
      </c>
      <c r="AR45" s="1452"/>
      <c r="AS45" s="1452">
        <f>+SMS!AT61/((100-2)/100)</f>
        <v>1154.4897959183672</v>
      </c>
    </row>
    <row r="46" spans="2:45" ht="15.75" thickBot="1" x14ac:dyDescent="0.3">
      <c r="B46" s="758" t="s">
        <v>1286</v>
      </c>
      <c r="C46" s="1432" t="s">
        <v>393</v>
      </c>
      <c r="D46" s="1416"/>
      <c r="E46" s="358">
        <f>+SMS!F60/((100-2)/100)</f>
        <v>145.91836734693877</v>
      </c>
      <c r="F46" s="358"/>
      <c r="G46" s="358">
        <f>+SMS!H60/((100-2)/100)</f>
        <v>145.91836734693877</v>
      </c>
      <c r="H46" s="1452"/>
      <c r="I46" s="1452">
        <f>+SMS!J60/((100-2)/100)</f>
        <v>291.83673469387753</v>
      </c>
      <c r="J46" s="358"/>
      <c r="K46" s="358">
        <f>+SMS!L60/((100-2)/100)</f>
        <v>301.53061224489795</v>
      </c>
      <c r="L46" s="1454"/>
      <c r="M46" s="1454">
        <f>+SMS!N60/((100-2)/100)</f>
        <v>593.36734693877554</v>
      </c>
      <c r="N46" s="358"/>
      <c r="O46" s="1455">
        <f>+SMS!P60/((100-2)/100)</f>
        <v>302.0408163265306</v>
      </c>
      <c r="P46" s="1452"/>
      <c r="Q46" s="1452">
        <f>+SMS!R60/((100-2)/100)</f>
        <v>895.40816326530614</v>
      </c>
      <c r="R46" s="358"/>
      <c r="S46" s="1455">
        <f>+SMS!T60/((100-2)/100)</f>
        <v>331.63265306122452</v>
      </c>
      <c r="T46" s="1452"/>
      <c r="U46" s="1452">
        <f>+SMS!V60/((100-2)/100)</f>
        <v>1227.0408163265306</v>
      </c>
      <c r="V46" s="358"/>
      <c r="W46" s="1455">
        <f>+SMS!X60/((100-2)/100)</f>
        <v>375</v>
      </c>
      <c r="X46" s="1454"/>
      <c r="Y46" s="1454">
        <f>+SMS!Z60/((100-2)/100)</f>
        <v>1008.6734693877552</v>
      </c>
      <c r="Z46" s="1457"/>
      <c r="AA46" s="1457">
        <f>+SMS!AB60/((100-2)/100)</f>
        <v>1602.0408163265306</v>
      </c>
      <c r="AB46" s="358"/>
      <c r="AC46" s="1455">
        <f>+SMS!AD60/((100-2)/100)</f>
        <v>302.55102040816325</v>
      </c>
      <c r="AD46" s="1452"/>
      <c r="AE46" s="1452">
        <f>+SMS!AF60/((100-2)/100)</f>
        <v>1904.591836734694</v>
      </c>
      <c r="AF46" s="358"/>
      <c r="AG46" s="1455">
        <f>+SMS!AH60/((100-2)/100)</f>
        <v>320.40816326530614</v>
      </c>
      <c r="AH46" s="1452"/>
      <c r="AI46" s="1452">
        <f>+SMS!AJ60/((100-2)/100)</f>
        <v>2225</v>
      </c>
      <c r="AJ46" s="358"/>
      <c r="AK46" s="1455">
        <f>+SMS!AL60/((100-2)/100)</f>
        <v>314.28571428571428</v>
      </c>
      <c r="AL46" s="1454"/>
      <c r="AM46" s="1454">
        <f>+SMS!AN60/((100-2)/100)</f>
        <v>937.24489795918373</v>
      </c>
      <c r="AN46" s="1452"/>
      <c r="AO46" s="384">
        <f>+SMS!AP60/((100-2)/100)</f>
        <v>2539.2857142857142</v>
      </c>
      <c r="AP46" s="358"/>
      <c r="AQ46" s="1455">
        <f>+SMS!AR60/((100-2)/100)</f>
        <v>321.42857142857144</v>
      </c>
      <c r="AR46" s="1452"/>
      <c r="AS46" s="1452">
        <f>+SMS!AT60/((100-2)/100)</f>
        <v>2860.7142857142858</v>
      </c>
    </row>
    <row r="47" spans="2:45" ht="15.75" thickBot="1" x14ac:dyDescent="0.3">
      <c r="B47" s="758" t="s">
        <v>1274</v>
      </c>
      <c r="C47" s="1432" t="s">
        <v>393</v>
      </c>
      <c r="D47" s="1416"/>
      <c r="E47" s="249">
        <f>+SMS!F105</f>
        <v>1.8</v>
      </c>
      <c r="F47" s="249"/>
      <c r="G47" s="249">
        <f>+SMS!H105</f>
        <v>0.77400000000000002</v>
      </c>
      <c r="H47" s="1466"/>
      <c r="I47" s="1466">
        <f>+SMS!J105</f>
        <v>2.5739999999999998</v>
      </c>
      <c r="J47" s="249"/>
      <c r="K47" s="249">
        <f>+SMS!L105</f>
        <v>0.39300000000000002</v>
      </c>
      <c r="L47" s="1467"/>
      <c r="M47" s="1467">
        <f>+SMS!N105</f>
        <v>2.9669999999999996</v>
      </c>
      <c r="N47" s="249"/>
      <c r="O47" s="1468">
        <f>+SMS!P105</f>
        <v>1.2</v>
      </c>
      <c r="P47" s="1466"/>
      <c r="Q47" s="1466">
        <f>+SMS!R105</f>
        <v>4.1669999999999998</v>
      </c>
      <c r="R47" s="249"/>
      <c r="S47" s="1468">
        <f>+SMS!T105</f>
        <v>7.05</v>
      </c>
      <c r="T47" s="1466"/>
      <c r="U47" s="1466">
        <f>+SMS!V105</f>
        <v>11.216999999999999</v>
      </c>
      <c r="V47" s="249"/>
      <c r="W47" s="1468">
        <f>+SMS!X105</f>
        <v>12.46</v>
      </c>
      <c r="X47" s="1467"/>
      <c r="Y47" s="1467">
        <f>+SMS!Z105</f>
        <v>20.71</v>
      </c>
      <c r="Z47" s="1469"/>
      <c r="AA47" s="1469">
        <f>+SMS!AB105</f>
        <v>23.677</v>
      </c>
      <c r="AB47" s="249"/>
      <c r="AC47" s="1468">
        <f>+SMS!AD105</f>
        <v>8.48</v>
      </c>
      <c r="AD47" s="1466"/>
      <c r="AE47" s="1466">
        <f>+SMS!AF105</f>
        <v>32.156999999999996</v>
      </c>
      <c r="AF47" s="249"/>
      <c r="AG47" s="1468">
        <f>+SMS!AH105</f>
        <v>7.04</v>
      </c>
      <c r="AH47" s="1466"/>
      <c r="AI47" s="1466">
        <f>+SMS!AJ105</f>
        <v>39.196999999999996</v>
      </c>
      <c r="AJ47" s="249"/>
      <c r="AK47" s="1468">
        <f>+SMS!AL105</f>
        <v>18.23</v>
      </c>
      <c r="AL47" s="1467"/>
      <c r="AM47" s="1467">
        <f>+SMS!AN105</f>
        <v>33.75</v>
      </c>
      <c r="AN47" s="1466"/>
      <c r="AO47" s="146">
        <f>+SMS!AP105</f>
        <v>57.426999999999992</v>
      </c>
      <c r="AP47" s="249"/>
      <c r="AQ47" s="1468">
        <f>+SMS!AR105</f>
        <v>12.24</v>
      </c>
      <c r="AR47" s="1466"/>
      <c r="AS47" s="1466">
        <f>+SMS!AT105</f>
        <v>69.666999999999987</v>
      </c>
    </row>
    <row r="48" spans="2:45" ht="15.75" thickBot="1" x14ac:dyDescent="0.3">
      <c r="B48" s="758" t="s">
        <v>1275</v>
      </c>
      <c r="C48" s="1432" t="s">
        <v>393</v>
      </c>
      <c r="D48" s="1416"/>
      <c r="E48" s="358">
        <f>+SMS!F108</f>
        <v>33.299999999999997</v>
      </c>
      <c r="F48" s="358"/>
      <c r="G48" s="358">
        <f>+SMS!H108</f>
        <v>43.7</v>
      </c>
      <c r="H48" s="1452"/>
      <c r="I48" s="1452">
        <f>+SMS!J108</f>
        <v>77</v>
      </c>
      <c r="J48" s="358"/>
      <c r="K48" s="358">
        <f>+SMS!L108</f>
        <v>55.5</v>
      </c>
      <c r="L48" s="1454"/>
      <c r="M48" s="1454">
        <f>+SMS!N108</f>
        <v>132.5</v>
      </c>
      <c r="N48" s="358"/>
      <c r="O48" s="1455">
        <f>+SMS!P108</f>
        <v>58.97</v>
      </c>
      <c r="P48" s="1452"/>
      <c r="Q48" s="1452">
        <f>+SMS!R108</f>
        <v>191.47</v>
      </c>
      <c r="R48" s="358"/>
      <c r="S48" s="1455">
        <f>+SMS!T108</f>
        <v>61.02</v>
      </c>
      <c r="T48" s="1452"/>
      <c r="U48" s="1452">
        <f>+SMS!V108</f>
        <v>252.49</v>
      </c>
      <c r="V48" s="358"/>
      <c r="W48" s="1455">
        <f>+SMS!X108</f>
        <v>63.5</v>
      </c>
      <c r="X48" s="1454"/>
      <c r="Y48" s="1454">
        <f>+SMS!Z108</f>
        <v>183.49</v>
      </c>
      <c r="Z48" s="1457"/>
      <c r="AA48" s="1457">
        <f>+SMS!AB108</f>
        <v>315.99</v>
      </c>
      <c r="AB48" s="358"/>
      <c r="AC48" s="1455">
        <f>+SMS!AD108</f>
        <v>70</v>
      </c>
      <c r="AD48" s="1452"/>
      <c r="AE48" s="1452">
        <f>+SMS!AF108</f>
        <v>385.99</v>
      </c>
      <c r="AF48" s="358"/>
      <c r="AG48" s="1455">
        <f>+SMS!AH108</f>
        <v>63</v>
      </c>
      <c r="AH48" s="1452"/>
      <c r="AI48" s="1452">
        <f>+SMS!AJ108</f>
        <v>448.99</v>
      </c>
      <c r="AJ48" s="358"/>
      <c r="AK48" s="1455">
        <f>+SMS!AL108</f>
        <v>63.1</v>
      </c>
      <c r="AL48" s="1454"/>
      <c r="AM48" s="1454">
        <f>+SMS!AN108</f>
        <v>196.1</v>
      </c>
      <c r="AN48" s="1452"/>
      <c r="AO48" s="384">
        <f>+SMS!AP108</f>
        <v>512.09</v>
      </c>
      <c r="AP48" s="358"/>
      <c r="AQ48" s="1455">
        <f>+SMS!AR108</f>
        <v>64</v>
      </c>
      <c r="AR48" s="1452"/>
      <c r="AS48" s="1452">
        <f>+SMS!AT108</f>
        <v>576.09</v>
      </c>
    </row>
    <row r="49" spans="2:45" ht="15.75" thickBot="1" x14ac:dyDescent="0.3">
      <c r="B49" s="758" t="s">
        <v>1276</v>
      </c>
      <c r="C49" s="1432" t="s">
        <v>393</v>
      </c>
      <c r="D49" s="1416"/>
      <c r="E49" s="249">
        <f>+SMS!F104</f>
        <v>20</v>
      </c>
      <c r="F49" s="249"/>
      <c r="G49" s="249">
        <f>+SMS!H104</f>
        <v>36</v>
      </c>
      <c r="H49" s="1466"/>
      <c r="I49" s="1466">
        <f>+SMS!J104</f>
        <v>56</v>
      </c>
      <c r="J49" s="249"/>
      <c r="K49" s="249">
        <f>+SMS!L104</f>
        <v>42</v>
      </c>
      <c r="L49" s="1467"/>
      <c r="M49" s="1467">
        <f>+SMS!N104</f>
        <v>98</v>
      </c>
      <c r="N49" s="249"/>
      <c r="O49" s="1468">
        <f>+SMS!P104</f>
        <v>153</v>
      </c>
      <c r="P49" s="1466"/>
      <c r="Q49" s="1466">
        <f>+SMS!R104</f>
        <v>251</v>
      </c>
      <c r="R49" s="249"/>
      <c r="S49" s="1468">
        <f>+SMS!T104</f>
        <v>54</v>
      </c>
      <c r="T49" s="1466"/>
      <c r="U49" s="1466">
        <f>+SMS!V104</f>
        <v>305</v>
      </c>
      <c r="V49" s="249"/>
      <c r="W49" s="1468">
        <f>+SMS!X104</f>
        <v>9</v>
      </c>
      <c r="X49" s="1467"/>
      <c r="Y49" s="1467">
        <f>+SMS!Z104</f>
        <v>216</v>
      </c>
      <c r="Z49" s="1469"/>
      <c r="AA49" s="1469">
        <f>+SMS!AB104</f>
        <v>314</v>
      </c>
      <c r="AB49" s="249"/>
      <c r="AC49" s="1468">
        <f>+SMS!AD104</f>
        <v>49</v>
      </c>
      <c r="AD49" s="1466"/>
      <c r="AE49" s="1466">
        <f>+SMS!AF104</f>
        <v>363</v>
      </c>
      <c r="AF49" s="249"/>
      <c r="AG49" s="1468">
        <f>+SMS!AH104</f>
        <v>98</v>
      </c>
      <c r="AH49" s="1466"/>
      <c r="AI49" s="1466">
        <f>+SMS!AJ104</f>
        <v>461</v>
      </c>
      <c r="AJ49" s="249"/>
      <c r="AK49" s="1468">
        <f>+SMS!AL104</f>
        <v>66</v>
      </c>
      <c r="AL49" s="1467"/>
      <c r="AM49" s="1467">
        <f>+SMS!AN104</f>
        <v>213</v>
      </c>
      <c r="AN49" s="1466"/>
      <c r="AO49" s="146">
        <f>+SMS!AP104</f>
        <v>527</v>
      </c>
      <c r="AP49" s="249"/>
      <c r="AQ49" s="1468">
        <f>+SMS!AR104</f>
        <v>72</v>
      </c>
      <c r="AR49" s="1466"/>
      <c r="AS49" s="1466">
        <f>+SMS!AT104</f>
        <v>599</v>
      </c>
    </row>
    <row r="50" spans="2:45" ht="15.75" thickBot="1" x14ac:dyDescent="0.3">
      <c r="B50" s="758" t="s">
        <v>1277</v>
      </c>
      <c r="C50" s="1432" t="s">
        <v>393</v>
      </c>
      <c r="D50" s="1416"/>
      <c r="E50" s="249">
        <f>+SMS!F110</f>
        <v>0</v>
      </c>
      <c r="F50" s="249"/>
      <c r="G50" s="249">
        <f>+SMS!H110</f>
        <v>2.766</v>
      </c>
      <c r="H50" s="1466"/>
      <c r="I50" s="1466">
        <f>+SMS!J110</f>
        <v>2.766</v>
      </c>
      <c r="J50" s="249"/>
      <c r="K50" s="249">
        <f>+SMS!L110</f>
        <v>4.12</v>
      </c>
      <c r="L50" s="1467"/>
      <c r="M50" s="1467">
        <f>+SMS!N110</f>
        <v>6.8860000000000001</v>
      </c>
      <c r="N50" s="249"/>
      <c r="O50" s="1468">
        <f>+SMS!P110</f>
        <v>7.14</v>
      </c>
      <c r="P50" s="1466"/>
      <c r="Q50" s="1466">
        <f>+SMS!R110</f>
        <v>14.026</v>
      </c>
      <c r="R50" s="249"/>
      <c r="S50" s="1468">
        <f>+SMS!T110</f>
        <v>6.03</v>
      </c>
      <c r="T50" s="1466"/>
      <c r="U50" s="1466">
        <f>+SMS!V110</f>
        <v>20.056000000000001</v>
      </c>
      <c r="V50" s="249"/>
      <c r="W50" s="1468">
        <f>+SMS!X110</f>
        <v>2.35</v>
      </c>
      <c r="X50" s="1467"/>
      <c r="Y50" s="1467">
        <f>+SMS!Z110</f>
        <v>15.52</v>
      </c>
      <c r="Z50" s="1469"/>
      <c r="AA50" s="1469">
        <f>+SMS!AB110</f>
        <v>22.406000000000002</v>
      </c>
      <c r="AB50" s="249"/>
      <c r="AC50" s="1468">
        <f>+SMS!AD110</f>
        <v>3.54</v>
      </c>
      <c r="AD50" s="1466"/>
      <c r="AE50" s="1466">
        <f>+SMS!AF110</f>
        <v>25.946000000000002</v>
      </c>
      <c r="AF50" s="249"/>
      <c r="AG50" s="1468">
        <f>+SMS!AH110</f>
        <v>4.6100000000000003</v>
      </c>
      <c r="AH50" s="1466"/>
      <c r="AI50" s="1466">
        <f>+SMS!AJ110</f>
        <v>30.556000000000001</v>
      </c>
      <c r="AJ50" s="249"/>
      <c r="AK50" s="1468">
        <f>+SMS!AL110</f>
        <v>8</v>
      </c>
      <c r="AL50" s="1467"/>
      <c r="AM50" s="1467">
        <f>+SMS!AN110</f>
        <v>16.149999999999999</v>
      </c>
      <c r="AN50" s="1466"/>
      <c r="AO50" s="146">
        <f>+SMS!AP110</f>
        <v>38.555999999999997</v>
      </c>
      <c r="AP50" s="249"/>
      <c r="AQ50" s="1468">
        <f>+SMS!AR110</f>
        <v>5.78</v>
      </c>
      <c r="AR50" s="1466"/>
      <c r="AS50" s="1466">
        <f>+SMS!AT110</f>
        <v>44.335999999999999</v>
      </c>
    </row>
    <row r="51" spans="2:45" ht="15.75" thickBot="1" x14ac:dyDescent="0.3">
      <c r="B51" s="758" t="s">
        <v>1287</v>
      </c>
      <c r="C51" s="1432" t="s">
        <v>393</v>
      </c>
      <c r="D51" s="1416"/>
      <c r="E51" s="358">
        <f>+SMS!F63/((100-2)/100)</f>
        <v>97.959183673469383</v>
      </c>
      <c r="F51" s="358"/>
      <c r="G51" s="358">
        <f>+SMS!H63/((100-2)/100)</f>
        <v>91.83673469387756</v>
      </c>
      <c r="H51" s="1452"/>
      <c r="I51" s="1452">
        <f>+SMS!J63/((100-2)/100)</f>
        <v>189.79591836734693</v>
      </c>
      <c r="J51" s="358"/>
      <c r="K51" s="358">
        <f>+SMS!L63/((100-2)/100)</f>
        <v>237.75510204081633</v>
      </c>
      <c r="L51" s="1454"/>
      <c r="M51" s="1454">
        <f>+SMS!N63/((100-2)/100)</f>
        <v>427.55102040816325</v>
      </c>
      <c r="N51" s="358"/>
      <c r="O51" s="1455">
        <f>+SMS!P63/((100-2)/100)</f>
        <v>254.08163265306123</v>
      </c>
      <c r="P51" s="1452"/>
      <c r="Q51" s="1452">
        <f>+SMS!R63/((100-2)/100)</f>
        <v>681.63265306122446</v>
      </c>
      <c r="R51" s="358"/>
      <c r="S51" s="1455">
        <f>+SMS!T63/((100-2)/100)</f>
        <v>294.89795918367349</v>
      </c>
      <c r="T51" s="1452"/>
      <c r="U51" s="1452">
        <f>+SMS!V63/((100-2)/100)</f>
        <v>976.53061224489795</v>
      </c>
      <c r="V51" s="358"/>
      <c r="W51" s="1455">
        <f>+SMS!X63/((100-2)/100)</f>
        <v>269.38775510204084</v>
      </c>
      <c r="X51" s="1454"/>
      <c r="Y51" s="1454">
        <f>+SMS!Z63/((100-2)/100)</f>
        <v>818.36734693877554</v>
      </c>
      <c r="Z51" s="1457"/>
      <c r="AA51" s="1457">
        <f>+SMS!AB63/((100-2)/100)</f>
        <v>1245.9183673469388</v>
      </c>
      <c r="AB51" s="358"/>
      <c r="AC51" s="1455">
        <f>+SMS!AD63/((100-2)/100)</f>
        <v>261.22448979591837</v>
      </c>
      <c r="AD51" s="1452"/>
      <c r="AE51" s="1452">
        <f>+SMS!AF63/((100-2)/100)</f>
        <v>1507.1428571428571</v>
      </c>
      <c r="AF51" s="358"/>
      <c r="AG51" s="1455">
        <f>+SMS!AH63/((100-2)/100)</f>
        <v>316.32653061224488</v>
      </c>
      <c r="AH51" s="1452"/>
      <c r="AI51" s="1452">
        <f>+SMS!AJ63/((100-2)/100)</f>
        <v>1823.4693877551022</v>
      </c>
      <c r="AJ51" s="358"/>
      <c r="AK51" s="1455">
        <f>+SMS!AL63/((100-2)/100)</f>
        <v>317.34693877551018</v>
      </c>
      <c r="AL51" s="1454"/>
      <c r="AM51" s="1454">
        <f>+SMS!AN63/((100-2)/100)</f>
        <v>894.89795918367349</v>
      </c>
      <c r="AN51" s="1452"/>
      <c r="AO51" s="384">
        <f>+SMS!AP63/((100-2)/100)</f>
        <v>2140.8163265306121</v>
      </c>
      <c r="AP51" s="358"/>
      <c r="AQ51" s="1455">
        <f>+SMS!AR63/((100-2)/100)</f>
        <v>297.9591836734694</v>
      </c>
      <c r="AR51" s="1452"/>
      <c r="AS51" s="1452">
        <f>+SMS!AT63/((100-2)/100)</f>
        <v>2438.7755102040815</v>
      </c>
    </row>
    <row r="52" spans="2:45" ht="15.75" thickBot="1" x14ac:dyDescent="0.3">
      <c r="B52" s="758" t="s">
        <v>1278</v>
      </c>
      <c r="C52" s="1432" t="s">
        <v>393</v>
      </c>
      <c r="D52" s="1416"/>
      <c r="E52" s="249">
        <f>+SMS!F102</f>
        <v>2.6070000000000002</v>
      </c>
      <c r="F52" s="249"/>
      <c r="G52" s="249">
        <f>+SMS!H102</f>
        <v>5.51</v>
      </c>
      <c r="H52" s="1466"/>
      <c r="I52" s="1466">
        <f>+SMS!J102</f>
        <v>8.1170000000000009</v>
      </c>
      <c r="J52" s="249"/>
      <c r="K52" s="249">
        <f>+SMS!L102</f>
        <v>0</v>
      </c>
      <c r="L52" s="1467"/>
      <c r="M52" s="1467">
        <f>+SMS!N102</f>
        <v>8.1170000000000009</v>
      </c>
      <c r="N52" s="249"/>
      <c r="O52" s="1468">
        <f>+SMS!P102</f>
        <v>0.28499999999999998</v>
      </c>
      <c r="P52" s="1466"/>
      <c r="Q52" s="1466">
        <f>+SMS!R102</f>
        <v>8.402000000000001</v>
      </c>
      <c r="R52" s="249"/>
      <c r="S52" s="1468">
        <f>+SMS!T102</f>
        <v>8.8000000000000007</v>
      </c>
      <c r="T52" s="1466"/>
      <c r="U52" s="1466">
        <f>+SMS!V102</f>
        <v>17.202000000000002</v>
      </c>
      <c r="V52" s="249"/>
      <c r="W52" s="1468">
        <f>+SMS!X102</f>
        <v>0</v>
      </c>
      <c r="X52" s="1467"/>
      <c r="Y52" s="1467">
        <f>+SMS!Z102</f>
        <v>9.0850000000000009</v>
      </c>
      <c r="Z52" s="1469"/>
      <c r="AA52" s="1469">
        <f>+SMS!AB102</f>
        <v>17.202000000000002</v>
      </c>
      <c r="AB52" s="249"/>
      <c r="AC52" s="1468">
        <f>+SMS!AD102</f>
        <v>0</v>
      </c>
      <c r="AD52" s="1466"/>
      <c r="AE52" s="1466">
        <f>+SMS!AF102</f>
        <v>17.202000000000002</v>
      </c>
      <c r="AF52" s="249"/>
      <c r="AG52" s="1468">
        <f>+SMS!AH102</f>
        <v>0</v>
      </c>
      <c r="AH52" s="1466"/>
      <c r="AI52" s="1466">
        <f>+SMS!AJ102</f>
        <v>17.202000000000002</v>
      </c>
      <c r="AJ52" s="249"/>
      <c r="AK52" s="1468">
        <f>+SMS!AL102</f>
        <v>0</v>
      </c>
      <c r="AL52" s="1467"/>
      <c r="AM52" s="1467">
        <f>+SMS!AN102</f>
        <v>0</v>
      </c>
      <c r="AN52" s="1466"/>
      <c r="AO52" s="146">
        <f>+SMS!AP102</f>
        <v>17.202000000000002</v>
      </c>
      <c r="AP52" s="249"/>
      <c r="AQ52" s="1468">
        <f>+SMS!AR102</f>
        <v>0</v>
      </c>
      <c r="AR52" s="1466"/>
      <c r="AS52" s="1466">
        <f>+SMS!AT102</f>
        <v>17.202000000000002</v>
      </c>
    </row>
    <row r="53" spans="2:45" ht="15.75" thickBot="1" x14ac:dyDescent="0.3">
      <c r="B53" s="758" t="s">
        <v>1279</v>
      </c>
      <c r="C53" s="1432" t="s">
        <v>393</v>
      </c>
      <c r="D53" s="1416"/>
      <c r="E53" s="358">
        <f>+SMS!F106</f>
        <v>0</v>
      </c>
      <c r="F53" s="358"/>
      <c r="G53" s="358">
        <f>+SMS!H106</f>
        <v>24</v>
      </c>
      <c r="H53" s="1452"/>
      <c r="I53" s="1452">
        <f>+SMS!J106</f>
        <v>24</v>
      </c>
      <c r="J53" s="358"/>
      <c r="K53" s="358">
        <f>+SMS!L106</f>
        <v>68.409000000000006</v>
      </c>
      <c r="L53" s="1454"/>
      <c r="M53" s="1454">
        <f>+SMS!N106</f>
        <v>92.409000000000006</v>
      </c>
      <c r="N53" s="358"/>
      <c r="O53" s="1455">
        <f>+SMS!P106</f>
        <v>62.99</v>
      </c>
      <c r="P53" s="1452"/>
      <c r="Q53" s="1452">
        <f>+SMS!R106</f>
        <v>155.399</v>
      </c>
      <c r="R53" s="358"/>
      <c r="S53" s="1455">
        <f>+SMS!T106</f>
        <v>41.49</v>
      </c>
      <c r="T53" s="1452"/>
      <c r="U53" s="1452">
        <f>+SMS!V106</f>
        <v>196.88900000000001</v>
      </c>
      <c r="V53" s="358"/>
      <c r="W53" s="1455">
        <f>+SMS!X106</f>
        <v>28.41</v>
      </c>
      <c r="X53" s="1454"/>
      <c r="Y53" s="1454">
        <f>+SMS!Z106</f>
        <v>132.89000000000001</v>
      </c>
      <c r="Z53" s="1457"/>
      <c r="AA53" s="1457">
        <f>+SMS!AB106</f>
        <v>225.29900000000001</v>
      </c>
      <c r="AB53" s="358"/>
      <c r="AC53" s="1455">
        <f>+SMS!AD106</f>
        <v>5.87</v>
      </c>
      <c r="AD53" s="1452"/>
      <c r="AE53" s="1452">
        <f>+SMS!AF106</f>
        <v>231.16900000000001</v>
      </c>
      <c r="AF53" s="358"/>
      <c r="AG53" s="1455">
        <f>+SMS!AH106</f>
        <v>8.4700000000000006</v>
      </c>
      <c r="AH53" s="1452"/>
      <c r="AI53" s="1452">
        <f>+SMS!AJ106</f>
        <v>239.63900000000001</v>
      </c>
      <c r="AJ53" s="358"/>
      <c r="AK53" s="1455">
        <f>+SMS!AL106</f>
        <v>21</v>
      </c>
      <c r="AL53" s="1454"/>
      <c r="AM53" s="1454">
        <f>+SMS!AN106</f>
        <v>35.339999999999996</v>
      </c>
      <c r="AN53" s="1452"/>
      <c r="AO53" s="384">
        <f>+SMS!AP106</f>
        <v>260.63900000000001</v>
      </c>
      <c r="AP53" s="358"/>
      <c r="AQ53" s="1455">
        <f>+SMS!AR106</f>
        <v>27.96</v>
      </c>
      <c r="AR53" s="1452"/>
      <c r="AS53" s="1452">
        <f>+SMS!AT106</f>
        <v>288.59899999999999</v>
      </c>
    </row>
    <row r="54" spans="2:45" ht="15.75" thickBot="1" x14ac:dyDescent="0.3">
      <c r="B54" s="758" t="s">
        <v>1280</v>
      </c>
      <c r="C54" s="1432" t="s">
        <v>393</v>
      </c>
      <c r="D54" s="1416"/>
      <c r="E54" s="249">
        <f>+SMS!F112</f>
        <v>0</v>
      </c>
      <c r="F54" s="249"/>
      <c r="G54" s="249">
        <f>+SMS!H112</f>
        <v>0</v>
      </c>
      <c r="H54" s="1466"/>
      <c r="I54" s="1466">
        <f>+SMS!J112</f>
        <v>0</v>
      </c>
      <c r="J54" s="249"/>
      <c r="K54" s="249">
        <f>+SMS!L112</f>
        <v>0</v>
      </c>
      <c r="L54" s="1467"/>
      <c r="M54" s="1467">
        <f>+SMS!N112</f>
        <v>0</v>
      </c>
      <c r="N54" s="249"/>
      <c r="O54" s="1468">
        <f>+SMS!P112</f>
        <v>0</v>
      </c>
      <c r="P54" s="1466"/>
      <c r="Q54" s="1466">
        <f>+SMS!R112</f>
        <v>0</v>
      </c>
      <c r="R54" s="249"/>
      <c r="S54" s="1468">
        <f>+SMS!T112</f>
        <v>0</v>
      </c>
      <c r="T54" s="1466"/>
      <c r="U54" s="1466">
        <f>+SMS!V112</f>
        <v>0</v>
      </c>
      <c r="V54" s="249"/>
      <c r="W54" s="1468">
        <f>+SMS!X112</f>
        <v>0</v>
      </c>
      <c r="X54" s="1467"/>
      <c r="Y54" s="1467">
        <f>+SMS!Z112</f>
        <v>0</v>
      </c>
      <c r="Z54" s="1469"/>
      <c r="AA54" s="1469">
        <f>+SMS!AB112</f>
        <v>0</v>
      </c>
      <c r="AB54" s="249"/>
      <c r="AC54" s="1468">
        <f>+SMS!AD112</f>
        <v>0</v>
      </c>
      <c r="AD54" s="1466"/>
      <c r="AE54" s="1466">
        <f>+SMS!AF112</f>
        <v>0</v>
      </c>
      <c r="AF54" s="249"/>
      <c r="AG54" s="1468">
        <f>+SMS!AH112</f>
        <v>0</v>
      </c>
      <c r="AH54" s="1466"/>
      <c r="AI54" s="1466">
        <f>+SMS!AJ112</f>
        <v>0</v>
      </c>
      <c r="AJ54" s="249"/>
      <c r="AK54" s="1468">
        <f>+SMS!AL112</f>
        <v>0.16</v>
      </c>
      <c r="AL54" s="1467"/>
      <c r="AM54" s="1467">
        <f>+SMS!AN112</f>
        <v>0.16</v>
      </c>
      <c r="AN54" s="1466"/>
      <c r="AO54" s="146">
        <f>+SMS!AP112</f>
        <v>0.16</v>
      </c>
      <c r="AP54" s="249"/>
      <c r="AQ54" s="1468">
        <f>+SMS!AR112</f>
        <v>0</v>
      </c>
      <c r="AR54" s="1466"/>
      <c r="AS54" s="1466">
        <f>+SMS!AT112</f>
        <v>0.16</v>
      </c>
    </row>
    <row r="55" spans="2:45" ht="15.75" thickBot="1" x14ac:dyDescent="0.3">
      <c r="B55" s="758" t="s">
        <v>1281</v>
      </c>
      <c r="C55" s="1432" t="s">
        <v>393</v>
      </c>
      <c r="D55" s="1416"/>
      <c r="E55" s="249">
        <f>+SMS!F107</f>
        <v>28.5</v>
      </c>
      <c r="F55" s="249"/>
      <c r="G55" s="249">
        <f>+SMS!H107</f>
        <v>7</v>
      </c>
      <c r="H55" s="1466"/>
      <c r="I55" s="1466">
        <f>+SMS!J107</f>
        <v>35.5</v>
      </c>
      <c r="J55" s="249"/>
      <c r="K55" s="249">
        <f>+SMS!L107</f>
        <v>9</v>
      </c>
      <c r="L55" s="1467"/>
      <c r="M55" s="1467">
        <f>+SMS!N107</f>
        <v>44.5</v>
      </c>
      <c r="N55" s="249"/>
      <c r="O55" s="1468">
        <f>+SMS!P107</f>
        <v>31.43</v>
      </c>
      <c r="P55" s="1466"/>
      <c r="Q55" s="1466">
        <f>+SMS!R107</f>
        <v>75.930000000000007</v>
      </c>
      <c r="R55" s="249"/>
      <c r="S55" s="1468">
        <f>+SMS!T107</f>
        <v>4</v>
      </c>
      <c r="T55" s="1466"/>
      <c r="U55" s="1466">
        <f>+SMS!V107</f>
        <v>79.930000000000007</v>
      </c>
      <c r="V55" s="249"/>
      <c r="W55" s="1468">
        <f>+SMS!X107</f>
        <v>2.5</v>
      </c>
      <c r="X55" s="1467"/>
      <c r="Y55" s="1467">
        <f>+SMS!Z107</f>
        <v>37.93</v>
      </c>
      <c r="Z55" s="1469"/>
      <c r="AA55" s="1469">
        <f>+SMS!AB107</f>
        <v>82.43</v>
      </c>
      <c r="AB55" s="249"/>
      <c r="AC55" s="1468">
        <f>+SMS!AD107</f>
        <v>1</v>
      </c>
      <c r="AD55" s="1466"/>
      <c r="AE55" s="1466">
        <f>+SMS!AF107</f>
        <v>83.43</v>
      </c>
      <c r="AF55" s="249"/>
      <c r="AG55" s="1468">
        <f>+SMS!AH107</f>
        <v>0</v>
      </c>
      <c r="AH55" s="1466"/>
      <c r="AI55" s="1466">
        <f>+SMS!AJ107</f>
        <v>83.43</v>
      </c>
      <c r="AJ55" s="249"/>
      <c r="AK55" s="1468">
        <f>+SMS!AL107</f>
        <v>0</v>
      </c>
      <c r="AL55" s="1467"/>
      <c r="AM55" s="1467">
        <f>+SMS!AN107</f>
        <v>1</v>
      </c>
      <c r="AN55" s="1466"/>
      <c r="AO55" s="146">
        <f>+SMS!AP107</f>
        <v>83.43</v>
      </c>
      <c r="AP55" s="249"/>
      <c r="AQ55" s="1468">
        <f>+SMS!AR107</f>
        <v>9.5</v>
      </c>
      <c r="AR55" s="1466"/>
      <c r="AS55" s="1466">
        <f>+SMS!AT107</f>
        <v>92.93</v>
      </c>
    </row>
  </sheetData>
  <mergeCells count="23">
    <mergeCell ref="AP3:AQ3"/>
    <mergeCell ref="AR3:AS3"/>
    <mergeCell ref="V3:W3"/>
    <mergeCell ref="B3:B4"/>
    <mergeCell ref="C3:C4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AJ3:AK3"/>
    <mergeCell ref="AL3:AM3"/>
    <mergeCell ref="AN3:AO3"/>
    <mergeCell ref="X3:Y3"/>
    <mergeCell ref="Z3:AA3"/>
    <mergeCell ref="AB3:AC3"/>
    <mergeCell ref="AD3:AE3"/>
    <mergeCell ref="AF3:AG3"/>
    <mergeCell ref="AH3:AI3"/>
  </mergeCells>
  <pageMargins left="0.7" right="0.7" top="0.25" bottom="0.25" header="0.3" footer="0.3"/>
  <pageSetup scale="63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97575"/>
    <pageSetUpPr fitToPage="1"/>
  </sheetPr>
  <dimension ref="A1:BJ110"/>
  <sheetViews>
    <sheetView topLeftCell="E46" zoomScale="115" zoomScaleNormal="115" workbookViewId="0">
      <pane xSplit="1" topLeftCell="AX1" activePane="topRight" state="frozen"/>
      <selection activeCell="E1" sqref="E1"/>
      <selection pane="topRight" activeCell="BC114" sqref="BC114"/>
    </sheetView>
  </sheetViews>
  <sheetFormatPr defaultColWidth="9.140625" defaultRowHeight="12.75" x14ac:dyDescent="0.25"/>
  <cols>
    <col min="1" max="4" width="9.140625" style="559"/>
    <col min="5" max="5" width="50.7109375" style="558" bestFit="1" customWidth="1"/>
    <col min="6" max="6" width="8.42578125" style="559" customWidth="1"/>
    <col min="7" max="7" width="9.140625" style="559" customWidth="1"/>
    <col min="8" max="10" width="9.7109375" style="559" customWidth="1"/>
    <col min="11" max="12" width="8.42578125" style="559" customWidth="1"/>
    <col min="13" max="14" width="7.85546875" style="559" customWidth="1"/>
    <col min="15" max="15" width="8.42578125" style="559" customWidth="1"/>
    <col min="16" max="16" width="9.85546875" style="559" customWidth="1"/>
    <col min="17" max="17" width="8.42578125" style="657" customWidth="1"/>
    <col min="18" max="18" width="9.85546875" style="559" customWidth="1"/>
    <col min="19" max="20" width="9.85546875" style="657" customWidth="1"/>
    <col min="21" max="23" width="9.85546875" style="559" customWidth="1"/>
    <col min="24" max="25" width="8.42578125" style="559" customWidth="1"/>
    <col min="26" max="26" width="9.140625" style="559" customWidth="1"/>
    <col min="27" max="29" width="8.28515625" style="559" customWidth="1"/>
    <col min="30" max="30" width="8.7109375" style="559" customWidth="1"/>
    <col min="31" max="34" width="8.28515625" style="559" customWidth="1"/>
    <col min="35" max="35" width="9.42578125" style="559" customWidth="1"/>
    <col min="36" max="38" width="8.28515625" style="559" customWidth="1"/>
    <col min="39" max="39" width="8.140625" style="559" customWidth="1"/>
    <col min="40" max="40" width="9.42578125" style="559" customWidth="1"/>
    <col min="41" max="42" width="8.28515625" style="559" customWidth="1"/>
    <col min="43" max="43" width="7.85546875" style="559" customWidth="1"/>
    <col min="44" max="44" width="25" style="559" bestFit="1" customWidth="1"/>
    <col min="45" max="45" width="2.5703125" style="559" customWidth="1"/>
    <col min="46" max="46" width="9.28515625" style="559" customWidth="1"/>
    <col min="47" max="55" width="10.140625" style="559" customWidth="1"/>
    <col min="56" max="57" width="10.140625" style="559" bestFit="1" customWidth="1"/>
    <col min="58" max="58" width="13.85546875" style="559" bestFit="1" customWidth="1"/>
    <col min="59" max="16384" width="9.140625" style="559"/>
  </cols>
  <sheetData>
    <row r="1" spans="5:59" x14ac:dyDescent="0.25">
      <c r="S1" s="663"/>
      <c r="T1" s="663"/>
      <c r="U1" s="566"/>
      <c r="V1" s="566"/>
      <c r="W1" s="566"/>
      <c r="AL1" s="566"/>
      <c r="AM1" s="566"/>
      <c r="AN1" s="566"/>
      <c r="AO1" s="566"/>
      <c r="AP1" s="566"/>
      <c r="AQ1" s="566"/>
    </row>
    <row r="2" spans="5:59" ht="22.5" x14ac:dyDescent="0.25">
      <c r="E2" s="5245" t="s">
        <v>1389</v>
      </c>
      <c r="F2" s="5245"/>
      <c r="G2" s="5245"/>
      <c r="H2" s="5245"/>
      <c r="I2" s="5245"/>
      <c r="J2" s="5245"/>
      <c r="K2" s="5245"/>
      <c r="L2" s="5245"/>
      <c r="M2" s="5245"/>
      <c r="N2" s="5245"/>
      <c r="O2" s="5245"/>
      <c r="P2" s="5245"/>
      <c r="Q2" s="5245"/>
      <c r="R2" s="5245"/>
      <c r="S2" s="5245"/>
      <c r="T2" s="5245"/>
      <c r="U2" s="5245"/>
      <c r="V2" s="5245"/>
      <c r="W2" s="5245"/>
      <c r="X2" s="5245"/>
      <c r="Y2" s="5245"/>
      <c r="Z2" s="5245"/>
      <c r="AA2" s="5245"/>
      <c r="AB2" s="5245"/>
      <c r="AC2" s="5245"/>
      <c r="AD2" s="5245"/>
      <c r="AE2" s="5245"/>
      <c r="AF2" s="5245"/>
      <c r="AG2" s="5245"/>
      <c r="AH2" s="5245"/>
      <c r="AI2" s="5245"/>
      <c r="AJ2" s="5245"/>
      <c r="AK2" s="5245"/>
      <c r="AL2" s="5245"/>
      <c r="AM2" s="5245"/>
      <c r="AN2" s="5245"/>
      <c r="AO2" s="5245"/>
      <c r="AP2" s="5245"/>
      <c r="AQ2" s="5245"/>
      <c r="AR2" s="5245"/>
      <c r="AS2" s="5245"/>
      <c r="AT2" s="5245"/>
      <c r="AU2" s="5245"/>
      <c r="AV2" s="5245"/>
      <c r="AW2" s="5245"/>
      <c r="AX2" s="5245"/>
      <c r="AY2" s="5245"/>
      <c r="AZ2" s="5245"/>
      <c r="BA2" s="5245"/>
      <c r="BB2" s="5245"/>
      <c r="BC2" s="5245"/>
      <c r="BD2" s="5245"/>
      <c r="BE2" s="5245"/>
      <c r="BF2" s="5245"/>
    </row>
    <row r="3" spans="5:59" ht="13.5" thickBot="1" x14ac:dyDescent="0.3">
      <c r="AB3" s="559">
        <v>28297</v>
      </c>
    </row>
    <row r="4" spans="5:59" ht="16.5" thickBot="1" x14ac:dyDescent="0.3">
      <c r="E4" s="4677"/>
      <c r="F4" s="5246" t="s">
        <v>744</v>
      </c>
      <c r="G4" s="5247"/>
      <c r="H4" s="5247"/>
      <c r="I4" s="5247"/>
      <c r="J4" s="5247"/>
      <c r="K4" s="5247"/>
      <c r="L4" s="5247"/>
      <c r="M4" s="5247"/>
      <c r="N4" s="5247"/>
      <c r="O4" s="5247"/>
      <c r="P4" s="5247"/>
      <c r="Q4" s="5247"/>
      <c r="R4" s="5247"/>
      <c r="S4" s="5247"/>
      <c r="T4" s="5247"/>
      <c r="U4" s="5247"/>
      <c r="V4" s="5247"/>
      <c r="W4" s="5247"/>
      <c r="X4" s="5248"/>
      <c r="Y4" s="5249" t="s">
        <v>745</v>
      </c>
      <c r="Z4" s="5250"/>
      <c r="AA4" s="5250"/>
      <c r="AB4" s="5251"/>
      <c r="AC4" s="5251"/>
      <c r="AD4" s="5251"/>
      <c r="AE4" s="5251"/>
      <c r="AF4" s="5251"/>
      <c r="AG4" s="5251"/>
      <c r="AH4" s="5251"/>
      <c r="AI4" s="5251"/>
      <c r="AJ4" s="5251"/>
      <c r="AK4" s="5251"/>
      <c r="AL4" s="5251"/>
      <c r="AM4" s="5251"/>
      <c r="AN4" s="5251"/>
      <c r="AO4" s="5251"/>
      <c r="AP4" s="5251"/>
      <c r="AQ4" s="5251"/>
      <c r="AR4" s="1351" t="s">
        <v>1854</v>
      </c>
      <c r="AT4" s="5252" t="s">
        <v>1542</v>
      </c>
      <c r="AU4" s="5253"/>
      <c r="AV4" s="5253"/>
      <c r="AW4" s="5253"/>
      <c r="AX4" s="5253"/>
      <c r="AY4" s="5253"/>
      <c r="AZ4" s="5253"/>
      <c r="BA4" s="5253"/>
      <c r="BB4" s="5253"/>
      <c r="BC4" s="5253"/>
      <c r="BD4" s="5253"/>
      <c r="BE4" s="5253"/>
      <c r="BF4" s="5254"/>
    </row>
    <row r="5" spans="5:59" ht="16.5" thickBot="1" x14ac:dyDescent="0.3">
      <c r="E5" s="4678"/>
      <c r="F5" s="4689" t="s">
        <v>1380</v>
      </c>
      <c r="G5" s="4690" t="s">
        <v>1388</v>
      </c>
      <c r="H5" s="4690" t="s">
        <v>1403</v>
      </c>
      <c r="I5" s="4691" t="s">
        <v>741</v>
      </c>
      <c r="J5" s="4692" t="s">
        <v>1423</v>
      </c>
      <c r="K5" s="4692" t="s">
        <v>1498</v>
      </c>
      <c r="L5" s="4692" t="s">
        <v>1581</v>
      </c>
      <c r="M5" s="4691" t="s">
        <v>788</v>
      </c>
      <c r="N5" s="4691" t="s">
        <v>560</v>
      </c>
      <c r="O5" s="4692" t="s">
        <v>1636</v>
      </c>
      <c r="P5" s="4692" t="s">
        <v>1684</v>
      </c>
      <c r="Q5" s="4692" t="s">
        <v>1727</v>
      </c>
      <c r="R5" s="4691" t="s">
        <v>799</v>
      </c>
      <c r="S5" s="4693" t="s">
        <v>1762</v>
      </c>
      <c r="T5" s="4693" t="s">
        <v>1813</v>
      </c>
      <c r="U5" s="4693" t="s">
        <v>1852</v>
      </c>
      <c r="V5" s="4691" t="s">
        <v>800</v>
      </c>
      <c r="W5" s="4691" t="s">
        <v>608</v>
      </c>
      <c r="X5" s="4694" t="s">
        <v>1853</v>
      </c>
      <c r="Y5" s="4680" t="s">
        <v>1380</v>
      </c>
      <c r="Z5" s="1344" t="s">
        <v>1388</v>
      </c>
      <c r="AA5" s="1344" t="s">
        <v>1403</v>
      </c>
      <c r="AB5" s="1345" t="s">
        <v>741</v>
      </c>
      <c r="AC5" s="1346" t="s">
        <v>1423</v>
      </c>
      <c r="AD5" s="1346" t="s">
        <v>1498</v>
      </c>
      <c r="AE5" s="1346" t="s">
        <v>1581</v>
      </c>
      <c r="AF5" s="1345" t="s">
        <v>788</v>
      </c>
      <c r="AG5" s="1347" t="s">
        <v>560</v>
      </c>
      <c r="AH5" s="1346" t="s">
        <v>1636</v>
      </c>
      <c r="AI5" s="1346" t="s">
        <v>1684</v>
      </c>
      <c r="AJ5" s="1346" t="s">
        <v>1727</v>
      </c>
      <c r="AK5" s="1345" t="s">
        <v>799</v>
      </c>
      <c r="AL5" s="1346" t="s">
        <v>1762</v>
      </c>
      <c r="AM5" s="1346" t="s">
        <v>1289</v>
      </c>
      <c r="AN5" s="1348" t="s">
        <v>1852</v>
      </c>
      <c r="AO5" s="1345" t="s">
        <v>800</v>
      </c>
      <c r="AP5" s="1347" t="s">
        <v>608</v>
      </c>
      <c r="AQ5" s="1349" t="s">
        <v>1853</v>
      </c>
      <c r="AR5" s="1350" t="s">
        <v>1314</v>
      </c>
      <c r="AT5" s="653" t="s">
        <v>1380</v>
      </c>
      <c r="AU5" s="653" t="s">
        <v>1388</v>
      </c>
      <c r="AV5" s="653" t="s">
        <v>1403</v>
      </c>
      <c r="AW5" s="653" t="s">
        <v>1423</v>
      </c>
      <c r="AX5" s="1346" t="s">
        <v>1498</v>
      </c>
      <c r="AY5" s="1346" t="s">
        <v>1581</v>
      </c>
      <c r="AZ5" s="1346" t="s">
        <v>1636</v>
      </c>
      <c r="BA5" s="1346" t="s">
        <v>1684</v>
      </c>
      <c r="BB5" s="1346" t="s">
        <v>1727</v>
      </c>
      <c r="BC5" s="1346" t="s">
        <v>1762</v>
      </c>
      <c r="BD5" s="1346" t="s">
        <v>1813</v>
      </c>
      <c r="BE5" s="1346" t="s">
        <v>1852</v>
      </c>
      <c r="BF5" s="3383" t="s">
        <v>1855</v>
      </c>
    </row>
    <row r="6" spans="5:59" ht="15.75" x14ac:dyDescent="0.25">
      <c r="E6" s="630" t="s">
        <v>748</v>
      </c>
      <c r="F6" s="4684">
        <v>207</v>
      </c>
      <c r="G6" s="650">
        <v>236</v>
      </c>
      <c r="H6" s="650">
        <v>87</v>
      </c>
      <c r="I6" s="654">
        <f>+F6+G6+H6</f>
        <v>530</v>
      </c>
      <c r="J6" s="650">
        <v>270.51</v>
      </c>
      <c r="K6" s="650">
        <v>481</v>
      </c>
      <c r="L6" s="662">
        <v>474.99</v>
      </c>
      <c r="M6" s="654">
        <f>SUM(J6:L6)</f>
        <v>1226.5</v>
      </c>
      <c r="N6" s="655">
        <f>+I6+M6</f>
        <v>1756.5</v>
      </c>
      <c r="O6" s="650">
        <v>1056.48</v>
      </c>
      <c r="P6" s="650">
        <v>754.02</v>
      </c>
      <c r="Q6" s="662">
        <v>1344.0300000000002</v>
      </c>
      <c r="R6" s="654">
        <f>SUM(O6:Q6)</f>
        <v>3154.53</v>
      </c>
      <c r="S6" s="662">
        <v>1275.8699999999999</v>
      </c>
      <c r="T6" s="662">
        <v>287.54999999999995</v>
      </c>
      <c r="U6" s="651">
        <v>464.34000000000003</v>
      </c>
      <c r="V6" s="654">
        <f>SUM(S6:U6)</f>
        <v>2027.7599999999998</v>
      </c>
      <c r="W6" s="655">
        <f>+R6+V6</f>
        <v>5182.29</v>
      </c>
      <c r="X6" s="4685">
        <f>+W6+N6</f>
        <v>6938.79</v>
      </c>
      <c r="Y6" s="4681">
        <v>2841</v>
      </c>
      <c r="Z6" s="650">
        <v>767</v>
      </c>
      <c r="AA6" s="650">
        <v>2234</v>
      </c>
      <c r="AB6" s="654">
        <f>SUM(Y6:AA6)</f>
        <v>5842</v>
      </c>
      <c r="AC6" s="650">
        <v>2413.2900000000009</v>
      </c>
      <c r="AD6" s="1343">
        <v>2326</v>
      </c>
      <c r="AE6" s="662">
        <v>4166.2800000000016</v>
      </c>
      <c r="AF6" s="1286">
        <f>SUM(AC6:AE6)</f>
        <v>8905.5700000000033</v>
      </c>
      <c r="AG6" s="655">
        <f>+AB6+AF6</f>
        <v>14747.570000000003</v>
      </c>
      <c r="AH6" s="650">
        <v>9186.6900000000041</v>
      </c>
      <c r="AI6" s="650">
        <v>2087.3999999999996</v>
      </c>
      <c r="AJ6" s="650">
        <v>4752.0299999999988</v>
      </c>
      <c r="AK6" s="654">
        <f>SUM(AH6:AJ6)</f>
        <v>16026.120000000003</v>
      </c>
      <c r="AL6" s="662">
        <v>3934.1099999999988</v>
      </c>
      <c r="AM6" s="662">
        <v>2091.66</v>
      </c>
      <c r="AN6" s="651">
        <v>3738.1499999999996</v>
      </c>
      <c r="AO6" s="654">
        <f>+AL6+AM6+AN6</f>
        <v>9763.9199999999983</v>
      </c>
      <c r="AP6" s="655">
        <f>+AK6+AO6</f>
        <v>25790.04</v>
      </c>
      <c r="AQ6" s="656">
        <f>+AG6+AP6</f>
        <v>40537.61</v>
      </c>
      <c r="AR6" s="652">
        <f>+AQ6+X6</f>
        <v>47476.4</v>
      </c>
      <c r="AT6" s="1662">
        <f>+F6+Y6</f>
        <v>3048</v>
      </c>
      <c r="AU6" s="1662">
        <f>+G6+Z6</f>
        <v>1003</v>
      </c>
      <c r="AV6" s="1662">
        <f>+H6+AA6</f>
        <v>2321</v>
      </c>
      <c r="AW6" s="1662">
        <f>+J6+AC6</f>
        <v>2683.8000000000011</v>
      </c>
      <c r="AX6" s="1662">
        <f>+K6+AD6</f>
        <v>2807</v>
      </c>
      <c r="AY6" s="1662">
        <f>+L6+AE6</f>
        <v>4641.2700000000013</v>
      </c>
      <c r="AZ6" s="1662">
        <f>+O6+AH6</f>
        <v>10243.170000000004</v>
      </c>
      <c r="BA6" s="1662">
        <f>+P6+AI6</f>
        <v>2841.4199999999996</v>
      </c>
      <c r="BB6" s="1662">
        <f t="shared" ref="BB6:BB60" si="0">+Q6+AJ6</f>
        <v>6096.0599999999995</v>
      </c>
      <c r="BC6" s="1662">
        <f>+S6+AL6</f>
        <v>5209.9799999999987</v>
      </c>
      <c r="BD6" s="1662">
        <f>+T6+AM6</f>
        <v>2379.21</v>
      </c>
      <c r="BE6" s="1662">
        <f>+U6+AN6</f>
        <v>4202.49</v>
      </c>
      <c r="BF6" s="3385">
        <f>SUM(AT6:BE6)</f>
        <v>47476.399999999994</v>
      </c>
    </row>
    <row r="7" spans="5:59" ht="15.75" x14ac:dyDescent="0.25">
      <c r="E7" s="630" t="s">
        <v>792</v>
      </c>
      <c r="F7" s="4686"/>
      <c r="G7" s="562"/>
      <c r="H7" s="562"/>
      <c r="I7" s="654">
        <f t="shared" ref="I7:I60" si="1">+F7+G7+H7</f>
        <v>0</v>
      </c>
      <c r="J7" s="562">
        <v>151.22999999999999</v>
      </c>
      <c r="K7" s="562">
        <v>0</v>
      </c>
      <c r="L7" s="567"/>
      <c r="M7" s="654">
        <f t="shared" ref="M7:M60" si="2">SUM(J7:L7)</f>
        <v>151.22999999999999</v>
      </c>
      <c r="N7" s="655">
        <f t="shared" ref="N7:N60" si="3">+I7+M7</f>
        <v>151.22999999999999</v>
      </c>
      <c r="O7" s="562">
        <v>0</v>
      </c>
      <c r="P7" s="562">
        <v>123.54</v>
      </c>
      <c r="Q7" s="567"/>
      <c r="R7" s="654">
        <f t="shared" ref="R7:R60" si="4">SUM(O7:Q7)</f>
        <v>123.54</v>
      </c>
      <c r="S7" s="567"/>
      <c r="T7" s="567"/>
      <c r="U7" s="651"/>
      <c r="V7" s="654">
        <f t="shared" ref="V7:V60" si="5">SUM(S7:U7)</f>
        <v>0</v>
      </c>
      <c r="W7" s="655">
        <f t="shared" ref="W7:W60" si="6">+R7+V7</f>
        <v>123.54</v>
      </c>
      <c r="X7" s="4685">
        <f t="shared" ref="X7:X60" si="7">+W7+N7</f>
        <v>274.77</v>
      </c>
      <c r="Y7" s="563">
        <v>895</v>
      </c>
      <c r="Z7" s="562"/>
      <c r="AA7" s="562">
        <v>4215</v>
      </c>
      <c r="AB7" s="654">
        <f t="shared" ref="AB7:AB60" si="8">SUM(Y7:AA7)</f>
        <v>5110</v>
      </c>
      <c r="AC7" s="567">
        <v>8662.7099999999991</v>
      </c>
      <c r="AD7" s="664">
        <v>3118</v>
      </c>
      <c r="AE7" s="567">
        <v>3077.85</v>
      </c>
      <c r="AF7" s="1286">
        <f t="shared" ref="AF7:AF60" si="9">SUM(AC7:AE7)</f>
        <v>14858.56</v>
      </c>
      <c r="AG7" s="655">
        <f t="shared" ref="AG7:AG60" si="10">+AB7+AF7</f>
        <v>19968.559999999998</v>
      </c>
      <c r="AH7" s="562">
        <v>1350.42</v>
      </c>
      <c r="AI7" s="562">
        <v>2464.41</v>
      </c>
      <c r="AJ7" s="562">
        <v>3880.8600000000006</v>
      </c>
      <c r="AK7" s="654">
        <f t="shared" ref="AK7:AK60" si="11">SUM(AH7:AJ7)</f>
        <v>7695.6900000000005</v>
      </c>
      <c r="AL7" s="567">
        <v>3188.61</v>
      </c>
      <c r="AM7" s="567">
        <v>3467.6400000000003</v>
      </c>
      <c r="AN7" s="651">
        <v>2943.6600000000003</v>
      </c>
      <c r="AO7" s="654">
        <f t="shared" ref="AO7:AO60" si="12">+AL7+AM7+AN7</f>
        <v>9599.91</v>
      </c>
      <c r="AP7" s="655">
        <f t="shared" ref="AP7:AP60" si="13">+AK7+AO7</f>
        <v>17295.599999999999</v>
      </c>
      <c r="AQ7" s="656">
        <f t="shared" ref="AQ7:AQ60" si="14">+AG7+AP7</f>
        <v>37264.159999999996</v>
      </c>
      <c r="AR7" s="652">
        <f t="shared" ref="AR7:AR60" si="15">+AQ7+X7</f>
        <v>37538.929999999993</v>
      </c>
      <c r="AT7" s="1662">
        <f t="shared" ref="AT7:AT60" si="16">+F7+Y7</f>
        <v>895</v>
      </c>
      <c r="AU7" s="1662">
        <f t="shared" ref="AU7:AU60" si="17">+G7+Z7</f>
        <v>0</v>
      </c>
      <c r="AV7" s="1662">
        <f t="shared" ref="AV7:AV60" si="18">+H7+AA7</f>
        <v>4215</v>
      </c>
      <c r="AW7" s="1662">
        <f t="shared" ref="AW7:AW60" si="19">+J7+AC7</f>
        <v>8813.9399999999987</v>
      </c>
      <c r="AX7" s="1662">
        <f t="shared" ref="AX7:BC57" si="20">+K7+AD7</f>
        <v>3118</v>
      </c>
      <c r="AY7" s="1662">
        <f t="shared" si="20"/>
        <v>3077.85</v>
      </c>
      <c r="AZ7" s="1662">
        <f t="shared" ref="AZ7:BA57" si="21">+O7+AH7</f>
        <v>1350.42</v>
      </c>
      <c r="BA7" s="1662">
        <f t="shared" si="21"/>
        <v>2587.9499999999998</v>
      </c>
      <c r="BB7" s="1662">
        <f t="shared" si="0"/>
        <v>3880.8600000000006</v>
      </c>
      <c r="BC7" s="1662">
        <f t="shared" ref="BC7:BE60" si="22">+S7+AL7</f>
        <v>3188.61</v>
      </c>
      <c r="BD7" s="1662">
        <f t="shared" si="22"/>
        <v>3467.6400000000003</v>
      </c>
      <c r="BE7" s="1662">
        <f t="shared" si="22"/>
        <v>2943.6600000000003</v>
      </c>
      <c r="BF7" s="3385">
        <f t="shared" ref="BF7:BF60" si="23">SUM(AT7:BE7)</f>
        <v>37538.930000000008</v>
      </c>
      <c r="BG7" s="566"/>
    </row>
    <row r="8" spans="5:59" ht="15.75" x14ac:dyDescent="0.25">
      <c r="E8" s="630" t="s">
        <v>1433</v>
      </c>
      <c r="F8" s="4686"/>
      <c r="G8" s="562"/>
      <c r="H8" s="562"/>
      <c r="I8" s="654">
        <f t="shared" si="1"/>
        <v>0</v>
      </c>
      <c r="J8" s="567"/>
      <c r="K8" s="562">
        <v>0</v>
      </c>
      <c r="L8" s="567"/>
      <c r="M8" s="654">
        <f t="shared" si="2"/>
        <v>0</v>
      </c>
      <c r="N8" s="655">
        <f t="shared" si="3"/>
        <v>0</v>
      </c>
      <c r="O8" s="562">
        <v>0</v>
      </c>
      <c r="P8" s="562">
        <v>0</v>
      </c>
      <c r="Q8" s="567">
        <v>1024.5300000000002</v>
      </c>
      <c r="R8" s="654">
        <f t="shared" si="4"/>
        <v>1024.5300000000002</v>
      </c>
      <c r="S8" s="567"/>
      <c r="T8" s="567"/>
      <c r="U8" s="651"/>
      <c r="V8" s="654">
        <f t="shared" si="5"/>
        <v>0</v>
      </c>
      <c r="W8" s="655">
        <f t="shared" si="6"/>
        <v>1024.5300000000002</v>
      </c>
      <c r="X8" s="4685">
        <f t="shared" si="7"/>
        <v>1024.5300000000002</v>
      </c>
      <c r="Y8" s="563"/>
      <c r="Z8" s="562"/>
      <c r="AA8" s="562"/>
      <c r="AB8" s="654">
        <f t="shared" si="8"/>
        <v>0</v>
      </c>
      <c r="AC8" s="567">
        <v>1669.92</v>
      </c>
      <c r="AD8" s="664">
        <v>0</v>
      </c>
      <c r="AE8" s="567">
        <v>894.6</v>
      </c>
      <c r="AF8" s="1286">
        <f t="shared" si="9"/>
        <v>2564.52</v>
      </c>
      <c r="AG8" s="655">
        <f t="shared" si="10"/>
        <v>2564.52</v>
      </c>
      <c r="AH8" s="562">
        <v>0</v>
      </c>
      <c r="AI8" s="562">
        <v>0</v>
      </c>
      <c r="AJ8" s="562"/>
      <c r="AK8" s="654">
        <f t="shared" si="11"/>
        <v>0</v>
      </c>
      <c r="AL8" s="567"/>
      <c r="AM8" s="567"/>
      <c r="AN8" s="651"/>
      <c r="AO8" s="654">
        <f t="shared" si="12"/>
        <v>0</v>
      </c>
      <c r="AP8" s="655">
        <f t="shared" si="13"/>
        <v>0</v>
      </c>
      <c r="AQ8" s="656">
        <f t="shared" si="14"/>
        <v>2564.52</v>
      </c>
      <c r="AR8" s="652">
        <f t="shared" si="15"/>
        <v>3589.05</v>
      </c>
      <c r="AT8" s="1662">
        <f t="shared" si="16"/>
        <v>0</v>
      </c>
      <c r="AU8" s="1662">
        <f t="shared" si="17"/>
        <v>0</v>
      </c>
      <c r="AV8" s="1662">
        <f t="shared" si="18"/>
        <v>0</v>
      </c>
      <c r="AW8" s="1662">
        <f t="shared" si="19"/>
        <v>1669.92</v>
      </c>
      <c r="AX8" s="1662">
        <f t="shared" si="20"/>
        <v>0</v>
      </c>
      <c r="AY8" s="1662">
        <f t="shared" si="20"/>
        <v>894.6</v>
      </c>
      <c r="AZ8" s="1662">
        <f t="shared" si="21"/>
        <v>0</v>
      </c>
      <c r="BA8" s="1662">
        <f t="shared" si="21"/>
        <v>0</v>
      </c>
      <c r="BB8" s="1662">
        <f t="shared" si="0"/>
        <v>1024.5300000000002</v>
      </c>
      <c r="BC8" s="1662">
        <f t="shared" si="22"/>
        <v>0</v>
      </c>
      <c r="BD8" s="1662">
        <f t="shared" si="22"/>
        <v>0</v>
      </c>
      <c r="BE8" s="1662">
        <f t="shared" si="22"/>
        <v>0</v>
      </c>
      <c r="BF8" s="3385">
        <f t="shared" si="23"/>
        <v>3589.05</v>
      </c>
    </row>
    <row r="9" spans="5:59" ht="15.75" x14ac:dyDescent="0.25">
      <c r="E9" s="3224" t="s">
        <v>858</v>
      </c>
      <c r="F9" s="4686">
        <f>11072-291.66667</f>
        <v>10780.333329999999</v>
      </c>
      <c r="G9" s="562">
        <v>2866.98</v>
      </c>
      <c r="H9" s="562">
        <v>5219</v>
      </c>
      <c r="I9" s="654">
        <f t="shared" si="1"/>
        <v>18866.313329999997</v>
      </c>
      <c r="J9" s="567">
        <v>6756.3599999999979</v>
      </c>
      <c r="K9" s="562">
        <v>8982</v>
      </c>
      <c r="L9" s="567">
        <v>7282.4699999999984</v>
      </c>
      <c r="M9" s="654">
        <f t="shared" si="2"/>
        <v>23020.829999999994</v>
      </c>
      <c r="N9" s="655">
        <f t="shared" si="3"/>
        <v>41887.143329999992</v>
      </c>
      <c r="O9" s="562">
        <v>4317.5099999999993</v>
      </c>
      <c r="P9" s="562">
        <v>10581.839999999998</v>
      </c>
      <c r="Q9" s="567">
        <v>6287.76</v>
      </c>
      <c r="R9" s="654">
        <f t="shared" si="4"/>
        <v>21187.11</v>
      </c>
      <c r="S9" s="567">
        <v>3388.829999999999</v>
      </c>
      <c r="T9" s="567">
        <v>5725.4400000000014</v>
      </c>
      <c r="U9" s="651">
        <v>5535.87</v>
      </c>
      <c r="V9" s="654">
        <f t="shared" si="5"/>
        <v>14650.14</v>
      </c>
      <c r="W9" s="655">
        <f t="shared" si="6"/>
        <v>35837.25</v>
      </c>
      <c r="X9" s="4685">
        <f t="shared" si="7"/>
        <v>77724.393329999992</v>
      </c>
      <c r="Y9" s="563"/>
      <c r="Z9" s="562"/>
      <c r="AA9" s="562"/>
      <c r="AB9" s="654">
        <f t="shared" si="8"/>
        <v>0</v>
      </c>
      <c r="AC9" s="567"/>
      <c r="AD9" s="664">
        <v>0</v>
      </c>
      <c r="AE9" s="567"/>
      <c r="AF9" s="1286">
        <f t="shared" si="9"/>
        <v>0</v>
      </c>
      <c r="AG9" s="655">
        <f t="shared" si="10"/>
        <v>0</v>
      </c>
      <c r="AH9" s="562">
        <v>656.04</v>
      </c>
      <c r="AI9" s="562">
        <v>0</v>
      </c>
      <c r="AJ9" s="562"/>
      <c r="AK9" s="654">
        <f t="shared" si="11"/>
        <v>656.04</v>
      </c>
      <c r="AL9" s="567"/>
      <c r="AM9" s="567"/>
      <c r="AN9" s="651"/>
      <c r="AO9" s="654">
        <f t="shared" si="12"/>
        <v>0</v>
      </c>
      <c r="AP9" s="655">
        <f t="shared" si="13"/>
        <v>656.04</v>
      </c>
      <c r="AQ9" s="656">
        <f t="shared" si="14"/>
        <v>656.04</v>
      </c>
      <c r="AR9" s="652">
        <f t="shared" si="15"/>
        <v>78380.433329999985</v>
      </c>
      <c r="AT9" s="1662">
        <f t="shared" si="16"/>
        <v>10780.333329999999</v>
      </c>
      <c r="AU9" s="1662">
        <f t="shared" si="17"/>
        <v>2866.98</v>
      </c>
      <c r="AV9" s="1662">
        <f t="shared" si="18"/>
        <v>5219</v>
      </c>
      <c r="AW9" s="1662">
        <f t="shared" si="19"/>
        <v>6756.3599999999979</v>
      </c>
      <c r="AX9" s="1662">
        <f t="shared" si="20"/>
        <v>8982</v>
      </c>
      <c r="AY9" s="1662">
        <f t="shared" si="20"/>
        <v>7282.4699999999984</v>
      </c>
      <c r="AZ9" s="1662">
        <f t="shared" si="21"/>
        <v>4973.5499999999993</v>
      </c>
      <c r="BA9" s="1662">
        <f t="shared" si="21"/>
        <v>10581.839999999998</v>
      </c>
      <c r="BB9" s="1662">
        <f t="shared" si="0"/>
        <v>6287.76</v>
      </c>
      <c r="BC9" s="1662">
        <f t="shared" si="22"/>
        <v>3388.829999999999</v>
      </c>
      <c r="BD9" s="1662">
        <f t="shared" si="22"/>
        <v>5725.4400000000014</v>
      </c>
      <c r="BE9" s="1662">
        <f t="shared" si="22"/>
        <v>5535.87</v>
      </c>
      <c r="BF9" s="3385">
        <f t="shared" si="23"/>
        <v>78380.433329999985</v>
      </c>
      <c r="BG9" s="566"/>
    </row>
    <row r="10" spans="5:59" ht="15.75" x14ac:dyDescent="0.25">
      <c r="E10" s="648" t="s">
        <v>749</v>
      </c>
      <c r="F10" s="4686"/>
      <c r="G10" s="562"/>
      <c r="H10" s="562"/>
      <c r="I10" s="654">
        <f t="shared" si="1"/>
        <v>0</v>
      </c>
      <c r="J10" s="567"/>
      <c r="K10" s="562"/>
      <c r="L10" s="567"/>
      <c r="M10" s="654">
        <f t="shared" si="2"/>
        <v>0</v>
      </c>
      <c r="N10" s="655">
        <f t="shared" si="3"/>
        <v>0</v>
      </c>
      <c r="O10" s="562">
        <v>0</v>
      </c>
      <c r="P10" s="562">
        <v>0</v>
      </c>
      <c r="Q10" s="567">
        <v>538.89</v>
      </c>
      <c r="R10" s="654">
        <f t="shared" si="4"/>
        <v>538.89</v>
      </c>
      <c r="S10" s="567"/>
      <c r="T10" s="567"/>
      <c r="U10" s="651"/>
      <c r="V10" s="654">
        <f t="shared" si="5"/>
        <v>0</v>
      </c>
      <c r="W10" s="655">
        <f t="shared" si="6"/>
        <v>538.89</v>
      </c>
      <c r="X10" s="4685">
        <f t="shared" si="7"/>
        <v>538.89</v>
      </c>
      <c r="Y10" s="563"/>
      <c r="Z10" s="562"/>
      <c r="AA10" s="562"/>
      <c r="AB10" s="654">
        <f t="shared" si="8"/>
        <v>0</v>
      </c>
      <c r="AC10" s="567"/>
      <c r="AD10" s="664"/>
      <c r="AE10" s="567"/>
      <c r="AF10" s="1286">
        <f t="shared" si="9"/>
        <v>0</v>
      </c>
      <c r="AG10" s="655">
        <f t="shared" si="10"/>
        <v>0</v>
      </c>
      <c r="AH10" s="562">
        <v>0</v>
      </c>
      <c r="AI10" s="562">
        <v>0</v>
      </c>
      <c r="AJ10" s="562">
        <v>630.48</v>
      </c>
      <c r="AK10" s="654">
        <f t="shared" si="11"/>
        <v>630.48</v>
      </c>
      <c r="AL10" s="567">
        <v>1216.23</v>
      </c>
      <c r="AM10" s="567"/>
      <c r="AN10" s="651"/>
      <c r="AO10" s="654">
        <f t="shared" si="12"/>
        <v>1216.23</v>
      </c>
      <c r="AP10" s="655">
        <f t="shared" si="13"/>
        <v>1846.71</v>
      </c>
      <c r="AQ10" s="656">
        <f t="shared" si="14"/>
        <v>1846.71</v>
      </c>
      <c r="AR10" s="652">
        <f t="shared" si="15"/>
        <v>2385.6</v>
      </c>
      <c r="AT10" s="1662">
        <f t="shared" si="16"/>
        <v>0</v>
      </c>
      <c r="AU10" s="1662">
        <f t="shared" si="17"/>
        <v>0</v>
      </c>
      <c r="AV10" s="1662">
        <f t="shared" si="18"/>
        <v>0</v>
      </c>
      <c r="AW10" s="1662">
        <f t="shared" si="19"/>
        <v>0</v>
      </c>
      <c r="AX10" s="1662">
        <f t="shared" si="20"/>
        <v>0</v>
      </c>
      <c r="AY10" s="1662">
        <f t="shared" si="20"/>
        <v>0</v>
      </c>
      <c r="AZ10" s="1662">
        <f t="shared" si="21"/>
        <v>0</v>
      </c>
      <c r="BA10" s="1662">
        <f t="shared" si="21"/>
        <v>0</v>
      </c>
      <c r="BB10" s="1662">
        <f t="shared" si="0"/>
        <v>1169.3699999999999</v>
      </c>
      <c r="BC10" s="1662">
        <f t="shared" si="22"/>
        <v>1216.23</v>
      </c>
      <c r="BD10" s="1662">
        <f t="shared" si="22"/>
        <v>0</v>
      </c>
      <c r="BE10" s="1662">
        <f t="shared" si="22"/>
        <v>0</v>
      </c>
      <c r="BF10" s="3385">
        <f t="shared" si="23"/>
        <v>2385.6</v>
      </c>
      <c r="BG10" s="566"/>
    </row>
    <row r="11" spans="5:59" ht="15.75" x14ac:dyDescent="0.25">
      <c r="E11" s="648" t="s">
        <v>819</v>
      </c>
      <c r="F11" s="4686"/>
      <c r="G11" s="562"/>
      <c r="H11" s="562">
        <v>273</v>
      </c>
      <c r="I11" s="654">
        <f t="shared" si="1"/>
        <v>273</v>
      </c>
      <c r="J11" s="567">
        <v>707.16000000000008</v>
      </c>
      <c r="K11" s="562">
        <v>1546</v>
      </c>
      <c r="L11" s="567"/>
      <c r="M11" s="654">
        <f t="shared" si="2"/>
        <v>2253.16</v>
      </c>
      <c r="N11" s="655">
        <f t="shared" si="3"/>
        <v>2526.16</v>
      </c>
      <c r="O11" s="562">
        <v>0</v>
      </c>
      <c r="P11" s="562">
        <v>1086.3</v>
      </c>
      <c r="Q11" s="567">
        <v>1192.8</v>
      </c>
      <c r="R11" s="654">
        <f t="shared" si="4"/>
        <v>2279.1</v>
      </c>
      <c r="S11" s="567">
        <v>1065</v>
      </c>
      <c r="T11" s="567"/>
      <c r="U11" s="651">
        <v>896.73</v>
      </c>
      <c r="V11" s="654">
        <f t="shared" si="5"/>
        <v>1961.73</v>
      </c>
      <c r="W11" s="655">
        <f t="shared" si="6"/>
        <v>4240.83</v>
      </c>
      <c r="X11" s="4685">
        <f t="shared" si="7"/>
        <v>6766.99</v>
      </c>
      <c r="Y11" s="563"/>
      <c r="Z11" s="562"/>
      <c r="AA11" s="562"/>
      <c r="AB11" s="654">
        <f t="shared" si="8"/>
        <v>0</v>
      </c>
      <c r="AC11" s="567"/>
      <c r="AD11" s="664">
        <v>0</v>
      </c>
      <c r="AE11" s="567"/>
      <c r="AF11" s="1286">
        <f t="shared" si="9"/>
        <v>0</v>
      </c>
      <c r="AG11" s="655">
        <f t="shared" si="10"/>
        <v>0</v>
      </c>
      <c r="AH11" s="562">
        <v>0</v>
      </c>
      <c r="AI11" s="562">
        <v>0</v>
      </c>
      <c r="AJ11" s="562"/>
      <c r="AK11" s="654">
        <f t="shared" si="11"/>
        <v>0</v>
      </c>
      <c r="AL11" s="567"/>
      <c r="AM11" s="567"/>
      <c r="AN11" s="651"/>
      <c r="AO11" s="654">
        <f t="shared" si="12"/>
        <v>0</v>
      </c>
      <c r="AP11" s="655">
        <f t="shared" si="13"/>
        <v>0</v>
      </c>
      <c r="AQ11" s="656">
        <f t="shared" si="14"/>
        <v>0</v>
      </c>
      <c r="AR11" s="652">
        <f t="shared" si="15"/>
        <v>6766.99</v>
      </c>
      <c r="AT11" s="1662">
        <f t="shared" si="16"/>
        <v>0</v>
      </c>
      <c r="AU11" s="1662">
        <f t="shared" si="17"/>
        <v>0</v>
      </c>
      <c r="AV11" s="1662">
        <f t="shared" si="18"/>
        <v>273</v>
      </c>
      <c r="AW11" s="1662">
        <f t="shared" si="19"/>
        <v>707.16000000000008</v>
      </c>
      <c r="AX11" s="1662">
        <f t="shared" si="20"/>
        <v>1546</v>
      </c>
      <c r="AY11" s="1662">
        <f t="shared" si="20"/>
        <v>0</v>
      </c>
      <c r="AZ11" s="1662">
        <f t="shared" si="21"/>
        <v>0</v>
      </c>
      <c r="BA11" s="1662">
        <f t="shared" si="21"/>
        <v>1086.3</v>
      </c>
      <c r="BB11" s="1662">
        <f t="shared" si="0"/>
        <v>1192.8</v>
      </c>
      <c r="BC11" s="1662">
        <f t="shared" si="22"/>
        <v>1065</v>
      </c>
      <c r="BD11" s="1662">
        <f t="shared" si="22"/>
        <v>0</v>
      </c>
      <c r="BE11" s="1662">
        <f t="shared" si="22"/>
        <v>896.73</v>
      </c>
      <c r="BF11" s="3385">
        <f t="shared" si="23"/>
        <v>6766.99</v>
      </c>
    </row>
    <row r="12" spans="5:59" ht="15.75" x14ac:dyDescent="0.25">
      <c r="E12" s="648" t="s">
        <v>1728</v>
      </c>
      <c r="F12" s="4686"/>
      <c r="G12" s="562"/>
      <c r="H12" s="562"/>
      <c r="I12" s="654">
        <f t="shared" si="1"/>
        <v>0</v>
      </c>
      <c r="J12" s="567"/>
      <c r="K12" s="562"/>
      <c r="L12" s="567"/>
      <c r="M12" s="654">
        <f t="shared" si="2"/>
        <v>0</v>
      </c>
      <c r="N12" s="655">
        <f t="shared" si="3"/>
        <v>0</v>
      </c>
      <c r="O12" s="562"/>
      <c r="P12" s="562"/>
      <c r="Q12" s="567">
        <v>95.85</v>
      </c>
      <c r="R12" s="654">
        <f t="shared" si="4"/>
        <v>95.85</v>
      </c>
      <c r="S12" s="567"/>
      <c r="T12" s="567"/>
      <c r="U12" s="651"/>
      <c r="V12" s="654">
        <f t="shared" si="5"/>
        <v>0</v>
      </c>
      <c r="W12" s="655">
        <f t="shared" si="6"/>
        <v>95.85</v>
      </c>
      <c r="X12" s="4685">
        <f t="shared" si="7"/>
        <v>95.85</v>
      </c>
      <c r="Y12" s="563"/>
      <c r="Z12" s="562"/>
      <c r="AA12" s="562"/>
      <c r="AB12" s="654">
        <f t="shared" si="8"/>
        <v>0</v>
      </c>
      <c r="AC12" s="567"/>
      <c r="AD12" s="664"/>
      <c r="AE12" s="567"/>
      <c r="AF12" s="1286">
        <f t="shared" si="9"/>
        <v>0</v>
      </c>
      <c r="AG12" s="655">
        <f t="shared" si="10"/>
        <v>0</v>
      </c>
      <c r="AH12" s="562"/>
      <c r="AI12" s="562"/>
      <c r="AJ12" s="562"/>
      <c r="AK12" s="654">
        <f t="shared" si="11"/>
        <v>0</v>
      </c>
      <c r="AL12" s="567"/>
      <c r="AM12" s="567"/>
      <c r="AN12" s="651"/>
      <c r="AO12" s="654">
        <f t="shared" si="12"/>
        <v>0</v>
      </c>
      <c r="AP12" s="655">
        <f t="shared" si="13"/>
        <v>0</v>
      </c>
      <c r="AQ12" s="656">
        <f t="shared" si="14"/>
        <v>0</v>
      </c>
      <c r="AR12" s="652">
        <f t="shared" si="15"/>
        <v>95.85</v>
      </c>
      <c r="AT12" s="1662">
        <f t="shared" si="16"/>
        <v>0</v>
      </c>
      <c r="AU12" s="1662">
        <f t="shared" si="17"/>
        <v>0</v>
      </c>
      <c r="AV12" s="1662">
        <f t="shared" si="18"/>
        <v>0</v>
      </c>
      <c r="AW12" s="1662">
        <f t="shared" si="19"/>
        <v>0</v>
      </c>
      <c r="AX12" s="1662">
        <f t="shared" si="20"/>
        <v>0</v>
      </c>
      <c r="AY12" s="1662">
        <f t="shared" si="20"/>
        <v>0</v>
      </c>
      <c r="AZ12" s="1662">
        <f t="shared" si="21"/>
        <v>0</v>
      </c>
      <c r="BA12" s="1662">
        <f t="shared" si="21"/>
        <v>0</v>
      </c>
      <c r="BB12" s="1662">
        <f t="shared" si="0"/>
        <v>95.85</v>
      </c>
      <c r="BC12" s="1662">
        <f t="shared" si="22"/>
        <v>0</v>
      </c>
      <c r="BD12" s="1662">
        <f t="shared" si="22"/>
        <v>0</v>
      </c>
      <c r="BE12" s="1662">
        <f t="shared" si="22"/>
        <v>0</v>
      </c>
      <c r="BF12" s="3385">
        <f t="shared" si="23"/>
        <v>95.85</v>
      </c>
    </row>
    <row r="13" spans="5:59" ht="15.75" x14ac:dyDescent="0.25">
      <c r="E13" s="648" t="s">
        <v>1309</v>
      </c>
      <c r="F13" s="4686"/>
      <c r="G13" s="562"/>
      <c r="H13" s="562"/>
      <c r="I13" s="654">
        <f t="shared" si="1"/>
        <v>0</v>
      </c>
      <c r="J13" s="567"/>
      <c r="K13" s="562"/>
      <c r="L13" s="567"/>
      <c r="M13" s="654">
        <f t="shared" si="2"/>
        <v>0</v>
      </c>
      <c r="N13" s="655">
        <f t="shared" si="3"/>
        <v>0</v>
      </c>
      <c r="O13" s="562">
        <v>0</v>
      </c>
      <c r="P13" s="562">
        <v>0</v>
      </c>
      <c r="Q13" s="567">
        <v>0</v>
      </c>
      <c r="R13" s="654">
        <f t="shared" si="4"/>
        <v>0</v>
      </c>
      <c r="S13" s="567"/>
      <c r="T13" s="567"/>
      <c r="U13" s="651"/>
      <c r="V13" s="654">
        <f t="shared" si="5"/>
        <v>0</v>
      </c>
      <c r="W13" s="655">
        <f t="shared" si="6"/>
        <v>0</v>
      </c>
      <c r="X13" s="4685">
        <f t="shared" si="7"/>
        <v>0</v>
      </c>
      <c r="Y13" s="563"/>
      <c r="Z13" s="562"/>
      <c r="AA13" s="562"/>
      <c r="AB13" s="654">
        <f t="shared" si="8"/>
        <v>0</v>
      </c>
      <c r="AC13" s="567"/>
      <c r="AD13" s="664"/>
      <c r="AE13" s="567"/>
      <c r="AF13" s="1286">
        <f t="shared" si="9"/>
        <v>0</v>
      </c>
      <c r="AG13" s="655">
        <f t="shared" si="10"/>
        <v>0</v>
      </c>
      <c r="AH13" s="562">
        <v>1069.26</v>
      </c>
      <c r="AI13" s="562">
        <v>0</v>
      </c>
      <c r="AJ13" s="562"/>
      <c r="AK13" s="654">
        <f t="shared" si="11"/>
        <v>1069.26</v>
      </c>
      <c r="AL13" s="567"/>
      <c r="AM13" s="567"/>
      <c r="AN13" s="651"/>
      <c r="AO13" s="654">
        <f t="shared" si="12"/>
        <v>0</v>
      </c>
      <c r="AP13" s="655">
        <f t="shared" si="13"/>
        <v>1069.26</v>
      </c>
      <c r="AQ13" s="656">
        <f t="shared" si="14"/>
        <v>1069.26</v>
      </c>
      <c r="AR13" s="652">
        <f t="shared" si="15"/>
        <v>1069.26</v>
      </c>
      <c r="AT13" s="1662">
        <f t="shared" si="16"/>
        <v>0</v>
      </c>
      <c r="AU13" s="1662">
        <f t="shared" si="17"/>
        <v>0</v>
      </c>
      <c r="AV13" s="1662">
        <f t="shared" si="18"/>
        <v>0</v>
      </c>
      <c r="AW13" s="1662">
        <f t="shared" si="19"/>
        <v>0</v>
      </c>
      <c r="AX13" s="1662">
        <f t="shared" si="20"/>
        <v>0</v>
      </c>
      <c r="AY13" s="1662">
        <f t="shared" si="20"/>
        <v>0</v>
      </c>
      <c r="AZ13" s="1662">
        <f t="shared" si="21"/>
        <v>1069.26</v>
      </c>
      <c r="BA13" s="1662">
        <f t="shared" si="21"/>
        <v>0</v>
      </c>
      <c r="BB13" s="1662">
        <f t="shared" si="0"/>
        <v>0</v>
      </c>
      <c r="BC13" s="1662">
        <f t="shared" si="22"/>
        <v>0</v>
      </c>
      <c r="BD13" s="1662">
        <f t="shared" si="22"/>
        <v>0</v>
      </c>
      <c r="BE13" s="1662">
        <f t="shared" si="22"/>
        <v>0</v>
      </c>
      <c r="BF13" s="3385">
        <f t="shared" si="23"/>
        <v>1069.26</v>
      </c>
    </row>
    <row r="14" spans="5:59" ht="15.75" x14ac:dyDescent="0.25">
      <c r="E14" s="648" t="s">
        <v>750</v>
      </c>
      <c r="F14" s="4686">
        <v>345</v>
      </c>
      <c r="G14" s="562"/>
      <c r="H14" s="562">
        <v>560</v>
      </c>
      <c r="I14" s="654">
        <f t="shared" si="1"/>
        <v>905</v>
      </c>
      <c r="J14" s="567"/>
      <c r="K14" s="562">
        <v>170</v>
      </c>
      <c r="L14" s="567"/>
      <c r="M14" s="654">
        <f t="shared" si="2"/>
        <v>170</v>
      </c>
      <c r="N14" s="655">
        <f t="shared" si="3"/>
        <v>1075</v>
      </c>
      <c r="O14" s="562">
        <v>185.31</v>
      </c>
      <c r="P14" s="562">
        <v>136.32</v>
      </c>
      <c r="Q14" s="567">
        <v>670.95</v>
      </c>
      <c r="R14" s="654">
        <f t="shared" si="4"/>
        <v>992.58</v>
      </c>
      <c r="S14" s="567">
        <v>523.98</v>
      </c>
      <c r="T14" s="567">
        <v>1305.69</v>
      </c>
      <c r="U14" s="651">
        <v>509.07000000000005</v>
      </c>
      <c r="V14" s="654">
        <f t="shared" si="5"/>
        <v>2338.7400000000002</v>
      </c>
      <c r="W14" s="655">
        <f t="shared" si="6"/>
        <v>3331.32</v>
      </c>
      <c r="X14" s="4685">
        <f t="shared" si="7"/>
        <v>4406.32</v>
      </c>
      <c r="Y14" s="563">
        <v>535</v>
      </c>
      <c r="Z14" s="562">
        <v>671</v>
      </c>
      <c r="AA14" s="562">
        <v>558</v>
      </c>
      <c r="AB14" s="654">
        <f t="shared" si="8"/>
        <v>1764</v>
      </c>
      <c r="AC14" s="567"/>
      <c r="AD14" s="664">
        <v>0</v>
      </c>
      <c r="AE14" s="567"/>
      <c r="AF14" s="1286">
        <f t="shared" si="9"/>
        <v>0</v>
      </c>
      <c r="AG14" s="655">
        <f t="shared" si="10"/>
        <v>1764</v>
      </c>
      <c r="AH14" s="562">
        <v>2121.4800000000009</v>
      </c>
      <c r="AI14" s="562">
        <v>323.75999999999993</v>
      </c>
      <c r="AJ14" s="562">
        <v>342.93</v>
      </c>
      <c r="AK14" s="654">
        <f t="shared" si="11"/>
        <v>2788.1700000000005</v>
      </c>
      <c r="AL14" s="567">
        <v>856.2600000000001</v>
      </c>
      <c r="AM14" s="567">
        <v>883.95</v>
      </c>
      <c r="AN14" s="651">
        <v>517.59</v>
      </c>
      <c r="AO14" s="654">
        <f t="shared" si="12"/>
        <v>2257.8000000000002</v>
      </c>
      <c r="AP14" s="655">
        <f t="shared" si="13"/>
        <v>5045.9700000000012</v>
      </c>
      <c r="AQ14" s="656">
        <f t="shared" si="14"/>
        <v>6809.9700000000012</v>
      </c>
      <c r="AR14" s="652">
        <f t="shared" si="15"/>
        <v>11216.29</v>
      </c>
      <c r="AT14" s="1662">
        <f t="shared" si="16"/>
        <v>880</v>
      </c>
      <c r="AU14" s="1662">
        <f t="shared" si="17"/>
        <v>671</v>
      </c>
      <c r="AV14" s="1662">
        <f t="shared" si="18"/>
        <v>1118</v>
      </c>
      <c r="AW14" s="1662">
        <f t="shared" si="19"/>
        <v>0</v>
      </c>
      <c r="AX14" s="1662">
        <f t="shared" si="20"/>
        <v>170</v>
      </c>
      <c r="AY14" s="1662">
        <f t="shared" si="20"/>
        <v>0</v>
      </c>
      <c r="AZ14" s="1662">
        <f t="shared" si="21"/>
        <v>2306.7900000000009</v>
      </c>
      <c r="BA14" s="1662">
        <f t="shared" si="21"/>
        <v>460.07999999999993</v>
      </c>
      <c r="BB14" s="1662">
        <f t="shared" si="0"/>
        <v>1013.8800000000001</v>
      </c>
      <c r="BC14" s="1662">
        <f t="shared" si="22"/>
        <v>1380.2400000000002</v>
      </c>
      <c r="BD14" s="1662">
        <f t="shared" si="22"/>
        <v>2189.6400000000003</v>
      </c>
      <c r="BE14" s="1662">
        <f t="shared" si="22"/>
        <v>1026.6600000000001</v>
      </c>
      <c r="BF14" s="3385">
        <f t="shared" si="23"/>
        <v>11216.29</v>
      </c>
    </row>
    <row r="15" spans="5:59" ht="15.75" x14ac:dyDescent="0.25">
      <c r="E15" s="648" t="s">
        <v>751</v>
      </c>
      <c r="F15" s="4686">
        <v>1808</v>
      </c>
      <c r="G15" s="562">
        <v>6450</v>
      </c>
      <c r="H15" s="562">
        <v>430</v>
      </c>
      <c r="I15" s="654">
        <f t="shared" si="1"/>
        <v>8688</v>
      </c>
      <c r="J15" s="567">
        <v>136.32</v>
      </c>
      <c r="K15" s="562">
        <v>2618</v>
      </c>
      <c r="L15" s="567">
        <v>1278</v>
      </c>
      <c r="M15" s="654">
        <f t="shared" si="2"/>
        <v>4032.32</v>
      </c>
      <c r="N15" s="655">
        <f t="shared" si="3"/>
        <v>12720.32</v>
      </c>
      <c r="O15" s="562">
        <v>185.31</v>
      </c>
      <c r="P15" s="562">
        <v>843.48</v>
      </c>
      <c r="Q15" s="567">
        <v>4973.5499999999993</v>
      </c>
      <c r="R15" s="654">
        <f t="shared" si="4"/>
        <v>6002.3399999999992</v>
      </c>
      <c r="S15" s="567">
        <v>7821.3599999999988</v>
      </c>
      <c r="T15" s="567">
        <v>0</v>
      </c>
      <c r="U15" s="651"/>
      <c r="V15" s="654">
        <f t="shared" si="5"/>
        <v>7821.3599999999988</v>
      </c>
      <c r="W15" s="655">
        <f t="shared" si="6"/>
        <v>13823.699999999997</v>
      </c>
      <c r="X15" s="4685">
        <f t="shared" si="7"/>
        <v>26544.019999999997</v>
      </c>
      <c r="Y15" s="563">
        <v>31345</v>
      </c>
      <c r="Z15" s="562">
        <v>21615</v>
      </c>
      <c r="AA15" s="562">
        <v>47882</v>
      </c>
      <c r="AB15" s="654">
        <f t="shared" si="8"/>
        <v>100842</v>
      </c>
      <c r="AC15" s="567">
        <v>45722.580000000053</v>
      </c>
      <c r="AD15" s="664">
        <v>43450</v>
      </c>
      <c r="AE15" s="567">
        <v>51237.149999999987</v>
      </c>
      <c r="AF15" s="1286">
        <f t="shared" si="9"/>
        <v>140409.73000000004</v>
      </c>
      <c r="AG15" s="655">
        <f t="shared" si="10"/>
        <v>241251.73000000004</v>
      </c>
      <c r="AH15" s="562">
        <v>57412.02</v>
      </c>
      <c r="AI15" s="562">
        <v>53386.32</v>
      </c>
      <c r="AJ15" s="562">
        <v>56672.91000000004</v>
      </c>
      <c r="AK15" s="654">
        <f t="shared" si="11"/>
        <v>167471.25000000003</v>
      </c>
      <c r="AL15" s="567">
        <v>63970.290000000023</v>
      </c>
      <c r="AM15" s="567">
        <v>46502.159999999989</v>
      </c>
      <c r="AN15" s="651">
        <v>66943.770000000033</v>
      </c>
      <c r="AO15" s="654">
        <f t="shared" si="12"/>
        <v>177416.22000000003</v>
      </c>
      <c r="AP15" s="655">
        <f t="shared" si="13"/>
        <v>344887.47000000009</v>
      </c>
      <c r="AQ15" s="656">
        <f t="shared" si="14"/>
        <v>586139.20000000019</v>
      </c>
      <c r="AR15" s="652">
        <f t="shared" si="15"/>
        <v>612683.2200000002</v>
      </c>
      <c r="AT15" s="1662">
        <f t="shared" si="16"/>
        <v>33153</v>
      </c>
      <c r="AU15" s="1662">
        <f t="shared" si="17"/>
        <v>28065</v>
      </c>
      <c r="AV15" s="1662">
        <f t="shared" si="18"/>
        <v>48312</v>
      </c>
      <c r="AW15" s="1662">
        <f t="shared" si="19"/>
        <v>45858.900000000052</v>
      </c>
      <c r="AX15" s="1662">
        <f t="shared" si="20"/>
        <v>46068</v>
      </c>
      <c r="AY15" s="1662">
        <f t="shared" si="20"/>
        <v>52515.149999999987</v>
      </c>
      <c r="AZ15" s="1662">
        <f t="shared" si="21"/>
        <v>57597.329999999994</v>
      </c>
      <c r="BA15" s="1662">
        <f t="shared" si="21"/>
        <v>54229.8</v>
      </c>
      <c r="BB15" s="1662">
        <f t="shared" si="0"/>
        <v>61646.460000000036</v>
      </c>
      <c r="BC15" s="1662">
        <f t="shared" si="22"/>
        <v>71791.650000000023</v>
      </c>
      <c r="BD15" s="1662">
        <f t="shared" si="22"/>
        <v>46502.159999999989</v>
      </c>
      <c r="BE15" s="1662">
        <f t="shared" si="22"/>
        <v>66943.770000000033</v>
      </c>
      <c r="BF15" s="3385">
        <f t="shared" si="23"/>
        <v>612683.22000000009</v>
      </c>
    </row>
    <row r="16" spans="5:59" ht="15.75" x14ac:dyDescent="0.25">
      <c r="E16" s="648" t="s">
        <v>787</v>
      </c>
      <c r="F16" s="4686"/>
      <c r="G16" s="562"/>
      <c r="H16" s="562">
        <v>28</v>
      </c>
      <c r="I16" s="654">
        <f t="shared" si="1"/>
        <v>28</v>
      </c>
      <c r="J16" s="567">
        <v>3224.820000000002</v>
      </c>
      <c r="K16" s="562">
        <v>2173</v>
      </c>
      <c r="L16" s="567">
        <v>2489.9699999999998</v>
      </c>
      <c r="M16" s="654">
        <f t="shared" si="2"/>
        <v>7887.7900000000009</v>
      </c>
      <c r="N16" s="655">
        <f t="shared" si="3"/>
        <v>7915.7900000000009</v>
      </c>
      <c r="O16" s="562">
        <v>4720.0800000000027</v>
      </c>
      <c r="P16" s="562">
        <v>5152.4700000000012</v>
      </c>
      <c r="Q16" s="567">
        <v>4979.9400000000014</v>
      </c>
      <c r="R16" s="654">
        <f t="shared" si="4"/>
        <v>14852.490000000005</v>
      </c>
      <c r="S16" s="567">
        <v>457.95</v>
      </c>
      <c r="T16" s="567">
        <v>7936.3799999999965</v>
      </c>
      <c r="U16" s="651">
        <v>3827.6100000000006</v>
      </c>
      <c r="V16" s="654">
        <f t="shared" si="5"/>
        <v>12221.939999999997</v>
      </c>
      <c r="W16" s="655">
        <f t="shared" si="6"/>
        <v>27074.43</v>
      </c>
      <c r="X16" s="4685">
        <f t="shared" si="7"/>
        <v>34990.22</v>
      </c>
      <c r="Y16" s="563"/>
      <c r="Z16" s="562"/>
      <c r="AA16" s="562">
        <v>23</v>
      </c>
      <c r="AB16" s="654">
        <f t="shared" si="8"/>
        <v>23</v>
      </c>
      <c r="AC16" s="567">
        <v>2038.4100000000019</v>
      </c>
      <c r="AD16" s="664">
        <v>3385</v>
      </c>
      <c r="AE16" s="567">
        <v>2500.6200000000022</v>
      </c>
      <c r="AF16" s="1286">
        <f t="shared" si="9"/>
        <v>7924.0300000000043</v>
      </c>
      <c r="AG16" s="655">
        <f t="shared" si="10"/>
        <v>7947.0300000000043</v>
      </c>
      <c r="AH16" s="562">
        <v>6971.4900000000052</v>
      </c>
      <c r="AI16" s="562">
        <v>1194.93</v>
      </c>
      <c r="AJ16" s="562">
        <v>1695.48</v>
      </c>
      <c r="AK16" s="654">
        <f t="shared" si="11"/>
        <v>9861.9000000000051</v>
      </c>
      <c r="AL16" s="567">
        <v>2360.04</v>
      </c>
      <c r="AM16" s="567">
        <v>2826.5099999999998</v>
      </c>
      <c r="AN16" s="651">
        <v>611.31000000000006</v>
      </c>
      <c r="AO16" s="654">
        <f t="shared" si="12"/>
        <v>5797.86</v>
      </c>
      <c r="AP16" s="655">
        <f t="shared" si="13"/>
        <v>15659.760000000006</v>
      </c>
      <c r="AQ16" s="656">
        <f t="shared" si="14"/>
        <v>23606.790000000008</v>
      </c>
      <c r="AR16" s="652">
        <f t="shared" si="15"/>
        <v>58597.010000000009</v>
      </c>
      <c r="AT16" s="1662">
        <f t="shared" si="16"/>
        <v>0</v>
      </c>
      <c r="AU16" s="1662">
        <f t="shared" si="17"/>
        <v>0</v>
      </c>
      <c r="AV16" s="1662">
        <f t="shared" si="18"/>
        <v>51</v>
      </c>
      <c r="AW16" s="1662">
        <f t="shared" si="19"/>
        <v>5263.2300000000041</v>
      </c>
      <c r="AX16" s="1662">
        <f t="shared" si="20"/>
        <v>5558</v>
      </c>
      <c r="AY16" s="1662">
        <f t="shared" si="20"/>
        <v>4990.590000000002</v>
      </c>
      <c r="AZ16" s="1662">
        <f t="shared" si="21"/>
        <v>11691.570000000007</v>
      </c>
      <c r="BA16" s="1662">
        <f t="shared" si="21"/>
        <v>6347.4000000000015</v>
      </c>
      <c r="BB16" s="1662">
        <f t="shared" si="0"/>
        <v>6675.4200000000019</v>
      </c>
      <c r="BC16" s="1662">
        <f t="shared" si="22"/>
        <v>2817.99</v>
      </c>
      <c r="BD16" s="1662">
        <f t="shared" si="22"/>
        <v>10762.889999999996</v>
      </c>
      <c r="BE16" s="1662">
        <f t="shared" si="22"/>
        <v>4438.920000000001</v>
      </c>
      <c r="BF16" s="3385">
        <f t="shared" si="23"/>
        <v>58597.010000000009</v>
      </c>
    </row>
    <row r="17" spans="5:60" ht="15.75" x14ac:dyDescent="0.25">
      <c r="E17" s="648" t="s">
        <v>752</v>
      </c>
      <c r="F17" s="4686">
        <v>1727</v>
      </c>
      <c r="G17" s="562">
        <v>782</v>
      </c>
      <c r="H17" s="562">
        <v>1338</v>
      </c>
      <c r="I17" s="654">
        <f t="shared" si="1"/>
        <v>3847</v>
      </c>
      <c r="J17" s="567">
        <v>1352.55</v>
      </c>
      <c r="K17" s="562">
        <v>1331</v>
      </c>
      <c r="L17" s="567">
        <v>1833.93</v>
      </c>
      <c r="M17" s="654">
        <f t="shared" si="2"/>
        <v>4517.4800000000005</v>
      </c>
      <c r="N17" s="655">
        <f t="shared" si="3"/>
        <v>8364.48</v>
      </c>
      <c r="O17" s="562">
        <v>1642.23</v>
      </c>
      <c r="P17" s="562">
        <v>1631.5799999999995</v>
      </c>
      <c r="Q17" s="567">
        <v>1987.2900000000006</v>
      </c>
      <c r="R17" s="654">
        <f t="shared" si="4"/>
        <v>5261.1</v>
      </c>
      <c r="S17" s="567">
        <v>2036.2799999999997</v>
      </c>
      <c r="T17" s="567">
        <v>1190.6699999999996</v>
      </c>
      <c r="U17" s="651">
        <v>732.71999999999957</v>
      </c>
      <c r="V17" s="654">
        <f t="shared" si="5"/>
        <v>3959.6699999999992</v>
      </c>
      <c r="W17" s="655">
        <f t="shared" si="6"/>
        <v>9220.77</v>
      </c>
      <c r="X17" s="4685">
        <f t="shared" si="7"/>
        <v>17585.25</v>
      </c>
      <c r="Y17" s="563">
        <v>60</v>
      </c>
      <c r="Z17" s="562">
        <v>423.86999999999972</v>
      </c>
      <c r="AA17" s="562">
        <v>607</v>
      </c>
      <c r="AB17" s="654">
        <f t="shared" si="8"/>
        <v>1090.8699999999997</v>
      </c>
      <c r="AC17" s="567">
        <v>159.74999999999989</v>
      </c>
      <c r="AD17" s="664">
        <v>556</v>
      </c>
      <c r="AE17" s="567">
        <v>257.7299999999999</v>
      </c>
      <c r="AF17" s="1286">
        <f t="shared" si="9"/>
        <v>973.47999999999979</v>
      </c>
      <c r="AG17" s="655">
        <f t="shared" si="10"/>
        <v>2064.3499999999995</v>
      </c>
      <c r="AH17" s="562">
        <v>1137.42</v>
      </c>
      <c r="AI17" s="562">
        <v>736.98</v>
      </c>
      <c r="AJ17" s="562">
        <v>455.81999999999994</v>
      </c>
      <c r="AK17" s="654">
        <f t="shared" si="11"/>
        <v>2330.2200000000003</v>
      </c>
      <c r="AL17" s="567">
        <v>726.32999999999993</v>
      </c>
      <c r="AM17" s="567">
        <v>873.29999999999973</v>
      </c>
      <c r="AN17" s="651">
        <v>411.08999999999992</v>
      </c>
      <c r="AO17" s="654">
        <f t="shared" si="12"/>
        <v>2010.7199999999996</v>
      </c>
      <c r="AP17" s="655">
        <f t="shared" si="13"/>
        <v>4340.9399999999996</v>
      </c>
      <c r="AQ17" s="656">
        <f t="shared" si="14"/>
        <v>6405.2899999999991</v>
      </c>
      <c r="AR17" s="652">
        <f t="shared" si="15"/>
        <v>23990.54</v>
      </c>
      <c r="AT17" s="1662">
        <f t="shared" si="16"/>
        <v>1787</v>
      </c>
      <c r="AU17" s="1662">
        <f t="shared" si="17"/>
        <v>1205.8699999999997</v>
      </c>
      <c r="AV17" s="1662">
        <f t="shared" si="18"/>
        <v>1945</v>
      </c>
      <c r="AW17" s="1662">
        <f t="shared" si="19"/>
        <v>1512.2999999999997</v>
      </c>
      <c r="AX17" s="1662">
        <f t="shared" si="20"/>
        <v>1887</v>
      </c>
      <c r="AY17" s="1662">
        <f t="shared" si="20"/>
        <v>2091.66</v>
      </c>
      <c r="AZ17" s="1662">
        <f t="shared" si="21"/>
        <v>2779.65</v>
      </c>
      <c r="BA17" s="1662">
        <f t="shared" si="21"/>
        <v>2368.5599999999995</v>
      </c>
      <c r="BB17" s="1662">
        <f t="shared" si="0"/>
        <v>2443.1100000000006</v>
      </c>
      <c r="BC17" s="1662">
        <f t="shared" si="22"/>
        <v>2762.6099999999997</v>
      </c>
      <c r="BD17" s="1662">
        <f t="shared" si="22"/>
        <v>2063.9699999999993</v>
      </c>
      <c r="BE17" s="1662">
        <f t="shared" si="22"/>
        <v>1143.8099999999995</v>
      </c>
      <c r="BF17" s="3385">
        <f t="shared" si="23"/>
        <v>23990.54</v>
      </c>
    </row>
    <row r="18" spans="5:60" ht="15.75" x14ac:dyDescent="0.25">
      <c r="E18" s="648" t="s">
        <v>1821</v>
      </c>
      <c r="F18" s="4686"/>
      <c r="G18" s="562"/>
      <c r="H18" s="562"/>
      <c r="I18" s="654">
        <f t="shared" si="1"/>
        <v>0</v>
      </c>
      <c r="J18" s="567"/>
      <c r="K18" s="562"/>
      <c r="L18" s="567"/>
      <c r="M18" s="654">
        <f t="shared" si="2"/>
        <v>0</v>
      </c>
      <c r="N18" s="655">
        <f t="shared" si="3"/>
        <v>0</v>
      </c>
      <c r="O18" s="562"/>
      <c r="P18" s="562"/>
      <c r="Q18" s="567"/>
      <c r="R18" s="654">
        <f t="shared" si="4"/>
        <v>0</v>
      </c>
      <c r="S18" s="567"/>
      <c r="T18" s="567">
        <v>193.83</v>
      </c>
      <c r="U18" s="651">
        <v>1171.5</v>
      </c>
      <c r="V18" s="654">
        <f t="shared" si="5"/>
        <v>1365.33</v>
      </c>
      <c r="W18" s="655">
        <f t="shared" si="6"/>
        <v>1365.33</v>
      </c>
      <c r="X18" s="4685">
        <f t="shared" si="7"/>
        <v>1365.33</v>
      </c>
      <c r="Y18" s="563"/>
      <c r="Z18" s="562"/>
      <c r="AA18" s="562"/>
      <c r="AB18" s="654">
        <f t="shared" si="8"/>
        <v>0</v>
      </c>
      <c r="AC18" s="567"/>
      <c r="AD18" s="664"/>
      <c r="AE18" s="567"/>
      <c r="AF18" s="1286">
        <f t="shared" si="9"/>
        <v>0</v>
      </c>
      <c r="AG18" s="655">
        <f t="shared" si="10"/>
        <v>0</v>
      </c>
      <c r="AH18" s="562"/>
      <c r="AI18" s="562"/>
      <c r="AJ18" s="562"/>
      <c r="AK18" s="654">
        <f t="shared" si="11"/>
        <v>0</v>
      </c>
      <c r="AL18" s="567"/>
      <c r="AM18" s="567"/>
      <c r="AN18" s="651"/>
      <c r="AO18" s="654">
        <f t="shared" si="12"/>
        <v>0</v>
      </c>
      <c r="AP18" s="655">
        <f t="shared" si="13"/>
        <v>0</v>
      </c>
      <c r="AQ18" s="656">
        <f t="shared" si="14"/>
        <v>0</v>
      </c>
      <c r="AR18" s="652">
        <f t="shared" si="15"/>
        <v>1365.33</v>
      </c>
      <c r="AT18" s="1662">
        <f t="shared" si="16"/>
        <v>0</v>
      </c>
      <c r="AU18" s="1662">
        <f t="shared" si="17"/>
        <v>0</v>
      </c>
      <c r="AV18" s="1662">
        <f t="shared" si="18"/>
        <v>0</v>
      </c>
      <c r="AW18" s="1662">
        <f t="shared" si="19"/>
        <v>0</v>
      </c>
      <c r="AX18" s="1662">
        <f t="shared" si="20"/>
        <v>0</v>
      </c>
      <c r="AY18" s="1662">
        <f t="shared" si="20"/>
        <v>0</v>
      </c>
      <c r="AZ18" s="1662">
        <f t="shared" si="20"/>
        <v>0</v>
      </c>
      <c r="BA18" s="1662">
        <f t="shared" si="20"/>
        <v>0</v>
      </c>
      <c r="BB18" s="1662">
        <f t="shared" si="20"/>
        <v>0</v>
      </c>
      <c r="BC18" s="1662">
        <f t="shared" si="20"/>
        <v>0</v>
      </c>
      <c r="BD18" s="1662">
        <f t="shared" si="22"/>
        <v>193.83</v>
      </c>
      <c r="BE18" s="1662">
        <f t="shared" si="22"/>
        <v>1171.5</v>
      </c>
      <c r="BF18" s="3385">
        <f t="shared" si="23"/>
        <v>1365.33</v>
      </c>
    </row>
    <row r="19" spans="5:60" ht="15.75" x14ac:dyDescent="0.25">
      <c r="E19" s="648" t="s">
        <v>1685</v>
      </c>
      <c r="F19" s="4686"/>
      <c r="G19" s="562"/>
      <c r="H19" s="562"/>
      <c r="I19" s="654">
        <f t="shared" si="1"/>
        <v>0</v>
      </c>
      <c r="J19" s="567"/>
      <c r="K19" s="562"/>
      <c r="L19" s="567"/>
      <c r="M19" s="654">
        <f t="shared" si="2"/>
        <v>0</v>
      </c>
      <c r="N19" s="655">
        <f t="shared" si="3"/>
        <v>0</v>
      </c>
      <c r="O19" s="562"/>
      <c r="P19" s="562">
        <v>434.52</v>
      </c>
      <c r="Q19" s="567">
        <v>0</v>
      </c>
      <c r="R19" s="654">
        <f t="shared" si="4"/>
        <v>434.52</v>
      </c>
      <c r="S19" s="567"/>
      <c r="T19" s="567">
        <v>242.82</v>
      </c>
      <c r="U19" s="651"/>
      <c r="V19" s="654">
        <f t="shared" si="5"/>
        <v>242.82</v>
      </c>
      <c r="W19" s="655">
        <f t="shared" si="6"/>
        <v>677.33999999999992</v>
      </c>
      <c r="X19" s="4685">
        <f t="shared" si="7"/>
        <v>677.33999999999992</v>
      </c>
      <c r="Y19" s="563"/>
      <c r="Z19" s="562"/>
      <c r="AA19" s="562"/>
      <c r="AB19" s="654">
        <f t="shared" si="8"/>
        <v>0</v>
      </c>
      <c r="AC19" s="567"/>
      <c r="AD19" s="664"/>
      <c r="AE19" s="567"/>
      <c r="AF19" s="1286">
        <f t="shared" si="9"/>
        <v>0</v>
      </c>
      <c r="AG19" s="655">
        <f t="shared" si="10"/>
        <v>0</v>
      </c>
      <c r="AH19" s="562"/>
      <c r="AI19" s="562">
        <v>0</v>
      </c>
      <c r="AJ19" s="562"/>
      <c r="AK19" s="654">
        <f t="shared" si="11"/>
        <v>0</v>
      </c>
      <c r="AL19" s="567"/>
      <c r="AM19" s="567"/>
      <c r="AN19" s="651"/>
      <c r="AO19" s="654">
        <f t="shared" si="12"/>
        <v>0</v>
      </c>
      <c r="AP19" s="655">
        <f t="shared" si="13"/>
        <v>0</v>
      </c>
      <c r="AQ19" s="656">
        <f t="shared" si="14"/>
        <v>0</v>
      </c>
      <c r="AR19" s="652">
        <f t="shared" si="15"/>
        <v>677.33999999999992</v>
      </c>
      <c r="AT19" s="1662">
        <f t="shared" si="16"/>
        <v>0</v>
      </c>
      <c r="AU19" s="1662">
        <f t="shared" si="17"/>
        <v>0</v>
      </c>
      <c r="AV19" s="1662">
        <f t="shared" si="18"/>
        <v>0</v>
      </c>
      <c r="AW19" s="1662">
        <f t="shared" si="19"/>
        <v>0</v>
      </c>
      <c r="AX19" s="1662">
        <f t="shared" si="20"/>
        <v>0</v>
      </c>
      <c r="AY19" s="1662">
        <f t="shared" si="20"/>
        <v>0</v>
      </c>
      <c r="AZ19" s="1662">
        <f t="shared" si="21"/>
        <v>0</v>
      </c>
      <c r="BA19" s="1662">
        <f t="shared" si="21"/>
        <v>434.52</v>
      </c>
      <c r="BB19" s="1662">
        <f t="shared" si="0"/>
        <v>0</v>
      </c>
      <c r="BC19" s="1662">
        <f t="shared" si="22"/>
        <v>0</v>
      </c>
      <c r="BD19" s="1662">
        <f t="shared" si="22"/>
        <v>242.82</v>
      </c>
      <c r="BE19" s="1662">
        <f t="shared" si="22"/>
        <v>0</v>
      </c>
      <c r="BF19" s="3385">
        <f t="shared" si="23"/>
        <v>677.33999999999992</v>
      </c>
    </row>
    <row r="20" spans="5:60" ht="15.75" x14ac:dyDescent="0.25">
      <c r="E20" s="648" t="s">
        <v>1788</v>
      </c>
      <c r="F20" s="4686"/>
      <c r="G20" s="562"/>
      <c r="H20" s="562"/>
      <c r="I20" s="654">
        <f t="shared" si="1"/>
        <v>0</v>
      </c>
      <c r="J20" s="567"/>
      <c r="K20" s="562"/>
      <c r="L20" s="567"/>
      <c r="M20" s="654">
        <f t="shared" si="2"/>
        <v>0</v>
      </c>
      <c r="N20" s="655">
        <f t="shared" si="3"/>
        <v>0</v>
      </c>
      <c r="O20" s="562"/>
      <c r="P20" s="562"/>
      <c r="Q20" s="567"/>
      <c r="R20" s="654">
        <f t="shared" si="4"/>
        <v>0</v>
      </c>
      <c r="S20" s="567">
        <v>155.49</v>
      </c>
      <c r="T20" s="567"/>
      <c r="U20" s="651"/>
      <c r="V20" s="654">
        <f t="shared" si="5"/>
        <v>155.49</v>
      </c>
      <c r="W20" s="655">
        <f t="shared" si="6"/>
        <v>155.49</v>
      </c>
      <c r="X20" s="4685">
        <f t="shared" si="7"/>
        <v>155.49</v>
      </c>
      <c r="Y20" s="563"/>
      <c r="Z20" s="562"/>
      <c r="AA20" s="562"/>
      <c r="AB20" s="654">
        <f t="shared" si="8"/>
        <v>0</v>
      </c>
      <c r="AC20" s="567"/>
      <c r="AD20" s="664"/>
      <c r="AE20" s="567"/>
      <c r="AF20" s="1286">
        <f t="shared" si="9"/>
        <v>0</v>
      </c>
      <c r="AG20" s="655">
        <f t="shared" si="10"/>
        <v>0</v>
      </c>
      <c r="AH20" s="562"/>
      <c r="AI20" s="562"/>
      <c r="AJ20" s="562"/>
      <c r="AK20" s="654">
        <f t="shared" si="11"/>
        <v>0</v>
      </c>
      <c r="AL20" s="567"/>
      <c r="AM20" s="567"/>
      <c r="AN20" s="651"/>
      <c r="AO20" s="654">
        <f t="shared" si="12"/>
        <v>0</v>
      </c>
      <c r="AP20" s="655">
        <f t="shared" si="13"/>
        <v>0</v>
      </c>
      <c r="AQ20" s="656">
        <f t="shared" si="14"/>
        <v>0</v>
      </c>
      <c r="AR20" s="652">
        <f t="shared" si="15"/>
        <v>155.49</v>
      </c>
      <c r="AT20" s="1662">
        <f t="shared" si="16"/>
        <v>0</v>
      </c>
      <c r="AU20" s="1662">
        <f t="shared" si="17"/>
        <v>0</v>
      </c>
      <c r="AV20" s="1662">
        <f t="shared" si="18"/>
        <v>0</v>
      </c>
      <c r="AW20" s="1662">
        <f t="shared" si="19"/>
        <v>0</v>
      </c>
      <c r="AX20" s="1662">
        <f t="shared" si="20"/>
        <v>0</v>
      </c>
      <c r="AY20" s="1662">
        <f t="shared" si="20"/>
        <v>0</v>
      </c>
      <c r="AZ20" s="1662">
        <f t="shared" si="20"/>
        <v>0</v>
      </c>
      <c r="BA20" s="1662">
        <f t="shared" si="20"/>
        <v>0</v>
      </c>
      <c r="BB20" s="1662">
        <f t="shared" si="20"/>
        <v>0</v>
      </c>
      <c r="BC20" s="1662">
        <f t="shared" si="22"/>
        <v>155.49</v>
      </c>
      <c r="BD20" s="1662">
        <f t="shared" si="22"/>
        <v>0</v>
      </c>
      <c r="BE20" s="1662">
        <f t="shared" si="22"/>
        <v>0</v>
      </c>
      <c r="BF20" s="3385">
        <f>SUM(AT20:BE20)</f>
        <v>155.49</v>
      </c>
    </row>
    <row r="21" spans="5:60" ht="15.75" x14ac:dyDescent="0.25">
      <c r="E21" s="648" t="s">
        <v>791</v>
      </c>
      <c r="F21" s="4686"/>
      <c r="G21" s="562"/>
      <c r="H21" s="562"/>
      <c r="I21" s="654">
        <f t="shared" si="1"/>
        <v>0</v>
      </c>
      <c r="J21" s="562">
        <v>10106.849999999989</v>
      </c>
      <c r="K21" s="562">
        <v>0</v>
      </c>
      <c r="L21" s="567"/>
      <c r="M21" s="654">
        <f t="shared" si="2"/>
        <v>10106.849999999989</v>
      </c>
      <c r="N21" s="655">
        <f t="shared" si="3"/>
        <v>10106.849999999989</v>
      </c>
      <c r="O21" s="562">
        <v>0</v>
      </c>
      <c r="P21" s="562">
        <v>0</v>
      </c>
      <c r="Q21" s="567">
        <v>0</v>
      </c>
      <c r="R21" s="654">
        <f t="shared" si="4"/>
        <v>0</v>
      </c>
      <c r="S21" s="567">
        <v>14390.280000000004</v>
      </c>
      <c r="T21" s="567"/>
      <c r="U21" s="651"/>
      <c r="V21" s="654">
        <f t="shared" si="5"/>
        <v>14390.280000000004</v>
      </c>
      <c r="W21" s="655">
        <f t="shared" si="6"/>
        <v>14390.280000000004</v>
      </c>
      <c r="X21" s="4685">
        <f t="shared" si="7"/>
        <v>24497.129999999994</v>
      </c>
      <c r="Y21" s="563"/>
      <c r="Z21" s="562"/>
      <c r="AA21" s="562"/>
      <c r="AB21" s="654">
        <f t="shared" si="8"/>
        <v>0</v>
      </c>
      <c r="AC21" s="562">
        <v>9333.6599999999944</v>
      </c>
      <c r="AD21" s="664">
        <v>0</v>
      </c>
      <c r="AE21" s="567"/>
      <c r="AF21" s="1286">
        <f t="shared" si="9"/>
        <v>9333.6599999999944</v>
      </c>
      <c r="AG21" s="655">
        <f t="shared" si="10"/>
        <v>9333.6599999999944</v>
      </c>
      <c r="AH21" s="562">
        <v>0</v>
      </c>
      <c r="AI21" s="562">
        <v>0</v>
      </c>
      <c r="AJ21" s="562"/>
      <c r="AK21" s="654">
        <f t="shared" si="11"/>
        <v>0</v>
      </c>
      <c r="AL21" s="567">
        <v>3882.9900000000007</v>
      </c>
      <c r="AM21" s="567"/>
      <c r="AN21" s="651"/>
      <c r="AO21" s="654">
        <f t="shared" si="12"/>
        <v>3882.9900000000007</v>
      </c>
      <c r="AP21" s="655">
        <f t="shared" si="13"/>
        <v>3882.9900000000007</v>
      </c>
      <c r="AQ21" s="656">
        <f t="shared" si="14"/>
        <v>13216.649999999994</v>
      </c>
      <c r="AR21" s="652">
        <f t="shared" si="15"/>
        <v>37713.779999999984</v>
      </c>
      <c r="AT21" s="1662">
        <f t="shared" si="16"/>
        <v>0</v>
      </c>
      <c r="AU21" s="1662">
        <f t="shared" si="17"/>
        <v>0</v>
      </c>
      <c r="AV21" s="1662">
        <f t="shared" si="18"/>
        <v>0</v>
      </c>
      <c r="AW21" s="1662">
        <f t="shared" si="19"/>
        <v>19440.509999999984</v>
      </c>
      <c r="AX21" s="1662">
        <f t="shared" si="20"/>
        <v>0</v>
      </c>
      <c r="AY21" s="1662">
        <f t="shared" si="20"/>
        <v>0</v>
      </c>
      <c r="AZ21" s="1662">
        <f t="shared" si="21"/>
        <v>0</v>
      </c>
      <c r="BA21" s="1662">
        <f t="shared" si="21"/>
        <v>0</v>
      </c>
      <c r="BB21" s="1662">
        <f t="shared" si="0"/>
        <v>0</v>
      </c>
      <c r="BC21" s="1662">
        <f t="shared" si="22"/>
        <v>18273.270000000004</v>
      </c>
      <c r="BD21" s="1662">
        <f t="shared" si="22"/>
        <v>0</v>
      </c>
      <c r="BE21" s="1662">
        <f t="shared" si="22"/>
        <v>0</v>
      </c>
      <c r="BF21" s="3385">
        <f t="shared" si="23"/>
        <v>37713.779999999984</v>
      </c>
    </row>
    <row r="22" spans="5:60" ht="15.75" x14ac:dyDescent="0.25">
      <c r="E22" s="648" t="s">
        <v>1308</v>
      </c>
      <c r="F22" s="4686">
        <v>6283.3333366666629</v>
      </c>
      <c r="G22" s="562">
        <v>5077.6866666666683</v>
      </c>
      <c r="H22" s="562">
        <v>27043.283336666675</v>
      </c>
      <c r="I22" s="654">
        <f t="shared" si="1"/>
        <v>38404.303340000006</v>
      </c>
      <c r="J22" s="562">
        <v>7200.5033366666939</v>
      </c>
      <c r="K22" s="562">
        <v>10537.333336666677</v>
      </c>
      <c r="L22" s="567">
        <v>7447.7133366666867</v>
      </c>
      <c r="M22" s="654">
        <f t="shared" si="2"/>
        <v>25185.550010000057</v>
      </c>
      <c r="N22" s="655">
        <f t="shared" si="3"/>
        <v>63589.853350000063</v>
      </c>
      <c r="O22" s="562">
        <v>18292.343336666683</v>
      </c>
      <c r="P22" s="562">
        <v>10380.763336666691</v>
      </c>
      <c r="Q22" s="567">
        <v>14771.093336666681</v>
      </c>
      <c r="R22" s="654">
        <f t="shared" si="4"/>
        <v>43444.200010000051</v>
      </c>
      <c r="S22" s="567">
        <v>16081.073336666661</v>
      </c>
      <c r="T22" s="567">
        <v>17389.203336666691</v>
      </c>
      <c r="U22" s="651">
        <v>15140.06333666665</v>
      </c>
      <c r="V22" s="654">
        <f t="shared" si="5"/>
        <v>48610.340010000007</v>
      </c>
      <c r="W22" s="655">
        <f t="shared" si="6"/>
        <v>92054.540020000059</v>
      </c>
      <c r="X22" s="4685">
        <f t="shared" si="7"/>
        <v>155644.39337000012</v>
      </c>
      <c r="Y22" s="563">
        <v>1646.6666666666642</v>
      </c>
      <c r="Z22" s="562">
        <v>11620.796666666669</v>
      </c>
      <c r="AA22" s="562">
        <v>17982.666666666672</v>
      </c>
      <c r="AB22" s="654">
        <f t="shared" si="8"/>
        <v>31250.130000000005</v>
      </c>
      <c r="AC22" s="562">
        <v>8287.2466666666096</v>
      </c>
      <c r="AD22" s="664">
        <v>8839.6666666666715</v>
      </c>
      <c r="AE22" s="567">
        <v>7825.3766666666934</v>
      </c>
      <c r="AF22" s="1286">
        <f t="shared" si="9"/>
        <v>24952.289999999972</v>
      </c>
      <c r="AG22" s="655">
        <f t="shared" si="10"/>
        <v>56202.419999999976</v>
      </c>
      <c r="AH22" s="562">
        <v>10937.256666666668</v>
      </c>
      <c r="AI22" s="562">
        <v>19635.946666666667</v>
      </c>
      <c r="AJ22" s="562">
        <v>8089.0966666666209</v>
      </c>
      <c r="AK22" s="654">
        <f t="shared" si="11"/>
        <v>38662.299999999959</v>
      </c>
      <c r="AL22" s="567">
        <v>144.07666666664431</v>
      </c>
      <c r="AM22" s="567">
        <v>14496.786666666683</v>
      </c>
      <c r="AN22" s="651">
        <v>9022.1766666666736</v>
      </c>
      <c r="AO22" s="654">
        <f t="shared" si="12"/>
        <v>23663.040000000001</v>
      </c>
      <c r="AP22" s="655">
        <f t="shared" si="13"/>
        <v>62325.33999999996</v>
      </c>
      <c r="AQ22" s="656">
        <f t="shared" si="14"/>
        <v>118527.75999999994</v>
      </c>
      <c r="AR22" s="652">
        <f t="shared" si="15"/>
        <v>274172.15337000007</v>
      </c>
      <c r="AT22" s="1662">
        <f t="shared" ref="AT22" si="24">+F22+Y22</f>
        <v>7930.0000033333272</v>
      </c>
      <c r="AU22" s="1662">
        <f t="shared" ref="AU22" si="25">+G22+Z22</f>
        <v>16698.483333333337</v>
      </c>
      <c r="AV22" s="1662">
        <f t="shared" ref="AV22" si="26">+H22+AA22</f>
        <v>45025.950003333346</v>
      </c>
      <c r="AW22" s="1662">
        <f t="shared" ref="AW22" si="27">+J22+AC22</f>
        <v>15487.750003333304</v>
      </c>
      <c r="AX22" s="1662">
        <f t="shared" ref="AX22" si="28">+K22+AD22</f>
        <v>19377.000003333349</v>
      </c>
      <c r="AY22" s="1662">
        <f t="shared" ref="AY22" si="29">+L22+AE22</f>
        <v>15273.09000333338</v>
      </c>
      <c r="AZ22" s="1662">
        <f t="shared" ref="AZ22" si="30">+O22+AH22</f>
        <v>29229.600003333351</v>
      </c>
      <c r="BA22" s="1662">
        <f t="shared" ref="BA22" si="31">+P22+AI22</f>
        <v>30016.710003333355</v>
      </c>
      <c r="BB22" s="1662">
        <f t="shared" ref="BB22" si="32">+Q22+AJ22</f>
        <v>22860.1900033333</v>
      </c>
      <c r="BC22" s="1662">
        <f t="shared" ref="BC22" si="33">+S22+AL22</f>
        <v>16225.150003333305</v>
      </c>
      <c r="BD22" s="1662">
        <f t="shared" ref="BD22" si="34">+T22+AM22</f>
        <v>31885.990003333376</v>
      </c>
      <c r="BE22" s="1662">
        <f t="shared" ref="BE22" si="35">+U22+AN22</f>
        <v>24162.240003333325</v>
      </c>
      <c r="BF22" s="3385">
        <f t="shared" si="23"/>
        <v>274172.15337000001</v>
      </c>
      <c r="BH22" s="566">
        <f>+AR22-BF22</f>
        <v>0</v>
      </c>
    </row>
    <row r="23" spans="5:60" ht="15.75" x14ac:dyDescent="0.25">
      <c r="E23" s="648" t="s">
        <v>1504</v>
      </c>
      <c r="F23" s="4686"/>
      <c r="G23" s="562"/>
      <c r="H23" s="562"/>
      <c r="I23" s="654">
        <f t="shared" si="1"/>
        <v>0</v>
      </c>
      <c r="J23" s="562"/>
      <c r="K23" s="562">
        <v>11104</v>
      </c>
      <c r="L23" s="567"/>
      <c r="M23" s="654">
        <f t="shared" si="2"/>
        <v>11104</v>
      </c>
      <c r="N23" s="655">
        <f t="shared" si="3"/>
        <v>11104</v>
      </c>
      <c r="O23" s="562">
        <v>0</v>
      </c>
      <c r="P23" s="562">
        <v>0</v>
      </c>
      <c r="Q23" s="567"/>
      <c r="R23" s="654">
        <f t="shared" si="4"/>
        <v>0</v>
      </c>
      <c r="S23" s="567"/>
      <c r="T23" s="567"/>
      <c r="U23" s="651"/>
      <c r="V23" s="654">
        <f t="shared" si="5"/>
        <v>0</v>
      </c>
      <c r="W23" s="655">
        <f t="shared" si="6"/>
        <v>0</v>
      </c>
      <c r="X23" s="4685">
        <f t="shared" si="7"/>
        <v>11104</v>
      </c>
      <c r="Y23" s="563"/>
      <c r="Z23" s="562"/>
      <c r="AA23" s="562"/>
      <c r="AB23" s="654">
        <f t="shared" si="8"/>
        <v>0</v>
      </c>
      <c r="AC23" s="562"/>
      <c r="AD23" s="664">
        <v>7233</v>
      </c>
      <c r="AE23" s="567"/>
      <c r="AF23" s="1286">
        <f t="shared" si="9"/>
        <v>7233</v>
      </c>
      <c r="AG23" s="655">
        <f t="shared" si="10"/>
        <v>7233</v>
      </c>
      <c r="AH23" s="562">
        <v>0</v>
      </c>
      <c r="AI23" s="562">
        <v>0</v>
      </c>
      <c r="AJ23" s="562"/>
      <c r="AK23" s="654">
        <f t="shared" si="11"/>
        <v>0</v>
      </c>
      <c r="AL23" s="567"/>
      <c r="AM23" s="567"/>
      <c r="AN23" s="651"/>
      <c r="AO23" s="654">
        <f t="shared" si="12"/>
        <v>0</v>
      </c>
      <c r="AP23" s="655">
        <f t="shared" si="13"/>
        <v>0</v>
      </c>
      <c r="AQ23" s="656">
        <f t="shared" si="14"/>
        <v>7233</v>
      </c>
      <c r="AR23" s="652">
        <f t="shared" si="15"/>
        <v>18337</v>
      </c>
      <c r="AT23" s="1662">
        <f t="shared" si="16"/>
        <v>0</v>
      </c>
      <c r="AU23" s="1662">
        <f t="shared" si="17"/>
        <v>0</v>
      </c>
      <c r="AV23" s="1662">
        <f t="shared" si="18"/>
        <v>0</v>
      </c>
      <c r="AW23" s="1662">
        <f t="shared" si="19"/>
        <v>0</v>
      </c>
      <c r="AX23" s="1662">
        <f t="shared" si="20"/>
        <v>18337</v>
      </c>
      <c r="AY23" s="1662">
        <f t="shared" si="20"/>
        <v>0</v>
      </c>
      <c r="AZ23" s="1662">
        <f t="shared" si="21"/>
        <v>0</v>
      </c>
      <c r="BA23" s="1662">
        <f t="shared" si="21"/>
        <v>0</v>
      </c>
      <c r="BB23" s="1662">
        <f t="shared" si="0"/>
        <v>0</v>
      </c>
      <c r="BC23" s="1662">
        <f t="shared" si="22"/>
        <v>0</v>
      </c>
      <c r="BD23" s="1662">
        <f t="shared" si="22"/>
        <v>0</v>
      </c>
      <c r="BE23" s="1662">
        <f t="shared" si="22"/>
        <v>0</v>
      </c>
      <c r="BF23" s="3385">
        <f t="shared" si="23"/>
        <v>18337</v>
      </c>
    </row>
    <row r="24" spans="5:60" ht="15.75" x14ac:dyDescent="0.25">
      <c r="E24" s="648" t="s">
        <v>1590</v>
      </c>
      <c r="F24" s="4686"/>
      <c r="G24" s="562"/>
      <c r="H24" s="562"/>
      <c r="I24" s="654">
        <f t="shared" si="1"/>
        <v>0</v>
      </c>
      <c r="J24" s="562"/>
      <c r="K24" s="562"/>
      <c r="L24" s="567">
        <v>9557.3099999999977</v>
      </c>
      <c r="M24" s="654">
        <f t="shared" si="2"/>
        <v>9557.3099999999977</v>
      </c>
      <c r="N24" s="655">
        <f t="shared" si="3"/>
        <v>9557.3099999999977</v>
      </c>
      <c r="O24" s="562">
        <v>0</v>
      </c>
      <c r="P24" s="562">
        <v>0</v>
      </c>
      <c r="Q24" s="567"/>
      <c r="R24" s="654">
        <f t="shared" si="4"/>
        <v>0</v>
      </c>
      <c r="S24" s="567"/>
      <c r="T24" s="567"/>
      <c r="U24" s="651"/>
      <c r="V24" s="654">
        <f t="shared" si="5"/>
        <v>0</v>
      </c>
      <c r="W24" s="655">
        <f t="shared" si="6"/>
        <v>0</v>
      </c>
      <c r="X24" s="4685">
        <f t="shared" si="7"/>
        <v>9557.3099999999977</v>
      </c>
      <c r="Y24" s="563"/>
      <c r="Z24" s="562"/>
      <c r="AA24" s="562"/>
      <c r="AB24" s="654">
        <f t="shared" si="8"/>
        <v>0</v>
      </c>
      <c r="AC24" s="562"/>
      <c r="AD24" s="664"/>
      <c r="AE24" s="567">
        <v>9097.2299999999977</v>
      </c>
      <c r="AF24" s="1286">
        <f t="shared" si="9"/>
        <v>9097.2299999999977</v>
      </c>
      <c r="AG24" s="655">
        <f t="shared" si="10"/>
        <v>9097.2299999999977</v>
      </c>
      <c r="AH24" s="562">
        <v>0</v>
      </c>
      <c r="AI24" s="562">
        <v>0</v>
      </c>
      <c r="AJ24" s="562"/>
      <c r="AK24" s="654">
        <f t="shared" si="11"/>
        <v>0</v>
      </c>
      <c r="AL24" s="567"/>
      <c r="AM24" s="567"/>
      <c r="AN24" s="651"/>
      <c r="AO24" s="654">
        <f t="shared" si="12"/>
        <v>0</v>
      </c>
      <c r="AP24" s="655">
        <f t="shared" si="13"/>
        <v>0</v>
      </c>
      <c r="AQ24" s="656">
        <f t="shared" si="14"/>
        <v>9097.2299999999977</v>
      </c>
      <c r="AR24" s="652">
        <f t="shared" si="15"/>
        <v>18654.539999999994</v>
      </c>
      <c r="AT24" s="1662">
        <f t="shared" si="16"/>
        <v>0</v>
      </c>
      <c r="AU24" s="1662">
        <f t="shared" si="17"/>
        <v>0</v>
      </c>
      <c r="AV24" s="1662">
        <f t="shared" si="18"/>
        <v>0</v>
      </c>
      <c r="AW24" s="1662">
        <f t="shared" si="19"/>
        <v>0</v>
      </c>
      <c r="AX24" s="1662">
        <f t="shared" si="20"/>
        <v>0</v>
      </c>
      <c r="AY24" s="1662">
        <f t="shared" si="20"/>
        <v>18654.539999999994</v>
      </c>
      <c r="AZ24" s="1662">
        <f t="shared" si="21"/>
        <v>0</v>
      </c>
      <c r="BA24" s="1662">
        <f t="shared" si="21"/>
        <v>0</v>
      </c>
      <c r="BB24" s="1662">
        <f t="shared" si="0"/>
        <v>0</v>
      </c>
      <c r="BC24" s="1662">
        <f t="shared" si="22"/>
        <v>0</v>
      </c>
      <c r="BD24" s="1662">
        <f t="shared" si="22"/>
        <v>0</v>
      </c>
      <c r="BE24" s="1662">
        <f t="shared" si="22"/>
        <v>0</v>
      </c>
      <c r="BF24" s="3385">
        <f t="shared" si="23"/>
        <v>18654.539999999994</v>
      </c>
    </row>
    <row r="25" spans="5:60" ht="15.75" x14ac:dyDescent="0.25">
      <c r="E25" s="648" t="s">
        <v>773</v>
      </c>
      <c r="F25" s="4686"/>
      <c r="G25" s="562"/>
      <c r="H25" s="562"/>
      <c r="I25" s="654">
        <f t="shared" si="1"/>
        <v>0</v>
      </c>
      <c r="J25" s="567">
        <v>1497.42</v>
      </c>
      <c r="K25" s="562">
        <v>177</v>
      </c>
      <c r="L25" s="567"/>
      <c r="M25" s="654">
        <f t="shared" si="2"/>
        <v>1674.42</v>
      </c>
      <c r="N25" s="655">
        <f t="shared" si="3"/>
        <v>1674.42</v>
      </c>
      <c r="O25" s="562">
        <v>0</v>
      </c>
      <c r="P25" s="562">
        <v>0</v>
      </c>
      <c r="Q25" s="567"/>
      <c r="R25" s="654">
        <f t="shared" si="4"/>
        <v>0</v>
      </c>
      <c r="S25" s="567"/>
      <c r="T25" s="567"/>
      <c r="U25" s="651"/>
      <c r="V25" s="654">
        <f t="shared" si="5"/>
        <v>0</v>
      </c>
      <c r="W25" s="655">
        <f t="shared" si="6"/>
        <v>0</v>
      </c>
      <c r="X25" s="4685">
        <f t="shared" si="7"/>
        <v>1674.42</v>
      </c>
      <c r="Y25" s="563"/>
      <c r="Z25" s="562"/>
      <c r="AA25" s="562"/>
      <c r="AB25" s="654">
        <f t="shared" si="8"/>
        <v>0</v>
      </c>
      <c r="AC25" s="562"/>
      <c r="AD25" s="664">
        <v>0</v>
      </c>
      <c r="AE25" s="567"/>
      <c r="AF25" s="1286">
        <f t="shared" si="9"/>
        <v>0</v>
      </c>
      <c r="AG25" s="655">
        <f t="shared" si="10"/>
        <v>0</v>
      </c>
      <c r="AH25" s="562">
        <v>0</v>
      </c>
      <c r="AI25" s="562">
        <v>0</v>
      </c>
      <c r="AJ25" s="562"/>
      <c r="AK25" s="654">
        <f t="shared" si="11"/>
        <v>0</v>
      </c>
      <c r="AL25" s="567"/>
      <c r="AM25" s="567"/>
      <c r="AN25" s="651"/>
      <c r="AO25" s="654">
        <f t="shared" si="12"/>
        <v>0</v>
      </c>
      <c r="AP25" s="655">
        <f t="shared" si="13"/>
        <v>0</v>
      </c>
      <c r="AQ25" s="656">
        <f t="shared" si="14"/>
        <v>0</v>
      </c>
      <c r="AR25" s="652">
        <f t="shared" si="15"/>
        <v>1674.42</v>
      </c>
      <c r="AT25" s="1662">
        <f t="shared" si="16"/>
        <v>0</v>
      </c>
      <c r="AU25" s="1662">
        <f t="shared" si="17"/>
        <v>0</v>
      </c>
      <c r="AV25" s="1662">
        <f t="shared" si="18"/>
        <v>0</v>
      </c>
      <c r="AW25" s="1662">
        <f t="shared" si="19"/>
        <v>1497.42</v>
      </c>
      <c r="AX25" s="1662">
        <f t="shared" si="20"/>
        <v>177</v>
      </c>
      <c r="AY25" s="1662">
        <f t="shared" si="20"/>
        <v>0</v>
      </c>
      <c r="AZ25" s="1662">
        <f t="shared" si="21"/>
        <v>0</v>
      </c>
      <c r="BA25" s="1662">
        <f t="shared" si="21"/>
        <v>0</v>
      </c>
      <c r="BB25" s="1662">
        <f t="shared" si="0"/>
        <v>0</v>
      </c>
      <c r="BC25" s="1662">
        <f t="shared" si="22"/>
        <v>0</v>
      </c>
      <c r="BD25" s="1662">
        <f t="shared" si="22"/>
        <v>0</v>
      </c>
      <c r="BE25" s="1662">
        <f t="shared" si="22"/>
        <v>0</v>
      </c>
      <c r="BF25" s="3385">
        <f t="shared" si="23"/>
        <v>1674.42</v>
      </c>
    </row>
    <row r="26" spans="5:60" ht="15.75" x14ac:dyDescent="0.25">
      <c r="E26" s="628" t="s">
        <v>1046</v>
      </c>
      <c r="F26" s="4686">
        <v>10799</v>
      </c>
      <c r="G26" s="562">
        <v>5821</v>
      </c>
      <c r="H26" s="562">
        <f>6071-291.66667</f>
        <v>5779.3333300000004</v>
      </c>
      <c r="I26" s="654">
        <f t="shared" si="1"/>
        <v>22399.333330000001</v>
      </c>
      <c r="J26" s="567">
        <f>3759.45-291.66667</f>
        <v>3467.7833299999998</v>
      </c>
      <c r="K26" s="562">
        <v>0</v>
      </c>
      <c r="L26" s="567"/>
      <c r="M26" s="654">
        <f t="shared" si="2"/>
        <v>3467.7833299999998</v>
      </c>
      <c r="N26" s="655">
        <f t="shared" si="3"/>
        <v>25867.11666</v>
      </c>
      <c r="O26" s="562">
        <v>0</v>
      </c>
      <c r="P26" s="562">
        <v>0</v>
      </c>
      <c r="Q26" s="567"/>
      <c r="R26" s="654">
        <f t="shared" si="4"/>
        <v>0</v>
      </c>
      <c r="S26" s="567"/>
      <c r="T26" s="567"/>
      <c r="U26" s="651"/>
      <c r="V26" s="654">
        <f t="shared" si="5"/>
        <v>0</v>
      </c>
      <c r="W26" s="655">
        <f t="shared" si="6"/>
        <v>0</v>
      </c>
      <c r="X26" s="4685">
        <f t="shared" si="7"/>
        <v>25867.11666</v>
      </c>
      <c r="Y26" s="563"/>
      <c r="Z26" s="562"/>
      <c r="AA26" s="562"/>
      <c r="AB26" s="654">
        <f t="shared" si="8"/>
        <v>0</v>
      </c>
      <c r="AC26" s="562"/>
      <c r="AD26" s="664">
        <v>0</v>
      </c>
      <c r="AE26" s="567"/>
      <c r="AF26" s="1286">
        <f t="shared" si="9"/>
        <v>0</v>
      </c>
      <c r="AG26" s="655">
        <f t="shared" si="10"/>
        <v>0</v>
      </c>
      <c r="AH26" s="562">
        <v>0</v>
      </c>
      <c r="AI26" s="562">
        <v>0</v>
      </c>
      <c r="AJ26" s="562"/>
      <c r="AK26" s="654">
        <f t="shared" si="11"/>
        <v>0</v>
      </c>
      <c r="AL26" s="567"/>
      <c r="AM26" s="567"/>
      <c r="AN26" s="651"/>
      <c r="AO26" s="654">
        <f t="shared" si="12"/>
        <v>0</v>
      </c>
      <c r="AP26" s="655">
        <f t="shared" si="13"/>
        <v>0</v>
      </c>
      <c r="AQ26" s="656">
        <f t="shared" si="14"/>
        <v>0</v>
      </c>
      <c r="AR26" s="652">
        <f t="shared" si="15"/>
        <v>25867.11666</v>
      </c>
      <c r="AT26" s="1662">
        <f t="shared" si="16"/>
        <v>10799</v>
      </c>
      <c r="AU26" s="1662">
        <f t="shared" si="17"/>
        <v>5821</v>
      </c>
      <c r="AV26" s="1662">
        <f t="shared" si="18"/>
        <v>5779.3333300000004</v>
      </c>
      <c r="AW26" s="1662">
        <f t="shared" si="19"/>
        <v>3467.7833299999998</v>
      </c>
      <c r="AX26" s="1662">
        <f t="shared" si="20"/>
        <v>0</v>
      </c>
      <c r="AY26" s="1662">
        <f t="shared" si="20"/>
        <v>0</v>
      </c>
      <c r="AZ26" s="1662">
        <f t="shared" si="21"/>
        <v>0</v>
      </c>
      <c r="BA26" s="1662">
        <f t="shared" si="21"/>
        <v>0</v>
      </c>
      <c r="BB26" s="1662">
        <f t="shared" si="0"/>
        <v>0</v>
      </c>
      <c r="BC26" s="1662">
        <f t="shared" si="22"/>
        <v>0</v>
      </c>
      <c r="BD26" s="1662">
        <f t="shared" si="22"/>
        <v>0</v>
      </c>
      <c r="BE26" s="1662">
        <f t="shared" si="22"/>
        <v>0</v>
      </c>
      <c r="BF26" s="3385">
        <f t="shared" si="23"/>
        <v>25867.11666</v>
      </c>
    </row>
    <row r="27" spans="5:60" ht="15.75" x14ac:dyDescent="0.25">
      <c r="E27" s="628" t="s">
        <v>1502</v>
      </c>
      <c r="F27" s="4686"/>
      <c r="G27" s="562"/>
      <c r="H27" s="562"/>
      <c r="I27" s="654">
        <f t="shared" si="1"/>
        <v>0</v>
      </c>
      <c r="J27" s="567"/>
      <c r="K27" s="562">
        <f>6497-291.66667</f>
        <v>6205.3333300000004</v>
      </c>
      <c r="L27" s="567">
        <f>10264.47-291.66667</f>
        <v>9972.8033299999988</v>
      </c>
      <c r="M27" s="654">
        <f t="shared" si="2"/>
        <v>16178.13666</v>
      </c>
      <c r="N27" s="655">
        <f t="shared" si="3"/>
        <v>16178.13666</v>
      </c>
      <c r="O27" s="562">
        <f>4483.65-583.66667</f>
        <v>3899.9833299999996</v>
      </c>
      <c r="P27" s="562">
        <f>6426.21-291.66667</f>
        <v>6134.5433300000004</v>
      </c>
      <c r="Q27" s="567">
        <f>7625.4-291.66667</f>
        <v>7333.73333</v>
      </c>
      <c r="R27" s="654">
        <f t="shared" si="4"/>
        <v>17368.259989999999</v>
      </c>
      <c r="S27" s="567">
        <f>5823.42-291.66667</f>
        <v>5531.7533300000005</v>
      </c>
      <c r="T27" s="567">
        <f>8615.85-291.66667</f>
        <v>8324.1833299999998</v>
      </c>
      <c r="U27" s="651">
        <f>7299.51-291.66667</f>
        <v>7007.8433300000006</v>
      </c>
      <c r="V27" s="654">
        <f t="shared" si="5"/>
        <v>20863.779989999999</v>
      </c>
      <c r="W27" s="655">
        <f t="shared" si="6"/>
        <v>38232.039980000001</v>
      </c>
      <c r="X27" s="4685">
        <f t="shared" si="7"/>
        <v>54410.176640000005</v>
      </c>
      <c r="Y27" s="563"/>
      <c r="Z27" s="562"/>
      <c r="AA27" s="562"/>
      <c r="AB27" s="654">
        <f t="shared" si="8"/>
        <v>0</v>
      </c>
      <c r="AC27" s="562"/>
      <c r="AD27" s="664">
        <v>98</v>
      </c>
      <c r="AE27" s="567"/>
      <c r="AF27" s="1286">
        <f t="shared" si="9"/>
        <v>98</v>
      </c>
      <c r="AG27" s="655">
        <f t="shared" si="10"/>
        <v>98</v>
      </c>
      <c r="AH27" s="562">
        <v>523.98</v>
      </c>
      <c r="AI27" s="562">
        <v>564.45000000000005</v>
      </c>
      <c r="AJ27" s="562"/>
      <c r="AK27" s="654">
        <f t="shared" si="11"/>
        <v>1088.43</v>
      </c>
      <c r="AL27" s="567">
        <v>377.01</v>
      </c>
      <c r="AM27" s="567">
        <v>76.680000000000007</v>
      </c>
      <c r="AN27" s="651"/>
      <c r="AO27" s="654">
        <f t="shared" si="12"/>
        <v>453.69</v>
      </c>
      <c r="AP27" s="655">
        <f t="shared" si="13"/>
        <v>1542.1200000000001</v>
      </c>
      <c r="AQ27" s="656">
        <f t="shared" si="14"/>
        <v>1640.1200000000001</v>
      </c>
      <c r="AR27" s="652">
        <f t="shared" si="15"/>
        <v>56050.296640000008</v>
      </c>
      <c r="AT27" s="1662">
        <f t="shared" si="16"/>
        <v>0</v>
      </c>
      <c r="AU27" s="1662">
        <f t="shared" si="17"/>
        <v>0</v>
      </c>
      <c r="AV27" s="1662">
        <f t="shared" si="18"/>
        <v>0</v>
      </c>
      <c r="AW27" s="1662">
        <f t="shared" si="19"/>
        <v>0</v>
      </c>
      <c r="AX27" s="1662">
        <f t="shared" si="20"/>
        <v>6303.3333300000004</v>
      </c>
      <c r="AY27" s="1662">
        <f t="shared" si="20"/>
        <v>9972.8033299999988</v>
      </c>
      <c r="AZ27" s="1662">
        <f t="shared" si="21"/>
        <v>4423.9633299999996</v>
      </c>
      <c r="BA27" s="1662">
        <f t="shared" si="21"/>
        <v>6698.9933300000002</v>
      </c>
      <c r="BB27" s="1662">
        <f t="shared" si="0"/>
        <v>7333.73333</v>
      </c>
      <c r="BC27" s="1662">
        <f t="shared" si="22"/>
        <v>5908.7633300000007</v>
      </c>
      <c r="BD27" s="1662">
        <f t="shared" si="22"/>
        <v>8400.8633300000001</v>
      </c>
      <c r="BE27" s="1662">
        <f t="shared" si="22"/>
        <v>7007.8433300000006</v>
      </c>
      <c r="BF27" s="3385">
        <f t="shared" si="23"/>
        <v>56050.296640000008</v>
      </c>
    </row>
    <row r="28" spans="5:60" ht="15.75" x14ac:dyDescent="0.25">
      <c r="E28" s="628" t="s">
        <v>781</v>
      </c>
      <c r="F28" s="4686"/>
      <c r="G28" s="562"/>
      <c r="H28" s="562">
        <v>2790</v>
      </c>
      <c r="I28" s="654">
        <f t="shared" si="1"/>
        <v>2790</v>
      </c>
      <c r="J28" s="567">
        <v>423.86999999999989</v>
      </c>
      <c r="K28" s="562">
        <v>121</v>
      </c>
      <c r="L28" s="567"/>
      <c r="M28" s="654">
        <f t="shared" si="2"/>
        <v>544.86999999999989</v>
      </c>
      <c r="N28" s="655">
        <f t="shared" si="3"/>
        <v>3334.87</v>
      </c>
      <c r="O28" s="562">
        <v>1640.1</v>
      </c>
      <c r="P28" s="562">
        <v>0</v>
      </c>
      <c r="Q28" s="567"/>
      <c r="R28" s="654">
        <f t="shared" si="4"/>
        <v>1640.1</v>
      </c>
      <c r="S28" s="567"/>
      <c r="T28" s="567">
        <v>2792.4300000000003</v>
      </c>
      <c r="U28" s="651">
        <v>4213.1400000000003</v>
      </c>
      <c r="V28" s="654">
        <f t="shared" si="5"/>
        <v>7005.5700000000006</v>
      </c>
      <c r="W28" s="655">
        <f t="shared" si="6"/>
        <v>8645.67</v>
      </c>
      <c r="X28" s="4685">
        <f t="shared" si="7"/>
        <v>11980.54</v>
      </c>
      <c r="Y28" s="563"/>
      <c r="Z28" s="562"/>
      <c r="AA28" s="562"/>
      <c r="AB28" s="654">
        <f t="shared" si="8"/>
        <v>0</v>
      </c>
      <c r="AC28" s="562"/>
      <c r="AD28" s="664">
        <v>0</v>
      </c>
      <c r="AE28" s="567"/>
      <c r="AF28" s="1286">
        <f t="shared" si="9"/>
        <v>0</v>
      </c>
      <c r="AG28" s="655">
        <f t="shared" si="10"/>
        <v>0</v>
      </c>
      <c r="AH28" s="562">
        <v>0</v>
      </c>
      <c r="AI28" s="562">
        <v>0</v>
      </c>
      <c r="AJ28" s="562"/>
      <c r="AK28" s="654">
        <f t="shared" si="11"/>
        <v>0</v>
      </c>
      <c r="AL28" s="567"/>
      <c r="AM28" s="567"/>
      <c r="AN28" s="651"/>
      <c r="AO28" s="654">
        <f t="shared" si="12"/>
        <v>0</v>
      </c>
      <c r="AP28" s="655">
        <f t="shared" si="13"/>
        <v>0</v>
      </c>
      <c r="AQ28" s="656">
        <f t="shared" si="14"/>
        <v>0</v>
      </c>
      <c r="AR28" s="652">
        <f t="shared" si="15"/>
        <v>11980.54</v>
      </c>
      <c r="AT28" s="1662">
        <f t="shared" si="16"/>
        <v>0</v>
      </c>
      <c r="AU28" s="1662">
        <f t="shared" si="17"/>
        <v>0</v>
      </c>
      <c r="AV28" s="1662">
        <f t="shared" si="18"/>
        <v>2790</v>
      </c>
      <c r="AW28" s="1662">
        <f t="shared" si="19"/>
        <v>423.86999999999989</v>
      </c>
      <c r="AX28" s="1662">
        <f t="shared" si="20"/>
        <v>121</v>
      </c>
      <c r="AY28" s="1662">
        <f t="shared" si="20"/>
        <v>0</v>
      </c>
      <c r="AZ28" s="1662">
        <f t="shared" si="21"/>
        <v>1640.1</v>
      </c>
      <c r="BA28" s="1662">
        <f t="shared" si="21"/>
        <v>0</v>
      </c>
      <c r="BB28" s="1662">
        <f t="shared" si="0"/>
        <v>0</v>
      </c>
      <c r="BC28" s="1662">
        <f t="shared" si="22"/>
        <v>0</v>
      </c>
      <c r="BD28" s="1662">
        <f t="shared" si="22"/>
        <v>2792.4300000000003</v>
      </c>
      <c r="BE28" s="1662">
        <f t="shared" si="22"/>
        <v>4213.1400000000003</v>
      </c>
      <c r="BF28" s="3385">
        <f t="shared" si="23"/>
        <v>11980.54</v>
      </c>
    </row>
    <row r="29" spans="5:60" ht="15.75" x14ac:dyDescent="0.25">
      <c r="E29" s="628" t="s">
        <v>798</v>
      </c>
      <c r="F29" s="4686"/>
      <c r="G29" s="562"/>
      <c r="H29" s="562"/>
      <c r="I29" s="654">
        <f t="shared" si="1"/>
        <v>0</v>
      </c>
      <c r="J29" s="567">
        <v>796.62000000000012</v>
      </c>
      <c r="K29" s="562">
        <v>0</v>
      </c>
      <c r="L29" s="562"/>
      <c r="M29" s="654">
        <f t="shared" si="2"/>
        <v>796.62000000000012</v>
      </c>
      <c r="N29" s="655">
        <f t="shared" si="3"/>
        <v>796.62000000000012</v>
      </c>
      <c r="O29" s="562">
        <v>545.28</v>
      </c>
      <c r="P29" s="562">
        <v>0</v>
      </c>
      <c r="Q29" s="567">
        <v>534.63</v>
      </c>
      <c r="R29" s="654">
        <f t="shared" si="4"/>
        <v>1079.9099999999999</v>
      </c>
      <c r="S29" s="567"/>
      <c r="T29" s="567"/>
      <c r="U29" s="651"/>
      <c r="V29" s="654">
        <f t="shared" si="5"/>
        <v>0</v>
      </c>
      <c r="W29" s="655">
        <f t="shared" si="6"/>
        <v>1079.9099999999999</v>
      </c>
      <c r="X29" s="4685">
        <f t="shared" si="7"/>
        <v>1876.53</v>
      </c>
      <c r="Y29" s="563"/>
      <c r="Z29" s="562"/>
      <c r="AA29" s="562"/>
      <c r="AB29" s="654">
        <f t="shared" si="8"/>
        <v>0</v>
      </c>
      <c r="AC29" s="562"/>
      <c r="AD29" s="664">
        <v>0</v>
      </c>
      <c r="AE29" s="567"/>
      <c r="AF29" s="1286">
        <f t="shared" si="9"/>
        <v>0</v>
      </c>
      <c r="AG29" s="655">
        <f t="shared" si="10"/>
        <v>0</v>
      </c>
      <c r="AH29" s="562">
        <v>0</v>
      </c>
      <c r="AI29" s="562">
        <v>0</v>
      </c>
      <c r="AJ29" s="562"/>
      <c r="AK29" s="654">
        <f t="shared" si="11"/>
        <v>0</v>
      </c>
      <c r="AL29" s="567"/>
      <c r="AM29" s="567"/>
      <c r="AN29" s="651"/>
      <c r="AO29" s="654">
        <f t="shared" si="12"/>
        <v>0</v>
      </c>
      <c r="AP29" s="655">
        <f t="shared" si="13"/>
        <v>0</v>
      </c>
      <c r="AQ29" s="656">
        <f t="shared" si="14"/>
        <v>0</v>
      </c>
      <c r="AR29" s="652">
        <f t="shared" si="15"/>
        <v>1876.53</v>
      </c>
      <c r="AT29" s="1662">
        <f t="shared" si="16"/>
        <v>0</v>
      </c>
      <c r="AU29" s="1662">
        <f t="shared" si="17"/>
        <v>0</v>
      </c>
      <c r="AV29" s="1662">
        <f t="shared" si="18"/>
        <v>0</v>
      </c>
      <c r="AW29" s="1662">
        <f t="shared" si="19"/>
        <v>796.62000000000012</v>
      </c>
      <c r="AX29" s="1662">
        <f t="shared" si="20"/>
        <v>0</v>
      </c>
      <c r="AY29" s="1662">
        <f t="shared" si="20"/>
        <v>0</v>
      </c>
      <c r="AZ29" s="1662">
        <f t="shared" si="21"/>
        <v>545.28</v>
      </c>
      <c r="BA29" s="1662">
        <f t="shared" si="21"/>
        <v>0</v>
      </c>
      <c r="BB29" s="1662">
        <f t="shared" si="0"/>
        <v>534.63</v>
      </c>
      <c r="BC29" s="1662">
        <f t="shared" si="22"/>
        <v>0</v>
      </c>
      <c r="BD29" s="1662">
        <f t="shared" si="22"/>
        <v>0</v>
      </c>
      <c r="BE29" s="1662">
        <f t="shared" si="22"/>
        <v>0</v>
      </c>
      <c r="BF29" s="3385">
        <f t="shared" si="23"/>
        <v>1876.5300000000002</v>
      </c>
    </row>
    <row r="30" spans="5:60" ht="15.75" x14ac:dyDescent="0.25">
      <c r="E30" s="628" t="s">
        <v>753</v>
      </c>
      <c r="F30" s="4686"/>
      <c r="G30" s="562"/>
      <c r="H30" s="562">
        <v>3879</v>
      </c>
      <c r="I30" s="654">
        <f t="shared" si="1"/>
        <v>3879</v>
      </c>
      <c r="J30" s="562"/>
      <c r="K30" s="562">
        <v>0</v>
      </c>
      <c r="L30" s="562"/>
      <c r="M30" s="654">
        <f t="shared" si="2"/>
        <v>0</v>
      </c>
      <c r="N30" s="655">
        <f t="shared" si="3"/>
        <v>3879</v>
      </c>
      <c r="O30" s="562">
        <v>2658.24</v>
      </c>
      <c r="P30" s="562">
        <v>0</v>
      </c>
      <c r="Q30" s="567">
        <v>1337.6399999999999</v>
      </c>
      <c r="R30" s="654">
        <f t="shared" si="4"/>
        <v>3995.8799999999997</v>
      </c>
      <c r="S30" s="567">
        <v>1612.41</v>
      </c>
      <c r="T30" s="567">
        <v>51.12</v>
      </c>
      <c r="U30" s="651">
        <v>2453.7599999999998</v>
      </c>
      <c r="V30" s="654">
        <f t="shared" si="5"/>
        <v>4117.29</v>
      </c>
      <c r="W30" s="655">
        <f t="shared" si="6"/>
        <v>8113.17</v>
      </c>
      <c r="X30" s="4685">
        <f t="shared" si="7"/>
        <v>11992.17</v>
      </c>
      <c r="Y30" s="563"/>
      <c r="Z30" s="562"/>
      <c r="AA30" s="562"/>
      <c r="AB30" s="654">
        <f t="shared" si="8"/>
        <v>0</v>
      </c>
      <c r="AC30" s="562"/>
      <c r="AD30" s="664">
        <v>0</v>
      </c>
      <c r="AE30" s="567"/>
      <c r="AF30" s="1286">
        <f t="shared" si="9"/>
        <v>0</v>
      </c>
      <c r="AG30" s="655">
        <f t="shared" si="10"/>
        <v>0</v>
      </c>
      <c r="AH30" s="562">
        <v>0</v>
      </c>
      <c r="AI30" s="562">
        <v>0</v>
      </c>
      <c r="AJ30" s="562"/>
      <c r="AK30" s="654">
        <f t="shared" si="11"/>
        <v>0</v>
      </c>
      <c r="AL30" s="567"/>
      <c r="AM30" s="567"/>
      <c r="AN30" s="651"/>
      <c r="AO30" s="654">
        <f t="shared" si="12"/>
        <v>0</v>
      </c>
      <c r="AP30" s="655">
        <f t="shared" si="13"/>
        <v>0</v>
      </c>
      <c r="AQ30" s="656">
        <f t="shared" si="14"/>
        <v>0</v>
      </c>
      <c r="AR30" s="652">
        <f t="shared" si="15"/>
        <v>11992.17</v>
      </c>
      <c r="AT30" s="1662">
        <f t="shared" si="16"/>
        <v>0</v>
      </c>
      <c r="AU30" s="1662">
        <f t="shared" si="17"/>
        <v>0</v>
      </c>
      <c r="AV30" s="1662">
        <f t="shared" si="18"/>
        <v>3879</v>
      </c>
      <c r="AW30" s="1662">
        <f t="shared" si="19"/>
        <v>0</v>
      </c>
      <c r="AX30" s="1662">
        <f t="shared" si="20"/>
        <v>0</v>
      </c>
      <c r="AY30" s="1662">
        <f t="shared" si="20"/>
        <v>0</v>
      </c>
      <c r="AZ30" s="1662">
        <f t="shared" si="21"/>
        <v>2658.24</v>
      </c>
      <c r="BA30" s="1662">
        <f t="shared" si="21"/>
        <v>0</v>
      </c>
      <c r="BB30" s="1662">
        <f t="shared" si="0"/>
        <v>1337.6399999999999</v>
      </c>
      <c r="BC30" s="1662">
        <f t="shared" si="22"/>
        <v>1612.41</v>
      </c>
      <c r="BD30" s="1662">
        <f t="shared" si="22"/>
        <v>51.12</v>
      </c>
      <c r="BE30" s="1662">
        <f t="shared" si="22"/>
        <v>2453.7599999999998</v>
      </c>
      <c r="BF30" s="3385">
        <f t="shared" si="23"/>
        <v>11992.17</v>
      </c>
    </row>
    <row r="31" spans="5:60" ht="15.75" x14ac:dyDescent="0.25">
      <c r="E31" s="628" t="s">
        <v>780</v>
      </c>
      <c r="F31" s="4686"/>
      <c r="G31" s="562"/>
      <c r="H31" s="562">
        <v>1301</v>
      </c>
      <c r="I31" s="654">
        <f t="shared" si="1"/>
        <v>1301</v>
      </c>
      <c r="J31" s="562">
        <v>168.27</v>
      </c>
      <c r="K31" s="562">
        <v>1926</v>
      </c>
      <c r="L31" s="567">
        <v>1657.14</v>
      </c>
      <c r="M31" s="654">
        <f t="shared" si="2"/>
        <v>3751.41</v>
      </c>
      <c r="N31" s="655">
        <f t="shared" si="3"/>
        <v>5052.41</v>
      </c>
      <c r="O31" s="562">
        <v>1961.73</v>
      </c>
      <c r="P31" s="562">
        <v>2002.1999999999998</v>
      </c>
      <c r="Q31" s="567">
        <v>362.1</v>
      </c>
      <c r="R31" s="654">
        <f t="shared" si="4"/>
        <v>4326.03</v>
      </c>
      <c r="S31" s="567">
        <v>7261.1699999999964</v>
      </c>
      <c r="T31" s="567">
        <v>8019.4499999999989</v>
      </c>
      <c r="U31" s="651">
        <v>6076.8899999999994</v>
      </c>
      <c r="V31" s="654">
        <f t="shared" si="5"/>
        <v>21357.509999999995</v>
      </c>
      <c r="W31" s="655">
        <f t="shared" si="6"/>
        <v>25683.539999999994</v>
      </c>
      <c r="X31" s="4685">
        <f t="shared" si="7"/>
        <v>30735.949999999993</v>
      </c>
      <c r="Y31" s="563"/>
      <c r="Z31" s="562">
        <v>96</v>
      </c>
      <c r="AA31" s="562">
        <v>1165</v>
      </c>
      <c r="AB31" s="654">
        <f t="shared" si="8"/>
        <v>1261</v>
      </c>
      <c r="AC31" s="562"/>
      <c r="AD31" s="664">
        <v>251</v>
      </c>
      <c r="AE31" s="567">
        <v>632.61</v>
      </c>
      <c r="AF31" s="1286">
        <f t="shared" si="9"/>
        <v>883.61</v>
      </c>
      <c r="AG31" s="655">
        <f t="shared" si="10"/>
        <v>2144.61</v>
      </c>
      <c r="AH31" s="562">
        <v>0</v>
      </c>
      <c r="AI31" s="562">
        <v>93.72</v>
      </c>
      <c r="AJ31" s="562"/>
      <c r="AK31" s="654">
        <f t="shared" si="11"/>
        <v>93.72</v>
      </c>
      <c r="AL31" s="567">
        <v>519.72</v>
      </c>
      <c r="AM31" s="567"/>
      <c r="AN31" s="651"/>
      <c r="AO31" s="654">
        <f t="shared" si="12"/>
        <v>519.72</v>
      </c>
      <c r="AP31" s="655">
        <f t="shared" si="13"/>
        <v>613.44000000000005</v>
      </c>
      <c r="AQ31" s="656">
        <f t="shared" si="14"/>
        <v>2758.05</v>
      </c>
      <c r="AR31" s="652">
        <f t="shared" si="15"/>
        <v>33493.999999999993</v>
      </c>
      <c r="AT31" s="1662">
        <f t="shared" si="16"/>
        <v>0</v>
      </c>
      <c r="AU31" s="1662">
        <f t="shared" si="17"/>
        <v>96</v>
      </c>
      <c r="AV31" s="1662">
        <f t="shared" si="18"/>
        <v>2466</v>
      </c>
      <c r="AW31" s="1662">
        <f t="shared" si="19"/>
        <v>168.27</v>
      </c>
      <c r="AX31" s="1662">
        <f t="shared" si="20"/>
        <v>2177</v>
      </c>
      <c r="AY31" s="1662">
        <f t="shared" si="20"/>
        <v>2289.75</v>
      </c>
      <c r="AZ31" s="1662">
        <f t="shared" si="21"/>
        <v>1961.73</v>
      </c>
      <c r="BA31" s="1662">
        <f t="shared" si="21"/>
        <v>2095.9199999999996</v>
      </c>
      <c r="BB31" s="1662">
        <f t="shared" si="0"/>
        <v>362.1</v>
      </c>
      <c r="BC31" s="1662">
        <f t="shared" si="22"/>
        <v>7780.8899999999967</v>
      </c>
      <c r="BD31" s="1662">
        <f t="shared" si="22"/>
        <v>8019.4499999999989</v>
      </c>
      <c r="BE31" s="1662">
        <f t="shared" si="22"/>
        <v>6076.8899999999994</v>
      </c>
      <c r="BF31" s="3385">
        <f t="shared" si="23"/>
        <v>33493.999999999993</v>
      </c>
    </row>
    <row r="32" spans="5:60" ht="15.75" x14ac:dyDescent="0.25">
      <c r="E32" s="628" t="s">
        <v>1336</v>
      </c>
      <c r="F32" s="4686">
        <v>3033</v>
      </c>
      <c r="G32" s="562">
        <v>2006</v>
      </c>
      <c r="H32" s="562">
        <v>4136</v>
      </c>
      <c r="I32" s="654">
        <f t="shared" si="1"/>
        <v>9175</v>
      </c>
      <c r="J32" s="562">
        <v>17180.580000000002</v>
      </c>
      <c r="K32" s="562">
        <v>4775</v>
      </c>
      <c r="L32" s="567">
        <v>5216.369999999999</v>
      </c>
      <c r="M32" s="654">
        <f t="shared" si="2"/>
        <v>27171.95</v>
      </c>
      <c r="N32" s="655">
        <f t="shared" si="3"/>
        <v>36346.949999999997</v>
      </c>
      <c r="O32" s="562">
        <v>2971.35</v>
      </c>
      <c r="P32" s="562">
        <v>3218.4299999999994</v>
      </c>
      <c r="Q32" s="567">
        <v>3397.3500000000004</v>
      </c>
      <c r="R32" s="654">
        <f t="shared" si="4"/>
        <v>9587.1299999999992</v>
      </c>
      <c r="S32" s="567">
        <v>3335.58</v>
      </c>
      <c r="T32" s="567">
        <v>1437.75</v>
      </c>
      <c r="U32" s="651">
        <v>2513.4</v>
      </c>
      <c r="V32" s="654">
        <f t="shared" si="5"/>
        <v>7286.73</v>
      </c>
      <c r="W32" s="655">
        <f t="shared" si="6"/>
        <v>16873.86</v>
      </c>
      <c r="X32" s="4685">
        <f t="shared" si="7"/>
        <v>53220.81</v>
      </c>
      <c r="Y32" s="563"/>
      <c r="Z32" s="562"/>
      <c r="AA32" s="562"/>
      <c r="AB32" s="654">
        <f t="shared" si="8"/>
        <v>0</v>
      </c>
      <c r="AC32" s="562"/>
      <c r="AD32" s="664">
        <v>0</v>
      </c>
      <c r="AE32" s="567">
        <v>157.62</v>
      </c>
      <c r="AF32" s="1286">
        <f t="shared" si="9"/>
        <v>157.62</v>
      </c>
      <c r="AG32" s="655">
        <f t="shared" si="10"/>
        <v>157.62</v>
      </c>
      <c r="AH32" s="562">
        <v>159.75</v>
      </c>
      <c r="AI32" s="562">
        <v>0</v>
      </c>
      <c r="AJ32" s="562"/>
      <c r="AK32" s="654">
        <f t="shared" si="11"/>
        <v>159.75</v>
      </c>
      <c r="AL32" s="567">
        <v>146.97</v>
      </c>
      <c r="AM32" s="567"/>
      <c r="AN32" s="651"/>
      <c r="AO32" s="654">
        <f t="shared" si="12"/>
        <v>146.97</v>
      </c>
      <c r="AP32" s="655">
        <f t="shared" si="13"/>
        <v>306.72000000000003</v>
      </c>
      <c r="AQ32" s="656">
        <f t="shared" si="14"/>
        <v>464.34000000000003</v>
      </c>
      <c r="AR32" s="652">
        <f t="shared" si="15"/>
        <v>53685.149999999994</v>
      </c>
      <c r="AT32" s="1662">
        <f t="shared" si="16"/>
        <v>3033</v>
      </c>
      <c r="AU32" s="1662">
        <f t="shared" si="17"/>
        <v>2006</v>
      </c>
      <c r="AV32" s="1662">
        <f t="shared" si="18"/>
        <v>4136</v>
      </c>
      <c r="AW32" s="1662">
        <f t="shared" si="19"/>
        <v>17180.580000000002</v>
      </c>
      <c r="AX32" s="1662">
        <f t="shared" si="20"/>
        <v>4775</v>
      </c>
      <c r="AY32" s="1662">
        <f t="shared" si="20"/>
        <v>5373.9899999999989</v>
      </c>
      <c r="AZ32" s="1662">
        <f t="shared" si="21"/>
        <v>3131.1</v>
      </c>
      <c r="BA32" s="1662">
        <f t="shared" si="21"/>
        <v>3218.4299999999994</v>
      </c>
      <c r="BB32" s="1662">
        <f t="shared" si="0"/>
        <v>3397.3500000000004</v>
      </c>
      <c r="BC32" s="1662">
        <f t="shared" si="22"/>
        <v>3482.5499999999997</v>
      </c>
      <c r="BD32" s="1662">
        <f t="shared" si="22"/>
        <v>1437.75</v>
      </c>
      <c r="BE32" s="1662">
        <f t="shared" si="22"/>
        <v>2513.4</v>
      </c>
      <c r="BF32" s="3385">
        <f t="shared" si="23"/>
        <v>53685.15</v>
      </c>
    </row>
    <row r="33" spans="1:58" ht="15.75" x14ac:dyDescent="0.25">
      <c r="E33" s="628" t="s">
        <v>1729</v>
      </c>
      <c r="F33" s="4686"/>
      <c r="G33" s="562"/>
      <c r="H33" s="562"/>
      <c r="I33" s="654">
        <f t="shared" si="1"/>
        <v>0</v>
      </c>
      <c r="J33" s="562"/>
      <c r="K33" s="562"/>
      <c r="L33" s="567"/>
      <c r="M33" s="654">
        <f t="shared" si="2"/>
        <v>0</v>
      </c>
      <c r="N33" s="655">
        <f t="shared" si="3"/>
        <v>0</v>
      </c>
      <c r="O33" s="562"/>
      <c r="P33" s="562"/>
      <c r="Q33" s="567">
        <v>541.02</v>
      </c>
      <c r="R33" s="654">
        <f t="shared" si="4"/>
        <v>541.02</v>
      </c>
      <c r="S33" s="567"/>
      <c r="T33" s="567">
        <v>560.19000000000005</v>
      </c>
      <c r="U33" s="651">
        <v>634.74</v>
      </c>
      <c r="V33" s="654">
        <f t="shared" si="5"/>
        <v>1194.93</v>
      </c>
      <c r="W33" s="655">
        <f t="shared" si="6"/>
        <v>1735.95</v>
      </c>
      <c r="X33" s="4685">
        <f t="shared" si="7"/>
        <v>1735.95</v>
      </c>
      <c r="Y33" s="563"/>
      <c r="Z33" s="562"/>
      <c r="AA33" s="562"/>
      <c r="AB33" s="654">
        <f t="shared" si="8"/>
        <v>0</v>
      </c>
      <c r="AC33" s="562"/>
      <c r="AD33" s="664"/>
      <c r="AE33" s="567"/>
      <c r="AF33" s="1286">
        <f t="shared" si="9"/>
        <v>0</v>
      </c>
      <c r="AG33" s="655">
        <f t="shared" si="10"/>
        <v>0</v>
      </c>
      <c r="AH33" s="562"/>
      <c r="AI33" s="562"/>
      <c r="AJ33" s="562"/>
      <c r="AK33" s="654">
        <f t="shared" si="11"/>
        <v>0</v>
      </c>
      <c r="AL33" s="567"/>
      <c r="AM33" s="567"/>
      <c r="AN33" s="651"/>
      <c r="AO33" s="654">
        <f t="shared" si="12"/>
        <v>0</v>
      </c>
      <c r="AP33" s="655">
        <f t="shared" si="13"/>
        <v>0</v>
      </c>
      <c r="AQ33" s="656">
        <f t="shared" si="14"/>
        <v>0</v>
      </c>
      <c r="AR33" s="652">
        <f t="shared" si="15"/>
        <v>1735.95</v>
      </c>
      <c r="AT33" s="1662">
        <f t="shared" si="16"/>
        <v>0</v>
      </c>
      <c r="AU33" s="1662">
        <f t="shared" si="17"/>
        <v>0</v>
      </c>
      <c r="AV33" s="1662">
        <f t="shared" si="18"/>
        <v>0</v>
      </c>
      <c r="AW33" s="1662">
        <f t="shared" si="19"/>
        <v>0</v>
      </c>
      <c r="AX33" s="1662">
        <f t="shared" si="20"/>
        <v>0</v>
      </c>
      <c r="AY33" s="1662">
        <f t="shared" si="20"/>
        <v>0</v>
      </c>
      <c r="AZ33" s="1662">
        <f t="shared" si="21"/>
        <v>0</v>
      </c>
      <c r="BA33" s="1662">
        <f t="shared" si="21"/>
        <v>0</v>
      </c>
      <c r="BB33" s="1662">
        <f t="shared" si="0"/>
        <v>541.02</v>
      </c>
      <c r="BC33" s="1662">
        <f t="shared" si="22"/>
        <v>0</v>
      </c>
      <c r="BD33" s="1662">
        <f t="shared" si="22"/>
        <v>560.19000000000005</v>
      </c>
      <c r="BE33" s="1662">
        <f t="shared" si="22"/>
        <v>634.74</v>
      </c>
      <c r="BF33" s="3385">
        <f>SUM(AT33:BE33)</f>
        <v>1735.95</v>
      </c>
    </row>
    <row r="34" spans="1:58" ht="15.75" x14ac:dyDescent="0.25">
      <c r="E34" s="628" t="s">
        <v>1503</v>
      </c>
      <c r="F34" s="4686"/>
      <c r="G34" s="562"/>
      <c r="H34" s="562"/>
      <c r="I34" s="654">
        <f t="shared" si="1"/>
        <v>0</v>
      </c>
      <c r="J34" s="562"/>
      <c r="K34" s="562">
        <v>326</v>
      </c>
      <c r="L34" s="562"/>
      <c r="M34" s="654">
        <f t="shared" si="2"/>
        <v>326</v>
      </c>
      <c r="N34" s="655">
        <f t="shared" si="3"/>
        <v>326</v>
      </c>
      <c r="O34" s="562">
        <v>0</v>
      </c>
      <c r="P34" s="562">
        <v>0</v>
      </c>
      <c r="Q34" s="567">
        <v>0</v>
      </c>
      <c r="R34" s="654">
        <f t="shared" si="4"/>
        <v>0</v>
      </c>
      <c r="S34" s="567"/>
      <c r="T34" s="567"/>
      <c r="U34" s="651"/>
      <c r="V34" s="654">
        <f t="shared" si="5"/>
        <v>0</v>
      </c>
      <c r="W34" s="655">
        <f t="shared" si="6"/>
        <v>0</v>
      </c>
      <c r="X34" s="4685">
        <f t="shared" si="7"/>
        <v>326</v>
      </c>
      <c r="Y34" s="563"/>
      <c r="Z34" s="562"/>
      <c r="AA34" s="562"/>
      <c r="AB34" s="654">
        <f t="shared" si="8"/>
        <v>0</v>
      </c>
      <c r="AC34" s="562"/>
      <c r="AD34" s="664">
        <v>0</v>
      </c>
      <c r="AE34" s="567"/>
      <c r="AF34" s="1286">
        <f t="shared" si="9"/>
        <v>0</v>
      </c>
      <c r="AG34" s="655">
        <f t="shared" si="10"/>
        <v>0</v>
      </c>
      <c r="AH34" s="562">
        <v>0</v>
      </c>
      <c r="AI34" s="562">
        <v>0</v>
      </c>
      <c r="AJ34" s="562"/>
      <c r="AK34" s="654">
        <f t="shared" si="11"/>
        <v>0</v>
      </c>
      <c r="AL34" s="567"/>
      <c r="AM34" s="567"/>
      <c r="AN34" s="651"/>
      <c r="AO34" s="654">
        <f t="shared" si="12"/>
        <v>0</v>
      </c>
      <c r="AP34" s="655">
        <f t="shared" si="13"/>
        <v>0</v>
      </c>
      <c r="AQ34" s="656">
        <f t="shared" si="14"/>
        <v>0</v>
      </c>
      <c r="AR34" s="652">
        <f t="shared" si="15"/>
        <v>326</v>
      </c>
      <c r="AT34" s="1662">
        <f t="shared" si="16"/>
        <v>0</v>
      </c>
      <c r="AU34" s="1662">
        <f t="shared" si="17"/>
        <v>0</v>
      </c>
      <c r="AV34" s="1662">
        <f t="shared" si="18"/>
        <v>0</v>
      </c>
      <c r="AW34" s="1662">
        <f t="shared" si="19"/>
        <v>0</v>
      </c>
      <c r="AX34" s="1662">
        <f t="shared" si="20"/>
        <v>326</v>
      </c>
      <c r="AY34" s="1662">
        <f t="shared" si="20"/>
        <v>0</v>
      </c>
      <c r="AZ34" s="1662">
        <f t="shared" si="21"/>
        <v>0</v>
      </c>
      <c r="BA34" s="1662">
        <f t="shared" si="21"/>
        <v>0</v>
      </c>
      <c r="BB34" s="1662">
        <f t="shared" si="0"/>
        <v>0</v>
      </c>
      <c r="BC34" s="1662">
        <f t="shared" si="22"/>
        <v>0</v>
      </c>
      <c r="BD34" s="1662">
        <f t="shared" si="22"/>
        <v>0</v>
      </c>
      <c r="BE34" s="1662">
        <f t="shared" si="22"/>
        <v>0</v>
      </c>
      <c r="BF34" s="3385">
        <f t="shared" si="23"/>
        <v>326</v>
      </c>
    </row>
    <row r="35" spans="1:58" ht="15.75" x14ac:dyDescent="0.25">
      <c r="A35" s="559" t="s">
        <v>1113</v>
      </c>
      <c r="E35" s="628" t="s">
        <v>1113</v>
      </c>
      <c r="F35" s="4686">
        <v>3429</v>
      </c>
      <c r="G35" s="562">
        <v>3510</v>
      </c>
      <c r="H35" s="562">
        <v>6571.0499999999993</v>
      </c>
      <c r="I35" s="654">
        <f t="shared" si="1"/>
        <v>13510.05</v>
      </c>
      <c r="J35" s="562">
        <v>5237.6699999999992</v>
      </c>
      <c r="K35" s="562">
        <v>7655</v>
      </c>
      <c r="L35" s="567">
        <v>10569.06</v>
      </c>
      <c r="M35" s="654">
        <f t="shared" si="2"/>
        <v>23461.729999999996</v>
      </c>
      <c r="N35" s="655">
        <f t="shared" si="3"/>
        <v>36971.78</v>
      </c>
      <c r="O35" s="562">
        <v>6436.8599999999979</v>
      </c>
      <c r="P35" s="562">
        <v>10315.59</v>
      </c>
      <c r="Q35" s="567">
        <v>4698.78</v>
      </c>
      <c r="R35" s="654">
        <f t="shared" si="4"/>
        <v>21451.229999999996</v>
      </c>
      <c r="S35" s="567">
        <v>5648.76</v>
      </c>
      <c r="T35" s="567">
        <v>7834.14</v>
      </c>
      <c r="U35" s="651"/>
      <c r="V35" s="654">
        <f t="shared" si="5"/>
        <v>13482.900000000001</v>
      </c>
      <c r="W35" s="655">
        <f t="shared" si="6"/>
        <v>34934.129999999997</v>
      </c>
      <c r="X35" s="4685">
        <f t="shared" si="7"/>
        <v>71905.91</v>
      </c>
      <c r="Y35" s="563"/>
      <c r="Z35" s="562"/>
      <c r="AA35" s="562"/>
      <c r="AB35" s="654">
        <f t="shared" si="8"/>
        <v>0</v>
      </c>
      <c r="AC35" s="562"/>
      <c r="AD35" s="664">
        <v>0</v>
      </c>
      <c r="AE35" s="567"/>
      <c r="AF35" s="1286">
        <f t="shared" si="9"/>
        <v>0</v>
      </c>
      <c r="AG35" s="655">
        <f t="shared" si="10"/>
        <v>0</v>
      </c>
      <c r="AH35" s="562">
        <v>0</v>
      </c>
      <c r="AI35" s="562">
        <v>0</v>
      </c>
      <c r="AJ35" s="562"/>
      <c r="AK35" s="654">
        <f t="shared" si="11"/>
        <v>0</v>
      </c>
      <c r="AL35" s="567"/>
      <c r="AM35" s="567"/>
      <c r="AN35" s="651"/>
      <c r="AO35" s="654">
        <f t="shared" si="12"/>
        <v>0</v>
      </c>
      <c r="AP35" s="655">
        <f t="shared" si="13"/>
        <v>0</v>
      </c>
      <c r="AQ35" s="656">
        <f t="shared" si="14"/>
        <v>0</v>
      </c>
      <c r="AR35" s="652">
        <f t="shared" si="15"/>
        <v>71905.91</v>
      </c>
      <c r="AT35" s="1662">
        <f t="shared" si="16"/>
        <v>3429</v>
      </c>
      <c r="AU35" s="1662">
        <f t="shared" si="17"/>
        <v>3510</v>
      </c>
      <c r="AV35" s="1662">
        <f t="shared" si="18"/>
        <v>6571.0499999999993</v>
      </c>
      <c r="AW35" s="1662">
        <f t="shared" si="19"/>
        <v>5237.6699999999992</v>
      </c>
      <c r="AX35" s="1662">
        <f t="shared" si="20"/>
        <v>7655</v>
      </c>
      <c r="AY35" s="1662">
        <f t="shared" si="20"/>
        <v>10569.06</v>
      </c>
      <c r="AZ35" s="1662">
        <f t="shared" si="21"/>
        <v>6436.8599999999979</v>
      </c>
      <c r="BA35" s="1662">
        <f t="shared" si="21"/>
        <v>10315.59</v>
      </c>
      <c r="BB35" s="1662">
        <f t="shared" si="0"/>
        <v>4698.78</v>
      </c>
      <c r="BC35" s="1662">
        <f t="shared" si="22"/>
        <v>5648.76</v>
      </c>
      <c r="BD35" s="1662">
        <f t="shared" si="22"/>
        <v>7834.14</v>
      </c>
      <c r="BE35" s="1662">
        <f t="shared" si="22"/>
        <v>0</v>
      </c>
      <c r="BF35" s="3385">
        <f t="shared" si="23"/>
        <v>71905.91</v>
      </c>
    </row>
    <row r="36" spans="1:58" ht="15.75" x14ac:dyDescent="0.25">
      <c r="E36" s="628" t="s">
        <v>1597</v>
      </c>
      <c r="F36" s="4686"/>
      <c r="G36" s="562"/>
      <c r="H36" s="562"/>
      <c r="I36" s="654">
        <f t="shared" si="1"/>
        <v>0</v>
      </c>
      <c r="J36" s="562"/>
      <c r="K36" s="562"/>
      <c r="L36" s="567">
        <v>266.25</v>
      </c>
      <c r="M36" s="654">
        <f t="shared" si="2"/>
        <v>266.25</v>
      </c>
      <c r="N36" s="655">
        <f t="shared" si="3"/>
        <v>266.25</v>
      </c>
      <c r="O36" s="562">
        <v>0</v>
      </c>
      <c r="P36" s="562">
        <v>0</v>
      </c>
      <c r="Q36" s="567"/>
      <c r="R36" s="654">
        <f t="shared" si="4"/>
        <v>0</v>
      </c>
      <c r="S36" s="567"/>
      <c r="T36" s="567"/>
      <c r="U36" s="651"/>
      <c r="V36" s="654">
        <f t="shared" si="5"/>
        <v>0</v>
      </c>
      <c r="W36" s="655">
        <f t="shared" si="6"/>
        <v>0</v>
      </c>
      <c r="X36" s="4685">
        <f t="shared" si="7"/>
        <v>266.25</v>
      </c>
      <c r="Y36" s="563"/>
      <c r="Z36" s="562"/>
      <c r="AA36" s="562"/>
      <c r="AB36" s="654">
        <f t="shared" si="8"/>
        <v>0</v>
      </c>
      <c r="AC36" s="562"/>
      <c r="AD36" s="664"/>
      <c r="AE36" s="567"/>
      <c r="AF36" s="1286">
        <f t="shared" si="9"/>
        <v>0</v>
      </c>
      <c r="AG36" s="655">
        <f t="shared" si="10"/>
        <v>0</v>
      </c>
      <c r="AH36" s="562">
        <v>0</v>
      </c>
      <c r="AI36" s="562">
        <v>0</v>
      </c>
      <c r="AJ36" s="562"/>
      <c r="AK36" s="654">
        <f t="shared" si="11"/>
        <v>0</v>
      </c>
      <c r="AL36" s="567"/>
      <c r="AM36" s="567"/>
      <c r="AN36" s="651"/>
      <c r="AO36" s="654">
        <f t="shared" si="12"/>
        <v>0</v>
      </c>
      <c r="AP36" s="655">
        <f t="shared" si="13"/>
        <v>0</v>
      </c>
      <c r="AQ36" s="656">
        <f t="shared" si="14"/>
        <v>0</v>
      </c>
      <c r="AR36" s="652">
        <f t="shared" si="15"/>
        <v>266.25</v>
      </c>
      <c r="AT36" s="1662">
        <f t="shared" si="16"/>
        <v>0</v>
      </c>
      <c r="AU36" s="1662">
        <f t="shared" si="17"/>
        <v>0</v>
      </c>
      <c r="AV36" s="1662">
        <f t="shared" si="18"/>
        <v>0</v>
      </c>
      <c r="AW36" s="1662">
        <f t="shared" si="19"/>
        <v>0</v>
      </c>
      <c r="AX36" s="1662">
        <f t="shared" si="20"/>
        <v>0</v>
      </c>
      <c r="AY36" s="1662">
        <f t="shared" si="20"/>
        <v>266.25</v>
      </c>
      <c r="AZ36" s="1662">
        <f t="shared" si="21"/>
        <v>0</v>
      </c>
      <c r="BA36" s="1662">
        <f t="shared" si="21"/>
        <v>0</v>
      </c>
      <c r="BB36" s="1662">
        <f t="shared" si="0"/>
        <v>0</v>
      </c>
      <c r="BC36" s="1662">
        <f t="shared" si="22"/>
        <v>0</v>
      </c>
      <c r="BD36" s="1662">
        <f t="shared" si="22"/>
        <v>0</v>
      </c>
      <c r="BE36" s="1662">
        <f t="shared" si="22"/>
        <v>0</v>
      </c>
      <c r="BF36" s="3385">
        <f t="shared" si="23"/>
        <v>266.25</v>
      </c>
    </row>
    <row r="37" spans="1:58" ht="15.75" x14ac:dyDescent="0.25">
      <c r="E37" s="628" t="s">
        <v>1730</v>
      </c>
      <c r="F37" s="4686"/>
      <c r="G37" s="562"/>
      <c r="H37" s="562"/>
      <c r="I37" s="654">
        <f t="shared" si="1"/>
        <v>0</v>
      </c>
      <c r="J37" s="562"/>
      <c r="K37" s="562"/>
      <c r="L37" s="567"/>
      <c r="M37" s="654">
        <f t="shared" si="2"/>
        <v>0</v>
      </c>
      <c r="N37" s="655">
        <f t="shared" si="3"/>
        <v>0</v>
      </c>
      <c r="O37" s="562"/>
      <c r="P37" s="562"/>
      <c r="Q37" s="567">
        <v>1233.27</v>
      </c>
      <c r="R37" s="654">
        <f t="shared" si="4"/>
        <v>1233.27</v>
      </c>
      <c r="S37" s="567"/>
      <c r="T37" s="567"/>
      <c r="U37" s="651"/>
      <c r="V37" s="654">
        <f t="shared" si="5"/>
        <v>0</v>
      </c>
      <c r="W37" s="655">
        <f t="shared" si="6"/>
        <v>1233.27</v>
      </c>
      <c r="X37" s="4685">
        <f t="shared" si="7"/>
        <v>1233.27</v>
      </c>
      <c r="Y37" s="563"/>
      <c r="Z37" s="562"/>
      <c r="AA37" s="562"/>
      <c r="AB37" s="654">
        <f t="shared" si="8"/>
        <v>0</v>
      </c>
      <c r="AC37" s="562"/>
      <c r="AD37" s="664"/>
      <c r="AE37" s="567"/>
      <c r="AF37" s="1286">
        <f t="shared" si="9"/>
        <v>0</v>
      </c>
      <c r="AG37" s="655">
        <f t="shared" si="10"/>
        <v>0</v>
      </c>
      <c r="AH37" s="562"/>
      <c r="AI37" s="562"/>
      <c r="AJ37" s="562"/>
      <c r="AK37" s="654">
        <f t="shared" si="11"/>
        <v>0</v>
      </c>
      <c r="AL37" s="567"/>
      <c r="AM37" s="567"/>
      <c r="AN37" s="651"/>
      <c r="AO37" s="654">
        <f t="shared" si="12"/>
        <v>0</v>
      </c>
      <c r="AP37" s="655">
        <f t="shared" si="13"/>
        <v>0</v>
      </c>
      <c r="AQ37" s="656">
        <f t="shared" si="14"/>
        <v>0</v>
      </c>
      <c r="AR37" s="652">
        <f t="shared" si="15"/>
        <v>1233.27</v>
      </c>
      <c r="AT37" s="1662">
        <f t="shared" si="16"/>
        <v>0</v>
      </c>
      <c r="AU37" s="1662">
        <f t="shared" si="17"/>
        <v>0</v>
      </c>
      <c r="AV37" s="1662">
        <f t="shared" si="18"/>
        <v>0</v>
      </c>
      <c r="AW37" s="1662">
        <f t="shared" si="19"/>
        <v>0</v>
      </c>
      <c r="AX37" s="1662">
        <f t="shared" si="20"/>
        <v>0</v>
      </c>
      <c r="AY37" s="1662">
        <f t="shared" si="20"/>
        <v>0</v>
      </c>
      <c r="AZ37" s="1662">
        <f t="shared" si="21"/>
        <v>0</v>
      </c>
      <c r="BA37" s="1662">
        <f t="shared" si="21"/>
        <v>0</v>
      </c>
      <c r="BB37" s="1662">
        <f t="shared" si="0"/>
        <v>1233.27</v>
      </c>
      <c r="BC37" s="1662">
        <f t="shared" si="22"/>
        <v>0</v>
      </c>
      <c r="BD37" s="1662">
        <f t="shared" si="22"/>
        <v>0</v>
      </c>
      <c r="BE37" s="1662">
        <f t="shared" si="22"/>
        <v>0</v>
      </c>
      <c r="BF37" s="3385">
        <f t="shared" si="23"/>
        <v>1233.27</v>
      </c>
    </row>
    <row r="38" spans="1:58" ht="15.75" x14ac:dyDescent="0.25">
      <c r="E38" s="628" t="s">
        <v>1787</v>
      </c>
      <c r="F38" s="4686"/>
      <c r="G38" s="562"/>
      <c r="H38" s="562"/>
      <c r="I38" s="654">
        <f t="shared" si="1"/>
        <v>0</v>
      </c>
      <c r="J38" s="562"/>
      <c r="K38" s="562"/>
      <c r="L38" s="567"/>
      <c r="M38" s="654">
        <f t="shared" si="2"/>
        <v>0</v>
      </c>
      <c r="N38" s="655">
        <f t="shared" si="3"/>
        <v>0</v>
      </c>
      <c r="O38" s="562"/>
      <c r="P38" s="562"/>
      <c r="Q38" s="567"/>
      <c r="R38" s="654">
        <f t="shared" si="4"/>
        <v>0</v>
      </c>
      <c r="S38" s="567">
        <v>892.47</v>
      </c>
      <c r="T38" s="567"/>
      <c r="U38" s="651"/>
      <c r="V38" s="654">
        <f t="shared" si="5"/>
        <v>892.47</v>
      </c>
      <c r="W38" s="655">
        <f t="shared" si="6"/>
        <v>892.47</v>
      </c>
      <c r="X38" s="4685">
        <f t="shared" si="7"/>
        <v>892.47</v>
      </c>
      <c r="Y38" s="563"/>
      <c r="Z38" s="562"/>
      <c r="AA38" s="562"/>
      <c r="AB38" s="654">
        <f t="shared" si="8"/>
        <v>0</v>
      </c>
      <c r="AC38" s="562"/>
      <c r="AD38" s="664"/>
      <c r="AE38" s="567"/>
      <c r="AF38" s="1286">
        <f t="shared" si="9"/>
        <v>0</v>
      </c>
      <c r="AG38" s="655">
        <f t="shared" si="10"/>
        <v>0</v>
      </c>
      <c r="AH38" s="562"/>
      <c r="AI38" s="562"/>
      <c r="AJ38" s="562"/>
      <c r="AK38" s="654">
        <f t="shared" si="11"/>
        <v>0</v>
      </c>
      <c r="AL38" s="567"/>
      <c r="AM38" s="567"/>
      <c r="AN38" s="651"/>
      <c r="AO38" s="654">
        <f t="shared" si="12"/>
        <v>0</v>
      </c>
      <c r="AP38" s="655">
        <f t="shared" si="13"/>
        <v>0</v>
      </c>
      <c r="AQ38" s="656">
        <f t="shared" si="14"/>
        <v>0</v>
      </c>
      <c r="AR38" s="652">
        <f t="shared" si="15"/>
        <v>892.47</v>
      </c>
      <c r="AT38" s="1662">
        <f t="shared" si="16"/>
        <v>0</v>
      </c>
      <c r="AU38" s="1662">
        <f t="shared" si="17"/>
        <v>0</v>
      </c>
      <c r="AV38" s="1662">
        <f t="shared" si="18"/>
        <v>0</v>
      </c>
      <c r="AW38" s="1662">
        <f t="shared" si="19"/>
        <v>0</v>
      </c>
      <c r="AX38" s="1662">
        <f t="shared" si="20"/>
        <v>0</v>
      </c>
      <c r="AY38" s="1662">
        <f t="shared" si="20"/>
        <v>0</v>
      </c>
      <c r="AZ38" s="1662">
        <f t="shared" si="20"/>
        <v>0</v>
      </c>
      <c r="BA38" s="1662">
        <f t="shared" si="20"/>
        <v>0</v>
      </c>
      <c r="BB38" s="1662">
        <f t="shared" si="20"/>
        <v>0</v>
      </c>
      <c r="BC38" s="1662">
        <f t="shared" si="22"/>
        <v>892.47</v>
      </c>
      <c r="BD38" s="1662">
        <f t="shared" si="22"/>
        <v>0</v>
      </c>
      <c r="BE38" s="1662">
        <f t="shared" si="22"/>
        <v>0</v>
      </c>
      <c r="BF38" s="3385">
        <f>SUM(AT38:BE38)</f>
        <v>892.47</v>
      </c>
    </row>
    <row r="39" spans="1:58" ht="15.75" x14ac:dyDescent="0.25">
      <c r="E39" s="628" t="s">
        <v>1731</v>
      </c>
      <c r="F39" s="4686"/>
      <c r="G39" s="562"/>
      <c r="H39" s="562"/>
      <c r="I39" s="654">
        <f t="shared" si="1"/>
        <v>0</v>
      </c>
      <c r="J39" s="562"/>
      <c r="K39" s="562"/>
      <c r="L39" s="567"/>
      <c r="M39" s="654">
        <f t="shared" si="2"/>
        <v>0</v>
      </c>
      <c r="N39" s="655">
        <f t="shared" si="3"/>
        <v>0</v>
      </c>
      <c r="O39" s="562"/>
      <c r="P39" s="562"/>
      <c r="Q39" s="567">
        <v>281.15999999999997</v>
      </c>
      <c r="R39" s="654">
        <f t="shared" si="4"/>
        <v>281.15999999999997</v>
      </c>
      <c r="S39" s="567"/>
      <c r="T39" s="567"/>
      <c r="U39" s="651"/>
      <c r="V39" s="654">
        <f t="shared" si="5"/>
        <v>0</v>
      </c>
      <c r="W39" s="655">
        <f t="shared" si="6"/>
        <v>281.15999999999997</v>
      </c>
      <c r="X39" s="4685">
        <f t="shared" si="7"/>
        <v>281.15999999999997</v>
      </c>
      <c r="Y39" s="563"/>
      <c r="Z39" s="562"/>
      <c r="AA39" s="562"/>
      <c r="AB39" s="654">
        <f t="shared" si="8"/>
        <v>0</v>
      </c>
      <c r="AC39" s="562"/>
      <c r="AD39" s="664"/>
      <c r="AE39" s="567"/>
      <c r="AF39" s="1286">
        <f t="shared" si="9"/>
        <v>0</v>
      </c>
      <c r="AG39" s="655">
        <f t="shared" si="10"/>
        <v>0</v>
      </c>
      <c r="AH39" s="562"/>
      <c r="AI39" s="562"/>
      <c r="AJ39" s="562"/>
      <c r="AK39" s="654">
        <f t="shared" si="11"/>
        <v>0</v>
      </c>
      <c r="AL39" s="567"/>
      <c r="AM39" s="567"/>
      <c r="AN39" s="651"/>
      <c r="AO39" s="654">
        <f t="shared" si="12"/>
        <v>0</v>
      </c>
      <c r="AP39" s="655">
        <f t="shared" si="13"/>
        <v>0</v>
      </c>
      <c r="AQ39" s="656">
        <f t="shared" si="14"/>
        <v>0</v>
      </c>
      <c r="AR39" s="652">
        <f t="shared" si="15"/>
        <v>281.15999999999997</v>
      </c>
      <c r="AT39" s="1662">
        <f t="shared" si="16"/>
        <v>0</v>
      </c>
      <c r="AU39" s="1662">
        <f t="shared" si="17"/>
        <v>0</v>
      </c>
      <c r="AV39" s="1662">
        <f t="shared" si="18"/>
        <v>0</v>
      </c>
      <c r="AW39" s="1662">
        <f t="shared" si="19"/>
        <v>0</v>
      </c>
      <c r="AX39" s="1662">
        <f t="shared" si="20"/>
        <v>0</v>
      </c>
      <c r="AY39" s="1662">
        <f t="shared" si="20"/>
        <v>0</v>
      </c>
      <c r="AZ39" s="1662">
        <f t="shared" si="21"/>
        <v>0</v>
      </c>
      <c r="BA39" s="1662">
        <f t="shared" si="21"/>
        <v>0</v>
      </c>
      <c r="BB39" s="1662">
        <f t="shared" si="0"/>
        <v>281.15999999999997</v>
      </c>
      <c r="BC39" s="1662">
        <f t="shared" si="22"/>
        <v>0</v>
      </c>
      <c r="BD39" s="1662">
        <f t="shared" si="22"/>
        <v>0</v>
      </c>
      <c r="BE39" s="1662">
        <f t="shared" si="22"/>
        <v>0</v>
      </c>
      <c r="BF39" s="3385">
        <f t="shared" si="23"/>
        <v>281.15999999999997</v>
      </c>
    </row>
    <row r="40" spans="1:58" ht="15.75" x14ac:dyDescent="0.25">
      <c r="E40" s="628" t="s">
        <v>1820</v>
      </c>
      <c r="F40" s="4686"/>
      <c r="G40" s="562"/>
      <c r="H40" s="562"/>
      <c r="I40" s="654">
        <f t="shared" si="1"/>
        <v>0</v>
      </c>
      <c r="J40" s="562"/>
      <c r="K40" s="562"/>
      <c r="L40" s="567"/>
      <c r="M40" s="654">
        <f t="shared" si="2"/>
        <v>0</v>
      </c>
      <c r="N40" s="655">
        <f t="shared" si="3"/>
        <v>0</v>
      </c>
      <c r="O40" s="562"/>
      <c r="P40" s="562"/>
      <c r="Q40" s="567"/>
      <c r="R40" s="654">
        <f t="shared" si="4"/>
        <v>0</v>
      </c>
      <c r="S40" s="567"/>
      <c r="T40" s="567">
        <v>736.98</v>
      </c>
      <c r="U40" s="651">
        <v>9086.58</v>
      </c>
      <c r="V40" s="654">
        <f t="shared" si="5"/>
        <v>9823.56</v>
      </c>
      <c r="W40" s="655">
        <f t="shared" si="6"/>
        <v>9823.56</v>
      </c>
      <c r="X40" s="4685">
        <f t="shared" si="7"/>
        <v>9823.56</v>
      </c>
      <c r="Y40" s="563"/>
      <c r="Z40" s="562"/>
      <c r="AA40" s="562"/>
      <c r="AB40" s="654">
        <f t="shared" si="8"/>
        <v>0</v>
      </c>
      <c r="AC40" s="562"/>
      <c r="AD40" s="664"/>
      <c r="AE40" s="567"/>
      <c r="AF40" s="1286">
        <f t="shared" si="9"/>
        <v>0</v>
      </c>
      <c r="AG40" s="655">
        <f t="shared" si="10"/>
        <v>0</v>
      </c>
      <c r="AH40" s="562"/>
      <c r="AI40" s="562"/>
      <c r="AJ40" s="562"/>
      <c r="AK40" s="654">
        <f t="shared" si="11"/>
        <v>0</v>
      </c>
      <c r="AL40" s="567"/>
      <c r="AM40" s="567"/>
      <c r="AN40" s="651"/>
      <c r="AO40" s="654">
        <f t="shared" si="12"/>
        <v>0</v>
      </c>
      <c r="AP40" s="655">
        <f t="shared" si="13"/>
        <v>0</v>
      </c>
      <c r="AQ40" s="656">
        <f t="shared" si="14"/>
        <v>0</v>
      </c>
      <c r="AR40" s="652">
        <f t="shared" si="15"/>
        <v>9823.56</v>
      </c>
      <c r="AT40" s="1662">
        <f t="shared" si="16"/>
        <v>0</v>
      </c>
      <c r="AU40" s="1662">
        <f t="shared" si="17"/>
        <v>0</v>
      </c>
      <c r="AV40" s="1662">
        <f t="shared" si="18"/>
        <v>0</v>
      </c>
      <c r="AW40" s="1662">
        <f t="shared" si="19"/>
        <v>0</v>
      </c>
      <c r="AX40" s="1662">
        <f t="shared" si="20"/>
        <v>0</v>
      </c>
      <c r="AY40" s="1662">
        <f t="shared" si="20"/>
        <v>0</v>
      </c>
      <c r="AZ40" s="1662">
        <f t="shared" si="20"/>
        <v>0</v>
      </c>
      <c r="BA40" s="1662">
        <f t="shared" si="20"/>
        <v>0</v>
      </c>
      <c r="BB40" s="1662">
        <f t="shared" si="20"/>
        <v>0</v>
      </c>
      <c r="BC40" s="1662">
        <f t="shared" si="20"/>
        <v>0</v>
      </c>
      <c r="BD40" s="1662">
        <f t="shared" si="22"/>
        <v>736.98</v>
      </c>
      <c r="BE40" s="1662">
        <f t="shared" si="22"/>
        <v>9086.58</v>
      </c>
      <c r="BF40" s="3385">
        <f t="shared" si="23"/>
        <v>9823.56</v>
      </c>
    </row>
    <row r="41" spans="1:58" ht="15.75" x14ac:dyDescent="0.25">
      <c r="E41" s="628" t="s">
        <v>820</v>
      </c>
      <c r="F41" s="4686">
        <v>854</v>
      </c>
      <c r="G41" s="562"/>
      <c r="H41" s="562"/>
      <c r="I41" s="654">
        <f t="shared" si="1"/>
        <v>854</v>
      </c>
      <c r="J41" s="562"/>
      <c r="K41" s="562">
        <v>130</v>
      </c>
      <c r="L41" s="567">
        <v>1354.68</v>
      </c>
      <c r="M41" s="654">
        <f t="shared" si="2"/>
        <v>1484.68</v>
      </c>
      <c r="N41" s="655">
        <f t="shared" si="3"/>
        <v>2338.6800000000003</v>
      </c>
      <c r="O41" s="562">
        <v>0</v>
      </c>
      <c r="P41" s="562">
        <v>112.89</v>
      </c>
      <c r="Q41" s="567"/>
      <c r="R41" s="654">
        <f t="shared" si="4"/>
        <v>112.89</v>
      </c>
      <c r="S41" s="567"/>
      <c r="T41" s="567"/>
      <c r="U41" s="651"/>
      <c r="V41" s="654">
        <f t="shared" si="5"/>
        <v>0</v>
      </c>
      <c r="W41" s="655">
        <f t="shared" si="6"/>
        <v>112.89</v>
      </c>
      <c r="X41" s="4685">
        <f t="shared" si="7"/>
        <v>2451.5700000000002</v>
      </c>
      <c r="Y41" s="563"/>
      <c r="Z41" s="562"/>
      <c r="AA41" s="562"/>
      <c r="AB41" s="654">
        <f t="shared" si="8"/>
        <v>0</v>
      </c>
      <c r="AC41" s="562"/>
      <c r="AD41" s="664">
        <v>0</v>
      </c>
      <c r="AE41" s="567"/>
      <c r="AF41" s="1286">
        <f t="shared" si="9"/>
        <v>0</v>
      </c>
      <c r="AG41" s="655">
        <f t="shared" si="10"/>
        <v>0</v>
      </c>
      <c r="AH41" s="562">
        <v>0</v>
      </c>
      <c r="AI41" s="562">
        <v>0</v>
      </c>
      <c r="AJ41" s="562"/>
      <c r="AK41" s="654">
        <f t="shared" si="11"/>
        <v>0</v>
      </c>
      <c r="AL41" s="567"/>
      <c r="AM41" s="567"/>
      <c r="AN41" s="651"/>
      <c r="AO41" s="654">
        <f t="shared" si="12"/>
        <v>0</v>
      </c>
      <c r="AP41" s="655">
        <f t="shared" si="13"/>
        <v>0</v>
      </c>
      <c r="AQ41" s="656">
        <f t="shared" si="14"/>
        <v>0</v>
      </c>
      <c r="AR41" s="652">
        <f t="shared" si="15"/>
        <v>2451.5700000000002</v>
      </c>
      <c r="AT41" s="1662">
        <f t="shared" si="16"/>
        <v>854</v>
      </c>
      <c r="AU41" s="1662">
        <f t="shared" si="17"/>
        <v>0</v>
      </c>
      <c r="AV41" s="1662">
        <f t="shared" si="18"/>
        <v>0</v>
      </c>
      <c r="AW41" s="1662">
        <f t="shared" si="19"/>
        <v>0</v>
      </c>
      <c r="AX41" s="1662">
        <f t="shared" si="20"/>
        <v>130</v>
      </c>
      <c r="AY41" s="1662">
        <f t="shared" si="20"/>
        <v>1354.68</v>
      </c>
      <c r="AZ41" s="1662">
        <f t="shared" si="21"/>
        <v>0</v>
      </c>
      <c r="BA41" s="1662">
        <f t="shared" si="21"/>
        <v>112.89</v>
      </c>
      <c r="BB41" s="1662">
        <f t="shared" si="0"/>
        <v>0</v>
      </c>
      <c r="BC41" s="1662">
        <f t="shared" si="22"/>
        <v>0</v>
      </c>
      <c r="BD41" s="1662">
        <f t="shared" si="22"/>
        <v>0</v>
      </c>
      <c r="BE41" s="1662">
        <f t="shared" si="22"/>
        <v>0</v>
      </c>
      <c r="BF41" s="3385">
        <f t="shared" si="23"/>
        <v>2451.5700000000002</v>
      </c>
    </row>
    <row r="42" spans="1:58" ht="15.75" x14ac:dyDescent="0.25">
      <c r="E42" s="628" t="s">
        <v>1298</v>
      </c>
      <c r="F42" s="4686"/>
      <c r="G42" s="562"/>
      <c r="H42" s="562">
        <v>1367</v>
      </c>
      <c r="I42" s="654">
        <f t="shared" si="1"/>
        <v>1367</v>
      </c>
      <c r="J42" s="562"/>
      <c r="K42" s="562">
        <v>1504</v>
      </c>
      <c r="L42" s="567">
        <v>1729.56</v>
      </c>
      <c r="M42" s="654">
        <f t="shared" si="2"/>
        <v>3233.56</v>
      </c>
      <c r="N42" s="655">
        <f t="shared" si="3"/>
        <v>4600.5599999999995</v>
      </c>
      <c r="O42" s="562">
        <v>296.07000000000011</v>
      </c>
      <c r="P42" s="562">
        <v>1203.4500000000003</v>
      </c>
      <c r="Q42" s="567"/>
      <c r="R42" s="654">
        <f t="shared" si="4"/>
        <v>1499.5200000000004</v>
      </c>
      <c r="S42" s="567">
        <v>890.34000000000015</v>
      </c>
      <c r="T42" s="567"/>
      <c r="U42" s="651">
        <v>1525.08</v>
      </c>
      <c r="V42" s="654">
        <f t="shared" si="5"/>
        <v>2415.42</v>
      </c>
      <c r="W42" s="655">
        <f t="shared" si="6"/>
        <v>3914.9400000000005</v>
      </c>
      <c r="X42" s="4685">
        <f t="shared" si="7"/>
        <v>8515.5</v>
      </c>
      <c r="Y42" s="563"/>
      <c r="Z42" s="562"/>
      <c r="AA42" s="562"/>
      <c r="AB42" s="654">
        <f t="shared" si="8"/>
        <v>0</v>
      </c>
      <c r="AC42" s="562"/>
      <c r="AD42" s="664">
        <v>0</v>
      </c>
      <c r="AE42" s="567">
        <v>289.68</v>
      </c>
      <c r="AF42" s="1286">
        <f t="shared" si="9"/>
        <v>289.68</v>
      </c>
      <c r="AG42" s="655">
        <f t="shared" si="10"/>
        <v>289.68</v>
      </c>
      <c r="AH42" s="562">
        <v>0</v>
      </c>
      <c r="AI42" s="562">
        <v>0</v>
      </c>
      <c r="AJ42" s="562">
        <v>121.41</v>
      </c>
      <c r="AK42" s="654">
        <f t="shared" si="11"/>
        <v>121.41</v>
      </c>
      <c r="AL42" s="567"/>
      <c r="AM42" s="567"/>
      <c r="AN42" s="651"/>
      <c r="AO42" s="654">
        <f t="shared" si="12"/>
        <v>0</v>
      </c>
      <c r="AP42" s="655">
        <f t="shared" si="13"/>
        <v>121.41</v>
      </c>
      <c r="AQ42" s="656">
        <f t="shared" si="14"/>
        <v>411.09000000000003</v>
      </c>
      <c r="AR42" s="652">
        <f t="shared" si="15"/>
        <v>8926.59</v>
      </c>
      <c r="AT42" s="1662">
        <f t="shared" si="16"/>
        <v>0</v>
      </c>
      <c r="AU42" s="1662">
        <f t="shared" si="17"/>
        <v>0</v>
      </c>
      <c r="AV42" s="1662">
        <f t="shared" si="18"/>
        <v>1367</v>
      </c>
      <c r="AW42" s="1662">
        <f t="shared" si="19"/>
        <v>0</v>
      </c>
      <c r="AX42" s="1662">
        <f t="shared" si="20"/>
        <v>1504</v>
      </c>
      <c r="AY42" s="1662">
        <f t="shared" si="20"/>
        <v>2019.24</v>
      </c>
      <c r="AZ42" s="1662">
        <f t="shared" si="21"/>
        <v>296.07000000000011</v>
      </c>
      <c r="BA42" s="1662">
        <f t="shared" si="21"/>
        <v>1203.4500000000003</v>
      </c>
      <c r="BB42" s="1662">
        <f t="shared" si="0"/>
        <v>121.41</v>
      </c>
      <c r="BC42" s="1662">
        <f t="shared" si="22"/>
        <v>890.34000000000015</v>
      </c>
      <c r="BD42" s="1662">
        <f t="shared" si="22"/>
        <v>0</v>
      </c>
      <c r="BE42" s="1662">
        <f t="shared" si="22"/>
        <v>1525.08</v>
      </c>
      <c r="BF42" s="3385">
        <f t="shared" si="23"/>
        <v>8926.59</v>
      </c>
    </row>
    <row r="43" spans="1:58" ht="15.75" x14ac:dyDescent="0.25">
      <c r="E43" s="628" t="s">
        <v>1779</v>
      </c>
      <c r="F43" s="4686"/>
      <c r="G43" s="562"/>
      <c r="H43" s="562"/>
      <c r="I43" s="654">
        <f t="shared" si="1"/>
        <v>0</v>
      </c>
      <c r="J43" s="562"/>
      <c r="K43" s="562"/>
      <c r="L43" s="567"/>
      <c r="M43" s="654">
        <f t="shared" si="2"/>
        <v>0</v>
      </c>
      <c r="N43" s="655">
        <f t="shared" si="3"/>
        <v>0</v>
      </c>
      <c r="O43" s="562"/>
      <c r="P43" s="562"/>
      <c r="Q43" s="567"/>
      <c r="R43" s="654">
        <f t="shared" si="4"/>
        <v>0</v>
      </c>
      <c r="S43" s="567">
        <v>300.33</v>
      </c>
      <c r="T43" s="567"/>
      <c r="U43" s="651"/>
      <c r="V43" s="654">
        <f t="shared" si="5"/>
        <v>300.33</v>
      </c>
      <c r="W43" s="655">
        <f t="shared" si="6"/>
        <v>300.33</v>
      </c>
      <c r="X43" s="4685">
        <f t="shared" si="7"/>
        <v>300.33</v>
      </c>
      <c r="Y43" s="563"/>
      <c r="Z43" s="562"/>
      <c r="AA43" s="562"/>
      <c r="AB43" s="654">
        <f t="shared" si="8"/>
        <v>0</v>
      </c>
      <c r="AC43" s="562"/>
      <c r="AD43" s="664"/>
      <c r="AE43" s="567"/>
      <c r="AF43" s="1286">
        <f t="shared" si="9"/>
        <v>0</v>
      </c>
      <c r="AG43" s="655">
        <f t="shared" si="10"/>
        <v>0</v>
      </c>
      <c r="AH43" s="562"/>
      <c r="AI43" s="562"/>
      <c r="AJ43" s="562"/>
      <c r="AK43" s="654">
        <f t="shared" si="11"/>
        <v>0</v>
      </c>
      <c r="AL43" s="567"/>
      <c r="AM43" s="567"/>
      <c r="AN43" s="651"/>
      <c r="AO43" s="654">
        <f t="shared" si="12"/>
        <v>0</v>
      </c>
      <c r="AP43" s="655">
        <f t="shared" si="13"/>
        <v>0</v>
      </c>
      <c r="AQ43" s="656">
        <f t="shared" si="14"/>
        <v>0</v>
      </c>
      <c r="AR43" s="652">
        <f t="shared" si="15"/>
        <v>300.33</v>
      </c>
      <c r="AT43" s="1662">
        <f t="shared" si="16"/>
        <v>0</v>
      </c>
      <c r="AU43" s="1662">
        <f t="shared" si="17"/>
        <v>0</v>
      </c>
      <c r="AV43" s="1662">
        <f t="shared" si="18"/>
        <v>0</v>
      </c>
      <c r="AW43" s="1662">
        <f t="shared" si="19"/>
        <v>0</v>
      </c>
      <c r="AX43" s="1662">
        <f t="shared" si="20"/>
        <v>0</v>
      </c>
      <c r="AY43" s="1662">
        <f t="shared" si="20"/>
        <v>0</v>
      </c>
      <c r="AZ43" s="1662">
        <f t="shared" si="20"/>
        <v>0</v>
      </c>
      <c r="BA43" s="1662">
        <f t="shared" si="20"/>
        <v>0</v>
      </c>
      <c r="BB43" s="1662">
        <f t="shared" si="20"/>
        <v>0</v>
      </c>
      <c r="BC43" s="1662">
        <f t="shared" si="22"/>
        <v>300.33</v>
      </c>
      <c r="BD43" s="1662">
        <f t="shared" si="22"/>
        <v>0</v>
      </c>
      <c r="BE43" s="1662">
        <f t="shared" si="22"/>
        <v>0</v>
      </c>
      <c r="BF43" s="3385">
        <f t="shared" si="23"/>
        <v>300.33</v>
      </c>
    </row>
    <row r="44" spans="1:58" ht="15.75" x14ac:dyDescent="0.25">
      <c r="E44" s="628" t="s">
        <v>796</v>
      </c>
      <c r="F44" s="4686"/>
      <c r="G44" s="562"/>
      <c r="H44" s="562">
        <v>571</v>
      </c>
      <c r="I44" s="654">
        <f t="shared" si="1"/>
        <v>571</v>
      </c>
      <c r="J44" s="562">
        <v>1522.95</v>
      </c>
      <c r="K44" s="562">
        <v>714</v>
      </c>
      <c r="L44" s="567">
        <v>996.84</v>
      </c>
      <c r="M44" s="654">
        <f t="shared" si="2"/>
        <v>3233.79</v>
      </c>
      <c r="N44" s="655">
        <f t="shared" si="3"/>
        <v>3804.79</v>
      </c>
      <c r="O44" s="562">
        <v>1522.95</v>
      </c>
      <c r="P44" s="562">
        <v>1414.3200000000002</v>
      </c>
      <c r="Q44" s="567">
        <v>1367.46</v>
      </c>
      <c r="R44" s="654">
        <f t="shared" si="4"/>
        <v>4304.7300000000005</v>
      </c>
      <c r="S44" s="567">
        <v>1026.6599999999999</v>
      </c>
      <c r="T44" s="567">
        <v>1525.0800000000002</v>
      </c>
      <c r="U44" s="651"/>
      <c r="V44" s="654">
        <f t="shared" si="5"/>
        <v>2551.7399999999998</v>
      </c>
      <c r="W44" s="655">
        <f t="shared" si="6"/>
        <v>6856.47</v>
      </c>
      <c r="X44" s="4685">
        <f t="shared" si="7"/>
        <v>10661.26</v>
      </c>
      <c r="Y44" s="563"/>
      <c r="Z44" s="562"/>
      <c r="AA44" s="562"/>
      <c r="AB44" s="654">
        <f t="shared" si="8"/>
        <v>0</v>
      </c>
      <c r="AC44" s="562"/>
      <c r="AD44" s="664">
        <v>0</v>
      </c>
      <c r="AE44" s="567"/>
      <c r="AF44" s="1286">
        <f t="shared" si="9"/>
        <v>0</v>
      </c>
      <c r="AG44" s="655">
        <f t="shared" si="10"/>
        <v>0</v>
      </c>
      <c r="AH44" s="562">
        <v>0</v>
      </c>
      <c r="AI44" s="562">
        <v>0</v>
      </c>
      <c r="AJ44" s="562"/>
      <c r="AK44" s="654">
        <f t="shared" si="11"/>
        <v>0</v>
      </c>
      <c r="AL44" s="567"/>
      <c r="AM44" s="567"/>
      <c r="AN44" s="651"/>
      <c r="AO44" s="654">
        <f t="shared" si="12"/>
        <v>0</v>
      </c>
      <c r="AP44" s="655">
        <f t="shared" si="13"/>
        <v>0</v>
      </c>
      <c r="AQ44" s="656">
        <f t="shared" si="14"/>
        <v>0</v>
      </c>
      <c r="AR44" s="652">
        <f t="shared" si="15"/>
        <v>10661.26</v>
      </c>
      <c r="AT44" s="1662">
        <f t="shared" si="16"/>
        <v>0</v>
      </c>
      <c r="AU44" s="1662">
        <f t="shared" si="17"/>
        <v>0</v>
      </c>
      <c r="AV44" s="1662">
        <f t="shared" si="18"/>
        <v>571</v>
      </c>
      <c r="AW44" s="1662">
        <f t="shared" si="19"/>
        <v>1522.95</v>
      </c>
      <c r="AX44" s="1662">
        <f t="shared" si="20"/>
        <v>714</v>
      </c>
      <c r="AY44" s="1662">
        <f t="shared" si="20"/>
        <v>996.84</v>
      </c>
      <c r="AZ44" s="1662">
        <f t="shared" si="21"/>
        <v>1522.95</v>
      </c>
      <c r="BA44" s="1662">
        <f t="shared" si="21"/>
        <v>1414.3200000000002</v>
      </c>
      <c r="BB44" s="1662">
        <f t="shared" si="0"/>
        <v>1367.46</v>
      </c>
      <c r="BC44" s="1662">
        <f t="shared" si="22"/>
        <v>1026.6599999999999</v>
      </c>
      <c r="BD44" s="1662">
        <f t="shared" si="22"/>
        <v>1525.0800000000002</v>
      </c>
      <c r="BE44" s="1662">
        <f t="shared" si="22"/>
        <v>0</v>
      </c>
      <c r="BF44" s="3385">
        <f t="shared" si="23"/>
        <v>10661.26</v>
      </c>
    </row>
    <row r="45" spans="1:58" ht="15.75" x14ac:dyDescent="0.25">
      <c r="E45" s="628" t="s">
        <v>1778</v>
      </c>
      <c r="F45" s="4686"/>
      <c r="G45" s="562"/>
      <c r="H45" s="562"/>
      <c r="I45" s="654">
        <f t="shared" si="1"/>
        <v>0</v>
      </c>
      <c r="J45" s="562"/>
      <c r="K45" s="562"/>
      <c r="L45" s="567"/>
      <c r="M45" s="654">
        <f t="shared" si="2"/>
        <v>0</v>
      </c>
      <c r="N45" s="655">
        <f t="shared" si="3"/>
        <v>0</v>
      </c>
      <c r="O45" s="562"/>
      <c r="P45" s="562"/>
      <c r="Q45" s="567"/>
      <c r="R45" s="654">
        <f t="shared" si="4"/>
        <v>0</v>
      </c>
      <c r="S45" s="567">
        <v>110.76</v>
      </c>
      <c r="T45" s="567"/>
      <c r="U45" s="651"/>
      <c r="V45" s="654">
        <f t="shared" si="5"/>
        <v>110.76</v>
      </c>
      <c r="W45" s="655">
        <f t="shared" si="6"/>
        <v>110.76</v>
      </c>
      <c r="X45" s="4685">
        <f t="shared" si="7"/>
        <v>110.76</v>
      </c>
      <c r="Y45" s="563"/>
      <c r="Z45" s="562"/>
      <c r="AA45" s="562"/>
      <c r="AB45" s="654">
        <f t="shared" si="8"/>
        <v>0</v>
      </c>
      <c r="AC45" s="562"/>
      <c r="AD45" s="664"/>
      <c r="AE45" s="567"/>
      <c r="AF45" s="1286">
        <f t="shared" si="9"/>
        <v>0</v>
      </c>
      <c r="AG45" s="655">
        <f t="shared" si="10"/>
        <v>0</v>
      </c>
      <c r="AH45" s="562"/>
      <c r="AI45" s="562"/>
      <c r="AJ45" s="562"/>
      <c r="AK45" s="654">
        <f t="shared" si="11"/>
        <v>0</v>
      </c>
      <c r="AL45" s="567"/>
      <c r="AM45" s="567"/>
      <c r="AN45" s="651"/>
      <c r="AO45" s="654">
        <f t="shared" si="12"/>
        <v>0</v>
      </c>
      <c r="AP45" s="655">
        <f t="shared" si="13"/>
        <v>0</v>
      </c>
      <c r="AQ45" s="656">
        <f t="shared" si="14"/>
        <v>0</v>
      </c>
      <c r="AR45" s="652">
        <f t="shared" si="15"/>
        <v>110.76</v>
      </c>
      <c r="AT45" s="1662">
        <f t="shared" si="16"/>
        <v>0</v>
      </c>
      <c r="AU45" s="1662">
        <f t="shared" si="17"/>
        <v>0</v>
      </c>
      <c r="AV45" s="1662">
        <f t="shared" si="18"/>
        <v>0</v>
      </c>
      <c r="AW45" s="1662">
        <f t="shared" si="19"/>
        <v>0</v>
      </c>
      <c r="AX45" s="1662">
        <f t="shared" si="20"/>
        <v>0</v>
      </c>
      <c r="AY45" s="1662">
        <f t="shared" si="20"/>
        <v>0</v>
      </c>
      <c r="AZ45" s="1662">
        <f t="shared" si="20"/>
        <v>0</v>
      </c>
      <c r="BA45" s="1662">
        <f t="shared" si="20"/>
        <v>0</v>
      </c>
      <c r="BB45" s="1662">
        <f t="shared" si="20"/>
        <v>0</v>
      </c>
      <c r="BC45" s="1662">
        <f t="shared" si="22"/>
        <v>110.76</v>
      </c>
      <c r="BD45" s="1662">
        <f t="shared" si="22"/>
        <v>0</v>
      </c>
      <c r="BE45" s="1662">
        <f t="shared" si="22"/>
        <v>0</v>
      </c>
      <c r="BF45" s="3385">
        <f t="shared" si="23"/>
        <v>110.76</v>
      </c>
    </row>
    <row r="46" spans="1:58" ht="15.75" x14ac:dyDescent="0.25">
      <c r="E46" s="628" t="s">
        <v>797</v>
      </c>
      <c r="F46" s="4686">
        <v>1385</v>
      </c>
      <c r="G46" s="562">
        <v>13</v>
      </c>
      <c r="H46" s="562">
        <v>1444</v>
      </c>
      <c r="I46" s="654">
        <f t="shared" si="1"/>
        <v>2842</v>
      </c>
      <c r="J46" s="562">
        <v>1367.46</v>
      </c>
      <c r="K46" s="562">
        <v>311</v>
      </c>
      <c r="L46" s="567">
        <v>886.07999999999993</v>
      </c>
      <c r="M46" s="654">
        <f t="shared" si="2"/>
        <v>2564.54</v>
      </c>
      <c r="N46" s="655">
        <f t="shared" si="3"/>
        <v>5406.54</v>
      </c>
      <c r="O46" s="562">
        <v>1942.56</v>
      </c>
      <c r="P46" s="562">
        <v>481.38</v>
      </c>
      <c r="Q46" s="567">
        <v>3574.1399999999994</v>
      </c>
      <c r="R46" s="654">
        <f t="shared" si="4"/>
        <v>5998.08</v>
      </c>
      <c r="S46" s="567"/>
      <c r="T46" s="567">
        <v>310.98</v>
      </c>
      <c r="U46" s="651">
        <v>1241.79</v>
      </c>
      <c r="V46" s="654">
        <f t="shared" si="5"/>
        <v>1552.77</v>
      </c>
      <c r="W46" s="655">
        <f t="shared" si="6"/>
        <v>7550.85</v>
      </c>
      <c r="X46" s="4685">
        <f t="shared" si="7"/>
        <v>12957.39</v>
      </c>
      <c r="Y46" s="563"/>
      <c r="Z46" s="562"/>
      <c r="AA46" s="562"/>
      <c r="AB46" s="654">
        <f t="shared" si="8"/>
        <v>0</v>
      </c>
      <c r="AC46" s="562"/>
      <c r="AD46" s="664">
        <v>0</v>
      </c>
      <c r="AE46" s="567"/>
      <c r="AF46" s="1286">
        <f t="shared" si="9"/>
        <v>0</v>
      </c>
      <c r="AG46" s="655">
        <f t="shared" si="10"/>
        <v>0</v>
      </c>
      <c r="AH46" s="562">
        <v>0</v>
      </c>
      <c r="AI46" s="562">
        <v>0</v>
      </c>
      <c r="AJ46" s="562"/>
      <c r="AK46" s="654">
        <f t="shared" si="11"/>
        <v>0</v>
      </c>
      <c r="AL46" s="567"/>
      <c r="AM46" s="567"/>
      <c r="AN46" s="651"/>
      <c r="AO46" s="654">
        <f t="shared" si="12"/>
        <v>0</v>
      </c>
      <c r="AP46" s="655">
        <f t="shared" si="13"/>
        <v>0</v>
      </c>
      <c r="AQ46" s="656">
        <f t="shared" si="14"/>
        <v>0</v>
      </c>
      <c r="AR46" s="652">
        <f t="shared" si="15"/>
        <v>12957.39</v>
      </c>
      <c r="AT46" s="1662">
        <f t="shared" si="16"/>
        <v>1385</v>
      </c>
      <c r="AU46" s="1662">
        <f t="shared" si="17"/>
        <v>13</v>
      </c>
      <c r="AV46" s="1662">
        <f t="shared" si="18"/>
        <v>1444</v>
      </c>
      <c r="AW46" s="1662">
        <f t="shared" si="19"/>
        <v>1367.46</v>
      </c>
      <c r="AX46" s="1662">
        <f t="shared" si="20"/>
        <v>311</v>
      </c>
      <c r="AY46" s="1662">
        <f t="shared" si="20"/>
        <v>886.07999999999993</v>
      </c>
      <c r="AZ46" s="1662">
        <f t="shared" si="21"/>
        <v>1942.56</v>
      </c>
      <c r="BA46" s="1662">
        <f t="shared" si="21"/>
        <v>481.38</v>
      </c>
      <c r="BB46" s="1662">
        <f t="shared" si="0"/>
        <v>3574.1399999999994</v>
      </c>
      <c r="BC46" s="1662">
        <f t="shared" si="22"/>
        <v>0</v>
      </c>
      <c r="BD46" s="1662">
        <f t="shared" si="22"/>
        <v>310.98</v>
      </c>
      <c r="BE46" s="1662">
        <f t="shared" si="22"/>
        <v>1241.79</v>
      </c>
      <c r="BF46" s="3385">
        <f t="shared" si="23"/>
        <v>12957.39</v>
      </c>
    </row>
    <row r="47" spans="1:58" ht="15.75" x14ac:dyDescent="0.25">
      <c r="E47" s="628" t="s">
        <v>810</v>
      </c>
      <c r="F47" s="4686"/>
      <c r="G47" s="562"/>
      <c r="H47" s="562"/>
      <c r="I47" s="654">
        <f t="shared" si="1"/>
        <v>0</v>
      </c>
      <c r="J47" s="562">
        <v>345.06</v>
      </c>
      <c r="K47" s="562">
        <v>87</v>
      </c>
      <c r="L47" s="567">
        <v>200.22</v>
      </c>
      <c r="M47" s="654">
        <f t="shared" si="2"/>
        <v>632.28</v>
      </c>
      <c r="N47" s="655">
        <f t="shared" si="3"/>
        <v>632.28</v>
      </c>
      <c r="O47" s="562">
        <v>153.36000000000001</v>
      </c>
      <c r="P47" s="562">
        <v>0</v>
      </c>
      <c r="Q47" s="567"/>
      <c r="R47" s="654">
        <f t="shared" si="4"/>
        <v>153.36000000000001</v>
      </c>
      <c r="S47" s="567"/>
      <c r="T47" s="567"/>
      <c r="U47" s="651"/>
      <c r="V47" s="654">
        <f t="shared" si="5"/>
        <v>0</v>
      </c>
      <c r="W47" s="655">
        <f t="shared" si="6"/>
        <v>153.36000000000001</v>
      </c>
      <c r="X47" s="4685">
        <f t="shared" si="7"/>
        <v>785.64</v>
      </c>
      <c r="Y47" s="563"/>
      <c r="Z47" s="562"/>
      <c r="AA47" s="562"/>
      <c r="AB47" s="654">
        <f t="shared" si="8"/>
        <v>0</v>
      </c>
      <c r="AC47" s="562"/>
      <c r="AD47" s="664">
        <v>0</v>
      </c>
      <c r="AE47" s="567"/>
      <c r="AF47" s="1286">
        <f t="shared" si="9"/>
        <v>0</v>
      </c>
      <c r="AG47" s="655">
        <f t="shared" si="10"/>
        <v>0</v>
      </c>
      <c r="AH47" s="562">
        <v>0</v>
      </c>
      <c r="AI47" s="562">
        <v>0</v>
      </c>
      <c r="AJ47" s="562"/>
      <c r="AK47" s="654">
        <f t="shared" si="11"/>
        <v>0</v>
      </c>
      <c r="AL47" s="567"/>
      <c r="AM47" s="567"/>
      <c r="AN47" s="651"/>
      <c r="AO47" s="654">
        <f t="shared" si="12"/>
        <v>0</v>
      </c>
      <c r="AP47" s="655">
        <f t="shared" si="13"/>
        <v>0</v>
      </c>
      <c r="AQ47" s="656">
        <f t="shared" si="14"/>
        <v>0</v>
      </c>
      <c r="AR47" s="652">
        <f t="shared" si="15"/>
        <v>785.64</v>
      </c>
      <c r="AT47" s="1662">
        <f t="shared" si="16"/>
        <v>0</v>
      </c>
      <c r="AU47" s="1662">
        <f t="shared" si="17"/>
        <v>0</v>
      </c>
      <c r="AV47" s="1662">
        <f t="shared" si="18"/>
        <v>0</v>
      </c>
      <c r="AW47" s="1662">
        <f t="shared" si="19"/>
        <v>345.06</v>
      </c>
      <c r="AX47" s="1662">
        <f t="shared" si="20"/>
        <v>87</v>
      </c>
      <c r="AY47" s="1662">
        <f t="shared" si="20"/>
        <v>200.22</v>
      </c>
      <c r="AZ47" s="1662">
        <f t="shared" si="21"/>
        <v>153.36000000000001</v>
      </c>
      <c r="BA47" s="1662">
        <f t="shared" si="21"/>
        <v>0</v>
      </c>
      <c r="BB47" s="1662">
        <f t="shared" si="0"/>
        <v>0</v>
      </c>
      <c r="BC47" s="1662">
        <f t="shared" si="22"/>
        <v>0</v>
      </c>
      <c r="BD47" s="1662">
        <f t="shared" si="22"/>
        <v>0</v>
      </c>
      <c r="BE47" s="1662">
        <f t="shared" si="22"/>
        <v>0</v>
      </c>
      <c r="BF47" s="3385">
        <f t="shared" si="23"/>
        <v>785.64</v>
      </c>
    </row>
    <row r="48" spans="1:58" ht="15.75" x14ac:dyDescent="0.25">
      <c r="E48" s="628" t="s">
        <v>1045</v>
      </c>
      <c r="F48" s="4686"/>
      <c r="G48" s="562"/>
      <c r="H48" s="562"/>
      <c r="I48" s="654">
        <f t="shared" si="1"/>
        <v>0</v>
      </c>
      <c r="J48" s="562"/>
      <c r="K48" s="1967"/>
      <c r="L48" s="567">
        <v>127.8</v>
      </c>
      <c r="M48" s="654">
        <f t="shared" si="2"/>
        <v>127.8</v>
      </c>
      <c r="N48" s="655">
        <f t="shared" si="3"/>
        <v>127.8</v>
      </c>
      <c r="O48" s="562">
        <v>0</v>
      </c>
      <c r="P48" s="562">
        <v>0</v>
      </c>
      <c r="Q48" s="567"/>
      <c r="R48" s="654">
        <f t="shared" si="4"/>
        <v>0</v>
      </c>
      <c r="S48" s="567"/>
      <c r="T48" s="567">
        <v>87.33</v>
      </c>
      <c r="U48" s="651">
        <v>106.5</v>
      </c>
      <c r="V48" s="654">
        <f t="shared" si="5"/>
        <v>193.82999999999998</v>
      </c>
      <c r="W48" s="655">
        <f t="shared" si="6"/>
        <v>193.82999999999998</v>
      </c>
      <c r="X48" s="4685">
        <f t="shared" si="7"/>
        <v>321.63</v>
      </c>
      <c r="Y48" s="563"/>
      <c r="Z48" s="562"/>
      <c r="AA48" s="562"/>
      <c r="AB48" s="654">
        <f t="shared" si="8"/>
        <v>0</v>
      </c>
      <c r="AC48" s="562"/>
      <c r="AD48" s="664"/>
      <c r="AE48" s="567"/>
      <c r="AF48" s="1286">
        <f t="shared" si="9"/>
        <v>0</v>
      </c>
      <c r="AG48" s="655">
        <f t="shared" si="10"/>
        <v>0</v>
      </c>
      <c r="AH48" s="562">
        <v>0</v>
      </c>
      <c r="AI48" s="562">
        <v>0</v>
      </c>
      <c r="AJ48" s="562"/>
      <c r="AK48" s="654">
        <f t="shared" si="11"/>
        <v>0</v>
      </c>
      <c r="AL48" s="567"/>
      <c r="AM48" s="567"/>
      <c r="AN48" s="651"/>
      <c r="AO48" s="654">
        <f t="shared" si="12"/>
        <v>0</v>
      </c>
      <c r="AP48" s="655">
        <f t="shared" si="13"/>
        <v>0</v>
      </c>
      <c r="AQ48" s="656">
        <f t="shared" si="14"/>
        <v>0</v>
      </c>
      <c r="AR48" s="652">
        <f t="shared" si="15"/>
        <v>321.63</v>
      </c>
      <c r="AT48" s="1662">
        <f t="shared" si="16"/>
        <v>0</v>
      </c>
      <c r="AU48" s="1662">
        <f t="shared" si="17"/>
        <v>0</v>
      </c>
      <c r="AV48" s="1662">
        <f t="shared" si="18"/>
        <v>0</v>
      </c>
      <c r="AW48" s="1662">
        <f t="shared" si="19"/>
        <v>0</v>
      </c>
      <c r="AX48" s="1662">
        <f t="shared" si="20"/>
        <v>0</v>
      </c>
      <c r="AY48" s="1662">
        <f t="shared" si="20"/>
        <v>127.8</v>
      </c>
      <c r="AZ48" s="1662">
        <f t="shared" si="21"/>
        <v>0</v>
      </c>
      <c r="BA48" s="1662">
        <f t="shared" si="21"/>
        <v>0</v>
      </c>
      <c r="BB48" s="1662">
        <f t="shared" si="0"/>
        <v>0</v>
      </c>
      <c r="BC48" s="1662">
        <f t="shared" si="22"/>
        <v>0</v>
      </c>
      <c r="BD48" s="1662">
        <f t="shared" si="22"/>
        <v>87.33</v>
      </c>
      <c r="BE48" s="1662">
        <f t="shared" si="22"/>
        <v>106.5</v>
      </c>
      <c r="BF48" s="3385">
        <f t="shared" si="23"/>
        <v>321.63</v>
      </c>
    </row>
    <row r="49" spans="5:62" ht="15.75" x14ac:dyDescent="0.25">
      <c r="E49" s="628" t="s">
        <v>1819</v>
      </c>
      <c r="F49" s="4686"/>
      <c r="G49" s="562"/>
      <c r="H49" s="562"/>
      <c r="I49" s="654">
        <f t="shared" si="1"/>
        <v>0</v>
      </c>
      <c r="J49" s="562"/>
      <c r="K49" s="1967"/>
      <c r="L49" s="567"/>
      <c r="M49" s="654">
        <f t="shared" si="2"/>
        <v>0</v>
      </c>
      <c r="N49" s="655">
        <f t="shared" si="3"/>
        <v>0</v>
      </c>
      <c r="O49" s="562"/>
      <c r="P49" s="562"/>
      <c r="Q49" s="567"/>
      <c r="R49" s="654">
        <f t="shared" si="4"/>
        <v>0</v>
      </c>
      <c r="S49" s="567"/>
      <c r="T49" s="567">
        <v>129.93</v>
      </c>
      <c r="U49" s="651">
        <v>144.84</v>
      </c>
      <c r="V49" s="654">
        <f t="shared" si="5"/>
        <v>274.77</v>
      </c>
      <c r="W49" s="655">
        <f t="shared" si="6"/>
        <v>274.77</v>
      </c>
      <c r="X49" s="4685">
        <f t="shared" si="7"/>
        <v>274.77</v>
      </c>
      <c r="Y49" s="563"/>
      <c r="Z49" s="562"/>
      <c r="AA49" s="562"/>
      <c r="AB49" s="654">
        <f t="shared" si="8"/>
        <v>0</v>
      </c>
      <c r="AC49" s="562"/>
      <c r="AD49" s="664"/>
      <c r="AE49" s="567"/>
      <c r="AF49" s="1286">
        <f t="shared" si="9"/>
        <v>0</v>
      </c>
      <c r="AG49" s="655">
        <f t="shared" si="10"/>
        <v>0</v>
      </c>
      <c r="AH49" s="562"/>
      <c r="AI49" s="562"/>
      <c r="AJ49" s="562"/>
      <c r="AK49" s="654">
        <f t="shared" si="11"/>
        <v>0</v>
      </c>
      <c r="AL49" s="567"/>
      <c r="AM49" s="567"/>
      <c r="AN49" s="651"/>
      <c r="AO49" s="654">
        <f t="shared" si="12"/>
        <v>0</v>
      </c>
      <c r="AP49" s="655">
        <f t="shared" si="13"/>
        <v>0</v>
      </c>
      <c r="AQ49" s="656">
        <f t="shared" si="14"/>
        <v>0</v>
      </c>
      <c r="AR49" s="652">
        <f t="shared" si="15"/>
        <v>274.77</v>
      </c>
      <c r="AT49" s="1662">
        <f t="shared" si="16"/>
        <v>0</v>
      </c>
      <c r="AU49" s="1662">
        <f t="shared" si="17"/>
        <v>0</v>
      </c>
      <c r="AV49" s="1662">
        <f t="shared" si="18"/>
        <v>0</v>
      </c>
      <c r="AW49" s="1662">
        <f t="shared" si="19"/>
        <v>0</v>
      </c>
      <c r="AX49" s="1662">
        <f t="shared" si="20"/>
        <v>0</v>
      </c>
      <c r="AY49" s="1662">
        <f t="shared" si="20"/>
        <v>0</v>
      </c>
      <c r="AZ49" s="1662">
        <f t="shared" si="20"/>
        <v>0</v>
      </c>
      <c r="BA49" s="1662">
        <f t="shared" si="20"/>
        <v>0</v>
      </c>
      <c r="BB49" s="1662">
        <f t="shared" si="20"/>
        <v>0</v>
      </c>
      <c r="BC49" s="1662">
        <f t="shared" si="20"/>
        <v>0</v>
      </c>
      <c r="BD49" s="1662">
        <f t="shared" si="22"/>
        <v>129.93</v>
      </c>
      <c r="BE49" s="1662">
        <f t="shared" si="22"/>
        <v>144.84</v>
      </c>
      <c r="BF49" s="3385">
        <f t="shared" si="23"/>
        <v>274.77</v>
      </c>
    </row>
    <row r="50" spans="5:62" ht="15.75" x14ac:dyDescent="0.25">
      <c r="E50" s="648" t="s">
        <v>774</v>
      </c>
      <c r="F50" s="4686"/>
      <c r="G50" s="562"/>
      <c r="H50" s="562">
        <v>4550</v>
      </c>
      <c r="I50" s="654">
        <f t="shared" si="1"/>
        <v>4550</v>
      </c>
      <c r="J50" s="562"/>
      <c r="K50" s="664">
        <v>0</v>
      </c>
      <c r="L50" s="567">
        <v>3684.900000000001</v>
      </c>
      <c r="M50" s="654">
        <f t="shared" si="2"/>
        <v>3684.900000000001</v>
      </c>
      <c r="N50" s="655">
        <f t="shared" si="3"/>
        <v>8234.9000000000015</v>
      </c>
      <c r="O50" s="562">
        <v>3693.42</v>
      </c>
      <c r="P50" s="562">
        <v>0</v>
      </c>
      <c r="Q50" s="567">
        <v>4264.2599999999993</v>
      </c>
      <c r="R50" s="654">
        <f t="shared" si="4"/>
        <v>7957.6799999999994</v>
      </c>
      <c r="S50" s="567">
        <v>440.91</v>
      </c>
      <c r="T50" s="567"/>
      <c r="U50" s="651">
        <v>5092.8300000000017</v>
      </c>
      <c r="V50" s="654">
        <f t="shared" si="5"/>
        <v>5533.7400000000016</v>
      </c>
      <c r="W50" s="655">
        <f t="shared" si="6"/>
        <v>13491.420000000002</v>
      </c>
      <c r="X50" s="4685">
        <f t="shared" si="7"/>
        <v>21726.320000000003</v>
      </c>
      <c r="Y50" s="563"/>
      <c r="Z50" s="562"/>
      <c r="AA50" s="562"/>
      <c r="AB50" s="654">
        <f t="shared" si="8"/>
        <v>0</v>
      </c>
      <c r="AC50" s="562"/>
      <c r="AD50" s="664">
        <v>0</v>
      </c>
      <c r="AE50" s="567"/>
      <c r="AF50" s="1286">
        <f t="shared" si="9"/>
        <v>0</v>
      </c>
      <c r="AG50" s="655">
        <f t="shared" si="10"/>
        <v>0</v>
      </c>
      <c r="AH50" s="562">
        <v>0</v>
      </c>
      <c r="AI50" s="562">
        <v>0</v>
      </c>
      <c r="AJ50" s="562"/>
      <c r="AK50" s="654">
        <f t="shared" si="11"/>
        <v>0</v>
      </c>
      <c r="AL50" s="567"/>
      <c r="AM50" s="567"/>
      <c r="AN50" s="651"/>
      <c r="AO50" s="654">
        <f t="shared" si="12"/>
        <v>0</v>
      </c>
      <c r="AP50" s="655">
        <f t="shared" si="13"/>
        <v>0</v>
      </c>
      <c r="AQ50" s="656">
        <f t="shared" si="14"/>
        <v>0</v>
      </c>
      <c r="AR50" s="652">
        <f t="shared" si="15"/>
        <v>21726.320000000003</v>
      </c>
      <c r="AT50" s="1662">
        <f t="shared" si="16"/>
        <v>0</v>
      </c>
      <c r="AU50" s="1662">
        <f t="shared" si="17"/>
        <v>0</v>
      </c>
      <c r="AV50" s="1662">
        <f t="shared" si="18"/>
        <v>4550</v>
      </c>
      <c r="AW50" s="1662">
        <f t="shared" si="19"/>
        <v>0</v>
      </c>
      <c r="AX50" s="1662">
        <f t="shared" si="20"/>
        <v>0</v>
      </c>
      <c r="AY50" s="1662">
        <f t="shared" si="20"/>
        <v>3684.900000000001</v>
      </c>
      <c r="AZ50" s="1662">
        <f t="shared" si="21"/>
        <v>3693.42</v>
      </c>
      <c r="BA50" s="1662">
        <f t="shared" si="21"/>
        <v>0</v>
      </c>
      <c r="BB50" s="1662">
        <f t="shared" si="0"/>
        <v>4264.2599999999993</v>
      </c>
      <c r="BC50" s="1662">
        <f t="shared" si="22"/>
        <v>440.91</v>
      </c>
      <c r="BD50" s="1662">
        <f t="shared" si="22"/>
        <v>0</v>
      </c>
      <c r="BE50" s="1662">
        <f t="shared" si="22"/>
        <v>5092.8300000000017</v>
      </c>
      <c r="BF50" s="3385">
        <f t="shared" si="23"/>
        <v>21726.320000000003</v>
      </c>
    </row>
    <row r="51" spans="5:62" ht="15.75" x14ac:dyDescent="0.25">
      <c r="E51" s="648" t="s">
        <v>754</v>
      </c>
      <c r="F51" s="4686">
        <v>3003</v>
      </c>
      <c r="G51" s="562">
        <v>5106</v>
      </c>
      <c r="H51" s="562">
        <v>435</v>
      </c>
      <c r="I51" s="654">
        <f t="shared" si="1"/>
        <v>8544</v>
      </c>
      <c r="J51" s="567">
        <v>1678.44</v>
      </c>
      <c r="K51" s="562">
        <v>7246</v>
      </c>
      <c r="L51" s="567">
        <v>325.89</v>
      </c>
      <c r="M51" s="654">
        <f t="shared" si="2"/>
        <v>9250.33</v>
      </c>
      <c r="N51" s="655">
        <f t="shared" si="3"/>
        <v>17794.330000000002</v>
      </c>
      <c r="O51" s="562">
        <v>8341.08</v>
      </c>
      <c r="P51" s="562">
        <v>0</v>
      </c>
      <c r="Q51" s="567">
        <v>1456.9199999999998</v>
      </c>
      <c r="R51" s="654">
        <f t="shared" si="4"/>
        <v>9798</v>
      </c>
      <c r="S51" s="567">
        <v>845.61000000000013</v>
      </c>
      <c r="T51" s="567">
        <v>8023.7099999999973</v>
      </c>
      <c r="U51" s="651">
        <v>4108.7700000000004</v>
      </c>
      <c r="V51" s="654">
        <f t="shared" si="5"/>
        <v>12978.089999999998</v>
      </c>
      <c r="W51" s="655">
        <f t="shared" si="6"/>
        <v>22776.089999999997</v>
      </c>
      <c r="X51" s="4685">
        <f t="shared" si="7"/>
        <v>40570.42</v>
      </c>
      <c r="Y51" s="563">
        <v>2924</v>
      </c>
      <c r="Z51" s="562"/>
      <c r="AA51" s="562"/>
      <c r="AB51" s="654">
        <f t="shared" si="8"/>
        <v>2924</v>
      </c>
      <c r="AC51" s="567">
        <v>2012.85</v>
      </c>
      <c r="AD51" s="664">
        <v>315</v>
      </c>
      <c r="AE51" s="567">
        <v>1874.4</v>
      </c>
      <c r="AF51" s="1286">
        <f t="shared" si="9"/>
        <v>4202.25</v>
      </c>
      <c r="AG51" s="655">
        <f t="shared" si="10"/>
        <v>7126.25</v>
      </c>
      <c r="AH51" s="562">
        <v>913.7700000000001</v>
      </c>
      <c r="AI51" s="562">
        <v>334.41</v>
      </c>
      <c r="AJ51" s="562">
        <v>149.1</v>
      </c>
      <c r="AK51" s="654">
        <f t="shared" si="11"/>
        <v>1397.28</v>
      </c>
      <c r="AL51" s="567"/>
      <c r="AM51" s="567"/>
      <c r="AN51" s="651">
        <v>451.56</v>
      </c>
      <c r="AO51" s="654">
        <f t="shared" si="12"/>
        <v>451.56</v>
      </c>
      <c r="AP51" s="655">
        <f t="shared" si="13"/>
        <v>1848.84</v>
      </c>
      <c r="AQ51" s="656">
        <f t="shared" si="14"/>
        <v>8975.09</v>
      </c>
      <c r="AR51" s="652">
        <f t="shared" si="15"/>
        <v>49545.509999999995</v>
      </c>
      <c r="AT51" s="1662">
        <f t="shared" si="16"/>
        <v>5927</v>
      </c>
      <c r="AU51" s="1662">
        <f t="shared" si="17"/>
        <v>5106</v>
      </c>
      <c r="AV51" s="1662">
        <f t="shared" si="18"/>
        <v>435</v>
      </c>
      <c r="AW51" s="1662">
        <f t="shared" si="19"/>
        <v>3691.29</v>
      </c>
      <c r="AX51" s="1662">
        <f t="shared" si="20"/>
        <v>7561</v>
      </c>
      <c r="AY51" s="1662">
        <f t="shared" si="20"/>
        <v>2200.29</v>
      </c>
      <c r="AZ51" s="1662">
        <f t="shared" si="21"/>
        <v>9254.85</v>
      </c>
      <c r="BA51" s="1662">
        <f t="shared" si="21"/>
        <v>334.41</v>
      </c>
      <c r="BB51" s="1662">
        <f t="shared" si="0"/>
        <v>1606.0199999999998</v>
      </c>
      <c r="BC51" s="1662">
        <f t="shared" si="22"/>
        <v>845.61000000000013</v>
      </c>
      <c r="BD51" s="1662">
        <f t="shared" si="22"/>
        <v>8023.7099999999973</v>
      </c>
      <c r="BE51" s="1662">
        <f t="shared" si="22"/>
        <v>4560.3300000000008</v>
      </c>
      <c r="BF51" s="3385">
        <f t="shared" si="23"/>
        <v>49545.51</v>
      </c>
    </row>
    <row r="52" spans="5:62" ht="15.75" x14ac:dyDescent="0.25">
      <c r="E52" s="648" t="s">
        <v>825</v>
      </c>
      <c r="F52" s="4686"/>
      <c r="G52" s="562">
        <v>3025</v>
      </c>
      <c r="H52" s="562">
        <v>1634</v>
      </c>
      <c r="I52" s="654">
        <f t="shared" si="1"/>
        <v>4659</v>
      </c>
      <c r="J52" s="567"/>
      <c r="K52" s="664">
        <v>0</v>
      </c>
      <c r="L52" s="567"/>
      <c r="M52" s="654">
        <f t="shared" si="2"/>
        <v>0</v>
      </c>
      <c r="N52" s="655">
        <f t="shared" si="3"/>
        <v>4659</v>
      </c>
      <c r="O52" s="562">
        <v>0</v>
      </c>
      <c r="P52" s="562">
        <v>0</v>
      </c>
      <c r="Q52" s="567"/>
      <c r="R52" s="654">
        <f t="shared" si="4"/>
        <v>0</v>
      </c>
      <c r="S52" s="567"/>
      <c r="T52" s="567"/>
      <c r="U52" s="651"/>
      <c r="V52" s="654">
        <f t="shared" si="5"/>
        <v>0</v>
      </c>
      <c r="W52" s="655">
        <f t="shared" si="6"/>
        <v>0</v>
      </c>
      <c r="X52" s="4685">
        <f t="shared" si="7"/>
        <v>4659</v>
      </c>
      <c r="Y52" s="563"/>
      <c r="Z52" s="562"/>
      <c r="AA52" s="562">
        <v>1806</v>
      </c>
      <c r="AB52" s="654">
        <f t="shared" si="8"/>
        <v>1806</v>
      </c>
      <c r="AC52" s="567"/>
      <c r="AD52" s="664">
        <v>0</v>
      </c>
      <c r="AE52" s="567"/>
      <c r="AF52" s="1286">
        <f t="shared" si="9"/>
        <v>0</v>
      </c>
      <c r="AG52" s="655">
        <f t="shared" si="10"/>
        <v>1806</v>
      </c>
      <c r="AH52" s="562">
        <v>0</v>
      </c>
      <c r="AI52" s="562">
        <v>0</v>
      </c>
      <c r="AJ52" s="562"/>
      <c r="AK52" s="654">
        <f t="shared" si="11"/>
        <v>0</v>
      </c>
      <c r="AL52" s="567"/>
      <c r="AM52" s="567"/>
      <c r="AN52" s="651"/>
      <c r="AO52" s="654">
        <f t="shared" si="12"/>
        <v>0</v>
      </c>
      <c r="AP52" s="655">
        <f t="shared" si="13"/>
        <v>0</v>
      </c>
      <c r="AQ52" s="656">
        <f t="shared" si="14"/>
        <v>1806</v>
      </c>
      <c r="AR52" s="652">
        <f t="shared" si="15"/>
        <v>6465</v>
      </c>
      <c r="AT52" s="1662">
        <f t="shared" si="16"/>
        <v>0</v>
      </c>
      <c r="AU52" s="1662">
        <f t="shared" si="17"/>
        <v>3025</v>
      </c>
      <c r="AV52" s="1662">
        <f t="shared" si="18"/>
        <v>3440</v>
      </c>
      <c r="AW52" s="1662">
        <f t="shared" si="19"/>
        <v>0</v>
      </c>
      <c r="AX52" s="1662">
        <f t="shared" si="20"/>
        <v>0</v>
      </c>
      <c r="AY52" s="1662">
        <f t="shared" si="20"/>
        <v>0</v>
      </c>
      <c r="AZ52" s="1662">
        <f t="shared" si="21"/>
        <v>0</v>
      </c>
      <c r="BA52" s="1662">
        <f t="shared" si="21"/>
        <v>0</v>
      </c>
      <c r="BB52" s="1662">
        <f t="shared" si="0"/>
        <v>0</v>
      </c>
      <c r="BC52" s="1662">
        <f t="shared" si="22"/>
        <v>0</v>
      </c>
      <c r="BD52" s="1662">
        <f t="shared" si="22"/>
        <v>0</v>
      </c>
      <c r="BE52" s="1662">
        <f t="shared" si="22"/>
        <v>0</v>
      </c>
      <c r="BF52" s="3385">
        <f>SUM(AT52:BE52)</f>
        <v>6465</v>
      </c>
    </row>
    <row r="53" spans="5:62" ht="15.75" x14ac:dyDescent="0.25">
      <c r="E53" s="648" t="s">
        <v>824</v>
      </c>
      <c r="F53" s="4686"/>
      <c r="G53" s="562"/>
      <c r="H53" s="562">
        <v>3225</v>
      </c>
      <c r="I53" s="654">
        <f t="shared" si="1"/>
        <v>3225</v>
      </c>
      <c r="J53" s="567">
        <v>5642.369999999999</v>
      </c>
      <c r="K53" s="562">
        <v>5444</v>
      </c>
      <c r="L53" s="567">
        <v>5218.5</v>
      </c>
      <c r="M53" s="654">
        <f t="shared" si="2"/>
        <v>16304.869999999999</v>
      </c>
      <c r="N53" s="655">
        <f t="shared" si="3"/>
        <v>19529.87</v>
      </c>
      <c r="O53" s="562">
        <v>9506.19</v>
      </c>
      <c r="P53" s="562">
        <v>5991.69</v>
      </c>
      <c r="Q53" s="567">
        <v>11348.639999999998</v>
      </c>
      <c r="R53" s="654">
        <f t="shared" si="4"/>
        <v>26846.519999999997</v>
      </c>
      <c r="S53" s="567">
        <v>2400.5100000000002</v>
      </c>
      <c r="T53" s="567"/>
      <c r="U53" s="651">
        <v>6238.7700000000013</v>
      </c>
      <c r="V53" s="654">
        <f t="shared" si="5"/>
        <v>8639.2800000000025</v>
      </c>
      <c r="W53" s="655">
        <f t="shared" si="6"/>
        <v>35485.800000000003</v>
      </c>
      <c r="X53" s="4685">
        <f t="shared" si="7"/>
        <v>55015.67</v>
      </c>
      <c r="Y53" s="563"/>
      <c r="Z53" s="562"/>
      <c r="AA53" s="562"/>
      <c r="AB53" s="654">
        <f t="shared" si="8"/>
        <v>0</v>
      </c>
      <c r="AC53" s="567">
        <v>3523.02</v>
      </c>
      <c r="AD53" s="664">
        <v>6569</v>
      </c>
      <c r="AE53" s="567"/>
      <c r="AF53" s="1286">
        <f t="shared" si="9"/>
        <v>10092.02</v>
      </c>
      <c r="AG53" s="655">
        <f t="shared" si="10"/>
        <v>10092.02</v>
      </c>
      <c r="AH53" s="562">
        <v>0</v>
      </c>
      <c r="AI53" s="562">
        <v>1780.68</v>
      </c>
      <c r="AJ53" s="562"/>
      <c r="AK53" s="654">
        <f t="shared" si="11"/>
        <v>1780.68</v>
      </c>
      <c r="AL53" s="567"/>
      <c r="AM53" s="567"/>
      <c r="AN53" s="651"/>
      <c r="AO53" s="654">
        <f t="shared" si="12"/>
        <v>0</v>
      </c>
      <c r="AP53" s="655">
        <f t="shared" si="13"/>
        <v>1780.68</v>
      </c>
      <c r="AQ53" s="656">
        <f t="shared" si="14"/>
        <v>11872.7</v>
      </c>
      <c r="AR53" s="652">
        <f t="shared" si="15"/>
        <v>66888.37</v>
      </c>
      <c r="AT53" s="1662">
        <f t="shared" si="16"/>
        <v>0</v>
      </c>
      <c r="AU53" s="1662">
        <f t="shared" si="17"/>
        <v>0</v>
      </c>
      <c r="AV53" s="1662">
        <f t="shared" si="18"/>
        <v>3225</v>
      </c>
      <c r="AW53" s="1662">
        <f t="shared" si="19"/>
        <v>9165.39</v>
      </c>
      <c r="AX53" s="1662">
        <f t="shared" si="20"/>
        <v>12013</v>
      </c>
      <c r="AY53" s="1662">
        <f t="shared" si="20"/>
        <v>5218.5</v>
      </c>
      <c r="AZ53" s="1662">
        <f t="shared" si="21"/>
        <v>9506.19</v>
      </c>
      <c r="BA53" s="1662">
        <f t="shared" si="21"/>
        <v>7772.37</v>
      </c>
      <c r="BB53" s="1662">
        <f t="shared" si="0"/>
        <v>11348.639999999998</v>
      </c>
      <c r="BC53" s="1662">
        <f t="shared" si="22"/>
        <v>2400.5100000000002</v>
      </c>
      <c r="BD53" s="1662">
        <f t="shared" si="22"/>
        <v>0</v>
      </c>
      <c r="BE53" s="1662">
        <f t="shared" si="22"/>
        <v>6238.7700000000013</v>
      </c>
      <c r="BF53" s="3385">
        <f t="shared" si="23"/>
        <v>66888.37000000001</v>
      </c>
      <c r="BH53" s="566"/>
    </row>
    <row r="54" spans="5:62" ht="15.75" x14ac:dyDescent="0.25">
      <c r="E54" s="648" t="s">
        <v>1432</v>
      </c>
      <c r="F54" s="4686"/>
      <c r="G54" s="562"/>
      <c r="H54" s="562"/>
      <c r="I54" s="654">
        <f t="shared" si="1"/>
        <v>0</v>
      </c>
      <c r="J54" s="567">
        <v>3608.22</v>
      </c>
      <c r="K54" s="565">
        <v>886</v>
      </c>
      <c r="L54" s="586">
        <v>905.25</v>
      </c>
      <c r="M54" s="654">
        <f t="shared" si="2"/>
        <v>5399.4699999999993</v>
      </c>
      <c r="N54" s="655">
        <f t="shared" si="3"/>
        <v>5399.4699999999993</v>
      </c>
      <c r="O54" s="562">
        <v>0</v>
      </c>
      <c r="P54" s="565">
        <v>1020.2700000000002</v>
      </c>
      <c r="Q54" s="586"/>
      <c r="R54" s="654">
        <f t="shared" si="4"/>
        <v>1020.2700000000002</v>
      </c>
      <c r="S54" s="567">
        <v>1367.4599999999998</v>
      </c>
      <c r="T54" s="567">
        <v>1693.3500000000004</v>
      </c>
      <c r="U54" s="651">
        <v>579.36</v>
      </c>
      <c r="V54" s="654">
        <f t="shared" si="5"/>
        <v>3640.1700000000005</v>
      </c>
      <c r="W54" s="655">
        <f t="shared" si="6"/>
        <v>4660.4400000000005</v>
      </c>
      <c r="X54" s="4685">
        <f t="shared" si="7"/>
        <v>10059.91</v>
      </c>
      <c r="Y54" s="563"/>
      <c r="Z54" s="562"/>
      <c r="AA54" s="562"/>
      <c r="AB54" s="654">
        <f t="shared" si="8"/>
        <v>0</v>
      </c>
      <c r="AC54" s="567"/>
      <c r="AD54" s="664">
        <v>0</v>
      </c>
      <c r="AE54" s="567"/>
      <c r="AF54" s="1286">
        <f t="shared" si="9"/>
        <v>0</v>
      </c>
      <c r="AG54" s="655">
        <f t="shared" si="10"/>
        <v>0</v>
      </c>
      <c r="AH54" s="565">
        <v>0</v>
      </c>
      <c r="AI54" s="562">
        <v>0</v>
      </c>
      <c r="AJ54" s="562">
        <v>2453.7599999999998</v>
      </c>
      <c r="AK54" s="654">
        <f t="shared" si="11"/>
        <v>2453.7599999999998</v>
      </c>
      <c r="AL54" s="567">
        <v>1565.55</v>
      </c>
      <c r="AM54" s="567">
        <v>3297.2400000000002</v>
      </c>
      <c r="AN54" s="651"/>
      <c r="AO54" s="654">
        <f t="shared" si="12"/>
        <v>4862.79</v>
      </c>
      <c r="AP54" s="655">
        <f t="shared" si="13"/>
        <v>7316.5499999999993</v>
      </c>
      <c r="AQ54" s="656">
        <f t="shared" si="14"/>
        <v>7316.5499999999993</v>
      </c>
      <c r="AR54" s="652">
        <f t="shared" si="15"/>
        <v>17376.46</v>
      </c>
      <c r="AT54" s="1662">
        <f t="shared" si="16"/>
        <v>0</v>
      </c>
      <c r="AU54" s="1662">
        <f t="shared" si="17"/>
        <v>0</v>
      </c>
      <c r="AV54" s="1662">
        <f t="shared" si="18"/>
        <v>0</v>
      </c>
      <c r="AW54" s="1662">
        <f t="shared" si="19"/>
        <v>3608.22</v>
      </c>
      <c r="AX54" s="1662">
        <f t="shared" si="20"/>
        <v>886</v>
      </c>
      <c r="AY54" s="1662">
        <f t="shared" si="20"/>
        <v>905.25</v>
      </c>
      <c r="AZ54" s="1662">
        <f t="shared" si="21"/>
        <v>0</v>
      </c>
      <c r="BA54" s="1662">
        <f t="shared" si="21"/>
        <v>1020.2700000000002</v>
      </c>
      <c r="BB54" s="1662">
        <f t="shared" si="0"/>
        <v>2453.7599999999998</v>
      </c>
      <c r="BC54" s="1662">
        <f t="shared" si="22"/>
        <v>2933.0099999999998</v>
      </c>
      <c r="BD54" s="1662">
        <f t="shared" si="22"/>
        <v>4990.59</v>
      </c>
      <c r="BE54" s="1662">
        <f t="shared" si="22"/>
        <v>579.36</v>
      </c>
      <c r="BF54" s="3385">
        <f t="shared" si="23"/>
        <v>17376.46</v>
      </c>
    </row>
    <row r="55" spans="5:62" ht="15.75" x14ac:dyDescent="0.25">
      <c r="E55" s="648" t="s">
        <v>1155</v>
      </c>
      <c r="F55" s="4686"/>
      <c r="G55" s="562"/>
      <c r="H55" s="562"/>
      <c r="I55" s="654">
        <f t="shared" si="1"/>
        <v>0</v>
      </c>
      <c r="J55" s="562"/>
      <c r="K55" s="664">
        <v>0</v>
      </c>
      <c r="L55" s="586">
        <v>25.56</v>
      </c>
      <c r="M55" s="654">
        <f t="shared" si="2"/>
        <v>25.56</v>
      </c>
      <c r="N55" s="655">
        <f t="shared" si="3"/>
        <v>25.56</v>
      </c>
      <c r="O55" s="562">
        <v>270.51</v>
      </c>
      <c r="P55" s="562">
        <v>0</v>
      </c>
      <c r="Q55" s="586"/>
      <c r="R55" s="654">
        <f t="shared" si="4"/>
        <v>270.51</v>
      </c>
      <c r="S55" s="567"/>
      <c r="T55" s="567"/>
      <c r="U55" s="651"/>
      <c r="V55" s="654">
        <f t="shared" si="5"/>
        <v>0</v>
      </c>
      <c r="W55" s="655">
        <f t="shared" si="6"/>
        <v>270.51</v>
      </c>
      <c r="X55" s="4685">
        <f t="shared" si="7"/>
        <v>296.07</v>
      </c>
      <c r="Y55" s="563"/>
      <c r="Z55" s="562"/>
      <c r="AA55" s="562"/>
      <c r="AB55" s="654">
        <f t="shared" si="8"/>
        <v>0</v>
      </c>
      <c r="AC55" s="562"/>
      <c r="AD55" s="664">
        <v>1076</v>
      </c>
      <c r="AE55" s="567">
        <v>500.55</v>
      </c>
      <c r="AF55" s="1286">
        <f t="shared" si="9"/>
        <v>1576.55</v>
      </c>
      <c r="AG55" s="655">
        <f t="shared" si="10"/>
        <v>1576.55</v>
      </c>
      <c r="AH55" s="565">
        <v>106.5</v>
      </c>
      <c r="AI55" s="562">
        <v>272.64</v>
      </c>
      <c r="AJ55" s="562">
        <v>244.95</v>
      </c>
      <c r="AK55" s="654">
        <f t="shared" si="11"/>
        <v>624.08999999999992</v>
      </c>
      <c r="AL55" s="567">
        <v>357.84000000000003</v>
      </c>
      <c r="AM55" s="567">
        <v>104.37</v>
      </c>
      <c r="AN55" s="651">
        <v>632.61</v>
      </c>
      <c r="AO55" s="654">
        <f t="shared" si="12"/>
        <v>1094.8200000000002</v>
      </c>
      <c r="AP55" s="655">
        <f t="shared" si="13"/>
        <v>1718.91</v>
      </c>
      <c r="AQ55" s="656">
        <f t="shared" si="14"/>
        <v>3295.46</v>
      </c>
      <c r="AR55" s="652">
        <f t="shared" si="15"/>
        <v>3591.53</v>
      </c>
      <c r="AT55" s="1662">
        <f t="shared" si="16"/>
        <v>0</v>
      </c>
      <c r="AU55" s="1662">
        <f t="shared" si="17"/>
        <v>0</v>
      </c>
      <c r="AV55" s="1662">
        <f t="shared" si="18"/>
        <v>0</v>
      </c>
      <c r="AW55" s="1662">
        <f t="shared" si="19"/>
        <v>0</v>
      </c>
      <c r="AX55" s="1662">
        <f t="shared" si="20"/>
        <v>1076</v>
      </c>
      <c r="AY55" s="1662">
        <f t="shared" si="20"/>
        <v>526.11</v>
      </c>
      <c r="AZ55" s="1662">
        <f t="shared" si="21"/>
        <v>377.01</v>
      </c>
      <c r="BA55" s="1662">
        <f t="shared" si="21"/>
        <v>272.64</v>
      </c>
      <c r="BB55" s="1662">
        <f t="shared" si="0"/>
        <v>244.95</v>
      </c>
      <c r="BC55" s="1662">
        <f t="shared" si="22"/>
        <v>357.84000000000003</v>
      </c>
      <c r="BD55" s="1662">
        <f t="shared" si="22"/>
        <v>104.37</v>
      </c>
      <c r="BE55" s="1662">
        <f t="shared" si="22"/>
        <v>632.61</v>
      </c>
      <c r="BF55" s="3385">
        <f t="shared" si="23"/>
        <v>3591.53</v>
      </c>
    </row>
    <row r="56" spans="5:62" ht="15.75" x14ac:dyDescent="0.25">
      <c r="E56" s="1968" t="s">
        <v>1655</v>
      </c>
      <c r="F56" s="4687"/>
      <c r="G56" s="565"/>
      <c r="H56" s="565"/>
      <c r="I56" s="654">
        <f t="shared" si="1"/>
        <v>0</v>
      </c>
      <c r="J56" s="565"/>
      <c r="K56" s="1585"/>
      <c r="L56" s="586"/>
      <c r="M56" s="654">
        <f t="shared" si="2"/>
        <v>0</v>
      </c>
      <c r="N56" s="655">
        <f t="shared" si="3"/>
        <v>0</v>
      </c>
      <c r="O56" s="562">
        <v>1065</v>
      </c>
      <c r="P56" s="565">
        <v>4498.5600000000013</v>
      </c>
      <c r="Q56" s="586">
        <v>5540.1299999999992</v>
      </c>
      <c r="R56" s="654">
        <f t="shared" si="4"/>
        <v>11103.69</v>
      </c>
      <c r="S56" s="586">
        <v>2749.83</v>
      </c>
      <c r="T56" s="586"/>
      <c r="U56" s="651"/>
      <c r="V56" s="654">
        <f t="shared" si="5"/>
        <v>2749.83</v>
      </c>
      <c r="W56" s="655">
        <f t="shared" si="6"/>
        <v>13853.52</v>
      </c>
      <c r="X56" s="4685">
        <f t="shared" si="7"/>
        <v>13853.52</v>
      </c>
      <c r="Y56" s="4682"/>
      <c r="Z56" s="565"/>
      <c r="AA56" s="565"/>
      <c r="AB56" s="654">
        <f t="shared" si="8"/>
        <v>0</v>
      </c>
      <c r="AC56" s="565"/>
      <c r="AD56" s="1585"/>
      <c r="AE56" s="586"/>
      <c r="AF56" s="1286">
        <f t="shared" si="9"/>
        <v>0</v>
      </c>
      <c r="AG56" s="655">
        <f t="shared" si="10"/>
        <v>0</v>
      </c>
      <c r="AH56" s="565">
        <v>0</v>
      </c>
      <c r="AI56" s="562">
        <v>0</v>
      </c>
      <c r="AJ56" s="565"/>
      <c r="AK56" s="654">
        <f t="shared" si="11"/>
        <v>0</v>
      </c>
      <c r="AL56" s="586"/>
      <c r="AM56" s="586"/>
      <c r="AN56" s="651"/>
      <c r="AO56" s="654">
        <f t="shared" si="12"/>
        <v>0</v>
      </c>
      <c r="AP56" s="655">
        <f t="shared" si="13"/>
        <v>0</v>
      </c>
      <c r="AQ56" s="656">
        <f t="shared" si="14"/>
        <v>0</v>
      </c>
      <c r="AR56" s="652">
        <f t="shared" si="15"/>
        <v>13853.52</v>
      </c>
      <c r="AT56" s="1662">
        <f t="shared" si="16"/>
        <v>0</v>
      </c>
      <c r="AU56" s="1662">
        <f t="shared" si="17"/>
        <v>0</v>
      </c>
      <c r="AV56" s="1662">
        <f t="shared" si="18"/>
        <v>0</v>
      </c>
      <c r="AW56" s="1662">
        <f t="shared" si="19"/>
        <v>0</v>
      </c>
      <c r="AX56" s="1662">
        <f t="shared" si="20"/>
        <v>0</v>
      </c>
      <c r="AY56" s="1662">
        <f t="shared" si="20"/>
        <v>0</v>
      </c>
      <c r="AZ56" s="1662">
        <f t="shared" si="21"/>
        <v>1065</v>
      </c>
      <c r="BA56" s="1662">
        <f t="shared" si="21"/>
        <v>4498.5600000000013</v>
      </c>
      <c r="BB56" s="1662">
        <f t="shared" si="0"/>
        <v>5540.1299999999992</v>
      </c>
      <c r="BC56" s="1662">
        <f t="shared" si="22"/>
        <v>2749.83</v>
      </c>
      <c r="BD56" s="1662">
        <f t="shared" si="22"/>
        <v>0</v>
      </c>
      <c r="BE56" s="1662">
        <f t="shared" si="22"/>
        <v>0</v>
      </c>
      <c r="BF56" s="3385">
        <f t="shared" si="23"/>
        <v>13853.52</v>
      </c>
    </row>
    <row r="57" spans="5:62" ht="15.75" x14ac:dyDescent="0.25">
      <c r="E57" s="1968" t="s">
        <v>1599</v>
      </c>
      <c r="F57" s="4687"/>
      <c r="G57" s="565"/>
      <c r="H57" s="565"/>
      <c r="I57" s="654">
        <f t="shared" si="1"/>
        <v>0</v>
      </c>
      <c r="J57" s="565"/>
      <c r="K57" s="1585"/>
      <c r="L57" s="586">
        <v>3079.9800000000009</v>
      </c>
      <c r="M57" s="654">
        <f t="shared" si="2"/>
        <v>3079.9800000000009</v>
      </c>
      <c r="N57" s="655">
        <f t="shared" si="3"/>
        <v>3079.9800000000009</v>
      </c>
      <c r="O57" s="565">
        <v>1910.61</v>
      </c>
      <c r="P57" s="565">
        <v>545.28</v>
      </c>
      <c r="Q57" s="586">
        <v>2585.8199999999997</v>
      </c>
      <c r="R57" s="654">
        <f t="shared" si="4"/>
        <v>5041.7099999999991</v>
      </c>
      <c r="S57" s="586">
        <v>1243.9199999999998</v>
      </c>
      <c r="T57" s="586">
        <v>924.42</v>
      </c>
      <c r="U57" s="651">
        <v>5572.079999999999</v>
      </c>
      <c r="V57" s="654">
        <f t="shared" si="5"/>
        <v>7740.4199999999983</v>
      </c>
      <c r="W57" s="655">
        <f t="shared" si="6"/>
        <v>12782.129999999997</v>
      </c>
      <c r="X57" s="4685">
        <f t="shared" si="7"/>
        <v>15862.109999999999</v>
      </c>
      <c r="Y57" s="4682"/>
      <c r="Z57" s="565"/>
      <c r="AA57" s="565"/>
      <c r="AB57" s="654">
        <f t="shared" si="8"/>
        <v>0</v>
      </c>
      <c r="AC57" s="565"/>
      <c r="AD57" s="1585">
        <v>1135</v>
      </c>
      <c r="AE57" s="586"/>
      <c r="AF57" s="1286">
        <f t="shared" si="9"/>
        <v>1135</v>
      </c>
      <c r="AG57" s="655">
        <f t="shared" si="10"/>
        <v>1135</v>
      </c>
      <c r="AH57" s="565">
        <v>0</v>
      </c>
      <c r="AI57" s="562">
        <v>0</v>
      </c>
      <c r="AJ57" s="565">
        <v>687.99</v>
      </c>
      <c r="AK57" s="654">
        <f t="shared" si="11"/>
        <v>687.99</v>
      </c>
      <c r="AL57" s="586">
        <v>1120.3800000000001</v>
      </c>
      <c r="AM57" s="586">
        <v>2967.09</v>
      </c>
      <c r="AN57" s="651">
        <v>2159.8199999999997</v>
      </c>
      <c r="AO57" s="654">
        <f t="shared" si="12"/>
        <v>6247.29</v>
      </c>
      <c r="AP57" s="655">
        <f t="shared" si="13"/>
        <v>6935.28</v>
      </c>
      <c r="AQ57" s="656">
        <f t="shared" si="14"/>
        <v>8070.28</v>
      </c>
      <c r="AR57" s="652">
        <f t="shared" si="15"/>
        <v>23932.39</v>
      </c>
      <c r="AT57" s="1662">
        <f t="shared" si="16"/>
        <v>0</v>
      </c>
      <c r="AU57" s="1662">
        <f t="shared" si="17"/>
        <v>0</v>
      </c>
      <c r="AV57" s="1662">
        <f t="shared" si="18"/>
        <v>0</v>
      </c>
      <c r="AW57" s="1662">
        <f t="shared" si="19"/>
        <v>0</v>
      </c>
      <c r="AX57" s="1662">
        <f t="shared" si="20"/>
        <v>1135</v>
      </c>
      <c r="AY57" s="1662">
        <f t="shared" si="20"/>
        <v>3079.9800000000009</v>
      </c>
      <c r="AZ57" s="1662">
        <f t="shared" si="21"/>
        <v>1910.61</v>
      </c>
      <c r="BA57" s="1662">
        <f t="shared" si="21"/>
        <v>545.28</v>
      </c>
      <c r="BB57" s="1662">
        <f t="shared" si="0"/>
        <v>3273.8099999999995</v>
      </c>
      <c r="BC57" s="1662">
        <f t="shared" si="22"/>
        <v>2364.3000000000002</v>
      </c>
      <c r="BD57" s="1662">
        <f t="shared" si="22"/>
        <v>3891.51</v>
      </c>
      <c r="BE57" s="1662">
        <f t="shared" si="22"/>
        <v>7731.8999999999987</v>
      </c>
      <c r="BF57" s="3385">
        <f t="shared" si="23"/>
        <v>23932.39</v>
      </c>
    </row>
    <row r="58" spans="5:62" ht="15.75" x14ac:dyDescent="0.25">
      <c r="E58" s="1968" t="s">
        <v>1598</v>
      </c>
      <c r="F58" s="4687"/>
      <c r="G58" s="565"/>
      <c r="H58" s="565"/>
      <c r="I58" s="654">
        <f t="shared" si="1"/>
        <v>0</v>
      </c>
      <c r="J58" s="565"/>
      <c r="K58" s="1585"/>
      <c r="L58" s="586">
        <v>1350.42</v>
      </c>
      <c r="M58" s="654">
        <f t="shared" si="2"/>
        <v>1350.42</v>
      </c>
      <c r="N58" s="655">
        <f t="shared" si="3"/>
        <v>1350.42</v>
      </c>
      <c r="O58" s="565">
        <v>0</v>
      </c>
      <c r="P58" s="562">
        <v>0</v>
      </c>
      <c r="Q58" s="586"/>
      <c r="R58" s="654">
        <f t="shared" si="4"/>
        <v>0</v>
      </c>
      <c r="S58" s="586"/>
      <c r="T58" s="586">
        <v>549.54</v>
      </c>
      <c r="U58" s="651"/>
      <c r="V58" s="654">
        <f t="shared" si="5"/>
        <v>549.54</v>
      </c>
      <c r="W58" s="655">
        <f t="shared" si="6"/>
        <v>549.54</v>
      </c>
      <c r="X58" s="4685">
        <f t="shared" si="7"/>
        <v>1899.96</v>
      </c>
      <c r="Y58" s="4682"/>
      <c r="Z58" s="565"/>
      <c r="AA58" s="565"/>
      <c r="AB58" s="654">
        <f t="shared" si="8"/>
        <v>0</v>
      </c>
      <c r="AC58" s="565"/>
      <c r="AD58" s="1585"/>
      <c r="AE58" s="586"/>
      <c r="AF58" s="1286">
        <f t="shared" si="9"/>
        <v>0</v>
      </c>
      <c r="AG58" s="655">
        <f t="shared" si="10"/>
        <v>0</v>
      </c>
      <c r="AH58" s="565">
        <v>0</v>
      </c>
      <c r="AI58" s="562">
        <v>0</v>
      </c>
      <c r="AJ58" s="565"/>
      <c r="AK58" s="654">
        <f t="shared" si="11"/>
        <v>0</v>
      </c>
      <c r="AL58" s="586"/>
      <c r="AM58" s="586"/>
      <c r="AN58" s="651"/>
      <c r="AO58" s="654">
        <f t="shared" si="12"/>
        <v>0</v>
      </c>
      <c r="AP58" s="655">
        <f t="shared" si="13"/>
        <v>0</v>
      </c>
      <c r="AQ58" s="656">
        <f t="shared" si="14"/>
        <v>0</v>
      </c>
      <c r="AR58" s="652">
        <f t="shared" si="15"/>
        <v>1899.96</v>
      </c>
      <c r="AT58" s="1662">
        <f t="shared" si="16"/>
        <v>0</v>
      </c>
      <c r="AU58" s="1662">
        <f t="shared" si="17"/>
        <v>0</v>
      </c>
      <c r="AV58" s="1662">
        <f t="shared" si="18"/>
        <v>0</v>
      </c>
      <c r="AW58" s="1662">
        <f t="shared" si="19"/>
        <v>0</v>
      </c>
      <c r="AX58" s="1662">
        <f t="shared" ref="AX58:AY60" si="36">+K58+AD58</f>
        <v>0</v>
      </c>
      <c r="AY58" s="1662">
        <f t="shared" si="36"/>
        <v>1350.42</v>
      </c>
      <c r="AZ58" s="1662">
        <f t="shared" ref="AZ58:BA60" si="37">+O58+AH58</f>
        <v>0</v>
      </c>
      <c r="BA58" s="1662">
        <f t="shared" si="37"/>
        <v>0</v>
      </c>
      <c r="BB58" s="1662">
        <f t="shared" si="0"/>
        <v>0</v>
      </c>
      <c r="BC58" s="1662">
        <f t="shared" si="22"/>
        <v>0</v>
      </c>
      <c r="BD58" s="1662">
        <f t="shared" si="22"/>
        <v>549.54</v>
      </c>
      <c r="BE58" s="1662">
        <f t="shared" si="22"/>
        <v>0</v>
      </c>
      <c r="BF58" s="3385">
        <f t="shared" si="23"/>
        <v>1899.96</v>
      </c>
    </row>
    <row r="59" spans="5:62" ht="15.75" x14ac:dyDescent="0.25">
      <c r="E59" s="1968" t="s">
        <v>1862</v>
      </c>
      <c r="F59" s="4687"/>
      <c r="G59" s="565"/>
      <c r="H59" s="565"/>
      <c r="I59" s="654"/>
      <c r="J59" s="565"/>
      <c r="K59" s="1585"/>
      <c r="L59" s="586"/>
      <c r="M59" s="654"/>
      <c r="N59" s="655"/>
      <c r="O59" s="565"/>
      <c r="P59" s="565"/>
      <c r="Q59" s="586"/>
      <c r="R59" s="654"/>
      <c r="S59" s="586"/>
      <c r="T59" s="586"/>
      <c r="U59" s="651">
        <v>1772.1599999999999</v>
      </c>
      <c r="V59" s="654">
        <f t="shared" si="5"/>
        <v>1772.1599999999999</v>
      </c>
      <c r="W59" s="655">
        <f t="shared" si="6"/>
        <v>1772.1599999999999</v>
      </c>
      <c r="X59" s="4685">
        <f t="shared" si="7"/>
        <v>1772.1599999999999</v>
      </c>
      <c r="Y59" s="4682"/>
      <c r="Z59" s="565"/>
      <c r="AA59" s="565"/>
      <c r="AB59" s="654"/>
      <c r="AC59" s="565"/>
      <c r="AD59" s="1585"/>
      <c r="AE59" s="586"/>
      <c r="AF59" s="1286"/>
      <c r="AG59" s="655"/>
      <c r="AH59" s="565"/>
      <c r="AI59" s="565"/>
      <c r="AJ59" s="565"/>
      <c r="AK59" s="654"/>
      <c r="AL59" s="586"/>
      <c r="AM59" s="586"/>
      <c r="AN59" s="651"/>
      <c r="AO59" s="654">
        <f t="shared" si="12"/>
        <v>0</v>
      </c>
      <c r="AP59" s="655">
        <f t="shared" si="13"/>
        <v>0</v>
      </c>
      <c r="AQ59" s="656">
        <f t="shared" si="14"/>
        <v>0</v>
      </c>
      <c r="AR59" s="652">
        <f t="shared" si="15"/>
        <v>1772.1599999999999</v>
      </c>
      <c r="AT59" s="1662">
        <f t="shared" si="16"/>
        <v>0</v>
      </c>
      <c r="AU59" s="1662">
        <f t="shared" si="17"/>
        <v>0</v>
      </c>
      <c r="AV59" s="1662">
        <f t="shared" si="18"/>
        <v>0</v>
      </c>
      <c r="AW59" s="1662">
        <f t="shared" si="19"/>
        <v>0</v>
      </c>
      <c r="AX59" s="1662">
        <f t="shared" si="36"/>
        <v>0</v>
      </c>
      <c r="AY59" s="1662">
        <f t="shared" si="36"/>
        <v>0</v>
      </c>
      <c r="AZ59" s="1662">
        <f t="shared" si="37"/>
        <v>0</v>
      </c>
      <c r="BA59" s="1662">
        <f t="shared" si="37"/>
        <v>0</v>
      </c>
      <c r="BB59" s="1662">
        <f t="shared" si="0"/>
        <v>0</v>
      </c>
      <c r="BC59" s="1662">
        <f t="shared" si="22"/>
        <v>0</v>
      </c>
      <c r="BD59" s="1662">
        <f t="shared" si="22"/>
        <v>0</v>
      </c>
      <c r="BE59" s="1662">
        <f t="shared" si="22"/>
        <v>1772.1599999999999</v>
      </c>
      <c r="BF59" s="3385">
        <f t="shared" si="23"/>
        <v>1772.1599999999999</v>
      </c>
    </row>
    <row r="60" spans="5:62" ht="16.5" thickBot="1" x14ac:dyDescent="0.3">
      <c r="E60" s="1968" t="s">
        <v>1667</v>
      </c>
      <c r="F60" s="4687">
        <v>556</v>
      </c>
      <c r="G60" s="565">
        <v>194</v>
      </c>
      <c r="H60" s="565">
        <v>892</v>
      </c>
      <c r="I60" s="654">
        <f t="shared" si="1"/>
        <v>1642</v>
      </c>
      <c r="J60" s="565">
        <v>436.64999999999992</v>
      </c>
      <c r="K60" s="565">
        <v>426</v>
      </c>
      <c r="L60" s="586">
        <v>523.97999999999956</v>
      </c>
      <c r="M60" s="654">
        <f t="shared" si="2"/>
        <v>1386.6299999999994</v>
      </c>
      <c r="N60" s="655">
        <f t="shared" si="3"/>
        <v>3028.6299999999992</v>
      </c>
      <c r="O60" s="565">
        <v>526.10999999999979</v>
      </c>
      <c r="P60" s="565">
        <v>1429.2300000000025</v>
      </c>
      <c r="Q60" s="586">
        <v>981.92999999999893</v>
      </c>
      <c r="R60" s="654">
        <f t="shared" si="4"/>
        <v>2937.2700000000013</v>
      </c>
      <c r="S60" s="586">
        <v>886.07999999999913</v>
      </c>
      <c r="T60" s="586">
        <v>745.49999999999966</v>
      </c>
      <c r="U60" s="651">
        <v>1003.2299999999996</v>
      </c>
      <c r="V60" s="654">
        <f t="shared" si="5"/>
        <v>2634.8099999999986</v>
      </c>
      <c r="W60" s="655">
        <f t="shared" si="6"/>
        <v>5572.08</v>
      </c>
      <c r="X60" s="4685">
        <f t="shared" si="7"/>
        <v>8600.7099999999991</v>
      </c>
      <c r="Y60" s="4682">
        <v>204</v>
      </c>
      <c r="Z60" s="565">
        <v>36</v>
      </c>
      <c r="AA60" s="565">
        <v>339</v>
      </c>
      <c r="AB60" s="654">
        <f t="shared" si="8"/>
        <v>579</v>
      </c>
      <c r="AC60" s="565">
        <v>151.22999999999999</v>
      </c>
      <c r="AD60" s="1585">
        <v>204</v>
      </c>
      <c r="AE60" s="586">
        <v>146.97</v>
      </c>
      <c r="AF60" s="1286">
        <f t="shared" si="9"/>
        <v>502.20000000000005</v>
      </c>
      <c r="AG60" s="655">
        <f t="shared" si="10"/>
        <v>1081.2</v>
      </c>
      <c r="AH60" s="565">
        <v>304.58999999999992</v>
      </c>
      <c r="AI60" s="565">
        <v>115.01999999999995</v>
      </c>
      <c r="AJ60" s="565">
        <v>95.85</v>
      </c>
      <c r="AK60" s="654">
        <f t="shared" si="11"/>
        <v>515.45999999999992</v>
      </c>
      <c r="AL60" s="586">
        <v>430.25999999999965</v>
      </c>
      <c r="AM60" s="586">
        <v>119.27999999999999</v>
      </c>
      <c r="AN60" s="651">
        <v>129.92999999999995</v>
      </c>
      <c r="AO60" s="654">
        <f t="shared" si="12"/>
        <v>679.46999999999957</v>
      </c>
      <c r="AP60" s="655">
        <f t="shared" si="13"/>
        <v>1194.9299999999994</v>
      </c>
      <c r="AQ60" s="656">
        <f t="shared" si="14"/>
        <v>2276.1299999999992</v>
      </c>
      <c r="AR60" s="652">
        <f t="shared" si="15"/>
        <v>10876.839999999998</v>
      </c>
      <c r="AS60" s="657"/>
      <c r="AT60" s="1662">
        <f t="shared" si="16"/>
        <v>760</v>
      </c>
      <c r="AU60" s="1662">
        <f t="shared" si="17"/>
        <v>230</v>
      </c>
      <c r="AV60" s="1662">
        <f t="shared" si="18"/>
        <v>1231</v>
      </c>
      <c r="AW60" s="1662">
        <f t="shared" si="19"/>
        <v>587.87999999999988</v>
      </c>
      <c r="AX60" s="1662">
        <f t="shared" si="36"/>
        <v>630</v>
      </c>
      <c r="AY60" s="1662">
        <f t="shared" si="36"/>
        <v>670.94999999999959</v>
      </c>
      <c r="AZ60" s="1662">
        <f t="shared" si="37"/>
        <v>830.6999999999997</v>
      </c>
      <c r="BA60" s="1662">
        <f t="shared" si="37"/>
        <v>1544.2500000000025</v>
      </c>
      <c r="BB60" s="1662">
        <f t="shared" si="0"/>
        <v>1077.7799999999988</v>
      </c>
      <c r="BC60" s="1662">
        <f t="shared" si="22"/>
        <v>1316.3399999999988</v>
      </c>
      <c r="BD60" s="1662">
        <f t="shared" si="22"/>
        <v>864.77999999999963</v>
      </c>
      <c r="BE60" s="1662">
        <f t="shared" si="22"/>
        <v>1133.1599999999994</v>
      </c>
      <c r="BF60" s="3385">
        <f t="shared" si="23"/>
        <v>10876.839999999998</v>
      </c>
    </row>
    <row r="61" spans="5:62" s="657" customFormat="1" ht="16.5" thickBot="1" x14ac:dyDescent="0.3">
      <c r="E61" s="4679" t="s">
        <v>2</v>
      </c>
      <c r="F61" s="3384">
        <f t="shared" ref="F61:AR61" si="38">SUM(F6:F60)</f>
        <v>44209.666666666664</v>
      </c>
      <c r="G61" s="3384">
        <f t="shared" si="38"/>
        <v>35087.666666666672</v>
      </c>
      <c r="H61" s="3384">
        <f t="shared" si="38"/>
        <v>73552.666666666672</v>
      </c>
      <c r="I61" s="3384">
        <f t="shared" si="38"/>
        <v>152850</v>
      </c>
      <c r="J61" s="3384">
        <f t="shared" si="38"/>
        <v>73279.666666666672</v>
      </c>
      <c r="K61" s="3384">
        <f t="shared" si="38"/>
        <v>76875.666666666686</v>
      </c>
      <c r="L61" s="3384">
        <f t="shared" si="38"/>
        <v>78455.666666666672</v>
      </c>
      <c r="M61" s="3384">
        <f t="shared" si="38"/>
        <v>228611.00000000006</v>
      </c>
      <c r="N61" s="3384">
        <f t="shared" si="38"/>
        <v>381461</v>
      </c>
      <c r="O61" s="3384">
        <f t="shared" si="38"/>
        <v>79740.666666666672</v>
      </c>
      <c r="P61" s="3384">
        <f t="shared" si="38"/>
        <v>69492.666666666672</v>
      </c>
      <c r="Q61" s="3384">
        <f t="shared" si="38"/>
        <v>88705.666666666657</v>
      </c>
      <c r="R61" s="3384">
        <f t="shared" si="38"/>
        <v>237938.99999999997</v>
      </c>
      <c r="S61" s="3384">
        <f t="shared" si="38"/>
        <v>83740.666666666672</v>
      </c>
      <c r="T61" s="3384">
        <f t="shared" si="38"/>
        <v>78017.666666666672</v>
      </c>
      <c r="U61" s="3384">
        <f t="shared" si="38"/>
        <v>87649.666666666672</v>
      </c>
      <c r="V61" s="3384">
        <f t="shared" si="38"/>
        <v>249407.99999999994</v>
      </c>
      <c r="W61" s="3384">
        <f t="shared" si="38"/>
        <v>487347.00000000006</v>
      </c>
      <c r="X61" s="4688">
        <f t="shared" si="38"/>
        <v>868808.00000000012</v>
      </c>
      <c r="Y61" s="4683">
        <f t="shared" si="38"/>
        <v>40450.666666666664</v>
      </c>
      <c r="Z61" s="3384">
        <f t="shared" si="38"/>
        <v>35229.666666666672</v>
      </c>
      <c r="AA61" s="3384">
        <f t="shared" si="38"/>
        <v>76811.666666666672</v>
      </c>
      <c r="AB61" s="3384">
        <f t="shared" si="38"/>
        <v>152492</v>
      </c>
      <c r="AC61" s="3384">
        <f t="shared" si="38"/>
        <v>83974.666666666672</v>
      </c>
      <c r="AD61" s="3384">
        <f t="shared" si="38"/>
        <v>78555.666666666672</v>
      </c>
      <c r="AE61" s="3384">
        <f t="shared" si="38"/>
        <v>82658.666666666672</v>
      </c>
      <c r="AF61" s="3384">
        <f t="shared" si="38"/>
        <v>245189</v>
      </c>
      <c r="AG61" s="3384">
        <f t="shared" si="38"/>
        <v>397681</v>
      </c>
      <c r="AH61" s="3384">
        <f t="shared" si="38"/>
        <v>92850.666666666672</v>
      </c>
      <c r="AI61" s="3384">
        <f t="shared" si="38"/>
        <v>82990.666666666672</v>
      </c>
      <c r="AJ61" s="3384">
        <f t="shared" si="38"/>
        <v>80272.666666666672</v>
      </c>
      <c r="AK61" s="3384">
        <f t="shared" si="38"/>
        <v>256113.99999999997</v>
      </c>
      <c r="AL61" s="3384">
        <f t="shared" si="38"/>
        <v>84796.666666666672</v>
      </c>
      <c r="AM61" s="3384">
        <f t="shared" si="38"/>
        <v>77706.666666666672</v>
      </c>
      <c r="AN61" s="3384">
        <f t="shared" si="38"/>
        <v>87561.666666666686</v>
      </c>
      <c r="AO61" s="3384">
        <f t="shared" si="38"/>
        <v>250065.00000000003</v>
      </c>
      <c r="AP61" s="3384">
        <f>SUM(AP6:AP60)</f>
        <v>506179</v>
      </c>
      <c r="AQ61" s="3384">
        <f>SUM(AQ6:AQ60)</f>
        <v>903860.00000000012</v>
      </c>
      <c r="AR61" s="3384">
        <f t="shared" si="38"/>
        <v>1772668</v>
      </c>
      <c r="AS61" s="4695"/>
      <c r="AT61" s="3385">
        <f t="shared" ref="AT61:BD61" si="39">SUM(AT6:AT60)</f>
        <v>84660.333333333328</v>
      </c>
      <c r="AU61" s="3385">
        <f t="shared" si="39"/>
        <v>70317.333333333343</v>
      </c>
      <c r="AV61" s="3385">
        <f t="shared" si="39"/>
        <v>150364.33333333334</v>
      </c>
      <c r="AW61" s="3385">
        <f t="shared" si="39"/>
        <v>157254.33333333334</v>
      </c>
      <c r="AX61" s="3385">
        <f t="shared" si="39"/>
        <v>155431.33333333334</v>
      </c>
      <c r="AY61" s="3385">
        <f t="shared" si="39"/>
        <v>161114.33333333334</v>
      </c>
      <c r="AZ61" s="3385">
        <f t="shared" si="39"/>
        <v>172591.33333333337</v>
      </c>
      <c r="BA61" s="3385">
        <f t="shared" si="39"/>
        <v>152483.3333333334</v>
      </c>
      <c r="BB61" s="3385">
        <f t="shared" si="39"/>
        <v>168978.33333333334</v>
      </c>
      <c r="BC61" s="3385">
        <f t="shared" si="39"/>
        <v>168537.33333333328</v>
      </c>
      <c r="BD61" s="3385">
        <f t="shared" si="39"/>
        <v>155724.33333333334</v>
      </c>
      <c r="BE61" s="3385">
        <f>SUM(BE6:BE60)</f>
        <v>175211.33333333328</v>
      </c>
      <c r="BF61" s="3385">
        <f>SUM(BF6:BF60)</f>
        <v>1772668</v>
      </c>
      <c r="BG61" s="4706">
        <f>+BF61-SMS!BF38</f>
        <v>0</v>
      </c>
      <c r="BH61" s="657">
        <v>1783668</v>
      </c>
      <c r="BJ61" s="663"/>
    </row>
    <row r="62" spans="5:62" hidden="1" x14ac:dyDescent="0.25">
      <c r="AS62" s="657"/>
      <c r="AU62" s="566"/>
    </row>
    <row r="63" spans="5:62" hidden="1" x14ac:dyDescent="0.25">
      <c r="F63" s="566"/>
      <c r="J63" s="566"/>
      <c r="K63" s="566"/>
      <c r="L63" s="566"/>
      <c r="M63" s="566"/>
      <c r="N63" s="566"/>
      <c r="O63" s="566"/>
      <c r="P63" s="566"/>
      <c r="Q63" s="663"/>
      <c r="R63" s="566"/>
      <c r="S63" s="663"/>
      <c r="T63" s="663"/>
      <c r="U63" s="566"/>
      <c r="V63" s="566"/>
      <c r="W63" s="566"/>
      <c r="X63" s="566"/>
      <c r="AS63" s="657"/>
      <c r="AV63" s="566"/>
    </row>
    <row r="64" spans="5:62" ht="15.75" hidden="1" x14ac:dyDescent="0.25">
      <c r="E64" s="648" t="s">
        <v>1362</v>
      </c>
      <c r="F64" s="1518">
        <f t="shared" ref="F64:Z64" si="40">+F14+F17+F22+F52+F53+F55+F60</f>
        <v>8911.3333366666629</v>
      </c>
      <c r="G64" s="1518">
        <f t="shared" si="40"/>
        <v>9078.6866666666683</v>
      </c>
      <c r="H64" s="1518">
        <f t="shared" si="40"/>
        <v>34692.283336666675</v>
      </c>
      <c r="I64" s="1518">
        <f t="shared" si="40"/>
        <v>52682.303340000006</v>
      </c>
      <c r="J64" s="1518">
        <f t="shared" si="40"/>
        <v>14632.073336666692</v>
      </c>
      <c r="K64" s="1518">
        <f t="shared" si="40"/>
        <v>17908.333336666677</v>
      </c>
      <c r="L64" s="1518">
        <f t="shared" si="40"/>
        <v>15049.683336666685</v>
      </c>
      <c r="M64" s="1518">
        <f t="shared" si="40"/>
        <v>47590.090010000051</v>
      </c>
      <c r="N64" s="1518">
        <f t="shared" si="40"/>
        <v>100272.39335000006</v>
      </c>
      <c r="O64" s="1518">
        <f t="shared" si="40"/>
        <v>30422.693336666682</v>
      </c>
      <c r="P64" s="1518">
        <f t="shared" si="40"/>
        <v>19569.583336666692</v>
      </c>
      <c r="Q64" s="1518">
        <f t="shared" si="40"/>
        <v>29759.903336666677</v>
      </c>
      <c r="R64" s="1518">
        <f t="shared" si="40"/>
        <v>79752.18001000004</v>
      </c>
      <c r="S64" s="1518">
        <f t="shared" si="40"/>
        <v>21927.923336666656</v>
      </c>
      <c r="T64" s="1518">
        <f t="shared" si="40"/>
        <v>20631.063336666692</v>
      </c>
      <c r="U64" s="1518">
        <f t="shared" si="40"/>
        <v>23623.853336666649</v>
      </c>
      <c r="V64" s="1518">
        <f t="shared" si="40"/>
        <v>66182.84001</v>
      </c>
      <c r="W64" s="1518">
        <f t="shared" si="40"/>
        <v>145935.02002000005</v>
      </c>
      <c r="X64" s="1518">
        <f t="shared" si="40"/>
        <v>246207.41337000011</v>
      </c>
      <c r="Y64" s="1518">
        <f t="shared" si="40"/>
        <v>2445.6666666666642</v>
      </c>
      <c r="Z64" s="1518">
        <f t="shared" si="40"/>
        <v>12751.666666666668</v>
      </c>
      <c r="AS64" s="657"/>
    </row>
    <row r="65" spans="5:58" hidden="1" x14ac:dyDescent="0.25">
      <c r="E65" s="558" t="s">
        <v>1363</v>
      </c>
      <c r="F65" s="1518" t="e">
        <f>+F52+F53+F55+F22+#REF!+F21+#REF!+#REF!+#REF!+#REF!+F13+#REF!</f>
        <v>#REF!</v>
      </c>
      <c r="G65" s="1518" t="e">
        <f>+G52+G53+G55+G22+#REF!+G21+#REF!+#REF!+#REF!+#REF!+G13+#REF!</f>
        <v>#REF!</v>
      </c>
      <c r="H65" s="1518" t="e">
        <f>+H52+H53+H55+H22+#REF!+H21+#REF!+#REF!+#REF!+#REF!+H13+#REF!</f>
        <v>#REF!</v>
      </c>
      <c r="I65" s="1518" t="e">
        <f>+I52+I53+I55+I22+#REF!+I21+#REF!+#REF!+#REF!+#REF!+I13+#REF!</f>
        <v>#REF!</v>
      </c>
      <c r="J65" s="1518" t="e">
        <f>+J52+J53+J55+J22+#REF!+J21+#REF!+#REF!+#REF!+#REF!+J13+#REF!</f>
        <v>#REF!</v>
      </c>
      <c r="K65" s="1518" t="e">
        <f>+K52+K53+K55+K22+#REF!+K21+#REF!+#REF!+#REF!+#REF!+K13+#REF!</f>
        <v>#REF!</v>
      </c>
      <c r="L65" s="1518" t="e">
        <f>+L52+L53+L55+L22+#REF!+L21+#REF!+#REF!+#REF!+#REF!+L13+#REF!</f>
        <v>#REF!</v>
      </c>
      <c r="M65" s="1518" t="e">
        <f>+M52+M53+M55+M22+#REF!+M21+#REF!+#REF!+#REF!+#REF!+M13+#REF!</f>
        <v>#REF!</v>
      </c>
      <c r="N65" s="1518" t="e">
        <f>+N52+N53+N55+N22+#REF!+N21+#REF!+#REF!+#REF!+#REF!+N13+#REF!</f>
        <v>#REF!</v>
      </c>
      <c r="O65" s="1518" t="e">
        <f>+O52+O53+O55+O22+#REF!+O21+#REF!+#REF!+#REF!+#REF!+O13+#REF!</f>
        <v>#REF!</v>
      </c>
      <c r="P65" s="1518" t="e">
        <f>+P52+P53+P55+P22+#REF!+P21+#REF!+#REF!+#REF!+#REF!+P13+#REF!</f>
        <v>#REF!</v>
      </c>
      <c r="Q65" s="1518" t="e">
        <f>+Q52+Q53+Q55+Q22+#REF!+Q21+#REF!+#REF!+#REF!+#REF!+Q13+#REF!</f>
        <v>#REF!</v>
      </c>
      <c r="R65" s="1518" t="e">
        <f>+R52+R53+R55+R22+#REF!+R21+#REF!+#REF!+#REF!+#REF!+R13+#REF!</f>
        <v>#REF!</v>
      </c>
      <c r="S65" s="1518" t="e">
        <f>+S52+S53+S55+S22+#REF!+S21+#REF!+#REF!+#REF!+#REF!+S13+#REF!</f>
        <v>#REF!</v>
      </c>
      <c r="T65" s="1518" t="e">
        <f>+T52+T53+T55+T22+#REF!+T21+#REF!+#REF!+#REF!+#REF!+T13+#REF!</f>
        <v>#REF!</v>
      </c>
      <c r="U65" s="1518" t="e">
        <f>+U52+U53+U55+U22+#REF!+U21+#REF!+#REF!+#REF!+#REF!+U13+#REF!</f>
        <v>#REF!</v>
      </c>
      <c r="V65" s="1518" t="e">
        <f>+V52+V53+V55+V22+#REF!+V21+#REF!+#REF!+#REF!+#REF!+V13+#REF!</f>
        <v>#REF!</v>
      </c>
      <c r="W65" s="1518" t="e">
        <f>+W52+W53+W55+W22+#REF!+W21+#REF!+#REF!+#REF!+#REF!+W13+#REF!</f>
        <v>#REF!</v>
      </c>
      <c r="X65" s="1518" t="e">
        <f>+X52+X53+X55+X22+#REF!+X21+#REF!+#REF!+#REF!+#REF!+X13+#REF!</f>
        <v>#REF!</v>
      </c>
      <c r="Y65" s="1518" t="e">
        <f>+Y52+Y53+Y55+Y22+#REF!+Y21+#REF!+#REF!+#REF!+#REF!+Y13+#REF!</f>
        <v>#REF!</v>
      </c>
      <c r="Z65" s="1518" t="e">
        <f>+Z52+Z53+Z55+Z22+#REF!+Z21+#REF!+#REF!+#REF!+#REF!+Z13+#REF!</f>
        <v>#REF!</v>
      </c>
      <c r="AS65" s="657"/>
    </row>
    <row r="66" spans="5:58" hidden="1" x14ac:dyDescent="0.25">
      <c r="F66" s="566"/>
      <c r="AJ66" s="566"/>
      <c r="AS66" s="657"/>
    </row>
    <row r="67" spans="5:58" hidden="1" x14ac:dyDescent="0.25">
      <c r="AS67" s="657"/>
    </row>
    <row r="68" spans="5:58" hidden="1" x14ac:dyDescent="0.25">
      <c r="AS68" s="657"/>
    </row>
    <row r="69" spans="5:58" hidden="1" x14ac:dyDescent="0.25">
      <c r="AS69" s="657"/>
      <c r="AV69" s="566"/>
      <c r="AX69" s="566"/>
      <c r="AY69" s="566"/>
      <c r="AZ69" s="566"/>
      <c r="BA69" s="566"/>
      <c r="BB69" s="566"/>
      <c r="BC69" s="566"/>
      <c r="BD69" s="566"/>
      <c r="BE69" s="566"/>
      <c r="BF69" s="566"/>
    </row>
    <row r="70" spans="5:58" hidden="1" x14ac:dyDescent="0.25">
      <c r="H70" s="566">
        <f>+H60+H14+H17+AA14+AA17+AA60</f>
        <v>4294</v>
      </c>
      <c r="AS70" s="657"/>
      <c r="AT70" s="566"/>
      <c r="AU70" s="566"/>
      <c r="AV70" s="566"/>
      <c r="AW70" s="566"/>
      <c r="AX70" s="566"/>
      <c r="AY70" s="566"/>
      <c r="AZ70" s="566"/>
      <c r="BA70" s="566"/>
      <c r="BB70" s="566"/>
      <c r="BC70" s="566"/>
      <c r="BD70" s="566"/>
      <c r="BE70" s="566"/>
    </row>
    <row r="71" spans="5:58" hidden="1" x14ac:dyDescent="0.25">
      <c r="AS71" s="657"/>
      <c r="AX71" s="566"/>
      <c r="AY71" s="566"/>
      <c r="AZ71" s="566"/>
      <c r="BA71" s="566"/>
      <c r="BB71" s="566"/>
      <c r="BC71" s="566"/>
      <c r="BD71" s="566"/>
      <c r="BE71" s="566"/>
    </row>
    <row r="72" spans="5:58" hidden="1" x14ac:dyDescent="0.25">
      <c r="AS72" s="657"/>
      <c r="AT72" s="1661">
        <f>'[1]Maj Prod Summ'!F32</f>
        <v>13632.52</v>
      </c>
      <c r="AU72" s="1661">
        <f>'[1]Maj Prod Summ'!H32</f>
        <v>27748</v>
      </c>
      <c r="AV72" s="1661">
        <f>'[1]Maj Prod Summ'!L32</f>
        <v>59326</v>
      </c>
      <c r="AW72" s="1661">
        <f>'[1]Maj Prod Summ'!P32</f>
        <v>59099.720000000016</v>
      </c>
      <c r="AX72" s="1661">
        <f>'[1]Maj Prod Summ'!T32</f>
        <v>61717.279999999999</v>
      </c>
      <c r="AY72" s="1661">
        <f>'[1]Maj Prod Summ'!X32</f>
        <v>60832</v>
      </c>
      <c r="AZ72" s="1661">
        <f>'[1]Maj Prod Summ'!AD32</f>
        <v>59582.400000000001</v>
      </c>
      <c r="BA72" s="1661"/>
      <c r="BB72" s="1661"/>
      <c r="BC72" s="1661"/>
      <c r="BD72" s="1661"/>
      <c r="BE72" s="1661"/>
    </row>
    <row r="73" spans="5:58" hidden="1" x14ac:dyDescent="0.25">
      <c r="AD73" s="559">
        <v>61717.279999999999</v>
      </c>
      <c r="AS73" s="657"/>
    </row>
    <row r="74" spans="5:58" hidden="1" x14ac:dyDescent="0.25">
      <c r="AS74" s="657"/>
      <c r="AT74" s="566" t="e">
        <f>+AT54+AT53+AT52+AT55+AT22+AT21+#REF!</f>
        <v>#REF!</v>
      </c>
      <c r="AU74" s="566" t="e">
        <f>+AU54+AU53+AU52+AU55+AU22+AU21+#REF!</f>
        <v>#REF!</v>
      </c>
      <c r="AV74" s="566" t="e">
        <f>+AV54+AV53+AV52+AV55+AV22+AV21+#REF!</f>
        <v>#REF!</v>
      </c>
      <c r="AW74" s="566" t="e">
        <f>+AW54+AW53+AW52+AW55+AW22+AW21+#REF!</f>
        <v>#REF!</v>
      </c>
      <c r="AX74" s="566">
        <f>+AX22+AX23+AX53+AX54+AX55</f>
        <v>51689.000003333349</v>
      </c>
      <c r="AY74" s="566">
        <f>+AY22+AY23+AY53+AY54+AY55</f>
        <v>21922.950003333382</v>
      </c>
      <c r="AZ74" s="566">
        <f>+AZ22+AZ23+AZ53+AZ54+AZ55</f>
        <v>39112.800003333352</v>
      </c>
      <c r="BA74" s="566"/>
      <c r="BB74" s="566"/>
      <c r="BC74" s="566"/>
      <c r="BD74" s="566"/>
      <c r="BE74" s="566"/>
    </row>
    <row r="75" spans="5:58" hidden="1" x14ac:dyDescent="0.25">
      <c r="AS75" s="657"/>
      <c r="AT75" s="566" t="e">
        <f t="shared" ref="AT75:AV75" si="41">+AT72-AT74</f>
        <v>#REF!</v>
      </c>
      <c r="AU75" s="566" t="e">
        <f t="shared" si="41"/>
        <v>#REF!</v>
      </c>
      <c r="AV75" s="566" t="e">
        <f t="shared" si="41"/>
        <v>#REF!</v>
      </c>
      <c r="AW75" s="566" t="e">
        <f>+AW72-AW74</f>
        <v>#REF!</v>
      </c>
      <c r="AX75" s="566">
        <f>+AX17+AX60+AX14</f>
        <v>2687</v>
      </c>
      <c r="AY75" s="566">
        <f>+AY17+AY60+AY14</f>
        <v>2762.6099999999997</v>
      </c>
      <c r="AZ75" s="566">
        <f>+AZ17+AZ60+AZ14</f>
        <v>5917.1400000000012</v>
      </c>
      <c r="BA75" s="566"/>
      <c r="BB75" s="566"/>
      <c r="BC75" s="566"/>
      <c r="BD75" s="566"/>
      <c r="BE75" s="566"/>
    </row>
    <row r="76" spans="5:58" hidden="1" x14ac:dyDescent="0.25">
      <c r="AS76" s="657"/>
      <c r="AT76" s="566" t="e">
        <f t="shared" ref="AT76:AV76" si="42">+AT75-AT60</f>
        <v>#REF!</v>
      </c>
      <c r="AU76" s="566" t="e">
        <f t="shared" si="42"/>
        <v>#REF!</v>
      </c>
      <c r="AV76" s="566" t="e">
        <f t="shared" si="42"/>
        <v>#REF!</v>
      </c>
      <c r="AW76" s="566" t="e">
        <f>+AW75-AW60</f>
        <v>#REF!</v>
      </c>
      <c r="AX76" s="566">
        <f>941-232</f>
        <v>709</v>
      </c>
      <c r="AY76" s="566">
        <f t="shared" ref="AY76:AZ76" si="43">+AY75-AY60</f>
        <v>2091.66</v>
      </c>
      <c r="AZ76" s="566">
        <f t="shared" si="43"/>
        <v>5086.4400000000014</v>
      </c>
      <c r="BA76" s="566"/>
      <c r="BB76" s="566"/>
      <c r="BC76" s="566"/>
      <c r="BD76" s="566"/>
      <c r="BE76" s="566"/>
    </row>
    <row r="77" spans="5:58" hidden="1" x14ac:dyDescent="0.25">
      <c r="AS77" s="657"/>
      <c r="AT77" s="566" t="e">
        <f>+AT76-AT17-AT14</f>
        <v>#REF!</v>
      </c>
      <c r="AU77" s="566" t="e">
        <f>+AU76-AU17-AU14</f>
        <v>#REF!</v>
      </c>
      <c r="AV77" s="566" t="e">
        <f>+AV76-AV17-AV14</f>
        <v>#REF!</v>
      </c>
      <c r="AW77" s="566" t="e">
        <f>+AW76-AW17-AW14</f>
        <v>#REF!</v>
      </c>
      <c r="AX77" s="566">
        <f>+AX71-AX74-AX75-AX76</f>
        <v>-55085.000003333349</v>
      </c>
      <c r="AY77" s="566">
        <f>+AY76-AY17-AY14</f>
        <v>0</v>
      </c>
      <c r="AZ77" s="566">
        <f>+AZ76-AZ17-AZ14</f>
        <v>0</v>
      </c>
      <c r="BA77" s="566"/>
      <c r="BB77" s="566"/>
      <c r="BC77" s="566"/>
      <c r="BD77" s="566"/>
      <c r="BE77" s="566"/>
      <c r="BF77" s="566"/>
    </row>
    <row r="78" spans="5:58" hidden="1" x14ac:dyDescent="0.25">
      <c r="AS78" s="657"/>
    </row>
    <row r="79" spans="5:58" hidden="1" x14ac:dyDescent="0.25">
      <c r="AS79" s="657"/>
    </row>
    <row r="80" spans="5:58" hidden="1" x14ac:dyDescent="0.25">
      <c r="AS80" s="657"/>
    </row>
    <row r="81" spans="5:60" hidden="1" x14ac:dyDescent="0.25">
      <c r="AS81" s="657"/>
    </row>
    <row r="82" spans="5:60" hidden="1" x14ac:dyDescent="0.2">
      <c r="P82" s="1755"/>
      <c r="Q82" s="1755"/>
      <c r="R82" s="1755"/>
      <c r="S82" s="1755"/>
      <c r="T82" s="1755"/>
      <c r="U82" s="1755"/>
      <c r="V82" s="1755"/>
      <c r="AS82" s="657"/>
    </row>
    <row r="83" spans="5:60" ht="15.75" hidden="1" x14ac:dyDescent="0.25">
      <c r="E83" s="558" t="s">
        <v>1697</v>
      </c>
      <c r="F83" s="4696">
        <f>+F61-SMS!F32</f>
        <v>0</v>
      </c>
      <c r="G83" s="4696">
        <f>+G61-SMS!H32</f>
        <v>0</v>
      </c>
      <c r="H83" s="4696">
        <f>+H61-SMS!L32</f>
        <v>0</v>
      </c>
      <c r="I83" s="4697"/>
      <c r="J83" s="4696">
        <f>+J61-SMS!P32</f>
        <v>0</v>
      </c>
      <c r="K83" s="4696">
        <f>K61-SMS!T32</f>
        <v>0</v>
      </c>
      <c r="L83" s="4696">
        <f>+L61-SMS!X32</f>
        <v>0</v>
      </c>
      <c r="M83" s="4697"/>
      <c r="N83" s="4697"/>
      <c r="O83" s="4696">
        <f>+O61-SMS!AD32</f>
        <v>0</v>
      </c>
      <c r="P83" s="4696">
        <f>+P61-SMS!AH32</f>
        <v>0</v>
      </c>
      <c r="Q83" s="4696">
        <f>+Q61-SMS!AL32</f>
        <v>0</v>
      </c>
      <c r="R83" s="4698"/>
      <c r="S83" s="4699">
        <f>+S61-SMS!AR32</f>
        <v>0</v>
      </c>
      <c r="T83" s="4699">
        <f>+T61-SMS!AV32</f>
        <v>0</v>
      </c>
      <c r="U83" s="4699">
        <f>+U61-SMS!AZ32</f>
        <v>0</v>
      </c>
      <c r="V83" s="4698"/>
      <c r="W83" s="4697"/>
      <c r="X83" s="4697"/>
      <c r="Y83" s="4696">
        <f>+Y61-SMS!F35</f>
        <v>0</v>
      </c>
      <c r="Z83" s="4696">
        <f>+Z61-SMS!H35</f>
        <v>0</v>
      </c>
      <c r="AA83" s="4696">
        <f>+AA61-SMS!L35</f>
        <v>0</v>
      </c>
      <c r="AB83" s="4697"/>
      <c r="AC83" s="4696">
        <f>+AC61-SMS!P35</f>
        <v>0</v>
      </c>
      <c r="AD83" s="4696">
        <f>+AD61-SMS!T35</f>
        <v>0</v>
      </c>
      <c r="AE83" s="4696">
        <f>+AE61-SMS!X35</f>
        <v>0</v>
      </c>
      <c r="AF83" s="4697"/>
      <c r="AG83" s="4697"/>
      <c r="AH83" s="4696">
        <f>+AH61-SMS!AD35</f>
        <v>0</v>
      </c>
      <c r="AI83" s="4696">
        <f>+AI61-SMS!AH35</f>
        <v>0</v>
      </c>
      <c r="AJ83" s="4696">
        <f>+AJ61-SMS!AL35</f>
        <v>0</v>
      </c>
      <c r="AK83" s="4697"/>
      <c r="AL83" s="4696">
        <f>+AL61-SMS!AR35</f>
        <v>0</v>
      </c>
      <c r="AM83" s="4696">
        <f>+AM61-SMS!AV35</f>
        <v>0</v>
      </c>
      <c r="AN83" s="4696">
        <f>+AN61-SMS!AZ35</f>
        <v>0</v>
      </c>
      <c r="AO83" s="4700"/>
      <c r="AP83" s="4701"/>
      <c r="AQ83" s="4701"/>
      <c r="AR83" s="4701"/>
      <c r="AS83" s="4701"/>
      <c r="AT83" s="4702">
        <f t="shared" ref="AT83" si="44">+F83+Y83</f>
        <v>0</v>
      </c>
      <c r="AU83" s="4702">
        <f t="shared" ref="AU83" si="45">+G83+Z83</f>
        <v>0</v>
      </c>
      <c r="AV83" s="4702">
        <f t="shared" ref="AV83" si="46">+H83+AA83</f>
        <v>0</v>
      </c>
      <c r="AW83" s="4702">
        <f t="shared" ref="AW83" si="47">+J83+AC83</f>
        <v>0</v>
      </c>
      <c r="AX83" s="4702">
        <f t="shared" ref="AX83" si="48">+K83+AD83</f>
        <v>0</v>
      </c>
      <c r="AY83" s="4702">
        <f t="shared" ref="AY83" si="49">+L83+AE83</f>
        <v>0</v>
      </c>
      <c r="AZ83" s="4702">
        <f t="shared" ref="AZ83" si="50">+O83+AH83</f>
        <v>0</v>
      </c>
      <c r="BA83" s="4702">
        <f t="shared" ref="BA83" si="51">+P83+AI83</f>
        <v>0</v>
      </c>
      <c r="BB83" s="4702">
        <f t="shared" ref="BB83" si="52">+Q83+AJ83</f>
        <v>0</v>
      </c>
      <c r="BC83" s="4702">
        <f t="shared" ref="BC83" si="53">+S83+AL83</f>
        <v>0</v>
      </c>
      <c r="BD83" s="4702">
        <f t="shared" ref="BD83" si="54">+T83+AM83</f>
        <v>0</v>
      </c>
      <c r="BE83" s="4702">
        <f t="shared" ref="BE83" si="55">+U83+AN83</f>
        <v>0</v>
      </c>
      <c r="BF83" s="4673"/>
      <c r="BH83" s="566">
        <f>+BH61-BF61</f>
        <v>11000</v>
      </c>
    </row>
    <row r="84" spans="5:60" hidden="1" x14ac:dyDescent="0.2">
      <c r="P84" s="1755"/>
      <c r="Q84" s="1755"/>
      <c r="R84" s="1755"/>
      <c r="S84" s="1755"/>
      <c r="T84" s="1755"/>
      <c r="U84" s="1755"/>
      <c r="V84" s="1755"/>
      <c r="BF84" s="4674"/>
    </row>
    <row r="85" spans="5:60" hidden="1" x14ac:dyDescent="0.2">
      <c r="P85" s="1755"/>
      <c r="Q85" s="1755"/>
      <c r="R85" s="1755"/>
      <c r="S85" s="1755"/>
      <c r="T85" s="1755"/>
      <c r="U85" s="1755"/>
      <c r="V85" s="1755"/>
      <c r="Y85" s="559">
        <v>300.33333333333576</v>
      </c>
      <c r="Z85" s="559">
        <v>309.2033333333311</v>
      </c>
      <c r="AA85" s="559">
        <v>465.33333333332848</v>
      </c>
      <c r="AC85" s="559">
        <v>307.30333333338785</v>
      </c>
      <c r="AD85" s="559">
        <v>300.33333333332848</v>
      </c>
      <c r="AE85" s="559">
        <v>172.77333333330171</v>
      </c>
      <c r="AH85" s="559">
        <v>611.60333333333256</v>
      </c>
      <c r="AI85" s="559">
        <v>175.18333333331975</v>
      </c>
      <c r="AJ85" s="559">
        <v>309.49333333337563</v>
      </c>
      <c r="AL85" s="559">
        <v>582.25333333335584</v>
      </c>
      <c r="AM85" s="566">
        <v>455.81333333332441</v>
      </c>
      <c r="AN85" s="559">
        <v>458.45333333332383</v>
      </c>
      <c r="BF85" s="4673"/>
      <c r="BH85" s="566"/>
    </row>
    <row r="86" spans="5:60" hidden="1" x14ac:dyDescent="0.2">
      <c r="P86" s="1755"/>
      <c r="Q86" s="1755"/>
      <c r="R86" s="1755"/>
      <c r="S86" s="1755"/>
      <c r="T86" s="1755"/>
      <c r="U86" s="1755"/>
      <c r="V86" s="1755"/>
      <c r="BF86" s="566"/>
    </row>
    <row r="87" spans="5:60" hidden="1" x14ac:dyDescent="0.2">
      <c r="F87" s="559">
        <v>323.66666333333706</v>
      </c>
      <c r="G87" s="559">
        <v>613.31333333333168</v>
      </c>
      <c r="H87" s="559">
        <v>158.71666333332541</v>
      </c>
      <c r="J87" s="559">
        <v>318.39666333330388</v>
      </c>
      <c r="K87" s="559">
        <v>323.6666633333225</v>
      </c>
      <c r="L87" s="559">
        <v>450.32666333331144</v>
      </c>
      <c r="O87" s="559">
        <v>-278.93333666668332</v>
      </c>
      <c r="P87" s="1755">
        <v>452.41666333330795</v>
      </c>
      <c r="Q87" s="1755">
        <v>315.69666333332134</v>
      </c>
      <c r="R87" s="1755"/>
      <c r="S87" s="1755">
        <v>43.026663333337638</v>
      </c>
      <c r="T87" s="1755">
        <v>168.38666333330912</v>
      </c>
      <c r="U87" s="1755">
        <v>166.1166633333487</v>
      </c>
      <c r="V87" s="1755"/>
      <c r="AT87" s="566">
        <f>+AT60+AT14+AT18+AT17</f>
        <v>3427</v>
      </c>
      <c r="AU87" s="566">
        <f t="shared" ref="AU87:BE87" si="56">+AU60+AU14+AU18+AU17</f>
        <v>2106.87</v>
      </c>
      <c r="AV87" s="566">
        <f t="shared" si="56"/>
        <v>4294</v>
      </c>
      <c r="AW87" s="566">
        <f t="shared" si="56"/>
        <v>2100.1799999999994</v>
      </c>
      <c r="AX87" s="566">
        <f t="shared" si="56"/>
        <v>2687</v>
      </c>
      <c r="AY87" s="566">
        <f t="shared" si="56"/>
        <v>2762.6099999999997</v>
      </c>
      <c r="AZ87" s="566">
        <f t="shared" si="56"/>
        <v>5917.1400000000012</v>
      </c>
      <c r="BA87" s="566">
        <f t="shared" si="56"/>
        <v>4372.8900000000021</v>
      </c>
      <c r="BB87" s="566">
        <f t="shared" si="56"/>
        <v>4534.7699999999995</v>
      </c>
      <c r="BC87" s="566">
        <f t="shared" si="56"/>
        <v>5459.1899999999987</v>
      </c>
      <c r="BD87" s="566">
        <f t="shared" si="56"/>
        <v>5312.2199999999993</v>
      </c>
      <c r="BE87" s="566">
        <f t="shared" si="56"/>
        <v>4475.1299999999992</v>
      </c>
    </row>
    <row r="88" spans="5:60" hidden="1" x14ac:dyDescent="0.2">
      <c r="P88" s="1755"/>
      <c r="Q88" s="1755"/>
      <c r="R88" s="1755"/>
      <c r="S88" s="1755"/>
      <c r="T88" s="1755"/>
      <c r="U88" s="1755"/>
      <c r="V88" s="1755"/>
      <c r="Y88" s="566">
        <f>+Y22-Y85</f>
        <v>1346.3333333333285</v>
      </c>
      <c r="Z88" s="566">
        <f t="shared" ref="Z88:AN88" si="57">+Z22-Z85</f>
        <v>11311.593333333338</v>
      </c>
      <c r="AA88" s="566">
        <f t="shared" si="57"/>
        <v>17517.333333333343</v>
      </c>
      <c r="AB88" s="566">
        <f t="shared" si="57"/>
        <v>31250.130000000005</v>
      </c>
      <c r="AC88" s="566">
        <f t="shared" si="57"/>
        <v>7979.9433333332217</v>
      </c>
      <c r="AD88" s="566">
        <f t="shared" si="57"/>
        <v>8539.333333333343</v>
      </c>
      <c r="AE88" s="566">
        <f t="shared" si="57"/>
        <v>7652.6033333333917</v>
      </c>
      <c r="AF88" s="566">
        <f t="shared" si="57"/>
        <v>24952.289999999972</v>
      </c>
      <c r="AG88" s="566">
        <f t="shared" si="57"/>
        <v>56202.419999999976</v>
      </c>
      <c r="AH88" s="566">
        <f t="shared" si="57"/>
        <v>10325.653333333335</v>
      </c>
      <c r="AI88" s="566">
        <f t="shared" si="57"/>
        <v>19460.763333333347</v>
      </c>
      <c r="AJ88" s="566">
        <f t="shared" si="57"/>
        <v>7779.6033333332452</v>
      </c>
      <c r="AK88" s="566">
        <f t="shared" si="57"/>
        <v>38662.299999999959</v>
      </c>
      <c r="AL88" s="566">
        <f t="shared" si="57"/>
        <v>-438.17666666671153</v>
      </c>
      <c r="AM88" s="566">
        <f t="shared" si="57"/>
        <v>14040.973333333359</v>
      </c>
      <c r="AN88" s="566">
        <f t="shared" si="57"/>
        <v>8563.7233333333497</v>
      </c>
      <c r="AT88" s="559">
        <v>500</v>
      </c>
      <c r="AU88" s="559">
        <v>127</v>
      </c>
      <c r="AV88" s="559">
        <v>481</v>
      </c>
      <c r="AW88" s="559">
        <v>422</v>
      </c>
      <c r="AX88" s="559">
        <v>709</v>
      </c>
      <c r="AY88" s="559">
        <v>455</v>
      </c>
      <c r="AZ88" s="559">
        <v>332</v>
      </c>
      <c r="BA88" s="559">
        <v>407</v>
      </c>
      <c r="BB88" s="559">
        <v>457</v>
      </c>
      <c r="BC88" s="559">
        <v>441</v>
      </c>
      <c r="BD88" s="559">
        <v>319</v>
      </c>
      <c r="BE88" s="559">
        <v>646</v>
      </c>
    </row>
    <row r="89" spans="5:60" hidden="1" x14ac:dyDescent="0.2">
      <c r="P89" s="1755"/>
      <c r="Q89" s="1755"/>
      <c r="R89" s="1755"/>
      <c r="S89" s="1755"/>
      <c r="T89" s="1755"/>
      <c r="U89" s="1755"/>
      <c r="V89" s="1755"/>
      <c r="AT89" s="566">
        <f>+AT87+AT88</f>
        <v>3927</v>
      </c>
      <c r="AU89" s="566">
        <f t="shared" ref="AU89:BE89" si="58">+AU87+AU88</f>
        <v>2233.87</v>
      </c>
      <c r="AV89" s="566">
        <f t="shared" si="58"/>
        <v>4775</v>
      </c>
      <c r="AW89" s="566">
        <f t="shared" si="58"/>
        <v>2522.1799999999994</v>
      </c>
      <c r="AX89" s="566">
        <f t="shared" si="58"/>
        <v>3396</v>
      </c>
      <c r="AY89" s="566">
        <f t="shared" si="58"/>
        <v>3217.6099999999997</v>
      </c>
      <c r="AZ89" s="566">
        <f t="shared" si="58"/>
        <v>6249.1400000000012</v>
      </c>
      <c r="BA89" s="566">
        <f t="shared" si="58"/>
        <v>4779.8900000000021</v>
      </c>
      <c r="BB89" s="566">
        <f t="shared" si="58"/>
        <v>4991.7699999999995</v>
      </c>
      <c r="BC89" s="566">
        <f t="shared" si="58"/>
        <v>5900.1899999999987</v>
      </c>
      <c r="BD89" s="566">
        <f t="shared" si="58"/>
        <v>5631.2199999999993</v>
      </c>
      <c r="BE89" s="566">
        <f t="shared" si="58"/>
        <v>5121.1299999999992</v>
      </c>
    </row>
    <row r="90" spans="5:60" hidden="1" x14ac:dyDescent="0.2">
      <c r="F90" s="4710">
        <f>+F22-F87</f>
        <v>5959.6666733333259</v>
      </c>
      <c r="G90" s="4710">
        <f t="shared" ref="G90:U90" si="59">+G22-G87</f>
        <v>4464.3733333333366</v>
      </c>
      <c r="H90" s="4710">
        <f t="shared" si="59"/>
        <v>26884.566673333349</v>
      </c>
      <c r="I90" s="4710">
        <f t="shared" si="59"/>
        <v>38404.303340000006</v>
      </c>
      <c r="J90" s="4710">
        <f t="shared" si="59"/>
        <v>6882.1066733333901</v>
      </c>
      <c r="K90" s="4710">
        <f t="shared" si="59"/>
        <v>10213.666673333355</v>
      </c>
      <c r="L90" s="4710">
        <f t="shared" si="59"/>
        <v>6997.3866733333753</v>
      </c>
      <c r="M90" s="4710">
        <f t="shared" si="59"/>
        <v>25185.550010000057</v>
      </c>
      <c r="N90" s="4710">
        <f t="shared" si="59"/>
        <v>63589.853350000063</v>
      </c>
      <c r="O90" s="4710">
        <f t="shared" si="59"/>
        <v>18571.276673333366</v>
      </c>
      <c r="P90" s="4710">
        <f t="shared" si="59"/>
        <v>9928.3466733333826</v>
      </c>
      <c r="Q90" s="4710">
        <f t="shared" si="59"/>
        <v>14455.39667333336</v>
      </c>
      <c r="R90" s="4710">
        <f t="shared" si="59"/>
        <v>43444.200010000051</v>
      </c>
      <c r="S90" s="4710">
        <f t="shared" si="59"/>
        <v>16038.046673333323</v>
      </c>
      <c r="T90" s="4710">
        <f t="shared" si="59"/>
        <v>17220.816673333382</v>
      </c>
      <c r="U90" s="4710">
        <f t="shared" si="59"/>
        <v>14973.946673333301</v>
      </c>
      <c r="V90" s="1755"/>
      <c r="AT90" s="559">
        <v>12964.028574319411</v>
      </c>
      <c r="AU90" s="559">
        <v>26813.326401454076</v>
      </c>
      <c r="AV90" s="559">
        <v>59699.5</v>
      </c>
      <c r="AW90" s="559">
        <v>58438.570000000036</v>
      </c>
      <c r="AX90" s="559">
        <v>64215.628999999986</v>
      </c>
      <c r="AY90" s="559">
        <v>60476.320000000007</v>
      </c>
      <c r="AZ90" s="559">
        <v>59249.440000000031</v>
      </c>
      <c r="BA90" s="559">
        <v>58958.782000000007</v>
      </c>
      <c r="BB90" s="559">
        <v>56991.49000000002</v>
      </c>
      <c r="BC90" s="559">
        <v>55521.430000000008</v>
      </c>
      <c r="BD90" s="559">
        <v>58910.31700000001</v>
      </c>
      <c r="BE90" s="559">
        <v>55445.739999999991</v>
      </c>
      <c r="BF90" s="566"/>
    </row>
    <row r="91" spans="5:60" hidden="1" x14ac:dyDescent="0.2">
      <c r="P91" s="1755"/>
      <c r="Q91" s="1755"/>
      <c r="R91" s="1755"/>
      <c r="S91" s="1755"/>
      <c r="T91" s="1755"/>
      <c r="U91" s="1755"/>
      <c r="V91" s="1755"/>
      <c r="AT91" s="559" t="s">
        <v>1380</v>
      </c>
      <c r="AU91" s="559" t="s">
        <v>1388</v>
      </c>
      <c r="AV91" s="559" t="s">
        <v>1403</v>
      </c>
      <c r="AW91" s="559" t="s">
        <v>1423</v>
      </c>
      <c r="AX91" s="559" t="s">
        <v>1498</v>
      </c>
      <c r="AY91" s="559" t="s">
        <v>1581</v>
      </c>
      <c r="AZ91" s="559" t="s">
        <v>1636</v>
      </c>
      <c r="BA91" s="559" t="s">
        <v>1684</v>
      </c>
      <c r="BB91" s="559" t="s">
        <v>1727</v>
      </c>
      <c r="BC91" s="559" t="s">
        <v>1762</v>
      </c>
      <c r="BD91" s="559" t="s">
        <v>1813</v>
      </c>
      <c r="BE91" s="559" t="s">
        <v>1852</v>
      </c>
    </row>
    <row r="92" spans="5:60" hidden="1" x14ac:dyDescent="0.2">
      <c r="P92" s="1755"/>
      <c r="Q92" s="1755"/>
      <c r="R92" s="1755"/>
      <c r="S92" s="1755"/>
      <c r="T92" s="1755"/>
      <c r="U92" s="1755"/>
      <c r="V92" s="1755"/>
      <c r="AT92" s="566">
        <f>+AT90-AT89</f>
        <v>9037.0285743194108</v>
      </c>
      <c r="AU92" s="566">
        <f t="shared" ref="AU92:BE92" si="60">+AU90-AU89</f>
        <v>24579.456401454077</v>
      </c>
      <c r="AV92" s="566">
        <f t="shared" si="60"/>
        <v>54924.5</v>
      </c>
      <c r="AW92" s="566">
        <f t="shared" si="60"/>
        <v>55916.390000000036</v>
      </c>
      <c r="AX92" s="566">
        <f t="shared" si="60"/>
        <v>60819.628999999986</v>
      </c>
      <c r="AY92" s="566">
        <f t="shared" si="60"/>
        <v>57258.710000000006</v>
      </c>
      <c r="AZ92" s="566">
        <f t="shared" si="60"/>
        <v>53000.300000000032</v>
      </c>
      <c r="BA92" s="566">
        <f t="shared" si="60"/>
        <v>54178.892000000007</v>
      </c>
      <c r="BB92" s="566">
        <f t="shared" si="60"/>
        <v>51999.720000000023</v>
      </c>
      <c r="BC92" s="566">
        <f t="shared" si="60"/>
        <v>49621.240000000005</v>
      </c>
      <c r="BD92" s="566">
        <f t="shared" si="60"/>
        <v>53279.097000000009</v>
      </c>
      <c r="BE92" s="566">
        <f t="shared" si="60"/>
        <v>50324.609999999993</v>
      </c>
    </row>
    <row r="93" spans="5:60" hidden="1" x14ac:dyDescent="0.2">
      <c r="P93" s="1755"/>
      <c r="Q93" s="1755"/>
      <c r="R93" s="1755"/>
      <c r="S93" s="1755"/>
      <c r="T93" s="1755"/>
      <c r="U93" s="1755"/>
      <c r="V93" s="1755"/>
    </row>
    <row r="94" spans="5:60" hidden="1" x14ac:dyDescent="0.2">
      <c r="P94" s="1755"/>
      <c r="Q94" s="1755"/>
      <c r="R94" s="1755"/>
      <c r="S94" s="1755"/>
      <c r="T94" s="1755"/>
      <c r="U94" s="1755"/>
      <c r="V94" s="1755"/>
      <c r="AR94" s="559" t="s">
        <v>751</v>
      </c>
      <c r="AT94" s="4712">
        <f>+AT92-SUM(AT95:AT106)</f>
        <v>1107.0285709860837</v>
      </c>
      <c r="AU94" s="4712">
        <f t="shared" ref="AU94:BE94" si="61">+AU92-SUM(AU95:AU106)</f>
        <v>4855.9730681207402</v>
      </c>
      <c r="AV94" s="4712">
        <f t="shared" si="61"/>
        <v>3233.5499966666539</v>
      </c>
      <c r="AW94" s="4712">
        <f t="shared" si="61"/>
        <v>8214.5199966667496</v>
      </c>
      <c r="AX94" s="4712">
        <f t="shared" si="61"/>
        <v>7995.6289966666372</v>
      </c>
      <c r="AY94" s="4712">
        <f t="shared" si="61"/>
        <v>12250.819996666629</v>
      </c>
      <c r="AZ94" s="4712">
        <f t="shared" si="61"/>
        <v>9842.6299966666847</v>
      </c>
      <c r="BA94" s="4712">
        <f t="shared" si="61"/>
        <v>9184.0219966666482</v>
      </c>
      <c r="BB94" s="4712">
        <f t="shared" si="61"/>
        <v>6278.2399966667217</v>
      </c>
      <c r="BC94" s="4712">
        <f t="shared" si="61"/>
        <v>4161.8399966666911</v>
      </c>
      <c r="BD94" s="4712">
        <f t="shared" si="61"/>
        <v>11371.456996666631</v>
      </c>
      <c r="BE94" s="4712">
        <f t="shared" si="61"/>
        <v>10979.729996666669</v>
      </c>
      <c r="BF94" s="4712">
        <f>SUM(AT94:BE94)</f>
        <v>89475.439605773543</v>
      </c>
    </row>
    <row r="95" spans="5:60" hidden="1" x14ac:dyDescent="0.2">
      <c r="P95" s="1755"/>
      <c r="Q95" s="1755"/>
      <c r="R95" s="1755"/>
      <c r="S95" s="1755"/>
      <c r="T95" s="1755"/>
      <c r="U95" s="1755"/>
      <c r="V95" s="1755"/>
      <c r="AR95" s="559" t="s">
        <v>1309</v>
      </c>
      <c r="AT95" s="4712">
        <f>+AT13</f>
        <v>0</v>
      </c>
      <c r="AU95" s="4712">
        <f t="shared" ref="AU95:BD95" si="62">+AU13</f>
        <v>0</v>
      </c>
      <c r="AV95" s="4712">
        <f t="shared" si="62"/>
        <v>0</v>
      </c>
      <c r="AW95" s="4712">
        <f t="shared" si="62"/>
        <v>0</v>
      </c>
      <c r="AX95" s="4712">
        <f t="shared" si="62"/>
        <v>0</v>
      </c>
      <c r="AY95" s="4712">
        <f t="shared" si="62"/>
        <v>0</v>
      </c>
      <c r="AZ95" s="4712">
        <f t="shared" si="62"/>
        <v>1069.26</v>
      </c>
      <c r="BA95" s="4712">
        <f t="shared" si="62"/>
        <v>0</v>
      </c>
      <c r="BB95" s="4712">
        <f t="shared" si="62"/>
        <v>0</v>
      </c>
      <c r="BC95" s="4712">
        <f t="shared" si="62"/>
        <v>0</v>
      </c>
      <c r="BD95" s="4712">
        <f t="shared" si="62"/>
        <v>0</v>
      </c>
      <c r="BE95" s="4712">
        <f t="shared" ref="BE95" si="63">+BE13</f>
        <v>0</v>
      </c>
      <c r="BF95" s="4712">
        <f t="shared" ref="BF95:BF106" si="64">SUM(AT95:BE95)</f>
        <v>1069.26</v>
      </c>
    </row>
    <row r="96" spans="5:60" hidden="1" x14ac:dyDescent="0.2">
      <c r="P96" s="1755"/>
      <c r="Q96" s="1755"/>
      <c r="R96" s="1755"/>
      <c r="S96" s="1755"/>
      <c r="T96" s="1755"/>
      <c r="U96" s="1755"/>
      <c r="V96" s="1755"/>
      <c r="AR96" s="559" t="s">
        <v>1685</v>
      </c>
      <c r="AT96" s="4712">
        <f>+AT19</f>
        <v>0</v>
      </c>
      <c r="AU96" s="4712">
        <f t="shared" ref="AU96:BD96" si="65">+AU19</f>
        <v>0</v>
      </c>
      <c r="AV96" s="4712">
        <f t="shared" si="65"/>
        <v>0</v>
      </c>
      <c r="AW96" s="4712">
        <f t="shared" si="65"/>
        <v>0</v>
      </c>
      <c r="AX96" s="4712">
        <f t="shared" si="65"/>
        <v>0</v>
      </c>
      <c r="AY96" s="4712">
        <f t="shared" si="65"/>
        <v>0</v>
      </c>
      <c r="AZ96" s="4712">
        <f t="shared" si="65"/>
        <v>0</v>
      </c>
      <c r="BA96" s="4712">
        <f t="shared" si="65"/>
        <v>434.52</v>
      </c>
      <c r="BB96" s="4712">
        <f t="shared" si="65"/>
        <v>0</v>
      </c>
      <c r="BC96" s="4712">
        <f t="shared" si="65"/>
        <v>0</v>
      </c>
      <c r="BD96" s="4712">
        <f t="shared" si="65"/>
        <v>242.82</v>
      </c>
      <c r="BE96" s="4712">
        <f t="shared" ref="BE96" si="66">+BE19</f>
        <v>0</v>
      </c>
      <c r="BF96" s="4712">
        <f t="shared" si="64"/>
        <v>677.33999999999992</v>
      </c>
    </row>
    <row r="97" spans="44:58" hidden="1" x14ac:dyDescent="0.25">
      <c r="AR97" s="559" t="s">
        <v>1655</v>
      </c>
      <c r="AT97" s="4712">
        <f>+AT56</f>
        <v>0</v>
      </c>
      <c r="AU97" s="4712">
        <f t="shared" ref="AU97:BD97" si="67">+AU56</f>
        <v>0</v>
      </c>
      <c r="AV97" s="4712">
        <f t="shared" si="67"/>
        <v>0</v>
      </c>
      <c r="AW97" s="4712">
        <f t="shared" si="67"/>
        <v>0</v>
      </c>
      <c r="AX97" s="4712">
        <f t="shared" si="67"/>
        <v>0</v>
      </c>
      <c r="AY97" s="4712">
        <f t="shared" si="67"/>
        <v>0</v>
      </c>
      <c r="AZ97" s="4712">
        <f t="shared" si="67"/>
        <v>1065</v>
      </c>
      <c r="BA97" s="4712">
        <f t="shared" si="67"/>
        <v>4498.5600000000013</v>
      </c>
      <c r="BB97" s="4712">
        <f t="shared" si="67"/>
        <v>5540.1299999999992</v>
      </c>
      <c r="BC97" s="4712">
        <f t="shared" si="67"/>
        <v>2749.83</v>
      </c>
      <c r="BD97" s="4712">
        <f t="shared" si="67"/>
        <v>0</v>
      </c>
      <c r="BE97" s="4712">
        <f t="shared" ref="BE97" si="68">+BE56</f>
        <v>0</v>
      </c>
      <c r="BF97" s="4712">
        <f t="shared" si="64"/>
        <v>13853.52</v>
      </c>
    </row>
    <row r="98" spans="44:58" hidden="1" x14ac:dyDescent="0.25">
      <c r="AR98" s="559" t="s">
        <v>1693</v>
      </c>
      <c r="AT98" s="4712">
        <f>+AT19</f>
        <v>0</v>
      </c>
      <c r="AU98" s="4712">
        <f t="shared" ref="AU98:BD98" si="69">+AU19</f>
        <v>0</v>
      </c>
      <c r="AV98" s="4712">
        <f t="shared" si="69"/>
        <v>0</v>
      </c>
      <c r="AW98" s="4712">
        <f t="shared" si="69"/>
        <v>0</v>
      </c>
      <c r="AX98" s="4712">
        <f t="shared" si="69"/>
        <v>0</v>
      </c>
      <c r="AY98" s="4712">
        <f t="shared" si="69"/>
        <v>0</v>
      </c>
      <c r="AZ98" s="4712">
        <f t="shared" si="69"/>
        <v>0</v>
      </c>
      <c r="BA98" s="4712">
        <f t="shared" si="69"/>
        <v>434.52</v>
      </c>
      <c r="BB98" s="4712">
        <f t="shared" si="69"/>
        <v>0</v>
      </c>
      <c r="BC98" s="4712">
        <f t="shared" si="69"/>
        <v>0</v>
      </c>
      <c r="BD98" s="4712">
        <f t="shared" si="69"/>
        <v>242.82</v>
      </c>
      <c r="BE98" s="4712">
        <f t="shared" ref="BE98" si="70">+BE19</f>
        <v>0</v>
      </c>
      <c r="BF98" s="4712">
        <f t="shared" si="64"/>
        <v>677.33999999999992</v>
      </c>
    </row>
    <row r="99" spans="44:58" hidden="1" x14ac:dyDescent="0.25">
      <c r="AR99" s="559" t="s">
        <v>1591</v>
      </c>
      <c r="AT99" s="4712">
        <f>+AT57</f>
        <v>0</v>
      </c>
      <c r="AU99" s="4712">
        <f t="shared" ref="AU99:BD99" si="71">+AU57</f>
        <v>0</v>
      </c>
      <c r="AV99" s="4712">
        <f t="shared" si="71"/>
        <v>0</v>
      </c>
      <c r="AW99" s="4712">
        <f t="shared" si="71"/>
        <v>0</v>
      </c>
      <c r="AX99" s="4712">
        <f t="shared" si="71"/>
        <v>1135</v>
      </c>
      <c r="AY99" s="4712">
        <f t="shared" si="71"/>
        <v>3079.9800000000009</v>
      </c>
      <c r="AZ99" s="4712">
        <f t="shared" si="71"/>
        <v>1910.61</v>
      </c>
      <c r="BA99" s="4712">
        <f t="shared" si="71"/>
        <v>545.28</v>
      </c>
      <c r="BB99" s="4712">
        <f t="shared" si="71"/>
        <v>3273.8099999999995</v>
      </c>
      <c r="BC99" s="4712">
        <f t="shared" si="71"/>
        <v>2364.3000000000002</v>
      </c>
      <c r="BD99" s="4712">
        <f t="shared" si="71"/>
        <v>3891.51</v>
      </c>
      <c r="BE99" s="4712">
        <f t="shared" ref="BE99" si="72">+BE57</f>
        <v>7731.8999999999987</v>
      </c>
      <c r="BF99" s="4712">
        <f t="shared" si="64"/>
        <v>23932.39</v>
      </c>
    </row>
    <row r="100" spans="44:58" hidden="1" x14ac:dyDescent="0.25">
      <c r="AR100" s="559" t="s">
        <v>1592</v>
      </c>
      <c r="AT100" s="4712">
        <f>+AT58</f>
        <v>0</v>
      </c>
      <c r="AU100" s="4712">
        <f t="shared" ref="AU100:BD100" si="73">+AU58</f>
        <v>0</v>
      </c>
      <c r="AV100" s="4712">
        <f t="shared" si="73"/>
        <v>0</v>
      </c>
      <c r="AW100" s="4712">
        <f t="shared" si="73"/>
        <v>0</v>
      </c>
      <c r="AX100" s="4712">
        <f t="shared" si="73"/>
        <v>0</v>
      </c>
      <c r="AY100" s="4712">
        <f t="shared" si="73"/>
        <v>1350.42</v>
      </c>
      <c r="AZ100" s="4712">
        <f t="shared" si="73"/>
        <v>0</v>
      </c>
      <c r="BA100" s="4712">
        <f t="shared" si="73"/>
        <v>0</v>
      </c>
      <c r="BB100" s="4712">
        <f t="shared" si="73"/>
        <v>0</v>
      </c>
      <c r="BC100" s="4712">
        <f t="shared" si="73"/>
        <v>0</v>
      </c>
      <c r="BD100" s="4712">
        <f t="shared" si="73"/>
        <v>549.54</v>
      </c>
      <c r="BE100" s="4712">
        <f t="shared" ref="BE100" si="74">+BE58</f>
        <v>0</v>
      </c>
      <c r="BF100" s="4712">
        <f t="shared" si="64"/>
        <v>1899.96</v>
      </c>
    </row>
    <row r="101" spans="44:58" hidden="1" x14ac:dyDescent="0.25">
      <c r="AR101" s="559" t="s">
        <v>1785</v>
      </c>
      <c r="AT101" s="4712">
        <f>+AT20</f>
        <v>0</v>
      </c>
      <c r="AU101" s="4712">
        <f t="shared" ref="AU101:BD101" si="75">+AU20</f>
        <v>0</v>
      </c>
      <c r="AV101" s="4712">
        <f t="shared" si="75"/>
        <v>0</v>
      </c>
      <c r="AW101" s="4712">
        <f t="shared" si="75"/>
        <v>0</v>
      </c>
      <c r="AX101" s="4712">
        <f t="shared" si="75"/>
        <v>0</v>
      </c>
      <c r="AY101" s="4712">
        <f t="shared" si="75"/>
        <v>0</v>
      </c>
      <c r="AZ101" s="4712">
        <f t="shared" si="75"/>
        <v>0</v>
      </c>
      <c r="BA101" s="4712">
        <f t="shared" si="75"/>
        <v>0</v>
      </c>
      <c r="BB101" s="4712">
        <f t="shared" si="75"/>
        <v>0</v>
      </c>
      <c r="BC101" s="4712">
        <f t="shared" si="75"/>
        <v>155.49</v>
      </c>
      <c r="BD101" s="4712">
        <f t="shared" si="75"/>
        <v>0</v>
      </c>
      <c r="BE101" s="4712">
        <f t="shared" ref="BE101" si="76">+BE20</f>
        <v>0</v>
      </c>
      <c r="BF101" s="4712">
        <f t="shared" si="64"/>
        <v>155.49</v>
      </c>
    </row>
    <row r="102" spans="44:58" hidden="1" x14ac:dyDescent="0.25">
      <c r="AR102" s="559" t="s">
        <v>1308</v>
      </c>
      <c r="AT102" s="4712">
        <f>+AT22</f>
        <v>7930.0000033333272</v>
      </c>
      <c r="AU102" s="4712">
        <f t="shared" ref="AU102:BD102" si="77">+AU22</f>
        <v>16698.483333333337</v>
      </c>
      <c r="AV102" s="4712">
        <f t="shared" si="77"/>
        <v>45025.950003333346</v>
      </c>
      <c r="AW102" s="4712">
        <f t="shared" si="77"/>
        <v>15487.750003333304</v>
      </c>
      <c r="AX102" s="4712">
        <f t="shared" si="77"/>
        <v>19377.000003333349</v>
      </c>
      <c r="AY102" s="4712">
        <f t="shared" si="77"/>
        <v>15273.09000333338</v>
      </c>
      <c r="AZ102" s="4712">
        <f t="shared" si="77"/>
        <v>29229.600003333351</v>
      </c>
      <c r="BA102" s="4712">
        <f t="shared" si="77"/>
        <v>30016.710003333355</v>
      </c>
      <c r="BB102" s="4712">
        <f t="shared" si="77"/>
        <v>22860.1900033333</v>
      </c>
      <c r="BC102" s="4712">
        <f t="shared" si="77"/>
        <v>16225.150003333305</v>
      </c>
      <c r="BD102" s="4712">
        <f t="shared" si="77"/>
        <v>31885.990003333376</v>
      </c>
      <c r="BE102" s="4712">
        <f t="shared" ref="BE102" si="78">+BE22</f>
        <v>24162.240003333325</v>
      </c>
      <c r="BF102" s="4712">
        <f t="shared" si="64"/>
        <v>274172.15337000001</v>
      </c>
    </row>
    <row r="103" spans="44:58" hidden="1" x14ac:dyDescent="0.25">
      <c r="AR103" s="559" t="s">
        <v>1504</v>
      </c>
      <c r="AT103" s="4712">
        <f>+AT23</f>
        <v>0</v>
      </c>
      <c r="AU103" s="4712">
        <f t="shared" ref="AU103:BD103" si="79">+AU23</f>
        <v>0</v>
      </c>
      <c r="AV103" s="4712">
        <f t="shared" si="79"/>
        <v>0</v>
      </c>
      <c r="AW103" s="4712">
        <f t="shared" si="79"/>
        <v>0</v>
      </c>
      <c r="AX103" s="4712">
        <f t="shared" si="79"/>
        <v>18337</v>
      </c>
      <c r="AY103" s="4712">
        <f t="shared" si="79"/>
        <v>0</v>
      </c>
      <c r="AZ103" s="4712">
        <f t="shared" si="79"/>
        <v>0</v>
      </c>
      <c r="BA103" s="4712">
        <f t="shared" si="79"/>
        <v>0</v>
      </c>
      <c r="BB103" s="4712">
        <f t="shared" si="79"/>
        <v>0</v>
      </c>
      <c r="BC103" s="4712">
        <f t="shared" si="79"/>
        <v>0</v>
      </c>
      <c r="BD103" s="4712">
        <f t="shared" si="79"/>
        <v>0</v>
      </c>
      <c r="BE103" s="4712">
        <f t="shared" ref="BE103" si="80">+BE23</f>
        <v>0</v>
      </c>
      <c r="BF103" s="4712">
        <f t="shared" si="64"/>
        <v>18337</v>
      </c>
    </row>
    <row r="104" spans="44:58" hidden="1" x14ac:dyDescent="0.25">
      <c r="AR104" s="559" t="s">
        <v>1590</v>
      </c>
      <c r="AT104" s="4712">
        <f>+AT24</f>
        <v>0</v>
      </c>
      <c r="AU104" s="4712">
        <f t="shared" ref="AU104:BD104" si="81">+AU24</f>
        <v>0</v>
      </c>
      <c r="AV104" s="4712">
        <f t="shared" si="81"/>
        <v>0</v>
      </c>
      <c r="AW104" s="4712">
        <f t="shared" si="81"/>
        <v>0</v>
      </c>
      <c r="AX104" s="4712">
        <f t="shared" si="81"/>
        <v>0</v>
      </c>
      <c r="AY104" s="4712">
        <f t="shared" si="81"/>
        <v>18654.539999999994</v>
      </c>
      <c r="AZ104" s="4712">
        <f t="shared" si="81"/>
        <v>0</v>
      </c>
      <c r="BA104" s="4712">
        <f t="shared" si="81"/>
        <v>0</v>
      </c>
      <c r="BB104" s="4712">
        <f t="shared" si="81"/>
        <v>0</v>
      </c>
      <c r="BC104" s="4712">
        <f t="shared" si="81"/>
        <v>0</v>
      </c>
      <c r="BD104" s="4712">
        <f t="shared" si="81"/>
        <v>0</v>
      </c>
      <c r="BE104" s="4712">
        <f t="shared" ref="BE104" si="82">+BE24</f>
        <v>0</v>
      </c>
      <c r="BF104" s="4712">
        <f t="shared" si="64"/>
        <v>18654.539999999994</v>
      </c>
    </row>
    <row r="105" spans="44:58" hidden="1" x14ac:dyDescent="0.25">
      <c r="AR105" s="559" t="s">
        <v>1453</v>
      </c>
      <c r="AT105" s="4712">
        <f>+AT21</f>
        <v>0</v>
      </c>
      <c r="AU105" s="4712">
        <f t="shared" ref="AU105:BD105" si="83">+AU21</f>
        <v>0</v>
      </c>
      <c r="AV105" s="4712">
        <f t="shared" si="83"/>
        <v>0</v>
      </c>
      <c r="AW105" s="4712">
        <f t="shared" si="83"/>
        <v>19440.509999999984</v>
      </c>
      <c r="AX105" s="4712">
        <f t="shared" si="83"/>
        <v>0</v>
      </c>
      <c r="AY105" s="4712">
        <f t="shared" si="83"/>
        <v>0</v>
      </c>
      <c r="AZ105" s="4712">
        <f t="shared" si="83"/>
        <v>0</v>
      </c>
      <c r="BA105" s="4712">
        <f t="shared" si="83"/>
        <v>0</v>
      </c>
      <c r="BB105" s="4712">
        <f t="shared" si="83"/>
        <v>0</v>
      </c>
      <c r="BC105" s="4712">
        <f t="shared" si="83"/>
        <v>18273.270000000004</v>
      </c>
      <c r="BD105" s="4712">
        <f t="shared" si="83"/>
        <v>0</v>
      </c>
      <c r="BE105" s="4712">
        <f t="shared" ref="BE105" si="84">+BE21</f>
        <v>0</v>
      </c>
      <c r="BF105" s="4712">
        <f t="shared" si="64"/>
        <v>37713.779999999984</v>
      </c>
    </row>
    <row r="106" spans="44:58" hidden="1" x14ac:dyDescent="0.25">
      <c r="AR106" s="559" t="s">
        <v>1386</v>
      </c>
      <c r="AT106" s="4712">
        <f>++AT52+AT53+AT54+AT55</f>
        <v>0</v>
      </c>
      <c r="AU106" s="4712">
        <f t="shared" ref="AU106:BD106" si="85">++AU52+AU53+AU54+AU55</f>
        <v>3025</v>
      </c>
      <c r="AV106" s="4712">
        <f t="shared" si="85"/>
        <v>6665</v>
      </c>
      <c r="AW106" s="4712">
        <f t="shared" si="85"/>
        <v>12773.609999999999</v>
      </c>
      <c r="AX106" s="4712">
        <f t="shared" si="85"/>
        <v>13975</v>
      </c>
      <c r="AY106" s="4712">
        <f t="shared" si="85"/>
        <v>6649.86</v>
      </c>
      <c r="AZ106" s="4712">
        <f t="shared" si="85"/>
        <v>9883.2000000000007</v>
      </c>
      <c r="BA106" s="4712">
        <f t="shared" si="85"/>
        <v>9065.2799999999988</v>
      </c>
      <c r="BB106" s="4712">
        <f t="shared" si="85"/>
        <v>14047.349999999999</v>
      </c>
      <c r="BC106" s="4712">
        <f t="shared" si="85"/>
        <v>5691.3600000000006</v>
      </c>
      <c r="BD106" s="4712">
        <f t="shared" si="85"/>
        <v>5094.96</v>
      </c>
      <c r="BE106" s="4712">
        <f t="shared" ref="BE106" si="86">++BE52+BE53+BE54+BE55</f>
        <v>7450.7400000000007</v>
      </c>
      <c r="BF106" s="4712">
        <f t="shared" si="64"/>
        <v>94321.36</v>
      </c>
    </row>
    <row r="107" spans="44:58" hidden="1" x14ac:dyDescent="0.25"/>
    <row r="108" spans="44:58" hidden="1" x14ac:dyDescent="0.25">
      <c r="AT108" s="4712">
        <f>SUM(AT94:AT107)</f>
        <v>9037.0285743194108</v>
      </c>
      <c r="AU108" s="4712">
        <f t="shared" ref="AU108:BE108" si="87">SUM(AU94:AU107)</f>
        <v>24579.456401454077</v>
      </c>
      <c r="AV108" s="4712">
        <f t="shared" si="87"/>
        <v>54924.5</v>
      </c>
      <c r="AW108" s="4712">
        <f t="shared" si="87"/>
        <v>55916.390000000043</v>
      </c>
      <c r="AX108" s="4712">
        <f t="shared" si="87"/>
        <v>60819.628999999986</v>
      </c>
      <c r="AY108" s="4712">
        <f t="shared" si="87"/>
        <v>57258.710000000006</v>
      </c>
      <c r="AZ108" s="4712">
        <f t="shared" si="87"/>
        <v>53000.300000000032</v>
      </c>
      <c r="BA108" s="4712">
        <f t="shared" si="87"/>
        <v>54178.892000000007</v>
      </c>
      <c r="BB108" s="4712">
        <f t="shared" si="87"/>
        <v>51999.720000000023</v>
      </c>
      <c r="BC108" s="4712">
        <f t="shared" si="87"/>
        <v>49621.240000000005</v>
      </c>
      <c r="BD108" s="4712">
        <f t="shared" si="87"/>
        <v>53279.097000000002</v>
      </c>
      <c r="BE108" s="4712">
        <f t="shared" si="87"/>
        <v>50324.609999999993</v>
      </c>
      <c r="BF108" s="4712">
        <f>SUM(AT108:BE108)</f>
        <v>574939.5729757736</v>
      </c>
    </row>
    <row r="109" spans="44:58" hidden="1" x14ac:dyDescent="0.25">
      <c r="AT109" s="4712">
        <f>SUM(AT94:AT106)</f>
        <v>9037.0285743194108</v>
      </c>
    </row>
    <row r="110" spans="44:58" hidden="1" x14ac:dyDescent="0.25"/>
  </sheetData>
  <mergeCells count="4">
    <mergeCell ref="E2:BF2"/>
    <mergeCell ref="F4:X4"/>
    <mergeCell ref="Y4:AQ4"/>
    <mergeCell ref="AT4:BF4"/>
  </mergeCells>
  <printOptions horizontalCentered="1" verticalCentered="1"/>
  <pageMargins left="0" right="0" top="0" bottom="0" header="0" footer="0"/>
  <pageSetup paperSize="9" scale="77" orientation="landscape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97575"/>
    <pageSetUpPr fitToPage="1"/>
  </sheetPr>
  <dimension ref="A2:AD82"/>
  <sheetViews>
    <sheetView topLeftCell="A35" zoomScale="93" zoomScaleNormal="93" workbookViewId="0">
      <pane xSplit="1" topLeftCell="E1" activePane="topRight" state="frozen"/>
      <selection pane="topRight" activeCell="P13" sqref="P13"/>
    </sheetView>
  </sheetViews>
  <sheetFormatPr defaultColWidth="9.140625" defaultRowHeight="12.75" x14ac:dyDescent="0.25"/>
  <cols>
    <col min="1" max="1" width="55.85546875" style="558" customWidth="1"/>
    <col min="2" max="2" width="9.140625" style="559" bestFit="1" customWidth="1"/>
    <col min="3" max="3" width="9.7109375" style="559" bestFit="1" customWidth="1"/>
    <col min="4" max="4" width="15.140625" style="559" hidden="1" customWidth="1"/>
    <col min="5" max="5" width="9.5703125" style="559" bestFit="1" customWidth="1"/>
    <col min="6" max="6" width="9.140625" style="559" bestFit="1" customWidth="1"/>
    <col min="7" max="7" width="12.5703125" style="559" customWidth="1"/>
    <col min="8" max="8" width="16.85546875" style="559" hidden="1" customWidth="1"/>
    <col min="9" max="9" width="9.5703125" style="559" bestFit="1" customWidth="1"/>
    <col min="10" max="10" width="17" style="559" hidden="1" customWidth="1"/>
    <col min="11" max="11" width="9.140625" style="559" bestFit="1" customWidth="1"/>
    <col min="12" max="13" width="10.7109375" style="559" bestFit="1" customWidth="1"/>
    <col min="14" max="14" width="9.140625" style="559" bestFit="1" customWidth="1"/>
    <col min="15" max="15" width="12.7109375" style="559" hidden="1" customWidth="1"/>
    <col min="16" max="16" width="9.140625" style="559" customWidth="1"/>
    <col min="17" max="17" width="10.7109375" style="559" hidden="1" customWidth="1"/>
    <col min="18" max="18" width="9.140625" style="559" customWidth="1"/>
    <col min="19" max="19" width="10.7109375" style="559" bestFit="1" customWidth="1"/>
    <col min="20" max="20" width="10.7109375" style="559" hidden="1" customWidth="1"/>
    <col min="21" max="21" width="9.140625" style="559" customWidth="1"/>
    <col min="22" max="22" width="10.7109375" style="559" hidden="1" customWidth="1"/>
    <col min="23" max="23" width="9.140625" style="559" customWidth="1"/>
    <col min="24" max="24" width="10.7109375" style="559" hidden="1" customWidth="1"/>
    <col min="25" max="25" width="9.85546875" style="559" bestFit="1" customWidth="1"/>
    <col min="26" max="28" width="10.7109375" style="559" bestFit="1" customWidth="1"/>
    <col min="29" max="16384" width="9.140625" style="559"/>
  </cols>
  <sheetData>
    <row r="2" spans="1:28" ht="20.25" x14ac:dyDescent="0.25">
      <c r="A2" s="5255" t="s">
        <v>1389</v>
      </c>
      <c r="B2" s="5255"/>
      <c r="C2" s="5255"/>
      <c r="D2" s="5255"/>
      <c r="E2" s="5255"/>
      <c r="F2" s="5255"/>
      <c r="G2" s="5255"/>
      <c r="H2" s="5255"/>
      <c r="I2" s="5255"/>
      <c r="J2" s="5255"/>
      <c r="K2" s="5255"/>
      <c r="L2" s="5255"/>
      <c r="M2" s="5255"/>
      <c r="N2" s="5255"/>
      <c r="O2" s="5255"/>
      <c r="P2" s="5255"/>
      <c r="Q2" s="5255"/>
      <c r="R2" s="5255"/>
      <c r="S2" s="5255"/>
      <c r="T2" s="5255"/>
    </row>
    <row r="3" spans="1:28" ht="13.5" thickBot="1" x14ac:dyDescent="0.3"/>
    <row r="4" spans="1:28" ht="19.5" thickBot="1" x14ac:dyDescent="0.3">
      <c r="A4" s="5256"/>
      <c r="B4" s="5258" t="s">
        <v>746</v>
      </c>
      <c r="C4" s="5259"/>
      <c r="D4" s="5259"/>
      <c r="E4" s="5259"/>
      <c r="F4" s="5259"/>
      <c r="G4" s="5259"/>
      <c r="H4" s="5259"/>
      <c r="I4" s="5259"/>
      <c r="J4" s="5259"/>
      <c r="K4" s="5259"/>
      <c r="L4" s="5259"/>
      <c r="M4" s="5259"/>
      <c r="N4" s="5259"/>
      <c r="O4" s="5259"/>
      <c r="P4" s="5259"/>
      <c r="Q4" s="5259"/>
      <c r="R4" s="5259"/>
      <c r="S4" s="5259"/>
      <c r="T4" s="5259"/>
      <c r="U4" s="5259"/>
      <c r="V4" s="5259"/>
      <c r="W4" s="5259"/>
      <c r="X4" s="5259"/>
      <c r="Y4" s="5259"/>
      <c r="Z4" s="5259"/>
      <c r="AA4" s="5259"/>
      <c r="AB4" s="5260"/>
    </row>
    <row r="5" spans="1:28" ht="16.5" thickBot="1" x14ac:dyDescent="0.3">
      <c r="A5" s="5257"/>
      <c r="B5" s="4742" t="s">
        <v>1380</v>
      </c>
      <c r="C5" s="4720" t="s">
        <v>1388</v>
      </c>
      <c r="D5" s="4720" t="s">
        <v>785</v>
      </c>
      <c r="E5" s="4720" t="s">
        <v>1403</v>
      </c>
      <c r="F5" s="4720" t="s">
        <v>747</v>
      </c>
      <c r="G5" s="4720" t="s">
        <v>1423</v>
      </c>
      <c r="H5" s="4720" t="s">
        <v>770</v>
      </c>
      <c r="I5" s="4720" t="s">
        <v>1498</v>
      </c>
      <c r="J5" s="4720" t="s">
        <v>19</v>
      </c>
      <c r="K5" s="4720" t="s">
        <v>1581</v>
      </c>
      <c r="L5" s="4720" t="s">
        <v>783</v>
      </c>
      <c r="M5" s="4720" t="s">
        <v>784</v>
      </c>
      <c r="N5" s="4720" t="s">
        <v>1636</v>
      </c>
      <c r="O5" s="4720" t="s">
        <v>26</v>
      </c>
      <c r="P5" s="4720" t="s">
        <v>1684</v>
      </c>
      <c r="Q5" s="4720" t="s">
        <v>29</v>
      </c>
      <c r="R5" s="4720" t="s">
        <v>1727</v>
      </c>
      <c r="S5" s="4720" t="s">
        <v>795</v>
      </c>
      <c r="T5" s="4720" t="s">
        <v>30</v>
      </c>
      <c r="U5" s="4720" t="s">
        <v>1762</v>
      </c>
      <c r="V5" s="4720" t="s">
        <v>31</v>
      </c>
      <c r="W5" s="4720" t="s">
        <v>1813</v>
      </c>
      <c r="X5" s="4720" t="s">
        <v>809</v>
      </c>
      <c r="Y5" s="4720" t="s">
        <v>1852</v>
      </c>
      <c r="Z5" s="4720" t="s">
        <v>816</v>
      </c>
      <c r="AA5" s="4720" t="s">
        <v>817</v>
      </c>
      <c r="AB5" s="4743" t="s">
        <v>818</v>
      </c>
    </row>
    <row r="6" spans="1:28" ht="20.25" x14ac:dyDescent="0.25">
      <c r="A6" s="4731" t="s">
        <v>762</v>
      </c>
      <c r="B6" s="4732"/>
      <c r="C6" s="4733"/>
      <c r="D6" s="4733"/>
      <c r="E6" s="4733"/>
      <c r="F6" s="4734"/>
      <c r="G6" s="4733"/>
      <c r="H6" s="4733"/>
      <c r="I6" s="4735"/>
      <c r="J6" s="4735"/>
      <c r="K6" s="4733"/>
      <c r="L6" s="4734"/>
      <c r="M6" s="4735"/>
      <c r="N6" s="4733"/>
      <c r="O6" s="4735"/>
      <c r="P6" s="4733"/>
      <c r="Q6" s="4735"/>
      <c r="R6" s="4735"/>
      <c r="S6" s="4734"/>
      <c r="T6" s="4735"/>
      <c r="U6" s="4733"/>
      <c r="V6" s="4735"/>
      <c r="W6" s="4733"/>
      <c r="X6" s="4735"/>
      <c r="Y6" s="4733"/>
      <c r="Z6" s="4734"/>
      <c r="AA6" s="4735"/>
      <c r="AB6" s="4735"/>
    </row>
    <row r="7" spans="1:28" ht="15.75" x14ac:dyDescent="0.25">
      <c r="A7" s="561" t="s">
        <v>751</v>
      </c>
      <c r="B7" s="563">
        <f>1850+200</f>
        <v>2050</v>
      </c>
      <c r="C7" s="563">
        <v>442</v>
      </c>
      <c r="D7" s="4727">
        <f>+B7+C7</f>
        <v>2492</v>
      </c>
      <c r="E7" s="563">
        <v>0</v>
      </c>
      <c r="F7" s="4573">
        <f>+B7+C7+E7</f>
        <v>2492</v>
      </c>
      <c r="G7" s="563">
        <f>119.34+100</f>
        <v>219.34</v>
      </c>
      <c r="H7" s="4727">
        <f>+B7+C7+E7+G7</f>
        <v>2711.34</v>
      </c>
      <c r="I7" s="562">
        <f>4418-100</f>
        <v>4318</v>
      </c>
      <c r="J7" s="4727">
        <f>+H7+I7</f>
        <v>7029.34</v>
      </c>
      <c r="K7" s="562">
        <f>3353.454+100</f>
        <v>3453.4540000000002</v>
      </c>
      <c r="L7" s="4573">
        <f>+G7+I7+K7</f>
        <v>7990.7939999999999</v>
      </c>
      <c r="M7" s="3386">
        <f>+F7+L7</f>
        <v>10482.794</v>
      </c>
      <c r="N7" s="563">
        <f>1022.346+100</f>
        <v>1122.346</v>
      </c>
      <c r="O7" s="4727">
        <f>SUM(M7:N7)</f>
        <v>11605.14</v>
      </c>
      <c r="P7" s="563">
        <v>1006.4340000000002</v>
      </c>
      <c r="Q7" s="4727">
        <f>SUM(O7:P7)</f>
        <v>12611.574000000001</v>
      </c>
      <c r="R7" s="563">
        <f>6543.80999999999+200</f>
        <v>6743.8099999999904</v>
      </c>
      <c r="S7" s="4573">
        <f>+N7+P7+R7</f>
        <v>8872.5899999999911</v>
      </c>
      <c r="T7" s="4727">
        <f>+Q7+R7</f>
        <v>19355.383999999991</v>
      </c>
      <c r="U7" s="562">
        <f>11289.536+325</f>
        <v>11614.536</v>
      </c>
      <c r="V7" s="4727">
        <f>+T7+U7</f>
        <v>30969.919999999991</v>
      </c>
      <c r="W7" s="562">
        <f>5060.016+200</f>
        <v>5260.0159999999996</v>
      </c>
      <c r="X7" s="4727">
        <f>SUM(V7:W7)</f>
        <v>36229.935999999987</v>
      </c>
      <c r="Y7" s="562">
        <f>5686.39+100</f>
        <v>5786.39</v>
      </c>
      <c r="Z7" s="4573">
        <f>+U7+W7+Y7</f>
        <v>22660.941999999999</v>
      </c>
      <c r="AA7" s="3386">
        <f>+Z7+S7</f>
        <v>31533.531999999992</v>
      </c>
      <c r="AB7" s="4727">
        <f>+X7+Y7</f>
        <v>42016.325999999986</v>
      </c>
    </row>
    <row r="8" spans="1:28" ht="15.75" x14ac:dyDescent="0.25">
      <c r="A8" s="561" t="s">
        <v>782</v>
      </c>
      <c r="B8" s="563">
        <v>0</v>
      </c>
      <c r="C8" s="563">
        <v>110</v>
      </c>
      <c r="D8" s="4727">
        <f t="shared" ref="D8:D20" si="0">+B8+C8</f>
        <v>110</v>
      </c>
      <c r="E8" s="563">
        <v>385</v>
      </c>
      <c r="F8" s="4573">
        <f t="shared" ref="F8:F20" si="1">+B8+C8+E8</f>
        <v>495</v>
      </c>
      <c r="G8" s="563">
        <f>373.752+100</f>
        <v>473.75200000000001</v>
      </c>
      <c r="H8" s="4727">
        <f t="shared" ref="H8:H20" si="2">+B8+C8+E8+G8</f>
        <v>968.75199999999995</v>
      </c>
      <c r="I8" s="562">
        <f>661-84</f>
        <v>577</v>
      </c>
      <c r="J8" s="4727">
        <f t="shared" ref="J8:J20" si="3">+H8+I8</f>
        <v>1545.752</v>
      </c>
      <c r="K8" s="562">
        <v>306.83600000000001</v>
      </c>
      <c r="L8" s="4573">
        <f t="shared" ref="L8:L20" si="4">+G8+I8+K8</f>
        <v>1357.588</v>
      </c>
      <c r="M8" s="3386">
        <f t="shared" ref="M8:M20" si="5">+F8+L8</f>
        <v>1852.588</v>
      </c>
      <c r="N8" s="563">
        <v>0</v>
      </c>
      <c r="O8" s="4727">
        <f t="shared" ref="O8:O20" si="6">SUM(M8:N8)</f>
        <v>1852.588</v>
      </c>
      <c r="P8" s="563">
        <v>528.27800000000002</v>
      </c>
      <c r="Q8" s="4727">
        <f t="shared" ref="Q8:Q20" si="7">SUM(O8:P8)</f>
        <v>2380.866</v>
      </c>
      <c r="R8" s="563">
        <v>285.08800000000002</v>
      </c>
      <c r="S8" s="4573">
        <f t="shared" ref="S8:S20" si="8">+N8+P8+R8</f>
        <v>813.36599999999999</v>
      </c>
      <c r="T8" s="4727">
        <f t="shared" ref="T8:T20" si="9">+Q8+R8</f>
        <v>2665.9540000000002</v>
      </c>
      <c r="U8" s="562">
        <v>677.56400000000008</v>
      </c>
      <c r="V8" s="4727">
        <f t="shared" ref="V8:V20" si="10">+T8+U8</f>
        <v>3343.518</v>
      </c>
      <c r="W8" s="562">
        <v>473.64400000000001</v>
      </c>
      <c r="X8" s="4727">
        <f t="shared" ref="X8:X20" si="11">SUM(V8:W8)</f>
        <v>3817.1620000000003</v>
      </c>
      <c r="Y8" s="562">
        <v>612.30799999999999</v>
      </c>
      <c r="Z8" s="4573">
        <f t="shared" ref="Z8:Z20" si="12">+U8+W8+Y8</f>
        <v>1763.5160000000001</v>
      </c>
      <c r="AA8" s="3386">
        <f t="shared" ref="AA8:AA20" si="13">+Z8+S8</f>
        <v>2576.8820000000001</v>
      </c>
      <c r="AB8" s="4727">
        <f t="shared" ref="AB8:AB21" si="14">+X8+Y8</f>
        <v>4429.47</v>
      </c>
    </row>
    <row r="9" spans="1:28" ht="15.75" x14ac:dyDescent="0.25">
      <c r="A9" s="561" t="s">
        <v>1599</v>
      </c>
      <c r="B9" s="563"/>
      <c r="C9" s="563"/>
      <c r="D9" s="4727">
        <f t="shared" si="0"/>
        <v>0</v>
      </c>
      <c r="E9" s="563"/>
      <c r="F9" s="4573">
        <f t="shared" si="1"/>
        <v>0</v>
      </c>
      <c r="G9" s="563"/>
      <c r="H9" s="4727">
        <f t="shared" si="2"/>
        <v>0</v>
      </c>
      <c r="I9" s="562"/>
      <c r="J9" s="4727">
        <f t="shared" si="3"/>
        <v>0</v>
      </c>
      <c r="K9" s="562"/>
      <c r="L9" s="4573">
        <f t="shared" si="4"/>
        <v>0</v>
      </c>
      <c r="M9" s="3386">
        <f t="shared" si="5"/>
        <v>0</v>
      </c>
      <c r="N9" s="563"/>
      <c r="O9" s="4727">
        <f t="shared" si="6"/>
        <v>0</v>
      </c>
      <c r="P9" s="563"/>
      <c r="Q9" s="4727">
        <f t="shared" si="7"/>
        <v>0</v>
      </c>
      <c r="R9" s="563"/>
      <c r="S9" s="4573">
        <f t="shared" si="8"/>
        <v>0</v>
      </c>
      <c r="T9" s="4727">
        <f t="shared" si="9"/>
        <v>0</v>
      </c>
      <c r="U9" s="562"/>
      <c r="V9" s="4727">
        <f t="shared" si="10"/>
        <v>0</v>
      </c>
      <c r="W9" s="562">
        <v>696.15</v>
      </c>
      <c r="X9" s="4727">
        <f t="shared" si="11"/>
        <v>696.15</v>
      </c>
      <c r="Y9" s="562">
        <f>1288.872+125</f>
        <v>1413.8720000000001</v>
      </c>
      <c r="Z9" s="4573">
        <f t="shared" si="12"/>
        <v>2110.0219999999999</v>
      </c>
      <c r="AA9" s="3386">
        <f t="shared" si="13"/>
        <v>2110.0219999999999</v>
      </c>
      <c r="AB9" s="4727">
        <f t="shared" si="14"/>
        <v>2110.0219999999999</v>
      </c>
    </row>
    <row r="10" spans="1:28" ht="15.75" x14ac:dyDescent="0.25">
      <c r="A10" s="561" t="s">
        <v>1822</v>
      </c>
      <c r="B10" s="563"/>
      <c r="C10" s="563"/>
      <c r="D10" s="4727">
        <f t="shared" si="0"/>
        <v>0</v>
      </c>
      <c r="E10" s="563"/>
      <c r="F10" s="4573">
        <f t="shared" si="1"/>
        <v>0</v>
      </c>
      <c r="G10" s="563"/>
      <c r="H10" s="4727">
        <f t="shared" si="2"/>
        <v>0</v>
      </c>
      <c r="I10" s="562"/>
      <c r="J10" s="4727">
        <f t="shared" si="3"/>
        <v>0</v>
      </c>
      <c r="K10" s="562"/>
      <c r="L10" s="4573">
        <f t="shared" si="4"/>
        <v>0</v>
      </c>
      <c r="M10" s="3386">
        <f t="shared" si="5"/>
        <v>0</v>
      </c>
      <c r="N10" s="563"/>
      <c r="O10" s="4727">
        <f t="shared" si="6"/>
        <v>0</v>
      </c>
      <c r="P10" s="563"/>
      <c r="Q10" s="4727">
        <f t="shared" si="7"/>
        <v>0</v>
      </c>
      <c r="R10" s="563"/>
      <c r="S10" s="4573">
        <f t="shared" si="8"/>
        <v>0</v>
      </c>
      <c r="T10" s="4727">
        <f t="shared" si="9"/>
        <v>0</v>
      </c>
      <c r="U10" s="562"/>
      <c r="V10" s="4727">
        <f t="shared" si="10"/>
        <v>0</v>
      </c>
      <c r="W10" s="562">
        <f>1556.772+100</f>
        <v>1656.7719999999999</v>
      </c>
      <c r="X10" s="4727">
        <f t="shared" si="11"/>
        <v>1656.7719999999999</v>
      </c>
      <c r="Y10" s="562">
        <f>1808.664+200</f>
        <v>2008.664</v>
      </c>
      <c r="Z10" s="4573">
        <f t="shared" si="12"/>
        <v>3665.4359999999997</v>
      </c>
      <c r="AA10" s="3386">
        <f t="shared" si="13"/>
        <v>3665.4359999999997</v>
      </c>
      <c r="AB10" s="4727">
        <f t="shared" si="14"/>
        <v>3665.4359999999997</v>
      </c>
    </row>
    <row r="11" spans="1:28" ht="15.75" x14ac:dyDescent="0.25">
      <c r="A11" s="561" t="s">
        <v>1390</v>
      </c>
      <c r="B11" s="563">
        <v>0</v>
      </c>
      <c r="C11" s="563">
        <f>2392+218</f>
        <v>2610</v>
      </c>
      <c r="D11" s="4727">
        <f t="shared" si="0"/>
        <v>2610</v>
      </c>
      <c r="E11" s="563">
        <f>18240-431</f>
        <v>17809</v>
      </c>
      <c r="F11" s="4573">
        <f t="shared" si="1"/>
        <v>20419</v>
      </c>
      <c r="G11" s="563">
        <v>0</v>
      </c>
      <c r="H11" s="4727">
        <f t="shared" si="2"/>
        <v>20419</v>
      </c>
      <c r="I11" s="562">
        <v>0</v>
      </c>
      <c r="J11" s="4727">
        <f t="shared" si="3"/>
        <v>20419</v>
      </c>
      <c r="K11" s="562">
        <f>16357.536+325</f>
        <v>16682.536</v>
      </c>
      <c r="L11" s="4573">
        <f t="shared" si="4"/>
        <v>16682.536</v>
      </c>
      <c r="M11" s="3386">
        <f t="shared" si="5"/>
        <v>37101.536</v>
      </c>
      <c r="N11" s="563">
        <v>2402.712</v>
      </c>
      <c r="O11" s="4727">
        <f t="shared" si="6"/>
        <v>39504.248</v>
      </c>
      <c r="P11" s="563">
        <f>17969.952+325+300</f>
        <v>18594.952000000001</v>
      </c>
      <c r="Q11" s="4727">
        <f t="shared" si="7"/>
        <v>58099.199999999997</v>
      </c>
      <c r="R11" s="563"/>
      <c r="S11" s="4573">
        <f t="shared" si="8"/>
        <v>20997.664000000001</v>
      </c>
      <c r="T11" s="4727">
        <f t="shared" si="9"/>
        <v>58099.199999999997</v>
      </c>
      <c r="U11" s="562"/>
      <c r="V11" s="4727">
        <f t="shared" si="10"/>
        <v>58099.199999999997</v>
      </c>
      <c r="W11" s="562"/>
      <c r="X11" s="4727">
        <f t="shared" si="11"/>
        <v>58099.199999999997</v>
      </c>
      <c r="Y11" s="562">
        <v>0</v>
      </c>
      <c r="Z11" s="4573">
        <f t="shared" si="12"/>
        <v>0</v>
      </c>
      <c r="AA11" s="3386">
        <f t="shared" si="13"/>
        <v>20997.664000000001</v>
      </c>
      <c r="AB11" s="4727">
        <f t="shared" si="14"/>
        <v>58099.199999999997</v>
      </c>
    </row>
    <row r="12" spans="1:28" ht="15.75" x14ac:dyDescent="0.25">
      <c r="A12" s="561" t="s">
        <v>742</v>
      </c>
      <c r="B12" s="563"/>
      <c r="C12" s="563"/>
      <c r="D12" s="4727">
        <f t="shared" si="0"/>
        <v>0</v>
      </c>
      <c r="E12" s="563"/>
      <c r="F12" s="4573">
        <f t="shared" si="1"/>
        <v>0</v>
      </c>
      <c r="G12" s="563"/>
      <c r="H12" s="4727">
        <f t="shared" si="2"/>
        <v>0</v>
      </c>
      <c r="I12" s="562"/>
      <c r="J12" s="4727">
        <f t="shared" si="3"/>
        <v>0</v>
      </c>
      <c r="K12" s="562"/>
      <c r="L12" s="4573">
        <f t="shared" si="4"/>
        <v>0</v>
      </c>
      <c r="M12" s="3386">
        <f t="shared" si="5"/>
        <v>0</v>
      </c>
      <c r="N12" s="563"/>
      <c r="O12" s="4727">
        <f t="shared" si="6"/>
        <v>0</v>
      </c>
      <c r="P12" s="563"/>
      <c r="Q12" s="4727">
        <f t="shared" si="7"/>
        <v>0</v>
      </c>
      <c r="R12" s="563">
        <v>1694.6279999999999</v>
      </c>
      <c r="S12" s="4573">
        <f t="shared" si="8"/>
        <v>1694.6279999999999</v>
      </c>
      <c r="T12" s="4727">
        <f t="shared" si="9"/>
        <v>1694.6279999999999</v>
      </c>
      <c r="U12" s="562"/>
      <c r="V12" s="4727">
        <f t="shared" si="10"/>
        <v>1694.6279999999999</v>
      </c>
      <c r="W12" s="562"/>
      <c r="X12" s="4727">
        <f t="shared" si="11"/>
        <v>1694.6279999999999</v>
      </c>
      <c r="Y12" s="562">
        <v>0</v>
      </c>
      <c r="Z12" s="4573">
        <f t="shared" si="12"/>
        <v>0</v>
      </c>
      <c r="AA12" s="3386">
        <f t="shared" si="13"/>
        <v>1694.6279999999999</v>
      </c>
      <c r="AB12" s="4727">
        <f t="shared" si="14"/>
        <v>1694.6279999999999</v>
      </c>
    </row>
    <row r="13" spans="1:28" ht="15.75" x14ac:dyDescent="0.25">
      <c r="A13" s="561" t="s">
        <v>825</v>
      </c>
      <c r="B13" s="563">
        <v>0</v>
      </c>
      <c r="C13" s="562">
        <f>4976+500</f>
        <v>5476</v>
      </c>
      <c r="D13" s="4727">
        <f t="shared" si="0"/>
        <v>5476</v>
      </c>
      <c r="E13" s="562">
        <v>1993</v>
      </c>
      <c r="F13" s="4573">
        <f t="shared" si="1"/>
        <v>7469</v>
      </c>
      <c r="G13" s="567">
        <f>2589.678+100</f>
        <v>2689.6779999999999</v>
      </c>
      <c r="H13" s="4727">
        <f t="shared" si="2"/>
        <v>10158.678</v>
      </c>
      <c r="I13" s="562">
        <v>0</v>
      </c>
      <c r="J13" s="4727">
        <f t="shared" si="3"/>
        <v>10158.678</v>
      </c>
      <c r="K13" s="562">
        <v>0</v>
      </c>
      <c r="L13" s="4573">
        <f t="shared" si="4"/>
        <v>2689.6779999999999</v>
      </c>
      <c r="M13" s="3386">
        <f t="shared" si="5"/>
        <v>10158.678</v>
      </c>
      <c r="N13" s="563">
        <v>147.18600000000001</v>
      </c>
      <c r="O13" s="4727">
        <f t="shared" si="6"/>
        <v>10305.864</v>
      </c>
      <c r="P13" s="563">
        <v>0</v>
      </c>
      <c r="Q13" s="4727">
        <f t="shared" si="7"/>
        <v>10305.864</v>
      </c>
      <c r="R13" s="563"/>
      <c r="S13" s="4573">
        <f t="shared" si="8"/>
        <v>147.18600000000001</v>
      </c>
      <c r="T13" s="4727">
        <f t="shared" si="9"/>
        <v>10305.864</v>
      </c>
      <c r="U13" s="562"/>
      <c r="V13" s="4727">
        <f t="shared" si="10"/>
        <v>10305.864</v>
      </c>
      <c r="W13" s="562"/>
      <c r="X13" s="4727">
        <f t="shared" si="11"/>
        <v>10305.864</v>
      </c>
      <c r="Y13" s="562">
        <v>0</v>
      </c>
      <c r="Z13" s="4573">
        <f t="shared" si="12"/>
        <v>0</v>
      </c>
      <c r="AA13" s="3386">
        <f t="shared" si="13"/>
        <v>147.18600000000001</v>
      </c>
      <c r="AB13" s="4727">
        <f t="shared" si="14"/>
        <v>10305.864</v>
      </c>
    </row>
    <row r="14" spans="1:28" ht="15.75" x14ac:dyDescent="0.25">
      <c r="A14" s="561" t="s">
        <v>824</v>
      </c>
      <c r="B14" s="563">
        <v>0</v>
      </c>
      <c r="C14" s="563">
        <v>0</v>
      </c>
      <c r="D14" s="4727">
        <f t="shared" si="0"/>
        <v>0</v>
      </c>
      <c r="E14" s="562">
        <v>1022</v>
      </c>
      <c r="F14" s="4573">
        <f t="shared" si="1"/>
        <v>1022</v>
      </c>
      <c r="G14" s="567">
        <f>2020.824+100</f>
        <v>2120.8240000000001</v>
      </c>
      <c r="H14" s="4727">
        <f t="shared" si="2"/>
        <v>3142.8240000000001</v>
      </c>
      <c r="I14" s="562">
        <f>3027-100</f>
        <v>2927</v>
      </c>
      <c r="J14" s="4727">
        <f t="shared" si="3"/>
        <v>6069.8240000000005</v>
      </c>
      <c r="K14" s="562">
        <v>1066.104</v>
      </c>
      <c r="L14" s="4573">
        <f t="shared" si="4"/>
        <v>6113.9280000000008</v>
      </c>
      <c r="M14" s="3386">
        <f t="shared" si="5"/>
        <v>7135.9280000000008</v>
      </c>
      <c r="N14" s="563">
        <v>127.29600000000001</v>
      </c>
      <c r="O14" s="4727">
        <f t="shared" si="6"/>
        <v>7263.2240000000011</v>
      </c>
      <c r="P14" s="563">
        <v>0</v>
      </c>
      <c r="Q14" s="4727">
        <f t="shared" si="7"/>
        <v>7263.2240000000011</v>
      </c>
      <c r="R14" s="563">
        <f>3496.662+225</f>
        <v>3721.6619999999998</v>
      </c>
      <c r="S14" s="4573">
        <f t="shared" si="8"/>
        <v>3848.9579999999996</v>
      </c>
      <c r="T14" s="4727">
        <f t="shared" si="9"/>
        <v>10984.886</v>
      </c>
      <c r="U14" s="562">
        <f>4853.16+100</f>
        <v>4953.16</v>
      </c>
      <c r="V14" s="4727">
        <f t="shared" si="10"/>
        <v>15938.046</v>
      </c>
      <c r="W14" s="562"/>
      <c r="X14" s="4727">
        <f t="shared" si="11"/>
        <v>15938.046</v>
      </c>
      <c r="Y14" s="562">
        <v>0</v>
      </c>
      <c r="Z14" s="4573">
        <f t="shared" si="12"/>
        <v>4953.16</v>
      </c>
      <c r="AA14" s="3386">
        <f t="shared" si="13"/>
        <v>8802.1179999999986</v>
      </c>
      <c r="AB14" s="4727">
        <f t="shared" si="14"/>
        <v>15938.046</v>
      </c>
    </row>
    <row r="15" spans="1:28" ht="15.75" x14ac:dyDescent="0.25">
      <c r="A15" s="561" t="s">
        <v>1732</v>
      </c>
      <c r="B15" s="563"/>
      <c r="C15" s="563"/>
      <c r="D15" s="4727">
        <f t="shared" si="0"/>
        <v>0</v>
      </c>
      <c r="E15" s="562"/>
      <c r="F15" s="4573">
        <f t="shared" si="1"/>
        <v>0</v>
      </c>
      <c r="G15" s="567"/>
      <c r="H15" s="4727">
        <f t="shared" si="2"/>
        <v>0</v>
      </c>
      <c r="I15" s="562"/>
      <c r="J15" s="4727">
        <f t="shared" si="3"/>
        <v>0</v>
      </c>
      <c r="K15" s="562"/>
      <c r="L15" s="4573">
        <f t="shared" si="4"/>
        <v>0</v>
      </c>
      <c r="M15" s="3386">
        <f t="shared" si="5"/>
        <v>0</v>
      </c>
      <c r="N15" s="563"/>
      <c r="O15" s="4727">
        <f t="shared" si="6"/>
        <v>0</v>
      </c>
      <c r="P15" s="563"/>
      <c r="Q15" s="4727">
        <f t="shared" si="7"/>
        <v>0</v>
      </c>
      <c r="R15" s="563">
        <v>743.88600000000008</v>
      </c>
      <c r="S15" s="4573">
        <f t="shared" si="8"/>
        <v>743.88600000000008</v>
      </c>
      <c r="T15" s="4727">
        <f t="shared" si="9"/>
        <v>743.88600000000008</v>
      </c>
      <c r="U15" s="562">
        <f>2231.658+100</f>
        <v>2331.6579999999999</v>
      </c>
      <c r="V15" s="4727">
        <f t="shared" si="10"/>
        <v>3075.5439999999999</v>
      </c>
      <c r="W15" s="562">
        <v>425.64599999999996</v>
      </c>
      <c r="X15" s="4727">
        <f t="shared" si="11"/>
        <v>3501.1899999999996</v>
      </c>
      <c r="Y15" s="562">
        <v>684.21599999999989</v>
      </c>
      <c r="Z15" s="4573">
        <f t="shared" si="12"/>
        <v>3441.52</v>
      </c>
      <c r="AA15" s="3386">
        <f t="shared" si="13"/>
        <v>4185.4059999999999</v>
      </c>
      <c r="AB15" s="4727">
        <f t="shared" si="14"/>
        <v>4185.405999999999</v>
      </c>
    </row>
    <row r="16" spans="1:28" ht="15.75" x14ac:dyDescent="0.25">
      <c r="A16" s="561" t="s">
        <v>1823</v>
      </c>
      <c r="B16" s="563"/>
      <c r="C16" s="563"/>
      <c r="D16" s="4727">
        <f t="shared" si="0"/>
        <v>0</v>
      </c>
      <c r="E16" s="562"/>
      <c r="F16" s="4573">
        <f t="shared" si="1"/>
        <v>0</v>
      </c>
      <c r="G16" s="567"/>
      <c r="H16" s="4727">
        <f t="shared" si="2"/>
        <v>0</v>
      </c>
      <c r="I16" s="562"/>
      <c r="J16" s="4727">
        <f t="shared" si="3"/>
        <v>0</v>
      </c>
      <c r="K16" s="562"/>
      <c r="L16" s="4573">
        <f t="shared" si="4"/>
        <v>0</v>
      </c>
      <c r="M16" s="3386">
        <f t="shared" si="5"/>
        <v>0</v>
      </c>
      <c r="N16" s="563"/>
      <c r="O16" s="4727">
        <f t="shared" si="6"/>
        <v>0</v>
      </c>
      <c r="P16" s="563"/>
      <c r="Q16" s="4727">
        <f t="shared" si="7"/>
        <v>0</v>
      </c>
      <c r="R16" s="563"/>
      <c r="S16" s="4573">
        <f t="shared" si="8"/>
        <v>0</v>
      </c>
      <c r="T16" s="4727">
        <f t="shared" si="9"/>
        <v>0</v>
      </c>
      <c r="U16" s="562"/>
      <c r="V16" s="4727">
        <f t="shared" si="10"/>
        <v>0</v>
      </c>
      <c r="W16" s="562">
        <f>5378.256+200</f>
        <v>5578.2560000000003</v>
      </c>
      <c r="X16" s="4727">
        <f t="shared" si="11"/>
        <v>5578.2560000000003</v>
      </c>
      <c r="Y16" s="562">
        <f>2450.448+100</f>
        <v>2550.4479999999999</v>
      </c>
      <c r="Z16" s="4573">
        <f t="shared" si="12"/>
        <v>8128.7039999999997</v>
      </c>
      <c r="AA16" s="3386">
        <f t="shared" si="13"/>
        <v>8128.7039999999997</v>
      </c>
      <c r="AB16" s="4727">
        <f t="shared" si="14"/>
        <v>8128.7039999999997</v>
      </c>
    </row>
    <row r="17" spans="1:28" ht="15.75" x14ac:dyDescent="0.25">
      <c r="A17" s="561" t="s">
        <v>755</v>
      </c>
      <c r="B17" s="563">
        <f>2993+365</f>
        <v>3358</v>
      </c>
      <c r="C17" s="562">
        <f>554+200</f>
        <v>754</v>
      </c>
      <c r="D17" s="4727">
        <f t="shared" si="0"/>
        <v>4112</v>
      </c>
      <c r="E17" s="562">
        <v>1684</v>
      </c>
      <c r="F17" s="4573">
        <f t="shared" si="1"/>
        <v>5796</v>
      </c>
      <c r="G17" s="562">
        <f>4742.416+226</f>
        <v>4968.4160000000002</v>
      </c>
      <c r="H17" s="4727">
        <f t="shared" si="2"/>
        <v>10764.416000000001</v>
      </c>
      <c r="I17" s="562">
        <f>4323-200</f>
        <v>4123</v>
      </c>
      <c r="J17" s="4727">
        <f t="shared" si="3"/>
        <v>14887.416000000001</v>
      </c>
      <c r="K17" s="562">
        <f>4012.916+100</f>
        <v>4112.9160000000002</v>
      </c>
      <c r="L17" s="4573">
        <f t="shared" si="4"/>
        <v>13204.332000000002</v>
      </c>
      <c r="M17" s="3386">
        <f t="shared" si="5"/>
        <v>19000.332000000002</v>
      </c>
      <c r="N17" s="563">
        <f>3364.56+233</f>
        <v>3597.56</v>
      </c>
      <c r="O17" s="4727">
        <f t="shared" si="6"/>
        <v>22597.892000000003</v>
      </c>
      <c r="P17" s="563">
        <v>259.35199999999998</v>
      </c>
      <c r="Q17" s="4727">
        <f t="shared" si="7"/>
        <v>22857.244000000002</v>
      </c>
      <c r="R17" s="563">
        <f>2154.824+200</f>
        <v>2354.8240000000001</v>
      </c>
      <c r="S17" s="4573">
        <f t="shared" si="8"/>
        <v>6211.7359999999999</v>
      </c>
      <c r="T17" s="4727">
        <f t="shared" si="9"/>
        <v>25212.068000000003</v>
      </c>
      <c r="U17" s="562">
        <f>4491.564+100</f>
        <v>4591.5640000000003</v>
      </c>
      <c r="V17" s="4727">
        <f t="shared" si="10"/>
        <v>29803.632000000005</v>
      </c>
      <c r="W17" s="562">
        <f>2817.5+125</f>
        <v>2942.5</v>
      </c>
      <c r="X17" s="4727">
        <f t="shared" si="11"/>
        <v>32746.132000000005</v>
      </c>
      <c r="Y17" s="562">
        <f>4138.344+100</f>
        <v>4238.3440000000001</v>
      </c>
      <c r="Z17" s="4573">
        <f t="shared" si="12"/>
        <v>11772.407999999999</v>
      </c>
      <c r="AA17" s="3386">
        <f t="shared" si="13"/>
        <v>17984.144</v>
      </c>
      <c r="AB17" s="4727">
        <f t="shared" si="14"/>
        <v>36984.476000000002</v>
      </c>
    </row>
    <row r="18" spans="1:28" ht="15.75" x14ac:dyDescent="0.25">
      <c r="A18" s="561" t="s">
        <v>1505</v>
      </c>
      <c r="B18" s="563">
        <v>0</v>
      </c>
      <c r="C18" s="563">
        <v>0</v>
      </c>
      <c r="D18" s="4727">
        <f t="shared" si="0"/>
        <v>0</v>
      </c>
      <c r="E18" s="562">
        <v>0</v>
      </c>
      <c r="F18" s="4573">
        <f t="shared" si="1"/>
        <v>0</v>
      </c>
      <c r="G18" s="562">
        <v>0</v>
      </c>
      <c r="H18" s="4727">
        <f t="shared" si="2"/>
        <v>0</v>
      </c>
      <c r="I18" s="562">
        <f>8334-500</f>
        <v>7834</v>
      </c>
      <c r="J18" s="4727">
        <f t="shared" si="3"/>
        <v>7834</v>
      </c>
      <c r="K18" s="562">
        <v>190.94399999999999</v>
      </c>
      <c r="L18" s="4573">
        <f t="shared" si="4"/>
        <v>8024.9440000000004</v>
      </c>
      <c r="M18" s="3386">
        <f t="shared" si="5"/>
        <v>8024.9440000000004</v>
      </c>
      <c r="N18" s="563">
        <v>0</v>
      </c>
      <c r="O18" s="4727">
        <f t="shared" si="6"/>
        <v>8024.9440000000004</v>
      </c>
      <c r="P18" s="563">
        <v>291.72000000000003</v>
      </c>
      <c r="Q18" s="4727">
        <f t="shared" si="7"/>
        <v>8316.6640000000007</v>
      </c>
      <c r="R18" s="563"/>
      <c r="S18" s="4573">
        <f t="shared" si="8"/>
        <v>291.72000000000003</v>
      </c>
      <c r="T18" s="4727">
        <f t="shared" si="9"/>
        <v>8316.6640000000007</v>
      </c>
      <c r="U18" s="562"/>
      <c r="V18" s="4727">
        <f t="shared" si="10"/>
        <v>8316.6640000000007</v>
      </c>
      <c r="W18" s="562"/>
      <c r="X18" s="4727">
        <f t="shared" si="11"/>
        <v>8316.6640000000007</v>
      </c>
      <c r="Y18" s="562">
        <v>0</v>
      </c>
      <c r="Z18" s="4573">
        <f t="shared" si="12"/>
        <v>0</v>
      </c>
      <c r="AA18" s="3386">
        <f t="shared" si="13"/>
        <v>291.72000000000003</v>
      </c>
      <c r="AB18" s="4727">
        <f t="shared" si="14"/>
        <v>8316.6640000000007</v>
      </c>
    </row>
    <row r="19" spans="1:28" ht="15.75" x14ac:dyDescent="0.25">
      <c r="A19" s="561" t="s">
        <v>1434</v>
      </c>
      <c r="B19" s="563">
        <v>0</v>
      </c>
      <c r="C19" s="563">
        <v>0</v>
      </c>
      <c r="D19" s="4727">
        <f t="shared" si="0"/>
        <v>0</v>
      </c>
      <c r="E19" s="562">
        <v>0</v>
      </c>
      <c r="F19" s="4573">
        <f t="shared" si="1"/>
        <v>0</v>
      </c>
      <c r="G19" s="562">
        <v>1644.24</v>
      </c>
      <c r="H19" s="4727">
        <f t="shared" si="2"/>
        <v>1644.24</v>
      </c>
      <c r="I19" s="562">
        <v>4102</v>
      </c>
      <c r="J19" s="4727">
        <f t="shared" si="3"/>
        <v>5746.24</v>
      </c>
      <c r="K19" s="562">
        <v>0</v>
      </c>
      <c r="L19" s="4573">
        <f t="shared" si="4"/>
        <v>5746.24</v>
      </c>
      <c r="M19" s="3386">
        <f t="shared" si="5"/>
        <v>5746.24</v>
      </c>
      <c r="N19" s="563">
        <v>0</v>
      </c>
      <c r="O19" s="4727">
        <f t="shared" si="6"/>
        <v>5746.24</v>
      </c>
      <c r="P19" s="563">
        <v>0</v>
      </c>
      <c r="Q19" s="4727">
        <f t="shared" si="7"/>
        <v>5746.24</v>
      </c>
      <c r="R19" s="563"/>
      <c r="S19" s="4573">
        <f t="shared" si="8"/>
        <v>0</v>
      </c>
      <c r="T19" s="4727">
        <f t="shared" si="9"/>
        <v>5746.24</v>
      </c>
      <c r="U19" s="562"/>
      <c r="V19" s="4727">
        <f t="shared" si="10"/>
        <v>5746.24</v>
      </c>
      <c r="W19" s="562"/>
      <c r="X19" s="4727">
        <f t="shared" si="11"/>
        <v>5746.24</v>
      </c>
      <c r="Y19" s="562">
        <v>0</v>
      </c>
      <c r="Z19" s="4573">
        <f t="shared" si="12"/>
        <v>0</v>
      </c>
      <c r="AA19" s="3386">
        <f t="shared" si="13"/>
        <v>0</v>
      </c>
      <c r="AB19" s="4727">
        <f t="shared" si="14"/>
        <v>5746.24</v>
      </c>
    </row>
    <row r="20" spans="1:28" ht="16.5" thickBot="1" x14ac:dyDescent="0.3">
      <c r="A20" s="561" t="s">
        <v>1666</v>
      </c>
      <c r="B20" s="563">
        <v>113</v>
      </c>
      <c r="C20" s="563">
        <v>128</v>
      </c>
      <c r="D20" s="4727">
        <f t="shared" si="0"/>
        <v>241</v>
      </c>
      <c r="E20" s="563">
        <v>2283</v>
      </c>
      <c r="F20" s="4573">
        <f t="shared" si="1"/>
        <v>2524</v>
      </c>
      <c r="G20" s="563">
        <v>229.83600000000001</v>
      </c>
      <c r="H20" s="4727">
        <f t="shared" si="2"/>
        <v>2753.8360000000002</v>
      </c>
      <c r="I20" s="563">
        <v>128</v>
      </c>
      <c r="J20" s="4727">
        <f t="shared" si="3"/>
        <v>2881.8360000000002</v>
      </c>
      <c r="K20" s="563">
        <f>973.535999999999+100</f>
        <v>1073.5359999999991</v>
      </c>
      <c r="L20" s="4573">
        <f t="shared" si="4"/>
        <v>1431.3719999999992</v>
      </c>
      <c r="M20" s="3386">
        <f t="shared" si="5"/>
        <v>3955.3719999999994</v>
      </c>
      <c r="N20" s="563">
        <v>162</v>
      </c>
      <c r="O20" s="4727">
        <f t="shared" si="6"/>
        <v>4117.3719999999994</v>
      </c>
      <c r="P20" s="563">
        <v>973.28399999999897</v>
      </c>
      <c r="Q20" s="4727">
        <f t="shared" si="7"/>
        <v>5090.6559999999981</v>
      </c>
      <c r="R20" s="563">
        <v>80.09</v>
      </c>
      <c r="S20" s="4573">
        <f t="shared" si="8"/>
        <v>1215.3739999999989</v>
      </c>
      <c r="T20" s="4727">
        <f t="shared" si="9"/>
        <v>5170.7459999999983</v>
      </c>
      <c r="U20" s="563">
        <v>118.672</v>
      </c>
      <c r="V20" s="4727">
        <f t="shared" si="10"/>
        <v>5289.4179999999978</v>
      </c>
      <c r="W20" s="563">
        <v>116.154</v>
      </c>
      <c r="X20" s="4727">
        <f t="shared" si="11"/>
        <v>5405.5719999999983</v>
      </c>
      <c r="Y20" s="563">
        <v>40.840000000000003</v>
      </c>
      <c r="Z20" s="4573">
        <f t="shared" si="12"/>
        <v>275.666</v>
      </c>
      <c r="AA20" s="3386">
        <f t="shared" si="13"/>
        <v>1491.0399999999988</v>
      </c>
      <c r="AB20" s="4727">
        <f t="shared" si="14"/>
        <v>5446.4119999999984</v>
      </c>
    </row>
    <row r="21" spans="1:28" ht="21" thickBot="1" x14ac:dyDescent="0.3">
      <c r="A21" s="587" t="s">
        <v>776</v>
      </c>
      <c r="B21" s="588">
        <f t="shared" ref="B21:Z21" si="15">SUM(B7:B20)</f>
        <v>5521</v>
      </c>
      <c r="C21" s="588">
        <f t="shared" si="15"/>
        <v>9520</v>
      </c>
      <c r="D21" s="588">
        <f t="shared" si="15"/>
        <v>15041</v>
      </c>
      <c r="E21" s="588">
        <f t="shared" si="15"/>
        <v>25176</v>
      </c>
      <c r="F21" s="588">
        <f t="shared" si="15"/>
        <v>40217</v>
      </c>
      <c r="G21" s="588">
        <f t="shared" si="15"/>
        <v>12346.085999999999</v>
      </c>
      <c r="H21" s="588">
        <f t="shared" si="15"/>
        <v>52563.08600000001</v>
      </c>
      <c r="I21" s="588">
        <f t="shared" si="15"/>
        <v>24009</v>
      </c>
      <c r="J21" s="588">
        <f t="shared" si="15"/>
        <v>76572.08600000001</v>
      </c>
      <c r="K21" s="588">
        <f t="shared" si="15"/>
        <v>26886.326000000001</v>
      </c>
      <c r="L21" s="588">
        <f t="shared" si="15"/>
        <v>63241.411999999997</v>
      </c>
      <c r="M21" s="588">
        <f t="shared" si="15"/>
        <v>103458.41200000001</v>
      </c>
      <c r="N21" s="588">
        <f t="shared" si="15"/>
        <v>7559.1</v>
      </c>
      <c r="O21" s="588">
        <f t="shared" si="15"/>
        <v>111017.51200000002</v>
      </c>
      <c r="P21" s="588">
        <f t="shared" ref="P21:T21" si="16">SUM(P7:P20)</f>
        <v>21654.02</v>
      </c>
      <c r="Q21" s="588">
        <f t="shared" si="16"/>
        <v>132671.53200000001</v>
      </c>
      <c r="R21" s="588">
        <f t="shared" si="16"/>
        <v>15623.987999999992</v>
      </c>
      <c r="S21" s="588">
        <f t="shared" si="16"/>
        <v>44837.107999999986</v>
      </c>
      <c r="T21" s="588">
        <f t="shared" si="16"/>
        <v>148295.51999999996</v>
      </c>
      <c r="U21" s="588">
        <f t="shared" si="15"/>
        <v>24287.154000000002</v>
      </c>
      <c r="V21" s="588">
        <f t="shared" si="15"/>
        <v>172582.67399999997</v>
      </c>
      <c r="W21" s="588">
        <f t="shared" ref="W21:X21" si="17">SUM(W7:W20)</f>
        <v>17149.137999999999</v>
      </c>
      <c r="X21" s="588">
        <f t="shared" si="17"/>
        <v>189731.81199999995</v>
      </c>
      <c r="Y21" s="588">
        <f>SUM(Y7:Y20)</f>
        <v>17335.082000000002</v>
      </c>
      <c r="Z21" s="588">
        <f t="shared" si="15"/>
        <v>58771.373999999996</v>
      </c>
      <c r="AA21" s="588">
        <f>SUM(AA7:AA20)</f>
        <v>103608.48199999999</v>
      </c>
      <c r="AB21" s="588">
        <f t="shared" si="14"/>
        <v>207066.89399999994</v>
      </c>
    </row>
    <row r="22" spans="1:28" ht="20.25" hidden="1" x14ac:dyDescent="0.25">
      <c r="A22" s="4708"/>
      <c r="B22" s="4709">
        <f>+B24-B21</f>
        <v>0.18000000000029104</v>
      </c>
      <c r="C22" s="4709">
        <f t="shared" ref="C22:AB22" si="18">+C24-C21</f>
        <v>-0.33332999999947788</v>
      </c>
      <c r="D22" s="4709"/>
      <c r="E22" s="4709">
        <f t="shared" si="18"/>
        <v>0</v>
      </c>
      <c r="F22" s="4709"/>
      <c r="G22" s="4709">
        <f t="shared" si="18"/>
        <v>-8.5999999999330612E-2</v>
      </c>
      <c r="H22" s="4709"/>
      <c r="I22" s="4709">
        <f t="shared" si="18"/>
        <v>9.9999999983992893E-3</v>
      </c>
      <c r="J22" s="4709"/>
      <c r="K22" s="4709">
        <f t="shared" si="18"/>
        <v>0.22399999999834108</v>
      </c>
      <c r="L22" s="4709"/>
      <c r="M22" s="4709"/>
      <c r="N22" s="4709">
        <f t="shared" si="18"/>
        <v>-0.24000000000069122</v>
      </c>
      <c r="O22" s="4709"/>
      <c r="P22" s="4709">
        <f t="shared" si="18"/>
        <v>-0.11999999999898137</v>
      </c>
      <c r="Q22" s="4709"/>
      <c r="R22" s="4709">
        <f t="shared" si="18"/>
        <v>0.12200000000848377</v>
      </c>
      <c r="S22" s="4709"/>
      <c r="T22" s="4709"/>
      <c r="U22" s="4709">
        <f t="shared" si="18"/>
        <v>0.45599999999831198</v>
      </c>
      <c r="V22" s="4709"/>
      <c r="W22" s="4709">
        <f t="shared" si="18"/>
        <v>-1.8000000000029104E-2</v>
      </c>
      <c r="X22" s="4709"/>
      <c r="Y22" s="4709">
        <f t="shared" si="18"/>
        <v>-8.2000000002153683E-2</v>
      </c>
      <c r="Z22" s="4709"/>
      <c r="AA22" s="4709"/>
      <c r="AB22" s="4709">
        <f t="shared" si="18"/>
        <v>0.11267000003135763</v>
      </c>
    </row>
    <row r="23" spans="1:28" s="657" customFormat="1" ht="21" thickBot="1" x14ac:dyDescent="0.3">
      <c r="A23" s="4721"/>
      <c r="B23" s="4722"/>
      <c r="C23" s="4722"/>
      <c r="D23" s="4722"/>
      <c r="E23" s="4722"/>
      <c r="F23" s="4723"/>
      <c r="G23" s="4722"/>
      <c r="H23" s="4722"/>
      <c r="I23" s="4722"/>
      <c r="J23" s="4722"/>
      <c r="K23" s="4722"/>
      <c r="L23" s="4723"/>
      <c r="M23" s="4722"/>
      <c r="N23" s="4722"/>
      <c r="O23" s="4722"/>
      <c r="P23" s="4722"/>
      <c r="Q23" s="4722"/>
      <c r="R23" s="4722"/>
      <c r="S23" s="4723"/>
      <c r="T23" s="4722"/>
      <c r="U23" s="4722"/>
      <c r="V23" s="4722"/>
      <c r="W23" s="4722"/>
      <c r="X23" s="4722"/>
      <c r="Y23" s="4722"/>
      <c r="Z23" s="4723"/>
      <c r="AA23" s="4722"/>
      <c r="AB23" s="4722"/>
    </row>
    <row r="24" spans="1:28" ht="35.25" hidden="1" customHeight="1" thickBot="1" x14ac:dyDescent="0.3">
      <c r="A24" s="585"/>
      <c r="B24" s="623">
        <v>5521.18</v>
      </c>
      <c r="C24" s="623">
        <v>9519.6666700000005</v>
      </c>
      <c r="D24" s="4675"/>
      <c r="E24" s="589">
        <v>25176</v>
      </c>
      <c r="F24" s="624"/>
      <c r="G24" s="623">
        <v>12346</v>
      </c>
      <c r="H24" s="4675"/>
      <c r="I24" s="623">
        <v>24009.01</v>
      </c>
      <c r="J24" s="4675"/>
      <c r="K24" s="623">
        <v>26886.55</v>
      </c>
      <c r="L24" s="624"/>
      <c r="M24" s="4675"/>
      <c r="N24" s="623">
        <v>7558.86</v>
      </c>
      <c r="O24" s="4675"/>
      <c r="P24" s="623">
        <v>21653.9</v>
      </c>
      <c r="Q24" s="4675"/>
      <c r="R24" s="623">
        <v>15624.11</v>
      </c>
      <c r="S24" s="624"/>
      <c r="T24" s="4675"/>
      <c r="U24" s="623">
        <v>24287.61</v>
      </c>
      <c r="V24" s="4675"/>
      <c r="W24" s="623">
        <v>17149.12</v>
      </c>
      <c r="X24" s="4675"/>
      <c r="Y24" s="623">
        <v>17335</v>
      </c>
      <c r="Z24" s="624"/>
      <c r="AA24" s="4675"/>
      <c r="AB24" s="4675">
        <f>SUM(B24:AA24)</f>
        <v>207067.00666999997</v>
      </c>
    </row>
    <row r="25" spans="1:28" ht="21" thickBot="1" x14ac:dyDescent="0.3">
      <c r="A25" s="4736" t="s">
        <v>1601</v>
      </c>
      <c r="B25" s="4737"/>
      <c r="C25" s="4737"/>
      <c r="D25" s="4738"/>
      <c r="E25" s="4739"/>
      <c r="F25" s="4740"/>
      <c r="G25" s="4737"/>
      <c r="H25" s="4738"/>
      <c r="I25" s="4737"/>
      <c r="J25" s="4738"/>
      <c r="K25" s="4737"/>
      <c r="L25" s="4740"/>
      <c r="M25" s="4738"/>
      <c r="N25" s="4737"/>
      <c r="O25" s="4738"/>
      <c r="P25" s="4737"/>
      <c r="Q25" s="4738"/>
      <c r="R25" s="4737"/>
      <c r="S25" s="4740"/>
      <c r="T25" s="4738"/>
      <c r="U25" s="4737"/>
      <c r="V25" s="4738"/>
      <c r="W25" s="4737"/>
      <c r="X25" s="4738"/>
      <c r="Y25" s="4737"/>
      <c r="Z25" s="4740"/>
      <c r="AA25" s="4738"/>
      <c r="AB25" s="4738"/>
    </row>
    <row r="26" spans="1:28" ht="15.75" x14ac:dyDescent="0.25">
      <c r="A26" s="560" t="s">
        <v>1600</v>
      </c>
      <c r="B26" s="4681"/>
      <c r="C26" s="4681"/>
      <c r="D26" s="656">
        <f t="shared" ref="D26:D29" si="19">+B26+C26</f>
        <v>0</v>
      </c>
      <c r="E26" s="4681"/>
      <c r="F26" s="4724">
        <f t="shared" ref="F26:F29" si="20">+B26+C26+E26</f>
        <v>0</v>
      </c>
      <c r="G26" s="4681"/>
      <c r="H26" s="656">
        <f t="shared" ref="H26:H29" si="21">+B26+C26+E26+G26</f>
        <v>0</v>
      </c>
      <c r="I26" s="4681"/>
      <c r="J26" s="656">
        <f t="shared" ref="J26:J29" si="22">+H26+I26</f>
        <v>0</v>
      </c>
      <c r="K26" s="4681">
        <v>545.45900000000006</v>
      </c>
      <c r="L26" s="4724">
        <f t="shared" ref="L26" si="23">+G26+I26+K26</f>
        <v>545.45900000000006</v>
      </c>
      <c r="M26" s="4725">
        <f t="shared" ref="M26" si="24">+F26+L26</f>
        <v>545.45900000000006</v>
      </c>
      <c r="N26" s="4681">
        <v>2771.1509999999998</v>
      </c>
      <c r="O26" s="656">
        <f t="shared" ref="O26:O29" si="25">SUM(M26:N26)</f>
        <v>3316.6099999999997</v>
      </c>
      <c r="P26" s="4681">
        <f>3771.616+100+1</f>
        <v>3872.616</v>
      </c>
      <c r="Q26" s="656">
        <f t="shared" ref="Q26:Q29" si="26">SUM(O26:P26)</f>
        <v>7189.2259999999997</v>
      </c>
      <c r="R26" s="4681"/>
      <c r="S26" s="4724">
        <f t="shared" ref="S26:S29" si="27">+N26+P26+R26</f>
        <v>6643.7669999999998</v>
      </c>
      <c r="T26" s="656">
        <f t="shared" ref="T26:T29" si="28">+Q26+R26</f>
        <v>7189.2259999999997</v>
      </c>
      <c r="U26" s="4681">
        <v>5945.1600000000008</v>
      </c>
      <c r="V26" s="656">
        <f t="shared" ref="V26:V29" si="29">+T26+U26</f>
        <v>13134.386</v>
      </c>
      <c r="W26" s="4681">
        <v>1721.954</v>
      </c>
      <c r="X26" s="656">
        <f t="shared" ref="X26:X29" si="30">SUM(V26:W26)</f>
        <v>14856.34</v>
      </c>
      <c r="Y26" s="4681">
        <v>0</v>
      </c>
      <c r="Z26" s="4724">
        <f t="shared" ref="Z26:Z30" si="31">+U26+W26+Y26</f>
        <v>7667.1140000000005</v>
      </c>
      <c r="AA26" s="4725">
        <f t="shared" ref="AA26:AA30" si="32">+Z26+S26</f>
        <v>14310.881000000001</v>
      </c>
      <c r="AB26" s="656">
        <f t="shared" ref="AB26:AB30" si="33">+X26+Y26</f>
        <v>14856.34</v>
      </c>
    </row>
    <row r="27" spans="1:28" ht="15.75" x14ac:dyDescent="0.25">
      <c r="A27" s="560" t="s">
        <v>1686</v>
      </c>
      <c r="B27" s="868"/>
      <c r="C27" s="868"/>
      <c r="D27" s="656">
        <f t="shared" si="19"/>
        <v>0</v>
      </c>
      <c r="E27" s="868"/>
      <c r="F27" s="4724">
        <f t="shared" si="20"/>
        <v>0</v>
      </c>
      <c r="G27" s="868"/>
      <c r="H27" s="656">
        <f t="shared" si="21"/>
        <v>0</v>
      </c>
      <c r="I27" s="868"/>
      <c r="J27" s="656">
        <f t="shared" si="22"/>
        <v>0</v>
      </c>
      <c r="K27" s="868"/>
      <c r="L27" s="4724">
        <f t="shared" ref="L27:L29" si="34">+G27+I27+K27</f>
        <v>0</v>
      </c>
      <c r="M27" s="4725">
        <f t="shared" ref="M27:M29" si="35">+F27+L27</f>
        <v>0</v>
      </c>
      <c r="N27" s="562"/>
      <c r="O27" s="656">
        <f t="shared" si="25"/>
        <v>0</v>
      </c>
      <c r="P27" s="562">
        <v>306.99200000000002</v>
      </c>
      <c r="Q27" s="656">
        <f t="shared" si="26"/>
        <v>306.99200000000002</v>
      </c>
      <c r="R27" s="562"/>
      <c r="S27" s="4724">
        <f t="shared" si="27"/>
        <v>306.99200000000002</v>
      </c>
      <c r="T27" s="656">
        <f t="shared" si="28"/>
        <v>306.99200000000002</v>
      </c>
      <c r="U27" s="868">
        <v>0</v>
      </c>
      <c r="V27" s="656">
        <f t="shared" si="29"/>
        <v>306.99200000000002</v>
      </c>
      <c r="W27" s="563"/>
      <c r="X27" s="656">
        <f t="shared" si="30"/>
        <v>306.99200000000002</v>
      </c>
      <c r="Y27" s="563">
        <v>0</v>
      </c>
      <c r="Z27" s="4724">
        <f t="shared" si="31"/>
        <v>0</v>
      </c>
      <c r="AA27" s="3386">
        <f t="shared" si="32"/>
        <v>306.99200000000002</v>
      </c>
      <c r="AB27" s="656">
        <f t="shared" si="33"/>
        <v>306.99200000000002</v>
      </c>
    </row>
    <row r="28" spans="1:28" ht="15.75" x14ac:dyDescent="0.25">
      <c r="A28" s="560" t="s">
        <v>1687</v>
      </c>
      <c r="B28" s="868"/>
      <c r="C28" s="868"/>
      <c r="D28" s="656">
        <f t="shared" si="19"/>
        <v>0</v>
      </c>
      <c r="E28" s="868"/>
      <c r="F28" s="4724">
        <f t="shared" si="20"/>
        <v>0</v>
      </c>
      <c r="G28" s="868"/>
      <c r="H28" s="656">
        <f t="shared" si="21"/>
        <v>0</v>
      </c>
      <c r="I28" s="868"/>
      <c r="J28" s="656">
        <f t="shared" si="22"/>
        <v>0</v>
      </c>
      <c r="K28" s="868"/>
      <c r="L28" s="4724">
        <f t="shared" si="34"/>
        <v>0</v>
      </c>
      <c r="M28" s="4725">
        <f t="shared" si="35"/>
        <v>0</v>
      </c>
      <c r="N28" s="562"/>
      <c r="O28" s="656">
        <f t="shared" si="25"/>
        <v>0</v>
      </c>
      <c r="P28" s="562">
        <v>774.89999999999986</v>
      </c>
      <c r="Q28" s="656">
        <f t="shared" si="26"/>
        <v>774.89999999999986</v>
      </c>
      <c r="R28" s="562"/>
      <c r="S28" s="4724">
        <f t="shared" si="27"/>
        <v>774.89999999999986</v>
      </c>
      <c r="T28" s="656">
        <f t="shared" si="28"/>
        <v>774.89999999999986</v>
      </c>
      <c r="U28" s="868">
        <v>0</v>
      </c>
      <c r="V28" s="656">
        <f t="shared" si="29"/>
        <v>774.89999999999986</v>
      </c>
      <c r="W28" s="563">
        <v>706.05</v>
      </c>
      <c r="X28" s="656">
        <f t="shared" si="30"/>
        <v>1480.9499999999998</v>
      </c>
      <c r="Y28" s="563">
        <v>0</v>
      </c>
      <c r="Z28" s="4724">
        <f t="shared" si="31"/>
        <v>706.05</v>
      </c>
      <c r="AA28" s="3386">
        <f t="shared" si="32"/>
        <v>1480.9499999999998</v>
      </c>
      <c r="AB28" s="656">
        <f t="shared" si="33"/>
        <v>1480.9499999999998</v>
      </c>
    </row>
    <row r="29" spans="1:28" ht="16.5" thickBot="1" x14ac:dyDescent="0.3">
      <c r="A29" s="561" t="s">
        <v>1666</v>
      </c>
      <c r="B29" s="868"/>
      <c r="C29" s="868"/>
      <c r="D29" s="656">
        <f t="shared" si="19"/>
        <v>0</v>
      </c>
      <c r="E29" s="868"/>
      <c r="F29" s="4724">
        <f t="shared" si="20"/>
        <v>0</v>
      </c>
      <c r="G29" s="868"/>
      <c r="H29" s="656">
        <f t="shared" si="21"/>
        <v>0</v>
      </c>
      <c r="I29" s="868"/>
      <c r="J29" s="656">
        <f t="shared" si="22"/>
        <v>0</v>
      </c>
      <c r="K29" s="868">
        <v>10.964</v>
      </c>
      <c r="L29" s="4724">
        <f t="shared" si="34"/>
        <v>10.964</v>
      </c>
      <c r="M29" s="4725">
        <f t="shared" si="35"/>
        <v>10.964</v>
      </c>
      <c r="N29" s="562">
        <v>16.446000000000002</v>
      </c>
      <c r="O29" s="656">
        <f t="shared" si="25"/>
        <v>27.410000000000004</v>
      </c>
      <c r="P29" s="562">
        <v>0</v>
      </c>
      <c r="Q29" s="656">
        <f t="shared" si="26"/>
        <v>27.410000000000004</v>
      </c>
      <c r="R29" s="562"/>
      <c r="S29" s="4724">
        <f t="shared" si="27"/>
        <v>16.446000000000002</v>
      </c>
      <c r="T29" s="656">
        <f t="shared" si="28"/>
        <v>27.410000000000004</v>
      </c>
      <c r="U29" s="868">
        <v>0</v>
      </c>
      <c r="V29" s="656">
        <f t="shared" si="29"/>
        <v>27.410000000000004</v>
      </c>
      <c r="W29" s="563"/>
      <c r="X29" s="656">
        <f t="shared" si="30"/>
        <v>27.410000000000004</v>
      </c>
      <c r="Y29" s="563">
        <v>0</v>
      </c>
      <c r="Z29" s="4724">
        <f t="shared" si="31"/>
        <v>0</v>
      </c>
      <c r="AA29" s="3386">
        <f t="shared" si="32"/>
        <v>16.446000000000002</v>
      </c>
      <c r="AB29" s="656">
        <f t="shared" si="33"/>
        <v>27.410000000000004</v>
      </c>
    </row>
    <row r="30" spans="1:28" ht="21" thickBot="1" x14ac:dyDescent="0.3">
      <c r="A30" s="587" t="s">
        <v>1602</v>
      </c>
      <c r="B30" s="588">
        <f t="shared" ref="B30:Q30" si="36">SUM(B26:B29)</f>
        <v>0</v>
      </c>
      <c r="C30" s="588">
        <f t="shared" si="36"/>
        <v>0</v>
      </c>
      <c r="D30" s="588">
        <f t="shared" si="36"/>
        <v>0</v>
      </c>
      <c r="E30" s="588">
        <f t="shared" si="36"/>
        <v>0</v>
      </c>
      <c r="F30" s="588">
        <f t="shared" si="36"/>
        <v>0</v>
      </c>
      <c r="G30" s="588">
        <f t="shared" si="36"/>
        <v>0</v>
      </c>
      <c r="H30" s="588">
        <f t="shared" si="36"/>
        <v>0</v>
      </c>
      <c r="I30" s="588">
        <f t="shared" si="36"/>
        <v>0</v>
      </c>
      <c r="J30" s="588">
        <f t="shared" si="36"/>
        <v>0</v>
      </c>
      <c r="K30" s="588">
        <f t="shared" si="36"/>
        <v>556.42300000000012</v>
      </c>
      <c r="L30" s="588">
        <f t="shared" si="36"/>
        <v>556.42300000000012</v>
      </c>
      <c r="M30" s="588">
        <f t="shared" si="36"/>
        <v>556.42300000000012</v>
      </c>
      <c r="N30" s="3345">
        <f t="shared" si="36"/>
        <v>2787.5969999999998</v>
      </c>
      <c r="O30" s="588">
        <f t="shared" si="36"/>
        <v>3344.0199999999995</v>
      </c>
      <c r="P30" s="3345">
        <f t="shared" si="36"/>
        <v>4954.5079999999998</v>
      </c>
      <c r="Q30" s="588">
        <f t="shared" si="36"/>
        <v>8298.5280000000002</v>
      </c>
      <c r="R30" s="3345">
        <f t="shared" ref="R30:T30" si="37">SUM(R26:R29)</f>
        <v>0</v>
      </c>
      <c r="S30" s="588">
        <f t="shared" si="37"/>
        <v>7742.1049999999996</v>
      </c>
      <c r="T30" s="588">
        <f t="shared" si="37"/>
        <v>8298.5280000000002</v>
      </c>
      <c r="U30" s="588">
        <f>SUM(U26:U29)</f>
        <v>5945.1600000000008</v>
      </c>
      <c r="V30" s="588">
        <f>SUM(V26:V29)</f>
        <v>14243.688</v>
      </c>
      <c r="W30" s="588">
        <f>SUM(W26:W29)</f>
        <v>2428.0039999999999</v>
      </c>
      <c r="X30" s="588">
        <f t="shared" ref="X30" si="38">SUM(X26:X29)</f>
        <v>16671.691999999999</v>
      </c>
      <c r="Y30" s="588">
        <v>0</v>
      </c>
      <c r="Z30" s="588">
        <f t="shared" si="31"/>
        <v>8373.1640000000007</v>
      </c>
      <c r="AA30" s="588">
        <f t="shared" si="32"/>
        <v>16115.269</v>
      </c>
      <c r="AB30" s="588">
        <f t="shared" si="33"/>
        <v>16671.691999999999</v>
      </c>
    </row>
    <row r="31" spans="1:28" ht="10.5" customHeight="1" thickBot="1" x14ac:dyDescent="0.3">
      <c r="A31" s="585"/>
      <c r="B31" s="623"/>
      <c r="C31" s="623"/>
      <c r="D31" s="1969"/>
      <c r="E31" s="589"/>
      <c r="F31" s="624"/>
      <c r="G31" s="623"/>
      <c r="H31" s="1969"/>
      <c r="I31" s="623"/>
      <c r="J31" s="1969"/>
      <c r="K31" s="623"/>
      <c r="L31" s="624"/>
      <c r="M31" s="1969"/>
      <c r="N31" s="623"/>
      <c r="O31" s="1969"/>
      <c r="P31" s="623"/>
      <c r="Q31" s="1969"/>
      <c r="R31" s="623"/>
      <c r="S31" s="624"/>
      <c r="T31" s="1969"/>
      <c r="U31" s="623"/>
      <c r="V31" s="1969"/>
      <c r="W31" s="623"/>
      <c r="X31" s="1969"/>
      <c r="Y31" s="623"/>
      <c r="Z31" s="624"/>
      <c r="AA31" s="1969"/>
      <c r="AB31" s="1969"/>
    </row>
    <row r="32" spans="1:28" ht="21" thickBot="1" x14ac:dyDescent="0.3">
      <c r="A32" s="4736" t="s">
        <v>763</v>
      </c>
      <c r="B32" s="4737"/>
      <c r="C32" s="4739"/>
      <c r="D32" s="4740"/>
      <c r="E32" s="4739"/>
      <c r="F32" s="4740"/>
      <c r="G32" s="4739"/>
      <c r="H32" s="4740"/>
      <c r="I32" s="4739"/>
      <c r="J32" s="4740"/>
      <c r="K32" s="4739"/>
      <c r="L32" s="4740"/>
      <c r="M32" s="4740"/>
      <c r="N32" s="4739"/>
      <c r="O32" s="4740"/>
      <c r="P32" s="4739"/>
      <c r="Q32" s="4740"/>
      <c r="R32" s="4739"/>
      <c r="S32" s="4740"/>
      <c r="T32" s="4740"/>
      <c r="U32" s="4739"/>
      <c r="V32" s="4740"/>
      <c r="W32" s="4739"/>
      <c r="X32" s="4740"/>
      <c r="Y32" s="4739"/>
      <c r="Z32" s="4740"/>
      <c r="AA32" s="4740"/>
      <c r="AB32" s="4740"/>
    </row>
    <row r="33" spans="1:28" ht="15.75" x14ac:dyDescent="0.25">
      <c r="A33" s="560" t="s">
        <v>758</v>
      </c>
      <c r="B33" s="4681">
        <v>166</v>
      </c>
      <c r="C33" s="4681">
        <v>0</v>
      </c>
      <c r="D33" s="4685">
        <f t="shared" ref="D33:D57" si="39">+B33+C33</f>
        <v>166</v>
      </c>
      <c r="E33" s="4681">
        <v>0</v>
      </c>
      <c r="F33" s="4724">
        <f t="shared" ref="F33:F45" si="40">+B33+C33+E33</f>
        <v>166</v>
      </c>
      <c r="G33" s="4681">
        <v>302.36700000000002</v>
      </c>
      <c r="H33" s="4685">
        <f t="shared" ref="H33:H45" si="41">+B33+C33+E33+G33</f>
        <v>468.36700000000002</v>
      </c>
      <c r="I33" s="4681">
        <v>515</v>
      </c>
      <c r="J33" s="4685">
        <f>+H33+I33</f>
        <v>983.36699999999996</v>
      </c>
      <c r="K33" s="4681">
        <v>0</v>
      </c>
      <c r="L33" s="4724">
        <f t="shared" ref="L33" si="42">+G33+I33+K33</f>
        <v>817.36699999999996</v>
      </c>
      <c r="M33" s="4725">
        <f t="shared" ref="M33" si="43">+F33+L33</f>
        <v>983.36699999999996</v>
      </c>
      <c r="N33" s="4681">
        <v>162.792</v>
      </c>
      <c r="O33" s="4685">
        <f t="shared" ref="O33:O45" si="44">SUM(M33:N33)</f>
        <v>1146.1589999999999</v>
      </c>
      <c r="P33" s="4681">
        <v>0</v>
      </c>
      <c r="Q33" s="4685">
        <f t="shared" ref="Q33:Q45" si="45">SUM(O33:P33)</f>
        <v>1146.1589999999999</v>
      </c>
      <c r="R33" s="4681">
        <v>140.73599999999999</v>
      </c>
      <c r="S33" s="4724">
        <f t="shared" ref="S33" si="46">+N33+P33+R33</f>
        <v>303.52800000000002</v>
      </c>
      <c r="T33" s="4685">
        <f t="shared" ref="T33" si="47">+Q33+R33</f>
        <v>1286.895</v>
      </c>
      <c r="U33" s="4681">
        <v>251.92000000000002</v>
      </c>
      <c r="V33" s="4685">
        <f t="shared" ref="V33:V45" si="48">+T33+U33</f>
        <v>1538.8150000000001</v>
      </c>
      <c r="W33" s="4681">
        <v>0</v>
      </c>
      <c r="X33" s="4685">
        <f t="shared" ref="X33:X45" si="49">SUM(V33:W33)</f>
        <v>1538.8150000000001</v>
      </c>
      <c r="Y33" s="4681">
        <v>0</v>
      </c>
      <c r="Z33" s="4724">
        <f t="shared" ref="Z33:Z46" si="50">+U33+W33+Y33</f>
        <v>251.92000000000002</v>
      </c>
      <c r="AA33" s="4725">
        <f t="shared" ref="AA33:AA46" si="51">+Z33+S33</f>
        <v>555.44800000000009</v>
      </c>
      <c r="AB33" s="4685">
        <f t="shared" ref="AB33:AB46" si="52">+X33+Y33</f>
        <v>1538.8150000000001</v>
      </c>
    </row>
    <row r="34" spans="1:28" ht="15.75" x14ac:dyDescent="0.25">
      <c r="A34" s="560" t="s">
        <v>1656</v>
      </c>
      <c r="B34" s="563"/>
      <c r="C34" s="563"/>
      <c r="D34" s="4685">
        <f t="shared" si="39"/>
        <v>0</v>
      </c>
      <c r="E34" s="563"/>
      <c r="F34" s="4724">
        <f t="shared" si="40"/>
        <v>0</v>
      </c>
      <c r="G34" s="563"/>
      <c r="H34" s="4685">
        <f t="shared" si="41"/>
        <v>0</v>
      </c>
      <c r="I34" s="563"/>
      <c r="J34" s="4685">
        <f t="shared" ref="J34:J45" si="53">+H34+I34</f>
        <v>0</v>
      </c>
      <c r="K34" s="563"/>
      <c r="L34" s="4724">
        <f t="shared" ref="L34:L45" si="54">+G34+I34+K34</f>
        <v>0</v>
      </c>
      <c r="M34" s="4725">
        <f t="shared" ref="M34:M45" si="55">+F34+L34</f>
        <v>0</v>
      </c>
      <c r="N34" s="563">
        <v>183.8</v>
      </c>
      <c r="O34" s="4685">
        <f t="shared" si="44"/>
        <v>183.8</v>
      </c>
      <c r="P34" s="563">
        <v>0</v>
      </c>
      <c r="Q34" s="4685">
        <f t="shared" si="45"/>
        <v>183.8</v>
      </c>
      <c r="R34" s="563"/>
      <c r="S34" s="4724">
        <f t="shared" ref="S34:S45" si="56">+N34+P34+R34</f>
        <v>183.8</v>
      </c>
      <c r="T34" s="4685">
        <f t="shared" ref="T34:T45" si="57">+Q34+R34</f>
        <v>183.8</v>
      </c>
      <c r="U34" s="563"/>
      <c r="V34" s="4685">
        <f t="shared" si="48"/>
        <v>183.8</v>
      </c>
      <c r="W34" s="563">
        <v>0</v>
      </c>
      <c r="X34" s="4685">
        <f t="shared" si="49"/>
        <v>183.8</v>
      </c>
      <c r="Y34" s="563">
        <v>0</v>
      </c>
      <c r="Z34" s="4724">
        <f t="shared" si="50"/>
        <v>0</v>
      </c>
      <c r="AA34" s="3386">
        <f t="shared" si="51"/>
        <v>183.8</v>
      </c>
      <c r="AB34" s="4685">
        <f t="shared" si="52"/>
        <v>183.8</v>
      </c>
    </row>
    <row r="35" spans="1:28" ht="15.75" x14ac:dyDescent="0.25">
      <c r="A35" s="561" t="s">
        <v>760</v>
      </c>
      <c r="B35" s="563">
        <f>2586+100-0.33</f>
        <v>2685.67</v>
      </c>
      <c r="C35" s="563">
        <v>0</v>
      </c>
      <c r="D35" s="4685">
        <f t="shared" si="39"/>
        <v>2685.67</v>
      </c>
      <c r="E35" s="563">
        <f>14185+1000</f>
        <v>15185</v>
      </c>
      <c r="F35" s="4724">
        <f t="shared" si="40"/>
        <v>17870.669999999998</v>
      </c>
      <c r="G35" s="563">
        <f>11821.508+292.82</f>
        <v>12114.328</v>
      </c>
      <c r="H35" s="4685">
        <f t="shared" si="41"/>
        <v>29984.998</v>
      </c>
      <c r="I35" s="563">
        <f>11274+1000</f>
        <v>12274</v>
      </c>
      <c r="J35" s="4685">
        <f t="shared" si="53"/>
        <v>42258.998</v>
      </c>
      <c r="K35" s="563">
        <v>286.86099999999999</v>
      </c>
      <c r="L35" s="4724">
        <f t="shared" si="54"/>
        <v>24675.189000000002</v>
      </c>
      <c r="M35" s="4725">
        <f t="shared" si="55"/>
        <v>42545.858999999997</v>
      </c>
      <c r="N35" s="563">
        <f>11103.677+300</f>
        <v>11403.677</v>
      </c>
      <c r="O35" s="4685">
        <f t="shared" si="44"/>
        <v>53949.535999999993</v>
      </c>
      <c r="P35" s="563">
        <v>2726.884</v>
      </c>
      <c r="Q35" s="4685">
        <f t="shared" si="45"/>
        <v>56676.419999999991</v>
      </c>
      <c r="R35" s="563">
        <v>4758.5819999999985</v>
      </c>
      <c r="S35" s="4724">
        <f t="shared" si="56"/>
        <v>18889.142999999996</v>
      </c>
      <c r="T35" s="4685">
        <f t="shared" si="57"/>
        <v>61435.001999999993</v>
      </c>
      <c r="U35" s="563">
        <f>5322.038+100</f>
        <v>5422.0379999999996</v>
      </c>
      <c r="V35" s="4685">
        <f t="shared" si="48"/>
        <v>66857.039999999994</v>
      </c>
      <c r="W35" s="563">
        <f>2429.736+100</f>
        <v>2529.7359999999999</v>
      </c>
      <c r="X35" s="4685">
        <f t="shared" si="49"/>
        <v>69386.775999999998</v>
      </c>
      <c r="Y35" s="563">
        <v>3663.5849999999987</v>
      </c>
      <c r="Z35" s="4724">
        <f t="shared" si="50"/>
        <v>11615.358999999999</v>
      </c>
      <c r="AA35" s="3386">
        <f t="shared" si="51"/>
        <v>30504.501999999993</v>
      </c>
      <c r="AB35" s="4685">
        <f t="shared" si="52"/>
        <v>73050.36099999999</v>
      </c>
    </row>
    <row r="36" spans="1:28" ht="15.75" x14ac:dyDescent="0.25">
      <c r="A36" s="561" t="s">
        <v>1506</v>
      </c>
      <c r="B36" s="563">
        <v>0</v>
      </c>
      <c r="C36" s="563">
        <v>0</v>
      </c>
      <c r="D36" s="4685">
        <f t="shared" si="39"/>
        <v>0</v>
      </c>
      <c r="E36" s="563">
        <v>0</v>
      </c>
      <c r="F36" s="4724">
        <f t="shared" si="40"/>
        <v>0</v>
      </c>
      <c r="G36" s="563">
        <v>0</v>
      </c>
      <c r="H36" s="4685">
        <f t="shared" si="41"/>
        <v>0</v>
      </c>
      <c r="I36" s="563">
        <v>97</v>
      </c>
      <c r="J36" s="4685">
        <f t="shared" si="53"/>
        <v>97</v>
      </c>
      <c r="K36" s="563">
        <v>0</v>
      </c>
      <c r="L36" s="4724">
        <f t="shared" si="54"/>
        <v>97</v>
      </c>
      <c r="M36" s="4725">
        <f t="shared" si="55"/>
        <v>97</v>
      </c>
      <c r="N36" s="563">
        <v>303.83</v>
      </c>
      <c r="O36" s="4685">
        <f t="shared" si="44"/>
        <v>400.83</v>
      </c>
      <c r="P36" s="563">
        <v>0</v>
      </c>
      <c r="Q36" s="4685">
        <f t="shared" si="45"/>
        <v>400.83</v>
      </c>
      <c r="R36" s="563"/>
      <c r="S36" s="4724">
        <f t="shared" si="56"/>
        <v>303.83</v>
      </c>
      <c r="T36" s="4685">
        <f t="shared" si="57"/>
        <v>400.83</v>
      </c>
      <c r="U36" s="563"/>
      <c r="V36" s="4685">
        <f t="shared" si="48"/>
        <v>400.83</v>
      </c>
      <c r="W36" s="563">
        <v>0</v>
      </c>
      <c r="X36" s="4685">
        <f t="shared" si="49"/>
        <v>400.83</v>
      </c>
      <c r="Y36" s="563">
        <v>0</v>
      </c>
      <c r="Z36" s="4724">
        <f t="shared" si="50"/>
        <v>0</v>
      </c>
      <c r="AA36" s="3386">
        <f t="shared" si="51"/>
        <v>303.83</v>
      </c>
      <c r="AB36" s="4685">
        <f t="shared" si="52"/>
        <v>400.83</v>
      </c>
    </row>
    <row r="37" spans="1:28" ht="15.75" x14ac:dyDescent="0.25">
      <c r="A37" s="561" t="s">
        <v>1657</v>
      </c>
      <c r="B37" s="563"/>
      <c r="C37" s="563"/>
      <c r="D37" s="4685">
        <f t="shared" si="39"/>
        <v>0</v>
      </c>
      <c r="E37" s="563"/>
      <c r="F37" s="4724">
        <f t="shared" si="40"/>
        <v>0</v>
      </c>
      <c r="G37" s="563"/>
      <c r="H37" s="4685">
        <f t="shared" si="41"/>
        <v>0</v>
      </c>
      <c r="I37" s="563"/>
      <c r="J37" s="4685">
        <f t="shared" si="53"/>
        <v>0</v>
      </c>
      <c r="K37" s="563"/>
      <c r="L37" s="4724">
        <f t="shared" si="54"/>
        <v>0</v>
      </c>
      <c r="M37" s="4725">
        <f t="shared" si="55"/>
        <v>0</v>
      </c>
      <c r="N37" s="563">
        <v>148.61600000000001</v>
      </c>
      <c r="O37" s="4685">
        <f t="shared" si="44"/>
        <v>148.61600000000001</v>
      </c>
      <c r="P37" s="563">
        <v>0</v>
      </c>
      <c r="Q37" s="4685">
        <f t="shared" si="45"/>
        <v>148.61600000000001</v>
      </c>
      <c r="R37" s="563"/>
      <c r="S37" s="4724">
        <f t="shared" si="56"/>
        <v>148.61600000000001</v>
      </c>
      <c r="T37" s="4685">
        <f t="shared" si="57"/>
        <v>148.61600000000001</v>
      </c>
      <c r="U37" s="563"/>
      <c r="V37" s="4685">
        <f t="shared" si="48"/>
        <v>148.61600000000001</v>
      </c>
      <c r="W37" s="563">
        <v>0</v>
      </c>
      <c r="X37" s="4685">
        <f t="shared" si="49"/>
        <v>148.61600000000001</v>
      </c>
      <c r="Y37" s="563">
        <v>0</v>
      </c>
      <c r="Z37" s="4724">
        <f t="shared" si="50"/>
        <v>0</v>
      </c>
      <c r="AA37" s="3386">
        <f t="shared" si="51"/>
        <v>148.61600000000001</v>
      </c>
      <c r="AB37" s="4685">
        <f t="shared" si="52"/>
        <v>148.61600000000001</v>
      </c>
    </row>
    <row r="38" spans="1:28" ht="15.75" x14ac:dyDescent="0.25">
      <c r="A38" s="561" t="s">
        <v>756</v>
      </c>
      <c r="B38" s="563">
        <f>3690+250</f>
        <v>3940</v>
      </c>
      <c r="C38" s="563">
        <v>0</v>
      </c>
      <c r="D38" s="4685">
        <f t="shared" si="39"/>
        <v>3940</v>
      </c>
      <c r="E38" s="563">
        <v>0</v>
      </c>
      <c r="F38" s="4724">
        <f t="shared" si="40"/>
        <v>3940</v>
      </c>
      <c r="G38" s="563">
        <v>0</v>
      </c>
      <c r="H38" s="4685">
        <f t="shared" si="41"/>
        <v>3940</v>
      </c>
      <c r="I38" s="563">
        <v>947</v>
      </c>
      <c r="J38" s="4685">
        <f t="shared" si="53"/>
        <v>4887</v>
      </c>
      <c r="K38" s="563">
        <v>0</v>
      </c>
      <c r="L38" s="4724">
        <f t="shared" si="54"/>
        <v>947</v>
      </c>
      <c r="M38" s="4725">
        <f t="shared" si="55"/>
        <v>4887</v>
      </c>
      <c r="N38" s="563">
        <v>6242.987000000001</v>
      </c>
      <c r="O38" s="4685">
        <f t="shared" si="44"/>
        <v>11129.987000000001</v>
      </c>
      <c r="P38" s="563">
        <v>0</v>
      </c>
      <c r="Q38" s="4685">
        <f t="shared" si="45"/>
        <v>11129.987000000001</v>
      </c>
      <c r="R38" s="563">
        <v>5021.4999999999982</v>
      </c>
      <c r="S38" s="4724">
        <f t="shared" si="56"/>
        <v>11264.486999999999</v>
      </c>
      <c r="T38" s="4685">
        <f t="shared" si="57"/>
        <v>16151.486999999999</v>
      </c>
      <c r="U38" s="563"/>
      <c r="V38" s="4685">
        <f t="shared" si="48"/>
        <v>16151.486999999999</v>
      </c>
      <c r="W38" s="563">
        <v>5292.6939999999986</v>
      </c>
      <c r="X38" s="4685">
        <f t="shared" si="49"/>
        <v>21444.180999999997</v>
      </c>
      <c r="Y38" s="563">
        <v>5741.45</v>
      </c>
      <c r="Z38" s="4724">
        <f t="shared" si="50"/>
        <v>11034.143999999998</v>
      </c>
      <c r="AA38" s="3386">
        <f t="shared" si="51"/>
        <v>22298.630999999998</v>
      </c>
      <c r="AB38" s="4685">
        <f t="shared" si="52"/>
        <v>27185.630999999998</v>
      </c>
    </row>
    <row r="39" spans="1:28" ht="15.75" x14ac:dyDescent="0.25">
      <c r="A39" s="561" t="s">
        <v>1790</v>
      </c>
      <c r="B39" s="563"/>
      <c r="C39" s="563"/>
      <c r="D39" s="4685">
        <f t="shared" si="39"/>
        <v>0</v>
      </c>
      <c r="E39" s="563"/>
      <c r="F39" s="4724">
        <f t="shared" si="40"/>
        <v>0</v>
      </c>
      <c r="G39" s="563"/>
      <c r="H39" s="4685">
        <f t="shared" si="41"/>
        <v>0</v>
      </c>
      <c r="I39" s="563"/>
      <c r="J39" s="4685">
        <f t="shared" si="53"/>
        <v>0</v>
      </c>
      <c r="K39" s="563"/>
      <c r="L39" s="4724">
        <f t="shared" si="54"/>
        <v>0</v>
      </c>
      <c r="M39" s="4725">
        <f t="shared" si="55"/>
        <v>0</v>
      </c>
      <c r="N39" s="563"/>
      <c r="O39" s="4685">
        <f t="shared" si="44"/>
        <v>0</v>
      </c>
      <c r="P39" s="563"/>
      <c r="Q39" s="4685">
        <f t="shared" si="45"/>
        <v>0</v>
      </c>
      <c r="R39" s="563"/>
      <c r="S39" s="4724">
        <f t="shared" si="56"/>
        <v>0</v>
      </c>
      <c r="T39" s="4685">
        <f t="shared" si="57"/>
        <v>0</v>
      </c>
      <c r="U39" s="563">
        <v>161.76</v>
      </c>
      <c r="V39" s="4685">
        <f t="shared" si="48"/>
        <v>161.76</v>
      </c>
      <c r="W39" s="563">
        <v>0</v>
      </c>
      <c r="X39" s="4685">
        <f t="shared" si="49"/>
        <v>161.76</v>
      </c>
      <c r="Y39" s="563">
        <v>0</v>
      </c>
      <c r="Z39" s="4724">
        <f t="shared" si="50"/>
        <v>161.76</v>
      </c>
      <c r="AA39" s="3386">
        <f t="shared" si="51"/>
        <v>161.76</v>
      </c>
      <c r="AB39" s="4685">
        <f t="shared" si="52"/>
        <v>161.76</v>
      </c>
    </row>
    <row r="40" spans="1:28" ht="15.75" x14ac:dyDescent="0.25">
      <c r="A40" s="561" t="s">
        <v>759</v>
      </c>
      <c r="B40" s="563">
        <v>2344</v>
      </c>
      <c r="C40" s="563">
        <v>0</v>
      </c>
      <c r="D40" s="4685">
        <f t="shared" si="39"/>
        <v>2344</v>
      </c>
      <c r="E40" s="563">
        <v>0</v>
      </c>
      <c r="F40" s="4724">
        <f t="shared" si="40"/>
        <v>2344</v>
      </c>
      <c r="G40" s="563">
        <v>630.72</v>
      </c>
      <c r="H40" s="4685">
        <f t="shared" si="41"/>
        <v>2974.7200000000003</v>
      </c>
      <c r="I40" s="563">
        <f>7457+500</f>
        <v>7957</v>
      </c>
      <c r="J40" s="4685">
        <f t="shared" si="53"/>
        <v>10931.720000000001</v>
      </c>
      <c r="K40" s="563">
        <v>3326.0369999999989</v>
      </c>
      <c r="L40" s="4724">
        <f t="shared" si="54"/>
        <v>11913.756999999998</v>
      </c>
      <c r="M40" s="4725">
        <f t="shared" si="55"/>
        <v>14257.756999999998</v>
      </c>
      <c r="N40" s="563">
        <f>8175.957+283.1677</f>
        <v>8459.1247000000003</v>
      </c>
      <c r="O40" s="4685">
        <f t="shared" si="44"/>
        <v>22716.881699999998</v>
      </c>
      <c r="P40" s="563">
        <v>4798.88</v>
      </c>
      <c r="Q40" s="4685">
        <f t="shared" si="45"/>
        <v>27515.761699999999</v>
      </c>
      <c r="R40" s="563">
        <f>16876.768+292</f>
        <v>17168.768</v>
      </c>
      <c r="S40" s="4724">
        <f t="shared" si="56"/>
        <v>30426.772700000001</v>
      </c>
      <c r="T40" s="4685">
        <f t="shared" si="57"/>
        <v>44684.529699999999</v>
      </c>
      <c r="U40" s="563">
        <f>9907.93400000001+190</f>
        <v>10097.93400000001</v>
      </c>
      <c r="V40" s="4685">
        <f t="shared" si="48"/>
        <v>54782.463700000008</v>
      </c>
      <c r="W40" s="563">
        <f>9751.28000000001+100</f>
        <v>9851.2800000000097</v>
      </c>
      <c r="X40" s="4685">
        <f t="shared" si="49"/>
        <v>64633.743700000021</v>
      </c>
      <c r="Y40" s="563">
        <f>12205.599+291</f>
        <v>12496.599</v>
      </c>
      <c r="Z40" s="4724">
        <f t="shared" si="50"/>
        <v>32445.813000000024</v>
      </c>
      <c r="AA40" s="3386">
        <f t="shared" si="51"/>
        <v>62872.585700000025</v>
      </c>
      <c r="AB40" s="4685">
        <f t="shared" si="52"/>
        <v>77130.342700000023</v>
      </c>
    </row>
    <row r="41" spans="1:28" ht="15.75" x14ac:dyDescent="0.25">
      <c r="A41" s="561" t="s">
        <v>1406</v>
      </c>
      <c r="B41" s="563">
        <v>0</v>
      </c>
      <c r="C41" s="563">
        <v>0</v>
      </c>
      <c r="D41" s="4685">
        <f t="shared" si="39"/>
        <v>0</v>
      </c>
      <c r="E41" s="563">
        <v>366</v>
      </c>
      <c r="F41" s="4724">
        <f t="shared" si="40"/>
        <v>366</v>
      </c>
      <c r="G41" s="563">
        <v>0</v>
      </c>
      <c r="H41" s="4685">
        <f t="shared" si="41"/>
        <v>366</v>
      </c>
      <c r="I41" s="563">
        <v>0</v>
      </c>
      <c r="J41" s="4685">
        <f t="shared" si="53"/>
        <v>366</v>
      </c>
      <c r="K41" s="563">
        <v>0</v>
      </c>
      <c r="L41" s="4724">
        <f t="shared" si="54"/>
        <v>0</v>
      </c>
      <c r="M41" s="4725">
        <f t="shared" si="55"/>
        <v>366</v>
      </c>
      <c r="N41" s="563">
        <v>870.3</v>
      </c>
      <c r="O41" s="4685">
        <f t="shared" si="44"/>
        <v>1236.3</v>
      </c>
      <c r="P41" s="563">
        <v>0</v>
      </c>
      <c r="Q41" s="4685">
        <f t="shared" si="45"/>
        <v>1236.3</v>
      </c>
      <c r="R41" s="563"/>
      <c r="S41" s="4724">
        <f t="shared" si="56"/>
        <v>870.3</v>
      </c>
      <c r="T41" s="4685">
        <f t="shared" si="57"/>
        <v>1236.3</v>
      </c>
      <c r="U41" s="563"/>
      <c r="V41" s="4685">
        <f t="shared" si="48"/>
        <v>1236.3</v>
      </c>
      <c r="W41" s="563">
        <v>0</v>
      </c>
      <c r="X41" s="4685">
        <f t="shared" si="49"/>
        <v>1236.3</v>
      </c>
      <c r="Y41" s="563">
        <v>0</v>
      </c>
      <c r="Z41" s="4724">
        <f t="shared" si="50"/>
        <v>0</v>
      </c>
      <c r="AA41" s="3386">
        <f t="shared" si="51"/>
        <v>870.3</v>
      </c>
      <c r="AB41" s="4685">
        <f t="shared" si="52"/>
        <v>1236.3</v>
      </c>
    </row>
    <row r="42" spans="1:28" ht="15.75" x14ac:dyDescent="0.25">
      <c r="A42" s="561" t="s">
        <v>1789</v>
      </c>
      <c r="B42" s="563"/>
      <c r="C42" s="563"/>
      <c r="D42" s="4685">
        <f t="shared" si="39"/>
        <v>0</v>
      </c>
      <c r="E42" s="563"/>
      <c r="F42" s="4724">
        <f t="shared" si="40"/>
        <v>0</v>
      </c>
      <c r="G42" s="563"/>
      <c r="H42" s="4685">
        <f t="shared" si="41"/>
        <v>0</v>
      </c>
      <c r="I42" s="563"/>
      <c r="J42" s="4685">
        <f t="shared" si="53"/>
        <v>0</v>
      </c>
      <c r="K42" s="563"/>
      <c r="L42" s="4724">
        <f t="shared" si="54"/>
        <v>0</v>
      </c>
      <c r="M42" s="4725">
        <f t="shared" si="55"/>
        <v>0</v>
      </c>
      <c r="N42" s="563"/>
      <c r="O42" s="4685">
        <f t="shared" si="44"/>
        <v>0</v>
      </c>
      <c r="P42" s="563"/>
      <c r="Q42" s="4685">
        <f t="shared" si="45"/>
        <v>0</v>
      </c>
      <c r="R42" s="563">
        <v>82.096000000000004</v>
      </c>
      <c r="S42" s="4724">
        <f t="shared" si="56"/>
        <v>82.096000000000004</v>
      </c>
      <c r="T42" s="4685">
        <f t="shared" si="57"/>
        <v>82.096000000000004</v>
      </c>
      <c r="U42" s="563"/>
      <c r="V42" s="4685">
        <f t="shared" si="48"/>
        <v>82.096000000000004</v>
      </c>
      <c r="W42" s="563">
        <v>0</v>
      </c>
      <c r="X42" s="4685">
        <f t="shared" si="49"/>
        <v>82.096000000000004</v>
      </c>
      <c r="Y42" s="563">
        <v>0</v>
      </c>
      <c r="Z42" s="4724">
        <f t="shared" si="50"/>
        <v>0</v>
      </c>
      <c r="AA42" s="3386">
        <f t="shared" si="51"/>
        <v>82.096000000000004</v>
      </c>
      <c r="AB42" s="4685">
        <f t="shared" si="52"/>
        <v>82.096000000000004</v>
      </c>
    </row>
    <row r="43" spans="1:28" ht="15.75" x14ac:dyDescent="0.25">
      <c r="A43" s="561" t="s">
        <v>1638</v>
      </c>
      <c r="B43" s="563">
        <v>0</v>
      </c>
      <c r="C43" s="563">
        <v>0</v>
      </c>
      <c r="D43" s="4685">
        <f t="shared" si="39"/>
        <v>0</v>
      </c>
      <c r="E43" s="563"/>
      <c r="F43" s="4724">
        <f t="shared" si="40"/>
        <v>0</v>
      </c>
      <c r="G43" s="563"/>
      <c r="H43" s="4685">
        <f t="shared" si="41"/>
        <v>0</v>
      </c>
      <c r="I43" s="563"/>
      <c r="J43" s="4685">
        <f t="shared" si="53"/>
        <v>0</v>
      </c>
      <c r="K43" s="563">
        <v>0</v>
      </c>
      <c r="L43" s="4724">
        <f t="shared" si="54"/>
        <v>0</v>
      </c>
      <c r="M43" s="4725">
        <f t="shared" si="55"/>
        <v>0</v>
      </c>
      <c r="N43" s="563">
        <v>0</v>
      </c>
      <c r="O43" s="4685">
        <f t="shared" si="44"/>
        <v>0</v>
      </c>
      <c r="P43" s="563">
        <v>0</v>
      </c>
      <c r="Q43" s="4685">
        <f t="shared" si="45"/>
        <v>0</v>
      </c>
      <c r="R43" s="563">
        <v>0</v>
      </c>
      <c r="S43" s="4724">
        <f t="shared" si="56"/>
        <v>0</v>
      </c>
      <c r="T43" s="4685">
        <f t="shared" si="57"/>
        <v>0</v>
      </c>
      <c r="U43" s="563"/>
      <c r="V43" s="4685">
        <f t="shared" si="48"/>
        <v>0</v>
      </c>
      <c r="W43" s="563">
        <v>0</v>
      </c>
      <c r="X43" s="4685">
        <f t="shared" si="49"/>
        <v>0</v>
      </c>
      <c r="Y43" s="563">
        <v>0</v>
      </c>
      <c r="Z43" s="4724">
        <f t="shared" si="50"/>
        <v>0</v>
      </c>
      <c r="AA43" s="3386">
        <f t="shared" si="51"/>
        <v>0</v>
      </c>
      <c r="AB43" s="4685">
        <f t="shared" si="52"/>
        <v>0</v>
      </c>
    </row>
    <row r="44" spans="1:28" ht="15.75" x14ac:dyDescent="0.25">
      <c r="A44" s="561" t="s">
        <v>1824</v>
      </c>
      <c r="B44" s="563"/>
      <c r="C44" s="563"/>
      <c r="D44" s="4685">
        <f t="shared" si="39"/>
        <v>0</v>
      </c>
      <c r="E44" s="563"/>
      <c r="F44" s="4724">
        <f t="shared" si="40"/>
        <v>0</v>
      </c>
      <c r="G44" s="868"/>
      <c r="H44" s="4685">
        <f t="shared" si="41"/>
        <v>0</v>
      </c>
      <c r="I44" s="868"/>
      <c r="J44" s="4685">
        <f t="shared" si="53"/>
        <v>0</v>
      </c>
      <c r="K44" s="868"/>
      <c r="L44" s="4724">
        <f t="shared" si="54"/>
        <v>0</v>
      </c>
      <c r="M44" s="4725">
        <f t="shared" si="55"/>
        <v>0</v>
      </c>
      <c r="N44" s="563">
        <v>0</v>
      </c>
      <c r="O44" s="4685">
        <f t="shared" si="44"/>
        <v>0</v>
      </c>
      <c r="P44" s="563">
        <v>0</v>
      </c>
      <c r="Q44" s="4685">
        <f t="shared" si="45"/>
        <v>0</v>
      </c>
      <c r="R44" s="563">
        <v>0</v>
      </c>
      <c r="S44" s="4724">
        <f t="shared" si="56"/>
        <v>0</v>
      </c>
      <c r="T44" s="4685">
        <f t="shared" si="57"/>
        <v>0</v>
      </c>
      <c r="U44" s="563"/>
      <c r="V44" s="4685">
        <f t="shared" si="48"/>
        <v>0</v>
      </c>
      <c r="W44" s="563">
        <v>64.504000000000005</v>
      </c>
      <c r="X44" s="4685">
        <f t="shared" si="49"/>
        <v>64.504000000000005</v>
      </c>
      <c r="Y44" s="563">
        <v>0</v>
      </c>
      <c r="Z44" s="4724">
        <f t="shared" si="50"/>
        <v>64.504000000000005</v>
      </c>
      <c r="AA44" s="3386">
        <f t="shared" si="51"/>
        <v>64.504000000000005</v>
      </c>
      <c r="AB44" s="4685">
        <f t="shared" si="52"/>
        <v>64.504000000000005</v>
      </c>
    </row>
    <row r="45" spans="1:28" ht="16.5" thickBot="1" x14ac:dyDescent="0.3">
      <c r="A45" s="561" t="s">
        <v>1666</v>
      </c>
      <c r="B45" s="563">
        <v>0</v>
      </c>
      <c r="C45" s="563">
        <v>0</v>
      </c>
      <c r="D45" s="4685">
        <f t="shared" si="39"/>
        <v>0</v>
      </c>
      <c r="E45" s="563">
        <v>0</v>
      </c>
      <c r="F45" s="4724">
        <f t="shared" si="40"/>
        <v>0</v>
      </c>
      <c r="G45" s="868">
        <v>358.87299999999999</v>
      </c>
      <c r="H45" s="4685">
        <f t="shared" si="41"/>
        <v>358.87299999999999</v>
      </c>
      <c r="I45" s="868">
        <f>1649+399.8967</f>
        <v>2048.8967000000002</v>
      </c>
      <c r="J45" s="4685">
        <f t="shared" si="53"/>
        <v>2407.7697000000003</v>
      </c>
      <c r="K45" s="868">
        <v>31.012</v>
      </c>
      <c r="L45" s="4724">
        <f t="shared" si="54"/>
        <v>2438.7817000000005</v>
      </c>
      <c r="M45" s="4725">
        <f t="shared" si="55"/>
        <v>2438.7817000000005</v>
      </c>
      <c r="N45" s="868">
        <v>108.613</v>
      </c>
      <c r="O45" s="4685">
        <f t="shared" si="44"/>
        <v>2547.3947000000003</v>
      </c>
      <c r="P45" s="868">
        <v>0</v>
      </c>
      <c r="Q45" s="4685">
        <f t="shared" si="45"/>
        <v>2547.3947000000003</v>
      </c>
      <c r="R45" s="868">
        <v>0</v>
      </c>
      <c r="S45" s="4724">
        <f t="shared" si="56"/>
        <v>108.613</v>
      </c>
      <c r="T45" s="4685">
        <f t="shared" si="57"/>
        <v>2547.3947000000003</v>
      </c>
      <c r="U45" s="868">
        <v>69.375</v>
      </c>
      <c r="V45" s="4685">
        <f t="shared" si="48"/>
        <v>2616.7697000000003</v>
      </c>
      <c r="W45" s="868">
        <v>74.409000000000006</v>
      </c>
      <c r="X45" s="4685">
        <f t="shared" si="49"/>
        <v>2691.1787000000004</v>
      </c>
      <c r="Y45" s="563">
        <v>0</v>
      </c>
      <c r="Z45" s="4724">
        <f t="shared" si="50"/>
        <v>143.78399999999999</v>
      </c>
      <c r="AA45" s="3386">
        <f t="shared" si="51"/>
        <v>252.39699999999999</v>
      </c>
      <c r="AB45" s="4685">
        <f t="shared" si="52"/>
        <v>2691.1787000000004</v>
      </c>
    </row>
    <row r="46" spans="1:28" ht="21" thickBot="1" x14ac:dyDescent="0.3">
      <c r="A46" s="587" t="s">
        <v>777</v>
      </c>
      <c r="B46" s="588">
        <f>SUM(B33:B45)</f>
        <v>9135.67</v>
      </c>
      <c r="C46" s="588">
        <f t="shared" ref="C46:T46" si="58">SUM(C33:C45)</f>
        <v>0</v>
      </c>
      <c r="D46" s="588">
        <f t="shared" si="58"/>
        <v>9135.67</v>
      </c>
      <c r="E46" s="588">
        <f t="shared" si="58"/>
        <v>15551</v>
      </c>
      <c r="F46" s="588">
        <f t="shared" si="58"/>
        <v>24686.67</v>
      </c>
      <c r="G46" s="588">
        <f t="shared" si="58"/>
        <v>13406.287999999999</v>
      </c>
      <c r="H46" s="588">
        <f t="shared" si="58"/>
        <v>38092.957999999999</v>
      </c>
      <c r="I46" s="588">
        <f t="shared" si="58"/>
        <v>23838.896700000001</v>
      </c>
      <c r="J46" s="588">
        <f t="shared" si="58"/>
        <v>61931.854699999996</v>
      </c>
      <c r="K46" s="588">
        <f t="shared" si="58"/>
        <v>3643.9099999999989</v>
      </c>
      <c r="L46" s="588">
        <f t="shared" si="58"/>
        <v>40889.094699999994</v>
      </c>
      <c r="M46" s="588">
        <f t="shared" si="58"/>
        <v>65575.7647</v>
      </c>
      <c r="N46" s="588">
        <f t="shared" si="58"/>
        <v>27883.739700000002</v>
      </c>
      <c r="O46" s="588">
        <f t="shared" si="58"/>
        <v>93459.504400000005</v>
      </c>
      <c r="P46" s="588">
        <f t="shared" si="58"/>
        <v>7525.7640000000001</v>
      </c>
      <c r="Q46" s="588">
        <f t="shared" si="58"/>
        <v>100985.26840000002</v>
      </c>
      <c r="R46" s="588">
        <f t="shared" si="58"/>
        <v>27171.681999999997</v>
      </c>
      <c r="S46" s="588">
        <f t="shared" si="58"/>
        <v>62581.185700000002</v>
      </c>
      <c r="T46" s="588">
        <f t="shared" si="58"/>
        <v>128156.9504</v>
      </c>
      <c r="U46" s="588">
        <f>SUM(U33:U45)</f>
        <v>16003.027000000009</v>
      </c>
      <c r="V46" s="588">
        <f>SUM(V33:V45)</f>
        <v>144159.97739999997</v>
      </c>
      <c r="W46" s="588">
        <f>SUM(W33:W45)</f>
        <v>17812.623000000007</v>
      </c>
      <c r="X46" s="588">
        <f t="shared" ref="X46" si="59">SUM(X33:X45)</f>
        <v>161972.60039999997</v>
      </c>
      <c r="Y46" s="588">
        <f>SUM(Y33:Y45)</f>
        <v>21901.633999999998</v>
      </c>
      <c r="Z46" s="588">
        <f t="shared" si="50"/>
        <v>55717.284000000014</v>
      </c>
      <c r="AA46" s="588">
        <f t="shared" si="51"/>
        <v>118298.46970000002</v>
      </c>
      <c r="AB46" s="588">
        <f t="shared" si="52"/>
        <v>183874.23439999996</v>
      </c>
    </row>
    <row r="47" spans="1:28" ht="9.75" customHeight="1" thickBot="1" x14ac:dyDescent="0.3">
      <c r="A47" s="585"/>
      <c r="B47" s="4728"/>
      <c r="C47" s="586"/>
      <c r="D47" s="4729"/>
      <c r="E47" s="586"/>
      <c r="F47" s="4730"/>
      <c r="G47" s="4728"/>
      <c r="H47" s="4729"/>
      <c r="I47" s="4728"/>
      <c r="J47" s="4729"/>
      <c r="K47" s="4728"/>
      <c r="L47" s="4730"/>
      <c r="M47" s="4729"/>
      <c r="N47" s="4728"/>
      <c r="O47" s="4729"/>
      <c r="P47" s="4728"/>
      <c r="Q47" s="4729"/>
      <c r="R47" s="4728"/>
      <c r="S47" s="4730"/>
      <c r="T47" s="4729"/>
      <c r="U47" s="4728"/>
      <c r="V47" s="4729"/>
      <c r="W47" s="4728"/>
      <c r="X47" s="4729"/>
      <c r="Y47" s="4728"/>
      <c r="Z47" s="4730"/>
      <c r="AA47" s="4729"/>
      <c r="AB47" s="4729"/>
    </row>
    <row r="48" spans="1:28" ht="21" thickBot="1" x14ac:dyDescent="0.3">
      <c r="A48" s="4736" t="s">
        <v>764</v>
      </c>
      <c r="B48" s="4737"/>
      <c r="C48" s="4739"/>
      <c r="D48" s="4741"/>
      <c r="E48" s="4739"/>
      <c r="F48" s="4740"/>
      <c r="G48" s="4739"/>
      <c r="H48" s="4741"/>
      <c r="I48" s="4739"/>
      <c r="J48" s="4741"/>
      <c r="K48" s="4739"/>
      <c r="L48" s="4740"/>
      <c r="M48" s="4741"/>
      <c r="N48" s="4739"/>
      <c r="O48" s="4741"/>
      <c r="P48" s="4739"/>
      <c r="Q48" s="4741"/>
      <c r="R48" s="4739"/>
      <c r="S48" s="4740"/>
      <c r="T48" s="4741"/>
      <c r="U48" s="4739"/>
      <c r="V48" s="4741"/>
      <c r="W48" s="4739"/>
      <c r="X48" s="4741"/>
      <c r="Y48" s="4739"/>
      <c r="Z48" s="4740"/>
      <c r="AA48" s="4741"/>
      <c r="AB48" s="4741"/>
    </row>
    <row r="49" spans="1:30" ht="15.75" x14ac:dyDescent="0.25">
      <c r="A49" s="560" t="s">
        <v>760</v>
      </c>
      <c r="B49" s="4681">
        <v>0</v>
      </c>
      <c r="C49" s="4681">
        <v>0</v>
      </c>
      <c r="D49" s="656">
        <f t="shared" si="39"/>
        <v>0</v>
      </c>
      <c r="E49" s="650">
        <f>2500+353.667</f>
        <v>2853.6669999999999</v>
      </c>
      <c r="F49" s="4724">
        <f t="shared" ref="F49:F57" si="60">+B49+C49+E49</f>
        <v>2853.6669999999999</v>
      </c>
      <c r="G49" s="4681">
        <v>2999.9160000000002</v>
      </c>
      <c r="H49" s="656">
        <f t="shared" ref="H49:H57" si="61">+B49+C49+E49+G49</f>
        <v>5853.5830000000005</v>
      </c>
      <c r="I49" s="4681">
        <v>0</v>
      </c>
      <c r="J49" s="656">
        <f t="shared" ref="J49:J57" si="62">+H49+I49</f>
        <v>5853.5830000000005</v>
      </c>
      <c r="K49" s="4681">
        <v>1009.231</v>
      </c>
      <c r="L49" s="4724">
        <f t="shared" ref="L49:L57" si="63">+G49+I49+K49</f>
        <v>4009.1469999999999</v>
      </c>
      <c r="M49" s="4725">
        <f t="shared" ref="M49:M57" si="64">+F49+L49</f>
        <v>6862.8140000000003</v>
      </c>
      <c r="N49" s="4681">
        <v>0</v>
      </c>
      <c r="O49" s="656">
        <f t="shared" ref="O49:O57" si="65">SUM(M49:N49)</f>
        <v>6862.8140000000003</v>
      </c>
      <c r="P49" s="4681">
        <v>1250.4369999999999</v>
      </c>
      <c r="Q49" s="656">
        <f t="shared" ref="Q49:Q57" si="66">SUM(O49:P49)</f>
        <v>8113.2510000000002</v>
      </c>
      <c r="R49" s="4681">
        <v>0</v>
      </c>
      <c r="S49" s="4724">
        <f t="shared" ref="S49:S57" si="67">+N49+P49+R49</f>
        <v>1250.4369999999999</v>
      </c>
      <c r="T49" s="656">
        <f t="shared" ref="T49:T57" si="68">+Q49+R49</f>
        <v>8113.2510000000002</v>
      </c>
      <c r="U49" s="4681">
        <v>1384.3799999999999</v>
      </c>
      <c r="V49" s="656">
        <f t="shared" ref="V49:V57" si="69">+T49+U49</f>
        <v>9497.6309999999994</v>
      </c>
      <c r="W49" s="4681">
        <v>1395.7649999999999</v>
      </c>
      <c r="X49" s="656">
        <f t="shared" ref="X49:X57" si="70">SUM(V49:W49)</f>
        <v>10893.395999999999</v>
      </c>
      <c r="Y49" s="4681">
        <v>0</v>
      </c>
      <c r="Z49" s="4724">
        <f t="shared" ref="Z49:Z60" si="71">+U49+W49+Y49</f>
        <v>2780.1449999999995</v>
      </c>
      <c r="AA49" s="4725">
        <f t="shared" ref="AA49:AA58" si="72">+Z49+S49</f>
        <v>4030.5819999999994</v>
      </c>
      <c r="AB49" s="656">
        <f t="shared" ref="AB49:AB58" si="73">+X49+Y49</f>
        <v>10893.395999999999</v>
      </c>
    </row>
    <row r="50" spans="1:30" ht="15.75" x14ac:dyDescent="0.25">
      <c r="A50" s="560" t="s">
        <v>756</v>
      </c>
      <c r="B50" s="563"/>
      <c r="C50" s="562"/>
      <c r="D50" s="656">
        <f t="shared" si="39"/>
        <v>0</v>
      </c>
      <c r="E50" s="562"/>
      <c r="F50" s="4724">
        <f t="shared" si="60"/>
        <v>0</v>
      </c>
      <c r="G50" s="563"/>
      <c r="H50" s="656">
        <f t="shared" si="61"/>
        <v>0</v>
      </c>
      <c r="I50" s="563"/>
      <c r="J50" s="656">
        <f t="shared" si="62"/>
        <v>0</v>
      </c>
      <c r="K50" s="563">
        <v>0</v>
      </c>
      <c r="L50" s="4724">
        <f t="shared" si="63"/>
        <v>0</v>
      </c>
      <c r="M50" s="3386">
        <f t="shared" si="64"/>
        <v>0</v>
      </c>
      <c r="N50" s="563">
        <v>0</v>
      </c>
      <c r="O50" s="656">
        <f t="shared" si="65"/>
        <v>0</v>
      </c>
      <c r="P50" s="563">
        <v>0</v>
      </c>
      <c r="Q50" s="656">
        <f t="shared" si="66"/>
        <v>0</v>
      </c>
      <c r="R50" s="563">
        <v>0</v>
      </c>
      <c r="S50" s="4724">
        <f t="shared" si="67"/>
        <v>0</v>
      </c>
      <c r="T50" s="656">
        <f t="shared" si="68"/>
        <v>0</v>
      </c>
      <c r="U50" s="563"/>
      <c r="V50" s="656">
        <f t="shared" si="69"/>
        <v>0</v>
      </c>
      <c r="W50" s="563"/>
      <c r="X50" s="656">
        <f t="shared" si="70"/>
        <v>0</v>
      </c>
      <c r="Y50" s="563">
        <v>0</v>
      </c>
      <c r="Z50" s="4724">
        <f t="shared" si="71"/>
        <v>0</v>
      </c>
      <c r="AA50" s="3386">
        <f t="shared" si="72"/>
        <v>0</v>
      </c>
      <c r="AB50" s="656">
        <f t="shared" si="73"/>
        <v>0</v>
      </c>
    </row>
    <row r="51" spans="1:30" ht="15.75" x14ac:dyDescent="0.25">
      <c r="A51" s="561" t="s">
        <v>759</v>
      </c>
      <c r="B51" s="563">
        <v>0</v>
      </c>
      <c r="C51" s="563">
        <v>0</v>
      </c>
      <c r="D51" s="656">
        <f t="shared" si="39"/>
        <v>0</v>
      </c>
      <c r="E51" s="562">
        <v>481</v>
      </c>
      <c r="F51" s="4724">
        <f t="shared" si="60"/>
        <v>481</v>
      </c>
      <c r="G51" s="562">
        <f>1481.44-1.5</f>
        <v>1479.94</v>
      </c>
      <c r="H51" s="656">
        <f t="shared" si="61"/>
        <v>1960.94</v>
      </c>
      <c r="I51" s="563">
        <v>0</v>
      </c>
      <c r="J51" s="656">
        <f t="shared" si="62"/>
        <v>1960.94</v>
      </c>
      <c r="K51" s="563">
        <f>4079.521+291.8457</f>
        <v>4371.3667000000005</v>
      </c>
      <c r="L51" s="4724">
        <f t="shared" si="63"/>
        <v>5851.306700000001</v>
      </c>
      <c r="M51" s="3386">
        <f t="shared" si="64"/>
        <v>6332.306700000001</v>
      </c>
      <c r="N51" s="563">
        <v>0</v>
      </c>
      <c r="O51" s="656">
        <f t="shared" si="65"/>
        <v>6332.306700000001</v>
      </c>
      <c r="P51" s="563">
        <f>6058.601+190</f>
        <v>6248.6009999999997</v>
      </c>
      <c r="Q51" s="656">
        <f t="shared" si="66"/>
        <v>12580.9077</v>
      </c>
      <c r="R51" s="563">
        <v>4016.3850000000007</v>
      </c>
      <c r="S51" s="4724">
        <f t="shared" si="67"/>
        <v>10264.986000000001</v>
      </c>
      <c r="T51" s="656">
        <f t="shared" si="68"/>
        <v>16597.292700000002</v>
      </c>
      <c r="U51" s="563">
        <v>4819.6650000000009</v>
      </c>
      <c r="V51" s="656">
        <f t="shared" si="69"/>
        <v>21416.957700000003</v>
      </c>
      <c r="W51" s="563">
        <f>2506.68+91</f>
        <v>2597.6799999999998</v>
      </c>
      <c r="X51" s="656">
        <f t="shared" si="70"/>
        <v>24014.637700000003</v>
      </c>
      <c r="Y51" s="563">
        <v>3987.9000000000015</v>
      </c>
      <c r="Z51" s="4724">
        <f t="shared" si="71"/>
        <v>11405.245000000003</v>
      </c>
      <c r="AA51" s="3386">
        <f t="shared" si="72"/>
        <v>21670.231000000003</v>
      </c>
      <c r="AB51" s="656">
        <f t="shared" si="73"/>
        <v>28002.537700000004</v>
      </c>
    </row>
    <row r="52" spans="1:30" ht="15.75" x14ac:dyDescent="0.25">
      <c r="A52" s="561" t="s">
        <v>1310</v>
      </c>
      <c r="B52" s="563"/>
      <c r="C52" s="562"/>
      <c r="D52" s="656">
        <f t="shared" si="39"/>
        <v>0</v>
      </c>
      <c r="E52" s="562"/>
      <c r="F52" s="4724">
        <f t="shared" si="60"/>
        <v>0</v>
      </c>
      <c r="G52" s="562"/>
      <c r="H52" s="656">
        <f t="shared" si="61"/>
        <v>0</v>
      </c>
      <c r="I52" s="563"/>
      <c r="J52" s="656">
        <f t="shared" si="62"/>
        <v>0</v>
      </c>
      <c r="K52" s="563">
        <v>0</v>
      </c>
      <c r="L52" s="4724">
        <f t="shared" si="63"/>
        <v>0</v>
      </c>
      <c r="M52" s="3386">
        <f t="shared" si="64"/>
        <v>0</v>
      </c>
      <c r="N52" s="563">
        <v>0</v>
      </c>
      <c r="O52" s="656">
        <f t="shared" si="65"/>
        <v>0</v>
      </c>
      <c r="P52" s="563">
        <v>0</v>
      </c>
      <c r="Q52" s="656">
        <f t="shared" si="66"/>
        <v>0</v>
      </c>
      <c r="R52" s="563">
        <v>151.91999999999999</v>
      </c>
      <c r="S52" s="4724">
        <f t="shared" si="67"/>
        <v>151.91999999999999</v>
      </c>
      <c r="T52" s="656">
        <f t="shared" si="68"/>
        <v>151.91999999999999</v>
      </c>
      <c r="U52" s="563"/>
      <c r="V52" s="656">
        <f t="shared" si="69"/>
        <v>151.91999999999999</v>
      </c>
      <c r="W52" s="563">
        <v>0</v>
      </c>
      <c r="X52" s="656">
        <f t="shared" si="70"/>
        <v>151.91999999999999</v>
      </c>
      <c r="Y52" s="563">
        <v>0</v>
      </c>
      <c r="Z52" s="4724">
        <f t="shared" si="71"/>
        <v>0</v>
      </c>
      <c r="AA52" s="3386">
        <f t="shared" si="72"/>
        <v>151.91999999999999</v>
      </c>
      <c r="AB52" s="656">
        <f t="shared" si="73"/>
        <v>151.91999999999999</v>
      </c>
    </row>
    <row r="53" spans="1:30" ht="15.75" x14ac:dyDescent="0.25">
      <c r="A53" s="561" t="s">
        <v>757</v>
      </c>
      <c r="B53" s="563"/>
      <c r="C53" s="562"/>
      <c r="D53" s="656">
        <f t="shared" si="39"/>
        <v>0</v>
      </c>
      <c r="E53" s="562"/>
      <c r="F53" s="4724">
        <f t="shared" si="60"/>
        <v>0</v>
      </c>
      <c r="G53" s="562"/>
      <c r="H53" s="656">
        <f t="shared" si="61"/>
        <v>0</v>
      </c>
      <c r="I53" s="563"/>
      <c r="J53" s="656">
        <f t="shared" si="62"/>
        <v>0</v>
      </c>
      <c r="K53" s="563">
        <v>0</v>
      </c>
      <c r="L53" s="4724">
        <f t="shared" si="63"/>
        <v>0</v>
      </c>
      <c r="M53" s="3386">
        <f t="shared" si="64"/>
        <v>0</v>
      </c>
      <c r="N53" s="563">
        <v>0</v>
      </c>
      <c r="O53" s="656">
        <f t="shared" si="65"/>
        <v>0</v>
      </c>
      <c r="P53" s="563">
        <v>0</v>
      </c>
      <c r="Q53" s="656">
        <f t="shared" si="66"/>
        <v>0</v>
      </c>
      <c r="R53" s="563">
        <v>0</v>
      </c>
      <c r="S53" s="4724">
        <f t="shared" si="67"/>
        <v>0</v>
      </c>
      <c r="T53" s="656">
        <f t="shared" si="68"/>
        <v>0</v>
      </c>
      <c r="U53" s="563"/>
      <c r="V53" s="656">
        <f t="shared" si="69"/>
        <v>0</v>
      </c>
      <c r="W53" s="563">
        <v>0</v>
      </c>
      <c r="X53" s="656">
        <f t="shared" si="70"/>
        <v>0</v>
      </c>
      <c r="Y53" s="563">
        <v>0</v>
      </c>
      <c r="Z53" s="4724">
        <f t="shared" si="71"/>
        <v>0</v>
      </c>
      <c r="AA53" s="3386">
        <f t="shared" si="72"/>
        <v>0</v>
      </c>
      <c r="AB53" s="656">
        <f t="shared" si="73"/>
        <v>0</v>
      </c>
    </row>
    <row r="54" spans="1:30" ht="15.75" x14ac:dyDescent="0.25">
      <c r="A54" s="564" t="s">
        <v>1407</v>
      </c>
      <c r="B54" s="563">
        <v>0</v>
      </c>
      <c r="C54" s="563">
        <v>0</v>
      </c>
      <c r="D54" s="656">
        <f t="shared" si="39"/>
        <v>0</v>
      </c>
      <c r="E54" s="563">
        <v>139</v>
      </c>
      <c r="F54" s="4724">
        <f t="shared" si="60"/>
        <v>139</v>
      </c>
      <c r="G54" s="565">
        <v>0</v>
      </c>
      <c r="H54" s="656">
        <f t="shared" si="61"/>
        <v>139</v>
      </c>
      <c r="I54" s="563">
        <v>0</v>
      </c>
      <c r="J54" s="656">
        <f t="shared" si="62"/>
        <v>139</v>
      </c>
      <c r="K54" s="563">
        <v>0</v>
      </c>
      <c r="L54" s="4724">
        <f t="shared" si="63"/>
        <v>0</v>
      </c>
      <c r="M54" s="3386">
        <f t="shared" si="64"/>
        <v>139</v>
      </c>
      <c r="N54" s="563">
        <v>0</v>
      </c>
      <c r="O54" s="656">
        <f t="shared" si="65"/>
        <v>139</v>
      </c>
      <c r="P54" s="563">
        <v>0</v>
      </c>
      <c r="Q54" s="656">
        <f t="shared" si="66"/>
        <v>139</v>
      </c>
      <c r="R54" s="563"/>
      <c r="S54" s="4724">
        <f t="shared" si="67"/>
        <v>0</v>
      </c>
      <c r="T54" s="656">
        <f t="shared" si="68"/>
        <v>139</v>
      </c>
      <c r="U54" s="563"/>
      <c r="V54" s="656">
        <f t="shared" si="69"/>
        <v>139</v>
      </c>
      <c r="W54" s="563">
        <v>0</v>
      </c>
      <c r="X54" s="656">
        <f t="shared" si="70"/>
        <v>139</v>
      </c>
      <c r="Y54" s="563">
        <v>0</v>
      </c>
      <c r="Z54" s="4724">
        <f t="shared" si="71"/>
        <v>0</v>
      </c>
      <c r="AA54" s="3386">
        <f t="shared" si="72"/>
        <v>0</v>
      </c>
      <c r="AB54" s="656">
        <f t="shared" si="73"/>
        <v>139</v>
      </c>
    </row>
    <row r="55" spans="1:30" ht="15.75" x14ac:dyDescent="0.25">
      <c r="A55" s="564" t="s">
        <v>775</v>
      </c>
      <c r="B55" s="563"/>
      <c r="C55" s="563"/>
      <c r="D55" s="656">
        <f t="shared" si="39"/>
        <v>0</v>
      </c>
      <c r="E55" s="563"/>
      <c r="F55" s="4724">
        <f t="shared" si="60"/>
        <v>0</v>
      </c>
      <c r="G55" s="565"/>
      <c r="H55" s="656">
        <f t="shared" si="61"/>
        <v>0</v>
      </c>
      <c r="I55" s="563"/>
      <c r="J55" s="656">
        <f t="shared" si="62"/>
        <v>0</v>
      </c>
      <c r="K55" s="563">
        <v>0</v>
      </c>
      <c r="L55" s="4724">
        <f t="shared" si="63"/>
        <v>0</v>
      </c>
      <c r="M55" s="3386">
        <f t="shared" si="64"/>
        <v>0</v>
      </c>
      <c r="N55" s="563">
        <v>0</v>
      </c>
      <c r="O55" s="656">
        <f t="shared" si="65"/>
        <v>0</v>
      </c>
      <c r="P55" s="563">
        <v>0</v>
      </c>
      <c r="Q55" s="656">
        <f t="shared" si="66"/>
        <v>0</v>
      </c>
      <c r="R55" s="563">
        <v>0</v>
      </c>
      <c r="S55" s="4724">
        <f t="shared" si="67"/>
        <v>0</v>
      </c>
      <c r="T55" s="656">
        <f t="shared" si="68"/>
        <v>0</v>
      </c>
      <c r="U55" s="563"/>
      <c r="V55" s="656">
        <f t="shared" si="69"/>
        <v>0</v>
      </c>
      <c r="W55" s="563">
        <v>0</v>
      </c>
      <c r="X55" s="656">
        <f t="shared" si="70"/>
        <v>0</v>
      </c>
      <c r="Y55" s="563">
        <v>0</v>
      </c>
      <c r="Z55" s="4724">
        <f t="shared" si="71"/>
        <v>0</v>
      </c>
      <c r="AA55" s="3386">
        <f t="shared" si="72"/>
        <v>0</v>
      </c>
      <c r="AB55" s="656">
        <f t="shared" si="73"/>
        <v>0</v>
      </c>
    </row>
    <row r="56" spans="1:30" ht="15.75" x14ac:dyDescent="0.25">
      <c r="A56" s="631" t="s">
        <v>761</v>
      </c>
      <c r="B56" s="562"/>
      <c r="C56" s="562"/>
      <c r="D56" s="656">
        <f t="shared" si="39"/>
        <v>0</v>
      </c>
      <c r="E56" s="562"/>
      <c r="F56" s="4724">
        <f t="shared" si="60"/>
        <v>0</v>
      </c>
      <c r="G56" s="563"/>
      <c r="H56" s="656">
        <f t="shared" si="61"/>
        <v>0</v>
      </c>
      <c r="I56" s="563"/>
      <c r="J56" s="656">
        <f t="shared" si="62"/>
        <v>0</v>
      </c>
      <c r="K56" s="563">
        <v>0</v>
      </c>
      <c r="L56" s="4724">
        <f t="shared" si="63"/>
        <v>0</v>
      </c>
      <c r="M56" s="3386">
        <f t="shared" si="64"/>
        <v>0</v>
      </c>
      <c r="N56" s="563">
        <v>0</v>
      </c>
      <c r="O56" s="656">
        <f t="shared" si="65"/>
        <v>0</v>
      </c>
      <c r="P56" s="563">
        <v>0</v>
      </c>
      <c r="Q56" s="656">
        <f t="shared" si="66"/>
        <v>0</v>
      </c>
      <c r="R56" s="563">
        <v>0</v>
      </c>
      <c r="S56" s="4724">
        <f t="shared" si="67"/>
        <v>0</v>
      </c>
      <c r="T56" s="656">
        <f t="shared" si="68"/>
        <v>0</v>
      </c>
      <c r="U56" s="563"/>
      <c r="V56" s="656">
        <f t="shared" si="69"/>
        <v>0</v>
      </c>
      <c r="W56" s="563">
        <v>0</v>
      </c>
      <c r="X56" s="656">
        <f t="shared" si="70"/>
        <v>0</v>
      </c>
      <c r="Y56" s="563">
        <v>0</v>
      </c>
      <c r="Z56" s="4724">
        <f t="shared" si="71"/>
        <v>0</v>
      </c>
      <c r="AA56" s="3386">
        <f t="shared" si="72"/>
        <v>0</v>
      </c>
      <c r="AB56" s="656">
        <f t="shared" si="73"/>
        <v>0</v>
      </c>
    </row>
    <row r="57" spans="1:30" ht="16.5" thickBot="1" x14ac:dyDescent="0.3">
      <c r="A57" s="561" t="s">
        <v>1688</v>
      </c>
      <c r="B57" s="565"/>
      <c r="C57" s="565"/>
      <c r="D57" s="656">
        <f t="shared" si="39"/>
        <v>0</v>
      </c>
      <c r="E57" s="565"/>
      <c r="F57" s="4724">
        <f t="shared" si="60"/>
        <v>0</v>
      </c>
      <c r="G57" s="868">
        <v>55.554000000000002</v>
      </c>
      <c r="H57" s="656">
        <f t="shared" si="61"/>
        <v>55.554000000000002</v>
      </c>
      <c r="I57" s="868"/>
      <c r="J57" s="656">
        <f t="shared" si="62"/>
        <v>55.554000000000002</v>
      </c>
      <c r="K57" s="868">
        <v>222.21600000000001</v>
      </c>
      <c r="L57" s="4724">
        <f t="shared" si="63"/>
        <v>277.77</v>
      </c>
      <c r="M57" s="4726">
        <f t="shared" si="64"/>
        <v>277.77</v>
      </c>
      <c r="N57" s="868">
        <v>0</v>
      </c>
      <c r="O57" s="656">
        <f t="shared" si="65"/>
        <v>277.77</v>
      </c>
      <c r="P57" s="563">
        <v>25.702000000000005</v>
      </c>
      <c r="Q57" s="656">
        <f t="shared" si="66"/>
        <v>303.47199999999998</v>
      </c>
      <c r="R57" s="563">
        <v>35.224999999999994</v>
      </c>
      <c r="S57" s="4724">
        <f t="shared" si="67"/>
        <v>60.927</v>
      </c>
      <c r="T57" s="656">
        <f t="shared" si="68"/>
        <v>338.697</v>
      </c>
      <c r="U57" s="868"/>
      <c r="V57" s="656">
        <f t="shared" si="69"/>
        <v>338.697</v>
      </c>
      <c r="W57" s="563">
        <v>0</v>
      </c>
      <c r="X57" s="656">
        <f t="shared" si="70"/>
        <v>338.697</v>
      </c>
      <c r="Y57" s="868">
        <v>702.0100000000001</v>
      </c>
      <c r="Z57" s="4724">
        <f t="shared" si="71"/>
        <v>702.0100000000001</v>
      </c>
      <c r="AA57" s="4726">
        <f t="shared" si="72"/>
        <v>762.93700000000013</v>
      </c>
      <c r="AB57" s="656">
        <f t="shared" si="73"/>
        <v>1040.7070000000001</v>
      </c>
    </row>
    <row r="58" spans="1:30" ht="21" thickBot="1" x14ac:dyDescent="0.3">
      <c r="A58" s="587" t="s">
        <v>778</v>
      </c>
      <c r="B58" s="588">
        <f>SUM(B49:B57)</f>
        <v>0</v>
      </c>
      <c r="C58" s="588">
        <f t="shared" ref="C58:T58" si="74">SUM(C49:C57)</f>
        <v>0</v>
      </c>
      <c r="D58" s="588">
        <f t="shared" si="74"/>
        <v>0</v>
      </c>
      <c r="E58" s="588">
        <f t="shared" si="74"/>
        <v>3473.6669999999999</v>
      </c>
      <c r="F58" s="588">
        <f t="shared" si="74"/>
        <v>3473.6669999999999</v>
      </c>
      <c r="G58" s="588">
        <f t="shared" si="74"/>
        <v>4535.41</v>
      </c>
      <c r="H58" s="588">
        <f t="shared" si="74"/>
        <v>8009.0770000000011</v>
      </c>
      <c r="I58" s="588">
        <f t="shared" si="74"/>
        <v>0</v>
      </c>
      <c r="J58" s="588">
        <f t="shared" si="74"/>
        <v>8009.0770000000011</v>
      </c>
      <c r="K58" s="588">
        <f t="shared" si="74"/>
        <v>5602.8137000000006</v>
      </c>
      <c r="L58" s="588">
        <f t="shared" si="74"/>
        <v>10138.223700000002</v>
      </c>
      <c r="M58" s="588">
        <f t="shared" si="74"/>
        <v>13611.890700000002</v>
      </c>
      <c r="N58" s="588">
        <f t="shared" si="74"/>
        <v>0</v>
      </c>
      <c r="O58" s="588">
        <f t="shared" si="74"/>
        <v>13611.890700000002</v>
      </c>
      <c r="P58" s="588">
        <f t="shared" si="74"/>
        <v>7524.74</v>
      </c>
      <c r="Q58" s="588">
        <f t="shared" si="74"/>
        <v>21136.630700000002</v>
      </c>
      <c r="R58" s="588">
        <f t="shared" si="74"/>
        <v>4203.5300000000007</v>
      </c>
      <c r="S58" s="588">
        <f t="shared" si="74"/>
        <v>11728.27</v>
      </c>
      <c r="T58" s="588">
        <f t="shared" si="74"/>
        <v>25340.1607</v>
      </c>
      <c r="U58" s="588">
        <f>SUM(U49:U57)</f>
        <v>6204.045000000001</v>
      </c>
      <c r="V58" s="588">
        <f>SUM(V49:V57)</f>
        <v>31544.205699999999</v>
      </c>
      <c r="W58" s="588">
        <f>SUM(W49:W57)</f>
        <v>3993.4449999999997</v>
      </c>
      <c r="X58" s="588">
        <f t="shared" ref="X58" si="75">SUM(X49:X57)</f>
        <v>35537.650699999998</v>
      </c>
      <c r="Y58" s="588">
        <f>SUM(Y49:Y57)</f>
        <v>4689.9100000000017</v>
      </c>
      <c r="Z58" s="588">
        <f t="shared" si="71"/>
        <v>14887.400000000003</v>
      </c>
      <c r="AA58" s="588">
        <f t="shared" si="72"/>
        <v>26615.670000000006</v>
      </c>
      <c r="AB58" s="588">
        <f t="shared" si="73"/>
        <v>40227.560700000002</v>
      </c>
    </row>
    <row r="59" spans="1:30" ht="16.5" thickBot="1" x14ac:dyDescent="0.2">
      <c r="A59" s="585"/>
      <c r="B59" s="590"/>
      <c r="C59" s="591"/>
      <c r="D59" s="591"/>
      <c r="E59" s="591"/>
      <c r="F59" s="592"/>
      <c r="G59" s="590"/>
      <c r="H59" s="591"/>
      <c r="I59" s="590"/>
      <c r="J59" s="591"/>
      <c r="K59" s="590"/>
      <c r="L59" s="592"/>
      <c r="M59" s="591"/>
      <c r="N59" s="590"/>
      <c r="O59" s="591"/>
      <c r="P59" s="590"/>
      <c r="Q59" s="591"/>
      <c r="R59" s="590"/>
      <c r="S59" s="592"/>
      <c r="T59" s="591"/>
      <c r="U59" s="590"/>
      <c r="V59" s="591"/>
      <c r="W59" s="590"/>
      <c r="X59" s="591"/>
      <c r="Y59" s="590"/>
      <c r="Z59" s="592"/>
      <c r="AA59" s="591"/>
      <c r="AB59" s="591"/>
    </row>
    <row r="60" spans="1:30" ht="21" thickBot="1" x14ac:dyDescent="0.3">
      <c r="A60" s="593" t="s">
        <v>2</v>
      </c>
      <c r="B60" s="594">
        <f>+B58+B46+B30+B21</f>
        <v>14656.67</v>
      </c>
      <c r="C60" s="594">
        <f t="shared" ref="C60:O60" si="76">+C58+C46+C30+C21</f>
        <v>9520</v>
      </c>
      <c r="D60" s="594">
        <f t="shared" si="76"/>
        <v>24176.67</v>
      </c>
      <c r="E60" s="594">
        <f t="shared" si="76"/>
        <v>44200.667000000001</v>
      </c>
      <c r="F60" s="594">
        <f t="shared" si="76"/>
        <v>68377.337</v>
      </c>
      <c r="G60" s="594">
        <f t="shared" si="76"/>
        <v>30287.783999999996</v>
      </c>
      <c r="H60" s="594">
        <f t="shared" si="76"/>
        <v>98665.121000000014</v>
      </c>
      <c r="I60" s="594">
        <f t="shared" si="76"/>
        <v>47847.896699999998</v>
      </c>
      <c r="J60" s="594">
        <f t="shared" si="76"/>
        <v>146513.01770000003</v>
      </c>
      <c r="K60" s="594">
        <f t="shared" si="76"/>
        <v>36689.472699999998</v>
      </c>
      <c r="L60" s="594">
        <f t="shared" si="76"/>
        <v>114825.1534</v>
      </c>
      <c r="M60" s="594">
        <f t="shared" si="76"/>
        <v>183202.49040000001</v>
      </c>
      <c r="N60" s="594">
        <f t="shared" si="76"/>
        <v>38230.436699999998</v>
      </c>
      <c r="O60" s="594">
        <f t="shared" si="76"/>
        <v>221432.92710000003</v>
      </c>
      <c r="P60" s="594">
        <f>+P58+P46+P30+P21</f>
        <v>41659.032000000007</v>
      </c>
      <c r="Q60" s="594">
        <f t="shared" ref="Q60" si="77">+Q58+Q46+Q30+Q21</f>
        <v>263091.95910000004</v>
      </c>
      <c r="R60" s="594">
        <f>+R58+R46+R30+R21</f>
        <v>46999.19999999999</v>
      </c>
      <c r="S60" s="594">
        <f t="shared" ref="S60:T60" si="78">+S58+S46+S30+S21</f>
        <v>126888.66869999998</v>
      </c>
      <c r="T60" s="594">
        <f t="shared" si="78"/>
        <v>310091.15909999993</v>
      </c>
      <c r="U60" s="594">
        <f>+U21+U30+U46+U58</f>
        <v>52439.386000000013</v>
      </c>
      <c r="V60" s="594">
        <f>+V21+V30+V46+V58</f>
        <v>362530.54509999993</v>
      </c>
      <c r="W60" s="594">
        <f>+W21+W30+W46+W58</f>
        <v>41383.210000000006</v>
      </c>
      <c r="X60" s="594">
        <f t="shared" ref="X60" si="79">+X58+X46+X30+X21</f>
        <v>403913.75509999995</v>
      </c>
      <c r="Y60" s="594">
        <f t="shared" ref="Y60" si="80">+Y21+Y46+Y58</f>
        <v>43926.626000000004</v>
      </c>
      <c r="Z60" s="594">
        <f t="shared" si="71"/>
        <v>137749.22200000001</v>
      </c>
      <c r="AA60" s="594">
        <f t="shared" ref="AA60" si="81">+Z60+S60</f>
        <v>264637.89069999999</v>
      </c>
      <c r="AB60" s="594">
        <f>+X60+Y60</f>
        <v>447840.38109999994</v>
      </c>
      <c r="AC60" s="4706">
        <f>+AB60-(SMS!BF41+SMS!BF42)</f>
        <v>0.93076666659908369</v>
      </c>
      <c r="AD60" s="566"/>
    </row>
    <row r="61" spans="1:30" hidden="1" x14ac:dyDescent="0.25">
      <c r="B61" s="566">
        <f>+B30+B46+B58</f>
        <v>9135.67</v>
      </c>
      <c r="C61" s="566">
        <f t="shared" ref="C61:Y61" si="82">+C30+C46+C58</f>
        <v>0</v>
      </c>
      <c r="D61" s="566">
        <f t="shared" si="82"/>
        <v>9135.67</v>
      </c>
      <c r="E61" s="566">
        <f t="shared" si="82"/>
        <v>19024.667000000001</v>
      </c>
      <c r="F61" s="566"/>
      <c r="G61" s="566">
        <f t="shared" si="82"/>
        <v>17941.697999999997</v>
      </c>
      <c r="H61" s="566">
        <f t="shared" si="82"/>
        <v>46102.035000000003</v>
      </c>
      <c r="I61" s="566">
        <f t="shared" si="82"/>
        <v>23838.896700000001</v>
      </c>
      <c r="J61" s="566">
        <f t="shared" si="82"/>
        <v>69940.931700000001</v>
      </c>
      <c r="K61" s="566">
        <f t="shared" si="82"/>
        <v>9803.1466999999993</v>
      </c>
      <c r="L61" s="566"/>
      <c r="M61" s="566"/>
      <c r="N61" s="566">
        <f t="shared" si="82"/>
        <v>30671.3367</v>
      </c>
      <c r="O61" s="566">
        <f t="shared" si="82"/>
        <v>110415.41510000001</v>
      </c>
      <c r="P61" s="566">
        <f t="shared" si="82"/>
        <v>20005.012000000002</v>
      </c>
      <c r="Q61" s="566">
        <f t="shared" si="82"/>
        <v>130420.42710000003</v>
      </c>
      <c r="R61" s="566">
        <f t="shared" si="82"/>
        <v>31375.212</v>
      </c>
      <c r="S61" s="566"/>
      <c r="T61" s="566"/>
      <c r="U61" s="566">
        <f t="shared" si="82"/>
        <v>28152.232000000011</v>
      </c>
      <c r="V61" s="566">
        <f t="shared" si="82"/>
        <v>189947.87109999996</v>
      </c>
      <c r="W61" s="566">
        <f t="shared" si="82"/>
        <v>24234.072000000007</v>
      </c>
      <c r="X61" s="566">
        <f t="shared" si="82"/>
        <v>214181.94309999997</v>
      </c>
      <c r="Y61" s="566">
        <f t="shared" si="82"/>
        <v>26591.544000000002</v>
      </c>
    </row>
    <row r="62" spans="1:30" hidden="1" x14ac:dyDescent="0.25">
      <c r="B62" s="559">
        <v>9135.6666999999998</v>
      </c>
      <c r="E62" s="559">
        <v>19024.666700000002</v>
      </c>
      <c r="G62" s="559">
        <v>17941.666700000002</v>
      </c>
      <c r="I62" s="559">
        <v>23838.896700000001</v>
      </c>
      <c r="K62" s="559">
        <v>9803.1466999999993</v>
      </c>
      <c r="N62" s="559">
        <v>30671.3367</v>
      </c>
      <c r="P62" s="559">
        <v>20004.5167</v>
      </c>
      <c r="R62" s="559">
        <v>31374.7467</v>
      </c>
      <c r="U62" s="559">
        <v>28152.346699999998</v>
      </c>
      <c r="W62" s="559">
        <v>24233.786700000001</v>
      </c>
      <c r="Y62" s="559">
        <v>26591.666700000002</v>
      </c>
    </row>
    <row r="63" spans="1:30" hidden="1" x14ac:dyDescent="0.25">
      <c r="B63" s="4711">
        <f>+B62-B61</f>
        <v>-3.3000000003085006E-3</v>
      </c>
      <c r="C63" s="4711">
        <f t="shared" ref="C63:Y63" si="83">+C62-C61</f>
        <v>0</v>
      </c>
      <c r="D63" s="4711">
        <f t="shared" si="83"/>
        <v>-9135.67</v>
      </c>
      <c r="E63" s="4711">
        <f t="shared" si="83"/>
        <v>-2.9999999969732016E-4</v>
      </c>
      <c r="F63" s="4711"/>
      <c r="G63" s="4711">
        <f t="shared" si="83"/>
        <v>-3.1299999995098915E-2</v>
      </c>
      <c r="H63" s="4711">
        <f t="shared" si="83"/>
        <v>-46102.035000000003</v>
      </c>
      <c r="I63" s="4711">
        <f t="shared" si="83"/>
        <v>0</v>
      </c>
      <c r="J63" s="4711">
        <f t="shared" si="83"/>
        <v>-69940.931700000001</v>
      </c>
      <c r="K63" s="4711">
        <f t="shared" si="83"/>
        <v>0</v>
      </c>
      <c r="L63" s="4711"/>
      <c r="M63" s="4711"/>
      <c r="N63" s="4711">
        <f t="shared" si="83"/>
        <v>0</v>
      </c>
      <c r="O63" s="4711">
        <f t="shared" si="83"/>
        <v>-110415.41510000001</v>
      </c>
      <c r="P63" s="4711">
        <f t="shared" si="83"/>
        <v>-0.49530000000231666</v>
      </c>
      <c r="Q63" s="4711">
        <f t="shared" si="83"/>
        <v>-130420.42710000003</v>
      </c>
      <c r="R63" s="4711">
        <f t="shared" si="83"/>
        <v>-0.46529999999984284</v>
      </c>
      <c r="S63" s="4711"/>
      <c r="T63" s="4711"/>
      <c r="U63" s="4711">
        <f t="shared" si="83"/>
        <v>0.11469999998735148</v>
      </c>
      <c r="V63" s="4711">
        <f t="shared" si="83"/>
        <v>-189947.87109999996</v>
      </c>
      <c r="W63" s="4711">
        <f t="shared" si="83"/>
        <v>-0.28530000000682776</v>
      </c>
      <c r="X63" s="4711">
        <f t="shared" si="83"/>
        <v>-214181.94309999997</v>
      </c>
      <c r="Y63" s="4711">
        <f t="shared" si="83"/>
        <v>0.12269999999989523</v>
      </c>
      <c r="Z63" s="4711"/>
    </row>
    <row r="64" spans="1:30" ht="20.25" hidden="1" x14ac:dyDescent="0.25">
      <c r="A64" s="4703" t="s">
        <v>1917</v>
      </c>
      <c r="B64" s="4705">
        <f>+B21-SMS!F41</f>
        <v>-0.18000000000029104</v>
      </c>
      <c r="C64" s="4705">
        <f>+C21-SMS!H41</f>
        <v>0.33333333333393966</v>
      </c>
      <c r="D64" s="4676"/>
      <c r="E64" s="4704">
        <f>+E21-SMS!L41</f>
        <v>0</v>
      </c>
      <c r="F64" s="4704"/>
      <c r="G64" s="4705">
        <f>+G21-SMS!P41</f>
        <v>8.5999999999330612E-2</v>
      </c>
      <c r="H64" s="4704"/>
      <c r="I64" s="4705">
        <f>+I21-SMS!T41</f>
        <v>-9.9999999983992893E-3</v>
      </c>
      <c r="J64" s="4704"/>
      <c r="K64" s="4705">
        <f>+K21-SMS!X41</f>
        <v>-0.22399999999834108</v>
      </c>
      <c r="L64" s="4704"/>
      <c r="M64" s="4704"/>
      <c r="N64" s="4705">
        <f>+N21-SMS!AD41</f>
        <v>0.24000000000069122</v>
      </c>
      <c r="O64" s="4704"/>
      <c r="P64" s="4705">
        <f>+P21-SMS!AH41</f>
        <v>0.11999999999898137</v>
      </c>
      <c r="Q64" s="4704"/>
      <c r="R64" s="4705">
        <f>+R21-SMS!AL41</f>
        <v>-0.12200000000848377</v>
      </c>
      <c r="S64" s="4704"/>
      <c r="T64" s="4704"/>
      <c r="U64" s="4705">
        <f>+U21-SMS!AR41</f>
        <v>-0.45599999999831198</v>
      </c>
      <c r="V64" s="4704"/>
      <c r="W64" s="4705">
        <f>+W21-SMS!AV41</f>
        <v>1.8000000000029104E-2</v>
      </c>
      <c r="X64" s="4704"/>
      <c r="Y64" s="4705">
        <f>+Y21-SMS!AZ41</f>
        <v>8.2000000002153683E-2</v>
      </c>
      <c r="Z64" s="4703"/>
      <c r="AA64" s="4703"/>
      <c r="AB64" s="4703"/>
    </row>
    <row r="65" spans="1:27" ht="20.25" hidden="1" x14ac:dyDescent="0.25">
      <c r="A65" s="4703" t="s">
        <v>1918</v>
      </c>
      <c r="B65" s="4705">
        <f>+(B30+B46+B58)-SMS!F42</f>
        <v>3.3333333340124227E-3</v>
      </c>
      <c r="C65" s="4705">
        <f>+(C30+C46+C58)-SMS!H42</f>
        <v>0</v>
      </c>
      <c r="D65" s="4676"/>
      <c r="E65" s="4705">
        <f>+(E30+E46+E58)-SMS!L42</f>
        <v>3.3333333340124227E-4</v>
      </c>
      <c r="F65" s="4704"/>
      <c r="G65" s="4705">
        <f>+(G30+G46+G58)-SMS!P42</f>
        <v>3.1333333328802837E-2</v>
      </c>
      <c r="H65" s="4705">
        <f>+(H30+H46+H58)-SMS!O42</f>
        <v>46102.035000000003</v>
      </c>
      <c r="I65" s="4705">
        <f>+(I30+I46+I58)-SMS!T42</f>
        <v>3.3333333703922108E-5</v>
      </c>
      <c r="J65" s="4705">
        <f>+(J30+J46+J58)-SMS!Q42</f>
        <v>69940.931700000001</v>
      </c>
      <c r="K65" s="4705">
        <f>+(K30+K46+K58)-SMS!X42</f>
        <v>3.3333333703922108E-5</v>
      </c>
      <c r="L65" s="4704"/>
      <c r="M65" s="4704"/>
      <c r="N65" s="4705">
        <f>+(N30+N46+N58)-SMS!AD42</f>
        <v>-2.9999999969732016E-4</v>
      </c>
      <c r="O65" s="4705">
        <f>+(O30+O46+O58)-SMS!V42</f>
        <v>40474.518433333345</v>
      </c>
      <c r="P65" s="4705">
        <f>+(P30+P46+P58)-SMS!AH42</f>
        <v>0.49533333333238261</v>
      </c>
      <c r="Q65" s="4705">
        <f>+(Q30+Q46+Q58)-SMS!X42</f>
        <v>120617.28043333336</v>
      </c>
      <c r="R65" s="4705">
        <f>+(R30+R46+R58)-SMS!AL42</f>
        <v>0.46533333332990878</v>
      </c>
      <c r="S65" s="4704"/>
      <c r="T65" s="4704"/>
      <c r="U65" s="4705">
        <f>+(U30+U46+U58)-SMS!AR42</f>
        <v>-0.11466666665728553</v>
      </c>
      <c r="V65" s="4705">
        <f>+(V30+V46+V58)-SMS!AC42</f>
        <v>189947.87109999996</v>
      </c>
      <c r="W65" s="4705">
        <f>+(W30+W46+W58)-SMS!AV42</f>
        <v>0.2853333333368937</v>
      </c>
      <c r="X65" s="4705">
        <f>+(X30+X46+X58)-SMS!AE42</f>
        <v>214181.94309999997</v>
      </c>
      <c r="Y65" s="4705">
        <f>+(Y30+Y46+Y58)-SMS!AZ42</f>
        <v>-0.1226666666661913</v>
      </c>
    </row>
    <row r="66" spans="1:27" hidden="1" x14ac:dyDescent="0.25"/>
    <row r="67" spans="1:27" ht="30.75" hidden="1" customHeight="1" x14ac:dyDescent="0.25">
      <c r="U67" s="559" t="s">
        <v>1762</v>
      </c>
      <c r="V67" s="559" t="s">
        <v>31</v>
      </c>
      <c r="W67" s="559" t="s">
        <v>1813</v>
      </c>
      <c r="X67" s="559" t="s">
        <v>809</v>
      </c>
      <c r="Y67" s="559" t="s">
        <v>1852</v>
      </c>
    </row>
    <row r="68" spans="1:27" ht="20.25" hidden="1" x14ac:dyDescent="0.25">
      <c r="A68" s="4713" t="s">
        <v>751</v>
      </c>
      <c r="B68" s="4710">
        <f>+B7</f>
        <v>2050</v>
      </c>
      <c r="C68" s="4710">
        <f t="shared" ref="C68:Y68" si="84">+C7</f>
        <v>442</v>
      </c>
      <c r="D68" s="4710">
        <f t="shared" si="84"/>
        <v>2492</v>
      </c>
      <c r="E68" s="4710">
        <f t="shared" si="84"/>
        <v>0</v>
      </c>
      <c r="F68" s="566"/>
      <c r="G68" s="566">
        <f t="shared" si="84"/>
        <v>219.34</v>
      </c>
      <c r="H68" s="566">
        <f t="shared" si="84"/>
        <v>2711.34</v>
      </c>
      <c r="I68" s="566">
        <f t="shared" si="84"/>
        <v>4318</v>
      </c>
      <c r="J68" s="566">
        <f t="shared" si="84"/>
        <v>7029.34</v>
      </c>
      <c r="K68" s="566">
        <f t="shared" si="84"/>
        <v>3453.4540000000002</v>
      </c>
      <c r="L68" s="566"/>
      <c r="M68" s="566"/>
      <c r="N68" s="566">
        <f t="shared" si="84"/>
        <v>1122.346</v>
      </c>
      <c r="O68" s="566">
        <f t="shared" si="84"/>
        <v>11605.14</v>
      </c>
      <c r="P68" s="566">
        <f t="shared" si="84"/>
        <v>1006.4340000000002</v>
      </c>
      <c r="Q68" s="566">
        <f t="shared" si="84"/>
        <v>12611.574000000001</v>
      </c>
      <c r="R68" s="566">
        <f t="shared" si="84"/>
        <v>6743.8099999999904</v>
      </c>
      <c r="S68" s="566"/>
      <c r="T68" s="566"/>
      <c r="U68" s="566">
        <f t="shared" si="84"/>
        <v>11614.536</v>
      </c>
      <c r="V68" s="566">
        <f t="shared" si="84"/>
        <v>30969.919999999991</v>
      </c>
      <c r="W68" s="566">
        <f t="shared" si="84"/>
        <v>5260.0159999999996</v>
      </c>
      <c r="X68" s="566">
        <f t="shared" si="84"/>
        <v>36229.935999999987</v>
      </c>
      <c r="Y68" s="566">
        <f t="shared" si="84"/>
        <v>5786.39</v>
      </c>
      <c r="Z68" s="566"/>
      <c r="AA68" s="4710">
        <f>SUM(B68:Y68)</f>
        <v>145665.576</v>
      </c>
    </row>
    <row r="69" spans="1:27" ht="20.25" hidden="1" x14ac:dyDescent="0.25">
      <c r="A69" s="4713" t="s">
        <v>1387</v>
      </c>
      <c r="B69" s="4710">
        <f>+B11</f>
        <v>0</v>
      </c>
      <c r="C69" s="4710">
        <f t="shared" ref="C69:Y69" si="85">+C11</f>
        <v>2610</v>
      </c>
      <c r="D69" s="4710">
        <f t="shared" si="85"/>
        <v>2610</v>
      </c>
      <c r="E69" s="4710">
        <f t="shared" si="85"/>
        <v>17809</v>
      </c>
      <c r="F69" s="566"/>
      <c r="G69" s="566">
        <f t="shared" si="85"/>
        <v>0</v>
      </c>
      <c r="H69" s="566">
        <f t="shared" si="85"/>
        <v>20419</v>
      </c>
      <c r="I69" s="566">
        <f t="shared" si="85"/>
        <v>0</v>
      </c>
      <c r="J69" s="566">
        <f t="shared" si="85"/>
        <v>20419</v>
      </c>
      <c r="K69" s="566">
        <f t="shared" si="85"/>
        <v>16682.536</v>
      </c>
      <c r="L69" s="566"/>
      <c r="M69" s="566"/>
      <c r="N69" s="566">
        <f t="shared" si="85"/>
        <v>2402.712</v>
      </c>
      <c r="O69" s="566">
        <f t="shared" si="85"/>
        <v>39504.248</v>
      </c>
      <c r="P69" s="566">
        <f t="shared" si="85"/>
        <v>18594.952000000001</v>
      </c>
      <c r="Q69" s="566">
        <f t="shared" si="85"/>
        <v>58099.199999999997</v>
      </c>
      <c r="R69" s="566">
        <f t="shared" si="85"/>
        <v>0</v>
      </c>
      <c r="S69" s="566"/>
      <c r="T69" s="566"/>
      <c r="U69" s="566">
        <f t="shared" si="85"/>
        <v>0</v>
      </c>
      <c r="V69" s="566">
        <f t="shared" si="85"/>
        <v>58099.199999999997</v>
      </c>
      <c r="W69" s="566">
        <f t="shared" si="85"/>
        <v>0</v>
      </c>
      <c r="X69" s="566">
        <f t="shared" si="85"/>
        <v>58099.199999999997</v>
      </c>
      <c r="Y69" s="566">
        <f t="shared" si="85"/>
        <v>0</v>
      </c>
      <c r="Z69" s="566"/>
      <c r="AA69" s="4710">
        <f t="shared" ref="AA69:AA77" si="86">SUM(B69:Y69)</f>
        <v>315349.04800000001</v>
      </c>
    </row>
    <row r="70" spans="1:27" ht="20.25" hidden="1" x14ac:dyDescent="0.25">
      <c r="A70" s="4713" t="s">
        <v>825</v>
      </c>
      <c r="B70" s="4710">
        <f>+B13+B16</f>
        <v>0</v>
      </c>
      <c r="C70" s="4710">
        <f t="shared" ref="C70:Y70" si="87">+C13+C16</f>
        <v>5476</v>
      </c>
      <c r="D70" s="4710">
        <f t="shared" si="87"/>
        <v>5476</v>
      </c>
      <c r="E70" s="4710">
        <f t="shared" si="87"/>
        <v>1993</v>
      </c>
      <c r="F70" s="566"/>
      <c r="G70" s="566">
        <f t="shared" si="87"/>
        <v>2689.6779999999999</v>
      </c>
      <c r="H70" s="566">
        <f t="shared" si="87"/>
        <v>10158.678</v>
      </c>
      <c r="I70" s="566">
        <f t="shared" si="87"/>
        <v>0</v>
      </c>
      <c r="J70" s="566">
        <f t="shared" si="87"/>
        <v>10158.678</v>
      </c>
      <c r="K70" s="566">
        <f t="shared" si="87"/>
        <v>0</v>
      </c>
      <c r="L70" s="566"/>
      <c r="M70" s="566"/>
      <c r="N70" s="566">
        <f t="shared" si="87"/>
        <v>147.18600000000001</v>
      </c>
      <c r="O70" s="566">
        <f t="shared" si="87"/>
        <v>10305.864</v>
      </c>
      <c r="P70" s="566">
        <f t="shared" si="87"/>
        <v>0</v>
      </c>
      <c r="Q70" s="566">
        <f t="shared" si="87"/>
        <v>10305.864</v>
      </c>
      <c r="R70" s="566">
        <f t="shared" si="87"/>
        <v>0</v>
      </c>
      <c r="S70" s="566"/>
      <c r="T70" s="566"/>
      <c r="U70" s="566">
        <f t="shared" si="87"/>
        <v>0</v>
      </c>
      <c r="V70" s="566">
        <f t="shared" si="87"/>
        <v>10305.864</v>
      </c>
      <c r="W70" s="566">
        <f t="shared" si="87"/>
        <v>5578.2560000000003</v>
      </c>
      <c r="X70" s="566">
        <f t="shared" si="87"/>
        <v>15884.119999999999</v>
      </c>
      <c r="Y70" s="566">
        <f t="shared" si="87"/>
        <v>2550.4479999999999</v>
      </c>
      <c r="Z70" s="566"/>
      <c r="AA70" s="4710">
        <f t="shared" si="86"/>
        <v>91029.635999999999</v>
      </c>
    </row>
    <row r="71" spans="1:27" ht="20.25" hidden="1" x14ac:dyDescent="0.25">
      <c r="A71" s="4713" t="s">
        <v>1726</v>
      </c>
      <c r="B71" s="4710">
        <f>+B12</f>
        <v>0</v>
      </c>
      <c r="C71" s="4710">
        <f t="shared" ref="C71:Y71" si="88">+C12</f>
        <v>0</v>
      </c>
      <c r="D71" s="4710">
        <f t="shared" si="88"/>
        <v>0</v>
      </c>
      <c r="E71" s="4710">
        <f t="shared" si="88"/>
        <v>0</v>
      </c>
      <c r="F71" s="566"/>
      <c r="G71" s="566">
        <f t="shared" si="88"/>
        <v>0</v>
      </c>
      <c r="H71" s="566">
        <f t="shared" si="88"/>
        <v>0</v>
      </c>
      <c r="I71" s="566">
        <f t="shared" si="88"/>
        <v>0</v>
      </c>
      <c r="J71" s="566">
        <f t="shared" si="88"/>
        <v>0</v>
      </c>
      <c r="K71" s="566">
        <f t="shared" si="88"/>
        <v>0</v>
      </c>
      <c r="L71" s="566"/>
      <c r="M71" s="566"/>
      <c r="N71" s="566">
        <f t="shared" si="88"/>
        <v>0</v>
      </c>
      <c r="O71" s="566">
        <f t="shared" si="88"/>
        <v>0</v>
      </c>
      <c r="P71" s="566">
        <f t="shared" si="88"/>
        <v>0</v>
      </c>
      <c r="Q71" s="566">
        <f t="shared" si="88"/>
        <v>0</v>
      </c>
      <c r="R71" s="566">
        <f t="shared" si="88"/>
        <v>1694.6279999999999</v>
      </c>
      <c r="S71" s="566"/>
      <c r="T71" s="566"/>
      <c r="U71" s="566">
        <f t="shared" si="88"/>
        <v>0</v>
      </c>
      <c r="V71" s="566">
        <f t="shared" si="88"/>
        <v>1694.6279999999999</v>
      </c>
      <c r="W71" s="566">
        <f t="shared" si="88"/>
        <v>0</v>
      </c>
      <c r="X71" s="566">
        <f t="shared" si="88"/>
        <v>1694.6279999999999</v>
      </c>
      <c r="Y71" s="566">
        <f t="shared" si="88"/>
        <v>0</v>
      </c>
      <c r="Z71" s="566"/>
      <c r="AA71" s="4710">
        <f t="shared" si="86"/>
        <v>5083.884</v>
      </c>
    </row>
    <row r="72" spans="1:27" ht="20.25" hidden="1" x14ac:dyDescent="0.25">
      <c r="A72" s="4713" t="s">
        <v>824</v>
      </c>
      <c r="B72" s="4710">
        <f>+B14+B15</f>
        <v>0</v>
      </c>
      <c r="C72" s="4710">
        <f t="shared" ref="C72:Y72" si="89">+C14+C15</f>
        <v>0</v>
      </c>
      <c r="D72" s="4710">
        <f t="shared" si="89"/>
        <v>0</v>
      </c>
      <c r="E72" s="4710">
        <f t="shared" si="89"/>
        <v>1022</v>
      </c>
      <c r="F72" s="566"/>
      <c r="G72" s="566">
        <f t="shared" si="89"/>
        <v>2120.8240000000001</v>
      </c>
      <c r="H72" s="566">
        <f t="shared" si="89"/>
        <v>3142.8240000000001</v>
      </c>
      <c r="I72" s="566">
        <f t="shared" si="89"/>
        <v>2927</v>
      </c>
      <c r="J72" s="566">
        <f t="shared" si="89"/>
        <v>6069.8240000000005</v>
      </c>
      <c r="K72" s="566">
        <f t="shared" si="89"/>
        <v>1066.104</v>
      </c>
      <c r="L72" s="566"/>
      <c r="M72" s="566"/>
      <c r="N72" s="566">
        <f t="shared" si="89"/>
        <v>127.29600000000001</v>
      </c>
      <c r="O72" s="566">
        <f t="shared" si="89"/>
        <v>7263.2240000000011</v>
      </c>
      <c r="P72" s="566">
        <f t="shared" si="89"/>
        <v>0</v>
      </c>
      <c r="Q72" s="566">
        <f t="shared" si="89"/>
        <v>7263.2240000000011</v>
      </c>
      <c r="R72" s="566">
        <f t="shared" si="89"/>
        <v>4465.5479999999998</v>
      </c>
      <c r="S72" s="566"/>
      <c r="T72" s="566"/>
      <c r="U72" s="566">
        <f t="shared" si="89"/>
        <v>7284.8179999999993</v>
      </c>
      <c r="V72" s="566">
        <f t="shared" si="89"/>
        <v>19013.59</v>
      </c>
      <c r="W72" s="566">
        <f t="shared" si="89"/>
        <v>425.64599999999996</v>
      </c>
      <c r="X72" s="566">
        <f t="shared" si="89"/>
        <v>19439.236000000001</v>
      </c>
      <c r="Y72" s="566">
        <f t="shared" si="89"/>
        <v>684.21599999999989</v>
      </c>
      <c r="Z72" s="566"/>
      <c r="AA72" s="4710">
        <f t="shared" si="86"/>
        <v>82315.373999999996</v>
      </c>
    </row>
    <row r="73" spans="1:27" ht="20.25" hidden="1" x14ac:dyDescent="0.25">
      <c r="A73" s="4713" t="s">
        <v>1599</v>
      </c>
      <c r="B73" s="4710">
        <f>+B9</f>
        <v>0</v>
      </c>
      <c r="C73" s="4710">
        <f t="shared" ref="C73:Y73" si="90">+C9</f>
        <v>0</v>
      </c>
      <c r="D73" s="4710">
        <f t="shared" si="90"/>
        <v>0</v>
      </c>
      <c r="E73" s="4710">
        <f t="shared" si="90"/>
        <v>0</v>
      </c>
      <c r="F73" s="566"/>
      <c r="G73" s="566">
        <f t="shared" si="90"/>
        <v>0</v>
      </c>
      <c r="H73" s="566">
        <f t="shared" si="90"/>
        <v>0</v>
      </c>
      <c r="I73" s="566">
        <f t="shared" si="90"/>
        <v>0</v>
      </c>
      <c r="J73" s="566">
        <f t="shared" si="90"/>
        <v>0</v>
      </c>
      <c r="K73" s="566">
        <f t="shared" si="90"/>
        <v>0</v>
      </c>
      <c r="L73" s="566"/>
      <c r="M73" s="566"/>
      <c r="N73" s="566">
        <f t="shared" si="90"/>
        <v>0</v>
      </c>
      <c r="O73" s="566">
        <f t="shared" si="90"/>
        <v>0</v>
      </c>
      <c r="P73" s="566">
        <f t="shared" si="90"/>
        <v>0</v>
      </c>
      <c r="Q73" s="566">
        <f t="shared" si="90"/>
        <v>0</v>
      </c>
      <c r="R73" s="566">
        <f t="shared" si="90"/>
        <v>0</v>
      </c>
      <c r="S73" s="566"/>
      <c r="T73" s="566"/>
      <c r="U73" s="566">
        <f t="shared" si="90"/>
        <v>0</v>
      </c>
      <c r="V73" s="566">
        <f t="shared" si="90"/>
        <v>0</v>
      </c>
      <c r="W73" s="566">
        <f t="shared" si="90"/>
        <v>696.15</v>
      </c>
      <c r="X73" s="566">
        <f t="shared" si="90"/>
        <v>696.15</v>
      </c>
      <c r="Y73" s="566">
        <f t="shared" si="90"/>
        <v>1413.8720000000001</v>
      </c>
      <c r="Z73" s="566"/>
      <c r="AA73" s="4710">
        <f t="shared" si="86"/>
        <v>2806.172</v>
      </c>
    </row>
    <row r="74" spans="1:27" ht="20.25" hidden="1" x14ac:dyDescent="0.25">
      <c r="A74" s="4713" t="s">
        <v>755</v>
      </c>
      <c r="B74" s="4710">
        <f>+B17</f>
        <v>3358</v>
      </c>
      <c r="C74" s="4710">
        <f t="shared" ref="C74:Y74" si="91">+C17</f>
        <v>754</v>
      </c>
      <c r="D74" s="4710">
        <f t="shared" si="91"/>
        <v>4112</v>
      </c>
      <c r="E74" s="4710">
        <f t="shared" si="91"/>
        <v>1684</v>
      </c>
      <c r="F74" s="566"/>
      <c r="G74" s="566">
        <f t="shared" si="91"/>
        <v>4968.4160000000002</v>
      </c>
      <c r="H74" s="566">
        <f t="shared" si="91"/>
        <v>10764.416000000001</v>
      </c>
      <c r="I74" s="566">
        <f t="shared" si="91"/>
        <v>4123</v>
      </c>
      <c r="J74" s="566">
        <f t="shared" si="91"/>
        <v>14887.416000000001</v>
      </c>
      <c r="K74" s="566">
        <f t="shared" si="91"/>
        <v>4112.9160000000002</v>
      </c>
      <c r="L74" s="566"/>
      <c r="M74" s="566"/>
      <c r="N74" s="566">
        <f t="shared" si="91"/>
        <v>3597.56</v>
      </c>
      <c r="O74" s="566">
        <f t="shared" si="91"/>
        <v>22597.892000000003</v>
      </c>
      <c r="P74" s="566">
        <f t="shared" si="91"/>
        <v>259.35199999999998</v>
      </c>
      <c r="Q74" s="566">
        <f t="shared" si="91"/>
        <v>22857.244000000002</v>
      </c>
      <c r="R74" s="566">
        <f t="shared" si="91"/>
        <v>2354.8240000000001</v>
      </c>
      <c r="S74" s="566"/>
      <c r="T74" s="566"/>
      <c r="U74" s="566">
        <f t="shared" si="91"/>
        <v>4591.5640000000003</v>
      </c>
      <c r="V74" s="566">
        <f t="shared" si="91"/>
        <v>29803.632000000005</v>
      </c>
      <c r="W74" s="566">
        <f t="shared" si="91"/>
        <v>2942.5</v>
      </c>
      <c r="X74" s="566">
        <f t="shared" si="91"/>
        <v>32746.132000000005</v>
      </c>
      <c r="Y74" s="566">
        <f t="shared" si="91"/>
        <v>4238.3440000000001</v>
      </c>
      <c r="Z74" s="566"/>
      <c r="AA74" s="4710">
        <f t="shared" si="86"/>
        <v>174753.20800000004</v>
      </c>
    </row>
    <row r="75" spans="1:27" ht="20.25" hidden="1" x14ac:dyDescent="0.25">
      <c r="A75" s="4713" t="s">
        <v>1505</v>
      </c>
      <c r="B75" s="4710">
        <f>+B18</f>
        <v>0</v>
      </c>
      <c r="C75" s="4710">
        <f t="shared" ref="C75:Y75" si="92">+C18</f>
        <v>0</v>
      </c>
      <c r="D75" s="4710">
        <f t="shared" si="92"/>
        <v>0</v>
      </c>
      <c r="E75" s="4710">
        <f t="shared" si="92"/>
        <v>0</v>
      </c>
      <c r="F75" s="566"/>
      <c r="G75" s="566">
        <f t="shared" si="92"/>
        <v>0</v>
      </c>
      <c r="H75" s="566">
        <f t="shared" si="92"/>
        <v>0</v>
      </c>
      <c r="I75" s="566">
        <f t="shared" si="92"/>
        <v>7834</v>
      </c>
      <c r="J75" s="566">
        <f t="shared" si="92"/>
        <v>7834</v>
      </c>
      <c r="K75" s="566">
        <f t="shared" si="92"/>
        <v>190.94399999999999</v>
      </c>
      <c r="L75" s="566"/>
      <c r="M75" s="566"/>
      <c r="N75" s="566">
        <f t="shared" si="92"/>
        <v>0</v>
      </c>
      <c r="O75" s="566">
        <f t="shared" si="92"/>
        <v>8024.9440000000004</v>
      </c>
      <c r="P75" s="566">
        <f t="shared" si="92"/>
        <v>291.72000000000003</v>
      </c>
      <c r="Q75" s="566">
        <f t="shared" si="92"/>
        <v>8316.6640000000007</v>
      </c>
      <c r="R75" s="566">
        <f t="shared" si="92"/>
        <v>0</v>
      </c>
      <c r="S75" s="566"/>
      <c r="T75" s="566"/>
      <c r="U75" s="566">
        <f t="shared" si="92"/>
        <v>0</v>
      </c>
      <c r="V75" s="566">
        <f t="shared" si="92"/>
        <v>8316.6640000000007</v>
      </c>
      <c r="W75" s="566">
        <f t="shared" si="92"/>
        <v>0</v>
      </c>
      <c r="X75" s="566">
        <f t="shared" si="92"/>
        <v>8316.6640000000007</v>
      </c>
      <c r="Y75" s="566">
        <f t="shared" si="92"/>
        <v>0</v>
      </c>
      <c r="Z75" s="566"/>
      <c r="AA75" s="4710">
        <f t="shared" si="86"/>
        <v>49125.600000000006</v>
      </c>
    </row>
    <row r="76" spans="1:27" ht="20.25" hidden="1" x14ac:dyDescent="0.25">
      <c r="A76" s="4713" t="s">
        <v>1434</v>
      </c>
      <c r="B76" s="4710">
        <f>+B19</f>
        <v>0</v>
      </c>
      <c r="C76" s="4710">
        <f t="shared" ref="C76:Y76" si="93">+C19</f>
        <v>0</v>
      </c>
      <c r="D76" s="4710">
        <f t="shared" si="93"/>
        <v>0</v>
      </c>
      <c r="E76" s="4710">
        <f t="shared" si="93"/>
        <v>0</v>
      </c>
      <c r="F76" s="566"/>
      <c r="G76" s="566">
        <f t="shared" si="93"/>
        <v>1644.24</v>
      </c>
      <c r="H76" s="566">
        <f t="shared" si="93"/>
        <v>1644.24</v>
      </c>
      <c r="I76" s="566">
        <f t="shared" si="93"/>
        <v>4102</v>
      </c>
      <c r="J76" s="566">
        <f t="shared" si="93"/>
        <v>5746.24</v>
      </c>
      <c r="K76" s="566">
        <f t="shared" si="93"/>
        <v>0</v>
      </c>
      <c r="L76" s="566"/>
      <c r="M76" s="566"/>
      <c r="N76" s="566">
        <f t="shared" si="93"/>
        <v>0</v>
      </c>
      <c r="O76" s="566">
        <f t="shared" si="93"/>
        <v>5746.24</v>
      </c>
      <c r="P76" s="566">
        <f t="shared" si="93"/>
        <v>0</v>
      </c>
      <c r="Q76" s="566">
        <f t="shared" si="93"/>
        <v>5746.24</v>
      </c>
      <c r="R76" s="566">
        <f t="shared" si="93"/>
        <v>0</v>
      </c>
      <c r="S76" s="566"/>
      <c r="T76" s="566"/>
      <c r="U76" s="566">
        <f t="shared" si="93"/>
        <v>0</v>
      </c>
      <c r="V76" s="566">
        <f t="shared" si="93"/>
        <v>5746.24</v>
      </c>
      <c r="W76" s="566">
        <f t="shared" si="93"/>
        <v>0</v>
      </c>
      <c r="X76" s="566">
        <f t="shared" si="93"/>
        <v>5746.24</v>
      </c>
      <c r="Y76" s="566">
        <f t="shared" si="93"/>
        <v>0</v>
      </c>
      <c r="Z76" s="566"/>
      <c r="AA76" s="4710">
        <f t="shared" si="86"/>
        <v>36121.679999999993</v>
      </c>
    </row>
    <row r="77" spans="1:27" hidden="1" x14ac:dyDescent="0.25">
      <c r="B77" s="4710">
        <f>SUM(B68:B76)</f>
        <v>5408</v>
      </c>
      <c r="C77" s="4710">
        <f t="shared" ref="C77:Y77" si="94">SUM(C68:C76)</f>
        <v>9282</v>
      </c>
      <c r="D77" s="4710">
        <f t="shared" si="94"/>
        <v>14690</v>
      </c>
      <c r="E77" s="4710">
        <f t="shared" si="94"/>
        <v>22508</v>
      </c>
      <c r="F77" s="4710">
        <f t="shared" si="94"/>
        <v>0</v>
      </c>
      <c r="G77" s="4710">
        <f t="shared" si="94"/>
        <v>11642.498000000001</v>
      </c>
      <c r="H77" s="4710">
        <f t="shared" si="94"/>
        <v>48840.498</v>
      </c>
      <c r="I77" s="4710">
        <f t="shared" si="94"/>
        <v>23304</v>
      </c>
      <c r="J77" s="4710">
        <f t="shared" si="94"/>
        <v>72144.498000000007</v>
      </c>
      <c r="K77" s="4710">
        <f t="shared" si="94"/>
        <v>25505.954000000002</v>
      </c>
      <c r="L77" s="4710"/>
      <c r="M77" s="4710"/>
      <c r="N77" s="4710">
        <f t="shared" si="94"/>
        <v>7397.1</v>
      </c>
      <c r="O77" s="4710">
        <f t="shared" si="94"/>
        <v>105047.55200000001</v>
      </c>
      <c r="P77" s="4710">
        <f t="shared" si="94"/>
        <v>20152.458000000002</v>
      </c>
      <c r="Q77" s="4710">
        <f t="shared" si="94"/>
        <v>125200.01000000002</v>
      </c>
      <c r="R77" s="4710">
        <f t="shared" si="94"/>
        <v>15258.80999999999</v>
      </c>
      <c r="S77" s="4710"/>
      <c r="T77" s="4710"/>
      <c r="U77" s="4710">
        <f t="shared" si="94"/>
        <v>23490.917999999998</v>
      </c>
      <c r="V77" s="4710">
        <f t="shared" si="94"/>
        <v>163949.73799999998</v>
      </c>
      <c r="W77" s="4710">
        <f t="shared" si="94"/>
        <v>14902.568000000001</v>
      </c>
      <c r="X77" s="4710">
        <f t="shared" si="94"/>
        <v>178852.30599999995</v>
      </c>
      <c r="Y77" s="4710">
        <f t="shared" si="94"/>
        <v>14673.27</v>
      </c>
      <c r="Z77" s="4710"/>
      <c r="AA77" s="4710">
        <f t="shared" si="86"/>
        <v>902250.17799999996</v>
      </c>
    </row>
    <row r="78" spans="1:27" hidden="1" x14ac:dyDescent="0.25"/>
    <row r="79" spans="1:27" hidden="1" x14ac:dyDescent="0.25"/>
    <row r="80" spans="1:27" hidden="1" x14ac:dyDescent="0.25"/>
    <row r="81" hidden="1" x14ac:dyDescent="0.25"/>
    <row r="82" hidden="1" x14ac:dyDescent="0.25"/>
  </sheetData>
  <mergeCells count="3">
    <mergeCell ref="A2:T2"/>
    <mergeCell ref="A4:A5"/>
    <mergeCell ref="B4:AB4"/>
  </mergeCells>
  <pageMargins left="0.7" right="0.7" top="0.75" bottom="0.75" header="0.3" footer="0.3"/>
  <pageSetup paperSize="9" scale="56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0033"/>
    <pageSetUpPr fitToPage="1"/>
  </sheetPr>
  <dimension ref="A1:BH134"/>
  <sheetViews>
    <sheetView zoomScaleNormal="100" workbookViewId="0">
      <pane xSplit="3" topLeftCell="D1" activePane="topRight" state="frozen"/>
      <selection pane="topRight" activeCell="AZ9" sqref="AZ9"/>
    </sheetView>
  </sheetViews>
  <sheetFormatPr defaultColWidth="8.85546875" defaultRowHeight="15" x14ac:dyDescent="0.25"/>
  <cols>
    <col min="2" max="2" width="56.85546875" bestFit="1" customWidth="1"/>
    <col min="3" max="3" width="19.85546875" bestFit="1" customWidth="1"/>
    <col min="4" max="4" width="19" style="477" customWidth="1"/>
    <col min="5" max="5" width="20.140625" style="200" customWidth="1"/>
    <col min="6" max="6" width="13.7109375" style="189" customWidth="1"/>
    <col min="7" max="7" width="11" style="200" customWidth="1"/>
    <col min="8" max="8" width="10" style="189" hidden="1" customWidth="1"/>
    <col min="9" max="9" width="13.7109375" style="200" hidden="1" customWidth="1"/>
    <col min="10" max="10" width="9.85546875" style="189" customWidth="1"/>
    <col min="11" max="11" width="12.42578125" style="200" customWidth="1"/>
    <col min="12" max="12" width="9.85546875" style="189" customWidth="1"/>
    <col min="13" max="13" width="12.42578125" style="200" customWidth="1"/>
    <col min="14" max="14" width="10.42578125" style="189" customWidth="1"/>
    <col min="15" max="15" width="12" style="200" customWidth="1"/>
    <col min="16" max="16" width="11.28515625" style="189" hidden="1" customWidth="1"/>
    <col min="17" max="17" width="12" style="200" hidden="1" customWidth="1"/>
    <col min="18" max="19" width="12" bestFit="1" customWidth="1"/>
    <col min="20" max="20" width="11.28515625" hidden="1" customWidth="1"/>
    <col min="21" max="21" width="11.42578125" hidden="1" customWidth="1"/>
    <col min="22" max="22" width="9.85546875" customWidth="1"/>
    <col min="23" max="23" width="10.140625" customWidth="1"/>
    <col min="24" max="24" width="10.140625" style="189" customWidth="1"/>
    <col min="25" max="25" width="11.42578125" style="200" customWidth="1"/>
    <col min="26" max="26" width="11.28515625" style="189" customWidth="1"/>
    <col min="27" max="27" width="11.42578125" style="200" customWidth="1"/>
    <col min="28" max="28" width="9.85546875" bestFit="1" customWidth="1"/>
    <col min="29" max="29" width="9.85546875" customWidth="1"/>
    <col min="30" max="31" width="11.28515625" hidden="1" customWidth="1"/>
    <col min="32" max="32" width="9.85546875" bestFit="1" customWidth="1"/>
    <col min="33" max="33" width="9.85546875" customWidth="1"/>
    <col min="34" max="35" width="11.28515625" hidden="1" customWidth="1"/>
    <col min="36" max="36" width="9.85546875" bestFit="1" customWidth="1"/>
    <col min="37" max="37" width="12" customWidth="1"/>
    <col min="38" max="39" width="12" style="1726" customWidth="1"/>
    <col min="40" max="41" width="11.28515625" hidden="1" customWidth="1"/>
    <col min="42" max="42" width="9.85546875" bestFit="1" customWidth="1"/>
    <col min="43" max="43" width="9.85546875" customWidth="1"/>
    <col min="44" max="45" width="11.28515625" hidden="1" customWidth="1"/>
    <col min="46" max="46" width="13.85546875" customWidth="1"/>
    <col min="47" max="47" width="13.28515625" customWidth="1"/>
    <col min="48" max="49" width="14.140625" hidden="1" customWidth="1"/>
    <col min="50" max="51" width="9.85546875" bestFit="1" customWidth="1"/>
    <col min="52" max="53" width="9.85546875" style="4390" customWidth="1"/>
    <col min="54" max="54" width="12" style="4390" bestFit="1" customWidth="1"/>
    <col min="55" max="55" width="11.28515625" style="4390" bestFit="1" customWidth="1"/>
    <col min="56" max="57" width="11.28515625" bestFit="1" customWidth="1"/>
  </cols>
  <sheetData>
    <row r="1" spans="1:57" ht="22.5" x14ac:dyDescent="0.3">
      <c r="B1" s="971" t="s">
        <v>1629</v>
      </c>
      <c r="C1" s="106"/>
      <c r="D1" s="1322"/>
      <c r="E1" s="106"/>
      <c r="F1" s="106"/>
      <c r="G1" s="106"/>
      <c r="H1" s="106"/>
      <c r="I1" s="106"/>
      <c r="J1" s="200"/>
      <c r="L1" s="200"/>
      <c r="N1" s="200"/>
      <c r="P1" s="200"/>
      <c r="R1" s="200"/>
      <c r="S1" s="200"/>
      <c r="T1" s="200"/>
      <c r="U1" s="200"/>
      <c r="V1" s="200"/>
      <c r="W1" s="200"/>
      <c r="X1" s="200"/>
      <c r="Z1" s="200"/>
    </row>
    <row r="2" spans="1:57" ht="15.75" thickBot="1" x14ac:dyDescent="0.3">
      <c r="B2" s="106"/>
      <c r="C2" s="106"/>
      <c r="D2" s="984">
        <v>30</v>
      </c>
      <c r="E2" s="207">
        <v>30</v>
      </c>
      <c r="F2" s="207">
        <v>31</v>
      </c>
      <c r="G2" s="207">
        <v>31</v>
      </c>
      <c r="H2" s="207">
        <f>+D2+F2</f>
        <v>61</v>
      </c>
      <c r="I2" s="207">
        <f>+E2+G2</f>
        <v>61</v>
      </c>
      <c r="J2" s="207">
        <v>30</v>
      </c>
      <c r="K2" s="207">
        <v>30</v>
      </c>
      <c r="L2" s="207">
        <f>+H2+J2</f>
        <v>91</v>
      </c>
      <c r="M2" s="207">
        <f>+I2+K2</f>
        <v>91</v>
      </c>
      <c r="N2" s="207">
        <v>31</v>
      </c>
      <c r="O2" s="207">
        <v>31</v>
      </c>
      <c r="P2" s="207">
        <f>+L2+N2</f>
        <v>122</v>
      </c>
      <c r="Q2" s="207">
        <f>+M2+O2</f>
        <v>122</v>
      </c>
      <c r="R2" s="207">
        <v>31</v>
      </c>
      <c r="S2" s="207">
        <v>31</v>
      </c>
      <c r="T2" s="207">
        <f>+P2+R2</f>
        <v>153</v>
      </c>
      <c r="U2" s="207">
        <f>+Q2+S2</f>
        <v>153</v>
      </c>
      <c r="V2" s="207">
        <v>30</v>
      </c>
      <c r="W2" s="207">
        <v>30</v>
      </c>
      <c r="X2" s="207">
        <f>+N2+R2+V2</f>
        <v>92</v>
      </c>
      <c r="Y2" s="207">
        <f>+O2+S2+W2</f>
        <v>92</v>
      </c>
      <c r="Z2" s="207">
        <f>+T2+V2</f>
        <v>183</v>
      </c>
      <c r="AA2" s="207">
        <f>+U2+W2</f>
        <v>183</v>
      </c>
      <c r="AB2" s="69">
        <v>31</v>
      </c>
      <c r="AC2" s="207">
        <v>31</v>
      </c>
      <c r="AD2" s="252">
        <f>+Z2+AB2</f>
        <v>214</v>
      </c>
      <c r="AE2" s="207">
        <f>+AA2+AC2</f>
        <v>214</v>
      </c>
      <c r="AF2" s="69">
        <v>30</v>
      </c>
      <c r="AG2" s="207">
        <v>30</v>
      </c>
      <c r="AH2" s="252">
        <f>+AD2+AF2</f>
        <v>244</v>
      </c>
      <c r="AI2" s="207">
        <f>+AE2+AG2</f>
        <v>244</v>
      </c>
      <c r="AJ2" s="69">
        <v>31</v>
      </c>
      <c r="AK2" s="207">
        <v>31</v>
      </c>
      <c r="AL2" s="207">
        <f>+AB2+AF2+AJ2</f>
        <v>92</v>
      </c>
      <c r="AM2" s="207">
        <f>+AC2+AG2+AK2</f>
        <v>92</v>
      </c>
      <c r="AN2" s="252">
        <f>+AH2+AJ2</f>
        <v>275</v>
      </c>
      <c r="AO2" s="207">
        <f>+AI2+AK2</f>
        <v>275</v>
      </c>
      <c r="AP2" s="69">
        <v>31</v>
      </c>
      <c r="AQ2" s="207">
        <v>31</v>
      </c>
      <c r="AR2" s="252">
        <f>+AN2+AP2</f>
        <v>306</v>
      </c>
      <c r="AS2" s="207">
        <f>+AO2+AQ2</f>
        <v>306</v>
      </c>
      <c r="AT2" s="899">
        <v>28</v>
      </c>
      <c r="AU2" s="899">
        <v>28</v>
      </c>
      <c r="AV2">
        <f>+AR2+AT2</f>
        <v>334</v>
      </c>
      <c r="AW2">
        <f>+AS2+AU2</f>
        <v>334</v>
      </c>
      <c r="AX2" s="899">
        <v>31</v>
      </c>
      <c r="AY2" s="899">
        <v>31</v>
      </c>
      <c r="AZ2" s="207">
        <f>+AP2+AT2+AX2</f>
        <v>90</v>
      </c>
      <c r="BA2" s="207">
        <f>+AQ2+AU2+AY2</f>
        <v>90</v>
      </c>
      <c r="BB2" s="4390">
        <f>+AZ2+AL2</f>
        <v>182</v>
      </c>
      <c r="BC2" s="4390">
        <f>+BA2+AM2</f>
        <v>182</v>
      </c>
      <c r="BD2" s="4390">
        <f>+AV2+AX2</f>
        <v>365</v>
      </c>
      <c r="BE2" s="4390">
        <f>+AW2+AY2</f>
        <v>365</v>
      </c>
    </row>
    <row r="3" spans="1:57" ht="16.5" thickTop="1" thickBot="1" x14ac:dyDescent="0.3">
      <c r="B3" s="5291" t="s">
        <v>197</v>
      </c>
      <c r="C3" s="5299" t="s">
        <v>198</v>
      </c>
      <c r="D3" s="4875" t="s">
        <v>1323</v>
      </c>
      <c r="E3" s="4876"/>
      <c r="F3" s="4875" t="s">
        <v>1384</v>
      </c>
      <c r="G3" s="4875"/>
      <c r="H3" s="4877" t="s">
        <v>15</v>
      </c>
      <c r="I3" s="4878"/>
      <c r="J3" s="4879" t="s">
        <v>1397</v>
      </c>
      <c r="K3" s="4880"/>
      <c r="L3" s="4881" t="s">
        <v>741</v>
      </c>
      <c r="M3" s="5296"/>
      <c r="N3" s="4879" t="s">
        <v>1424</v>
      </c>
      <c r="O3" s="4880"/>
      <c r="P3" s="4905" t="s">
        <v>18</v>
      </c>
      <c r="Q3" s="4919"/>
      <c r="R3" s="4879" t="s">
        <v>1496</v>
      </c>
      <c r="S3" s="4880"/>
      <c r="T3" s="4905" t="s">
        <v>19</v>
      </c>
      <c r="U3" s="4919"/>
      <c r="V3" s="4879" t="s">
        <v>1573</v>
      </c>
      <c r="W3" s="4880"/>
      <c r="X3" s="4881" t="s">
        <v>788</v>
      </c>
      <c r="Y3" s="4859"/>
      <c r="Z3" s="4914" t="s">
        <v>784</v>
      </c>
      <c r="AA3" s="4851"/>
      <c r="AB3" s="5261" t="s">
        <v>1634</v>
      </c>
      <c r="AC3" s="5261"/>
      <c r="AD3" s="4877" t="s">
        <v>26</v>
      </c>
      <c r="AE3" s="4878"/>
      <c r="AF3" s="5261" t="s">
        <v>1671</v>
      </c>
      <c r="AG3" s="5261"/>
      <c r="AH3" s="4877" t="s">
        <v>29</v>
      </c>
      <c r="AI3" s="4878"/>
      <c r="AJ3" s="5261" t="s">
        <v>1696</v>
      </c>
      <c r="AK3" s="5261"/>
      <c r="AL3" s="4881" t="s">
        <v>799</v>
      </c>
      <c r="AM3" s="4859"/>
      <c r="AN3" s="4877" t="s">
        <v>30</v>
      </c>
      <c r="AO3" s="4878"/>
      <c r="AP3" s="5261" t="s">
        <v>1760</v>
      </c>
      <c r="AQ3" s="5261"/>
      <c r="AR3" s="4877" t="s">
        <v>31</v>
      </c>
      <c r="AS3" s="4878"/>
      <c r="AT3" s="5261" t="s">
        <v>1812</v>
      </c>
      <c r="AU3" s="5261"/>
      <c r="AV3" s="4877" t="s">
        <v>33</v>
      </c>
      <c r="AW3" s="4878"/>
      <c r="AX3" s="5261" t="s">
        <v>1844</v>
      </c>
      <c r="AY3" s="5261"/>
      <c r="AZ3" s="4881" t="s">
        <v>800</v>
      </c>
      <c r="BA3" s="4859"/>
      <c r="BB3" s="4914" t="s">
        <v>817</v>
      </c>
      <c r="BC3" s="4851"/>
      <c r="BD3" s="4877" t="s">
        <v>1314</v>
      </c>
      <c r="BE3" s="4878"/>
    </row>
    <row r="4" spans="1:57" ht="15.75" thickBot="1" x14ac:dyDescent="0.3">
      <c r="B4" s="5292"/>
      <c r="C4" s="4874"/>
      <c r="D4" s="553" t="s">
        <v>199</v>
      </c>
      <c r="E4" s="353" t="s">
        <v>200</v>
      </c>
      <c r="F4" s="2404" t="s">
        <v>199</v>
      </c>
      <c r="G4" s="2414" t="s">
        <v>200</v>
      </c>
      <c r="H4" s="2407" t="s">
        <v>199</v>
      </c>
      <c r="I4" s="531" t="s">
        <v>200</v>
      </c>
      <c r="J4" s="1640" t="s">
        <v>199</v>
      </c>
      <c r="K4" s="2414" t="s">
        <v>200</v>
      </c>
      <c r="L4" s="2405" t="s">
        <v>199</v>
      </c>
      <c r="M4" s="1926" t="s">
        <v>200</v>
      </c>
      <c r="N4" s="411" t="s">
        <v>199</v>
      </c>
      <c r="O4" s="2414" t="s">
        <v>200</v>
      </c>
      <c r="P4" s="2407" t="s">
        <v>199</v>
      </c>
      <c r="Q4" s="1870" t="s">
        <v>200</v>
      </c>
      <c r="R4" s="411" t="s">
        <v>199</v>
      </c>
      <c r="S4" s="2414" t="s">
        <v>200</v>
      </c>
      <c r="T4" s="2407" t="s">
        <v>199</v>
      </c>
      <c r="U4" s="1870" t="s">
        <v>200</v>
      </c>
      <c r="V4" s="411" t="s">
        <v>199</v>
      </c>
      <c r="W4" s="2414" t="s">
        <v>200</v>
      </c>
      <c r="X4" s="2405" t="s">
        <v>199</v>
      </c>
      <c r="Y4" s="395" t="s">
        <v>200</v>
      </c>
      <c r="Z4" s="2419" t="s">
        <v>199</v>
      </c>
      <c r="AA4" s="1234" t="s">
        <v>200</v>
      </c>
      <c r="AB4" s="1315" t="s">
        <v>199</v>
      </c>
      <c r="AC4" s="410" t="s">
        <v>200</v>
      </c>
      <c r="AD4" s="330" t="s">
        <v>199</v>
      </c>
      <c r="AE4" s="531" t="s">
        <v>200</v>
      </c>
      <c r="AF4" s="1341" t="s">
        <v>199</v>
      </c>
      <c r="AG4" s="410" t="s">
        <v>200</v>
      </c>
      <c r="AH4" s="330" t="s">
        <v>199</v>
      </c>
      <c r="AI4" s="531" t="s">
        <v>200</v>
      </c>
      <c r="AJ4" s="3632" t="s">
        <v>199</v>
      </c>
      <c r="AK4" s="3598" t="s">
        <v>200</v>
      </c>
      <c r="AL4" s="3594" t="s">
        <v>199</v>
      </c>
      <c r="AM4" s="395" t="s">
        <v>200</v>
      </c>
      <c r="AN4" s="3595" t="s">
        <v>199</v>
      </c>
      <c r="AO4" s="531" t="s">
        <v>200</v>
      </c>
      <c r="AP4" s="1483" t="s">
        <v>199</v>
      </c>
      <c r="AQ4" s="374" t="s">
        <v>200</v>
      </c>
      <c r="AR4" s="330" t="s">
        <v>199</v>
      </c>
      <c r="AS4" s="531" t="s">
        <v>200</v>
      </c>
      <c r="AT4" s="1488" t="s">
        <v>199</v>
      </c>
      <c r="AU4" s="374" t="s">
        <v>200</v>
      </c>
      <c r="AV4" s="330" t="s">
        <v>199</v>
      </c>
      <c r="AW4" s="531" t="s">
        <v>200</v>
      </c>
      <c r="AX4" s="4417" t="s">
        <v>199</v>
      </c>
      <c r="AY4" s="3553" t="s">
        <v>200</v>
      </c>
      <c r="AZ4" s="4385" t="s">
        <v>199</v>
      </c>
      <c r="BA4" s="395" t="s">
        <v>200</v>
      </c>
      <c r="BB4" s="4388" t="s">
        <v>199</v>
      </c>
      <c r="BC4" s="1234" t="s">
        <v>200</v>
      </c>
      <c r="BD4" s="4387" t="s">
        <v>199</v>
      </c>
      <c r="BE4" s="531" t="s">
        <v>200</v>
      </c>
    </row>
    <row r="5" spans="1:57" ht="22.5" x14ac:dyDescent="0.3">
      <c r="B5" s="2907" t="s">
        <v>501</v>
      </c>
      <c r="C5" s="527"/>
      <c r="D5" s="2908"/>
      <c r="E5" s="299"/>
      <c r="F5" s="299"/>
      <c r="G5" s="527"/>
      <c r="H5" s="527"/>
      <c r="I5" s="299"/>
      <c r="J5" s="299"/>
      <c r="K5" s="299"/>
      <c r="L5" s="299"/>
      <c r="M5" s="299"/>
      <c r="N5" s="2909"/>
      <c r="O5" s="1900"/>
      <c r="P5" s="299"/>
      <c r="Q5" s="299"/>
      <c r="R5" s="2909"/>
      <c r="S5" s="1900"/>
      <c r="T5" s="299"/>
      <c r="U5" s="299"/>
      <c r="V5" s="2909"/>
      <c r="W5" s="1900"/>
      <c r="X5" s="299"/>
      <c r="Y5" s="299"/>
      <c r="Z5" s="299"/>
      <c r="AA5" s="299"/>
      <c r="AB5" s="179"/>
      <c r="AC5" s="299"/>
      <c r="AD5" s="526"/>
      <c r="AE5" s="299"/>
      <c r="AF5" s="179"/>
      <c r="AG5" s="299"/>
      <c r="AH5" s="526"/>
      <c r="AI5" s="299"/>
      <c r="AJ5" s="179"/>
      <c r="AK5" s="299"/>
      <c r="AL5" s="299"/>
      <c r="AM5" s="299"/>
      <c r="AN5" s="526"/>
      <c r="AO5" s="299"/>
      <c r="AP5" s="179"/>
      <c r="AQ5" s="299"/>
      <c r="AR5" s="526"/>
      <c r="AS5" s="299"/>
      <c r="AT5" s="179"/>
      <c r="AU5" s="299"/>
      <c r="AV5" s="526"/>
      <c r="AW5" s="299"/>
      <c r="AX5" s="179"/>
      <c r="AY5" s="299"/>
      <c r="AZ5" s="299"/>
      <c r="BA5" s="299"/>
      <c r="BB5" s="299"/>
      <c r="BC5" s="299"/>
      <c r="BD5" s="526"/>
      <c r="BE5" s="299"/>
    </row>
    <row r="6" spans="1:57" ht="15.75" x14ac:dyDescent="0.25">
      <c r="B6" s="75" t="s">
        <v>801</v>
      </c>
      <c r="C6" s="38"/>
      <c r="D6" s="2775"/>
      <c r="E6" s="38"/>
      <c r="F6" s="38"/>
      <c r="G6" s="38"/>
      <c r="H6" s="38"/>
      <c r="I6" s="38"/>
      <c r="J6" s="38"/>
      <c r="K6" s="38"/>
      <c r="L6" s="38"/>
      <c r="M6" s="38"/>
      <c r="N6" s="1901"/>
      <c r="O6" s="1902"/>
      <c r="P6" s="38"/>
      <c r="Q6" s="38"/>
      <c r="R6" s="1901"/>
      <c r="S6" s="1902"/>
      <c r="T6" s="38"/>
      <c r="U6" s="38"/>
      <c r="V6" s="1901"/>
      <c r="W6" s="1902"/>
      <c r="X6" s="38"/>
      <c r="Y6" s="38"/>
      <c r="Z6" s="38"/>
      <c r="AA6" s="38"/>
      <c r="AB6" s="38"/>
      <c r="AC6" s="38"/>
      <c r="AD6" s="72"/>
      <c r="AE6" s="38"/>
      <c r="AF6" s="38"/>
      <c r="AG6" s="38"/>
      <c r="AH6" s="72"/>
      <c r="AI6" s="38"/>
      <c r="AJ6" s="38"/>
      <c r="AK6" s="38"/>
      <c r="AL6" s="38"/>
      <c r="AM6" s="38"/>
      <c r="AN6" s="72"/>
      <c r="AO6" s="38"/>
      <c r="AP6" s="38"/>
      <c r="AQ6" s="38"/>
      <c r="AR6" s="72"/>
      <c r="AS6" s="38"/>
      <c r="AT6" s="38"/>
      <c r="AU6" s="38"/>
      <c r="AV6" s="72"/>
      <c r="AW6" s="38"/>
      <c r="AX6" s="38"/>
      <c r="AY6" s="38"/>
      <c r="AZ6" s="38"/>
      <c r="BA6" s="38"/>
      <c r="BB6" s="38"/>
      <c r="BC6" s="38"/>
      <c r="BD6" s="72"/>
      <c r="BE6" s="38"/>
    </row>
    <row r="7" spans="1:57" x14ac:dyDescent="0.25">
      <c r="B7" s="76" t="s">
        <v>417</v>
      </c>
      <c r="C7" s="33" t="s">
        <v>436</v>
      </c>
      <c r="D7" s="2910">
        <v>0</v>
      </c>
      <c r="E7" s="556">
        <v>0</v>
      </c>
      <c r="F7" s="2910">
        <v>0</v>
      </c>
      <c r="G7" s="140">
        <v>0</v>
      </c>
      <c r="H7" s="961">
        <f>+D7+F7</f>
        <v>0</v>
      </c>
      <c r="I7" s="532">
        <f>+E7+G7</f>
        <v>0</v>
      </c>
      <c r="J7" s="2910">
        <v>0</v>
      </c>
      <c r="K7" s="57">
        <v>0</v>
      </c>
      <c r="L7" s="2401">
        <f>+H7+J7</f>
        <v>0</v>
      </c>
      <c r="M7" s="1927">
        <f>+I7+K7</f>
        <v>0</v>
      </c>
      <c r="N7" s="2911">
        <v>0</v>
      </c>
      <c r="O7" s="54">
        <v>0</v>
      </c>
      <c r="P7" s="2402">
        <f>+L7+N7</f>
        <v>0</v>
      </c>
      <c r="Q7" s="1366">
        <f>+M7+O7</f>
        <v>0</v>
      </c>
      <c r="R7" s="2911">
        <v>0</v>
      </c>
      <c r="S7" s="54">
        <v>0</v>
      </c>
      <c r="T7" s="2402">
        <f>+P7+R7</f>
        <v>0</v>
      </c>
      <c r="U7" s="1366">
        <f>+Q7+S7</f>
        <v>0</v>
      </c>
      <c r="V7" s="2911">
        <v>0</v>
      </c>
      <c r="W7" s="54">
        <v>0</v>
      </c>
      <c r="X7" s="1122">
        <f>+V7+R7+N7</f>
        <v>0</v>
      </c>
      <c r="Y7" s="288">
        <f>+W7+S7+O7</f>
        <v>0</v>
      </c>
      <c r="Z7" s="2403">
        <f>+T7+V7</f>
        <v>0</v>
      </c>
      <c r="AA7" s="1235">
        <f>+U7+W7</f>
        <v>0</v>
      </c>
      <c r="AB7" s="2911">
        <v>0</v>
      </c>
      <c r="AC7" s="54">
        <v>0</v>
      </c>
      <c r="AD7" s="3158">
        <f>+Z7+AB7</f>
        <v>0</v>
      </c>
      <c r="AE7" s="1366">
        <f>+AA7+AC7</f>
        <v>0</v>
      </c>
      <c r="AF7" s="2911">
        <v>0</v>
      </c>
      <c r="AG7" s="54">
        <v>0</v>
      </c>
      <c r="AH7" s="3315">
        <f>+AD7+AF7</f>
        <v>0</v>
      </c>
      <c r="AI7" s="1366">
        <f>+AE7+AG7</f>
        <v>0</v>
      </c>
      <c r="AJ7" s="2911">
        <v>0</v>
      </c>
      <c r="AK7" s="54">
        <v>0</v>
      </c>
      <c r="AL7" s="1122">
        <f>+AJ7+AF7+AB7</f>
        <v>0</v>
      </c>
      <c r="AM7" s="288">
        <f>+AK7+AG7+AC7</f>
        <v>0</v>
      </c>
      <c r="AN7" s="3504">
        <f>+AH7+AJ7</f>
        <v>0</v>
      </c>
      <c r="AO7" s="1366">
        <f>+AI7+AK7</f>
        <v>0</v>
      </c>
      <c r="AP7" s="2911">
        <v>0</v>
      </c>
      <c r="AQ7" s="54">
        <v>0</v>
      </c>
      <c r="AR7" s="3504">
        <f>+AN7+AP7</f>
        <v>0</v>
      </c>
      <c r="AS7" s="1366">
        <f>+AO7+AQ7</f>
        <v>0</v>
      </c>
      <c r="AT7" s="2911">
        <v>0</v>
      </c>
      <c r="AU7" s="54">
        <v>0</v>
      </c>
      <c r="AV7" s="3504">
        <f>+AR7+AT7</f>
        <v>0</v>
      </c>
      <c r="AW7" s="1366">
        <f>+AS7+AU7</f>
        <v>0</v>
      </c>
      <c r="AX7" s="2911">
        <v>0</v>
      </c>
      <c r="AY7" s="54">
        <v>0</v>
      </c>
      <c r="AZ7" s="4392">
        <f>+AX7+AT7+AP7</f>
        <v>0</v>
      </c>
      <c r="BA7" s="288">
        <f>+AY7+AU7+AQ7</f>
        <v>0</v>
      </c>
      <c r="BB7" s="4394">
        <f t="shared" ref="BB7:BC9" si="0">+AL7+AZ7</f>
        <v>0</v>
      </c>
      <c r="BC7" s="1235">
        <f t="shared" si="0"/>
        <v>0</v>
      </c>
      <c r="BD7" s="4393">
        <f>+AV7+AX7</f>
        <v>0</v>
      </c>
      <c r="BE7" s="1366">
        <f>+AW7+AY7</f>
        <v>0</v>
      </c>
    </row>
    <row r="8" spans="1:57" x14ac:dyDescent="0.25">
      <c r="B8" s="76" t="s">
        <v>416</v>
      </c>
      <c r="C8" s="33" t="s">
        <v>436</v>
      </c>
      <c r="D8" s="2406">
        <f>D12*D2*24</f>
        <v>3240</v>
      </c>
      <c r="E8" s="238">
        <v>3779.6</v>
      </c>
      <c r="F8" s="2406">
        <f>F12*F2*24</f>
        <v>3348</v>
      </c>
      <c r="G8" s="50">
        <f>+'POWER DISTRIBUTION'!L9/1000</f>
        <v>3236.9</v>
      </c>
      <c r="H8" s="143">
        <f t="shared" ref="H8" si="1">+D8+F8</f>
        <v>6588</v>
      </c>
      <c r="I8" s="533">
        <f t="shared" ref="I8:I9" si="2">+E8+G8</f>
        <v>7016.5</v>
      </c>
      <c r="J8" s="2406">
        <f>J12*J2*24</f>
        <v>3240</v>
      </c>
      <c r="K8" s="50">
        <f>3388000/1000</f>
        <v>3388</v>
      </c>
      <c r="L8" s="167">
        <f t="shared" ref="L8:L9" si="3">+H8+J8</f>
        <v>9828</v>
      </c>
      <c r="M8" s="1326">
        <f t="shared" ref="M8:M9" si="4">+I8+K8</f>
        <v>10404.5</v>
      </c>
      <c r="N8" s="2406">
        <f>N12*N2*24</f>
        <v>3348</v>
      </c>
      <c r="O8" s="40">
        <f>3718500/1000</f>
        <v>3718.5</v>
      </c>
      <c r="P8" s="1077">
        <f t="shared" ref="P8:P9" si="5">+L8+N8</f>
        <v>13176</v>
      </c>
      <c r="Q8" s="1325">
        <f t="shared" ref="Q8:Q9" si="6">+M8+O8</f>
        <v>14123</v>
      </c>
      <c r="R8" s="2406">
        <f>R12*R2*24</f>
        <v>3348</v>
      </c>
      <c r="S8" s="40">
        <f>3965700/1000</f>
        <v>3965.7</v>
      </c>
      <c r="T8" s="1077">
        <f t="shared" ref="T8:T9" si="7">+P8+R8</f>
        <v>16524</v>
      </c>
      <c r="U8" s="1325">
        <f t="shared" ref="U8:U9" si="8">+Q8+S8</f>
        <v>18088.7</v>
      </c>
      <c r="V8" s="2406">
        <f>V12*V2*24</f>
        <v>3240</v>
      </c>
      <c r="W8" s="40">
        <f>3893400/1000</f>
        <v>3893.4</v>
      </c>
      <c r="X8" s="162">
        <f t="shared" ref="X8:X9" si="9">+V8+R8+N8</f>
        <v>9936</v>
      </c>
      <c r="Y8" s="571">
        <f t="shared" ref="Y8:Y9" si="10">+W8+S8+O8</f>
        <v>11577.6</v>
      </c>
      <c r="Z8" s="1789">
        <f t="shared" ref="Z8:Z9" si="11">+T8+V8</f>
        <v>19764</v>
      </c>
      <c r="AA8" s="1236">
        <f t="shared" ref="AA8:AA9" si="12">+U8+W8</f>
        <v>21982.100000000002</v>
      </c>
      <c r="AB8" s="3160">
        <f>AB12*AB2*24</f>
        <v>3348</v>
      </c>
      <c r="AC8" s="40">
        <f>3554300/1000</f>
        <v>3554.3</v>
      </c>
      <c r="AD8" s="1077">
        <f t="shared" ref="AD8:AD9" si="13">+Z8+AB8</f>
        <v>23112</v>
      </c>
      <c r="AE8" s="1325">
        <f t="shared" ref="AE8:AE9" si="14">+AA8+AC8</f>
        <v>25536.400000000001</v>
      </c>
      <c r="AF8" s="3317">
        <f>AF12*AF2*24</f>
        <v>3240</v>
      </c>
      <c r="AG8" s="40">
        <f>+'POWER DISTRIBUTION'!AL9/1000</f>
        <v>2843.7</v>
      </c>
      <c r="AH8" s="1077">
        <f t="shared" ref="AH8:AH9" si="15">+AD8+AF8</f>
        <v>26352</v>
      </c>
      <c r="AI8" s="1325">
        <f t="shared" ref="AI8:AI9" si="16">+AE8+AG8</f>
        <v>28380.100000000002</v>
      </c>
      <c r="AJ8" s="3502">
        <f>AJ12*AJ2*24</f>
        <v>3348</v>
      </c>
      <c r="AK8" s="40">
        <f>+'POWER DISTRIBUTION'!AP9/1000</f>
        <v>3100.2</v>
      </c>
      <c r="AL8" s="162">
        <f t="shared" ref="AL8:AL9" si="17">+AJ8+AF8+AB8</f>
        <v>9936</v>
      </c>
      <c r="AM8" s="571">
        <f t="shared" ref="AM8:AM9" si="18">+AK8+AG8+AC8</f>
        <v>9498.2000000000007</v>
      </c>
      <c r="AN8" s="1077">
        <f t="shared" ref="AN8:AN9" si="19">+AH8+AJ8</f>
        <v>29700</v>
      </c>
      <c r="AO8" s="1325">
        <f t="shared" ref="AO8:AO9" si="20">+AI8+AK8</f>
        <v>31480.300000000003</v>
      </c>
      <c r="AP8" s="3502">
        <f>AP12*AP2*24</f>
        <v>3348</v>
      </c>
      <c r="AQ8" s="40">
        <f>+'POWER DISTRIBUTION'!AV9/1000</f>
        <v>3247.9</v>
      </c>
      <c r="AR8" s="1077">
        <f t="shared" ref="AR8:AR9" si="21">+AN8+AP8</f>
        <v>33048</v>
      </c>
      <c r="AS8" s="1325">
        <f t="shared" ref="AS8:AS9" si="22">+AO8+AQ8</f>
        <v>34728.200000000004</v>
      </c>
      <c r="AT8" s="3502">
        <f>AT12*AT2*24</f>
        <v>3024</v>
      </c>
      <c r="AU8" s="40">
        <f>+'POWER DISTRIBUTION'!AZ9/1000</f>
        <v>2876.4</v>
      </c>
      <c r="AV8" s="1077">
        <f t="shared" ref="AV8:AV9" si="23">+AR8+AT8</f>
        <v>36072</v>
      </c>
      <c r="AW8" s="1325">
        <f t="shared" ref="AW8:AW9" si="24">+AS8+AU8</f>
        <v>37604.600000000006</v>
      </c>
      <c r="AX8" s="3502">
        <f>AX12*AX2*24</f>
        <v>3348</v>
      </c>
      <c r="AY8" s="40">
        <f>+'POWER DISTRIBUTION'!BD9/1000</f>
        <v>3381</v>
      </c>
      <c r="AZ8" s="162">
        <f t="shared" ref="AZ8:AZ9" si="25">+AX8+AT8+AP8</f>
        <v>9720</v>
      </c>
      <c r="BA8" s="571">
        <f t="shared" ref="BA8:BA9" si="26">+AY8+AU8+AQ8</f>
        <v>9505.2999999999993</v>
      </c>
      <c r="BB8" s="1789">
        <f t="shared" si="0"/>
        <v>19656</v>
      </c>
      <c r="BC8" s="1236">
        <f t="shared" si="0"/>
        <v>19003.5</v>
      </c>
      <c r="BD8" s="1077">
        <f>+AV8+AX8</f>
        <v>39420</v>
      </c>
      <c r="BE8" s="1325">
        <f t="shared" ref="BE8:BE9" si="27">+AW8+AY8</f>
        <v>40985.600000000006</v>
      </c>
    </row>
    <row r="9" spans="1:57" ht="15.75" thickBot="1" x14ac:dyDescent="0.3">
      <c r="B9" s="77" t="s">
        <v>685</v>
      </c>
      <c r="C9" s="34" t="s">
        <v>436</v>
      </c>
      <c r="D9" s="2912" t="s">
        <v>35</v>
      </c>
      <c r="E9" s="2416">
        <v>2417.6999999999998</v>
      </c>
      <c r="F9" s="1997" t="s">
        <v>35</v>
      </c>
      <c r="G9" s="51">
        <v>2599.7339999999999</v>
      </c>
      <c r="H9" s="143"/>
      <c r="I9" s="534">
        <f t="shared" si="2"/>
        <v>5017.4339999999993</v>
      </c>
      <c r="J9" s="1997"/>
      <c r="K9" s="50">
        <f>2733143/1000</f>
        <v>2733.143</v>
      </c>
      <c r="L9" s="167">
        <f t="shared" si="3"/>
        <v>0</v>
      </c>
      <c r="M9" s="1326">
        <f t="shared" si="4"/>
        <v>7750.5769999999993</v>
      </c>
      <c r="N9" s="2913"/>
      <c r="O9" s="40">
        <f>2396700/1000</f>
        <v>2396.6999999999998</v>
      </c>
      <c r="P9" s="1077">
        <f t="shared" si="5"/>
        <v>0</v>
      </c>
      <c r="Q9" s="1325">
        <f t="shared" si="6"/>
        <v>10147.276999999998</v>
      </c>
      <c r="R9" s="2913"/>
      <c r="S9" s="40">
        <f>2532230/1000</f>
        <v>2532.23</v>
      </c>
      <c r="T9" s="1077">
        <f t="shared" si="7"/>
        <v>0</v>
      </c>
      <c r="U9" s="1325">
        <f t="shared" si="8"/>
        <v>12679.506999999998</v>
      </c>
      <c r="V9" s="2913"/>
      <c r="W9" s="40">
        <f>2386074/1000</f>
        <v>2386.0740000000001</v>
      </c>
      <c r="X9" s="162">
        <f t="shared" si="9"/>
        <v>0</v>
      </c>
      <c r="Y9" s="571">
        <f t="shared" si="10"/>
        <v>7315.0039999999999</v>
      </c>
      <c r="Z9" s="1789">
        <f t="shared" si="11"/>
        <v>0</v>
      </c>
      <c r="AA9" s="1236">
        <f t="shared" si="12"/>
        <v>15065.580999999998</v>
      </c>
      <c r="AB9" s="2913"/>
      <c r="AC9" s="40">
        <f>2234296/1000</f>
        <v>2234.2959999999998</v>
      </c>
      <c r="AD9" s="1077">
        <f t="shared" si="13"/>
        <v>0</v>
      </c>
      <c r="AE9" s="1325">
        <f t="shared" si="14"/>
        <v>17299.876999999997</v>
      </c>
      <c r="AF9" s="2913"/>
      <c r="AG9" s="40">
        <f>2264323/1000</f>
        <v>2264.3229999999999</v>
      </c>
      <c r="AH9" s="1077">
        <f t="shared" si="15"/>
        <v>0</v>
      </c>
      <c r="AI9" s="1325">
        <f t="shared" si="16"/>
        <v>19564.199999999997</v>
      </c>
      <c r="AJ9" s="2913"/>
      <c r="AK9" s="40">
        <f>2268077/1000</f>
        <v>2268.0770000000002</v>
      </c>
      <c r="AL9" s="162">
        <f t="shared" si="17"/>
        <v>0</v>
      </c>
      <c r="AM9" s="571">
        <f t="shared" si="18"/>
        <v>6766.6959999999999</v>
      </c>
      <c r="AN9" s="1077">
        <f t="shared" si="19"/>
        <v>0</v>
      </c>
      <c r="AO9" s="1325">
        <f t="shared" si="20"/>
        <v>21832.276999999998</v>
      </c>
      <c r="AP9" s="2913"/>
      <c r="AQ9" s="40">
        <f>2160368/1000</f>
        <v>2160.3679999999999</v>
      </c>
      <c r="AR9" s="1077">
        <f t="shared" si="21"/>
        <v>0</v>
      </c>
      <c r="AS9" s="1325">
        <f t="shared" si="22"/>
        <v>23992.644999999997</v>
      </c>
      <c r="AT9" s="2913"/>
      <c r="AU9" s="40">
        <f>1917763/1000</f>
        <v>1917.7629999999999</v>
      </c>
      <c r="AV9" s="1077">
        <f t="shared" si="23"/>
        <v>0</v>
      </c>
      <c r="AW9" s="1325">
        <f t="shared" si="24"/>
        <v>25910.407999999996</v>
      </c>
      <c r="AX9" s="2913"/>
      <c r="AY9" s="40">
        <f>2169096/1000</f>
        <v>2169.096</v>
      </c>
      <c r="AZ9" s="162">
        <f t="shared" si="25"/>
        <v>0</v>
      </c>
      <c r="BA9" s="571">
        <f t="shared" si="26"/>
        <v>6247.2269999999999</v>
      </c>
      <c r="BB9" s="1789">
        <f t="shared" si="0"/>
        <v>0</v>
      </c>
      <c r="BC9" s="1236">
        <f t="shared" si="0"/>
        <v>13013.922999999999</v>
      </c>
      <c r="BD9" s="1077">
        <f t="shared" ref="BD9" si="28">+AV9+AX9</f>
        <v>0</v>
      </c>
      <c r="BE9" s="1325">
        <f t="shared" si="27"/>
        <v>28079.503999999997</v>
      </c>
    </row>
    <row r="10" spans="1:57" ht="16.5" thickBot="1" x14ac:dyDescent="0.3">
      <c r="B10" s="78" t="s">
        <v>500</v>
      </c>
      <c r="C10" s="141" t="s">
        <v>436</v>
      </c>
      <c r="D10" s="1999">
        <f t="shared" ref="D10:F10" si="29">SUM(D7:D9)</f>
        <v>3240</v>
      </c>
      <c r="E10" s="247">
        <f t="shared" ref="E10:I10" si="30">SUM(E7:E9)</f>
        <v>6197.2999999999993</v>
      </c>
      <c r="F10" s="1999">
        <f t="shared" si="29"/>
        <v>3348</v>
      </c>
      <c r="G10" s="53">
        <f t="shared" si="30"/>
        <v>5836.634</v>
      </c>
      <c r="H10" s="97">
        <f t="shared" si="30"/>
        <v>6588</v>
      </c>
      <c r="I10" s="535">
        <f t="shared" si="30"/>
        <v>12033.933999999999</v>
      </c>
      <c r="J10" s="1999">
        <f t="shared" ref="J10" si="31">SUM(J7:J9)</f>
        <v>3240</v>
      </c>
      <c r="K10" s="53">
        <f t="shared" ref="K10:N10" si="32">SUM(K7:K9)</f>
        <v>6121.143</v>
      </c>
      <c r="L10" s="871">
        <f t="shared" si="32"/>
        <v>9828</v>
      </c>
      <c r="M10" s="1928">
        <f t="shared" si="32"/>
        <v>18155.076999999997</v>
      </c>
      <c r="N10" s="1121">
        <f t="shared" si="32"/>
        <v>3348</v>
      </c>
      <c r="O10" s="56">
        <f t="shared" ref="O10:R10" si="33">SUM(O7:O9)</f>
        <v>6115.2</v>
      </c>
      <c r="P10" s="2024">
        <f t="shared" si="33"/>
        <v>13176</v>
      </c>
      <c r="Q10" s="1871">
        <f t="shared" si="33"/>
        <v>24270.276999999998</v>
      </c>
      <c r="R10" s="1121">
        <f t="shared" si="33"/>
        <v>3348</v>
      </c>
      <c r="S10" s="56">
        <f t="shared" ref="S10:V10" si="34">SUM(S7:S9)</f>
        <v>6497.93</v>
      </c>
      <c r="T10" s="2024">
        <f t="shared" si="34"/>
        <v>16524</v>
      </c>
      <c r="U10" s="1871">
        <f t="shared" si="34"/>
        <v>30768.206999999999</v>
      </c>
      <c r="V10" s="1121">
        <f t="shared" si="34"/>
        <v>3240</v>
      </c>
      <c r="W10" s="56">
        <f t="shared" ref="W10" si="35">SUM(W7:W9)</f>
        <v>6279.4740000000002</v>
      </c>
      <c r="X10" s="2025">
        <f t="shared" ref="X10:AE10" si="36">SUM(X7:X9)</f>
        <v>9936</v>
      </c>
      <c r="Y10" s="289">
        <f t="shared" si="36"/>
        <v>18892.603999999999</v>
      </c>
      <c r="Z10" s="1130">
        <f t="shared" si="36"/>
        <v>19764</v>
      </c>
      <c r="AA10" s="1237">
        <f t="shared" si="36"/>
        <v>37047.680999999997</v>
      </c>
      <c r="AB10" s="1121">
        <f t="shared" si="36"/>
        <v>3348</v>
      </c>
      <c r="AC10" s="56">
        <f t="shared" si="36"/>
        <v>5788.5959999999995</v>
      </c>
      <c r="AD10" s="2024">
        <f t="shared" si="36"/>
        <v>23112</v>
      </c>
      <c r="AE10" s="1871">
        <f t="shared" si="36"/>
        <v>42836.277000000002</v>
      </c>
      <c r="AF10" s="1121">
        <f t="shared" ref="AF10:AI10" si="37">SUM(AF7:AF9)</f>
        <v>3240</v>
      </c>
      <c r="AG10" s="56">
        <f t="shared" si="37"/>
        <v>5108.0229999999992</v>
      </c>
      <c r="AH10" s="2024">
        <f t="shared" si="37"/>
        <v>26352</v>
      </c>
      <c r="AI10" s="1871">
        <f t="shared" si="37"/>
        <v>47944.3</v>
      </c>
      <c r="AJ10" s="1121">
        <f t="shared" ref="AJ10:AO10" si="38">SUM(AJ7:AJ9)</f>
        <v>3348</v>
      </c>
      <c r="AK10" s="56">
        <f t="shared" si="38"/>
        <v>5368.277</v>
      </c>
      <c r="AL10" s="2025">
        <f t="shared" si="38"/>
        <v>9936</v>
      </c>
      <c r="AM10" s="289">
        <f t="shared" si="38"/>
        <v>16264.896000000001</v>
      </c>
      <c r="AN10" s="2024">
        <f t="shared" si="38"/>
        <v>29700</v>
      </c>
      <c r="AO10" s="1871">
        <f t="shared" si="38"/>
        <v>53312.577000000005</v>
      </c>
      <c r="AP10" s="1121">
        <f t="shared" ref="AP10:AS10" si="39">SUM(AP7:AP9)</f>
        <v>3348</v>
      </c>
      <c r="AQ10" s="56">
        <f t="shared" si="39"/>
        <v>5408.268</v>
      </c>
      <c r="AR10" s="2024">
        <f t="shared" si="39"/>
        <v>33048</v>
      </c>
      <c r="AS10" s="1871">
        <f t="shared" si="39"/>
        <v>58720.845000000001</v>
      </c>
      <c r="AT10" s="1121">
        <f t="shared" ref="AT10:AW10" si="40">SUM(AT7:AT9)</f>
        <v>3024</v>
      </c>
      <c r="AU10" s="56">
        <f t="shared" si="40"/>
        <v>4794.1630000000005</v>
      </c>
      <c r="AV10" s="2024">
        <f t="shared" si="40"/>
        <v>36072</v>
      </c>
      <c r="AW10" s="1871">
        <f t="shared" si="40"/>
        <v>63515.008000000002</v>
      </c>
      <c r="AX10" s="1121">
        <f t="shared" ref="AX10:BE10" si="41">SUM(AX7:AX9)</f>
        <v>3348</v>
      </c>
      <c r="AY10" s="56">
        <f t="shared" si="41"/>
        <v>5550.0959999999995</v>
      </c>
      <c r="AZ10" s="2025">
        <f t="shared" si="41"/>
        <v>9720</v>
      </c>
      <c r="BA10" s="289">
        <f t="shared" si="41"/>
        <v>15752.526999999998</v>
      </c>
      <c r="BB10" s="1130">
        <f t="shared" si="41"/>
        <v>19656</v>
      </c>
      <c r="BC10" s="1237">
        <f t="shared" si="41"/>
        <v>32017.422999999999</v>
      </c>
      <c r="BD10" s="2024">
        <f t="shared" si="41"/>
        <v>39420</v>
      </c>
      <c r="BE10" s="1871">
        <f t="shared" si="41"/>
        <v>69065.104000000007</v>
      </c>
    </row>
    <row r="11" spans="1:57" x14ac:dyDescent="0.25">
      <c r="B11" s="76" t="s">
        <v>503</v>
      </c>
      <c r="C11" s="36" t="s">
        <v>424</v>
      </c>
      <c r="D11" s="823">
        <v>0</v>
      </c>
      <c r="E11" s="354">
        <f>+E7/(E2*24)</f>
        <v>0</v>
      </c>
      <c r="F11" s="823">
        <v>0</v>
      </c>
      <c r="G11" s="190">
        <f>+G7/(G2*24)</f>
        <v>0</v>
      </c>
      <c r="H11" s="2914">
        <v>0</v>
      </c>
      <c r="I11" s="536">
        <f>+I7/(I2*24)</f>
        <v>0</v>
      </c>
      <c r="J11" s="823">
        <v>0</v>
      </c>
      <c r="K11" s="57">
        <f>+K7/(K2*24)</f>
        <v>0</v>
      </c>
      <c r="L11" s="2392">
        <v>0</v>
      </c>
      <c r="M11" s="1927">
        <f>+M7/(M2*24)</f>
        <v>0</v>
      </c>
      <c r="N11" s="2406">
        <v>0</v>
      </c>
      <c r="O11" s="54">
        <f>+O7/(O2*24)</f>
        <v>0</v>
      </c>
      <c r="P11" s="2914">
        <v>0</v>
      </c>
      <c r="Q11" s="1366">
        <f>+Q7/(Q2*24)</f>
        <v>0</v>
      </c>
      <c r="R11" s="2406">
        <v>0</v>
      </c>
      <c r="S11" s="54">
        <f>+S7/(S2*24)</f>
        <v>0</v>
      </c>
      <c r="T11" s="2914">
        <v>0</v>
      </c>
      <c r="U11" s="1366">
        <f>+U7/(U2*24)</f>
        <v>0</v>
      </c>
      <c r="V11" s="2406">
        <v>0</v>
      </c>
      <c r="W11" s="54">
        <f>+W7/(W2*24)</f>
        <v>0</v>
      </c>
      <c r="X11" s="2915">
        <v>0</v>
      </c>
      <c r="Y11" s="288">
        <f>+Y7/(Y2*24)</f>
        <v>0</v>
      </c>
      <c r="Z11" s="2393">
        <v>0</v>
      </c>
      <c r="AA11" s="1235">
        <f>+AA7/(AA2*24)</f>
        <v>0</v>
      </c>
      <c r="AB11" s="3160">
        <v>0</v>
      </c>
      <c r="AC11" s="54">
        <f>+AC7/(AC2*24)</f>
        <v>0</v>
      </c>
      <c r="AD11" s="3167"/>
      <c r="AE11" s="1366">
        <f>+AE7/(AE2*24)</f>
        <v>0</v>
      </c>
      <c r="AF11" s="3317">
        <v>0</v>
      </c>
      <c r="AG11" s="1919">
        <f>+AG7/(AG2*24)</f>
        <v>0</v>
      </c>
      <c r="AH11" s="3324"/>
      <c r="AI11" s="1366">
        <f>+AI7/(AI2*24)</f>
        <v>0</v>
      </c>
      <c r="AJ11" s="3502">
        <v>0</v>
      </c>
      <c r="AK11" s="1919">
        <f>+AK7/(AK2*24)</f>
        <v>0</v>
      </c>
      <c r="AL11" s="3603">
        <v>0</v>
      </c>
      <c r="AM11" s="288">
        <f>+AM7/(AM2*24)</f>
        <v>0</v>
      </c>
      <c r="AN11" s="3607"/>
      <c r="AO11" s="1366">
        <f>+AO7/(AO2*24)</f>
        <v>0</v>
      </c>
      <c r="AP11" s="3502">
        <v>0</v>
      </c>
      <c r="AQ11" s="1919">
        <f>+AQ7/(AQ2*24)</f>
        <v>0</v>
      </c>
      <c r="AR11" s="3959"/>
      <c r="AS11" s="1366">
        <f>+AS7/(AS2*24)</f>
        <v>0</v>
      </c>
      <c r="AT11" s="3502">
        <v>0</v>
      </c>
      <c r="AU11" s="1919">
        <f>+AU7/(AU2*24)</f>
        <v>0</v>
      </c>
      <c r="AV11" s="4078"/>
      <c r="AW11" s="1366">
        <f>+AW7/(AW2*24)</f>
        <v>0</v>
      </c>
      <c r="AX11" s="3502">
        <v>0</v>
      </c>
      <c r="AY11" s="1919">
        <f>+AY7/(AY2*24)</f>
        <v>0</v>
      </c>
      <c r="AZ11" s="4404"/>
      <c r="BA11" s="288">
        <f>+BA7/(BA2*24)</f>
        <v>0</v>
      </c>
      <c r="BB11" s="4406"/>
      <c r="BC11" s="1235">
        <f>+BC7/(BC2*24)</f>
        <v>0</v>
      </c>
      <c r="BD11" s="4400"/>
      <c r="BE11" s="1366">
        <f>+BE7/(BE2*24)</f>
        <v>0</v>
      </c>
    </row>
    <row r="12" spans="1:57" x14ac:dyDescent="0.25">
      <c r="B12" s="76" t="s">
        <v>743</v>
      </c>
      <c r="C12" s="33" t="s">
        <v>424</v>
      </c>
      <c r="D12" s="1109">
        <v>4.5</v>
      </c>
      <c r="E12" s="365">
        <f>+E8/(E2*24)</f>
        <v>5.2494444444444444</v>
      </c>
      <c r="F12" s="1109">
        <v>4.5</v>
      </c>
      <c r="G12" s="181">
        <f>+G8/(G2*24)</f>
        <v>4.3506720430107526</v>
      </c>
      <c r="H12" s="1077">
        <f>+((D12*D2)+(F12*F2))/H2</f>
        <v>4.5</v>
      </c>
      <c r="I12" s="537">
        <f>+I8/(I2*24)</f>
        <v>4.7926912568306008</v>
      </c>
      <c r="J12" s="1109">
        <v>4.5</v>
      </c>
      <c r="K12" s="210">
        <f>+K8/(K2*24)</f>
        <v>4.7055555555555557</v>
      </c>
      <c r="L12" s="173">
        <f>+((H12*H2)+(J12*J2))/L2</f>
        <v>4.5</v>
      </c>
      <c r="M12" s="881">
        <f>+M8/(M2*24)</f>
        <v>4.7639652014652016</v>
      </c>
      <c r="N12" s="2307">
        <v>4.5</v>
      </c>
      <c r="O12" s="181">
        <f>+O8/(O2*24)</f>
        <v>4.997983870967742</v>
      </c>
      <c r="P12" s="972">
        <f>+((L12*L2)+(N12*N2))/P2</f>
        <v>4.5</v>
      </c>
      <c r="Q12" s="878">
        <f>+Q8/(Q2*24)</f>
        <v>4.8234289617486334</v>
      </c>
      <c r="R12" s="2307">
        <v>4.5</v>
      </c>
      <c r="S12" s="181">
        <f>+S8/(S2*24)</f>
        <v>5.3302419354838708</v>
      </c>
      <c r="T12" s="972">
        <f>+((P12*P2)+(R12*R2))/T2</f>
        <v>4.5</v>
      </c>
      <c r="U12" s="878">
        <f>+U8/(U2*24)</f>
        <v>4.926116557734205</v>
      </c>
      <c r="V12" s="2307">
        <v>4.5</v>
      </c>
      <c r="W12" s="225">
        <f>+W8/(W2*24)</f>
        <v>5.4074999999999998</v>
      </c>
      <c r="X12" s="973">
        <f>+((N12*N2)+(R12*R2)+(V12*V2))/X2</f>
        <v>4.5</v>
      </c>
      <c r="Y12" s="174">
        <f>+Y8/(Y2*24)</f>
        <v>5.2434782608695656</v>
      </c>
      <c r="Z12" s="1862">
        <f>+((T12*T2)+(V12*V2))/Z2</f>
        <v>4.5</v>
      </c>
      <c r="AA12" s="1238">
        <f>+AA8/(AA2*24)</f>
        <v>5.0050318761384336</v>
      </c>
      <c r="AB12" s="2307">
        <v>4.5</v>
      </c>
      <c r="AC12" s="181">
        <f>+AC8/(AC2*24)</f>
        <v>4.7772849462365592</v>
      </c>
      <c r="AD12" s="972">
        <f>+((Z12*Z2)+(AB12*AB2))/AD2</f>
        <v>4.5</v>
      </c>
      <c r="AE12" s="878">
        <f>+AE8/(AE2*24)</f>
        <v>4.9720404984423681</v>
      </c>
      <c r="AF12" s="2307">
        <v>4.5</v>
      </c>
      <c r="AG12" s="225">
        <f>+AG8/(AG2*24)</f>
        <v>3.949583333333333</v>
      </c>
      <c r="AH12" s="972">
        <f>+((AD12*AD2)+(AF12*AF2))/AH2</f>
        <v>4.5</v>
      </c>
      <c r="AI12" s="878">
        <f>+AI8/(AI2*24)</f>
        <v>4.8463285519125687</v>
      </c>
      <c r="AJ12" s="2307">
        <v>4.5</v>
      </c>
      <c r="AK12" s="225">
        <f>+AK8/(AK2*24)</f>
        <v>4.1669354838709678</v>
      </c>
      <c r="AL12" s="973">
        <f>+((AB12*AB2)+(AF12*AF2)+(AJ12*AJ2))/AL2</f>
        <v>4.5</v>
      </c>
      <c r="AM12" s="174">
        <f>+AM8/(AM2*24)</f>
        <v>4.3017210144927542</v>
      </c>
      <c r="AN12" s="972">
        <f>+((AH12*AH2)+(AJ12*AJ2))/AN2</f>
        <v>4.5</v>
      </c>
      <c r="AO12" s="878">
        <f>+AO8/(AO2*24)</f>
        <v>4.7697424242424251</v>
      </c>
      <c r="AP12" s="2307">
        <v>4.5</v>
      </c>
      <c r="AQ12" s="225">
        <f>+AQ8/(AQ2*24)</f>
        <v>4.3654569892473116</v>
      </c>
      <c r="AR12" s="972">
        <f>+((AN12*AN2)+(AP12*AP2))/AR2</f>
        <v>4.5</v>
      </c>
      <c r="AS12" s="878">
        <f>+AS8/(AS2*24)</f>
        <v>4.72878540305011</v>
      </c>
      <c r="AT12" s="2307">
        <v>4.5</v>
      </c>
      <c r="AU12" s="225">
        <f>+AU8/(AU2*24)</f>
        <v>4.2803571428571434</v>
      </c>
      <c r="AV12" s="972">
        <f>+((AR12*AR2)+(AT12*AT2))/AV2</f>
        <v>4.5</v>
      </c>
      <c r="AW12" s="878">
        <f>+AW8/(AW2*24)</f>
        <v>4.6911926147704595</v>
      </c>
      <c r="AX12" s="2307">
        <v>4.5</v>
      </c>
      <c r="AY12" s="225">
        <f>+AY8/(AY2*24)</f>
        <v>4.544354838709677</v>
      </c>
      <c r="AZ12" s="973">
        <f>+((AP12*AP2)+(AT12*AT2)+(AX12*AX2))/AZ2</f>
        <v>4.5</v>
      </c>
      <c r="BA12" s="174">
        <f>+BA8/(BA2*24)</f>
        <v>4.4006018518518513</v>
      </c>
      <c r="BB12" s="1862">
        <f>+((AL12*AL2)+(AZ12*AZ2))/BB2</f>
        <v>4.5</v>
      </c>
      <c r="BC12" s="1238">
        <f>+BC8/(BC2*24)</f>
        <v>4.3506181318681323</v>
      </c>
      <c r="BD12" s="972">
        <f>+((AV12*AV2)+(AX12*AX2))/BD2</f>
        <v>4.5</v>
      </c>
      <c r="BE12" s="878">
        <f>+BE8/(BE2*24)</f>
        <v>4.678721461187215</v>
      </c>
    </row>
    <row r="13" spans="1:57" ht="15.75" thickBot="1" x14ac:dyDescent="0.3">
      <c r="B13" s="77" t="s">
        <v>686</v>
      </c>
      <c r="C13" s="34" t="s">
        <v>424</v>
      </c>
      <c r="D13" s="823" t="s">
        <v>35</v>
      </c>
      <c r="E13" s="357">
        <f>+E9/(E2*24)</f>
        <v>3.3579166666666662</v>
      </c>
      <c r="F13" s="823" t="s">
        <v>35</v>
      </c>
      <c r="G13" s="309">
        <f>+G9/(G2*24)</f>
        <v>3.4942661290322579</v>
      </c>
      <c r="H13" s="2015"/>
      <c r="I13" s="538">
        <f>+I9/(I2*24)</f>
        <v>3.4272090163934421</v>
      </c>
      <c r="J13" s="823"/>
      <c r="K13" s="309">
        <f>+K9/(K2*24)</f>
        <v>3.7960319444444446</v>
      </c>
      <c r="L13" s="2916">
        <f>+L9/(L2*24)</f>
        <v>0</v>
      </c>
      <c r="M13" s="1929">
        <f>+M9/(M2*24)</f>
        <v>3.5487989926739925</v>
      </c>
      <c r="N13" s="2406"/>
      <c r="O13" s="309">
        <f>+O9/(O2*24)</f>
        <v>3.2213709677419353</v>
      </c>
      <c r="P13" s="2917">
        <f>+P9/(P2*24)</f>
        <v>0</v>
      </c>
      <c r="Q13" s="1872">
        <f>+Q9/(Q2*24)</f>
        <v>3.4656000683060104</v>
      </c>
      <c r="R13" s="2406"/>
      <c r="S13" s="309">
        <f>+S9/(S2*24)</f>
        <v>3.4035349462365589</v>
      </c>
      <c r="T13" s="2917">
        <f>+T9/(T2*24)</f>
        <v>0</v>
      </c>
      <c r="U13" s="1872">
        <f>+U9/(U2*24)</f>
        <v>3.4530247821350755</v>
      </c>
      <c r="V13" s="2406"/>
      <c r="W13" s="1869">
        <f>+W9/(W2*24)</f>
        <v>3.3139916666666669</v>
      </c>
      <c r="X13" s="2916">
        <f>+X9/(X2*24)</f>
        <v>0</v>
      </c>
      <c r="Y13" s="572">
        <f>+Y9/(Y2*24)</f>
        <v>3.3129547101449277</v>
      </c>
      <c r="Z13" s="2918">
        <f>+Z9/(Z2*24)</f>
        <v>0</v>
      </c>
      <c r="AA13" s="1239">
        <f>+AA9/(AA2*24)</f>
        <v>3.4302324681238612</v>
      </c>
      <c r="AB13" s="3160"/>
      <c r="AC13" s="309">
        <f>+AC9/(AC2*24)</f>
        <v>3.0030860215053763</v>
      </c>
      <c r="AD13" s="2917">
        <f>+AD9/(AD2*24)</f>
        <v>0</v>
      </c>
      <c r="AE13" s="1872">
        <f>+AE9/(AE2*24)</f>
        <v>3.3683561137071645</v>
      </c>
      <c r="AF13" s="3317"/>
      <c r="AG13" s="1869">
        <f>+AG9/(AG2*24)</f>
        <v>3.1448930555555554</v>
      </c>
      <c r="AH13" s="2917">
        <f>+AH9/(AH2*24)</f>
        <v>0</v>
      </c>
      <c r="AI13" s="1872">
        <f>+AI9/(AI2*24)</f>
        <v>3.340881147540983</v>
      </c>
      <c r="AJ13" s="3502"/>
      <c r="AK13" s="1869">
        <f>+AK9/(AK2*24)</f>
        <v>3.0484905913978499</v>
      </c>
      <c r="AL13" s="2916">
        <f>+AL9/(AL2*24)</f>
        <v>0</v>
      </c>
      <c r="AM13" s="572">
        <f>+AM9/(AM2*24)</f>
        <v>3.064626811594203</v>
      </c>
      <c r="AN13" s="2917">
        <f>+AN9/(AN2*24)</f>
        <v>0</v>
      </c>
      <c r="AO13" s="1872">
        <f>+AO9/(AO2*24)</f>
        <v>3.3079207575757574</v>
      </c>
      <c r="AP13" s="3502"/>
      <c r="AQ13" s="1869">
        <f>+AQ9/(AQ2*24)</f>
        <v>2.9037204301075268</v>
      </c>
      <c r="AR13" s="2917">
        <f>+AR9/(AR2*24)</f>
        <v>0</v>
      </c>
      <c r="AS13" s="1872">
        <f>+AS9/(AS2*24)</f>
        <v>3.266972358387799</v>
      </c>
      <c r="AT13" s="3502"/>
      <c r="AU13" s="1869">
        <f>+AU9/(AU2*24)</f>
        <v>2.8538139880952378</v>
      </c>
      <c r="AV13" s="2917">
        <f>+AV9/(AV2*24)</f>
        <v>0</v>
      </c>
      <c r="AW13" s="1872">
        <f>+AW9/(AW2*24)</f>
        <v>3.2323363273453087</v>
      </c>
      <c r="AX13" s="3502"/>
      <c r="AY13" s="1869">
        <f t="shared" ref="AY13:BE13" si="42">+AY9/(AY2*24)</f>
        <v>2.915451612903226</v>
      </c>
      <c r="AZ13" s="2935">
        <f t="shared" si="42"/>
        <v>0</v>
      </c>
      <c r="BA13" s="572">
        <f t="shared" si="42"/>
        <v>2.8922347222222222</v>
      </c>
      <c r="BB13" s="2918">
        <f t="shared" si="42"/>
        <v>0</v>
      </c>
      <c r="BC13" s="1239">
        <f t="shared" si="42"/>
        <v>2.979377976190476</v>
      </c>
      <c r="BD13" s="2917">
        <f t="shared" si="42"/>
        <v>0</v>
      </c>
      <c r="BE13" s="1872">
        <f t="shared" si="42"/>
        <v>3.2054228310502282</v>
      </c>
    </row>
    <row r="14" spans="1:57" ht="16.5" thickBot="1" x14ac:dyDescent="0.3">
      <c r="B14" s="78" t="s">
        <v>426</v>
      </c>
      <c r="C14" s="35" t="s">
        <v>424</v>
      </c>
      <c r="D14" s="925">
        <f t="shared" ref="D14:F14" si="43">SUM(D11:D13)</f>
        <v>4.5</v>
      </c>
      <c r="E14" s="362">
        <f t="shared" ref="E14:I14" si="44">SUM(E11:E13)</f>
        <v>8.6073611111111106</v>
      </c>
      <c r="F14" s="925">
        <f t="shared" si="43"/>
        <v>4.5</v>
      </c>
      <c r="G14" s="223">
        <f t="shared" si="44"/>
        <v>7.84493817204301</v>
      </c>
      <c r="H14" s="2299">
        <f t="shared" si="44"/>
        <v>4.5</v>
      </c>
      <c r="I14" s="539">
        <f t="shared" si="44"/>
        <v>8.2199002732240434</v>
      </c>
      <c r="J14" s="925">
        <f t="shared" ref="J14" si="45">SUM(J11:J13)</f>
        <v>4.5</v>
      </c>
      <c r="K14" s="375">
        <f t="shared" ref="K14:N14" si="46">SUM(K11:K13)</f>
        <v>8.5015874999999994</v>
      </c>
      <c r="L14" s="2301">
        <f t="shared" si="46"/>
        <v>4.5</v>
      </c>
      <c r="M14" s="1930">
        <f t="shared" si="46"/>
        <v>8.312764194139195</v>
      </c>
      <c r="N14" s="927">
        <f t="shared" si="46"/>
        <v>4.5</v>
      </c>
      <c r="O14" s="55">
        <f t="shared" ref="O14:R14" si="47">SUM(O11:O13)</f>
        <v>8.2193548387096769</v>
      </c>
      <c r="P14" s="2919">
        <f t="shared" si="47"/>
        <v>4.5</v>
      </c>
      <c r="Q14" s="1873">
        <f t="shared" si="47"/>
        <v>8.2890290300546443</v>
      </c>
      <c r="R14" s="927">
        <f t="shared" si="47"/>
        <v>4.5</v>
      </c>
      <c r="S14" s="55">
        <f t="shared" ref="S14:V14" si="48">SUM(S11:S13)</f>
        <v>8.7337768817204307</v>
      </c>
      <c r="T14" s="2919">
        <f t="shared" si="48"/>
        <v>4.5</v>
      </c>
      <c r="U14" s="1873">
        <f t="shared" si="48"/>
        <v>8.37914133986928</v>
      </c>
      <c r="V14" s="927">
        <f t="shared" si="48"/>
        <v>4.5</v>
      </c>
      <c r="W14" s="55">
        <f t="shared" ref="W14" si="49">SUM(W11:W13)</f>
        <v>8.7214916666666671</v>
      </c>
      <c r="X14" s="2920">
        <f t="shared" ref="X14:AE14" si="50">SUM(X11:X13)</f>
        <v>4.5</v>
      </c>
      <c r="Y14" s="573">
        <f t="shared" si="50"/>
        <v>8.5564329710144928</v>
      </c>
      <c r="Z14" s="2302">
        <f t="shared" si="50"/>
        <v>4.5</v>
      </c>
      <c r="AA14" s="1240">
        <f t="shared" si="50"/>
        <v>8.4352643442622952</v>
      </c>
      <c r="AB14" s="927">
        <f t="shared" si="50"/>
        <v>4.5</v>
      </c>
      <c r="AC14" s="55">
        <f t="shared" si="50"/>
        <v>7.7803709677419359</v>
      </c>
      <c r="AD14" s="2919">
        <f t="shared" si="50"/>
        <v>4.5</v>
      </c>
      <c r="AE14" s="1873">
        <f t="shared" si="50"/>
        <v>8.340396612149533</v>
      </c>
      <c r="AF14" s="927">
        <f t="shared" ref="AF14:AI14" si="51">SUM(AF11:AF13)</f>
        <v>4.5</v>
      </c>
      <c r="AG14" s="55">
        <f t="shared" si="51"/>
        <v>7.0944763888888884</v>
      </c>
      <c r="AH14" s="2919">
        <f t="shared" si="51"/>
        <v>4.5</v>
      </c>
      <c r="AI14" s="1873">
        <f t="shared" si="51"/>
        <v>8.1872096994535521</v>
      </c>
      <c r="AJ14" s="927">
        <f t="shared" ref="AJ14:AO14" si="52">SUM(AJ11:AJ13)</f>
        <v>4.5</v>
      </c>
      <c r="AK14" s="55">
        <f t="shared" si="52"/>
        <v>7.2154260752688177</v>
      </c>
      <c r="AL14" s="2920">
        <f t="shared" si="52"/>
        <v>4.5</v>
      </c>
      <c r="AM14" s="573">
        <f t="shared" si="52"/>
        <v>7.3663478260869573</v>
      </c>
      <c r="AN14" s="2919">
        <f t="shared" si="52"/>
        <v>4.5</v>
      </c>
      <c r="AO14" s="1873">
        <f t="shared" si="52"/>
        <v>8.077663181818183</v>
      </c>
      <c r="AP14" s="927">
        <f t="shared" ref="AP14:AS14" si="53">SUM(AP11:AP13)</f>
        <v>4.5</v>
      </c>
      <c r="AQ14" s="55">
        <f t="shared" si="53"/>
        <v>7.269177419354838</v>
      </c>
      <c r="AR14" s="2919">
        <f t="shared" si="53"/>
        <v>4.5</v>
      </c>
      <c r="AS14" s="1873">
        <f t="shared" si="53"/>
        <v>7.9957577614379094</v>
      </c>
      <c r="AT14" s="927">
        <f t="shared" ref="AT14:AW14" si="54">SUM(AT11:AT13)</f>
        <v>4.5</v>
      </c>
      <c r="AU14" s="55">
        <f t="shared" si="54"/>
        <v>7.1341711309523816</v>
      </c>
      <c r="AV14" s="2919">
        <f t="shared" si="54"/>
        <v>4.5</v>
      </c>
      <c r="AW14" s="1873">
        <f t="shared" si="54"/>
        <v>7.9235289421157677</v>
      </c>
      <c r="AX14" s="927">
        <f t="shared" ref="AX14:BE14" si="55">SUM(AX11:AX13)</f>
        <v>4.5</v>
      </c>
      <c r="AY14" s="55">
        <f t="shared" si="55"/>
        <v>7.459806451612903</v>
      </c>
      <c r="AZ14" s="2920">
        <f t="shared" si="55"/>
        <v>4.5</v>
      </c>
      <c r="BA14" s="573">
        <f t="shared" si="55"/>
        <v>7.292836574074073</v>
      </c>
      <c r="BB14" s="2302">
        <f t="shared" si="55"/>
        <v>4.5</v>
      </c>
      <c r="BC14" s="1240">
        <f t="shared" si="55"/>
        <v>7.3299961080586087</v>
      </c>
      <c r="BD14" s="2919">
        <f t="shared" si="55"/>
        <v>4.5</v>
      </c>
      <c r="BE14" s="1873">
        <f t="shared" si="55"/>
        <v>7.8841442922374432</v>
      </c>
    </row>
    <row r="15" spans="1:57" ht="15.75" x14ac:dyDescent="0.25">
      <c r="A15" s="335" t="s">
        <v>515</v>
      </c>
      <c r="B15" s="637" t="s">
        <v>418</v>
      </c>
      <c r="C15" s="36" t="s">
        <v>69</v>
      </c>
      <c r="D15" s="2921">
        <f>32*D2*24</f>
        <v>23040</v>
      </c>
      <c r="E15" s="354">
        <f>+E21</f>
        <v>18240</v>
      </c>
      <c r="F15" s="2921">
        <f>32*F2*24</f>
        <v>23808</v>
      </c>
      <c r="G15" s="54">
        <f>+G21</f>
        <v>19344</v>
      </c>
      <c r="H15" s="2914">
        <f>+D15+F15</f>
        <v>46848</v>
      </c>
      <c r="I15" s="536">
        <f>+E15+G15</f>
        <v>37584</v>
      </c>
      <c r="J15" s="2921">
        <f>32*J2*24</f>
        <v>23040</v>
      </c>
      <c r="K15" s="54">
        <f>+K21</f>
        <v>18336</v>
      </c>
      <c r="L15" s="2915">
        <f>+H15+J15</f>
        <v>69888</v>
      </c>
      <c r="M15" s="1927">
        <f>+I15+K15</f>
        <v>55920</v>
      </c>
      <c r="N15" s="2921">
        <f>32*N2*24</f>
        <v>23808</v>
      </c>
      <c r="O15" s="54">
        <f>+O21</f>
        <v>19128</v>
      </c>
      <c r="P15" s="2914">
        <f>+L15+N15</f>
        <v>93696</v>
      </c>
      <c r="Q15" s="1366">
        <f>+M15+O15</f>
        <v>75048</v>
      </c>
      <c r="R15" s="2921">
        <f>32*R2*24</f>
        <v>23808</v>
      </c>
      <c r="S15" s="54">
        <f>+S21</f>
        <v>19200</v>
      </c>
      <c r="T15" s="2914">
        <f>+P15+R15</f>
        <v>117504</v>
      </c>
      <c r="U15" s="1366">
        <f>+Q15+S15</f>
        <v>94248</v>
      </c>
      <c r="V15" s="2921">
        <f>32*V2*24</f>
        <v>23040</v>
      </c>
      <c r="W15" s="54">
        <f>+W21</f>
        <v>17880</v>
      </c>
      <c r="X15" s="2915">
        <f>+V15+R15+N15</f>
        <v>70656</v>
      </c>
      <c r="Y15" s="288">
        <f>+W15+S15+O15</f>
        <v>56208</v>
      </c>
      <c r="Z15" s="2922">
        <f>+T15+V15</f>
        <v>140544</v>
      </c>
      <c r="AA15" s="1235">
        <f>+U15+W15</f>
        <v>112128</v>
      </c>
      <c r="AB15" s="2921">
        <f>32*AB2*24</f>
        <v>23808</v>
      </c>
      <c r="AC15" s="54">
        <f>+AC21</f>
        <v>19296</v>
      </c>
      <c r="AD15" s="3167">
        <f>+Z15+AB15</f>
        <v>164352</v>
      </c>
      <c r="AE15" s="1366">
        <f>+AA15+AC15</f>
        <v>131424</v>
      </c>
      <c r="AF15" s="2921">
        <f>32*AF2*24</f>
        <v>23040</v>
      </c>
      <c r="AG15" s="54">
        <f>+AG21</f>
        <v>18527.999999999996</v>
      </c>
      <c r="AH15" s="3324">
        <f>+AD15+AF15</f>
        <v>187392</v>
      </c>
      <c r="AI15" s="1366">
        <f>+AE15+AG15</f>
        <v>149952</v>
      </c>
      <c r="AJ15" s="2921">
        <f>32*AJ2*24</f>
        <v>23808</v>
      </c>
      <c r="AK15" s="54">
        <f>+AK21</f>
        <v>19344</v>
      </c>
      <c r="AL15" s="3603">
        <f>+AJ15+AF15+AB15</f>
        <v>70656</v>
      </c>
      <c r="AM15" s="288">
        <f>+AK15+AG15+AC15</f>
        <v>57168</v>
      </c>
      <c r="AN15" s="3607">
        <f>+AH15+AJ15</f>
        <v>211200</v>
      </c>
      <c r="AO15" s="1366">
        <f>+AI15+AK15</f>
        <v>169296</v>
      </c>
      <c r="AP15" s="2921">
        <f>32*AP2*24</f>
        <v>23808</v>
      </c>
      <c r="AQ15" s="54">
        <f>+AQ21</f>
        <v>19344</v>
      </c>
      <c r="AR15" s="3959">
        <f>+AN15+AP15</f>
        <v>235008</v>
      </c>
      <c r="AS15" s="1366">
        <f>+AO15+AQ15</f>
        <v>188640</v>
      </c>
      <c r="AT15" s="2921">
        <f>32*AT2*24</f>
        <v>21504</v>
      </c>
      <c r="AU15" s="54">
        <f>+AU21</f>
        <v>17400</v>
      </c>
      <c r="AV15" s="4078">
        <f>+AR15+AT15</f>
        <v>256512</v>
      </c>
      <c r="AW15" s="1366">
        <f>+AS15+AU15</f>
        <v>206040</v>
      </c>
      <c r="AX15" s="2921">
        <f>32*AX2*24</f>
        <v>23808</v>
      </c>
      <c r="AY15" s="54">
        <f>+AY21</f>
        <v>19152</v>
      </c>
      <c r="AZ15" s="4404">
        <f>+AX15+AT15+AP15</f>
        <v>69120</v>
      </c>
      <c r="BA15" s="288">
        <f>+AY15+AU15+AQ15</f>
        <v>55896</v>
      </c>
      <c r="BB15" s="2922">
        <f>+AL15+AZ15</f>
        <v>139776</v>
      </c>
      <c r="BC15" s="1235">
        <f>+AM15+BA15</f>
        <v>113064</v>
      </c>
      <c r="BD15" s="4400">
        <f>+AV15+AX15</f>
        <v>280320</v>
      </c>
      <c r="BE15" s="1366">
        <f>+AW15+AY15</f>
        <v>225192</v>
      </c>
    </row>
    <row r="16" spans="1:57" s="334" customFormat="1" ht="18.75" x14ac:dyDescent="0.3">
      <c r="A16" s="335"/>
      <c r="B16" s="1247" t="s">
        <v>419</v>
      </c>
      <c r="C16" s="1248"/>
      <c r="D16" s="1248"/>
      <c r="E16" s="1249"/>
      <c r="F16" s="1248"/>
      <c r="G16" s="1248"/>
      <c r="H16" s="1248"/>
      <c r="I16" s="1248"/>
      <c r="J16" s="1248"/>
      <c r="K16" s="1248"/>
      <c r="L16" s="1248"/>
      <c r="M16" s="1248"/>
      <c r="N16" s="2923"/>
      <c r="O16" s="1903"/>
      <c r="P16" s="1248"/>
      <c r="Q16" s="1248"/>
      <c r="R16" s="2923"/>
      <c r="S16" s="1903"/>
      <c r="T16" s="1248"/>
      <c r="U16" s="1248"/>
      <c r="V16" s="2923"/>
      <c r="W16" s="1903"/>
      <c r="X16" s="1248"/>
      <c r="Y16" s="1248"/>
      <c r="Z16" s="1248"/>
      <c r="AA16" s="1248"/>
      <c r="AB16" s="2923"/>
      <c r="AC16" s="1903"/>
      <c r="AD16" s="1248"/>
      <c r="AE16" s="1248"/>
      <c r="AF16" s="2923"/>
      <c r="AG16" s="1903"/>
      <c r="AH16" s="1248"/>
      <c r="AI16" s="1248"/>
      <c r="AJ16" s="2923"/>
      <c r="AK16" s="1903"/>
      <c r="AL16" s="1248"/>
      <c r="AM16" s="1248"/>
      <c r="AN16" s="1248"/>
      <c r="AO16" s="1248"/>
      <c r="AP16" s="2923"/>
      <c r="AQ16" s="1903"/>
      <c r="AR16" s="1248"/>
      <c r="AS16" s="1248"/>
      <c r="AT16" s="2923"/>
      <c r="AU16" s="1903"/>
      <c r="AV16" s="1248"/>
      <c r="AW16" s="1248"/>
      <c r="AX16" s="2923"/>
      <c r="AY16" s="1903"/>
      <c r="AZ16" s="1248"/>
      <c r="BA16" s="1248"/>
      <c r="BB16" s="1248"/>
      <c r="BC16" s="1248"/>
      <c r="BD16" s="1248"/>
      <c r="BE16" s="1248"/>
    </row>
    <row r="17" spans="1:57" x14ac:dyDescent="0.25">
      <c r="A17" s="335" t="s">
        <v>515</v>
      </c>
      <c r="B17" s="638" t="s">
        <v>420</v>
      </c>
      <c r="C17" s="33" t="s">
        <v>69</v>
      </c>
      <c r="D17" s="2399">
        <f>23.4*D2*24</f>
        <v>16848</v>
      </c>
      <c r="E17" s="475">
        <v>12366.2</v>
      </c>
      <c r="F17" s="2399">
        <f>23.4*F2*24</f>
        <v>17409.599999999999</v>
      </c>
      <c r="G17" s="311">
        <v>12935.8</v>
      </c>
      <c r="H17" s="2400">
        <f>+D17+F17</f>
        <v>34257.599999999999</v>
      </c>
      <c r="I17" s="536">
        <f>+E17+G17</f>
        <v>25302</v>
      </c>
      <c r="J17" s="2399">
        <f>23.4*J2*24</f>
        <v>16848</v>
      </c>
      <c r="K17" s="311">
        <v>12303.7</v>
      </c>
      <c r="L17" s="2401">
        <f>+H17+J17</f>
        <v>51105.599999999999</v>
      </c>
      <c r="M17" s="1927">
        <f>+I17+K17</f>
        <v>37605.699999999997</v>
      </c>
      <c r="N17" s="2399">
        <f>23.4*N2*24</f>
        <v>17409.599999999999</v>
      </c>
      <c r="O17" s="629">
        <v>12796.9</v>
      </c>
      <c r="P17" s="2402">
        <f>+L17+N17</f>
        <v>68515.199999999997</v>
      </c>
      <c r="Q17" s="1366">
        <f>+M17+O17</f>
        <v>50402.6</v>
      </c>
      <c r="R17" s="2399">
        <f>23.4*R2*24</f>
        <v>17409.599999999999</v>
      </c>
      <c r="S17" s="629">
        <v>12866.4</v>
      </c>
      <c r="T17" s="2402">
        <f>+P17+R17</f>
        <v>85924.799999999988</v>
      </c>
      <c r="U17" s="1366">
        <f>+Q17+S17</f>
        <v>63269</v>
      </c>
      <c r="V17" s="2399">
        <f>23.4*V2*24</f>
        <v>16848</v>
      </c>
      <c r="W17" s="629">
        <v>11937.2</v>
      </c>
      <c r="X17" s="1122">
        <f>+V17+R17+N17</f>
        <v>51667.199999999997</v>
      </c>
      <c r="Y17" s="288">
        <f>+W17+S17+O17</f>
        <v>37600.5</v>
      </c>
      <c r="Z17" s="2403">
        <f>+T17+V17</f>
        <v>102772.79999999999</v>
      </c>
      <c r="AA17" s="1235">
        <f>+U17+W17</f>
        <v>75206.2</v>
      </c>
      <c r="AB17" s="3156">
        <f>23.4*AB2*24</f>
        <v>17409.599999999999</v>
      </c>
      <c r="AC17" s="629">
        <v>12899.9</v>
      </c>
      <c r="AD17" s="3158">
        <f>+Z17+AB17</f>
        <v>120182.39999999999</v>
      </c>
      <c r="AE17" s="1366">
        <f>+AA17+AC17</f>
        <v>88106.099999999991</v>
      </c>
      <c r="AF17" s="3313">
        <f>23.4*AF2*24</f>
        <v>16848</v>
      </c>
      <c r="AG17" s="629">
        <v>12353.8</v>
      </c>
      <c r="AH17" s="3315">
        <f>+AD17+AF17</f>
        <v>137030.39999999999</v>
      </c>
      <c r="AI17" s="1366">
        <f>+AE17+AG17</f>
        <v>100459.9</v>
      </c>
      <c r="AJ17" s="3590">
        <f>23.4*AJ2*24</f>
        <v>17409.599999999999</v>
      </c>
      <c r="AK17" s="629">
        <v>12950.2</v>
      </c>
      <c r="AL17" s="1122">
        <f>+AJ17+AF17+AB17</f>
        <v>51667.199999999997</v>
      </c>
      <c r="AM17" s="288">
        <f>+AK17+AG17+AC17</f>
        <v>38203.9</v>
      </c>
      <c r="AN17" s="3504">
        <f>+AH17+AJ17</f>
        <v>154440</v>
      </c>
      <c r="AO17" s="1366">
        <f>+AI17+AK17</f>
        <v>113410.09999999999</v>
      </c>
      <c r="AP17" s="3950">
        <f>23.4*AP2*24</f>
        <v>17409.599999999999</v>
      </c>
      <c r="AQ17" s="629">
        <v>12962.2</v>
      </c>
      <c r="AR17" s="3504">
        <f>+AN17+AP17</f>
        <v>171849.60000000001</v>
      </c>
      <c r="AS17" s="1366">
        <f>+AO17+AQ17</f>
        <v>126372.29999999999</v>
      </c>
      <c r="AT17" s="4073">
        <f>23.4*AT2*24</f>
        <v>15724.8</v>
      </c>
      <c r="AU17" s="629">
        <v>11633.1</v>
      </c>
      <c r="AV17" s="3504">
        <f>+AR17+AT17</f>
        <v>187574.39999999999</v>
      </c>
      <c r="AW17" s="1366">
        <f>+AS17+AU17</f>
        <v>138005.4</v>
      </c>
      <c r="AX17" s="4395">
        <f>23.4*AX2*24</f>
        <v>17409.599999999999</v>
      </c>
      <c r="AY17" s="629">
        <v>12842.5</v>
      </c>
      <c r="AZ17" s="4392">
        <f>+AX17+AT17+AP17</f>
        <v>50543.999999999993</v>
      </c>
      <c r="BA17" s="288">
        <f>+AY17+AU17+AQ17</f>
        <v>37437.800000000003</v>
      </c>
      <c r="BB17" s="4394">
        <f>+AL17+AZ17</f>
        <v>102211.19999999998</v>
      </c>
      <c r="BC17" s="1235">
        <f>+AM17+BA17</f>
        <v>75641.700000000012</v>
      </c>
      <c r="BD17" s="4393">
        <f>+AV17+AX17</f>
        <v>204984</v>
      </c>
      <c r="BE17" s="1366">
        <f>+AW17+AY17</f>
        <v>150847.9</v>
      </c>
    </row>
    <row r="18" spans="1:57" x14ac:dyDescent="0.25">
      <c r="A18" s="335" t="s">
        <v>515</v>
      </c>
      <c r="B18" s="638" t="s">
        <v>422</v>
      </c>
      <c r="C18" s="33" t="s">
        <v>69</v>
      </c>
      <c r="D18" s="5262">
        <f>8.6*D2*24</f>
        <v>6192</v>
      </c>
      <c r="E18" s="475">
        <v>5846.4</v>
      </c>
      <c r="F18" s="5262">
        <f>8.6*F2*24</f>
        <v>6398.4</v>
      </c>
      <c r="G18" s="312">
        <v>6379.2</v>
      </c>
      <c r="H18" s="5308">
        <f>+D18+F18</f>
        <v>12590.4</v>
      </c>
      <c r="I18" s="534">
        <f t="shared" ref="I18:I20" si="56">+E18+G18</f>
        <v>12225.599999999999</v>
      </c>
      <c r="J18" s="5262">
        <f>8.6*J2*24</f>
        <v>6192</v>
      </c>
      <c r="K18" s="312">
        <v>6004.8</v>
      </c>
      <c r="L18" s="5312">
        <f>+H18+J18</f>
        <v>18782.400000000001</v>
      </c>
      <c r="M18" s="1326">
        <f t="shared" ref="M18:M20" si="57">+I18+K18</f>
        <v>18230.399999999998</v>
      </c>
      <c r="N18" s="5262">
        <f>8.6*N2*24</f>
        <v>6398.4</v>
      </c>
      <c r="O18" s="417">
        <v>6302.4</v>
      </c>
      <c r="P18" s="5266">
        <f>+L18+N18</f>
        <v>25180.800000000003</v>
      </c>
      <c r="Q18" s="1325">
        <f t="shared" ref="Q18:Q20" si="58">+M18+O18</f>
        <v>24532.799999999996</v>
      </c>
      <c r="R18" s="5262">
        <f>8.6*R2*24</f>
        <v>6398.4</v>
      </c>
      <c r="S18" s="417">
        <v>6304.8</v>
      </c>
      <c r="T18" s="5266">
        <f>+P18+R18</f>
        <v>31579.200000000004</v>
      </c>
      <c r="U18" s="1325">
        <f t="shared" ref="U18:U20" si="59">+Q18+S18</f>
        <v>30837.599999999995</v>
      </c>
      <c r="V18" s="5262">
        <f>8.6*V2*24</f>
        <v>6192</v>
      </c>
      <c r="W18" s="417">
        <v>5916</v>
      </c>
      <c r="X18" s="5278">
        <f>+V18+R18+N18</f>
        <v>18988.8</v>
      </c>
      <c r="Y18" s="571">
        <f t="shared" ref="Y18:Y19" si="60">+W18+S18+O18</f>
        <v>18523.199999999997</v>
      </c>
      <c r="Z18" s="5272">
        <f>+T18+V18</f>
        <v>37771.200000000004</v>
      </c>
      <c r="AA18" s="1236">
        <f t="shared" ref="AA18:AA20" si="61">+U18+W18</f>
        <v>36753.599999999991</v>
      </c>
      <c r="AB18" s="5262">
        <f>8.6*AB2*24</f>
        <v>6398.4</v>
      </c>
      <c r="AC18" s="417">
        <v>6367.2</v>
      </c>
      <c r="AD18" s="5266">
        <f>+Z18+AB18</f>
        <v>44169.600000000006</v>
      </c>
      <c r="AE18" s="1325">
        <f t="shared" ref="AE18:AE20" si="62">+AA18+AC18</f>
        <v>43120.799999999988</v>
      </c>
      <c r="AF18" s="5262">
        <f>8.6*AF2*24</f>
        <v>6192</v>
      </c>
      <c r="AG18" s="417">
        <v>6146.4</v>
      </c>
      <c r="AH18" s="5266">
        <f>+AD18+AF18</f>
        <v>50361.600000000006</v>
      </c>
      <c r="AI18" s="1325">
        <f t="shared" ref="AI18:AI20" si="63">+AE18+AG18</f>
        <v>49267.19999999999</v>
      </c>
      <c r="AJ18" s="5262">
        <f>8.6*AJ2*24</f>
        <v>6398.4</v>
      </c>
      <c r="AK18" s="417">
        <v>6364.8</v>
      </c>
      <c r="AL18" s="5278">
        <f>+AJ18+AF18+AB18</f>
        <v>18988.8</v>
      </c>
      <c r="AM18" s="571">
        <f t="shared" ref="AM18:AM19" si="64">+AK18+AG18+AC18</f>
        <v>18878.400000000001</v>
      </c>
      <c r="AN18" s="5266">
        <f>+AH18+AJ18</f>
        <v>56760.000000000007</v>
      </c>
      <c r="AO18" s="1325">
        <f t="shared" ref="AO18:AO20" si="65">+AI18+AK18</f>
        <v>55631.999999999993</v>
      </c>
      <c r="AP18" s="5262">
        <f>8.6*AP2*24</f>
        <v>6398.4</v>
      </c>
      <c r="AQ18" s="417">
        <v>6352.8</v>
      </c>
      <c r="AR18" s="5266">
        <f>+AN18+AP18</f>
        <v>63158.400000000009</v>
      </c>
      <c r="AS18" s="1325">
        <f t="shared" ref="AS18:AS20" si="66">+AO18+AQ18</f>
        <v>61984.799999999996</v>
      </c>
      <c r="AT18" s="5262">
        <f>8.6*AT2*24</f>
        <v>5779.2</v>
      </c>
      <c r="AU18" s="417">
        <v>5740.8</v>
      </c>
      <c r="AV18" s="5266">
        <f>+AR18+AT18</f>
        <v>68937.600000000006</v>
      </c>
      <c r="AW18" s="1325">
        <f t="shared" ref="AW18:AW20" si="67">+AS18+AU18</f>
        <v>67725.599999999991</v>
      </c>
      <c r="AX18" s="5262">
        <f>8.6*AX2*24</f>
        <v>6398.4</v>
      </c>
      <c r="AY18" s="417">
        <v>6280.8</v>
      </c>
      <c r="AZ18" s="5278">
        <f>+AX18+AT18+AP18</f>
        <v>18576</v>
      </c>
      <c r="BA18" s="571">
        <f t="shared" ref="BA18:BA19" si="68">+AY18+AU18+AQ18</f>
        <v>18374.400000000001</v>
      </c>
      <c r="BB18" s="5272">
        <f>+AL18+AZ18</f>
        <v>37564.800000000003</v>
      </c>
      <c r="BC18" s="1236">
        <f>+AM18+BA18</f>
        <v>37252.800000000003</v>
      </c>
      <c r="BD18" s="5266">
        <f>+AV18+AX18</f>
        <v>75336</v>
      </c>
      <c r="BE18" s="1325">
        <f t="shared" ref="BE18:BE20" si="69">+AW18+AY18</f>
        <v>74006.399999999994</v>
      </c>
    </row>
    <row r="19" spans="1:57" x14ac:dyDescent="0.25">
      <c r="A19" s="335" t="s">
        <v>515</v>
      </c>
      <c r="B19" s="638" t="s">
        <v>423</v>
      </c>
      <c r="C19" s="33" t="s">
        <v>69</v>
      </c>
      <c r="D19" s="5105"/>
      <c r="E19" s="475"/>
      <c r="F19" s="5105"/>
      <c r="G19" s="312">
        <v>0</v>
      </c>
      <c r="H19" s="5309"/>
      <c r="I19" s="534">
        <f t="shared" si="56"/>
        <v>0</v>
      </c>
      <c r="J19" s="5105"/>
      <c r="K19" s="312">
        <v>0</v>
      </c>
      <c r="L19" s="5313"/>
      <c r="M19" s="1326">
        <f t="shared" si="57"/>
        <v>0</v>
      </c>
      <c r="N19" s="5105"/>
      <c r="O19" s="417">
        <v>0</v>
      </c>
      <c r="P19" s="5267"/>
      <c r="Q19" s="1325">
        <f t="shared" si="58"/>
        <v>0</v>
      </c>
      <c r="R19" s="5105"/>
      <c r="S19" s="417">
        <v>0</v>
      </c>
      <c r="T19" s="5267"/>
      <c r="U19" s="1325">
        <f t="shared" si="59"/>
        <v>0</v>
      </c>
      <c r="V19" s="5105"/>
      <c r="W19" s="417">
        <v>0</v>
      </c>
      <c r="X19" s="5279"/>
      <c r="Y19" s="571">
        <f t="shared" si="60"/>
        <v>0</v>
      </c>
      <c r="Z19" s="5273"/>
      <c r="AA19" s="1236">
        <f t="shared" si="61"/>
        <v>0</v>
      </c>
      <c r="AB19" s="5105"/>
      <c r="AC19" s="417">
        <v>0</v>
      </c>
      <c r="AD19" s="5267"/>
      <c r="AE19" s="1325">
        <f t="shared" si="62"/>
        <v>0</v>
      </c>
      <c r="AF19" s="5105"/>
      <c r="AG19" s="417">
        <v>0</v>
      </c>
      <c r="AH19" s="5267"/>
      <c r="AI19" s="1325">
        <f t="shared" si="63"/>
        <v>0</v>
      </c>
      <c r="AJ19" s="5105"/>
      <c r="AK19" s="417">
        <v>0</v>
      </c>
      <c r="AL19" s="5279"/>
      <c r="AM19" s="571">
        <f t="shared" si="64"/>
        <v>0</v>
      </c>
      <c r="AN19" s="5267"/>
      <c r="AO19" s="1325">
        <f t="shared" si="65"/>
        <v>0</v>
      </c>
      <c r="AP19" s="5105"/>
      <c r="AQ19" s="417">
        <v>0</v>
      </c>
      <c r="AR19" s="5267"/>
      <c r="AS19" s="1325">
        <f t="shared" si="66"/>
        <v>0</v>
      </c>
      <c r="AT19" s="5105"/>
      <c r="AU19" s="417">
        <v>0</v>
      </c>
      <c r="AV19" s="5267"/>
      <c r="AW19" s="1325">
        <f t="shared" si="67"/>
        <v>0</v>
      </c>
      <c r="AX19" s="5105"/>
      <c r="AY19" s="417">
        <v>0</v>
      </c>
      <c r="AZ19" s="5279"/>
      <c r="BA19" s="571">
        <f t="shared" si="68"/>
        <v>0</v>
      </c>
      <c r="BB19" s="5273"/>
      <c r="BC19" s="1236">
        <f>+AM19+BA19</f>
        <v>0</v>
      </c>
      <c r="BD19" s="5267"/>
      <c r="BE19" s="1325">
        <f t="shared" si="69"/>
        <v>0</v>
      </c>
    </row>
    <row r="20" spans="1:57" ht="15.75" thickBot="1" x14ac:dyDescent="0.3">
      <c r="B20" s="2924" t="s">
        <v>421</v>
      </c>
      <c r="C20" s="34" t="s">
        <v>69</v>
      </c>
      <c r="D20" s="1997">
        <v>0</v>
      </c>
      <c r="E20" s="551">
        <v>27.4</v>
      </c>
      <c r="F20" s="1997">
        <v>0</v>
      </c>
      <c r="G20" s="313">
        <v>29</v>
      </c>
      <c r="H20" s="2925">
        <f>+D20+F20</f>
        <v>0</v>
      </c>
      <c r="I20" s="534">
        <f t="shared" si="56"/>
        <v>56.4</v>
      </c>
      <c r="J20" s="1997">
        <v>0</v>
      </c>
      <c r="K20" s="313">
        <v>27.5</v>
      </c>
      <c r="L20" s="2396">
        <f>+H20+J20</f>
        <v>0</v>
      </c>
      <c r="M20" s="1326">
        <f t="shared" si="57"/>
        <v>83.9</v>
      </c>
      <c r="N20" s="2913">
        <v>0</v>
      </c>
      <c r="O20" s="937">
        <v>28.7</v>
      </c>
      <c r="P20" s="2926">
        <f>+L20+N20</f>
        <v>0</v>
      </c>
      <c r="Q20" s="1325">
        <f t="shared" si="58"/>
        <v>112.60000000000001</v>
      </c>
      <c r="R20" s="2913">
        <v>0</v>
      </c>
      <c r="S20" s="937">
        <v>28.8</v>
      </c>
      <c r="T20" s="2926">
        <f>+P20+R20</f>
        <v>0</v>
      </c>
      <c r="U20" s="1325">
        <f t="shared" si="59"/>
        <v>141.4</v>
      </c>
      <c r="V20" s="2913">
        <v>0</v>
      </c>
      <c r="W20" s="937">
        <v>26.8</v>
      </c>
      <c r="X20" s="2927">
        <f>+V20+R20+N20</f>
        <v>0</v>
      </c>
      <c r="Y20" s="571">
        <f>+W20+S20+O20</f>
        <v>84.3</v>
      </c>
      <c r="Z20" s="2928">
        <f>+T20+V20</f>
        <v>0</v>
      </c>
      <c r="AA20" s="1236">
        <f t="shared" si="61"/>
        <v>168.20000000000002</v>
      </c>
      <c r="AB20" s="2913">
        <v>0</v>
      </c>
      <c r="AC20" s="937">
        <v>28.9</v>
      </c>
      <c r="AD20" s="3165">
        <f>+Z20+AB20</f>
        <v>0</v>
      </c>
      <c r="AE20" s="1325">
        <f t="shared" si="62"/>
        <v>197.10000000000002</v>
      </c>
      <c r="AF20" s="2913">
        <v>0</v>
      </c>
      <c r="AG20" s="937">
        <v>27.8</v>
      </c>
      <c r="AH20" s="3322">
        <f>+AD20+AF20</f>
        <v>0</v>
      </c>
      <c r="AI20" s="1325">
        <f t="shared" si="63"/>
        <v>224.90000000000003</v>
      </c>
      <c r="AJ20" s="2913">
        <v>0</v>
      </c>
      <c r="AK20" s="937">
        <v>29</v>
      </c>
      <c r="AL20" s="3604">
        <f>+AJ20+AF20+AB20</f>
        <v>0</v>
      </c>
      <c r="AM20" s="571">
        <f>+AK20+AG20+AC20</f>
        <v>85.699999999999989</v>
      </c>
      <c r="AN20" s="3605">
        <f>+AH20+AJ20</f>
        <v>0</v>
      </c>
      <c r="AO20" s="1325">
        <f t="shared" si="65"/>
        <v>253.90000000000003</v>
      </c>
      <c r="AP20" s="2913">
        <v>0</v>
      </c>
      <c r="AQ20" s="937">
        <v>29</v>
      </c>
      <c r="AR20" s="3957">
        <f>+AN20+AP20</f>
        <v>0</v>
      </c>
      <c r="AS20" s="1325">
        <f t="shared" si="66"/>
        <v>282.90000000000003</v>
      </c>
      <c r="AT20" s="2913">
        <v>0</v>
      </c>
      <c r="AU20" s="937">
        <v>26.1</v>
      </c>
      <c r="AV20" s="4076">
        <f>+AR20+AT20</f>
        <v>0</v>
      </c>
      <c r="AW20" s="1325">
        <f t="shared" si="67"/>
        <v>309.00000000000006</v>
      </c>
      <c r="AX20" s="2913">
        <v>0</v>
      </c>
      <c r="AY20" s="937">
        <v>28.7</v>
      </c>
      <c r="AZ20" s="4405">
        <f>+AX20+AT20+AP20</f>
        <v>0</v>
      </c>
      <c r="BA20" s="571">
        <f>+AY20+AU20+AQ20</f>
        <v>83.8</v>
      </c>
      <c r="BB20" s="4403">
        <f>+AL20+AZ20</f>
        <v>0</v>
      </c>
      <c r="BC20" s="1236">
        <f>+AM20+BA20</f>
        <v>169.5</v>
      </c>
      <c r="BD20" s="4398">
        <f>+AV20+AX20</f>
        <v>0</v>
      </c>
      <c r="BE20" s="1325">
        <f t="shared" si="69"/>
        <v>337.70000000000005</v>
      </c>
    </row>
    <row r="21" spans="1:57" ht="16.5" thickBot="1" x14ac:dyDescent="0.3">
      <c r="B21" s="2929" t="s">
        <v>2</v>
      </c>
      <c r="C21" s="35" t="s">
        <v>69</v>
      </c>
      <c r="D21" s="2817">
        <f t="shared" ref="D21:F21" si="70">SUM(D17:D20)</f>
        <v>23040</v>
      </c>
      <c r="E21" s="247">
        <f t="shared" ref="E21:I21" si="71">SUM(E17:E20)</f>
        <v>18240</v>
      </c>
      <c r="F21" s="2817">
        <f t="shared" si="70"/>
        <v>23808</v>
      </c>
      <c r="G21" s="53">
        <f t="shared" si="71"/>
        <v>19344</v>
      </c>
      <c r="H21" s="97">
        <f t="shared" si="71"/>
        <v>46848</v>
      </c>
      <c r="I21" s="535">
        <f t="shared" si="71"/>
        <v>37584</v>
      </c>
      <c r="J21" s="2817">
        <f t="shared" ref="J21" si="72">SUM(J17:J20)</f>
        <v>23040</v>
      </c>
      <c r="K21" s="53">
        <f t="shared" ref="K21:N21" si="73">SUM(K17:K20)</f>
        <v>18336</v>
      </c>
      <c r="L21" s="871">
        <f t="shared" si="73"/>
        <v>69888</v>
      </c>
      <c r="M21" s="1928">
        <f t="shared" si="73"/>
        <v>55919.999999999993</v>
      </c>
      <c r="N21" s="2930">
        <f t="shared" si="73"/>
        <v>23808</v>
      </c>
      <c r="O21" s="56">
        <f t="shared" ref="O21:R21" si="74">SUM(O17:O20)</f>
        <v>19128</v>
      </c>
      <c r="P21" s="2024">
        <f t="shared" si="74"/>
        <v>93696</v>
      </c>
      <c r="Q21" s="1871">
        <f t="shared" si="74"/>
        <v>75048</v>
      </c>
      <c r="R21" s="2930">
        <f t="shared" si="74"/>
        <v>23808</v>
      </c>
      <c r="S21" s="56">
        <f t="shared" ref="S21:V21" si="75">SUM(S17:S20)</f>
        <v>19200</v>
      </c>
      <c r="T21" s="2024">
        <f t="shared" si="75"/>
        <v>117504</v>
      </c>
      <c r="U21" s="1871">
        <f t="shared" si="75"/>
        <v>94247.999999999985</v>
      </c>
      <c r="V21" s="2930">
        <f t="shared" si="75"/>
        <v>23040</v>
      </c>
      <c r="W21" s="56">
        <f t="shared" ref="W21" si="76">SUM(W17:W20)</f>
        <v>17880</v>
      </c>
      <c r="X21" s="2025">
        <f t="shared" ref="X21:AE21" si="77">SUM(X17:X20)</f>
        <v>70656</v>
      </c>
      <c r="Y21" s="289">
        <f t="shared" si="77"/>
        <v>56208</v>
      </c>
      <c r="Z21" s="1130">
        <f t="shared" si="77"/>
        <v>140544</v>
      </c>
      <c r="AA21" s="1237">
        <f t="shared" si="77"/>
        <v>112127.99999999999</v>
      </c>
      <c r="AB21" s="2930">
        <f t="shared" si="77"/>
        <v>23808</v>
      </c>
      <c r="AC21" s="56">
        <f t="shared" si="77"/>
        <v>19296</v>
      </c>
      <c r="AD21" s="2024">
        <f t="shared" si="77"/>
        <v>164352</v>
      </c>
      <c r="AE21" s="1871">
        <f t="shared" si="77"/>
        <v>131423.99999999997</v>
      </c>
      <c r="AF21" s="2930">
        <f t="shared" ref="AF21:AI21" si="78">SUM(AF17:AF20)</f>
        <v>23040</v>
      </c>
      <c r="AG21" s="56">
        <f t="shared" si="78"/>
        <v>18527.999999999996</v>
      </c>
      <c r="AH21" s="2024">
        <f t="shared" si="78"/>
        <v>187392</v>
      </c>
      <c r="AI21" s="1871">
        <f t="shared" si="78"/>
        <v>149951.99999999997</v>
      </c>
      <c r="AJ21" s="2930">
        <f t="shared" ref="AJ21:AO21" si="79">SUM(AJ17:AJ20)</f>
        <v>23808</v>
      </c>
      <c r="AK21" s="56">
        <f t="shared" si="79"/>
        <v>19344</v>
      </c>
      <c r="AL21" s="2025">
        <f t="shared" si="79"/>
        <v>70656</v>
      </c>
      <c r="AM21" s="289">
        <f t="shared" si="79"/>
        <v>57168</v>
      </c>
      <c r="AN21" s="2024">
        <f t="shared" si="79"/>
        <v>211200</v>
      </c>
      <c r="AO21" s="1871">
        <f t="shared" si="79"/>
        <v>169295.99999999997</v>
      </c>
      <c r="AP21" s="2930">
        <f t="shared" ref="AP21:AS21" si="80">SUM(AP17:AP20)</f>
        <v>23808</v>
      </c>
      <c r="AQ21" s="56">
        <f t="shared" si="80"/>
        <v>19344</v>
      </c>
      <c r="AR21" s="2024">
        <f t="shared" si="80"/>
        <v>235008</v>
      </c>
      <c r="AS21" s="1871">
        <f t="shared" si="80"/>
        <v>188639.99999999997</v>
      </c>
      <c r="AT21" s="2930">
        <f t="shared" ref="AT21:AW21" si="81">SUM(AT17:AT20)</f>
        <v>21504</v>
      </c>
      <c r="AU21" s="56">
        <f t="shared" si="81"/>
        <v>17400</v>
      </c>
      <c r="AV21" s="2024">
        <f t="shared" si="81"/>
        <v>256512</v>
      </c>
      <c r="AW21" s="1871">
        <f t="shared" si="81"/>
        <v>206040</v>
      </c>
      <c r="AX21" s="2930">
        <f t="shared" ref="AX21:BE21" si="82">SUM(AX17:AX20)</f>
        <v>23808</v>
      </c>
      <c r="AY21" s="56">
        <f t="shared" si="82"/>
        <v>19152</v>
      </c>
      <c r="AZ21" s="2025">
        <f t="shared" si="82"/>
        <v>69120</v>
      </c>
      <c r="BA21" s="289">
        <f t="shared" si="82"/>
        <v>55896.000000000007</v>
      </c>
      <c r="BB21" s="1130">
        <f t="shared" si="82"/>
        <v>139776</v>
      </c>
      <c r="BC21" s="1237">
        <f t="shared" si="82"/>
        <v>113064.00000000001</v>
      </c>
      <c r="BD21" s="2024">
        <f t="shared" si="82"/>
        <v>280320</v>
      </c>
      <c r="BE21" s="1871">
        <f t="shared" si="82"/>
        <v>225192</v>
      </c>
    </row>
    <row r="22" spans="1:57" s="334" customFormat="1" ht="15.75" x14ac:dyDescent="0.25">
      <c r="B22" s="2931" t="s">
        <v>498</v>
      </c>
      <c r="C22" s="1246"/>
      <c r="D22" s="1246"/>
      <c r="E22" s="1245"/>
      <c r="F22" s="1246"/>
      <c r="G22" s="1246"/>
      <c r="H22" s="1246"/>
      <c r="I22" s="1246"/>
      <c r="J22" s="1246"/>
      <c r="K22" s="1246"/>
      <c r="L22" s="1246"/>
      <c r="M22" s="1246"/>
      <c r="N22" s="2932"/>
      <c r="O22" s="1904"/>
      <c r="P22" s="1246"/>
      <c r="Q22" s="1246"/>
      <c r="R22" s="2932"/>
      <c r="S22" s="1904"/>
      <c r="T22" s="1246"/>
      <c r="U22" s="1246"/>
      <c r="V22" s="2932"/>
      <c r="W22" s="1904"/>
      <c r="X22" s="1246"/>
      <c r="Y22" s="1246"/>
      <c r="Z22" s="1246"/>
      <c r="AA22" s="1246"/>
      <c r="AB22" s="2932"/>
      <c r="AC22" s="1904"/>
      <c r="AD22" s="1246"/>
      <c r="AE22" s="1246"/>
      <c r="AF22" s="2932"/>
      <c r="AG22" s="1904"/>
      <c r="AH22" s="1246"/>
      <c r="AI22" s="1246"/>
      <c r="AJ22" s="2932"/>
      <c r="AK22" s="1904"/>
      <c r="AL22" s="1246"/>
      <c r="AM22" s="1246"/>
      <c r="AN22" s="1246"/>
      <c r="AO22" s="1246"/>
      <c r="AP22" s="2932"/>
      <c r="AQ22" s="1904"/>
      <c r="AR22" s="1246"/>
      <c r="AS22" s="1246"/>
      <c r="AT22" s="2932"/>
      <c r="AU22" s="1904"/>
      <c r="AV22" s="1246"/>
      <c r="AW22" s="1246"/>
      <c r="AX22" s="2932"/>
      <c r="AY22" s="1904"/>
      <c r="AZ22" s="1246"/>
      <c r="BA22" s="1246"/>
      <c r="BB22" s="1246"/>
      <c r="BC22" s="1246"/>
      <c r="BD22" s="1246"/>
      <c r="BE22" s="1246"/>
    </row>
    <row r="23" spans="1:57" x14ac:dyDescent="0.25">
      <c r="B23" s="80" t="s">
        <v>614</v>
      </c>
      <c r="C23" s="33" t="s">
        <v>53</v>
      </c>
      <c r="D23" s="1101">
        <v>3333</v>
      </c>
      <c r="E23" s="151">
        <v>2848</v>
      </c>
      <c r="F23" s="1101">
        <v>3333</v>
      </c>
      <c r="G23" s="151">
        <v>3284</v>
      </c>
      <c r="H23" s="2400">
        <f>+D23+F23</f>
        <v>6666</v>
      </c>
      <c r="I23" s="540">
        <f>+E23+G23</f>
        <v>6132</v>
      </c>
      <c r="J23" s="1101">
        <v>3333</v>
      </c>
      <c r="K23" s="187">
        <v>3780</v>
      </c>
      <c r="L23" s="2401">
        <f>+H23+J23</f>
        <v>9999</v>
      </c>
      <c r="M23" s="1931">
        <f>+I23+K23</f>
        <v>9912</v>
      </c>
      <c r="N23" s="2399">
        <v>3333</v>
      </c>
      <c r="O23" s="187">
        <v>3349</v>
      </c>
      <c r="P23" s="2402">
        <f>+L23+N23</f>
        <v>13332</v>
      </c>
      <c r="Q23" s="1874">
        <f>+M23+O23</f>
        <v>13261</v>
      </c>
      <c r="R23" s="2399">
        <v>3333</v>
      </c>
      <c r="S23" s="187">
        <v>2785</v>
      </c>
      <c r="T23" s="2402">
        <f>+P23+R23</f>
        <v>16665</v>
      </c>
      <c r="U23" s="1874">
        <f>+Q23+S23</f>
        <v>16046</v>
      </c>
      <c r="V23" s="2399">
        <v>3333</v>
      </c>
      <c r="W23" s="187">
        <v>2595</v>
      </c>
      <c r="X23" s="1122">
        <f t="shared" ref="X23:X26" si="83">+V23+R23+N23</f>
        <v>9999</v>
      </c>
      <c r="Y23" s="574">
        <f t="shared" ref="Y23:Y26" si="84">+W23+S23+O23</f>
        <v>8729</v>
      </c>
      <c r="Z23" s="2403">
        <f>+T23+V23</f>
        <v>19998</v>
      </c>
      <c r="AA23" s="1241">
        <f>+U23+W23</f>
        <v>18641</v>
      </c>
      <c r="AB23" s="3156">
        <v>3333</v>
      </c>
      <c r="AC23" s="1275">
        <v>2807</v>
      </c>
      <c r="AD23" s="3158">
        <f>+Z23+AB23</f>
        <v>23331</v>
      </c>
      <c r="AE23" s="1874">
        <f>+AA23+AC23</f>
        <v>21448</v>
      </c>
      <c r="AF23" s="3313">
        <v>3333</v>
      </c>
      <c r="AG23" s="1275">
        <v>2685</v>
      </c>
      <c r="AH23" s="3315">
        <f>+AD23+AF23</f>
        <v>26664</v>
      </c>
      <c r="AI23" s="1874">
        <f>+AE23+AG23</f>
        <v>24133</v>
      </c>
      <c r="AJ23" s="3590">
        <v>3333</v>
      </c>
      <c r="AK23" s="1275">
        <v>2825</v>
      </c>
      <c r="AL23" s="1122">
        <f t="shared" ref="AL23:AL26" si="85">+AJ23+AF23+AB23</f>
        <v>9999</v>
      </c>
      <c r="AM23" s="574">
        <f t="shared" ref="AM23:AM26" si="86">+AK23+AG23+AC23</f>
        <v>8317</v>
      </c>
      <c r="AN23" s="3504">
        <f>+AH23+AJ23</f>
        <v>29997</v>
      </c>
      <c r="AO23" s="1874">
        <f>+AI23+AK23</f>
        <v>26958</v>
      </c>
      <c r="AP23" s="3950">
        <v>3333</v>
      </c>
      <c r="AQ23" s="1275">
        <v>2804</v>
      </c>
      <c r="AR23" s="3504">
        <f>+AN23+AP23</f>
        <v>33330</v>
      </c>
      <c r="AS23" s="1874">
        <f>+AO23+AQ23</f>
        <v>29762</v>
      </c>
      <c r="AT23" s="4073">
        <v>3333</v>
      </c>
      <c r="AU23" s="1275">
        <v>2523</v>
      </c>
      <c r="AV23" s="3504">
        <f>+AR23+AT23</f>
        <v>36663</v>
      </c>
      <c r="AW23" s="1874">
        <f>+AS23+AU23</f>
        <v>32285</v>
      </c>
      <c r="AX23" s="4395">
        <v>3333</v>
      </c>
      <c r="AY23" s="1275">
        <v>2778</v>
      </c>
      <c r="AZ23" s="4392">
        <f t="shared" ref="AZ23:AZ26" si="87">+AX23+AT23+AP23</f>
        <v>9999</v>
      </c>
      <c r="BA23" s="574">
        <f t="shared" ref="BA23:BA26" si="88">+AY23+AU23+AQ23</f>
        <v>8105</v>
      </c>
      <c r="BB23" s="4394">
        <f t="shared" ref="BB23:BC26" si="89">+AL23+AZ23</f>
        <v>19998</v>
      </c>
      <c r="BC23" s="1241">
        <f t="shared" si="89"/>
        <v>16422</v>
      </c>
      <c r="BD23" s="4393">
        <f>+AV23+AX23</f>
        <v>39996</v>
      </c>
      <c r="BE23" s="1874">
        <f>+AW23+AY23</f>
        <v>35063</v>
      </c>
    </row>
    <row r="24" spans="1:57" x14ac:dyDescent="0.25">
      <c r="A24" s="335" t="s">
        <v>515</v>
      </c>
      <c r="B24" s="2933" t="s">
        <v>432</v>
      </c>
      <c r="C24" s="33" t="s">
        <v>1630</v>
      </c>
      <c r="D24" s="823">
        <v>0</v>
      </c>
      <c r="E24" s="238">
        <v>0</v>
      </c>
      <c r="F24" s="823">
        <v>0</v>
      </c>
      <c r="G24" s="238">
        <v>0</v>
      </c>
      <c r="H24" s="143">
        <f t="shared" ref="H24:H26" si="90">+D24+F24</f>
        <v>0</v>
      </c>
      <c r="I24" s="541">
        <f t="shared" ref="I24:I26" si="91">+E24+G24</f>
        <v>0</v>
      </c>
      <c r="J24" s="823">
        <v>0</v>
      </c>
      <c r="K24" s="40">
        <v>0</v>
      </c>
      <c r="L24" s="167">
        <f t="shared" ref="L24:L26" si="92">+H24+J24</f>
        <v>0</v>
      </c>
      <c r="M24" s="1613">
        <f t="shared" ref="M24:M26" si="93">+I24+K24</f>
        <v>0</v>
      </c>
      <c r="N24" s="2406">
        <v>0</v>
      </c>
      <c r="O24" s="40">
        <v>0</v>
      </c>
      <c r="P24" s="1077">
        <f t="shared" ref="P24:P26" si="94">+L24+N24</f>
        <v>0</v>
      </c>
      <c r="Q24" s="1612">
        <f t="shared" ref="Q24:Q26" si="95">+M24+O24</f>
        <v>0</v>
      </c>
      <c r="R24" s="2406">
        <v>0</v>
      </c>
      <c r="S24" s="40">
        <v>0</v>
      </c>
      <c r="T24" s="1077">
        <f t="shared" ref="T24:T26" si="96">+P24+R24</f>
        <v>0</v>
      </c>
      <c r="U24" s="1612">
        <f t="shared" ref="U24:U26" si="97">+Q24+S24</f>
        <v>0</v>
      </c>
      <c r="V24" s="2406">
        <v>0</v>
      </c>
      <c r="W24" s="40">
        <v>0</v>
      </c>
      <c r="X24" s="162">
        <f t="shared" si="83"/>
        <v>0</v>
      </c>
      <c r="Y24" s="575">
        <f t="shared" si="84"/>
        <v>0</v>
      </c>
      <c r="Z24" s="1789">
        <f t="shared" ref="Z24:Z26" si="98">+T24+V24</f>
        <v>0</v>
      </c>
      <c r="AA24" s="1242">
        <f t="shared" ref="AA24:AA26" si="99">+U24+W24</f>
        <v>0</v>
      </c>
      <c r="AB24" s="3160">
        <v>0</v>
      </c>
      <c r="AC24" s="40">
        <v>0</v>
      </c>
      <c r="AD24" s="1077">
        <f t="shared" ref="AD24:AD26" si="100">+Z24+AB24</f>
        <v>0</v>
      </c>
      <c r="AE24" s="1612">
        <f t="shared" ref="AE24:AE26" si="101">+AA24+AC24</f>
        <v>0</v>
      </c>
      <c r="AF24" s="3317">
        <v>0</v>
      </c>
      <c r="AG24" s="40">
        <v>0</v>
      </c>
      <c r="AH24" s="1077">
        <f t="shared" ref="AH24:AH26" si="102">+AD24+AF24</f>
        <v>0</v>
      </c>
      <c r="AI24" s="1612">
        <f t="shared" ref="AI24:AI26" si="103">+AE24+AG24</f>
        <v>0</v>
      </c>
      <c r="AJ24" s="3502">
        <v>0</v>
      </c>
      <c r="AK24" s="40">
        <v>0</v>
      </c>
      <c r="AL24" s="162">
        <f t="shared" si="85"/>
        <v>0</v>
      </c>
      <c r="AM24" s="575">
        <f t="shared" si="86"/>
        <v>0</v>
      </c>
      <c r="AN24" s="1077">
        <f t="shared" ref="AN24:AN26" si="104">+AH24+AJ24</f>
        <v>0</v>
      </c>
      <c r="AO24" s="1612">
        <f t="shared" ref="AO24:AO26" si="105">+AI24+AK24</f>
        <v>0</v>
      </c>
      <c r="AP24" s="3502">
        <v>0</v>
      </c>
      <c r="AQ24" s="40">
        <v>0</v>
      </c>
      <c r="AR24" s="1077">
        <f t="shared" ref="AR24:AR26" si="106">+AN24+AP24</f>
        <v>0</v>
      </c>
      <c r="AS24" s="1612">
        <f t="shared" ref="AS24:AS26" si="107">+AO24+AQ24</f>
        <v>0</v>
      </c>
      <c r="AT24" s="3502">
        <v>0</v>
      </c>
      <c r="AU24" s="40">
        <v>0</v>
      </c>
      <c r="AV24" s="1077">
        <f t="shared" ref="AV24:AV26" si="108">+AR24+AT24</f>
        <v>0</v>
      </c>
      <c r="AW24" s="1612">
        <f t="shared" ref="AW24:AW26" si="109">+AS24+AU24</f>
        <v>0</v>
      </c>
      <c r="AX24" s="3502">
        <v>0</v>
      </c>
      <c r="AY24" s="40">
        <v>0</v>
      </c>
      <c r="AZ24" s="162">
        <f t="shared" si="87"/>
        <v>0</v>
      </c>
      <c r="BA24" s="575">
        <f t="shared" si="88"/>
        <v>0</v>
      </c>
      <c r="BB24" s="1789">
        <f t="shared" si="89"/>
        <v>0</v>
      </c>
      <c r="BC24" s="1242">
        <f t="shared" si="89"/>
        <v>0</v>
      </c>
      <c r="BD24" s="1077">
        <f t="shared" ref="BD24:BD26" si="110">+AV24+AX24</f>
        <v>0</v>
      </c>
      <c r="BE24" s="1612">
        <f t="shared" ref="BE24:BE26" si="111">+AW24+AY24</f>
        <v>0</v>
      </c>
    </row>
    <row r="25" spans="1:57" x14ac:dyDescent="0.25">
      <c r="A25" s="335" t="s">
        <v>515</v>
      </c>
      <c r="B25" s="2933" t="s">
        <v>433</v>
      </c>
      <c r="C25" s="33" t="s">
        <v>499</v>
      </c>
      <c r="D25" s="823">
        <f>+EMD!D23</f>
        <v>2520</v>
      </c>
      <c r="E25" s="238">
        <f>+EMD!E23</f>
        <v>2295.8000000000002</v>
      </c>
      <c r="F25" s="823">
        <f>+EMD!F23</f>
        <v>2604</v>
      </c>
      <c r="G25" s="151">
        <f>+EMD!G23</f>
        <v>1687.3</v>
      </c>
      <c r="H25" s="143">
        <f t="shared" si="90"/>
        <v>5124</v>
      </c>
      <c r="I25" s="541">
        <f t="shared" si="91"/>
        <v>3983.1000000000004</v>
      </c>
      <c r="J25" s="823">
        <f>+EMD!J23</f>
        <v>2520</v>
      </c>
      <c r="K25" s="151">
        <f>+EMD!K23</f>
        <v>0</v>
      </c>
      <c r="L25" s="167">
        <f t="shared" si="92"/>
        <v>7644</v>
      </c>
      <c r="M25" s="1613">
        <f t="shared" si="93"/>
        <v>3983.1000000000004</v>
      </c>
      <c r="N25" s="2406">
        <f>+EMD!N23</f>
        <v>2604</v>
      </c>
      <c r="O25" s="187">
        <f>+EMD!O23</f>
        <v>990.8</v>
      </c>
      <c r="P25" s="1077">
        <f t="shared" si="94"/>
        <v>10248</v>
      </c>
      <c r="Q25" s="1612">
        <f t="shared" si="95"/>
        <v>4973.9000000000005</v>
      </c>
      <c r="R25" s="2406">
        <f>+EMD!R23</f>
        <v>2604</v>
      </c>
      <c r="S25" s="187">
        <f>+EMD!S23</f>
        <v>2612.4</v>
      </c>
      <c r="T25" s="1077">
        <f t="shared" si="96"/>
        <v>12852</v>
      </c>
      <c r="U25" s="1612">
        <f t="shared" si="97"/>
        <v>7586.3000000000011</v>
      </c>
      <c r="V25" s="2406">
        <f>+EMD!V23</f>
        <v>2520</v>
      </c>
      <c r="W25" s="187">
        <f>+EMD!W23</f>
        <v>2511.9499999999998</v>
      </c>
      <c r="X25" s="162">
        <f t="shared" si="83"/>
        <v>7728</v>
      </c>
      <c r="Y25" s="575">
        <f t="shared" si="84"/>
        <v>6115.1500000000005</v>
      </c>
      <c r="Z25" s="1789">
        <f t="shared" si="98"/>
        <v>15372</v>
      </c>
      <c r="AA25" s="1242">
        <f t="shared" si="99"/>
        <v>10098.25</v>
      </c>
      <c r="AB25" s="3160">
        <f>+EMD!AB23</f>
        <v>2604</v>
      </c>
      <c r="AC25" s="187">
        <f>+EMD!AC23</f>
        <v>2385.67</v>
      </c>
      <c r="AD25" s="1077">
        <f t="shared" si="100"/>
        <v>17976</v>
      </c>
      <c r="AE25" s="1612">
        <f t="shared" si="101"/>
        <v>12483.92</v>
      </c>
      <c r="AF25" s="3317">
        <f>+EMD!AF23</f>
        <v>2520</v>
      </c>
      <c r="AG25" s="187">
        <f>+EMD!AG23</f>
        <v>2521.2600000000002</v>
      </c>
      <c r="AH25" s="1077">
        <f t="shared" si="102"/>
        <v>20496</v>
      </c>
      <c r="AI25" s="1612">
        <f t="shared" si="103"/>
        <v>15005.18</v>
      </c>
      <c r="AJ25" s="3502">
        <f>+EMD!AJ23</f>
        <v>2604</v>
      </c>
      <c r="AK25" s="187">
        <f>+EMD!AK23</f>
        <v>2567.5700000000002</v>
      </c>
      <c r="AL25" s="162">
        <f t="shared" si="85"/>
        <v>7728</v>
      </c>
      <c r="AM25" s="575">
        <f t="shared" si="86"/>
        <v>7474.5</v>
      </c>
      <c r="AN25" s="1077">
        <f t="shared" si="104"/>
        <v>23100</v>
      </c>
      <c r="AO25" s="1612">
        <f t="shared" si="105"/>
        <v>17572.75</v>
      </c>
      <c r="AP25" s="3502">
        <f>+EMD!AP23</f>
        <v>2604</v>
      </c>
      <c r="AQ25" s="187">
        <f>+EMD!AQ23</f>
        <v>2731.5</v>
      </c>
      <c r="AR25" s="1077">
        <f t="shared" si="106"/>
        <v>25704</v>
      </c>
      <c r="AS25" s="1612">
        <f t="shared" si="107"/>
        <v>20304.25</v>
      </c>
      <c r="AT25" s="3502">
        <f>+EMD!AT23</f>
        <v>2352</v>
      </c>
      <c r="AU25" s="187">
        <f>+EMD!AU23</f>
        <v>2606.8699999999994</v>
      </c>
      <c r="AV25" s="1077">
        <f t="shared" si="108"/>
        <v>28056</v>
      </c>
      <c r="AW25" s="1612">
        <f t="shared" si="109"/>
        <v>22911.119999999999</v>
      </c>
      <c r="AX25" s="3502">
        <f>+EMD!AX23</f>
        <v>2604</v>
      </c>
      <c r="AY25" s="187">
        <f>+EMD!AY23</f>
        <v>2654.17</v>
      </c>
      <c r="AZ25" s="162">
        <f t="shared" si="87"/>
        <v>7560</v>
      </c>
      <c r="BA25" s="575">
        <f t="shared" si="88"/>
        <v>7992.5399999999991</v>
      </c>
      <c r="BB25" s="1789">
        <f t="shared" si="89"/>
        <v>15288</v>
      </c>
      <c r="BC25" s="1242">
        <f t="shared" si="89"/>
        <v>15467.039999999999</v>
      </c>
      <c r="BD25" s="1077">
        <f t="shared" si="110"/>
        <v>30660</v>
      </c>
      <c r="BE25" s="1612">
        <f t="shared" si="111"/>
        <v>25565.29</v>
      </c>
    </row>
    <row r="26" spans="1:57" ht="15.75" thickBot="1" x14ac:dyDescent="0.3">
      <c r="A26" s="335" t="s">
        <v>515</v>
      </c>
      <c r="B26" s="2933" t="s">
        <v>434</v>
      </c>
      <c r="C26" s="33" t="s">
        <v>448</v>
      </c>
      <c r="D26" s="1102">
        <v>0</v>
      </c>
      <c r="E26" s="555">
        <v>0</v>
      </c>
      <c r="F26" s="1102">
        <v>0</v>
      </c>
      <c r="G26" s="248">
        <v>0</v>
      </c>
      <c r="H26" s="2016">
        <f t="shared" si="90"/>
        <v>0</v>
      </c>
      <c r="I26" s="542">
        <f t="shared" si="91"/>
        <v>0</v>
      </c>
      <c r="J26" s="1102">
        <v>0</v>
      </c>
      <c r="K26" s="93">
        <v>0</v>
      </c>
      <c r="L26" s="2819">
        <f t="shared" si="92"/>
        <v>0</v>
      </c>
      <c r="M26" s="1932">
        <f t="shared" si="93"/>
        <v>0</v>
      </c>
      <c r="N26" s="2014">
        <v>0</v>
      </c>
      <c r="O26" s="93">
        <v>0</v>
      </c>
      <c r="P26" s="2934">
        <f t="shared" si="94"/>
        <v>0</v>
      </c>
      <c r="Q26" s="1875">
        <f t="shared" si="95"/>
        <v>0</v>
      </c>
      <c r="R26" s="2014">
        <v>0</v>
      </c>
      <c r="S26" s="93">
        <v>0</v>
      </c>
      <c r="T26" s="2934">
        <f t="shared" si="96"/>
        <v>0</v>
      </c>
      <c r="U26" s="1875">
        <f t="shared" si="97"/>
        <v>0</v>
      </c>
      <c r="V26" s="2014">
        <v>0</v>
      </c>
      <c r="W26" s="93">
        <v>0</v>
      </c>
      <c r="X26" s="2935">
        <f t="shared" si="83"/>
        <v>0</v>
      </c>
      <c r="Y26" s="576">
        <f t="shared" si="84"/>
        <v>0</v>
      </c>
      <c r="Z26" s="2936">
        <f t="shared" si="98"/>
        <v>0</v>
      </c>
      <c r="AA26" s="1243">
        <f t="shared" si="99"/>
        <v>0</v>
      </c>
      <c r="AB26" s="2014">
        <v>0</v>
      </c>
      <c r="AC26" s="93">
        <v>0</v>
      </c>
      <c r="AD26" s="2934">
        <f t="shared" si="100"/>
        <v>0</v>
      </c>
      <c r="AE26" s="1875">
        <f t="shared" si="101"/>
        <v>0</v>
      </c>
      <c r="AF26" s="2014">
        <v>0</v>
      </c>
      <c r="AG26" s="93">
        <v>0</v>
      </c>
      <c r="AH26" s="2934">
        <f t="shared" si="102"/>
        <v>0</v>
      </c>
      <c r="AI26" s="1875">
        <f t="shared" si="103"/>
        <v>0</v>
      </c>
      <c r="AJ26" s="2014">
        <v>0</v>
      </c>
      <c r="AK26" s="93">
        <v>0</v>
      </c>
      <c r="AL26" s="2935">
        <f t="shared" si="85"/>
        <v>0</v>
      </c>
      <c r="AM26" s="576">
        <f t="shared" si="86"/>
        <v>0</v>
      </c>
      <c r="AN26" s="2934">
        <f t="shared" si="104"/>
        <v>0</v>
      </c>
      <c r="AO26" s="1875">
        <f t="shared" si="105"/>
        <v>0</v>
      </c>
      <c r="AP26" s="2014">
        <v>0</v>
      </c>
      <c r="AQ26" s="346">
        <v>0</v>
      </c>
      <c r="AR26" s="2934">
        <f t="shared" si="106"/>
        <v>0</v>
      </c>
      <c r="AS26" s="1875">
        <f t="shared" si="107"/>
        <v>0</v>
      </c>
      <c r="AT26" s="2014">
        <v>0</v>
      </c>
      <c r="AU26" s="346">
        <v>0</v>
      </c>
      <c r="AV26" s="2934">
        <f t="shared" si="108"/>
        <v>0</v>
      </c>
      <c r="AW26" s="1875">
        <f t="shared" si="109"/>
        <v>0</v>
      </c>
      <c r="AX26" s="2014">
        <v>0</v>
      </c>
      <c r="AY26" s="346">
        <v>0</v>
      </c>
      <c r="AZ26" s="2935">
        <f t="shared" si="87"/>
        <v>0</v>
      </c>
      <c r="BA26" s="576">
        <f t="shared" si="88"/>
        <v>0</v>
      </c>
      <c r="BB26" s="2936">
        <f t="shared" si="89"/>
        <v>0</v>
      </c>
      <c r="BC26" s="1243">
        <f t="shared" si="89"/>
        <v>0</v>
      </c>
      <c r="BD26" s="2934">
        <f t="shared" si="110"/>
        <v>0</v>
      </c>
      <c r="BE26" s="1875">
        <f t="shared" si="111"/>
        <v>0</v>
      </c>
    </row>
    <row r="27" spans="1:57" ht="16.5" thickBot="1" x14ac:dyDescent="0.3">
      <c r="B27" s="2937"/>
      <c r="C27" s="2938"/>
      <c r="D27" s="2939"/>
      <c r="E27" s="521"/>
      <c r="F27" s="2939"/>
      <c r="G27" s="528"/>
      <c r="H27" s="281"/>
      <c r="I27" s="281"/>
      <c r="J27" s="2939"/>
      <c r="K27" s="281"/>
      <c r="L27" s="281"/>
      <c r="M27" s="281"/>
      <c r="N27" s="2940"/>
      <c r="O27" s="1905"/>
      <c r="P27" s="281"/>
      <c r="Q27" s="281"/>
      <c r="R27" s="2940"/>
      <c r="S27" s="1905"/>
      <c r="T27" s="281"/>
      <c r="U27" s="281"/>
      <c r="V27" s="2940"/>
      <c r="W27" s="1905"/>
      <c r="X27" s="281"/>
      <c r="Y27" s="281"/>
      <c r="Z27" s="281"/>
      <c r="AA27" s="281"/>
      <c r="AB27" s="2940"/>
      <c r="AC27" s="1905"/>
      <c r="AD27" s="281"/>
      <c r="AE27" s="281"/>
      <c r="AF27" s="2940"/>
      <c r="AG27" s="1905"/>
      <c r="AH27" s="281"/>
      <c r="AI27" s="281"/>
      <c r="AJ27" s="2940"/>
      <c r="AK27" s="1905"/>
      <c r="AL27" s="281"/>
      <c r="AM27" s="281"/>
      <c r="AN27" s="281"/>
      <c r="AO27" s="281"/>
      <c r="AP27" s="2940"/>
      <c r="AQ27" s="1905"/>
      <c r="AR27" s="281"/>
      <c r="AS27" s="281"/>
      <c r="AT27" s="2940"/>
      <c r="AU27" s="1905"/>
      <c r="AV27" s="281"/>
      <c r="AW27" s="281"/>
      <c r="AX27" s="2940"/>
      <c r="AY27" s="1905"/>
      <c r="AZ27" s="281"/>
      <c r="BA27" s="281"/>
      <c r="BB27" s="281"/>
      <c r="BC27" s="281"/>
      <c r="BD27" s="281"/>
      <c r="BE27" s="281"/>
    </row>
    <row r="28" spans="1:57" ht="15.75" x14ac:dyDescent="0.25">
      <c r="B28" s="2941" t="s">
        <v>425</v>
      </c>
      <c r="C28" s="280"/>
      <c r="D28" s="1246"/>
      <c r="E28" s="520"/>
      <c r="F28" s="1246"/>
      <c r="G28" s="280"/>
      <c r="H28" s="280"/>
      <c r="I28" s="280"/>
      <c r="J28" s="1246"/>
      <c r="K28" s="280"/>
      <c r="L28" s="280"/>
      <c r="M28" s="280"/>
      <c r="N28" s="2942"/>
      <c r="O28" s="1906"/>
      <c r="P28" s="280"/>
      <c r="Q28" s="280"/>
      <c r="R28" s="2942"/>
      <c r="S28" s="1906"/>
      <c r="T28" s="280"/>
      <c r="U28" s="280"/>
      <c r="V28" s="2942"/>
      <c r="W28" s="1906"/>
      <c r="X28" s="280"/>
      <c r="Y28" s="280"/>
      <c r="Z28" s="280"/>
      <c r="AA28" s="280"/>
      <c r="AB28" s="2942"/>
      <c r="AC28" s="1906"/>
      <c r="AD28" s="280"/>
      <c r="AE28" s="280"/>
      <c r="AF28" s="2942"/>
      <c r="AG28" s="1906"/>
      <c r="AH28" s="280"/>
      <c r="AI28" s="280"/>
      <c r="AJ28" s="2942"/>
      <c r="AK28" s="1906"/>
      <c r="AL28" s="280"/>
      <c r="AM28" s="280"/>
      <c r="AN28" s="280"/>
      <c r="AO28" s="280"/>
      <c r="AP28" s="2942"/>
      <c r="AQ28" s="1906"/>
      <c r="AR28" s="280"/>
      <c r="AS28" s="280"/>
      <c r="AT28" s="2942"/>
      <c r="AU28" s="1906"/>
      <c r="AV28" s="280"/>
      <c r="AW28" s="280"/>
      <c r="AX28" s="2942"/>
      <c r="AY28" s="1906"/>
      <c r="AZ28" s="280"/>
      <c r="BA28" s="280"/>
      <c r="BB28" s="280"/>
      <c r="BC28" s="280"/>
      <c r="BD28" s="280"/>
      <c r="BE28" s="280"/>
    </row>
    <row r="29" spans="1:57" x14ac:dyDescent="0.25">
      <c r="B29" s="80" t="s">
        <v>431</v>
      </c>
      <c r="C29" s="33" t="s">
        <v>427</v>
      </c>
      <c r="D29" s="2305">
        <f t="shared" ref="D29:G29" si="112">+D15/(D2*24)</f>
        <v>32</v>
      </c>
      <c r="E29" s="367">
        <f t="shared" ref="E29:M29" si="113">+E15/(E2*24)</f>
        <v>25.333333333333332</v>
      </c>
      <c r="F29" s="2305">
        <v>32</v>
      </c>
      <c r="G29" s="367">
        <f t="shared" si="112"/>
        <v>26</v>
      </c>
      <c r="H29" s="122">
        <f t="shared" si="113"/>
        <v>32</v>
      </c>
      <c r="I29" s="1074">
        <f t="shared" si="113"/>
        <v>25.672131147540984</v>
      </c>
      <c r="J29" s="2305">
        <f t="shared" si="113"/>
        <v>32</v>
      </c>
      <c r="K29" s="367">
        <f t="shared" ref="K29" si="114">+K15/(K2*24)</f>
        <v>25.466666666666665</v>
      </c>
      <c r="L29" s="577">
        <f t="shared" si="113"/>
        <v>32</v>
      </c>
      <c r="M29" s="1933">
        <f t="shared" si="113"/>
        <v>25.604395604395606</v>
      </c>
      <c r="N29" s="2943">
        <f t="shared" ref="N29:Q29" si="115">+N15/(N2*24)</f>
        <v>32</v>
      </c>
      <c r="O29" s="282">
        <f t="shared" si="115"/>
        <v>25.70967741935484</v>
      </c>
      <c r="P29" s="1074">
        <f t="shared" si="115"/>
        <v>32</v>
      </c>
      <c r="Q29" s="1876">
        <f t="shared" si="115"/>
        <v>25.631147540983605</v>
      </c>
      <c r="R29" s="2943">
        <f t="shared" ref="R29:U29" si="116">+R15/(R2*24)</f>
        <v>32</v>
      </c>
      <c r="S29" s="282">
        <f t="shared" si="116"/>
        <v>25.806451612903224</v>
      </c>
      <c r="T29" s="1074">
        <f t="shared" si="116"/>
        <v>32</v>
      </c>
      <c r="U29" s="1876">
        <f t="shared" si="116"/>
        <v>25.666666666666668</v>
      </c>
      <c r="V29" s="2943">
        <f t="shared" ref="V29:W29" si="117">+V15/(V2*24)</f>
        <v>32</v>
      </c>
      <c r="W29" s="282">
        <f t="shared" si="117"/>
        <v>24.833333333333332</v>
      </c>
      <c r="X29" s="1075">
        <f t="shared" ref="X29:Y29" si="118">+X15/(X2*24)</f>
        <v>32</v>
      </c>
      <c r="Y29" s="1075">
        <f t="shared" si="118"/>
        <v>25.456521739130434</v>
      </c>
      <c r="Z29" s="1129">
        <f t="shared" ref="Z29:AE29" si="119">+Z15/(Z2*24)</f>
        <v>32</v>
      </c>
      <c r="AA29" s="1244">
        <f t="shared" si="119"/>
        <v>25.530054644808743</v>
      </c>
      <c r="AB29" s="2943">
        <f t="shared" si="119"/>
        <v>32</v>
      </c>
      <c r="AC29" s="282">
        <f t="shared" si="119"/>
        <v>25.93548387096774</v>
      </c>
      <c r="AD29" s="1074">
        <f t="shared" si="119"/>
        <v>32</v>
      </c>
      <c r="AE29" s="1876">
        <f t="shared" si="119"/>
        <v>25.588785046728972</v>
      </c>
      <c r="AF29" s="2943">
        <f t="shared" ref="AF29:AI29" si="120">+AF15/(AF2*24)</f>
        <v>32</v>
      </c>
      <c r="AG29" s="282">
        <f t="shared" si="120"/>
        <v>25.733333333333327</v>
      </c>
      <c r="AH29" s="1074">
        <f t="shared" si="120"/>
        <v>32</v>
      </c>
      <c r="AI29" s="1876">
        <f t="shared" si="120"/>
        <v>25.606557377049182</v>
      </c>
      <c r="AJ29" s="2943">
        <f t="shared" ref="AJ29:AO29" si="121">+AJ15/(AJ2*24)</f>
        <v>32</v>
      </c>
      <c r="AK29" s="282">
        <f t="shared" si="121"/>
        <v>26</v>
      </c>
      <c r="AL29" s="1075">
        <f t="shared" si="121"/>
        <v>32</v>
      </c>
      <c r="AM29" s="1075">
        <f t="shared" si="121"/>
        <v>25.891304347826086</v>
      </c>
      <c r="AN29" s="1074">
        <f t="shared" si="121"/>
        <v>32</v>
      </c>
      <c r="AO29" s="1876">
        <f t="shared" si="121"/>
        <v>25.650909090909092</v>
      </c>
      <c r="AP29" s="2943">
        <f t="shared" ref="AP29:AS29" si="122">+AP15/(AP2*24)</f>
        <v>32</v>
      </c>
      <c r="AQ29" s="282">
        <f t="shared" si="122"/>
        <v>26</v>
      </c>
      <c r="AR29" s="1074">
        <f t="shared" si="122"/>
        <v>32</v>
      </c>
      <c r="AS29" s="1876">
        <f t="shared" si="122"/>
        <v>25.686274509803923</v>
      </c>
      <c r="AT29" s="2943">
        <f t="shared" ref="AT29:AW29" si="123">+AT15/(AT2*24)</f>
        <v>32</v>
      </c>
      <c r="AU29" s="282">
        <f t="shared" si="123"/>
        <v>25.892857142857142</v>
      </c>
      <c r="AV29" s="1074">
        <f t="shared" si="123"/>
        <v>32</v>
      </c>
      <c r="AW29" s="1876">
        <f t="shared" si="123"/>
        <v>25.703592814371259</v>
      </c>
      <c r="AX29" s="2943">
        <f t="shared" ref="AX29:BE29" si="124">+AX15/(AX2*24)</f>
        <v>32</v>
      </c>
      <c r="AY29" s="282">
        <f t="shared" si="124"/>
        <v>25.741935483870968</v>
      </c>
      <c r="AZ29" s="1075">
        <f t="shared" si="124"/>
        <v>32</v>
      </c>
      <c r="BA29" s="1075">
        <f t="shared" si="124"/>
        <v>25.877777777777776</v>
      </c>
      <c r="BB29" s="1129">
        <f t="shared" si="124"/>
        <v>32</v>
      </c>
      <c r="BC29" s="1244">
        <f t="shared" si="124"/>
        <v>25.884615384615383</v>
      </c>
      <c r="BD29" s="1074">
        <f t="shared" si="124"/>
        <v>32</v>
      </c>
      <c r="BE29" s="1876">
        <f t="shared" si="124"/>
        <v>25.706849315068492</v>
      </c>
    </row>
    <row r="30" spans="1:57" x14ac:dyDescent="0.25">
      <c r="B30" s="2933" t="s">
        <v>614</v>
      </c>
      <c r="C30" s="33" t="s">
        <v>428</v>
      </c>
      <c r="D30" s="1109">
        <f>+D23/D21*1000</f>
        <v>144.66145833333331</v>
      </c>
      <c r="E30" s="230">
        <f>+(E23*1000)/E15</f>
        <v>156.14035087719299</v>
      </c>
      <c r="F30" s="1109">
        <v>144.69999999999999</v>
      </c>
      <c r="G30" s="230">
        <f>+(G23*1000)/G15</f>
        <v>169.76840363937137</v>
      </c>
      <c r="H30" s="120">
        <f>+H23/H$21*1000</f>
        <v>142.28995901639342</v>
      </c>
      <c r="I30" s="687">
        <f>+(I23*1000)/I15</f>
        <v>163.15453384418902</v>
      </c>
      <c r="J30" s="1109">
        <f>+J23/J21*1000</f>
        <v>144.66145833333331</v>
      </c>
      <c r="K30" s="230">
        <f>+(K23*1000)/K15</f>
        <v>206.15183246073298</v>
      </c>
      <c r="L30" s="173">
        <f>+L23/L$21*1000</f>
        <v>143.07177197802199</v>
      </c>
      <c r="M30" s="881">
        <f>+(M23*1000)/M15</f>
        <v>177.25321888412017</v>
      </c>
      <c r="N30" s="2307">
        <f>+N23/N21*1000</f>
        <v>139.99495967741933</v>
      </c>
      <c r="O30" s="225">
        <f>+(O23*1000)/O15</f>
        <v>175.0836470096194</v>
      </c>
      <c r="P30" s="972">
        <f>+P23/P$21*1000</f>
        <v>142.28995901639342</v>
      </c>
      <c r="Q30" s="878">
        <f>+(Q23*1000)/Q15</f>
        <v>176.70024517642042</v>
      </c>
      <c r="R30" s="2307">
        <f>+R23/R21*1000</f>
        <v>139.99495967741933</v>
      </c>
      <c r="S30" s="225">
        <f>+(S23*1000)/S15</f>
        <v>145.05208333333334</v>
      </c>
      <c r="T30" s="972">
        <f>+T23/T$21*1000</f>
        <v>141.82495915032681</v>
      </c>
      <c r="U30" s="878">
        <f>+(U23*1000)/U15</f>
        <v>170.25294966471438</v>
      </c>
      <c r="V30" s="2307">
        <f>+V23/V21*1000</f>
        <v>144.66145833333331</v>
      </c>
      <c r="W30" s="225">
        <f>+(W23*1000)/W15</f>
        <v>145.13422818791946</v>
      </c>
      <c r="X30" s="973">
        <f>+X23/X$21*1000</f>
        <v>141.51664402173913</v>
      </c>
      <c r="Y30" s="869">
        <f>+(Y23*1000)/Y15</f>
        <v>155.29817819527469</v>
      </c>
      <c r="Z30" s="1135">
        <f>+Z23/Z$21*1000</f>
        <v>142.28995901639342</v>
      </c>
      <c r="AA30" s="1135">
        <f>+(AA23*1000)/AA15</f>
        <v>166.24750285388129</v>
      </c>
      <c r="AB30" s="2307">
        <f>+AB23/AB21*1000</f>
        <v>139.99495967741933</v>
      </c>
      <c r="AC30" s="225">
        <f>+(AC23*1000)/AC15</f>
        <v>145.47056384742953</v>
      </c>
      <c r="AD30" s="972">
        <f>+AD23/AD$21*1000</f>
        <v>141.9575058411215</v>
      </c>
      <c r="AE30" s="878">
        <f>+(AE23*1000)/AE15</f>
        <v>163.19698076454833</v>
      </c>
      <c r="AF30" s="2307">
        <f>+AF23/AF21*1000</f>
        <v>144.66145833333331</v>
      </c>
      <c r="AG30" s="225">
        <f>+(AG23*1000)/AG15</f>
        <v>144.91580310880832</v>
      </c>
      <c r="AH30" s="972">
        <f>+AH23/AH$21*1000</f>
        <v>142.28995901639342</v>
      </c>
      <c r="AI30" s="878">
        <f>+(AI23*1000)/AI15</f>
        <v>160.93816688006828</v>
      </c>
      <c r="AJ30" s="2307">
        <f>+AJ23/AJ21*1000</f>
        <v>139.99495967741933</v>
      </c>
      <c r="AK30" s="225">
        <f>+(AK23*1000)/AK15</f>
        <v>146.04011579818032</v>
      </c>
      <c r="AL30" s="973">
        <f>+AL23/AL$21*1000</f>
        <v>141.51664402173913</v>
      </c>
      <c r="AM30" s="869">
        <f>+(AM23*1000)/AM15</f>
        <v>145.48348726560315</v>
      </c>
      <c r="AN30" s="972">
        <f>+AN23/AN$21*1000</f>
        <v>142.03125</v>
      </c>
      <c r="AO30" s="878">
        <f>+(AO23*1000)/AO15</f>
        <v>159.23589452792743</v>
      </c>
      <c r="AP30" s="2307">
        <f>+AP23/AP21*1000</f>
        <v>139.99495967741933</v>
      </c>
      <c r="AQ30" s="225">
        <f>+(AQ23*1000)/AQ15</f>
        <v>144.95450785773366</v>
      </c>
      <c r="AR30" s="972">
        <f>+AR23/AR$21*1000</f>
        <v>141.82495915032681</v>
      </c>
      <c r="AS30" s="878">
        <f>+(AS23*1000)/AS15</f>
        <v>157.77141645462257</v>
      </c>
      <c r="AT30" s="2307">
        <f>+AT23/AT21*1000</f>
        <v>154.99441964285714</v>
      </c>
      <c r="AU30" s="225">
        <f>+(AU23*1000)/AU15</f>
        <v>145</v>
      </c>
      <c r="AV30" s="972">
        <f>+AV23/AV$21*1000</f>
        <v>142.92898577844312</v>
      </c>
      <c r="AW30" s="878">
        <f>+(AW23*1000)/AW15</f>
        <v>156.69287516986992</v>
      </c>
      <c r="AX30" s="2307">
        <f>+AX23/AX21*1000</f>
        <v>139.99495967741933</v>
      </c>
      <c r="AY30" s="225">
        <f>+(AY23*1000)/AY15</f>
        <v>145.05012531328322</v>
      </c>
      <c r="AZ30" s="973">
        <f>+AZ23/AZ$21*1000</f>
        <v>144.66145833333331</v>
      </c>
      <c r="BA30" s="869">
        <f>+(BA23*1000)/BA15</f>
        <v>145.00143122942609</v>
      </c>
      <c r="BB30" s="1135">
        <f>+BB23/BB$21*1000</f>
        <v>143.07177197802199</v>
      </c>
      <c r="BC30" s="1135">
        <f>+(BC23*1000)/BC15</f>
        <v>145.24517087667161</v>
      </c>
      <c r="BD30" s="972">
        <f>+BD23/BD$21*1000</f>
        <v>142.67979452054794</v>
      </c>
      <c r="BE30" s="878">
        <f>+(BE23*1000)/BE15</f>
        <v>155.70268926071975</v>
      </c>
    </row>
    <row r="31" spans="1:57" x14ac:dyDescent="0.25">
      <c r="B31" s="2933" t="s">
        <v>432</v>
      </c>
      <c r="C31" s="33" t="s">
        <v>429</v>
      </c>
      <c r="D31" s="1109">
        <f>+D24/D21*1000</f>
        <v>0</v>
      </c>
      <c r="E31" s="238">
        <f>+(E24*1000)/E15</f>
        <v>0</v>
      </c>
      <c r="F31" s="1109">
        <v>0</v>
      </c>
      <c r="G31" s="238">
        <f>+(G24*1000)/G15</f>
        <v>0</v>
      </c>
      <c r="H31" s="143">
        <f>+H24/H$21*1000</f>
        <v>0</v>
      </c>
      <c r="I31" s="2418">
        <f>+(I24*1000)/I15</f>
        <v>0</v>
      </c>
      <c r="J31" s="1109">
        <f>+J24/J21*1000</f>
        <v>0</v>
      </c>
      <c r="K31" s="238">
        <f>+(K24*1000)/K15</f>
        <v>0</v>
      </c>
      <c r="L31" s="167">
        <f>+L24/L$21*1000</f>
        <v>0</v>
      </c>
      <c r="M31" s="1326">
        <f>+(M24*1000)/M15</f>
        <v>0</v>
      </c>
      <c r="N31" s="2307">
        <f>+N24/N21*1000</f>
        <v>0</v>
      </c>
      <c r="O31" s="40">
        <f>+(O24*1000)/O15</f>
        <v>0</v>
      </c>
      <c r="P31" s="1077">
        <f>+P24/P$21*1000</f>
        <v>0</v>
      </c>
      <c r="Q31" s="1325">
        <f>+(Q24*1000)/Q15</f>
        <v>0</v>
      </c>
      <c r="R31" s="2307">
        <f>+R24/R21*1000</f>
        <v>0</v>
      </c>
      <c r="S31" s="40">
        <f>+(S24*1000)/S15</f>
        <v>0</v>
      </c>
      <c r="T31" s="1077">
        <f>+T24/T$21*1000</f>
        <v>0</v>
      </c>
      <c r="U31" s="1325">
        <f>+(U24*1000)/U15</f>
        <v>0</v>
      </c>
      <c r="V31" s="2307">
        <f>+V24/V21*1000</f>
        <v>0</v>
      </c>
      <c r="W31" s="40">
        <f>+(W24*1000)/W15</f>
        <v>0</v>
      </c>
      <c r="X31" s="162">
        <f>+X24/X$21*1000</f>
        <v>0</v>
      </c>
      <c r="Y31" s="2415">
        <f>+(Y24*1000)/Y15</f>
        <v>0</v>
      </c>
      <c r="Z31" s="1134">
        <f>+Z24/Z$21*1000</f>
        <v>0</v>
      </c>
      <c r="AA31" s="1134">
        <f>+(AA24*1000)/AA15</f>
        <v>0</v>
      </c>
      <c r="AB31" s="2307">
        <f>+AB24/AB21*1000</f>
        <v>0</v>
      </c>
      <c r="AC31" s="40">
        <f>+(AC24*1000)/AC15</f>
        <v>0</v>
      </c>
      <c r="AD31" s="1077">
        <f>+AD24/AD$21*1000</f>
        <v>0</v>
      </c>
      <c r="AE31" s="1325">
        <f>+(AE24*1000)/AE15</f>
        <v>0</v>
      </c>
      <c r="AF31" s="2307">
        <f>+AF24/AF21*1000</f>
        <v>0</v>
      </c>
      <c r="AG31" s="40">
        <f>+(AG24*1000)/AG15</f>
        <v>0</v>
      </c>
      <c r="AH31" s="1077">
        <f>+AH24/AH$21*1000</f>
        <v>0</v>
      </c>
      <c r="AI31" s="1325">
        <f>+(AI24*1000)/AI15</f>
        <v>0</v>
      </c>
      <c r="AJ31" s="2307">
        <f>+AJ24/AJ21*1000</f>
        <v>0</v>
      </c>
      <c r="AK31" s="40">
        <f>+(AK24*1000)/AK15</f>
        <v>0</v>
      </c>
      <c r="AL31" s="162">
        <f>+AL24/AL$21*1000</f>
        <v>0</v>
      </c>
      <c r="AM31" s="3600">
        <f>+(AM24*1000)/AM15</f>
        <v>0</v>
      </c>
      <c r="AN31" s="1077">
        <f>+AN24/AN$21*1000</f>
        <v>0</v>
      </c>
      <c r="AO31" s="1325">
        <f>+(AO24*1000)/AO15</f>
        <v>0</v>
      </c>
      <c r="AP31" s="2307">
        <f>+AP24/AP21*1000</f>
        <v>0</v>
      </c>
      <c r="AQ31" s="40">
        <f>+(AQ24*1000)/AQ15</f>
        <v>0</v>
      </c>
      <c r="AR31" s="1077">
        <f>+AR24/AR$21*1000</f>
        <v>0</v>
      </c>
      <c r="AS31" s="1325">
        <f>+(AS24*1000)/AS15</f>
        <v>0</v>
      </c>
      <c r="AT31" s="2307">
        <f>+AT24/AT21*1000</f>
        <v>0</v>
      </c>
      <c r="AU31" s="40">
        <f>+(AU24*1000)/AU15</f>
        <v>0</v>
      </c>
      <c r="AV31" s="1077">
        <f>+AV24/AV$21*1000</f>
        <v>0</v>
      </c>
      <c r="AW31" s="1325">
        <f>+(AW24*1000)/AW15</f>
        <v>0</v>
      </c>
      <c r="AX31" s="2307">
        <f>+AX24/AX21*1000</f>
        <v>0</v>
      </c>
      <c r="AY31" s="40">
        <f>+(AY24*1000)/AY15</f>
        <v>0</v>
      </c>
      <c r="AZ31" s="162">
        <f>+AZ24/AZ$21*1000</f>
        <v>0</v>
      </c>
      <c r="BA31" s="4380">
        <f>+(BA24*1000)/BA15</f>
        <v>0</v>
      </c>
      <c r="BB31" s="4382">
        <f>+BB24/BB$21*1000</f>
        <v>0</v>
      </c>
      <c r="BC31" s="4382">
        <f>+(BC24*1000)/BC15</f>
        <v>0</v>
      </c>
      <c r="BD31" s="1077">
        <f>+BD24/BD$21*1000</f>
        <v>0</v>
      </c>
      <c r="BE31" s="1325">
        <f>+(BE24*1000)/BE15</f>
        <v>0</v>
      </c>
    </row>
    <row r="32" spans="1:57" x14ac:dyDescent="0.25">
      <c r="B32" s="2933" t="s">
        <v>433</v>
      </c>
      <c r="C32" s="33" t="s">
        <v>429</v>
      </c>
      <c r="D32" s="1109">
        <f>+D25/D21*1000</f>
        <v>109.375</v>
      </c>
      <c r="E32" s="230">
        <f>+(E25*1000)/E15</f>
        <v>125.86622807017544</v>
      </c>
      <c r="F32" s="1109">
        <f>+F25/F21*1000</f>
        <v>109.375</v>
      </c>
      <c r="G32" s="230">
        <f>+(G25*1000)/G15</f>
        <v>87.226013234077755</v>
      </c>
      <c r="H32" s="120">
        <f>+H25/H$21*1000</f>
        <v>109.375</v>
      </c>
      <c r="I32" s="687">
        <f>+(I25*1000)/I15</f>
        <v>105.97860791826311</v>
      </c>
      <c r="J32" s="1109">
        <f>+J25/J21*1000</f>
        <v>109.375</v>
      </c>
      <c r="K32" s="230">
        <f>+(K25*1000)/K15</f>
        <v>0</v>
      </c>
      <c r="L32" s="173">
        <f>+L25/L$21*1000</f>
        <v>109.375</v>
      </c>
      <c r="M32" s="881">
        <f>+(M25*1000)/M15</f>
        <v>71.228540772532199</v>
      </c>
      <c r="N32" s="2307">
        <f>+N25/N21*1000</f>
        <v>109.375</v>
      </c>
      <c r="O32" s="225">
        <f>+(O25*1000)/O15</f>
        <v>51.798410706817229</v>
      </c>
      <c r="P32" s="972">
        <f>+P25/P$21*1000</f>
        <v>109.375</v>
      </c>
      <c r="Q32" s="878">
        <f>+(Q25*1000)/Q15</f>
        <v>66.276249866751954</v>
      </c>
      <c r="R32" s="2307">
        <f>+R25/R21*1000</f>
        <v>109.375</v>
      </c>
      <c r="S32" s="225">
        <f>+(S25*1000)/S15</f>
        <v>136.0625</v>
      </c>
      <c r="T32" s="972">
        <f>+T25/T$21*1000</f>
        <v>109.375</v>
      </c>
      <c r="U32" s="878">
        <f>+(U25*1000)/U15</f>
        <v>80.492954757660655</v>
      </c>
      <c r="V32" s="2307">
        <f>+V25/V21*1000</f>
        <v>109.375</v>
      </c>
      <c r="W32" s="225">
        <f>+(W25*1000)/W15</f>
        <v>140.48937360178971</v>
      </c>
      <c r="X32" s="973">
        <f>+X25/X$21*1000</f>
        <v>109.375</v>
      </c>
      <c r="Y32" s="869">
        <f>+(Y25*1000)/Y15</f>
        <v>108.79501138627955</v>
      </c>
      <c r="Z32" s="1135">
        <f>+Z25/Z$21*1000</f>
        <v>109.375</v>
      </c>
      <c r="AA32" s="1135">
        <f>+(AA25*1000)/AA15</f>
        <v>90.060020690639263</v>
      </c>
      <c r="AB32" s="2307">
        <f>+AB25/AB21*1000</f>
        <v>109.375</v>
      </c>
      <c r="AC32" s="225">
        <f>+(AC25*1000)/AC15</f>
        <v>123.63546849087894</v>
      </c>
      <c r="AD32" s="972">
        <f>+AD25/AD$21*1000</f>
        <v>109.375</v>
      </c>
      <c r="AE32" s="878">
        <f>+(AE25*1000)/AE15</f>
        <v>94.989651813976138</v>
      </c>
      <c r="AF32" s="2307">
        <f>+AF25/AF21*1000</f>
        <v>109.375</v>
      </c>
      <c r="AG32" s="225">
        <f>+(AG25*1000)/AG15</f>
        <v>136.0783678756477</v>
      </c>
      <c r="AH32" s="972">
        <f>+AH25/AH$21*1000</f>
        <v>109.375</v>
      </c>
      <c r="AI32" s="878">
        <f>+(AI25*1000)/AI15</f>
        <v>100.06655463081519</v>
      </c>
      <c r="AJ32" s="2307">
        <f>+AJ25/AJ21*1000</f>
        <v>109.375</v>
      </c>
      <c r="AK32" s="225">
        <f>+(AK25*1000)/AK15</f>
        <v>132.73211331679073</v>
      </c>
      <c r="AL32" s="973">
        <f>+AL25/AL$21*1000</f>
        <v>109.375</v>
      </c>
      <c r="AM32" s="869">
        <f>+(AM25*1000)/AM15</f>
        <v>130.74622166246851</v>
      </c>
      <c r="AN32" s="972">
        <f>+AN25/AN$21*1000</f>
        <v>109.375</v>
      </c>
      <c r="AO32" s="878">
        <f>+(AO25*1000)/AO15</f>
        <v>103.79896748889519</v>
      </c>
      <c r="AP32" s="2307">
        <f>+AP25/AP21*1000</f>
        <v>109.375</v>
      </c>
      <c r="AQ32" s="225">
        <f>+(AQ25*1000)/AQ15</f>
        <v>141.20657568238212</v>
      </c>
      <c r="AR32" s="972">
        <f>+AR25/AR$21*1000</f>
        <v>109.375</v>
      </c>
      <c r="AS32" s="878">
        <f>+(AS25*1000)/AS15</f>
        <v>107.63491306191688</v>
      </c>
      <c r="AT32" s="2307">
        <f>+AT25/AT21*1000</f>
        <v>109.375</v>
      </c>
      <c r="AU32" s="225">
        <f>+(AU25*1000)/AU15</f>
        <v>149.8201149425287</v>
      </c>
      <c r="AV32" s="972">
        <f>+AV25/AV$21*1000</f>
        <v>109.375</v>
      </c>
      <c r="AW32" s="878">
        <f>+(AW25*1000)/AW15</f>
        <v>111.1974373907979</v>
      </c>
      <c r="AX32" s="2307">
        <f>+AX25/AX21*1000</f>
        <v>109.375</v>
      </c>
      <c r="AY32" s="225">
        <f>+(AY25*1000)/AY15</f>
        <v>138.5844820384294</v>
      </c>
      <c r="AZ32" s="973">
        <f>+AZ25/AZ$21*1000</f>
        <v>109.375</v>
      </c>
      <c r="BA32" s="869">
        <f>+(BA25*1000)/BA15</f>
        <v>142.98948046371831</v>
      </c>
      <c r="BB32" s="1135">
        <f>+BB25/BB$21*1000</f>
        <v>109.375</v>
      </c>
      <c r="BC32" s="1135">
        <f>+(BC25*1000)/BC15</f>
        <v>136.79898110804498</v>
      </c>
      <c r="BD32" s="972">
        <f>+BD25/BD$21*1000</f>
        <v>109.375</v>
      </c>
      <c r="BE32" s="878">
        <f>+(BE25*1000)/BE15</f>
        <v>113.52663504920245</v>
      </c>
    </row>
    <row r="33" spans="1:57" x14ac:dyDescent="0.25">
      <c r="B33" s="2933" t="s">
        <v>434</v>
      </c>
      <c r="C33" s="33" t="s">
        <v>430</v>
      </c>
      <c r="D33" s="1110">
        <f>+D26/D21*1000</f>
        <v>0</v>
      </c>
      <c r="E33" s="238">
        <f>+(E26*1000)/E15</f>
        <v>0</v>
      </c>
      <c r="F33" s="1110">
        <v>0</v>
      </c>
      <c r="G33" s="238">
        <f>+(G26*1000)/G15</f>
        <v>0</v>
      </c>
      <c r="H33" s="182">
        <f>+H26/H$21*1000</f>
        <v>0</v>
      </c>
      <c r="I33" s="2418">
        <f>+(I26*1000)/I15</f>
        <v>0</v>
      </c>
      <c r="J33" s="1110">
        <f>+J26/J21*1000</f>
        <v>0</v>
      </c>
      <c r="K33" s="238">
        <f>+(K26*1000)/K15</f>
        <v>0</v>
      </c>
      <c r="L33" s="167">
        <f>+L26/L$21*1000</f>
        <v>0</v>
      </c>
      <c r="M33" s="1326">
        <f>+(M26*1000)/M15</f>
        <v>0</v>
      </c>
      <c r="N33" s="1035">
        <f>+N26/N21*1000</f>
        <v>0</v>
      </c>
      <c r="O33" s="40">
        <f>+(O26*1000)/O15</f>
        <v>0</v>
      </c>
      <c r="P33" s="1077">
        <f>+P26/P$21*1000</f>
        <v>0</v>
      </c>
      <c r="Q33" s="1325">
        <f>+(Q26*1000)/Q15</f>
        <v>0</v>
      </c>
      <c r="R33" s="1035">
        <f>+R26/R21*1000</f>
        <v>0</v>
      </c>
      <c r="S33" s="40">
        <f>+(S26*1000)/S15</f>
        <v>0</v>
      </c>
      <c r="T33" s="1077">
        <f>+T26/T$21*1000</f>
        <v>0</v>
      </c>
      <c r="U33" s="1325">
        <f>+(U26*1000)/U15</f>
        <v>0</v>
      </c>
      <c r="V33" s="1035">
        <f>+V26/V21*1000</f>
        <v>0</v>
      </c>
      <c r="W33" s="40">
        <f>+(W26*1000)/W15</f>
        <v>0</v>
      </c>
      <c r="X33" s="162">
        <f>+X26/X$21*1000</f>
        <v>0</v>
      </c>
      <c r="Y33" s="2415">
        <f>+(Y26*1000)/Y15</f>
        <v>0</v>
      </c>
      <c r="Z33" s="1134">
        <f>+Z26/Z$21*1000</f>
        <v>0</v>
      </c>
      <c r="AA33" s="1134">
        <f>+(AA26*1000)/AA15</f>
        <v>0</v>
      </c>
      <c r="AB33" s="1035">
        <f>+AB26/AB21*1000</f>
        <v>0</v>
      </c>
      <c r="AC33" s="40">
        <f>+(AC26*1000)/AC15</f>
        <v>0</v>
      </c>
      <c r="AD33" s="1077">
        <f>+AD26/AD$21*1000</f>
        <v>0</v>
      </c>
      <c r="AE33" s="1325">
        <f>+(AE26*1000)/AE15</f>
        <v>0</v>
      </c>
      <c r="AF33" s="1035">
        <f>+AF26/AF21*1000</f>
        <v>0</v>
      </c>
      <c r="AG33" s="40">
        <f>+(AG26*1000)/AG15</f>
        <v>0</v>
      </c>
      <c r="AH33" s="1077">
        <f>+AH26/AH$21*1000</f>
        <v>0</v>
      </c>
      <c r="AI33" s="1325">
        <f>+(AI26*1000)/AI15</f>
        <v>0</v>
      </c>
      <c r="AJ33" s="1035">
        <f>+AJ26/AJ21*1000</f>
        <v>0</v>
      </c>
      <c r="AK33" s="40">
        <f>+(AK26*1000)/AK15</f>
        <v>0</v>
      </c>
      <c r="AL33" s="162">
        <f>+AL26/AL$21*1000</f>
        <v>0</v>
      </c>
      <c r="AM33" s="3600">
        <f>+(AM26*1000)/AM15</f>
        <v>0</v>
      </c>
      <c r="AN33" s="1077">
        <f>+AN26/AN$21*1000</f>
        <v>0</v>
      </c>
      <c r="AO33" s="1325">
        <f>+(AO26*1000)/AO15</f>
        <v>0</v>
      </c>
      <c r="AP33" s="1035">
        <f>+AP26/AP21*1000</f>
        <v>0</v>
      </c>
      <c r="AQ33" s="40">
        <f>+(AQ26*1000)/AQ15</f>
        <v>0</v>
      </c>
      <c r="AR33" s="1077">
        <f>+AR26/AR$21*1000</f>
        <v>0</v>
      </c>
      <c r="AS33" s="1325">
        <f>+(AS26*1000)/AS15</f>
        <v>0</v>
      </c>
      <c r="AT33" s="1035">
        <f>+AT26/AT21*1000</f>
        <v>0</v>
      </c>
      <c r="AU33" s="40">
        <f>+(AU26*1000)/AU15</f>
        <v>0</v>
      </c>
      <c r="AV33" s="1077">
        <f>+AV26/AV$21*1000</f>
        <v>0</v>
      </c>
      <c r="AW33" s="1325">
        <f>+(AW26*1000)/AW15</f>
        <v>0</v>
      </c>
      <c r="AX33" s="1035">
        <f>+AX26/AX21*1000</f>
        <v>0</v>
      </c>
      <c r="AY33" s="40">
        <f>+(AY26*1000)/AY15</f>
        <v>0</v>
      </c>
      <c r="AZ33" s="162">
        <f>+AZ26/AZ$21*1000</f>
        <v>0</v>
      </c>
      <c r="BA33" s="4380">
        <f>+(BA26*1000)/BA15</f>
        <v>0</v>
      </c>
      <c r="BB33" s="4382">
        <f>+BB26/BB$21*1000</f>
        <v>0</v>
      </c>
      <c r="BC33" s="4382">
        <f>+(BC26*1000)/BC15</f>
        <v>0</v>
      </c>
      <c r="BD33" s="1077">
        <f>+BD26/BD$21*1000</f>
        <v>0</v>
      </c>
      <c r="BE33" s="1325">
        <f>+(BE26*1000)/BE15</f>
        <v>0</v>
      </c>
    </row>
    <row r="34" spans="1:57" ht="15.75" thickBot="1" x14ac:dyDescent="0.3">
      <c r="A34" s="283" t="s">
        <v>515</v>
      </c>
      <c r="B34" s="2944" t="s">
        <v>435</v>
      </c>
      <c r="C34" s="2945" t="s">
        <v>610</v>
      </c>
      <c r="D34" s="3807">
        <v>1.1593329999999999</v>
      </c>
      <c r="E34" s="3807">
        <f>1058/1000</f>
        <v>1.0580000000000001</v>
      </c>
      <c r="F34" s="3807">
        <v>1.1593329999999999</v>
      </c>
      <c r="G34" s="3807">
        <f>1078/1000</f>
        <v>1.0780000000000001</v>
      </c>
      <c r="H34" s="3807">
        <f>+((D34*D21)+(F34*F21))/H21</f>
        <v>1.1593329999999999</v>
      </c>
      <c r="I34" s="3807">
        <f>+((E34*E15)+(G34*G15))/I15</f>
        <v>1.0682937420178802</v>
      </c>
      <c r="J34" s="3807">
        <v>1.1593329999999999</v>
      </c>
      <c r="K34" s="3807">
        <v>0.72199999999999998</v>
      </c>
      <c r="L34" s="3807">
        <f>+((H34*H21)+(J34*J21))/L21</f>
        <v>1.1593329999999999</v>
      </c>
      <c r="M34" s="3807">
        <f>+((I34*I15)+(K34*K15))/M15</f>
        <v>0.95474506437768247</v>
      </c>
      <c r="N34" s="3807">
        <v>1.1593329999999999</v>
      </c>
      <c r="O34" s="3807">
        <v>0.83299999999999996</v>
      </c>
      <c r="P34" s="3807">
        <f>+((L34*L21)+(N34*N21))/P21</f>
        <v>1.1593329999999999</v>
      </c>
      <c r="Q34" s="3807">
        <f>+((M34*M15)+(O34*O15))/Q15</f>
        <v>0.9237150623600896</v>
      </c>
      <c r="R34" s="3807">
        <v>1.1593329999999999</v>
      </c>
      <c r="S34" s="3807">
        <v>1.0860000000000001</v>
      </c>
      <c r="T34" s="3807">
        <f>+((P34*P21)+(R34*R21))/T21</f>
        <v>1.1593329999999999</v>
      </c>
      <c r="U34" s="3807">
        <f>+((Q34*Q15)+(S34*S15))/U15</f>
        <v>0.95677540106951875</v>
      </c>
      <c r="V34" s="3807">
        <v>1.159</v>
      </c>
      <c r="W34" s="3807">
        <v>1.1040000000000001</v>
      </c>
      <c r="X34" s="3807">
        <f>+((N34*N21)+(R34*R21)+(V34*V21))/X21</f>
        <v>1.1592244130434781</v>
      </c>
      <c r="Y34" s="3807">
        <f>+((O34*O21)+(S34*S21)+(W34*W21))/Y21</f>
        <v>1.0056280956447481</v>
      </c>
      <c r="Z34" s="3807">
        <f>+((T34*T21)+(V34*V21))/Z21</f>
        <v>1.1592784098360656</v>
      </c>
      <c r="AA34" s="3807">
        <f>+((U34*U15)+(W34*W15))/AA15</f>
        <v>0.98025192636986314</v>
      </c>
      <c r="AB34" s="3807">
        <v>1.1593329999999999</v>
      </c>
      <c r="AC34" s="3807">
        <v>1.0329999999999999</v>
      </c>
      <c r="AD34" s="3807">
        <f>+((Z34*Z21)+(AB34*AB21))/AD21</f>
        <v>1.1592863177570092</v>
      </c>
      <c r="AE34" s="3807">
        <f>+((AA34*AA15)+(AC34*AC15))/AE15</f>
        <v>0.98799653031409795</v>
      </c>
      <c r="AF34" s="3807">
        <v>1.1593329999999999</v>
      </c>
      <c r="AG34" s="3807">
        <v>1.0860000000000001</v>
      </c>
      <c r="AH34" s="3807">
        <f>+((AD34*AD21)+(AF34*AF21))/AH21</f>
        <v>1.1592920573770491</v>
      </c>
      <c r="AI34" s="3807">
        <f>+((AE34*AE15)+(AG34*AG15))/AI15</f>
        <v>1.0001057938540332</v>
      </c>
      <c r="AJ34" s="3807">
        <v>1.1593329999999999</v>
      </c>
      <c r="AK34" s="3807">
        <v>1.075</v>
      </c>
      <c r="AL34" s="3807">
        <f>+((AB34*AB21)+(AF34*AF21)+(AJ34*AJ21))/AL21</f>
        <v>1.1593329999999999</v>
      </c>
      <c r="AM34" s="3807">
        <f>+((AC34*AC21)+(AG34*AG21)+(AK34*AK21))/AM21</f>
        <v>1.0643887489504618</v>
      </c>
      <c r="AN34" s="3807">
        <f>+((AH34*AH21)+(AJ34*AJ21))/AN21</f>
        <v>1.1592966727272727</v>
      </c>
      <c r="AO34" s="3807">
        <f>+((AI34*AI15)+(AK34*AK15))/AO15</f>
        <v>1.0086633115962571</v>
      </c>
      <c r="AP34" s="3807">
        <v>1.1593329999999999</v>
      </c>
      <c r="AQ34" s="3807">
        <v>1.1080000000000001</v>
      </c>
      <c r="AR34" s="3807">
        <f>+((AN34*AN21)+(AP34*AP21))/AR21</f>
        <v>1.1593003529411763</v>
      </c>
      <c r="AS34" s="3807">
        <f>+((AO34*AO15)+(AQ34*AQ15))/AS15</f>
        <v>1.0188497455470735</v>
      </c>
      <c r="AT34" s="3807">
        <v>1.1593329999999999</v>
      </c>
      <c r="AU34" s="3807">
        <v>1.1419999999999999</v>
      </c>
      <c r="AV34" s="3807">
        <f>+((AR34*AR21)+(AT34*AT21))/AV21</f>
        <v>1.1593030898203591</v>
      </c>
      <c r="AW34" s="3807">
        <f>+((AS34*AS15)+(AU34*AU15))/AW15</f>
        <v>1.0292497379149677</v>
      </c>
      <c r="AX34" s="3807">
        <v>1.1593329999999999</v>
      </c>
      <c r="AY34" s="3807">
        <v>1.0940000000000001</v>
      </c>
      <c r="AZ34" s="3807">
        <f>+((AP34*AP21)+(AT34*AT21)+(AX34*AX21))/AZ21</f>
        <v>1.1593329999999999</v>
      </c>
      <c r="BA34" s="3807">
        <f>+((AQ34*AQ21)+(AU34*AU21)+(AY34*AY21))/BA21</f>
        <v>1.1137870330613997</v>
      </c>
      <c r="BB34" s="3807">
        <f>+((AL34*AL21)+(AZ34*AZ21))/BB21</f>
        <v>1.1593329999999999</v>
      </c>
      <c r="BC34" s="3807">
        <f>+((AM34*AM15)+(BA34*BA15))/BC15</f>
        <v>1.088810019104224</v>
      </c>
      <c r="BD34" s="3807">
        <f>+((AV34*AV21)+(AX34*AX21))/BD21</f>
        <v>1.1593056301369862</v>
      </c>
      <c r="BE34" s="3807">
        <f>+((AW34*AW15)+(AY34*AY15))/BE15</f>
        <v>1.0347565810508363</v>
      </c>
    </row>
    <row r="35" spans="1:57" ht="23.25" thickTop="1" x14ac:dyDescent="0.3">
      <c r="B35" s="2946" t="s">
        <v>502</v>
      </c>
      <c r="C35" s="314"/>
      <c r="D35" s="2947"/>
      <c r="E35" s="314"/>
      <c r="F35" s="2947"/>
      <c r="G35" s="314"/>
      <c r="H35" s="314"/>
      <c r="I35" s="314"/>
      <c r="J35" s="2947"/>
      <c r="K35" s="314"/>
      <c r="L35" s="314"/>
      <c r="M35" s="314"/>
      <c r="N35" s="2948"/>
      <c r="O35" s="1907"/>
      <c r="P35" s="314"/>
      <c r="Q35" s="314"/>
      <c r="R35" s="2948"/>
      <c r="S35" s="1907"/>
      <c r="T35" s="314"/>
      <c r="U35" s="314"/>
      <c r="V35" s="2948"/>
      <c r="W35" s="1907"/>
      <c r="X35" s="314"/>
      <c r="Y35" s="314"/>
      <c r="Z35" s="314"/>
      <c r="AA35" s="314"/>
      <c r="AB35" s="2948"/>
      <c r="AC35" s="1907"/>
      <c r="AD35" s="314"/>
      <c r="AE35" s="314"/>
      <c r="AF35" s="2948"/>
      <c r="AG35" s="1907"/>
      <c r="AH35" s="314"/>
      <c r="AI35" s="314"/>
      <c r="AJ35" s="2948"/>
      <c r="AK35" s="1907"/>
      <c r="AL35" s="314"/>
      <c r="AM35" s="314"/>
      <c r="AN35" s="314"/>
      <c r="AO35" s="314"/>
      <c r="AP35" s="2948"/>
      <c r="AQ35" s="1907"/>
      <c r="AR35" s="314"/>
      <c r="AS35" s="314"/>
      <c r="AT35" s="2948"/>
      <c r="AU35" s="1907"/>
      <c r="AV35" s="314"/>
      <c r="AW35" s="314"/>
      <c r="AX35" s="2948"/>
      <c r="AY35" s="1907"/>
      <c r="AZ35" s="314"/>
      <c r="BA35" s="314"/>
      <c r="BB35" s="314"/>
      <c r="BC35" s="314"/>
      <c r="BD35" s="314"/>
      <c r="BE35" s="314"/>
    </row>
    <row r="36" spans="1:57" ht="19.5" thickBot="1" x14ac:dyDescent="0.3">
      <c r="B36" s="79" t="s">
        <v>444</v>
      </c>
      <c r="C36" s="25"/>
      <c r="D36" s="1304"/>
      <c r="E36" s="25"/>
      <c r="F36" s="1304"/>
      <c r="G36" s="25"/>
      <c r="H36" s="25"/>
      <c r="I36" s="1054"/>
      <c r="J36" s="1304"/>
      <c r="K36" s="25"/>
      <c r="L36" s="25"/>
      <c r="M36" s="1054"/>
      <c r="N36" s="2949"/>
      <c r="O36" s="1908"/>
      <c r="P36" s="25"/>
      <c r="Q36" s="1054"/>
      <c r="R36" s="2949"/>
      <c r="S36" s="1908"/>
      <c r="T36" s="25"/>
      <c r="U36" s="1054"/>
      <c r="V36" s="2949"/>
      <c r="W36" s="1908"/>
      <c r="X36" s="25"/>
      <c r="Y36" s="1054"/>
      <c r="Z36" s="25"/>
      <c r="AA36" s="1054"/>
      <c r="AB36" s="2949"/>
      <c r="AC36" s="1908"/>
      <c r="AD36" s="25"/>
      <c r="AE36" s="1054"/>
      <c r="AF36" s="2949"/>
      <c r="AG36" s="1908"/>
      <c r="AH36" s="25"/>
      <c r="AI36" s="1054"/>
      <c r="AJ36" s="2949"/>
      <c r="AK36" s="1908"/>
      <c r="AL36" s="25"/>
      <c r="AM36" s="1054"/>
      <c r="AN36" s="25"/>
      <c r="AO36" s="1054"/>
      <c r="AP36" s="2949"/>
      <c r="AQ36" s="1908"/>
      <c r="AR36" s="25"/>
      <c r="AS36" s="1054"/>
      <c r="AT36" s="2949"/>
      <c r="AU36" s="1908"/>
      <c r="AV36" s="25"/>
      <c r="AW36" s="1054"/>
      <c r="AX36" s="2949"/>
      <c r="AY36" s="1908"/>
      <c r="AZ36" s="25"/>
      <c r="BA36" s="1054"/>
      <c r="BB36" s="25"/>
      <c r="BC36" s="1054"/>
      <c r="BD36" s="25"/>
      <c r="BE36" s="1054"/>
    </row>
    <row r="37" spans="1:57" x14ac:dyDescent="0.25">
      <c r="B37" s="5287" t="s">
        <v>437</v>
      </c>
      <c r="C37" s="40" t="s">
        <v>436</v>
      </c>
      <c r="D37" s="2950"/>
      <c r="E37" s="475">
        <v>4639.1000000000004</v>
      </c>
      <c r="F37" s="5263"/>
      <c r="G37" s="417">
        <v>6480.5</v>
      </c>
      <c r="H37" s="5310"/>
      <c r="I37" s="1055">
        <f>+E37+G37</f>
        <v>11119.6</v>
      </c>
      <c r="J37" s="5314"/>
      <c r="K37" s="417">
        <v>10482.5</v>
      </c>
      <c r="L37" s="5317"/>
      <c r="M37" s="1934">
        <f>+I37+K37</f>
        <v>21602.1</v>
      </c>
      <c r="N37" s="5263"/>
      <c r="O37" s="417">
        <v>10169.299999999999</v>
      </c>
      <c r="P37" s="5268"/>
      <c r="Q37" s="1877">
        <f>+M37+O37</f>
        <v>31771.399999999998</v>
      </c>
      <c r="R37" s="5263"/>
      <c r="S37" s="417">
        <v>13291.9</v>
      </c>
      <c r="T37" s="5268"/>
      <c r="U37" s="1877">
        <f>+Q37+S37</f>
        <v>45063.299999999996</v>
      </c>
      <c r="V37" s="5263"/>
      <c r="W37" s="417">
        <v>3792.2</v>
      </c>
      <c r="X37" s="5280"/>
      <c r="Y37" s="1064">
        <f t="shared" ref="Y37" si="125">+W37+S37+O37</f>
        <v>27253.399999999998</v>
      </c>
      <c r="Z37" s="5274"/>
      <c r="AA37" s="1250">
        <f>+U37+W37</f>
        <v>48855.499999999993</v>
      </c>
      <c r="AB37" s="5263"/>
      <c r="AC37" s="417">
        <v>13037.2</v>
      </c>
      <c r="AD37" s="5268"/>
      <c r="AE37" s="1877">
        <f>+AA37+AC37</f>
        <v>61892.7</v>
      </c>
      <c r="AF37" s="5263"/>
      <c r="AG37" s="417">
        <v>9433.4000000000233</v>
      </c>
      <c r="AH37" s="5268"/>
      <c r="AI37" s="1877">
        <f>+AE37+AG37</f>
        <v>71326.10000000002</v>
      </c>
      <c r="AJ37" s="5263"/>
      <c r="AK37" s="417">
        <v>6572</v>
      </c>
      <c r="AL37" s="5280"/>
      <c r="AM37" s="1064">
        <f t="shared" ref="AM37" si="126">+AK37+AG37+AC37</f>
        <v>29042.600000000024</v>
      </c>
      <c r="AN37" s="5268"/>
      <c r="AO37" s="1877">
        <f>+AI37+AK37</f>
        <v>77898.10000000002</v>
      </c>
      <c r="AP37" s="5263"/>
      <c r="AQ37" s="417">
        <v>12417.8</v>
      </c>
      <c r="AR37" s="5268"/>
      <c r="AS37" s="1877">
        <f>+AO37+AQ37</f>
        <v>90315.900000000023</v>
      </c>
      <c r="AT37" s="5263"/>
      <c r="AU37" s="417">
        <v>8211.1</v>
      </c>
      <c r="AV37" s="5268"/>
      <c r="AW37" s="1877">
        <f>+AS37+AU37</f>
        <v>98527.000000000029</v>
      </c>
      <c r="AX37" s="5263"/>
      <c r="AY37" s="417">
        <v>4818.3999999999996</v>
      </c>
      <c r="AZ37" s="5280"/>
      <c r="BA37" s="1064">
        <f t="shared" ref="BA37" si="127">+AY37+AU37+AQ37</f>
        <v>25447.3</v>
      </c>
      <c r="BB37" s="5274"/>
      <c r="BC37" s="1250">
        <f>+AM37+BA37</f>
        <v>54489.900000000023</v>
      </c>
      <c r="BD37" s="5268"/>
      <c r="BE37" s="1877">
        <f>+AW37+AY37</f>
        <v>103345.40000000002</v>
      </c>
    </row>
    <row r="38" spans="1:57" x14ac:dyDescent="0.25">
      <c r="B38" s="5287"/>
      <c r="C38" s="41" t="s">
        <v>424</v>
      </c>
      <c r="D38" s="2951"/>
      <c r="E38" s="1039">
        <f>+E37/E$2/24</f>
        <v>6.4431944444444449</v>
      </c>
      <c r="F38" s="5264"/>
      <c r="G38" s="1039">
        <f>+G37/G$2/24</f>
        <v>8.7103494623655919</v>
      </c>
      <c r="H38" s="5311"/>
      <c r="I38" s="1056">
        <f>+I37/I$2/24</f>
        <v>7.5953551912568313</v>
      </c>
      <c r="J38" s="5315"/>
      <c r="K38" s="1039">
        <f>+K37/K$2/24</f>
        <v>14.559027777777779</v>
      </c>
      <c r="L38" s="5318"/>
      <c r="M38" s="1935">
        <f>+M37/M$2/24</f>
        <v>9.8910714285714274</v>
      </c>
      <c r="N38" s="5264"/>
      <c r="O38" s="1909">
        <f>+O37/O$2/24</f>
        <v>13.668413978494621</v>
      </c>
      <c r="P38" s="5269"/>
      <c r="Q38" s="1878">
        <f>+Q37/Q$2/24</f>
        <v>10.850887978142076</v>
      </c>
      <c r="R38" s="5264"/>
      <c r="S38" s="1909">
        <f>+S37/S$2/24</f>
        <v>17.86545698924731</v>
      </c>
      <c r="T38" s="5269"/>
      <c r="U38" s="1878">
        <f>+U37/U$2/24</f>
        <v>12.272140522875816</v>
      </c>
      <c r="V38" s="5264"/>
      <c r="W38" s="1909">
        <f>+W37/W$2/24</f>
        <v>5.2669444444444444</v>
      </c>
      <c r="X38" s="5281"/>
      <c r="Y38" s="1065">
        <f>+Y37/Y$2/24</f>
        <v>12.343025362318841</v>
      </c>
      <c r="Z38" s="5275"/>
      <c r="AA38" s="1251">
        <f>+AA37/AA$2/24</f>
        <v>11.123747723132967</v>
      </c>
      <c r="AB38" s="5264"/>
      <c r="AC38" s="1909">
        <f>+AC37/AC$2/24</f>
        <v>17.523118279569893</v>
      </c>
      <c r="AD38" s="5269"/>
      <c r="AE38" s="1878">
        <f>+AE37/AE$2/24</f>
        <v>12.050759345794392</v>
      </c>
      <c r="AF38" s="5264"/>
      <c r="AG38" s="1909">
        <f>+AG37/AG$2/24</f>
        <v>13.101944444444477</v>
      </c>
      <c r="AH38" s="5269"/>
      <c r="AI38" s="1878">
        <f>+AI37/AI$2/24</f>
        <v>12.180003415300549</v>
      </c>
      <c r="AJ38" s="5264"/>
      <c r="AK38" s="1909">
        <f>+AK37/AK$2/24</f>
        <v>8.8333333333333339</v>
      </c>
      <c r="AL38" s="5281"/>
      <c r="AM38" s="1065">
        <f>+AM37/AM$2/24</f>
        <v>13.153351449275375</v>
      </c>
      <c r="AN38" s="5269"/>
      <c r="AO38" s="1878">
        <f>+AO37/AO$2/24</f>
        <v>11.802742424242426</v>
      </c>
      <c r="AP38" s="5264"/>
      <c r="AQ38" s="1909">
        <f>+AQ37/AQ$2/24</f>
        <v>16.690591397849463</v>
      </c>
      <c r="AR38" s="5269"/>
      <c r="AS38" s="1878">
        <f>+AS37/AS$2/24</f>
        <v>12.297916666666671</v>
      </c>
      <c r="AT38" s="5264"/>
      <c r="AU38" s="1909">
        <f>+AU37/AU$2/24</f>
        <v>12.218898809523809</v>
      </c>
      <c r="AV38" s="5269"/>
      <c r="AW38" s="1878">
        <f>+AW37/AW$2/24</f>
        <v>12.291292415169664</v>
      </c>
      <c r="AX38" s="5264"/>
      <c r="AY38" s="1909">
        <f>+AY37/AY$2/24</f>
        <v>6.4763440860215047</v>
      </c>
      <c r="AZ38" s="5281"/>
      <c r="BA38" s="1065">
        <f>+BA37/BA$2/24</f>
        <v>11.781157407407406</v>
      </c>
      <c r="BB38" s="5275"/>
      <c r="BC38" s="1251">
        <f>+BC37/BC$2/24</f>
        <v>12.47479395604396</v>
      </c>
      <c r="BD38" s="5269"/>
      <c r="BE38" s="1878">
        <f>+BE37/BE$2/24</f>
        <v>11.797420091324204</v>
      </c>
    </row>
    <row r="39" spans="1:57" x14ac:dyDescent="0.25">
      <c r="B39" s="5287" t="s">
        <v>438</v>
      </c>
      <c r="C39" s="40" t="s">
        <v>436</v>
      </c>
      <c r="D39" s="2951"/>
      <c r="E39" s="475">
        <v>5314.4</v>
      </c>
      <c r="F39" s="5264"/>
      <c r="G39" s="417">
        <v>9200</v>
      </c>
      <c r="H39" s="5311"/>
      <c r="I39" s="933">
        <f>+E39+G39</f>
        <v>14514.4</v>
      </c>
      <c r="J39" s="5315"/>
      <c r="K39" s="417">
        <v>7186</v>
      </c>
      <c r="L39" s="5318"/>
      <c r="M39" s="1936">
        <f>+I39+K39</f>
        <v>21700.400000000001</v>
      </c>
      <c r="N39" s="5264"/>
      <c r="O39" s="417">
        <v>12760.8</v>
      </c>
      <c r="P39" s="5269"/>
      <c r="Q39" s="1879">
        <f>+M39+O39</f>
        <v>34461.199999999997</v>
      </c>
      <c r="R39" s="5264"/>
      <c r="S39" s="417">
        <v>13304.9</v>
      </c>
      <c r="T39" s="5269"/>
      <c r="U39" s="1879">
        <f>+Q39+S39</f>
        <v>47766.1</v>
      </c>
      <c r="V39" s="5264"/>
      <c r="W39" s="417">
        <v>11092.2</v>
      </c>
      <c r="X39" s="5281"/>
      <c r="Y39" s="1066">
        <f t="shared" ref="Y39" si="128">+W39+S39+O39</f>
        <v>37157.899999999994</v>
      </c>
      <c r="Z39" s="5275"/>
      <c r="AA39" s="1252">
        <f>+U39+W39</f>
        <v>58858.3</v>
      </c>
      <c r="AB39" s="5264"/>
      <c r="AC39" s="417">
        <v>2887.1</v>
      </c>
      <c r="AD39" s="5269"/>
      <c r="AE39" s="1879">
        <f>+AA39+AC39</f>
        <v>61745.4</v>
      </c>
      <c r="AF39" s="5264"/>
      <c r="AG39" s="417">
        <v>8377.7000000000116</v>
      </c>
      <c r="AH39" s="5269"/>
      <c r="AI39" s="1879">
        <f>+AE39+AG39</f>
        <v>70123.100000000006</v>
      </c>
      <c r="AJ39" s="5264"/>
      <c r="AK39" s="417">
        <v>11377.6</v>
      </c>
      <c r="AL39" s="5281"/>
      <c r="AM39" s="1066">
        <f t="shared" ref="AM39" si="129">+AK39+AG39+AC39</f>
        <v>22642.400000000009</v>
      </c>
      <c r="AN39" s="5269"/>
      <c r="AO39" s="1879">
        <f>+AI39+AK39</f>
        <v>81500.700000000012</v>
      </c>
      <c r="AP39" s="5264"/>
      <c r="AQ39" s="417">
        <v>9856.5</v>
      </c>
      <c r="AR39" s="5269"/>
      <c r="AS39" s="1879">
        <f>+AO39+AQ39</f>
        <v>91357.200000000012</v>
      </c>
      <c r="AT39" s="5264"/>
      <c r="AU39" s="417">
        <v>2292.8000000000002</v>
      </c>
      <c r="AV39" s="5269"/>
      <c r="AW39" s="1879">
        <f>+AS39+AU39</f>
        <v>93650.000000000015</v>
      </c>
      <c r="AX39" s="5264"/>
      <c r="AY39" s="417">
        <v>4119.2</v>
      </c>
      <c r="AZ39" s="5281"/>
      <c r="BA39" s="1066">
        <f t="shared" ref="BA39" si="130">+AY39+AU39+AQ39</f>
        <v>16268.5</v>
      </c>
      <c r="BB39" s="5275"/>
      <c r="BC39" s="1252">
        <f>+AM39+BA39</f>
        <v>38910.900000000009</v>
      </c>
      <c r="BD39" s="5269"/>
      <c r="BE39" s="1879">
        <f>+AW39+AY39</f>
        <v>97769.200000000012</v>
      </c>
    </row>
    <row r="40" spans="1:57" x14ac:dyDescent="0.25">
      <c r="B40" s="5287"/>
      <c r="C40" s="41" t="s">
        <v>424</v>
      </c>
      <c r="D40" s="2951"/>
      <c r="E40" s="1039">
        <f>+E39/E$2/24</f>
        <v>7.3811111111111103</v>
      </c>
      <c r="F40" s="5264"/>
      <c r="G40" s="1039">
        <f>+G39/G$2/24</f>
        <v>12.365591397849462</v>
      </c>
      <c r="H40" s="5311"/>
      <c r="I40" s="1056">
        <f>+I39/I$2/24</f>
        <v>9.9142076502732248</v>
      </c>
      <c r="J40" s="5315"/>
      <c r="K40" s="1039">
        <f>+K39/K$2/24</f>
        <v>9.9805555555555561</v>
      </c>
      <c r="L40" s="5318"/>
      <c r="M40" s="1935">
        <f>+M39/M$2/24</f>
        <v>9.9360805860805872</v>
      </c>
      <c r="N40" s="5264"/>
      <c r="O40" s="1909">
        <f>+O39/O$2/24</f>
        <v>17.151612903225807</v>
      </c>
      <c r="P40" s="5269"/>
      <c r="Q40" s="1878">
        <f>+Q39/Q$2/24</f>
        <v>11.769535519125682</v>
      </c>
      <c r="R40" s="5264"/>
      <c r="S40" s="1909">
        <f>+S39/S$2/24</f>
        <v>17.882930107526882</v>
      </c>
      <c r="T40" s="5269"/>
      <c r="U40" s="1878">
        <f>+U39/U$2/24</f>
        <v>13.00819716775599</v>
      </c>
      <c r="V40" s="5264"/>
      <c r="W40" s="1909">
        <f>+W39/W$2/24</f>
        <v>15.405833333333334</v>
      </c>
      <c r="X40" s="5281"/>
      <c r="Y40" s="1065">
        <f>+Y39/Y$2/24</f>
        <v>16.828759057971013</v>
      </c>
      <c r="Z40" s="5275"/>
      <c r="AA40" s="1251">
        <f>+AA39/AA$2/24</f>
        <v>13.401252276867032</v>
      </c>
      <c r="AB40" s="5264"/>
      <c r="AC40" s="1909">
        <f>+AC39/AC$2/24</f>
        <v>3.8805107526881719</v>
      </c>
      <c r="AD40" s="5269"/>
      <c r="AE40" s="1878">
        <f>+AE39/AE$2/24</f>
        <v>12.022079439252337</v>
      </c>
      <c r="AF40" s="5264"/>
      <c r="AG40" s="1909">
        <f>+AG39/AG$2/24</f>
        <v>11.635694444444461</v>
      </c>
      <c r="AH40" s="5269"/>
      <c r="AI40" s="1878">
        <f>+AI39/AI$2/24</f>
        <v>11.974573087431695</v>
      </c>
      <c r="AJ40" s="5264"/>
      <c r="AK40" s="1909">
        <f>+AK39/AK$2/24</f>
        <v>15.292473118279572</v>
      </c>
      <c r="AL40" s="5281"/>
      <c r="AM40" s="1065">
        <f>+AM39/AM$2/24</f>
        <v>10.254710144927541</v>
      </c>
      <c r="AN40" s="5269"/>
      <c r="AO40" s="1878">
        <f>+AO39/AO$2/24</f>
        <v>12.348590909090911</v>
      </c>
      <c r="AP40" s="5264"/>
      <c r="AQ40" s="1909">
        <f>+AQ39/AQ$2/24</f>
        <v>13.247983870967742</v>
      </c>
      <c r="AR40" s="5269"/>
      <c r="AS40" s="1878">
        <f>+AS39/AS$2/24</f>
        <v>12.439705882352944</v>
      </c>
      <c r="AT40" s="5264"/>
      <c r="AU40" s="1909">
        <f>+AU39/AU$2/24</f>
        <v>3.4119047619047618</v>
      </c>
      <c r="AV40" s="5269"/>
      <c r="AW40" s="1878">
        <f>+AW39/AW$2/24</f>
        <v>11.68288423153693</v>
      </c>
      <c r="AX40" s="5264"/>
      <c r="AY40" s="1909">
        <f>+AY39/AY$2/24</f>
        <v>5.5365591397849458</v>
      </c>
      <c r="AZ40" s="5281"/>
      <c r="BA40" s="1065">
        <f>+BA39/BA$2/24</f>
        <v>7.5317129629629633</v>
      </c>
      <c r="BB40" s="5275"/>
      <c r="BC40" s="1251">
        <f>+BC39/BC$2/24</f>
        <v>8.9081730769230791</v>
      </c>
      <c r="BD40" s="5269"/>
      <c r="BE40" s="1878">
        <f>+BE39/BE$2/24</f>
        <v>11.160867579908677</v>
      </c>
    </row>
    <row r="41" spans="1:57" x14ac:dyDescent="0.25">
      <c r="B41" s="5287" t="s">
        <v>439</v>
      </c>
      <c r="C41" s="40" t="s">
        <v>436</v>
      </c>
      <c r="D41" s="2951"/>
      <c r="E41" s="475">
        <v>7196.9</v>
      </c>
      <c r="F41" s="5264"/>
      <c r="G41" s="417">
        <v>5648</v>
      </c>
      <c r="H41" s="5311"/>
      <c r="I41" s="933">
        <f>+E41+G41</f>
        <v>12844.9</v>
      </c>
      <c r="J41" s="5315"/>
      <c r="K41" s="417">
        <v>5827.7</v>
      </c>
      <c r="L41" s="5318"/>
      <c r="M41" s="1936">
        <f>+I41+K41</f>
        <v>18672.599999999999</v>
      </c>
      <c r="N41" s="5264"/>
      <c r="O41" s="417">
        <v>1688.8</v>
      </c>
      <c r="P41" s="5269"/>
      <c r="Q41" s="1879">
        <f>+M41+O41</f>
        <v>20361.399999999998</v>
      </c>
      <c r="R41" s="5264"/>
      <c r="S41" s="417">
        <v>0</v>
      </c>
      <c r="T41" s="5269"/>
      <c r="U41" s="1879">
        <f>+Q41+S41</f>
        <v>20361.399999999998</v>
      </c>
      <c r="V41" s="5264"/>
      <c r="W41" s="417">
        <v>9710.2000000000007</v>
      </c>
      <c r="X41" s="5281"/>
      <c r="Y41" s="1066">
        <f t="shared" ref="Y41" si="131">+W41+S41+O41</f>
        <v>11399</v>
      </c>
      <c r="Z41" s="5275"/>
      <c r="AA41" s="1252">
        <f>+U41+W41</f>
        <v>30071.599999999999</v>
      </c>
      <c r="AB41" s="5264"/>
      <c r="AC41" s="417">
        <v>10715.1</v>
      </c>
      <c r="AD41" s="5269"/>
      <c r="AE41" s="1879">
        <f>+AA41+AC41</f>
        <v>40786.699999999997</v>
      </c>
      <c r="AF41" s="5264"/>
      <c r="AG41" s="417">
        <v>8562.5999999999985</v>
      </c>
      <c r="AH41" s="5269"/>
      <c r="AI41" s="1879">
        <f>+AE41+AG41</f>
        <v>49349.299999999996</v>
      </c>
      <c r="AJ41" s="5264"/>
      <c r="AK41" s="417">
        <v>9724.4</v>
      </c>
      <c r="AL41" s="5281"/>
      <c r="AM41" s="1066">
        <f t="shared" ref="AM41" si="132">+AK41+AG41+AC41</f>
        <v>29002.1</v>
      </c>
      <c r="AN41" s="5269"/>
      <c r="AO41" s="1879">
        <f>+AI41+AK41</f>
        <v>59073.7</v>
      </c>
      <c r="AP41" s="5264"/>
      <c r="AQ41" s="417">
        <v>6569.2</v>
      </c>
      <c r="AR41" s="5269"/>
      <c r="AS41" s="1879">
        <f>+AO41+AQ41</f>
        <v>65642.899999999994</v>
      </c>
      <c r="AT41" s="5264"/>
      <c r="AU41" s="417">
        <v>2059.3000000000002</v>
      </c>
      <c r="AV41" s="5269"/>
      <c r="AW41" s="1879">
        <f>+AS41+AU41</f>
        <v>67702.2</v>
      </c>
      <c r="AX41" s="5264"/>
      <c r="AY41" s="417">
        <v>0</v>
      </c>
      <c r="AZ41" s="5281"/>
      <c r="BA41" s="1066">
        <f t="shared" ref="BA41" si="133">+AY41+AU41+AQ41</f>
        <v>8628.5</v>
      </c>
      <c r="BB41" s="5275"/>
      <c r="BC41" s="1252">
        <f>+AM41+BA41</f>
        <v>37630.6</v>
      </c>
      <c r="BD41" s="5269"/>
      <c r="BE41" s="1879">
        <f>+AW41+AY41</f>
        <v>67702.2</v>
      </c>
    </row>
    <row r="42" spans="1:57" ht="15.75" thickBot="1" x14ac:dyDescent="0.3">
      <c r="B42" s="5288"/>
      <c r="C42" s="42" t="s">
        <v>424</v>
      </c>
      <c r="D42" s="2951"/>
      <c r="E42" s="1039">
        <f>+E41/E$2/24</f>
        <v>9.9956944444444442</v>
      </c>
      <c r="F42" s="5264"/>
      <c r="G42" s="1039">
        <f>+G41/G$2/24</f>
        <v>7.5913978494623651</v>
      </c>
      <c r="H42" s="5311"/>
      <c r="I42" s="1056">
        <f>+I41/I$2/24</f>
        <v>8.7738387978142072</v>
      </c>
      <c r="J42" s="5316"/>
      <c r="K42" s="1039">
        <f>+K41/K$2/24</f>
        <v>8.0940277777777769</v>
      </c>
      <c r="L42" s="5318"/>
      <c r="M42" s="1935">
        <f>+M41/M$2/24</f>
        <v>8.5497252747252741</v>
      </c>
      <c r="N42" s="5265"/>
      <c r="O42" s="1909">
        <f>+O41/O$2/24</f>
        <v>2.2698924731182797</v>
      </c>
      <c r="P42" s="5269"/>
      <c r="Q42" s="1878">
        <f>+Q41/Q$2/24</f>
        <v>6.9540300546448082</v>
      </c>
      <c r="R42" s="5265"/>
      <c r="S42" s="1909">
        <f>+S41/S$2/24</f>
        <v>0</v>
      </c>
      <c r="T42" s="5269"/>
      <c r="U42" s="1878">
        <f>+U41/U$2/24</f>
        <v>5.5450435729847491</v>
      </c>
      <c r="V42" s="5265"/>
      <c r="W42" s="1909">
        <f>+W41/W$2/24</f>
        <v>13.486388888888889</v>
      </c>
      <c r="X42" s="5281"/>
      <c r="Y42" s="1065">
        <f>+Y41/Y$2/24</f>
        <v>5.1625905797101455</v>
      </c>
      <c r="Z42" s="5275"/>
      <c r="AA42" s="1251">
        <f>+AA41/AA$2/24</f>
        <v>6.8469034608378863</v>
      </c>
      <c r="AB42" s="5265"/>
      <c r="AC42" s="1909">
        <f>+AC41/AC$2/24</f>
        <v>14.40201612903226</v>
      </c>
      <c r="AD42" s="5269"/>
      <c r="AE42" s="1878">
        <f>+AE41/AE$2/24</f>
        <v>7.9413356697819308</v>
      </c>
      <c r="AF42" s="5265"/>
      <c r="AG42" s="1909">
        <f>+AG41/AG$2/24</f>
        <v>11.892499999999998</v>
      </c>
      <c r="AH42" s="5269"/>
      <c r="AI42" s="1878">
        <f>+AI41/AI$2/24</f>
        <v>8.4271345628415286</v>
      </c>
      <c r="AJ42" s="5265"/>
      <c r="AK42" s="1909">
        <f>+AK41/AK$2/24</f>
        <v>13.070430107526882</v>
      </c>
      <c r="AL42" s="5281"/>
      <c r="AM42" s="1065">
        <f>+AM41/AM$2/24</f>
        <v>13.135009057971013</v>
      </c>
      <c r="AN42" s="5269"/>
      <c r="AO42" s="1878">
        <f>+AO41/AO$2/24</f>
        <v>8.9505606060606056</v>
      </c>
      <c r="AP42" s="5265"/>
      <c r="AQ42" s="1909">
        <f>+AQ41/AQ$2/24</f>
        <v>8.8295698924731187</v>
      </c>
      <c r="AR42" s="5269"/>
      <c r="AS42" s="1878">
        <f>+AS41/AS$2/24</f>
        <v>8.9383033769063172</v>
      </c>
      <c r="AT42" s="5265"/>
      <c r="AU42" s="1909">
        <f>+AU41/AU$2/24</f>
        <v>3.0644345238095241</v>
      </c>
      <c r="AV42" s="5269"/>
      <c r="AW42" s="1878">
        <f>+AW41/AW$2/24</f>
        <v>8.4458832335329337</v>
      </c>
      <c r="AX42" s="5265"/>
      <c r="AY42" s="1909">
        <f>+AY41/AY$2/24</f>
        <v>0</v>
      </c>
      <c r="AZ42" s="5281"/>
      <c r="BA42" s="1065">
        <f>+BA41/BA$2/24</f>
        <v>3.9946759259259257</v>
      </c>
      <c r="BB42" s="5275"/>
      <c r="BC42" s="1251">
        <f>+BC41/BC$2/24</f>
        <v>8.6150641025641033</v>
      </c>
      <c r="BD42" s="5269"/>
      <c r="BE42" s="1878">
        <f>+BE41/BE$2/24</f>
        <v>7.7285616438356159</v>
      </c>
    </row>
    <row r="43" spans="1:57" ht="18.75" x14ac:dyDescent="0.25">
      <c r="B43" s="5294" t="s">
        <v>504</v>
      </c>
      <c r="C43" s="88" t="s">
        <v>436</v>
      </c>
      <c r="D43" s="2952">
        <f>+D44*D2*24</f>
        <v>22431.175985116191</v>
      </c>
      <c r="E43" s="1029">
        <f>+E37+E39+E41</f>
        <v>17150.400000000001</v>
      </c>
      <c r="F43" s="2952">
        <f>+F44*F2*24</f>
        <v>23318.209983988607</v>
      </c>
      <c r="G43" s="1042">
        <f>+G37+G39+G41</f>
        <v>21328.5</v>
      </c>
      <c r="H43" s="1880">
        <f>+D43+F43</f>
        <v>45749.385969104798</v>
      </c>
      <c r="I43" s="1057">
        <f>+E43+G43</f>
        <v>38478.9</v>
      </c>
      <c r="J43" s="2953">
        <f>+J44*J2*24</f>
        <v>25920</v>
      </c>
      <c r="K43" s="1042">
        <f>+K37+K39+K41</f>
        <v>23496.2</v>
      </c>
      <c r="L43" s="1937">
        <f>+H43+J43</f>
        <v>71669.385969104798</v>
      </c>
      <c r="M43" s="1937">
        <f>+I43+K43</f>
        <v>61975.100000000006</v>
      </c>
      <c r="N43" s="2952">
        <f>+N44*N2*24</f>
        <v>26784</v>
      </c>
      <c r="O43" s="1042">
        <f>+O37+O39+O41</f>
        <v>24618.899999999998</v>
      </c>
      <c r="P43" s="2954">
        <f>+L43+N43</f>
        <v>98453.385969104798</v>
      </c>
      <c r="Q43" s="1880">
        <f>+M43+O43</f>
        <v>86594</v>
      </c>
      <c r="R43" s="2952">
        <f>+R44*R2*24</f>
        <v>26710.856098273733</v>
      </c>
      <c r="S43" s="1042">
        <f>+S37+S39+S41</f>
        <v>26596.799999999999</v>
      </c>
      <c r="T43" s="2954">
        <f>+P43+R43</f>
        <v>125164.24206737854</v>
      </c>
      <c r="U43" s="1880">
        <f>+Q43+S43</f>
        <v>113190.8</v>
      </c>
      <c r="V43" s="2952">
        <f>+V44*V2*24</f>
        <v>25875.80750735425</v>
      </c>
      <c r="W43" s="1042">
        <f>+W37+W39+W41</f>
        <v>24594.600000000002</v>
      </c>
      <c r="X43" s="2955">
        <f>+V43+R43+N43</f>
        <v>79370.663605627982</v>
      </c>
      <c r="Y43" s="1067">
        <f>+O43+S43+W43</f>
        <v>75810.3</v>
      </c>
      <c r="Z43" s="2956">
        <f>+T43+V43</f>
        <v>151040.04957473278</v>
      </c>
      <c r="AA43" s="1253">
        <f>+U43+W43</f>
        <v>137785.4</v>
      </c>
      <c r="AB43" s="2952">
        <f>+AB44*AB2*24</f>
        <v>26784</v>
      </c>
      <c r="AC43" s="1042">
        <f>+AC37+AC39+AC41</f>
        <v>26639.4</v>
      </c>
      <c r="AD43" s="2954">
        <f>+Z43+AB43</f>
        <v>177824.04957473278</v>
      </c>
      <c r="AE43" s="1880">
        <f>+AA43+AC43</f>
        <v>164424.79999999999</v>
      </c>
      <c r="AF43" s="2952">
        <f>+AF44*AF2*24</f>
        <v>25920</v>
      </c>
      <c r="AG43" s="1042">
        <f>+AG37+AG39+AG41</f>
        <v>26373.700000000033</v>
      </c>
      <c r="AH43" s="2954">
        <f>+AD43+AF43</f>
        <v>203744.04957473278</v>
      </c>
      <c r="AI43" s="1880">
        <f>+AE43+AG43</f>
        <v>190798.50000000003</v>
      </c>
      <c r="AJ43" s="2952">
        <f>+AJ44*AJ2*24</f>
        <v>26784</v>
      </c>
      <c r="AK43" s="1042">
        <f>+AK37+AK39+AK41</f>
        <v>27674</v>
      </c>
      <c r="AL43" s="2955">
        <f>+AJ43+AF43+AB43</f>
        <v>79488</v>
      </c>
      <c r="AM43" s="1067">
        <f>+AC43+AG43+AK43</f>
        <v>80687.100000000035</v>
      </c>
      <c r="AN43" s="2954">
        <f>+AH43+AJ43</f>
        <v>230528.04957473278</v>
      </c>
      <c r="AO43" s="1880">
        <f>+AI43+AK43</f>
        <v>218472.50000000003</v>
      </c>
      <c r="AP43" s="2952">
        <f>+AP44*AP2*24</f>
        <v>26784</v>
      </c>
      <c r="AQ43" s="1042">
        <f>+AQ37+AQ39+AQ41</f>
        <v>28843.5</v>
      </c>
      <c r="AR43" s="2954">
        <f>+AN43+AP43</f>
        <v>257312.04957473278</v>
      </c>
      <c r="AS43" s="1880">
        <f>+AO43+AQ43</f>
        <v>247316.00000000003</v>
      </c>
      <c r="AT43" s="2952">
        <f>+AT44*AT2*24</f>
        <v>23579.993958279505</v>
      </c>
      <c r="AU43" s="1042">
        <f>+AU37+AU39+AU41</f>
        <v>12563.2</v>
      </c>
      <c r="AV43" s="2954">
        <f>+AR43+AT43</f>
        <v>280892.04353301227</v>
      </c>
      <c r="AW43" s="1880">
        <f>+AS43+AU43</f>
        <v>259879.20000000004</v>
      </c>
      <c r="AX43" s="2952">
        <f>+AX44*AX2*24</f>
        <v>26784</v>
      </c>
      <c r="AY43" s="1042">
        <f>+AY37+AY39+AY41</f>
        <v>8937.5999999999985</v>
      </c>
      <c r="AZ43" s="2955">
        <f>+AX43+AT43+AP43</f>
        <v>77147.993958279505</v>
      </c>
      <c r="BA43" s="1067">
        <f>+AQ43+AU43+AY43</f>
        <v>50344.299999999996</v>
      </c>
      <c r="BB43" s="2956">
        <f>+AL43+AZ43</f>
        <v>156635.99395827949</v>
      </c>
      <c r="BC43" s="1253">
        <f>+AM43+BA43</f>
        <v>131031.40000000002</v>
      </c>
      <c r="BD43" s="2954">
        <f>+AV43+AX43</f>
        <v>307676.04353301227</v>
      </c>
      <c r="BE43" s="1880">
        <f>+AW43+AY43</f>
        <v>268816.80000000005</v>
      </c>
    </row>
    <row r="44" spans="1:57" ht="19.5" thickBot="1" x14ac:dyDescent="0.3">
      <c r="B44" s="5295"/>
      <c r="C44" s="43" t="s">
        <v>424</v>
      </c>
      <c r="D44" s="2957">
        <v>31.154411090439154</v>
      </c>
      <c r="E44" s="1040">
        <f>+E43/E$2/24</f>
        <v>23.820000000000004</v>
      </c>
      <c r="F44" s="2957">
        <v>31.341680086006196</v>
      </c>
      <c r="G44" s="1040">
        <f>+G43/G$2/24</f>
        <v>28.66733870967742</v>
      </c>
      <c r="H44" s="2958">
        <f>+H43/(H2*24)</f>
        <v>31.249580579989615</v>
      </c>
      <c r="I44" s="1058">
        <f>+I43/I$2/24</f>
        <v>26.283401639344262</v>
      </c>
      <c r="J44" s="2959">
        <v>36</v>
      </c>
      <c r="K44" s="1040">
        <f>+K43/K$2/24</f>
        <v>32.633611111111115</v>
      </c>
      <c r="L44" s="2960">
        <f>+L43/(L2*24)</f>
        <v>32.815652916256774</v>
      </c>
      <c r="M44" s="1938">
        <f>+M43/M$2/24</f>
        <v>28.37687728937729</v>
      </c>
      <c r="N44" s="2957">
        <v>36</v>
      </c>
      <c r="O44" s="1040">
        <f>+O43/O$2/24</f>
        <v>33.089919354838706</v>
      </c>
      <c r="P44" s="2961">
        <f>+P43/(P2*24)</f>
        <v>33.624790289994806</v>
      </c>
      <c r="Q44" s="1881">
        <f>+Q43/Q$2/24</f>
        <v>29.574453551912569</v>
      </c>
      <c r="R44" s="2962">
        <v>35.901688304131362</v>
      </c>
      <c r="S44" s="1040">
        <f>+S43/S$2/24</f>
        <v>35.748387096774188</v>
      </c>
      <c r="T44" s="2961">
        <f>+T43/(T2*24)</f>
        <v>34.086122567368882</v>
      </c>
      <c r="U44" s="1881">
        <f>+U43/U$2/24</f>
        <v>30.82538126361656</v>
      </c>
      <c r="V44" s="2962">
        <v>35.938621537992013</v>
      </c>
      <c r="W44" s="1040">
        <f>+W43/W$2/24</f>
        <v>34.159166666666671</v>
      </c>
      <c r="X44" s="2963">
        <f>+X43/(X2*24)</f>
        <v>35.946858517041662</v>
      </c>
      <c r="Y44" s="1068">
        <f>+Y43/Y$2/24</f>
        <v>34.334375000000001</v>
      </c>
      <c r="Z44" s="2964">
        <f>+Z43/(Z2*24)</f>
        <v>34.389810923208742</v>
      </c>
      <c r="AA44" s="1254">
        <f>+AA43/AA$2/24</f>
        <v>31.371903460837885</v>
      </c>
      <c r="AB44" s="2962">
        <v>36</v>
      </c>
      <c r="AC44" s="1040">
        <f>+AC43/AC$2/24</f>
        <v>35.805645161290322</v>
      </c>
      <c r="AD44" s="2961">
        <f>+AD43/(AD2*24)</f>
        <v>34.623062611902803</v>
      </c>
      <c r="AE44" s="1881">
        <f>+AE43/AE$2/24</f>
        <v>32.014174454828655</v>
      </c>
      <c r="AF44" s="2962">
        <v>36</v>
      </c>
      <c r="AG44" s="1040">
        <f>+AG43/AG$2/24</f>
        <v>36.630138888888936</v>
      </c>
      <c r="AH44" s="2961">
        <f>+AH43/(AH2*24)</f>
        <v>34.792358192406553</v>
      </c>
      <c r="AI44" s="1881">
        <f>+AI43/AI$2/24</f>
        <v>32.581711065573778</v>
      </c>
      <c r="AJ44" s="2962">
        <v>36</v>
      </c>
      <c r="AK44" s="1040">
        <f>+AK43/AK$2/24</f>
        <v>37.196236559139784</v>
      </c>
      <c r="AL44" s="2963">
        <f>+AL43/(AL2*24)</f>
        <v>36</v>
      </c>
      <c r="AM44" s="1068">
        <f>+AM43/AM$2/24</f>
        <v>36.543070652173931</v>
      </c>
      <c r="AN44" s="2961">
        <f>+AN43/(AN2*24)</f>
        <v>34.928492359807997</v>
      </c>
      <c r="AO44" s="1881">
        <f>+AO43/AO$2/24</f>
        <v>33.101893939393939</v>
      </c>
      <c r="AP44" s="2962">
        <v>36</v>
      </c>
      <c r="AQ44" s="1040">
        <f>+AQ43/AQ$2/24</f>
        <v>38.76814516129032</v>
      </c>
      <c r="AR44" s="2961">
        <f>+AR43/(AR2*24)</f>
        <v>35.037043787409146</v>
      </c>
      <c r="AS44" s="1881">
        <f>+AS43/AS$2/24</f>
        <v>33.675925925925931</v>
      </c>
      <c r="AT44" s="2962">
        <v>35.089276723630221</v>
      </c>
      <c r="AU44" s="1040">
        <f>+AU43/AU$2/24</f>
        <v>18.695238095238096</v>
      </c>
      <c r="AV44" s="2961">
        <f>+AV43/(AV2*24)</f>
        <v>35.041422596433669</v>
      </c>
      <c r="AW44" s="1881">
        <f>+AW43/AW$2/24</f>
        <v>32.420059880239528</v>
      </c>
      <c r="AX44" s="2962">
        <v>36</v>
      </c>
      <c r="AY44" s="1040">
        <f>+AY43/AY$2/24</f>
        <v>12.012903225806449</v>
      </c>
      <c r="AZ44" s="2963">
        <f>+AZ43/(AZ2*24)</f>
        <v>35.716663869573843</v>
      </c>
      <c r="BA44" s="1068">
        <f>+BA43/BA$2/24</f>
        <v>23.307546296296294</v>
      </c>
      <c r="BB44" s="2964">
        <f>+BB43/(BB2*24)</f>
        <v>35.859888726712335</v>
      </c>
      <c r="BC44" s="1254">
        <f>+BC43/BC$2/24</f>
        <v>29.998031135531139</v>
      </c>
      <c r="BD44" s="2961">
        <f>+BD43/(BD2*24)</f>
        <v>35.12283601975026</v>
      </c>
      <c r="BE44" s="1881">
        <f>+BE43/BE$2/24</f>
        <v>30.6868493150685</v>
      </c>
    </row>
    <row r="45" spans="1:57" x14ac:dyDescent="0.25">
      <c r="B45" s="5293" t="s">
        <v>440</v>
      </c>
      <c r="C45" s="54" t="s">
        <v>436</v>
      </c>
      <c r="D45" s="2965">
        <f>+D46*D2*24</f>
        <v>0</v>
      </c>
      <c r="E45" s="2417">
        <v>0</v>
      </c>
      <c r="F45" s="2965">
        <f>+F46*F2*24</f>
        <v>0</v>
      </c>
      <c r="G45" s="1043">
        <v>0</v>
      </c>
      <c r="H45" s="2265">
        <f>+D45+F45</f>
        <v>0</v>
      </c>
      <c r="I45" s="933">
        <f>+E45+G45</f>
        <v>0</v>
      </c>
      <c r="J45" s="2484">
        <f>+J46*J2*24</f>
        <v>0</v>
      </c>
      <c r="K45" s="1043">
        <v>0</v>
      </c>
      <c r="L45" s="2266">
        <f>+H45+J45</f>
        <v>0</v>
      </c>
      <c r="M45" s="1936">
        <f>+I45+K45</f>
        <v>0</v>
      </c>
      <c r="N45" s="2965">
        <f>+N46*N2*24</f>
        <v>0</v>
      </c>
      <c r="O45" s="1043">
        <v>0</v>
      </c>
      <c r="P45" s="1874">
        <f>+L45+N45</f>
        <v>0</v>
      </c>
      <c r="Q45" s="1879">
        <f>+M45+O45</f>
        <v>0</v>
      </c>
      <c r="R45" s="2965">
        <f>+R46*R2*24</f>
        <v>0</v>
      </c>
      <c r="S45" s="1043">
        <v>0</v>
      </c>
      <c r="T45" s="1874">
        <f>+P45+R45</f>
        <v>0</v>
      </c>
      <c r="U45" s="1879">
        <f>+Q45+S45</f>
        <v>0</v>
      </c>
      <c r="V45" s="2965">
        <f>+V46*V2*24</f>
        <v>0</v>
      </c>
      <c r="W45" s="1043">
        <v>0</v>
      </c>
      <c r="X45" s="1931">
        <f t="shared" ref="X45" si="134">+V45+R45+N45</f>
        <v>0</v>
      </c>
      <c r="Y45" s="1066">
        <f t="shared" ref="Y45" si="135">+W45+S45+O45</f>
        <v>0</v>
      </c>
      <c r="Z45" s="2272">
        <f>+T45+V45</f>
        <v>0</v>
      </c>
      <c r="AA45" s="1252">
        <f>+U45+W45</f>
        <v>0</v>
      </c>
      <c r="AB45" s="2965">
        <f>+AB46*AB2*24</f>
        <v>0</v>
      </c>
      <c r="AC45" s="1043">
        <v>0</v>
      </c>
      <c r="AD45" s="1874">
        <f>+Z45+AB45</f>
        <v>0</v>
      </c>
      <c r="AE45" s="1879">
        <f>+AA45+AC45</f>
        <v>0</v>
      </c>
      <c r="AF45" s="2965">
        <f>+AF46*AF2*24</f>
        <v>0</v>
      </c>
      <c r="AG45" s="1043">
        <v>0</v>
      </c>
      <c r="AH45" s="1874">
        <f>+AD45+AF45</f>
        <v>0</v>
      </c>
      <c r="AI45" s="1879">
        <f>+AE45+AG45</f>
        <v>0</v>
      </c>
      <c r="AJ45" s="2965">
        <f>+AJ46*AJ2*24</f>
        <v>0</v>
      </c>
      <c r="AK45" s="1043">
        <v>0</v>
      </c>
      <c r="AL45" s="1931">
        <f t="shared" ref="AL45" si="136">+AJ45+AF45+AB45</f>
        <v>0</v>
      </c>
      <c r="AM45" s="1066">
        <f t="shared" ref="AM45" si="137">+AK45+AG45+AC45</f>
        <v>0</v>
      </c>
      <c r="AN45" s="1874">
        <f>+AH45+AJ45</f>
        <v>0</v>
      </c>
      <c r="AO45" s="1879">
        <f>+AI45+AK45</f>
        <v>0</v>
      </c>
      <c r="AP45" s="2965">
        <f>+AP46*AP2*24</f>
        <v>0</v>
      </c>
      <c r="AQ45" s="1043">
        <v>0</v>
      </c>
      <c r="AR45" s="1874">
        <f>+AN45+AP45</f>
        <v>0</v>
      </c>
      <c r="AS45" s="1879">
        <f>+AO45+AQ45</f>
        <v>0</v>
      </c>
      <c r="AT45" s="2965">
        <f>+AT46*AT2*24</f>
        <v>0</v>
      </c>
      <c r="AU45" s="1043">
        <v>0</v>
      </c>
      <c r="AV45" s="1874">
        <f>+AR45+AT45</f>
        <v>0</v>
      </c>
      <c r="AW45" s="1879">
        <f>+AS45+AU45</f>
        <v>0</v>
      </c>
      <c r="AX45" s="2965">
        <f>+AX46*AX2*24</f>
        <v>0</v>
      </c>
      <c r="AY45" s="1043">
        <v>0</v>
      </c>
      <c r="AZ45" s="1931">
        <f t="shared" ref="AZ45" si="138">+AX45+AT45+AP45</f>
        <v>0</v>
      </c>
      <c r="BA45" s="1066">
        <f t="shared" ref="BA45" si="139">+AY45+AU45+AQ45</f>
        <v>0</v>
      </c>
      <c r="BB45" s="2272">
        <f>+AL45+AZ45</f>
        <v>0</v>
      </c>
      <c r="BC45" s="1252">
        <f>+AM45+BA45</f>
        <v>0</v>
      </c>
      <c r="BD45" s="1874">
        <f>+AV45+AX45</f>
        <v>0</v>
      </c>
      <c r="BE45" s="1879">
        <f>+AW45+AY45</f>
        <v>0</v>
      </c>
    </row>
    <row r="46" spans="1:57" x14ac:dyDescent="0.25">
      <c r="B46" s="5287"/>
      <c r="C46" s="41" t="s">
        <v>424</v>
      </c>
      <c r="D46" s="2966">
        <v>0</v>
      </c>
      <c r="E46" s="512">
        <f>+E45/E$2/24</f>
        <v>0</v>
      </c>
      <c r="F46" s="2967">
        <v>0</v>
      </c>
      <c r="G46" s="512">
        <f>+G45/G$2/24</f>
        <v>0</v>
      </c>
      <c r="H46" s="1882">
        <f>+H45/(H$2*24)</f>
        <v>0</v>
      </c>
      <c r="I46" s="1059">
        <f>+I45/I$2/24</f>
        <v>0</v>
      </c>
      <c r="J46" s="2968">
        <v>0</v>
      </c>
      <c r="K46" s="512">
        <f>+K45/K$2/24</f>
        <v>0</v>
      </c>
      <c r="L46" s="1939">
        <f>+L45/(L$2*24)</f>
        <v>0</v>
      </c>
      <c r="M46" s="1939">
        <f>+M45/M$2/24</f>
        <v>0</v>
      </c>
      <c r="N46" s="2967">
        <v>0</v>
      </c>
      <c r="O46" s="1910">
        <f>+O45/O$2/24</f>
        <v>0</v>
      </c>
      <c r="P46" s="2969">
        <f>+P45/(P$2*24)</f>
        <v>0</v>
      </c>
      <c r="Q46" s="1882">
        <f>+Q45/Q$2/24</f>
        <v>0</v>
      </c>
      <c r="R46" s="2967">
        <v>0</v>
      </c>
      <c r="S46" s="1910">
        <f>+S45/S$2/24</f>
        <v>0</v>
      </c>
      <c r="T46" s="2969">
        <f>+T45/(T$2*24)</f>
        <v>0</v>
      </c>
      <c r="U46" s="1882">
        <f>+U45/U$2/24</f>
        <v>0</v>
      </c>
      <c r="V46" s="2967">
        <v>0</v>
      </c>
      <c r="W46" s="1910">
        <f>+W45/W$2/24</f>
        <v>0</v>
      </c>
      <c r="X46" s="2970">
        <f>+X45/(X$2*24)</f>
        <v>0</v>
      </c>
      <c r="Y46" s="1069">
        <f>+Y45/Y$2/24</f>
        <v>0</v>
      </c>
      <c r="Z46" s="2971">
        <f>+Z45/(Z$2*24)</f>
        <v>0</v>
      </c>
      <c r="AA46" s="1255">
        <f>+AA45/AA$2/24</f>
        <v>0</v>
      </c>
      <c r="AB46" s="2967">
        <v>0</v>
      </c>
      <c r="AC46" s="1910">
        <f>+AC45/AC$2/24</f>
        <v>0</v>
      </c>
      <c r="AD46" s="2969">
        <f>+AD45/(AD$2*24)</f>
        <v>0</v>
      </c>
      <c r="AE46" s="1882">
        <f>+AE45/AE$2/24</f>
        <v>0</v>
      </c>
      <c r="AF46" s="2967">
        <v>0</v>
      </c>
      <c r="AG46" s="1910">
        <f>+AG45/AG$2/24</f>
        <v>0</v>
      </c>
      <c r="AH46" s="2969">
        <f>+AH45/(AH$2*24)</f>
        <v>0</v>
      </c>
      <c r="AI46" s="1882">
        <f>+AI45/AI$2/24</f>
        <v>0</v>
      </c>
      <c r="AJ46" s="2967">
        <v>0</v>
      </c>
      <c r="AK46" s="1910">
        <f>+AK45/AK$2/24</f>
        <v>0</v>
      </c>
      <c r="AL46" s="2970">
        <f>+AL45/(AL$2*24)</f>
        <v>0</v>
      </c>
      <c r="AM46" s="1069">
        <f>+AM45/AM$2/24</f>
        <v>0</v>
      </c>
      <c r="AN46" s="2969">
        <f>+AN45/(AN$2*24)</f>
        <v>0</v>
      </c>
      <c r="AO46" s="1882">
        <f>+AO45/AO$2/24</f>
        <v>0</v>
      </c>
      <c r="AP46" s="2967">
        <v>0</v>
      </c>
      <c r="AQ46" s="1910">
        <f>+AQ45/AQ$2/24</f>
        <v>0</v>
      </c>
      <c r="AR46" s="2969">
        <f>+AR45/(AR$2*24)</f>
        <v>0</v>
      </c>
      <c r="AS46" s="1882">
        <f>+AS45/AS$2/24</f>
        <v>0</v>
      </c>
      <c r="AT46" s="2967">
        <v>0</v>
      </c>
      <c r="AU46" s="1910">
        <f>+AU45/AU$2/24</f>
        <v>0</v>
      </c>
      <c r="AV46" s="2969">
        <f>+AV45/(AV$2*24)</f>
        <v>0</v>
      </c>
      <c r="AW46" s="1882">
        <f>+AW45/AW$2/24</f>
        <v>0</v>
      </c>
      <c r="AX46" s="2967">
        <v>0</v>
      </c>
      <c r="AY46" s="1910">
        <f>+AY45/AY$2/24</f>
        <v>0</v>
      </c>
      <c r="AZ46" s="2970">
        <f>+AZ45/(AZ$2*24)</f>
        <v>0</v>
      </c>
      <c r="BA46" s="1069">
        <f>+BA45/BA$2/24</f>
        <v>0</v>
      </c>
      <c r="BB46" s="2971">
        <f>+BB45/(BB$2*24)</f>
        <v>0</v>
      </c>
      <c r="BC46" s="1255">
        <f>+BC45/BC$2/24</f>
        <v>0</v>
      </c>
      <c r="BD46" s="2969">
        <f>+BD45/(BD$2*24)</f>
        <v>0</v>
      </c>
      <c r="BE46" s="1882">
        <f>+BE45/BE$2/24</f>
        <v>0</v>
      </c>
    </row>
    <row r="47" spans="1:57" x14ac:dyDescent="0.25">
      <c r="B47" s="5287" t="s">
        <v>441</v>
      </c>
      <c r="C47" s="40" t="s">
        <v>436</v>
      </c>
      <c r="D47" s="2972">
        <f>+D48*D2*24</f>
        <v>4892.2222222215996</v>
      </c>
      <c r="E47" s="475">
        <v>4594.7</v>
      </c>
      <c r="F47" s="2972">
        <f>+F48*F2*24</f>
        <v>5905.9259259254486</v>
      </c>
      <c r="G47" s="629">
        <v>3919.4</v>
      </c>
      <c r="H47" s="2265">
        <f>+D47+F47</f>
        <v>10798.148148147047</v>
      </c>
      <c r="I47" s="933">
        <f>+E47+G47</f>
        <v>8514.1</v>
      </c>
      <c r="J47" s="2973">
        <f>+J48*J2*24</f>
        <v>9548.9041666666672</v>
      </c>
      <c r="K47" s="629">
        <v>8907</v>
      </c>
      <c r="L47" s="2266">
        <f>+H47+J47</f>
        <v>20347.052314813714</v>
      </c>
      <c r="M47" s="1936">
        <f>+I47+K47</f>
        <v>17421.099999999999</v>
      </c>
      <c r="N47" s="2972">
        <f>+N48*N2*24</f>
        <v>9872.5958333333328</v>
      </c>
      <c r="O47" s="629">
        <v>8691.7000000000007</v>
      </c>
      <c r="P47" s="1874">
        <f>+L47+N47</f>
        <v>30219.648148147047</v>
      </c>
      <c r="Q47" s="1879">
        <f>+M47+O47</f>
        <v>26112.799999999999</v>
      </c>
      <c r="R47" s="2972">
        <f>+R48*R2*24</f>
        <v>9872.5958333333328</v>
      </c>
      <c r="S47" s="629">
        <v>9198.1</v>
      </c>
      <c r="T47" s="1874">
        <f>+P47+R47</f>
        <v>40092.24398148038</v>
      </c>
      <c r="U47" s="1879">
        <f>+Q47+S47</f>
        <v>35310.9</v>
      </c>
      <c r="V47" s="2972">
        <f>+V48*V2*24</f>
        <v>9602.25</v>
      </c>
      <c r="W47" s="629">
        <v>8955.2999999999993</v>
      </c>
      <c r="X47" s="1931">
        <f t="shared" ref="X47" si="140">+V47+R47+N47</f>
        <v>29347.441666666666</v>
      </c>
      <c r="Y47" s="1066">
        <f t="shared" ref="Y47" si="141">+W47+S47+O47</f>
        <v>26845.100000000002</v>
      </c>
      <c r="Z47" s="2272">
        <f>+T47+V47</f>
        <v>49694.49398148038</v>
      </c>
      <c r="AA47" s="1252">
        <f>+U47+W47</f>
        <v>44266.2</v>
      </c>
      <c r="AB47" s="2972">
        <f>+AB48*AB2*24</f>
        <v>9927.75</v>
      </c>
      <c r="AC47" s="629">
        <v>9825.1</v>
      </c>
      <c r="AD47" s="1874">
        <f>+Z47+AB47</f>
        <v>59622.24398148038</v>
      </c>
      <c r="AE47" s="1879">
        <f>+AA47+AC47</f>
        <v>54091.299999999996</v>
      </c>
      <c r="AF47" s="2972">
        <f>+AF48*AF2*24</f>
        <v>9602.25</v>
      </c>
      <c r="AG47" s="629">
        <v>8516.8000000000466</v>
      </c>
      <c r="AH47" s="1874">
        <f>+AD47+AF47</f>
        <v>69224.49398148038</v>
      </c>
      <c r="AI47" s="1879">
        <f>+AE47+AG47</f>
        <v>62608.100000000042</v>
      </c>
      <c r="AJ47" s="2972">
        <f>+AJ48*AJ2*24</f>
        <v>9927.75</v>
      </c>
      <c r="AK47" s="629">
        <v>8988.2999999999993</v>
      </c>
      <c r="AL47" s="1931">
        <f t="shared" ref="AL47" si="142">+AJ47+AF47+AB47</f>
        <v>29457.75</v>
      </c>
      <c r="AM47" s="1066">
        <f t="shared" ref="AM47" si="143">+AK47+AG47+AC47</f>
        <v>27330.200000000048</v>
      </c>
      <c r="AN47" s="1874">
        <f>+AH47+AJ47</f>
        <v>79152.24398148038</v>
      </c>
      <c r="AO47" s="1879">
        <f>+AI47+AK47</f>
        <v>71596.400000000038</v>
      </c>
      <c r="AP47" s="2972">
        <f>+AP48*AP2*24</f>
        <v>9927.75</v>
      </c>
      <c r="AQ47" s="629">
        <v>9097.7000000000007</v>
      </c>
      <c r="AR47" s="1874">
        <f>+AN47+AP47</f>
        <v>89079.99398148038</v>
      </c>
      <c r="AS47" s="1879">
        <f>+AO47+AQ47</f>
        <v>80694.100000000035</v>
      </c>
      <c r="AT47" s="2972">
        <f>+AT48*AT2*24</f>
        <v>8797.46009074016</v>
      </c>
      <c r="AU47" s="629">
        <v>7944.1</v>
      </c>
      <c r="AV47" s="1874">
        <f>+AR47+AT47</f>
        <v>97877.454072220542</v>
      </c>
      <c r="AW47" s="1879">
        <f>+AS47+AU47</f>
        <v>88638.200000000041</v>
      </c>
      <c r="AX47" s="2972">
        <f>+AX48*AX2*24</f>
        <v>9927.75</v>
      </c>
      <c r="AY47" s="629">
        <v>9311.2000000000007</v>
      </c>
      <c r="AZ47" s="1931">
        <f t="shared" ref="AZ47" si="144">+AX47+AT47+AP47</f>
        <v>28652.960090740162</v>
      </c>
      <c r="BA47" s="1066">
        <f t="shared" ref="BA47" si="145">+AY47+AU47+AQ47</f>
        <v>26353.000000000004</v>
      </c>
      <c r="BB47" s="2272">
        <f>+AL47+AZ47</f>
        <v>58110.710090740162</v>
      </c>
      <c r="BC47" s="1252">
        <f>+AM47+BA47</f>
        <v>53683.200000000055</v>
      </c>
      <c r="BD47" s="1874">
        <f>+AV47+AX47</f>
        <v>107805.20407222054</v>
      </c>
      <c r="BE47" s="1879">
        <f>+AW47+AY47</f>
        <v>97949.400000000038</v>
      </c>
    </row>
    <row r="48" spans="1:57" ht="15.75" thickBot="1" x14ac:dyDescent="0.3">
      <c r="B48" s="5288"/>
      <c r="C48" s="42" t="s">
        <v>424</v>
      </c>
      <c r="D48" s="2974">
        <v>6.794753086418889</v>
      </c>
      <c r="E48" s="512">
        <f>+E47/E$2/24</f>
        <v>6.3815277777777775</v>
      </c>
      <c r="F48" s="2975">
        <v>7.9380724810825924</v>
      </c>
      <c r="G48" s="512">
        <f>+G47/G$2/24</f>
        <v>5.2680107526881725</v>
      </c>
      <c r="H48" s="1882">
        <f>+H47/(H$2*24)</f>
        <v>7.3757842541988028</v>
      </c>
      <c r="I48" s="1059">
        <f>+I47/I$2/24</f>
        <v>5.8156420765027326</v>
      </c>
      <c r="J48" s="2976">
        <v>13.262366898148148</v>
      </c>
      <c r="K48" s="512">
        <f>+K47/K$2/24</f>
        <v>12.370833333333332</v>
      </c>
      <c r="L48" s="1939">
        <f>+L47/(L$2*24)</f>
        <v>9.3164158950612244</v>
      </c>
      <c r="M48" s="1939">
        <f>+M47/M$2/24</f>
        <v>7.9766941391941382</v>
      </c>
      <c r="N48" s="2975">
        <v>13.269618055555554</v>
      </c>
      <c r="O48" s="1910">
        <f>+O47/O$2/24</f>
        <v>11.682392473118279</v>
      </c>
      <c r="P48" s="2969">
        <f>+P47/(P$2*24)</f>
        <v>10.320918083383555</v>
      </c>
      <c r="Q48" s="1882">
        <f>+Q47/Q$2/24</f>
        <v>8.918306010928962</v>
      </c>
      <c r="R48" s="2975">
        <v>13.269618055555554</v>
      </c>
      <c r="S48" s="1910">
        <f>+S47/S$2/24</f>
        <v>12.363037634408604</v>
      </c>
      <c r="T48" s="2969">
        <f>+T47/(T$2*24)</f>
        <v>10.918367097353045</v>
      </c>
      <c r="U48" s="1882">
        <f>+U47/U$2/24</f>
        <v>9.6162581699346408</v>
      </c>
      <c r="V48" s="2975">
        <v>13.336458333333333</v>
      </c>
      <c r="W48" s="1910">
        <f>+W47/W$2/24</f>
        <v>12.437916666666666</v>
      </c>
      <c r="X48" s="2970">
        <f>+X47/(X$2*24)</f>
        <v>13.291413798309179</v>
      </c>
      <c r="Y48" s="1069">
        <f>+Y47/Y$2/24</f>
        <v>12.158106884057972</v>
      </c>
      <c r="Z48" s="2971">
        <f>+Z47/(Z$2*24)</f>
        <v>11.314775496694075</v>
      </c>
      <c r="AA48" s="1255">
        <f>+AA47/AA$2/24</f>
        <v>10.078825136612021</v>
      </c>
      <c r="AB48" s="2975">
        <v>13.34375</v>
      </c>
      <c r="AC48" s="1910">
        <f>+AC47/AC$2/24</f>
        <v>13.205779569892472</v>
      </c>
      <c r="AD48" s="2969">
        <f>+AD47/(AD$2*24)</f>
        <v>11.6086923639954</v>
      </c>
      <c r="AE48" s="1882">
        <f>+AE47/AE$2/24</f>
        <v>10.531795171339562</v>
      </c>
      <c r="AF48" s="2975">
        <v>13.336458333333333</v>
      </c>
      <c r="AG48" s="1910">
        <f>+AG47/AG$2/24</f>
        <v>11.828888888888955</v>
      </c>
      <c r="AH48" s="2969">
        <f>+AH47/(AH$2*24)</f>
        <v>11.821122606127114</v>
      </c>
      <c r="AI48" s="1882">
        <f>+AI47/AI$2/24</f>
        <v>10.691273907103833</v>
      </c>
      <c r="AJ48" s="2975">
        <v>13.34375</v>
      </c>
      <c r="AK48" s="1910">
        <f>+AK47/AK$2/24</f>
        <v>12.081048387096773</v>
      </c>
      <c r="AL48" s="2970">
        <f>+AL47/(AL$2*24)</f>
        <v>13.341372282608695</v>
      </c>
      <c r="AM48" s="1069">
        <f>+AM47/AM$2/24</f>
        <v>12.377807971014514</v>
      </c>
      <c r="AN48" s="2969">
        <f>+AN47/(AN$2*24)</f>
        <v>11.992764239618239</v>
      </c>
      <c r="AO48" s="1882">
        <f>+AO47/AO$2/24</f>
        <v>10.847939393939399</v>
      </c>
      <c r="AP48" s="2975">
        <v>13.34375</v>
      </c>
      <c r="AQ48" s="1910">
        <f>+AQ47/AQ$2/24</f>
        <v>12.228091397849463</v>
      </c>
      <c r="AR48" s="2969">
        <f>+AR47/(AR$2*24)</f>
        <v>12.129628810114431</v>
      </c>
      <c r="AS48" s="1882">
        <f>+AS47/AS$2/24</f>
        <v>10.987758714596955</v>
      </c>
      <c r="AT48" s="2975">
        <v>13.091458468363333</v>
      </c>
      <c r="AU48" s="1910">
        <f>+AU47/AU$2/24</f>
        <v>11.821577380952382</v>
      </c>
      <c r="AV48" s="2969">
        <f>+AV47/(AV$2*24)</f>
        <v>12.210261236554459</v>
      </c>
      <c r="AW48" s="1882">
        <f>+AW47/AW$2/24</f>
        <v>11.057659680638729</v>
      </c>
      <c r="AX48" s="2975">
        <v>13.34375</v>
      </c>
      <c r="AY48" s="1910">
        <f>+AY47/AY$2/24</f>
        <v>12.515053763440861</v>
      </c>
      <c r="AZ48" s="2970">
        <f>+AZ47/(AZ$2*24)</f>
        <v>13.265259301268593</v>
      </c>
      <c r="BA48" s="1069">
        <f>+BA47/BA$2/24</f>
        <v>12.200462962962964</v>
      </c>
      <c r="BB48" s="2971">
        <f>+BB47/(BB$2*24)</f>
        <v>13.303733995132822</v>
      </c>
      <c r="BC48" s="1255">
        <f>+BC47/BC$2/24</f>
        <v>12.290109890109903</v>
      </c>
      <c r="BD48" s="2969">
        <f>+BD47/(BD$2*24)</f>
        <v>12.306530145230656</v>
      </c>
      <c r="BE48" s="1882">
        <f>+BE47/BE$2/24</f>
        <v>11.181438356164387</v>
      </c>
    </row>
    <row r="49" spans="1:57" ht="15.75" x14ac:dyDescent="0.25">
      <c r="B49" s="5285" t="s">
        <v>445</v>
      </c>
      <c r="C49" s="301" t="s">
        <v>436</v>
      </c>
      <c r="D49" s="1634">
        <f t="shared" ref="D49:M50" si="146">+D43+D45+D47</f>
        <v>27323.398207337792</v>
      </c>
      <c r="E49" s="1634">
        <f t="shared" si="146"/>
        <v>21745.100000000002</v>
      </c>
      <c r="F49" s="1634">
        <f t="shared" si="146"/>
        <v>29224.135909914054</v>
      </c>
      <c r="G49" s="1634">
        <f t="shared" si="146"/>
        <v>25247.9</v>
      </c>
      <c r="H49" s="1634">
        <f t="shared" si="146"/>
        <v>56547.534117251846</v>
      </c>
      <c r="I49" s="1634">
        <f t="shared" si="146"/>
        <v>46993</v>
      </c>
      <c r="J49" s="1634">
        <f t="shared" si="146"/>
        <v>35468.904166666667</v>
      </c>
      <c r="K49" s="1634">
        <f t="shared" si="146"/>
        <v>32403.200000000001</v>
      </c>
      <c r="L49" s="1634">
        <f t="shared" si="146"/>
        <v>92016.438283918513</v>
      </c>
      <c r="M49" s="1883">
        <f t="shared" si="146"/>
        <v>79396.200000000012</v>
      </c>
      <c r="N49" s="1634">
        <f t="shared" ref="N49:Q50" si="147">+N43+N45+N47</f>
        <v>36656.595833333333</v>
      </c>
      <c r="O49" s="1911">
        <f t="shared" si="147"/>
        <v>33310.6</v>
      </c>
      <c r="P49" s="2977">
        <f t="shared" si="147"/>
        <v>128673.03411725184</v>
      </c>
      <c r="Q49" s="1883">
        <f t="shared" si="147"/>
        <v>112706.8</v>
      </c>
      <c r="R49" s="1634">
        <f t="shared" ref="R49:U49" si="148">+R43+R45+R47</f>
        <v>36583.451931607065</v>
      </c>
      <c r="S49" s="1911">
        <f t="shared" si="148"/>
        <v>35794.9</v>
      </c>
      <c r="T49" s="2977">
        <f t="shared" si="148"/>
        <v>165256.4860488589</v>
      </c>
      <c r="U49" s="1883">
        <f t="shared" si="148"/>
        <v>148501.70000000001</v>
      </c>
      <c r="V49" s="1634">
        <f t="shared" ref="V49:W49" si="149">+V43+V45+V47</f>
        <v>35478.05750735425</v>
      </c>
      <c r="W49" s="1911">
        <f t="shared" si="149"/>
        <v>33549.9</v>
      </c>
      <c r="X49" s="2977">
        <f t="shared" ref="X49:AE50" si="150">+X43+X45+X47</f>
        <v>108718.10527229465</v>
      </c>
      <c r="Y49" s="1634">
        <f t="shared" si="150"/>
        <v>102655.40000000001</v>
      </c>
      <c r="Z49" s="1634">
        <f t="shared" si="150"/>
        <v>200734.54355621315</v>
      </c>
      <c r="AA49" s="1634">
        <f t="shared" si="150"/>
        <v>182051.59999999998</v>
      </c>
      <c r="AB49" s="1634">
        <f t="shared" si="150"/>
        <v>36711.75</v>
      </c>
      <c r="AC49" s="1911">
        <f t="shared" si="150"/>
        <v>36464.5</v>
      </c>
      <c r="AD49" s="2977">
        <f t="shared" si="150"/>
        <v>237446.29355621315</v>
      </c>
      <c r="AE49" s="1883">
        <f t="shared" si="150"/>
        <v>218516.09999999998</v>
      </c>
      <c r="AF49" s="1634">
        <f t="shared" ref="AF49:AJ49" si="151">+AF43+AF45+AF47</f>
        <v>35522.25</v>
      </c>
      <c r="AG49" s="1911">
        <f t="shared" si="151"/>
        <v>34890.50000000008</v>
      </c>
      <c r="AH49" s="2977">
        <f t="shared" si="151"/>
        <v>272968.54355621315</v>
      </c>
      <c r="AI49" s="1883">
        <f t="shared" si="151"/>
        <v>253406.60000000006</v>
      </c>
      <c r="AJ49" s="1634">
        <f t="shared" si="151"/>
        <v>36711.75</v>
      </c>
      <c r="AK49" s="1911">
        <f t="shared" ref="AK49:AP50" si="152">+AK43+AK45+AK47</f>
        <v>36662.300000000003</v>
      </c>
      <c r="AL49" s="2977">
        <f t="shared" si="152"/>
        <v>108945.75</v>
      </c>
      <c r="AM49" s="1634">
        <f t="shared" si="152"/>
        <v>108017.30000000008</v>
      </c>
      <c r="AN49" s="2977">
        <f t="shared" si="152"/>
        <v>309680.29355621315</v>
      </c>
      <c r="AO49" s="1883">
        <f t="shared" si="152"/>
        <v>290068.90000000008</v>
      </c>
      <c r="AP49" s="1634">
        <f t="shared" si="152"/>
        <v>36711.75</v>
      </c>
      <c r="AQ49" s="1911">
        <f t="shared" ref="AQ49:AT50" si="153">+AQ43+AQ45+AQ47</f>
        <v>37941.199999999997</v>
      </c>
      <c r="AR49" s="2977">
        <f t="shared" si="153"/>
        <v>346392.04355621315</v>
      </c>
      <c r="AS49" s="1883">
        <f t="shared" si="153"/>
        <v>328010.10000000009</v>
      </c>
      <c r="AT49" s="1634">
        <f t="shared" si="153"/>
        <v>32377.454049019667</v>
      </c>
      <c r="AU49" s="1911">
        <f t="shared" ref="AU49:AX49" si="154">+AU43+AU45+AU47</f>
        <v>20507.300000000003</v>
      </c>
      <c r="AV49" s="2977">
        <f t="shared" si="154"/>
        <v>378769.49760523281</v>
      </c>
      <c r="AW49" s="1883">
        <f t="shared" si="154"/>
        <v>348517.40000000008</v>
      </c>
      <c r="AX49" s="1634">
        <f t="shared" si="154"/>
        <v>36711.75</v>
      </c>
      <c r="AY49" s="1911">
        <f t="shared" ref="AY49:BE50" si="155">+AY43+AY45+AY47</f>
        <v>18248.8</v>
      </c>
      <c r="AZ49" s="2977">
        <f t="shared" si="155"/>
        <v>105800.95404901967</v>
      </c>
      <c r="BA49" s="1634">
        <f t="shared" si="155"/>
        <v>76697.3</v>
      </c>
      <c r="BB49" s="1634">
        <f t="shared" si="155"/>
        <v>214746.70404901967</v>
      </c>
      <c r="BC49" s="1634">
        <f t="shared" si="155"/>
        <v>184714.60000000009</v>
      </c>
      <c r="BD49" s="2977">
        <f t="shared" si="155"/>
        <v>415481.24760523281</v>
      </c>
      <c r="BE49" s="1883">
        <f t="shared" si="155"/>
        <v>366766.20000000007</v>
      </c>
    </row>
    <row r="50" spans="1:57" ht="16.5" thickBot="1" x14ac:dyDescent="0.3">
      <c r="B50" s="5286"/>
      <c r="C50" s="1045" t="s">
        <v>424</v>
      </c>
      <c r="D50" s="2978">
        <f t="shared" si="146"/>
        <v>37.949164176858041</v>
      </c>
      <c r="E50" s="1053">
        <f>+E49/E$2/24</f>
        <v>30.20152777777778</v>
      </c>
      <c r="F50" s="2979">
        <f t="shared" ref="F50" si="156">+F44+F46+F48</f>
        <v>39.279752567088792</v>
      </c>
      <c r="G50" s="1053">
        <f>+G49/G$2/24</f>
        <v>33.935349462365593</v>
      </c>
      <c r="H50" s="2980">
        <f t="shared" si="146"/>
        <v>38.625364834188417</v>
      </c>
      <c r="I50" s="1060">
        <f>+I49/I$2/24</f>
        <v>32.099043715846996</v>
      </c>
      <c r="J50" s="2981">
        <v>49.262366898148144</v>
      </c>
      <c r="K50" s="1053">
        <f>+K49/K$2/24</f>
        <v>45.004444444444452</v>
      </c>
      <c r="L50" s="2982">
        <f t="shared" ref="L50" si="157">+L44+L46+L48</f>
        <v>42.132068811318</v>
      </c>
      <c r="M50" s="1940">
        <f>+M49/M$2/24</f>
        <v>36.353571428571435</v>
      </c>
      <c r="N50" s="2979">
        <v>49.269618055555554</v>
      </c>
      <c r="O50" s="1912">
        <f>+O49/O$2/24</f>
        <v>44.77231182795699</v>
      </c>
      <c r="P50" s="2983">
        <f t="shared" si="147"/>
        <v>43.945708373378359</v>
      </c>
      <c r="Q50" s="1884">
        <f>+Q49/Q$2/24</f>
        <v>38.492759562841535</v>
      </c>
      <c r="R50" s="2979">
        <v>49.171306359686916</v>
      </c>
      <c r="S50" s="1912">
        <f>+S49/S$2/24</f>
        <v>48.111424731182801</v>
      </c>
      <c r="T50" s="2983">
        <f t="shared" ref="T50" si="158">+T44+T46+T48</f>
        <v>45.00448966472193</v>
      </c>
      <c r="U50" s="1884">
        <f>+U49/U$2/24</f>
        <v>40.441639433551202</v>
      </c>
      <c r="V50" s="2979">
        <v>49.275079871325346</v>
      </c>
      <c r="W50" s="1912">
        <f>+W49/W$2/24</f>
        <v>46.597083333333337</v>
      </c>
      <c r="X50" s="2984">
        <f t="shared" ref="X50:Z50" si="159">+X44+X46+X48</f>
        <v>49.238272315350841</v>
      </c>
      <c r="Y50" s="1070">
        <f>+Y49/Y$2/24</f>
        <v>46.492481884057973</v>
      </c>
      <c r="Z50" s="2985">
        <f t="shared" si="159"/>
        <v>45.704586419902817</v>
      </c>
      <c r="AA50" s="1256">
        <f>+AA49/AA$2/24</f>
        <v>41.450728597449903</v>
      </c>
      <c r="AB50" s="2979">
        <v>49.34375</v>
      </c>
      <c r="AC50" s="1912">
        <f>+AC49/AC$2/24</f>
        <v>49.011424731182792</v>
      </c>
      <c r="AD50" s="2983">
        <f t="shared" si="150"/>
        <v>46.231754975898205</v>
      </c>
      <c r="AE50" s="1884">
        <f>+AE49/AE$2/24</f>
        <v>42.545969626168223</v>
      </c>
      <c r="AF50" s="2979">
        <v>49.336458333333333</v>
      </c>
      <c r="AG50" s="1912">
        <f>+AG49/AG$2/24</f>
        <v>48.459027777777891</v>
      </c>
      <c r="AH50" s="2983">
        <f t="shared" ref="AH50" si="160">+AH44+AH46+AH48</f>
        <v>46.613480798533665</v>
      </c>
      <c r="AI50" s="1884">
        <f>+AI49/AI$2/24</f>
        <v>43.272984972677612</v>
      </c>
      <c r="AJ50" s="2979">
        <v>49.34375</v>
      </c>
      <c r="AK50" s="1912">
        <f>+AK49/AK$2/24</f>
        <v>49.277284946236563</v>
      </c>
      <c r="AL50" s="2984">
        <f t="shared" ref="AL50" si="161">+AL44+AL46+AL48</f>
        <v>49.341372282608695</v>
      </c>
      <c r="AM50" s="1070">
        <f>+AM49/AM$2/24</f>
        <v>48.920878623188436</v>
      </c>
      <c r="AN50" s="2983">
        <f t="shared" si="152"/>
        <v>46.921256599426236</v>
      </c>
      <c r="AO50" s="1884">
        <f>+AO49/AO$2/24</f>
        <v>43.949833333333345</v>
      </c>
      <c r="AP50" s="2979">
        <v>49.34375</v>
      </c>
      <c r="AQ50" s="1912">
        <f>+AQ49/AQ$2/24</f>
        <v>50.996236559139781</v>
      </c>
      <c r="AR50" s="2983">
        <f t="shared" si="153"/>
        <v>47.166672597523579</v>
      </c>
      <c r="AS50" s="1884">
        <f>+AS49/AS$2/24</f>
        <v>44.663684640522888</v>
      </c>
      <c r="AT50" s="2979">
        <v>48.180735191993556</v>
      </c>
      <c r="AU50" s="1912">
        <f>+AU49/AU$2/24</f>
        <v>30.516815476190484</v>
      </c>
      <c r="AV50" s="2983">
        <f t="shared" ref="AV50" si="162">+AV44+AV46+AV48</f>
        <v>47.251683832988128</v>
      </c>
      <c r="AW50" s="1884">
        <f>+AW49/AW$2/24</f>
        <v>43.477719560878256</v>
      </c>
      <c r="AX50" s="2979">
        <v>49.34375</v>
      </c>
      <c r="AY50" s="1912">
        <f>+AY49/AY$2/24</f>
        <v>24.527956989247311</v>
      </c>
      <c r="AZ50" s="2984">
        <f t="shared" si="155"/>
        <v>48.981923170842435</v>
      </c>
      <c r="BA50" s="1070">
        <f>+BA49/BA$2/24</f>
        <v>35.508009259259261</v>
      </c>
      <c r="BB50" s="2985">
        <f t="shared" si="155"/>
        <v>49.163622721845158</v>
      </c>
      <c r="BC50" s="1256">
        <f>+BC49/BC$2/24</f>
        <v>42.288141025641046</v>
      </c>
      <c r="BD50" s="2983">
        <f t="shared" si="155"/>
        <v>47.42936616498092</v>
      </c>
      <c r="BE50" s="1884">
        <f>+BE49/BE$2/24</f>
        <v>41.868287671232885</v>
      </c>
    </row>
    <row r="51" spans="1:57" ht="15.75" x14ac:dyDescent="0.25">
      <c r="B51" s="1046" t="s">
        <v>442</v>
      </c>
      <c r="C51" s="529" t="s">
        <v>436</v>
      </c>
      <c r="D51" s="2986">
        <f>+D52*D2*24</f>
        <v>61707.995968132796</v>
      </c>
      <c r="E51" s="1041">
        <f>+'POWER DISTRIBUTION'!J10/1000</f>
        <v>58151</v>
      </c>
      <c r="F51" s="2986">
        <f>+F52*F2*24</f>
        <v>62554.599304045361</v>
      </c>
      <c r="G51" s="1044">
        <f>+'POWER DISTRIBUTION'!L10/1000</f>
        <v>61391</v>
      </c>
      <c r="H51" s="2265">
        <f>+D51+F51</f>
        <v>124262.59527217815</v>
      </c>
      <c r="I51" s="1061">
        <f>+E51+G51</f>
        <v>119542</v>
      </c>
      <c r="J51" s="2987">
        <f>+J52*J2*24</f>
        <v>75006.922881336868</v>
      </c>
      <c r="K51" s="1044">
        <f>73400000/1000</f>
        <v>73400</v>
      </c>
      <c r="L51" s="2266">
        <f>+H51+J51</f>
        <v>199269.518153515</v>
      </c>
      <c r="M51" s="1941">
        <f>+I51+K51</f>
        <v>192942</v>
      </c>
      <c r="N51" s="2986">
        <f>+N52*N2*24</f>
        <v>77570.609477048929</v>
      </c>
      <c r="O51" s="1044">
        <v>74487</v>
      </c>
      <c r="P51" s="1874">
        <f>+L51+N51</f>
        <v>276840.12763056392</v>
      </c>
      <c r="Q51" s="1885">
        <f>+M51+O51</f>
        <v>267429</v>
      </c>
      <c r="R51" s="2986">
        <f>+R52*R2*24</f>
        <v>78209.820654740266</v>
      </c>
      <c r="S51" s="1044">
        <f>72680000/1000</f>
        <v>72680</v>
      </c>
      <c r="T51" s="1874">
        <f>+P51+R51</f>
        <v>355049.94828530418</v>
      </c>
      <c r="U51" s="1885">
        <f>+Q51+S51</f>
        <v>340109</v>
      </c>
      <c r="V51" s="2986">
        <f>+V52*V2*24</f>
        <v>75986.827201788852</v>
      </c>
      <c r="W51" s="1044">
        <f>71293000/1000</f>
        <v>71293</v>
      </c>
      <c r="X51" s="1931">
        <f>+V51+R51+N51</f>
        <v>231767.25733357802</v>
      </c>
      <c r="Y51" s="1071">
        <f t="shared" ref="Y51" si="163">+W51+S51+O51</f>
        <v>218460</v>
      </c>
      <c r="Z51" s="2272">
        <f>+T51+V51</f>
        <v>431036.77548709302</v>
      </c>
      <c r="AA51" s="1257">
        <f>+U51+W51</f>
        <v>411402</v>
      </c>
      <c r="AB51" s="2986">
        <f>+AB52*AB2*24</f>
        <v>78331.887906613643</v>
      </c>
      <c r="AC51" s="1044">
        <f>73429000/1000</f>
        <v>73429</v>
      </c>
      <c r="AD51" s="1874">
        <f>+Z51+AB51</f>
        <v>509368.66339370667</v>
      </c>
      <c r="AE51" s="1885">
        <f>+AA51+AC51</f>
        <v>484831</v>
      </c>
      <c r="AF51" s="2986">
        <f>+AF52*AF2*24</f>
        <v>75942.634709143109</v>
      </c>
      <c r="AG51" s="1044">
        <f>+'POWER DISTRIBUTION'!AL10/1000</f>
        <v>69228</v>
      </c>
      <c r="AH51" s="1874">
        <f>+AD51+AF51</f>
        <v>585311.29810284975</v>
      </c>
      <c r="AI51" s="1885">
        <f>+AE51+AG51</f>
        <v>554059</v>
      </c>
      <c r="AJ51" s="2986">
        <f>+AJ52*AJ2*24</f>
        <v>78331.887906613643</v>
      </c>
      <c r="AK51" s="1044">
        <f>+'POWER DISTRIBUTION'!AP10/1000</f>
        <v>73600</v>
      </c>
      <c r="AL51" s="1931">
        <f>+AJ51+AF51+AB51</f>
        <v>232606.4105223704</v>
      </c>
      <c r="AM51" s="1071">
        <f t="shared" ref="AM51" si="164">+AK51+AG51+AC51</f>
        <v>216257</v>
      </c>
      <c r="AN51" s="1874">
        <f>+AH51+AJ51</f>
        <v>663643.18600946339</v>
      </c>
      <c r="AO51" s="1885">
        <f>+AI51+AK51</f>
        <v>627659</v>
      </c>
      <c r="AP51" s="2986">
        <f>+AP52*AP2*24</f>
        <v>78331.887906613643</v>
      </c>
      <c r="AQ51" s="1044">
        <f>+'POWER DISTRIBUTION'!AV10/1000</f>
        <v>71497</v>
      </c>
      <c r="AR51" s="1874">
        <f>+AN51+AP51</f>
        <v>741975.07391607703</v>
      </c>
      <c r="AS51" s="1885">
        <f>+AO51+AQ51</f>
        <v>699156</v>
      </c>
      <c r="AT51" s="2986">
        <f>+AT52*AT2*24</f>
        <v>71068.083974564841</v>
      </c>
      <c r="AU51" s="1044">
        <f>+'POWER DISTRIBUTION'!AZ10/1000</f>
        <v>76385</v>
      </c>
      <c r="AV51" s="1874">
        <f>+AR51+AT51</f>
        <v>813043.15789064183</v>
      </c>
      <c r="AW51" s="1885">
        <f>+AS51+AU51</f>
        <v>775541</v>
      </c>
      <c r="AX51" s="2986">
        <f>+AX52*AX2*24</f>
        <v>78331.887906613643</v>
      </c>
      <c r="AY51" s="1044">
        <f>+'POWER DISTRIBUTION'!BD10/1000</f>
        <v>91240</v>
      </c>
      <c r="AZ51" s="1931">
        <f>+AX51+AT51+AP51</f>
        <v>227731.85978779214</v>
      </c>
      <c r="BA51" s="1071">
        <f t="shared" ref="BA51" si="165">+AY51+AU51+AQ51</f>
        <v>239122</v>
      </c>
      <c r="BB51" s="2272">
        <f>+AL51+AZ51</f>
        <v>460338.27031016257</v>
      </c>
      <c r="BC51" s="1257">
        <f>+AM51+BA51</f>
        <v>455379</v>
      </c>
      <c r="BD51" s="1874">
        <f>+AV51+AX51</f>
        <v>891375.04579725547</v>
      </c>
      <c r="BE51" s="1885">
        <f>+AW51+AY51</f>
        <v>866781</v>
      </c>
    </row>
    <row r="52" spans="1:57" ht="16.5" thickBot="1" x14ac:dyDescent="0.3">
      <c r="B52" s="1047" t="s">
        <v>443</v>
      </c>
      <c r="C52" s="1048" t="s">
        <v>424</v>
      </c>
      <c r="D52" s="2988">
        <v>85.705549955739997</v>
      </c>
      <c r="E52" s="926">
        <f>+E51/E$2/24</f>
        <v>80.765277777777769</v>
      </c>
      <c r="F52" s="2989">
        <v>84.078762505437311</v>
      </c>
      <c r="G52" s="926">
        <f>+G51/G$2/24</f>
        <v>82.51478494623656</v>
      </c>
      <c r="H52" s="1062">
        <f>+H51/H$2/24</f>
        <v>84.878821907225515</v>
      </c>
      <c r="I52" s="1062">
        <f>+I51/I$2/24</f>
        <v>81.654371584699462</v>
      </c>
      <c r="J52" s="2990">
        <v>104.17628177963454</v>
      </c>
      <c r="K52" s="926">
        <f>+K51/K$2/24</f>
        <v>101.94444444444444</v>
      </c>
      <c r="L52" s="1072">
        <f>+L51/L$2/24</f>
        <v>91.240621865162552</v>
      </c>
      <c r="M52" s="1942">
        <f>+M51/M$2/24</f>
        <v>88.343406593406598</v>
      </c>
      <c r="N52" s="2989">
        <v>104.26157187775394</v>
      </c>
      <c r="O52" s="926">
        <f>+O51/O$2/24</f>
        <v>100.11693548387098</v>
      </c>
      <c r="P52" s="2991">
        <f>+P51/P$2/24</f>
        <v>94.549223917542335</v>
      </c>
      <c r="Q52" s="1886">
        <f>+Q51/Q$2/24</f>
        <v>91.335040983606561</v>
      </c>
      <c r="R52" s="2989">
        <v>105.12072668647886</v>
      </c>
      <c r="S52" s="926">
        <f>+S51/S$2/24</f>
        <v>97.688172043010752</v>
      </c>
      <c r="T52" s="2991">
        <f>+T51/T$2/24</f>
        <v>96.691162387065404</v>
      </c>
      <c r="U52" s="1886">
        <f>+U51/U$2/24</f>
        <v>92.622276688453155</v>
      </c>
      <c r="V52" s="2989">
        <v>105.53726000248452</v>
      </c>
      <c r="W52" s="926">
        <f>+W51/W$2/24</f>
        <v>99.018055555555563</v>
      </c>
      <c r="X52" s="2992">
        <f>+X51/X$2/24</f>
        <v>104.96705495180164</v>
      </c>
      <c r="Y52" s="1072">
        <f>+Y51/Y$2/24</f>
        <v>98.940217391304358</v>
      </c>
      <c r="Z52" s="1258">
        <f>+Z51/Z$2/24</f>
        <v>98.141342324019362</v>
      </c>
      <c r="AA52" s="1258">
        <f>+AA51/AA$2/24</f>
        <v>93.670765027322417</v>
      </c>
      <c r="AB52" s="2989">
        <v>105.28479557340543</v>
      </c>
      <c r="AC52" s="926">
        <f>+AC51/AC$2/24</f>
        <v>98.694892473118273</v>
      </c>
      <c r="AD52" s="2991">
        <f>+AD51/AD$2/24</f>
        <v>99.17614162650051</v>
      </c>
      <c r="AE52" s="1886">
        <f>+AE51/AE$2/24</f>
        <v>94.39855919003115</v>
      </c>
      <c r="AF52" s="2989">
        <v>105.47588154047654</v>
      </c>
      <c r="AG52" s="926">
        <f>+AG51/AG$2/24</f>
        <v>96.149999999999991</v>
      </c>
      <c r="AH52" s="2991">
        <f>+AH51/AH$2/24</f>
        <v>99.950699812645098</v>
      </c>
      <c r="AI52" s="1886">
        <f>+AI51/AI$2/24</f>
        <v>94.613900273224047</v>
      </c>
      <c r="AJ52" s="2989">
        <v>105.28479557340543</v>
      </c>
      <c r="AK52" s="926">
        <f>+AK51/AK$2/24</f>
        <v>98.924731182795696</v>
      </c>
      <c r="AL52" s="2992">
        <f>+AL51/AL$2/24</f>
        <v>105.34710621484167</v>
      </c>
      <c r="AM52" s="1072">
        <f>+AM51/AM$2/24</f>
        <v>97.942481884057983</v>
      </c>
      <c r="AN52" s="2991">
        <f>+AN51/AN$2/24</f>
        <v>100.55199788022173</v>
      </c>
      <c r="AO52" s="1886">
        <f>+AO51/AO$2/24</f>
        <v>95.099848484848494</v>
      </c>
      <c r="AP52" s="2989">
        <v>105.28479557340543</v>
      </c>
      <c r="AQ52" s="926">
        <f>+AQ51/AQ$2/24</f>
        <v>96.098118279569903</v>
      </c>
      <c r="AR52" s="2991">
        <f>+AR51/AR$2/24</f>
        <v>101.03146431319131</v>
      </c>
      <c r="AS52" s="1886">
        <f>+AS51/AS$2/24</f>
        <v>95.200980392156865</v>
      </c>
      <c r="AT52" s="2989">
        <v>105.75607734310245</v>
      </c>
      <c r="AU52" s="926">
        <f>+AU51/AU$2/24</f>
        <v>113.66815476190476</v>
      </c>
      <c r="AV52" s="2991">
        <f>+AV51/AV$2/24</f>
        <v>101.4275396570162</v>
      </c>
      <c r="AW52" s="1886">
        <f>+AW51/AW$2/24</f>
        <v>96.749126746506988</v>
      </c>
      <c r="AX52" s="2989">
        <v>105.28479557340543</v>
      </c>
      <c r="AY52" s="926">
        <f t="shared" ref="AY52:BE52" si="166">+AY51/AY$2/24</f>
        <v>122.63440860215053</v>
      </c>
      <c r="AZ52" s="2992">
        <f t="shared" si="166"/>
        <v>105.43141656842228</v>
      </c>
      <c r="BA52" s="1072">
        <f t="shared" si="166"/>
        <v>110.70462962962962</v>
      </c>
      <c r="BB52" s="1258">
        <f t="shared" si="166"/>
        <v>105.38879814793098</v>
      </c>
      <c r="BC52" s="1258">
        <f t="shared" si="166"/>
        <v>104.25343406593407</v>
      </c>
      <c r="BD52" s="2991">
        <f t="shared" si="166"/>
        <v>101.75514221429857</v>
      </c>
      <c r="BE52" s="1886">
        <f t="shared" si="166"/>
        <v>98.947602739726037</v>
      </c>
    </row>
    <row r="53" spans="1:57" ht="18.75" x14ac:dyDescent="0.25">
      <c r="B53" s="1049" t="s">
        <v>506</v>
      </c>
      <c r="C53" s="300" t="s">
        <v>436</v>
      </c>
      <c r="D53" s="1635">
        <f>+D49+D51</f>
        <v>89031.394175470588</v>
      </c>
      <c r="E53" s="1635">
        <f t="shared" ref="E53:AA53" si="167">+E49+E51</f>
        <v>79896.100000000006</v>
      </c>
      <c r="F53" s="1635">
        <f t="shared" si="167"/>
        <v>91778.735213959415</v>
      </c>
      <c r="G53" s="1635">
        <f t="shared" si="167"/>
        <v>86638.9</v>
      </c>
      <c r="H53" s="1635">
        <f t="shared" si="167"/>
        <v>180810.12938942999</v>
      </c>
      <c r="I53" s="1635">
        <f t="shared" si="167"/>
        <v>166535</v>
      </c>
      <c r="J53" s="1635">
        <f t="shared" si="167"/>
        <v>110475.82704800353</v>
      </c>
      <c r="K53" s="1635">
        <f t="shared" si="167"/>
        <v>105803.2</v>
      </c>
      <c r="L53" s="1635">
        <f t="shared" si="167"/>
        <v>291285.95643743349</v>
      </c>
      <c r="M53" s="1887">
        <f t="shared" si="167"/>
        <v>272338.2</v>
      </c>
      <c r="N53" s="1635">
        <f>+N49+N51</f>
        <v>114227.20531038227</v>
      </c>
      <c r="O53" s="1913">
        <f t="shared" ref="O53:Q54" si="168">+O49+O51</f>
        <v>107797.6</v>
      </c>
      <c r="P53" s="2993">
        <f t="shared" si="168"/>
        <v>405513.16174781579</v>
      </c>
      <c r="Q53" s="1887">
        <f t="shared" si="168"/>
        <v>380135.8</v>
      </c>
      <c r="R53" s="1635">
        <f>+R49+R51</f>
        <v>114793.27258634733</v>
      </c>
      <c r="S53" s="1913">
        <f t="shared" ref="S53:U53" si="169">+S49+S51</f>
        <v>108474.9</v>
      </c>
      <c r="T53" s="2993">
        <f t="shared" si="169"/>
        <v>520306.43433416309</v>
      </c>
      <c r="U53" s="1887">
        <f t="shared" si="169"/>
        <v>488610.7</v>
      </c>
      <c r="V53" s="1635">
        <f>+V49+V51</f>
        <v>111464.88470914311</v>
      </c>
      <c r="W53" s="1913">
        <f t="shared" ref="W53" si="170">+W49+W51</f>
        <v>104842.9</v>
      </c>
      <c r="X53" s="2993">
        <f t="shared" si="167"/>
        <v>340485.36260587268</v>
      </c>
      <c r="Y53" s="1635">
        <f t="shared" si="167"/>
        <v>321115.40000000002</v>
      </c>
      <c r="Z53" s="1635">
        <f t="shared" si="167"/>
        <v>631771.31904330617</v>
      </c>
      <c r="AA53" s="1635">
        <f t="shared" si="167"/>
        <v>593453.6</v>
      </c>
      <c r="AB53" s="1635">
        <f>+AB49+AB51</f>
        <v>115043.63790661364</v>
      </c>
      <c r="AC53" s="1913">
        <f t="shared" ref="AC53:AE54" si="171">+AC49+AC51</f>
        <v>109893.5</v>
      </c>
      <c r="AD53" s="2993">
        <f t="shared" si="171"/>
        <v>746814.95694991981</v>
      </c>
      <c r="AE53" s="1887">
        <f t="shared" si="171"/>
        <v>703347.1</v>
      </c>
      <c r="AF53" s="1635">
        <f>+AF49+AF51</f>
        <v>111464.88470914311</v>
      </c>
      <c r="AG53" s="1913">
        <f t="shared" ref="AG53:AI53" si="172">+AG49+AG51</f>
        <v>104118.50000000009</v>
      </c>
      <c r="AH53" s="2993">
        <f t="shared" si="172"/>
        <v>858279.84165906289</v>
      </c>
      <c r="AI53" s="1887">
        <f t="shared" si="172"/>
        <v>807465.60000000009</v>
      </c>
      <c r="AJ53" s="1635">
        <f>+AJ49+AJ51</f>
        <v>115043.63790661364</v>
      </c>
      <c r="AK53" s="1913">
        <f t="shared" ref="AK53:AO54" si="173">+AK49+AK51</f>
        <v>110262.3</v>
      </c>
      <c r="AL53" s="2993">
        <f t="shared" si="173"/>
        <v>341552.16052237037</v>
      </c>
      <c r="AM53" s="1635">
        <f t="shared" si="173"/>
        <v>324274.30000000005</v>
      </c>
      <c r="AN53" s="2993">
        <f t="shared" si="173"/>
        <v>973323.47956567653</v>
      </c>
      <c r="AO53" s="1887">
        <f t="shared" si="173"/>
        <v>917727.90000000014</v>
      </c>
      <c r="AP53" s="1635">
        <f>+AP49+AP51</f>
        <v>115043.63790661364</v>
      </c>
      <c r="AQ53" s="1913">
        <f t="shared" ref="AQ53:AS54" si="174">+AQ49+AQ51</f>
        <v>109438.2</v>
      </c>
      <c r="AR53" s="2993">
        <f t="shared" si="174"/>
        <v>1088367.1174722901</v>
      </c>
      <c r="AS53" s="1887">
        <f t="shared" si="174"/>
        <v>1027166.1000000001</v>
      </c>
      <c r="AT53" s="1635">
        <f>+AT49+AT51</f>
        <v>103445.53802358451</v>
      </c>
      <c r="AU53" s="1913">
        <f t="shared" ref="AU53:AW53" si="175">+AU49+AU51</f>
        <v>96892.3</v>
      </c>
      <c r="AV53" s="2993">
        <f t="shared" si="175"/>
        <v>1191812.6554958746</v>
      </c>
      <c r="AW53" s="1887">
        <f t="shared" si="175"/>
        <v>1124058.4000000001</v>
      </c>
      <c r="AX53" s="1635">
        <f>+AX49+AX51</f>
        <v>115043.63790661364</v>
      </c>
      <c r="AY53" s="1913">
        <f t="shared" ref="AY53:BE54" si="176">+AY49+AY51</f>
        <v>109488.8</v>
      </c>
      <c r="AZ53" s="2993">
        <f t="shared" si="176"/>
        <v>333532.81383681181</v>
      </c>
      <c r="BA53" s="1635">
        <f t="shared" si="176"/>
        <v>315819.3</v>
      </c>
      <c r="BB53" s="1635">
        <f t="shared" si="176"/>
        <v>675084.97435918218</v>
      </c>
      <c r="BC53" s="1635">
        <f t="shared" si="176"/>
        <v>640093.60000000009</v>
      </c>
      <c r="BD53" s="2993">
        <f t="shared" si="176"/>
        <v>1306856.2934024883</v>
      </c>
      <c r="BE53" s="1887">
        <f t="shared" si="176"/>
        <v>1233547.2000000002</v>
      </c>
    </row>
    <row r="54" spans="1:57" ht="19.5" thickBot="1" x14ac:dyDescent="0.3">
      <c r="B54" s="1050" t="s">
        <v>507</v>
      </c>
      <c r="C54" s="43" t="s">
        <v>424</v>
      </c>
      <c r="D54" s="2011">
        <f t="shared" ref="D54:H54" si="177">+D50+D52</f>
        <v>123.65471413259803</v>
      </c>
      <c r="E54" s="612">
        <f>+E53/E$2/24</f>
        <v>110.96680555555555</v>
      </c>
      <c r="F54" s="2011">
        <f t="shared" ref="F54" si="178">+F50+F52</f>
        <v>123.3585150725261</v>
      </c>
      <c r="G54" s="612">
        <f>+G53/G$2/24</f>
        <v>116.45013440860214</v>
      </c>
      <c r="H54" s="1881">
        <f t="shared" si="177"/>
        <v>123.50418674141393</v>
      </c>
      <c r="I54" s="1063">
        <f>+I53/I$2/24</f>
        <v>113.75341530054645</v>
      </c>
      <c r="J54" s="2012">
        <f t="shared" ref="J54" si="179">+J50+J52</f>
        <v>153.43864867778268</v>
      </c>
      <c r="K54" s="612">
        <f>+K53/K$2/24</f>
        <v>146.94888888888889</v>
      </c>
      <c r="L54" s="1938">
        <f t="shared" ref="L54" si="180">+L50+L52</f>
        <v>133.37269067648054</v>
      </c>
      <c r="M54" s="1943">
        <f>+M53/M$2/24</f>
        <v>124.69697802197804</v>
      </c>
      <c r="N54" s="2011">
        <f>+N50+N52</f>
        <v>153.53118993330949</v>
      </c>
      <c r="O54" s="612">
        <f>+O53/O$2/24</f>
        <v>144.88924731182797</v>
      </c>
      <c r="P54" s="2994">
        <f t="shared" si="168"/>
        <v>138.4949322909207</v>
      </c>
      <c r="Q54" s="1888">
        <f>+Q53/Q$2/24</f>
        <v>129.82780054644809</v>
      </c>
      <c r="R54" s="2011">
        <f>+R50+R52</f>
        <v>154.29203304616578</v>
      </c>
      <c r="S54" s="612">
        <f>+S53/S$2/24</f>
        <v>145.79959677419353</v>
      </c>
      <c r="T54" s="2994">
        <f t="shared" ref="T54" si="181">+T50+T52</f>
        <v>141.69565205178733</v>
      </c>
      <c r="U54" s="1888">
        <f>+U53/U$2/24</f>
        <v>133.06391612200437</v>
      </c>
      <c r="V54" s="2011">
        <f>+V50+V52</f>
        <v>154.81233987380986</v>
      </c>
      <c r="W54" s="612">
        <f>+W53/W$2/24</f>
        <v>145.61513888888888</v>
      </c>
      <c r="X54" s="2995">
        <f t="shared" ref="X54:Z54" si="182">+X50+X52</f>
        <v>154.20532726715248</v>
      </c>
      <c r="Y54" s="1073">
        <f>+Y53/Y$2/24</f>
        <v>145.43269927536232</v>
      </c>
      <c r="Z54" s="2996">
        <f t="shared" si="182"/>
        <v>143.84592874392217</v>
      </c>
      <c r="AA54" s="1259">
        <f>+AA53/AA$2/24</f>
        <v>135.12149362477231</v>
      </c>
      <c r="AB54" s="2011">
        <f>+AB50+AB52</f>
        <v>154.62854557340543</v>
      </c>
      <c r="AC54" s="612">
        <f>+AC53/AC$2/24</f>
        <v>147.70631720430109</v>
      </c>
      <c r="AD54" s="2994">
        <f t="shared" si="171"/>
        <v>145.40789660239872</v>
      </c>
      <c r="AE54" s="1888">
        <f>+AE53/AE$2/24</f>
        <v>136.94452881619938</v>
      </c>
      <c r="AF54" s="2011">
        <f>+AF50+AF52</f>
        <v>154.81233987380986</v>
      </c>
      <c r="AG54" s="612">
        <f>+AG53/AG$2/24</f>
        <v>144.6090277777779</v>
      </c>
      <c r="AH54" s="2994">
        <f t="shared" ref="AH54" si="183">+AH50+AH52</f>
        <v>146.56418061117876</v>
      </c>
      <c r="AI54" s="1888">
        <f>+AI53/AI$2/24</f>
        <v>137.88688524590165</v>
      </c>
      <c r="AJ54" s="2011">
        <f>+AJ50+AJ52</f>
        <v>154.62854557340543</v>
      </c>
      <c r="AK54" s="612">
        <f>+AK53/AK$2/24</f>
        <v>148.20201612903227</v>
      </c>
      <c r="AL54" s="2995">
        <f t="shared" ref="AL54" si="184">+AL50+AL52</f>
        <v>154.68847849745038</v>
      </c>
      <c r="AM54" s="1073">
        <f>+AM53/AM$2/24</f>
        <v>146.8633605072464</v>
      </c>
      <c r="AN54" s="2994">
        <f t="shared" si="173"/>
        <v>147.47325447964798</v>
      </c>
      <c r="AO54" s="1888">
        <f>+AO53/AO$2/24</f>
        <v>139.04968181818182</v>
      </c>
      <c r="AP54" s="2011">
        <f>+AP50+AP52</f>
        <v>154.62854557340543</v>
      </c>
      <c r="AQ54" s="612">
        <f>+AQ53/AQ$2/24</f>
        <v>147.09435483870968</v>
      </c>
      <c r="AR54" s="2994">
        <f t="shared" si="174"/>
        <v>148.19813691071488</v>
      </c>
      <c r="AS54" s="1888">
        <f>+AS53/AS$2/24</f>
        <v>139.86466503267977</v>
      </c>
      <c r="AT54" s="2011">
        <f>+AT50+AT52</f>
        <v>153.93681253509601</v>
      </c>
      <c r="AU54" s="612">
        <f>+AU53/AU$2/24</f>
        <v>144.18497023809525</v>
      </c>
      <c r="AV54" s="2994">
        <f t="shared" ref="AV54" si="185">+AV50+AV52</f>
        <v>148.67922349000432</v>
      </c>
      <c r="AW54" s="1888">
        <f>+AW53/AW$2/24</f>
        <v>140.22684630738524</v>
      </c>
      <c r="AX54" s="2011">
        <f>+AX50+AX52</f>
        <v>154.62854557340543</v>
      </c>
      <c r="AY54" s="612">
        <f>+AY53/AY$2/24</f>
        <v>147.16236559139784</v>
      </c>
      <c r="AZ54" s="2995">
        <f t="shared" si="176"/>
        <v>154.4133397392647</v>
      </c>
      <c r="BA54" s="1073">
        <f>+BA53/BA$2/24</f>
        <v>146.21263888888888</v>
      </c>
      <c r="BB54" s="2996">
        <f t="shared" si="176"/>
        <v>154.55242086977614</v>
      </c>
      <c r="BC54" s="1259">
        <f>+BC53/BC$2/24</f>
        <v>146.54157509157511</v>
      </c>
      <c r="BD54" s="2994">
        <f t="shared" si="176"/>
        <v>149.18450837927949</v>
      </c>
      <c r="BE54" s="1888">
        <f>+BE53/BE$2/24</f>
        <v>140.81589041095893</v>
      </c>
    </row>
    <row r="55" spans="1:57" x14ac:dyDescent="0.25">
      <c r="B55" s="90" t="s">
        <v>446</v>
      </c>
      <c r="C55" s="24"/>
      <c r="D55" s="2997"/>
      <c r="E55" s="24"/>
      <c r="F55" s="2997"/>
      <c r="G55" s="24"/>
      <c r="H55" s="24"/>
      <c r="I55" s="24"/>
      <c r="J55" s="2997"/>
      <c r="K55" s="24"/>
      <c r="L55" s="24"/>
      <c r="M55" s="24"/>
      <c r="N55" s="2998"/>
      <c r="O55" s="1914"/>
      <c r="P55" s="24"/>
      <c r="Q55" s="24"/>
      <c r="R55" s="2998"/>
      <c r="S55" s="1914"/>
      <c r="T55" s="24"/>
      <c r="U55" s="24"/>
      <c r="V55" s="2998"/>
      <c r="W55" s="1914"/>
      <c r="X55" s="24"/>
      <c r="Y55" s="24"/>
      <c r="Z55" s="24"/>
      <c r="AA55" s="24"/>
      <c r="AB55" s="2998"/>
      <c r="AC55" s="1914"/>
      <c r="AD55" s="24"/>
      <c r="AE55" s="24"/>
      <c r="AF55" s="2998"/>
      <c r="AG55" s="1914"/>
      <c r="AH55" s="24"/>
      <c r="AI55" s="24"/>
      <c r="AJ55" s="2998"/>
      <c r="AK55" s="1914"/>
      <c r="AL55" s="24"/>
      <c r="AM55" s="24"/>
      <c r="AN55" s="24"/>
      <c r="AO55" s="24"/>
      <c r="AP55" s="2998"/>
      <c r="AQ55" s="1914"/>
      <c r="AR55" s="24"/>
      <c r="AS55" s="24"/>
      <c r="AT55" s="2998"/>
      <c r="AU55" s="1914"/>
      <c r="AV55" s="24"/>
      <c r="AW55" s="24"/>
      <c r="AX55" s="2998"/>
      <c r="AY55" s="1914"/>
      <c r="AZ55" s="24"/>
      <c r="BA55" s="24"/>
      <c r="BB55" s="24"/>
      <c r="BC55" s="24"/>
      <c r="BD55" s="24"/>
      <c r="BE55" s="24"/>
    </row>
    <row r="56" spans="1:57" x14ac:dyDescent="0.25">
      <c r="B56" s="80" t="s">
        <v>66</v>
      </c>
      <c r="C56" s="33" t="s">
        <v>69</v>
      </c>
      <c r="D56" s="2406">
        <f>D64*D2*24</f>
        <v>179268.08592930192</v>
      </c>
      <c r="E56" s="238">
        <v>122640.4</v>
      </c>
      <c r="F56" s="2406">
        <f>F64*F2*24</f>
        <v>195577.51199999999</v>
      </c>
      <c r="G56" s="40">
        <v>138904.4</v>
      </c>
      <c r="H56" s="143">
        <f>+D56+F56</f>
        <v>374845.5979293019</v>
      </c>
      <c r="I56" s="534">
        <f>+E56+G56</f>
        <v>261544.8</v>
      </c>
      <c r="J56" s="2406">
        <f>J64*J2*24</f>
        <v>224953.13309322024</v>
      </c>
      <c r="K56" s="40">
        <v>191926.08</v>
      </c>
      <c r="L56" s="167">
        <f>+H56+J56</f>
        <v>599798.73102252209</v>
      </c>
      <c r="M56" s="1326">
        <f>+I56+K56</f>
        <v>453470.88</v>
      </c>
      <c r="N56" s="2406">
        <f>N64*N2*24</f>
        <v>232849.89701032819</v>
      </c>
      <c r="O56" s="40">
        <v>196838.16</v>
      </c>
      <c r="P56" s="1077">
        <f>+L56+N56</f>
        <v>832648.62803285033</v>
      </c>
      <c r="Q56" s="1325">
        <f>+M56+O56</f>
        <v>650309.04</v>
      </c>
      <c r="R56" s="2406">
        <f>R64*R2*24</f>
        <v>231036.56646680023</v>
      </c>
      <c r="S56" s="40">
        <v>206097.12</v>
      </c>
      <c r="T56" s="1077">
        <f>+P56+R56</f>
        <v>1063685.1944996505</v>
      </c>
      <c r="U56" s="1325">
        <f>+Q56+S56</f>
        <v>856406.16</v>
      </c>
      <c r="V56" s="2406">
        <f>V64*V2*24</f>
        <v>223710.08565993269</v>
      </c>
      <c r="W56" s="40">
        <v>193140.72</v>
      </c>
      <c r="X56" s="162">
        <f t="shared" ref="X56:X57" si="186">+V56+R56+N56</f>
        <v>687596.54913706111</v>
      </c>
      <c r="Y56" s="571">
        <f t="shared" ref="Y56:Y57" si="187">+W56+S56+O56</f>
        <v>596076</v>
      </c>
      <c r="Z56" s="1789">
        <f>+T56+V56</f>
        <v>1287395.2801595833</v>
      </c>
      <c r="AA56" s="1236">
        <f>+U56+W56</f>
        <v>1049546.8800000001</v>
      </c>
      <c r="AB56" s="3160">
        <f>AB64*AB2*24</f>
        <v>232085.88247728752</v>
      </c>
      <c r="AC56" s="40">
        <v>207502.72</v>
      </c>
      <c r="AD56" s="1077">
        <f>+Z56+AB56</f>
        <v>1519481.1626368708</v>
      </c>
      <c r="AE56" s="1325">
        <f>+AA56+AC56</f>
        <v>1257049.6000000001</v>
      </c>
      <c r="AF56" s="3317">
        <f>AF64*AF2*24</f>
        <v>224145.44186056056</v>
      </c>
      <c r="AG56" s="40">
        <v>200541.59999999998</v>
      </c>
      <c r="AH56" s="1077">
        <f>+AD56+AF56</f>
        <v>1743626.6044974313</v>
      </c>
      <c r="AI56" s="1325">
        <f>+AE56+AG56</f>
        <v>1457591.2000000002</v>
      </c>
      <c r="AJ56" s="3502">
        <f>AJ64*AJ2*24</f>
        <v>232263.56340021963</v>
      </c>
      <c r="AK56" s="40">
        <v>212764.08</v>
      </c>
      <c r="AL56" s="162">
        <f t="shared" ref="AL56:AL57" si="188">+AJ56+AF56+AB56</f>
        <v>688494.88773806777</v>
      </c>
      <c r="AM56" s="571">
        <f t="shared" ref="AM56:AM57" si="189">+AK56+AG56+AC56</f>
        <v>620808.39999999991</v>
      </c>
      <c r="AN56" s="1077">
        <f>+AH56+AJ56</f>
        <v>1975890.167897651</v>
      </c>
      <c r="AO56" s="1325">
        <f>+AI56+AK56</f>
        <v>1670355.2800000003</v>
      </c>
      <c r="AP56" s="3502">
        <f>AP64*AP2*24</f>
        <v>232441.24432315177</v>
      </c>
      <c r="AQ56" s="40">
        <v>214530.72</v>
      </c>
      <c r="AR56" s="1077">
        <f>+AN56+AP56</f>
        <v>2208331.4122208026</v>
      </c>
      <c r="AS56" s="1325">
        <f>+AO56+AQ56</f>
        <v>1884886.0000000002</v>
      </c>
      <c r="AT56" s="3502">
        <f>AT64*AT2*24</f>
        <v>206084.97130182767</v>
      </c>
      <c r="AU56" s="40">
        <v>124336.8</v>
      </c>
      <c r="AV56" s="1077">
        <f>+AR56+AT56</f>
        <v>2414416.3835226302</v>
      </c>
      <c r="AW56" s="1325">
        <f>+AS56+AU56</f>
        <v>2009222.8000000003</v>
      </c>
      <c r="AX56" s="3502">
        <f>AX64*AX2*24</f>
        <v>232441.24432315177</v>
      </c>
      <c r="AY56" s="40">
        <v>112965.6</v>
      </c>
      <c r="AZ56" s="162">
        <f t="shared" ref="AZ56:AZ57" si="190">+AX56+AT56+AP56</f>
        <v>670967.45994813123</v>
      </c>
      <c r="BA56" s="571">
        <f t="shared" ref="BA56:BA57" si="191">+AY56+AU56+AQ56</f>
        <v>451833.12</v>
      </c>
      <c r="BB56" s="1789">
        <f>+AL56+AZ56</f>
        <v>1359462.347686199</v>
      </c>
      <c r="BC56" s="1236">
        <f>+AM56+BA56</f>
        <v>1072641.52</v>
      </c>
      <c r="BD56" s="1077">
        <f>+AV56+AX56</f>
        <v>2646857.6278457819</v>
      </c>
      <c r="BE56" s="1325">
        <f>+AW56+AY56</f>
        <v>2122188.4000000004</v>
      </c>
    </row>
    <row r="57" spans="1:57" ht="15.75" thickBot="1" x14ac:dyDescent="0.3">
      <c r="B57" s="81" t="s">
        <v>59</v>
      </c>
      <c r="C57" s="34" t="s">
        <v>69</v>
      </c>
      <c r="D57" s="2398">
        <f>D65*D2*24</f>
        <v>40320</v>
      </c>
      <c r="E57" s="248">
        <v>44174.2</v>
      </c>
      <c r="F57" s="2398">
        <f>F65*F2*24</f>
        <v>41664</v>
      </c>
      <c r="G57" s="40">
        <v>45477.599999999999</v>
      </c>
      <c r="H57" s="143">
        <f>+D57+F57</f>
        <v>81984</v>
      </c>
      <c r="I57" s="534">
        <f>+E57+G57</f>
        <v>89651.799999999988</v>
      </c>
      <c r="J57" s="2398">
        <f>J65*J2*24</f>
        <v>38160</v>
      </c>
      <c r="K57" s="40">
        <v>39483.120000000003</v>
      </c>
      <c r="L57" s="167">
        <f>+H57+J57</f>
        <v>120144</v>
      </c>
      <c r="M57" s="1326">
        <f>+I57+K57</f>
        <v>129134.91999999998</v>
      </c>
      <c r="N57" s="2398">
        <f>N65*N2*24</f>
        <v>39432</v>
      </c>
      <c r="O57" s="40">
        <v>47707.68</v>
      </c>
      <c r="P57" s="1077">
        <f>+L57+N57</f>
        <v>159576</v>
      </c>
      <c r="Q57" s="1325">
        <f>+M57+O57</f>
        <v>176842.59999999998</v>
      </c>
      <c r="R57" s="2398">
        <f>R65*R2*24</f>
        <v>39432</v>
      </c>
      <c r="S57" s="40">
        <v>46845.599999999999</v>
      </c>
      <c r="T57" s="1077">
        <f>+P57+R57</f>
        <v>199008</v>
      </c>
      <c r="U57" s="1325">
        <f>+Q57+S57</f>
        <v>223688.19999999998</v>
      </c>
      <c r="V57" s="2398">
        <f>V65*V2*24</f>
        <v>38160</v>
      </c>
      <c r="W57" s="40">
        <v>48474</v>
      </c>
      <c r="X57" s="162">
        <f t="shared" si="186"/>
        <v>117024</v>
      </c>
      <c r="Y57" s="571">
        <f t="shared" si="187"/>
        <v>143027.28</v>
      </c>
      <c r="Z57" s="1789">
        <f>+T57+V57</f>
        <v>237168</v>
      </c>
      <c r="AA57" s="1236">
        <f>+U57+W57</f>
        <v>272162.19999999995</v>
      </c>
      <c r="AB57" s="3155">
        <f>AB65*AB2*24</f>
        <v>39432</v>
      </c>
      <c r="AC57" s="40">
        <v>53353.440000000002</v>
      </c>
      <c r="AD57" s="1077">
        <f>+Z57+AB57</f>
        <v>276600</v>
      </c>
      <c r="AE57" s="1325">
        <f>+AA57+AC57</f>
        <v>325515.63999999996</v>
      </c>
      <c r="AF57" s="3312">
        <f>AF65*AF2*24</f>
        <v>38160</v>
      </c>
      <c r="AG57" s="40">
        <v>53479.680000000008</v>
      </c>
      <c r="AH57" s="1077">
        <f>+AD57+AF57</f>
        <v>314760</v>
      </c>
      <c r="AI57" s="1325">
        <f>+AE57+AG57</f>
        <v>378995.31999999995</v>
      </c>
      <c r="AJ57" s="3589">
        <f>AJ65*AJ2*24</f>
        <v>39432</v>
      </c>
      <c r="AK57" s="40">
        <v>55567.92</v>
      </c>
      <c r="AL57" s="162">
        <f t="shared" si="188"/>
        <v>117024</v>
      </c>
      <c r="AM57" s="571">
        <f t="shared" si="189"/>
        <v>162401.04</v>
      </c>
      <c r="AN57" s="1077">
        <f>+AH57+AJ57</f>
        <v>354192</v>
      </c>
      <c r="AO57" s="1325">
        <f>+AI57+AK57</f>
        <v>434563.23999999993</v>
      </c>
      <c r="AP57" s="3958">
        <f>AP65*AP2*24</f>
        <v>39432</v>
      </c>
      <c r="AQ57" s="40">
        <v>54095.040000000001</v>
      </c>
      <c r="AR57" s="1077">
        <f>+AN57+AP57</f>
        <v>393624</v>
      </c>
      <c r="AS57" s="1325">
        <f>+AO57+AQ57</f>
        <v>488658.27999999991</v>
      </c>
      <c r="AT57" s="4077">
        <f>AT65*AT2*24</f>
        <v>35616</v>
      </c>
      <c r="AU57" s="40">
        <v>44605.440000000002</v>
      </c>
      <c r="AV57" s="1077">
        <f>+AR57+AT57</f>
        <v>429240</v>
      </c>
      <c r="AW57" s="1325">
        <f>+AS57+AU57</f>
        <v>533263.72</v>
      </c>
      <c r="AX57" s="4399">
        <f>AX65*AX2*24</f>
        <v>39432</v>
      </c>
      <c r="AY57" s="40">
        <v>52934.400000000001</v>
      </c>
      <c r="AZ57" s="162">
        <f t="shared" si="190"/>
        <v>114480</v>
      </c>
      <c r="BA57" s="571">
        <f t="shared" si="191"/>
        <v>151634.88</v>
      </c>
      <c r="BB57" s="1789">
        <f>+AL57+AZ57</f>
        <v>231504</v>
      </c>
      <c r="BC57" s="1236">
        <f>+AM57+BA57</f>
        <v>314035.92000000004</v>
      </c>
      <c r="BD57" s="1077">
        <f>+AV57+AX57</f>
        <v>468672</v>
      </c>
      <c r="BE57" s="1325">
        <f>+AW57+AY57</f>
        <v>586198.12</v>
      </c>
    </row>
    <row r="58" spans="1:57" ht="15.75" x14ac:dyDescent="0.25">
      <c r="B58" s="5289" t="s">
        <v>2</v>
      </c>
      <c r="C58" s="92" t="s">
        <v>69</v>
      </c>
      <c r="D58" s="2999">
        <f t="shared" ref="D58:I58" si="192">SUM(D56:D57)</f>
        <v>219588.08592930192</v>
      </c>
      <c r="E58" s="480">
        <f t="shared" si="192"/>
        <v>166814.59999999998</v>
      </c>
      <c r="F58" s="2999">
        <f t="shared" ref="F58" si="193">SUM(F56:F57)</f>
        <v>237241.51199999999</v>
      </c>
      <c r="G58" s="301">
        <f t="shared" si="192"/>
        <v>184382</v>
      </c>
      <c r="H58" s="2898">
        <f t="shared" si="192"/>
        <v>456829.5979293019</v>
      </c>
      <c r="I58" s="543">
        <f t="shared" si="192"/>
        <v>351196.6</v>
      </c>
      <c r="J58" s="2999">
        <f t="shared" ref="J58" si="194">SUM(J56:J57)</f>
        <v>263113.13309322024</v>
      </c>
      <c r="K58" s="301">
        <f t="shared" ref="K58:N58" si="195">SUM(K56:K57)</f>
        <v>231409.19999999998</v>
      </c>
      <c r="L58" s="3000">
        <f t="shared" si="195"/>
        <v>719942.73102252209</v>
      </c>
      <c r="M58" s="1944">
        <f t="shared" si="195"/>
        <v>582605.80000000005</v>
      </c>
      <c r="N58" s="2999">
        <f t="shared" si="195"/>
        <v>272281.89701032819</v>
      </c>
      <c r="O58" s="301">
        <f t="shared" ref="O58:R58" si="196">SUM(O56:O57)</f>
        <v>244545.84</v>
      </c>
      <c r="P58" s="2390">
        <f t="shared" si="196"/>
        <v>992224.62803285033</v>
      </c>
      <c r="Q58" s="1889">
        <f t="shared" si="196"/>
        <v>827151.64</v>
      </c>
      <c r="R58" s="2999">
        <f t="shared" si="196"/>
        <v>270468.56646680023</v>
      </c>
      <c r="S58" s="301">
        <f t="shared" ref="S58:V58" si="197">SUM(S56:S57)</f>
        <v>252942.72</v>
      </c>
      <c r="T58" s="2390">
        <f t="shared" si="197"/>
        <v>1262693.1944996505</v>
      </c>
      <c r="U58" s="1889">
        <f t="shared" si="197"/>
        <v>1080094.3600000001</v>
      </c>
      <c r="V58" s="2999">
        <f t="shared" si="197"/>
        <v>261870.08565993269</v>
      </c>
      <c r="W58" s="301">
        <f t="shared" ref="W58" si="198">SUM(W56:W57)</f>
        <v>241614.72</v>
      </c>
      <c r="X58" s="2391">
        <f t="shared" ref="X58:AE58" si="199">SUM(X56:X57)</f>
        <v>804620.54913706111</v>
      </c>
      <c r="Y58" s="578">
        <f t="shared" si="199"/>
        <v>739103.28</v>
      </c>
      <c r="Z58" s="2899">
        <f t="shared" si="199"/>
        <v>1524563.2801595833</v>
      </c>
      <c r="AA58" s="1260">
        <f t="shared" si="199"/>
        <v>1321709.08</v>
      </c>
      <c r="AB58" s="2999">
        <f t="shared" si="199"/>
        <v>271517.88247728755</v>
      </c>
      <c r="AC58" s="301">
        <f t="shared" si="199"/>
        <v>260856.16</v>
      </c>
      <c r="AD58" s="2390">
        <f t="shared" si="199"/>
        <v>1796081.1626368708</v>
      </c>
      <c r="AE58" s="1889">
        <f t="shared" si="199"/>
        <v>1582565.24</v>
      </c>
      <c r="AF58" s="2999">
        <f t="shared" ref="AF58:AI58" si="200">SUM(AF56:AF57)</f>
        <v>262305.44186056056</v>
      </c>
      <c r="AG58" s="301">
        <f t="shared" si="200"/>
        <v>254021.27999999997</v>
      </c>
      <c r="AH58" s="2390">
        <f t="shared" si="200"/>
        <v>2058386.6044974313</v>
      </c>
      <c r="AI58" s="1889">
        <f t="shared" si="200"/>
        <v>1836586.52</v>
      </c>
      <c r="AJ58" s="2999">
        <f t="shared" ref="AJ58:AO58" si="201">SUM(AJ56:AJ57)</f>
        <v>271695.56340021966</v>
      </c>
      <c r="AK58" s="301">
        <f t="shared" si="201"/>
        <v>268332</v>
      </c>
      <c r="AL58" s="2391">
        <f t="shared" si="201"/>
        <v>805518.88773806777</v>
      </c>
      <c r="AM58" s="578">
        <f t="shared" si="201"/>
        <v>783209.44</v>
      </c>
      <c r="AN58" s="2390">
        <f t="shared" si="201"/>
        <v>2330082.167897651</v>
      </c>
      <c r="AO58" s="1889">
        <f t="shared" si="201"/>
        <v>2104918.52</v>
      </c>
      <c r="AP58" s="2999">
        <f t="shared" ref="AP58:AS58" si="202">SUM(AP56:AP57)</f>
        <v>271873.24432315177</v>
      </c>
      <c r="AQ58" s="301">
        <f t="shared" si="202"/>
        <v>268625.76</v>
      </c>
      <c r="AR58" s="2390">
        <f t="shared" si="202"/>
        <v>2601955.4122208026</v>
      </c>
      <c r="AS58" s="1889">
        <f t="shared" si="202"/>
        <v>2373544.2800000003</v>
      </c>
      <c r="AT58" s="2999">
        <f t="shared" ref="AT58:AW58" si="203">SUM(AT56:AT57)</f>
        <v>241700.97130182767</v>
      </c>
      <c r="AU58" s="301">
        <f t="shared" si="203"/>
        <v>168942.24</v>
      </c>
      <c r="AV58" s="2390">
        <f t="shared" si="203"/>
        <v>2843656.3835226302</v>
      </c>
      <c r="AW58" s="1889">
        <f t="shared" si="203"/>
        <v>2542486.5200000005</v>
      </c>
      <c r="AX58" s="2999">
        <f t="shared" ref="AX58:BE58" si="204">SUM(AX56:AX57)</f>
        <v>271873.24432315177</v>
      </c>
      <c r="AY58" s="301">
        <f t="shared" si="204"/>
        <v>165900</v>
      </c>
      <c r="AZ58" s="2391">
        <f t="shared" si="204"/>
        <v>785447.45994813123</v>
      </c>
      <c r="BA58" s="578">
        <f t="shared" si="204"/>
        <v>603468</v>
      </c>
      <c r="BB58" s="2899">
        <f t="shared" si="204"/>
        <v>1590966.347686199</v>
      </c>
      <c r="BC58" s="1260">
        <f t="shared" si="204"/>
        <v>1386677.44</v>
      </c>
      <c r="BD58" s="2390">
        <f t="shared" si="204"/>
        <v>3115529.6278457819</v>
      </c>
      <c r="BE58" s="1889">
        <f t="shared" si="204"/>
        <v>2708386.5200000005</v>
      </c>
    </row>
    <row r="59" spans="1:57" ht="16.5" thickBot="1" x14ac:dyDescent="0.3">
      <c r="B59" s="5290"/>
      <c r="C59" s="91" t="s">
        <v>505</v>
      </c>
      <c r="D59" s="2989">
        <f t="shared" ref="D59:N59" si="205">+D58/(D2*24)</f>
        <v>304.98345267958598</v>
      </c>
      <c r="E59" s="302">
        <f t="shared" si="205"/>
        <v>231.68694444444441</v>
      </c>
      <c r="F59" s="2989">
        <f t="shared" ref="F59" si="206">+F58/(F2*24)</f>
        <v>318.87299999999999</v>
      </c>
      <c r="G59" s="302">
        <f t="shared" si="205"/>
        <v>247.82526881720429</v>
      </c>
      <c r="H59" s="3001">
        <f t="shared" si="205"/>
        <v>312.04207508832098</v>
      </c>
      <c r="I59" s="544">
        <f t="shared" si="205"/>
        <v>239.88838797814205</v>
      </c>
      <c r="J59" s="3002">
        <f t="shared" ref="J59" si="207">+J58/(J2*24)</f>
        <v>365.43490707391697</v>
      </c>
      <c r="K59" s="302">
        <f t="shared" si="205"/>
        <v>321.40166666666664</v>
      </c>
      <c r="L59" s="3003">
        <f t="shared" si="205"/>
        <v>329.64410761104489</v>
      </c>
      <c r="M59" s="1945">
        <f t="shared" si="205"/>
        <v>266.76089743589745</v>
      </c>
      <c r="N59" s="3002">
        <f t="shared" si="205"/>
        <v>365.97029168054866</v>
      </c>
      <c r="O59" s="1915">
        <f t="shared" ref="O59:R59" si="208">+O58/(O2*24)</f>
        <v>328.69064516129032</v>
      </c>
      <c r="P59" s="2897">
        <f t="shared" si="208"/>
        <v>338.87453143198439</v>
      </c>
      <c r="Q59" s="1890">
        <f t="shared" si="208"/>
        <v>282.4971448087432</v>
      </c>
      <c r="R59" s="3002">
        <f t="shared" si="208"/>
        <v>363.53301944462396</v>
      </c>
      <c r="S59" s="1915">
        <f t="shared" ref="S59:V59" si="209">+S58/(S2*24)</f>
        <v>339.97677419354841</v>
      </c>
      <c r="T59" s="2897">
        <f t="shared" si="209"/>
        <v>343.87069566983945</v>
      </c>
      <c r="U59" s="1890">
        <f t="shared" si="209"/>
        <v>294.14334422657953</v>
      </c>
      <c r="V59" s="3002">
        <f t="shared" si="209"/>
        <v>363.70845230546206</v>
      </c>
      <c r="W59" s="1915">
        <f t="shared" ref="W59" si="210">+W58/(W2*24)</f>
        <v>335.57600000000002</v>
      </c>
      <c r="X59" s="3004">
        <f t="shared" ref="X59:AE59" si="211">+X58/(X2*24)</f>
        <v>364.4114805874371</v>
      </c>
      <c r="Y59" s="579">
        <f t="shared" si="211"/>
        <v>334.73880434782609</v>
      </c>
      <c r="Z59" s="3005">
        <f t="shared" si="211"/>
        <v>347.12278692158088</v>
      </c>
      <c r="AA59" s="1261">
        <f t="shared" si="211"/>
        <v>300.93558287795992</v>
      </c>
      <c r="AB59" s="3002">
        <f t="shared" si="211"/>
        <v>364.94339042646175</v>
      </c>
      <c r="AC59" s="1915">
        <f t="shared" si="211"/>
        <v>350.6131182795699</v>
      </c>
      <c r="AD59" s="2897">
        <f t="shared" si="211"/>
        <v>349.70427621434402</v>
      </c>
      <c r="AE59" s="1890">
        <f t="shared" si="211"/>
        <v>308.13186137071654</v>
      </c>
      <c r="AF59" s="3002">
        <f t="shared" ref="AF59:AI59" si="212">+AF58/(AF2*24)</f>
        <v>364.31311369522302</v>
      </c>
      <c r="AG59" s="1915">
        <f t="shared" si="212"/>
        <v>352.8073333333333</v>
      </c>
      <c r="AH59" s="2897">
        <f t="shared" si="212"/>
        <v>351.500444757075</v>
      </c>
      <c r="AI59" s="1890">
        <f t="shared" si="212"/>
        <v>313.62474726775957</v>
      </c>
      <c r="AJ59" s="3002">
        <f t="shared" ref="AJ59:AO59" si="213">+AJ58/(AJ2*24)</f>
        <v>365.18220887126296</v>
      </c>
      <c r="AK59" s="1915">
        <f t="shared" si="213"/>
        <v>360.66129032258067</v>
      </c>
      <c r="AL59" s="3004">
        <f t="shared" si="213"/>
        <v>364.81833683789301</v>
      </c>
      <c r="AM59" s="579">
        <f t="shared" si="213"/>
        <v>354.71442028985507</v>
      </c>
      <c r="AN59" s="2897">
        <f t="shared" si="213"/>
        <v>353.04275271176527</v>
      </c>
      <c r="AO59" s="1890">
        <f t="shared" si="213"/>
        <v>318.92704848484851</v>
      </c>
      <c r="AP59" s="3002">
        <f t="shared" ref="AP59:AS59" si="214">+AP58/(AP2*24)</f>
        <v>365.42102731606423</v>
      </c>
      <c r="AQ59" s="1915">
        <f t="shared" si="214"/>
        <v>361.05612903225807</v>
      </c>
      <c r="AR59" s="2897">
        <f t="shared" si="214"/>
        <v>354.29676092331192</v>
      </c>
      <c r="AS59" s="1890">
        <f t="shared" si="214"/>
        <v>323.19502723311552</v>
      </c>
      <c r="AT59" s="3002">
        <f t="shared" ref="AT59:AW59" si="215">+AT58/(AT2*24)</f>
        <v>359.67406443724354</v>
      </c>
      <c r="AU59" s="1915">
        <f t="shared" si="215"/>
        <v>251.40214285714285</v>
      </c>
      <c r="AV59" s="2897">
        <f t="shared" si="215"/>
        <v>354.74755283465947</v>
      </c>
      <c r="AW59" s="1890">
        <f t="shared" si="215"/>
        <v>317.17646207584835</v>
      </c>
      <c r="AX59" s="3002">
        <f t="shared" ref="AX59:BE59" si="216">+AX58/(AX2*24)</f>
        <v>365.42102731606423</v>
      </c>
      <c r="AY59" s="1915">
        <f t="shared" si="216"/>
        <v>222.98387096774192</v>
      </c>
      <c r="AZ59" s="3004">
        <f t="shared" si="216"/>
        <v>363.63308330932</v>
      </c>
      <c r="BA59" s="579">
        <f t="shared" si="216"/>
        <v>279.38333333333333</v>
      </c>
      <c r="BB59" s="3005">
        <f t="shared" si="216"/>
        <v>364.23222245563164</v>
      </c>
      <c r="BC59" s="1261">
        <f t="shared" si="216"/>
        <v>317.46278388278387</v>
      </c>
      <c r="BD59" s="2897">
        <f t="shared" si="216"/>
        <v>355.65406710568288</v>
      </c>
      <c r="BE59" s="1890">
        <f t="shared" si="216"/>
        <v>309.17654337899546</v>
      </c>
    </row>
    <row r="60" spans="1:57" ht="16.5" thickBot="1" x14ac:dyDescent="0.3">
      <c r="B60" s="82" t="s">
        <v>67</v>
      </c>
      <c r="C60" s="35" t="s">
        <v>69</v>
      </c>
      <c r="D60" s="1121">
        <f>+D67*D2*24</f>
        <v>0</v>
      </c>
      <c r="E60" s="557">
        <v>3205.6</v>
      </c>
      <c r="F60" s="1121">
        <f>+F67*F2*24</f>
        <v>0</v>
      </c>
      <c r="G60" s="56">
        <v>45.8</v>
      </c>
      <c r="H60" s="97">
        <f>+D60+F60</f>
        <v>0</v>
      </c>
      <c r="I60" s="535">
        <f>+E60+G60</f>
        <v>3251.4</v>
      </c>
      <c r="J60" s="1121">
        <f>+J67*J2*24</f>
        <v>0</v>
      </c>
      <c r="K60" s="56">
        <v>690.23999999996158</v>
      </c>
      <c r="L60" s="871">
        <f>+H60+J60</f>
        <v>0</v>
      </c>
      <c r="M60" s="1928">
        <f>+I60+K60</f>
        <v>3941.6399999999617</v>
      </c>
      <c r="N60" s="1121">
        <f>+N67*N2*24</f>
        <v>0</v>
      </c>
      <c r="O60" s="56">
        <v>12088.279999999999</v>
      </c>
      <c r="P60" s="2024">
        <f>+L60+N60</f>
        <v>0</v>
      </c>
      <c r="Q60" s="1871">
        <f>+M60+O60</f>
        <v>16029.91999999996</v>
      </c>
      <c r="R60" s="1121">
        <f>+R67*R2*24</f>
        <v>0</v>
      </c>
      <c r="S60" s="56">
        <v>15591.040000000008</v>
      </c>
      <c r="T60" s="2024">
        <f>+P60+R60</f>
        <v>0</v>
      </c>
      <c r="U60" s="1871">
        <f>+Q60+S60</f>
        <v>31620.95999999997</v>
      </c>
      <c r="V60" s="1121">
        <f>+V67*V2*24</f>
        <v>0</v>
      </c>
      <c r="W60" s="56">
        <v>7986.2400000000198</v>
      </c>
      <c r="X60" s="2025">
        <f t="shared" ref="X60" si="217">+V60+R60+N60</f>
        <v>0</v>
      </c>
      <c r="Y60" s="289">
        <f t="shared" ref="Y60" si="218">+W60+S60+O60</f>
        <v>35665.560000000027</v>
      </c>
      <c r="Z60" s="1130">
        <f>+T60+V60</f>
        <v>0</v>
      </c>
      <c r="AA60" s="1237">
        <f>+U60+W60</f>
        <v>39607.19999999999</v>
      </c>
      <c r="AB60" s="1121">
        <f>+AB67*AB2*24</f>
        <v>0</v>
      </c>
      <c r="AC60" s="56">
        <v>6083.3599999999569</v>
      </c>
      <c r="AD60" s="2024">
        <f>+Z60+AB60</f>
        <v>0</v>
      </c>
      <c r="AE60" s="1871">
        <f>+AA60+AC60</f>
        <v>45690.559999999947</v>
      </c>
      <c r="AF60" s="1121">
        <f>+AF67*AF2*24</f>
        <v>0</v>
      </c>
      <c r="AG60" s="56">
        <v>8203.4559999999474</v>
      </c>
      <c r="AH60" s="2024">
        <f>+AD60+AF60</f>
        <v>0</v>
      </c>
      <c r="AI60" s="1871">
        <f>+AE60+AG60</f>
        <v>53894.015999999894</v>
      </c>
      <c r="AJ60" s="1121">
        <f>+AJ67*AJ2*24</f>
        <v>0</v>
      </c>
      <c r="AK60" s="56">
        <v>5717.679999999993</v>
      </c>
      <c r="AL60" s="2025">
        <f t="shared" ref="AL60" si="219">+AJ60+AF60+AB60</f>
        <v>0</v>
      </c>
      <c r="AM60" s="289">
        <f t="shared" ref="AM60" si="220">+AK60+AG60+AC60</f>
        <v>20004.495999999897</v>
      </c>
      <c r="AN60" s="2024">
        <f>+AH60+AJ60</f>
        <v>0</v>
      </c>
      <c r="AO60" s="1871">
        <f>+AI60+AK60</f>
        <v>59611.695999999887</v>
      </c>
      <c r="AP60" s="1121">
        <f>+AP67*AP2*24</f>
        <v>0</v>
      </c>
      <c r="AQ60" s="56">
        <v>2317.9200000000419</v>
      </c>
      <c r="AR60" s="2024">
        <f>+AN60+AP60</f>
        <v>0</v>
      </c>
      <c r="AS60" s="1871">
        <f>+AO60+AQ60</f>
        <v>61929.615999999929</v>
      </c>
      <c r="AT60" s="1121">
        <f>+AT67*AT2*24</f>
        <v>0</v>
      </c>
      <c r="AU60" s="56">
        <v>31.600000000005821</v>
      </c>
      <c r="AV60" s="2024">
        <f>+AR60+AT60</f>
        <v>0</v>
      </c>
      <c r="AW60" s="1871">
        <f>+AS60+AU60</f>
        <v>61961.215999999935</v>
      </c>
      <c r="AX60" s="1121">
        <f>+AX67*AX2*24</f>
        <v>0</v>
      </c>
      <c r="AY60" s="56">
        <v>35.660000000003492</v>
      </c>
      <c r="AZ60" s="2025">
        <f t="shared" ref="AZ60" si="221">+AX60+AT60+AP60</f>
        <v>0</v>
      </c>
      <c r="BA60" s="289">
        <f t="shared" ref="BA60" si="222">+AY60+AU60+AQ60</f>
        <v>2385.1800000000512</v>
      </c>
      <c r="BB60" s="1130">
        <f>+AL60+AZ60</f>
        <v>0</v>
      </c>
      <c r="BC60" s="1237">
        <f>+AM60+BA60</f>
        <v>22389.675999999949</v>
      </c>
      <c r="BD60" s="2024">
        <f>+AV60+AX60</f>
        <v>0</v>
      </c>
      <c r="BE60" s="1871">
        <f>+AW60+AY60</f>
        <v>61996.875999999938</v>
      </c>
    </row>
    <row r="61" spans="1:57" ht="19.5" thickBot="1" x14ac:dyDescent="0.3">
      <c r="B61" s="83" t="s">
        <v>68</v>
      </c>
      <c r="C61" s="2408" t="s">
        <v>69</v>
      </c>
      <c r="D61" s="2148">
        <f t="shared" ref="D61:I61" si="223">+D58-D60</f>
        <v>219588.08592930192</v>
      </c>
      <c r="E61" s="2412">
        <f t="shared" si="223"/>
        <v>163608.99999999997</v>
      </c>
      <c r="F61" s="2148">
        <f t="shared" ref="F61" si="224">+F58-F60</f>
        <v>237241.51199999999</v>
      </c>
      <c r="G61" s="2412">
        <f t="shared" si="223"/>
        <v>184336.2</v>
      </c>
      <c r="H61" s="3006">
        <f t="shared" si="223"/>
        <v>456829.5979293019</v>
      </c>
      <c r="I61" s="116">
        <f t="shared" si="223"/>
        <v>347945.19999999995</v>
      </c>
      <c r="J61" s="2148">
        <f t="shared" ref="J61" si="225">+J58-J60</f>
        <v>263113.13309322024</v>
      </c>
      <c r="K61" s="2412">
        <f t="shared" ref="K61:N61" si="226">+K58-K60</f>
        <v>230718.96000000002</v>
      </c>
      <c r="L61" s="171">
        <f t="shared" si="226"/>
        <v>719942.73102252209</v>
      </c>
      <c r="M61" s="1946">
        <f t="shared" si="226"/>
        <v>578664.16</v>
      </c>
      <c r="N61" s="2148">
        <f t="shared" si="226"/>
        <v>272281.89701032819</v>
      </c>
      <c r="O61" s="1916">
        <f t="shared" ref="O61:R61" si="227">+O58-O60</f>
        <v>232457.56</v>
      </c>
      <c r="P61" s="3007">
        <f t="shared" si="227"/>
        <v>992224.62803285033</v>
      </c>
      <c r="Q61" s="1891">
        <f t="shared" si="227"/>
        <v>811121.72000000009</v>
      </c>
      <c r="R61" s="2148">
        <f t="shared" si="227"/>
        <v>270468.56646680023</v>
      </c>
      <c r="S61" s="1916">
        <f t="shared" ref="S61:V61" si="228">+S58-S60</f>
        <v>237351.67999999999</v>
      </c>
      <c r="T61" s="3007">
        <f t="shared" si="228"/>
        <v>1262693.1944996505</v>
      </c>
      <c r="U61" s="1891">
        <f t="shared" si="228"/>
        <v>1048473.4000000001</v>
      </c>
      <c r="V61" s="2148">
        <f t="shared" si="228"/>
        <v>261870.08565993269</v>
      </c>
      <c r="W61" s="1916">
        <f t="shared" ref="W61" si="229">+W58-W60</f>
        <v>233628.47999999998</v>
      </c>
      <c r="X61" s="3008">
        <f t="shared" ref="X61:AE61" si="230">+X58-X60</f>
        <v>804620.54913706111</v>
      </c>
      <c r="Y61" s="172">
        <f t="shared" si="230"/>
        <v>703437.72</v>
      </c>
      <c r="Z61" s="3009">
        <f t="shared" si="230"/>
        <v>1524563.2801595833</v>
      </c>
      <c r="AA61" s="1262">
        <f t="shared" si="230"/>
        <v>1282101.8800000001</v>
      </c>
      <c r="AB61" s="2148">
        <f t="shared" si="230"/>
        <v>271517.88247728755</v>
      </c>
      <c r="AC61" s="1916">
        <f t="shared" si="230"/>
        <v>254772.80000000005</v>
      </c>
      <c r="AD61" s="3007">
        <f t="shared" si="230"/>
        <v>1796081.1626368708</v>
      </c>
      <c r="AE61" s="1891">
        <f t="shared" si="230"/>
        <v>1536874.68</v>
      </c>
      <c r="AF61" s="2148">
        <f t="shared" ref="AF61:AI61" si="231">+AF58-AF60</f>
        <v>262305.44186056056</v>
      </c>
      <c r="AG61" s="1916">
        <f t="shared" si="231"/>
        <v>245817.82400000002</v>
      </c>
      <c r="AH61" s="3007">
        <f t="shared" si="231"/>
        <v>2058386.6044974313</v>
      </c>
      <c r="AI61" s="1891">
        <f t="shared" si="231"/>
        <v>1782692.5040000002</v>
      </c>
      <c r="AJ61" s="2148">
        <f t="shared" ref="AJ61:AO61" si="232">+AJ58-AJ60</f>
        <v>271695.56340021966</v>
      </c>
      <c r="AK61" s="1916">
        <f t="shared" si="232"/>
        <v>262614.32</v>
      </c>
      <c r="AL61" s="3008">
        <f t="shared" si="232"/>
        <v>805518.88773806777</v>
      </c>
      <c r="AM61" s="172">
        <f t="shared" si="232"/>
        <v>763204.94400000002</v>
      </c>
      <c r="AN61" s="3007">
        <f t="shared" si="232"/>
        <v>2330082.167897651</v>
      </c>
      <c r="AO61" s="1891">
        <f t="shared" si="232"/>
        <v>2045306.824</v>
      </c>
      <c r="AP61" s="2148">
        <f t="shared" ref="AP61:AS61" si="233">+AP58-AP60</f>
        <v>271873.24432315177</v>
      </c>
      <c r="AQ61" s="1916">
        <f t="shared" si="233"/>
        <v>266307.83999999997</v>
      </c>
      <c r="AR61" s="3007">
        <f t="shared" si="233"/>
        <v>2601955.4122208026</v>
      </c>
      <c r="AS61" s="1891">
        <f t="shared" si="233"/>
        <v>2311614.6640000003</v>
      </c>
      <c r="AT61" s="2148">
        <f t="shared" ref="AT61:AW61" si="234">+AT58-AT60</f>
        <v>241700.97130182767</v>
      </c>
      <c r="AU61" s="1916">
        <f t="shared" si="234"/>
        <v>168910.63999999998</v>
      </c>
      <c r="AV61" s="3007">
        <f t="shared" si="234"/>
        <v>2843656.3835226302</v>
      </c>
      <c r="AW61" s="1891">
        <f t="shared" si="234"/>
        <v>2480525.3040000005</v>
      </c>
      <c r="AX61" s="2148">
        <f t="shared" ref="AX61:BE61" si="235">+AX58-AX60</f>
        <v>271873.24432315177</v>
      </c>
      <c r="AY61" s="1916">
        <f t="shared" si="235"/>
        <v>165864.34</v>
      </c>
      <c r="AZ61" s="3008">
        <f t="shared" si="235"/>
        <v>785447.45994813123</v>
      </c>
      <c r="BA61" s="172">
        <f t="shared" si="235"/>
        <v>601082.81999999995</v>
      </c>
      <c r="BB61" s="3009">
        <f t="shared" si="235"/>
        <v>1590966.347686199</v>
      </c>
      <c r="BC61" s="1262">
        <f t="shared" si="235"/>
        <v>1364287.764</v>
      </c>
      <c r="BD61" s="3007">
        <f t="shared" si="235"/>
        <v>3115529.6278457819</v>
      </c>
      <c r="BE61" s="1891">
        <f t="shared" si="235"/>
        <v>2646389.6440000003</v>
      </c>
    </row>
    <row r="62" spans="1:57" ht="20.25" x14ac:dyDescent="0.25">
      <c r="A62" s="5284"/>
      <c r="B62" s="126" t="s">
        <v>527</v>
      </c>
      <c r="C62" s="117"/>
      <c r="D62" s="3010"/>
      <c r="E62" s="117"/>
      <c r="F62" s="3010"/>
      <c r="G62" s="117"/>
      <c r="H62" s="117"/>
      <c r="I62" s="117"/>
      <c r="J62" s="3010"/>
      <c r="K62" s="117"/>
      <c r="L62" s="117"/>
      <c r="M62" s="117"/>
      <c r="N62" s="3011"/>
      <c r="O62" s="1917"/>
      <c r="P62" s="117"/>
      <c r="Q62" s="117"/>
      <c r="R62" s="3011"/>
      <c r="S62" s="1917"/>
      <c r="T62" s="117"/>
      <c r="U62" s="117"/>
      <c r="V62" s="3011"/>
      <c r="W62" s="1917"/>
      <c r="X62" s="117"/>
      <c r="Y62" s="117"/>
      <c r="Z62" s="117"/>
      <c r="AA62" s="117"/>
      <c r="AB62" s="3011"/>
      <c r="AC62" s="1917"/>
      <c r="AD62" s="117"/>
      <c r="AE62" s="117"/>
      <c r="AF62" s="3011"/>
      <c r="AG62" s="1917"/>
      <c r="AH62" s="117"/>
      <c r="AI62" s="117"/>
      <c r="AJ62" s="3011"/>
      <c r="AK62" s="1917"/>
      <c r="AL62" s="117"/>
      <c r="AM62" s="117"/>
      <c r="AN62" s="117"/>
      <c r="AO62" s="117"/>
      <c r="AP62" s="3011"/>
      <c r="AQ62" s="1917"/>
      <c r="AR62" s="117"/>
      <c r="AS62" s="117"/>
      <c r="AT62" s="3011"/>
      <c r="AU62" s="1917"/>
      <c r="AV62" s="117"/>
      <c r="AW62" s="117"/>
      <c r="AX62" s="3011"/>
      <c r="AY62" s="1917"/>
      <c r="AZ62" s="117"/>
      <c r="BA62" s="117"/>
      <c r="BB62" s="117"/>
      <c r="BC62" s="117"/>
      <c r="BD62" s="117"/>
      <c r="BE62" s="117"/>
    </row>
    <row r="63" spans="1:57" ht="15.75" customHeight="1" x14ac:dyDescent="0.25">
      <c r="A63" s="5284"/>
      <c r="B63" s="127" t="s">
        <v>418</v>
      </c>
      <c r="C63" s="109"/>
      <c r="D63" s="625"/>
      <c r="E63" s="264"/>
      <c r="F63" s="625"/>
      <c r="G63" s="264"/>
      <c r="H63" s="109"/>
      <c r="I63" s="109"/>
      <c r="J63" s="625"/>
      <c r="K63" s="109"/>
      <c r="L63" s="109"/>
      <c r="M63" s="109"/>
      <c r="N63" s="3012"/>
      <c r="O63" s="1918"/>
      <c r="P63" s="109"/>
      <c r="Q63" s="109"/>
      <c r="R63" s="3012"/>
      <c r="S63" s="1918"/>
      <c r="T63" s="109"/>
      <c r="U63" s="109"/>
      <c r="V63" s="3012"/>
      <c r="W63" s="1918"/>
      <c r="X63" s="109"/>
      <c r="Y63" s="109"/>
      <c r="Z63" s="109"/>
      <c r="AA63" s="109"/>
      <c r="AB63" s="3012"/>
      <c r="AC63" s="1918"/>
      <c r="AD63" s="109"/>
      <c r="AE63" s="109"/>
      <c r="AF63" s="3012"/>
      <c r="AG63" s="1918"/>
      <c r="AH63" s="109"/>
      <c r="AI63" s="109"/>
      <c r="AJ63" s="3012"/>
      <c r="AK63" s="1918"/>
      <c r="AL63" s="109"/>
      <c r="AM63" s="109"/>
      <c r="AN63" s="109"/>
      <c r="AO63" s="109"/>
      <c r="AP63" s="3012"/>
      <c r="AQ63" s="1918"/>
      <c r="AR63" s="109"/>
      <c r="AS63" s="109"/>
      <c r="AT63" s="3012"/>
      <c r="AU63" s="1918"/>
      <c r="AV63" s="109"/>
      <c r="AW63" s="109"/>
      <c r="AX63" s="3012"/>
      <c r="AY63" s="1918"/>
      <c r="AZ63" s="109"/>
      <c r="BA63" s="109"/>
      <c r="BB63" s="109"/>
      <c r="BC63" s="109"/>
      <c r="BD63" s="109"/>
      <c r="BE63" s="109"/>
    </row>
    <row r="64" spans="1:57" ht="15.75" x14ac:dyDescent="0.25">
      <c r="A64" s="5284"/>
      <c r="B64" s="128" t="s">
        <v>518</v>
      </c>
      <c r="C64" s="111" t="s">
        <v>528</v>
      </c>
      <c r="D64" s="2406">
        <v>248.98345267958601</v>
      </c>
      <c r="E64" s="449">
        <f>+E56/(30*24)</f>
        <v>170.33388888888888</v>
      </c>
      <c r="F64" s="2406">
        <v>262.87299999999999</v>
      </c>
      <c r="G64" s="119">
        <f>+G56/(31*24)</f>
        <v>186.69946236559139</v>
      </c>
      <c r="H64" s="687">
        <f>+((D64*D$2)+(F$2*F64))/H$2</f>
        <v>256.04207508832098</v>
      </c>
      <c r="I64" s="687">
        <f>+((E64*E$2)+(G$2*G64))/I$2</f>
        <v>178.65081967213115</v>
      </c>
      <c r="J64" s="823">
        <v>312.43490707391703</v>
      </c>
      <c r="K64" s="119">
        <v>266.56399999999996</v>
      </c>
      <c r="L64" s="869">
        <f>+((H64*H$2)+(J$2*J64))/L$2</f>
        <v>274.63311860005592</v>
      </c>
      <c r="M64" s="881">
        <f>+((I64*I$2)+(K$2*K64))/M$2</f>
        <v>207.6331868131868</v>
      </c>
      <c r="N64" s="2406">
        <v>312.97029168054866</v>
      </c>
      <c r="O64" s="225">
        <v>264.56741935483871</v>
      </c>
      <c r="P64" s="972">
        <f>+((L64*L$2)+(N$2*N64))/P$2</f>
        <v>284.37453143198445</v>
      </c>
      <c r="Q64" s="878">
        <f>+((M64*M$2)+(O$2*O64))/Q$2</f>
        <v>222.1000819672131</v>
      </c>
      <c r="R64" s="2406">
        <v>310.53301944462396</v>
      </c>
      <c r="S64" s="225">
        <v>277.01225806451612</v>
      </c>
      <c r="T64" s="972">
        <f>+((P64*P$2)+(R$2*R64))/T$2</f>
        <v>289.67461723846696</v>
      </c>
      <c r="U64" s="878">
        <f>+((Q64*Q$2)+(S$2*S64))/U$2</f>
        <v>233.22607843137251</v>
      </c>
      <c r="V64" s="2406">
        <v>310.70845230546206</v>
      </c>
      <c r="W64" s="225">
        <v>268.25099999999998</v>
      </c>
      <c r="X64" s="973">
        <f>+((N64*N$2)+(R64*R$2)+(V$2*V64))/X$2</f>
        <v>311.4114805874371</v>
      </c>
      <c r="Y64" s="869">
        <f>+((O64*O$2)+(S64*S$2)+(W$2*W64))/Y$2</f>
        <v>269.96195652173913</v>
      </c>
      <c r="Z64" s="1238">
        <f>+((T64*T$2)+(V$2*V64))/Z$2</f>
        <v>293.12278692158094</v>
      </c>
      <c r="AA64" s="1238">
        <f>+((U64*U$2)+(W$2*W64))/AA$2</f>
        <v>238.96786885245899</v>
      </c>
      <c r="AB64" s="3160">
        <v>311.94339042646175</v>
      </c>
      <c r="AC64" s="225">
        <v>278.90150537634406</v>
      </c>
      <c r="AD64" s="972">
        <f>+((Z64*Z$2)+(AB$2*AB64))/AD$2</f>
        <v>295.84913602742813</v>
      </c>
      <c r="AE64" s="878">
        <f>+((AA64*AA$2)+(AC$2*AC64))/AE$2</f>
        <v>244.75264797507788</v>
      </c>
      <c r="AF64" s="3317">
        <v>311.31311369522302</v>
      </c>
      <c r="AG64" s="225">
        <v>278.52999999999997</v>
      </c>
      <c r="AH64" s="972">
        <f>+((AD64*AD$2)+(AF$2*AF64))/AH$2</f>
        <v>297.75044475707506</v>
      </c>
      <c r="AI64" s="878">
        <f>+((AE64*AE$2)+(AG$2*AG64))/AI$2</f>
        <v>248.90560109289618</v>
      </c>
      <c r="AJ64" s="3502">
        <v>312.18220887126296</v>
      </c>
      <c r="AK64" s="225">
        <v>285.97322580645158</v>
      </c>
      <c r="AL64" s="973">
        <f>+((AB64*AB$2)+(AF64*AF$2)+(AJ$2*AJ64))/AL$2</f>
        <v>311.81833683789301</v>
      </c>
      <c r="AM64" s="869">
        <f>+((AC64*AC$2)+(AG64*AG$2)+(AK$2*AK64))/AM$2</f>
        <v>281.16322463768114</v>
      </c>
      <c r="AN64" s="972">
        <f>+((AH64*AH$2)+(AJ$2*AJ64))/AN$2</f>
        <v>299.37729816631077</v>
      </c>
      <c r="AO64" s="878">
        <f>+((AI64*AI$2)+(AK$2*AK64))/AO$2</f>
        <v>253.08413333333331</v>
      </c>
      <c r="AP64" s="3502">
        <v>312.42102731606423</v>
      </c>
      <c r="AQ64" s="225">
        <v>288.3477419354839</v>
      </c>
      <c r="AR64" s="972">
        <f>+((AN64*AN$2)+(AP$2*AP64))/AR$2</f>
        <v>300.69872170762562</v>
      </c>
      <c r="AS64" s="878">
        <f>+((AO64*AO$2)+(AQ$2*AQ64))/AS$2</f>
        <v>256.65659041394332</v>
      </c>
      <c r="AT64" s="3502">
        <v>306.67406443724354</v>
      </c>
      <c r="AU64" s="225">
        <v>185.02500000000001</v>
      </c>
      <c r="AV64" s="972">
        <f>+((AR64*AR$2)+(AT$2*AT64))/AV$2</f>
        <v>301.19964864304268</v>
      </c>
      <c r="AW64" s="878">
        <f>+((AS64*AS$2)+(AU$2*AU64))/AW$2</f>
        <v>250.65154690618758</v>
      </c>
      <c r="AX64" s="3502">
        <v>312.42102731606423</v>
      </c>
      <c r="AY64" s="225">
        <v>151.83548387096775</v>
      </c>
      <c r="AZ64" s="973">
        <f>+((AP64*AP$2)+(AT64*AT$2)+(AX$2*AX64))/AZ$2</f>
        <v>310.63308330932</v>
      </c>
      <c r="BA64" s="869">
        <f>+((AQ64*AQ$2)+(AU64*AU$2)+(AY$2*AY64))/BA$2</f>
        <v>209.18200000000002</v>
      </c>
      <c r="BB64" s="1238">
        <f>+((AL64*AL$2)+(AZ$2*AZ64))/BB$2</f>
        <v>311.23222245563164</v>
      </c>
      <c r="BC64" s="1238">
        <f>+((AM64*AM$2)+(BA$2*BA64))/BC$2</f>
        <v>245.56811355311356</v>
      </c>
      <c r="BD64" s="972">
        <f>+((AV64*AV$2)+(AX$2*AX64))/BD$2</f>
        <v>302.15269724266915</v>
      </c>
      <c r="BE64" s="878">
        <f>+((AW64*AW$2)+(AY$2*AY64))/BE$2</f>
        <v>242.25894977168946</v>
      </c>
    </row>
    <row r="65" spans="1:60" ht="16.5" thickBot="1" x14ac:dyDescent="0.3">
      <c r="A65" s="5284"/>
      <c r="B65" s="130" t="s">
        <v>59</v>
      </c>
      <c r="C65" s="112" t="s">
        <v>528</v>
      </c>
      <c r="D65" s="2398">
        <v>56</v>
      </c>
      <c r="E65" s="449">
        <f>+E57/(30*24)</f>
        <v>61.353055555555549</v>
      </c>
      <c r="F65" s="2398">
        <v>56</v>
      </c>
      <c r="G65" s="119">
        <f>+G57/(31*24)</f>
        <v>61.125806451612902</v>
      </c>
      <c r="H65" s="687">
        <f>+((D65*D$2)+(F$2*F65))/H$2</f>
        <v>56</v>
      </c>
      <c r="I65" s="687">
        <f>+((E65*E$2)+(G$2*G65))/I$2</f>
        <v>61.237568306010928</v>
      </c>
      <c r="J65" s="1996">
        <v>53</v>
      </c>
      <c r="K65" s="119">
        <v>54.837666666666671</v>
      </c>
      <c r="L65" s="869">
        <f>+((H65*H$2)+(J$2*J65))/L$2</f>
        <v>55.010989010989015</v>
      </c>
      <c r="M65" s="881">
        <f>+((I65*I$2)+(K$2*K65))/M$2</f>
        <v>59.127710622710623</v>
      </c>
      <c r="N65" s="2398">
        <v>53</v>
      </c>
      <c r="O65" s="225">
        <v>64.123225806451615</v>
      </c>
      <c r="P65" s="972">
        <f>+((L65*L$2)+(N$2*N65))/P$2</f>
        <v>54.5</v>
      </c>
      <c r="Q65" s="878">
        <f>+((M65*M$2)+(O$2*O65))/Q$2</f>
        <v>60.397062841530058</v>
      </c>
      <c r="R65" s="2398">
        <v>53</v>
      </c>
      <c r="S65" s="225">
        <v>62.964516129032255</v>
      </c>
      <c r="T65" s="972">
        <f>+((P65*P$2)+(R$2*R65))/T$2</f>
        <v>54.196078431372548</v>
      </c>
      <c r="U65" s="878">
        <f>+((Q65*Q$2)+(S$2*S65))/U$2</f>
        <v>60.917265795206973</v>
      </c>
      <c r="V65" s="2398">
        <v>53</v>
      </c>
      <c r="W65" s="225">
        <v>67.325000000000003</v>
      </c>
      <c r="X65" s="973">
        <f>+((N65*N$2)+(R64*R$2)+(V$2*V65))/X$2</f>
        <v>139.77743046503633</v>
      </c>
      <c r="Y65" s="869">
        <f>+((O65*O$2)+(S64*S$2)+(W$2*W65))/Y$2</f>
        <v>136.90163043478259</v>
      </c>
      <c r="Z65" s="1238">
        <f>+((T65*T$2)+(V$2*V65))/Z$2</f>
        <v>54</v>
      </c>
      <c r="AA65" s="1238">
        <f>+((U65*U$2)+(W$2*W65))/AA$2</f>
        <v>61.967714025500911</v>
      </c>
      <c r="AB65" s="3155">
        <v>53</v>
      </c>
      <c r="AC65" s="225">
        <v>71.711612903225813</v>
      </c>
      <c r="AD65" s="972">
        <f>+((Z65*Z$2)+(AB$2*AB65))/AD$2</f>
        <v>53.855140186915889</v>
      </c>
      <c r="AE65" s="878">
        <f>+((AA65*AA$2)+(AC$2*AC65))/AE$2</f>
        <v>63.379213395638637</v>
      </c>
      <c r="AF65" s="3312">
        <v>53</v>
      </c>
      <c r="AG65" s="225">
        <v>74.277333333333345</v>
      </c>
      <c r="AH65" s="972">
        <f>+((AD65*AD$2)+(AF$2*AF65))/AH$2</f>
        <v>53.75</v>
      </c>
      <c r="AI65" s="878">
        <f>+((AE65*AE$2)+(AG$2*AG65))/AI$2</f>
        <v>64.719146174863397</v>
      </c>
      <c r="AJ65" s="3589">
        <v>53</v>
      </c>
      <c r="AK65" s="225">
        <v>74.688064516129032</v>
      </c>
      <c r="AL65" s="973">
        <f>+((AB65*AB$2)+(AF64*AF$2)+(AJ$2*AJ65))/AL$2</f>
        <v>137.23253707452923</v>
      </c>
      <c r="AM65" s="869">
        <f>+((AC65*AC$2)+(AG64*AG$2)+(AK$2*AK65))/AM$2</f>
        <v>140.15532608695651</v>
      </c>
      <c r="AN65" s="972">
        <f>+((AH65*AH$2)+(AJ$2*AJ65))/AN$2</f>
        <v>53.665454545454544</v>
      </c>
      <c r="AO65" s="878">
        <f>+((AI65*AI$2)+(AK$2*AK65))/AO$2</f>
        <v>65.842915151515143</v>
      </c>
      <c r="AP65" s="3958">
        <v>53</v>
      </c>
      <c r="AQ65" s="225">
        <v>72.708387096774189</v>
      </c>
      <c r="AR65" s="972">
        <f>+((AN65*AN$2)+(AP$2*AP65))/AR$2</f>
        <v>53.598039215686278</v>
      </c>
      <c r="AS65" s="878">
        <f>+((AO65*AO$2)+(AQ$2*AQ65))/AS$2</f>
        <v>66.538436819172091</v>
      </c>
      <c r="AT65" s="4077">
        <v>53</v>
      </c>
      <c r="AU65" s="225">
        <v>66.377142857142857</v>
      </c>
      <c r="AV65" s="972">
        <f>+((AR65*AR$2)+(AT$2*AT65))/AV$2</f>
        <v>53.547904191616766</v>
      </c>
      <c r="AW65" s="878">
        <f>+((AS65*AS$2)+(AU$2*AU65))/AW$2</f>
        <v>66.524915169660659</v>
      </c>
      <c r="AX65" s="4399">
        <v>53</v>
      </c>
      <c r="AY65" s="225">
        <v>71.148387096774201</v>
      </c>
      <c r="AZ65" s="973">
        <f>+((AP65*AP$2)+(AT64*AT$2)+(AX$2*AX65))/AZ$2</f>
        <v>131.92082004714243</v>
      </c>
      <c r="BA65" s="869">
        <f>+((AQ65*AQ$2)+(AU64*AU$2)+(AY$2*AY65))/BA$2</f>
        <v>107.114</v>
      </c>
      <c r="BB65" s="1238">
        <f>+((AL65*AL$2)+(AZ$2*AZ65))/BB$2</f>
        <v>134.60586381922806</v>
      </c>
      <c r="BC65" s="1238">
        <f>+((AM65*AM$2)+(BA$2*BA65))/BC$2</f>
        <v>123.81620879120879</v>
      </c>
      <c r="BD65" s="972">
        <f>+((AV65*AV$2)+(AX$2*AX65))/BD$2</f>
        <v>53.5013698630137</v>
      </c>
      <c r="BE65" s="878">
        <f>+((AW65*AW$2)+(AY$2*AY65))/BE$2</f>
        <v>66.917593607305918</v>
      </c>
    </row>
    <row r="66" spans="1:60" ht="19.5" thickBot="1" x14ac:dyDescent="0.3">
      <c r="A66" s="5284"/>
      <c r="B66" s="131" t="s">
        <v>525</v>
      </c>
      <c r="C66" s="113" t="s">
        <v>528</v>
      </c>
      <c r="D66" s="1620">
        <f t="shared" ref="D66:I66" si="236">SUM(D64:D65)</f>
        <v>304.98345267958598</v>
      </c>
      <c r="E66" s="231">
        <f t="shared" si="236"/>
        <v>231.68694444444444</v>
      </c>
      <c r="F66" s="1620">
        <f t="shared" ref="F66" si="237">SUM(F64:F65)</f>
        <v>318.87299999999999</v>
      </c>
      <c r="G66" s="124">
        <f t="shared" si="236"/>
        <v>247.82526881720429</v>
      </c>
      <c r="H66" s="2672">
        <f t="shared" si="236"/>
        <v>312.04207508832098</v>
      </c>
      <c r="I66" s="1628">
        <f t="shared" si="236"/>
        <v>239.88838797814208</v>
      </c>
      <c r="J66" s="1620">
        <f t="shared" ref="J66" si="238">SUM(J64:J65)</f>
        <v>365.43490707391703</v>
      </c>
      <c r="K66" s="124">
        <f t="shared" ref="K66:N66" si="239">SUM(K64:K65)</f>
        <v>321.40166666666664</v>
      </c>
      <c r="L66" s="2673">
        <f t="shared" si="239"/>
        <v>329.64410761104494</v>
      </c>
      <c r="M66" s="1947">
        <f t="shared" si="239"/>
        <v>266.76089743589739</v>
      </c>
      <c r="N66" s="1620">
        <f t="shared" si="239"/>
        <v>365.97029168054866</v>
      </c>
      <c r="O66" s="327">
        <f t="shared" ref="O66:R66" si="240">SUM(O64:O65)</f>
        <v>328.69064516129032</v>
      </c>
      <c r="P66" s="3013">
        <f t="shared" si="240"/>
        <v>338.87453143198445</v>
      </c>
      <c r="Q66" s="1892">
        <f t="shared" si="240"/>
        <v>282.49714480874314</v>
      </c>
      <c r="R66" s="1620">
        <f t="shared" si="240"/>
        <v>363.53301944462396</v>
      </c>
      <c r="S66" s="327">
        <f t="shared" ref="S66:V66" si="241">SUM(S64:S65)</f>
        <v>339.97677419354835</v>
      </c>
      <c r="T66" s="3013">
        <f t="shared" si="241"/>
        <v>343.87069566983951</v>
      </c>
      <c r="U66" s="1892">
        <f t="shared" si="241"/>
        <v>294.14334422657947</v>
      </c>
      <c r="V66" s="1620">
        <f t="shared" si="241"/>
        <v>363.70845230546206</v>
      </c>
      <c r="W66" s="327">
        <f t="shared" ref="W66" si="242">SUM(W64:W65)</f>
        <v>335.57599999999996</v>
      </c>
      <c r="X66" s="3014">
        <f t="shared" ref="X66:AE66" si="243">SUM(X64:X65)</f>
        <v>451.18891105247343</v>
      </c>
      <c r="Y66" s="1629">
        <f t="shared" si="243"/>
        <v>406.86358695652171</v>
      </c>
      <c r="Z66" s="3015">
        <f t="shared" si="243"/>
        <v>347.12278692158094</v>
      </c>
      <c r="AA66" s="1263">
        <f t="shared" si="243"/>
        <v>300.93558287795992</v>
      </c>
      <c r="AB66" s="1620">
        <f t="shared" si="243"/>
        <v>364.94339042646175</v>
      </c>
      <c r="AC66" s="327">
        <f t="shared" si="243"/>
        <v>350.6131182795699</v>
      </c>
      <c r="AD66" s="3013">
        <f t="shared" si="243"/>
        <v>349.70427621434402</v>
      </c>
      <c r="AE66" s="1892">
        <f t="shared" si="243"/>
        <v>308.13186137071654</v>
      </c>
      <c r="AF66" s="1620">
        <f t="shared" ref="AF66:AI66" si="244">SUM(AF64:AF65)</f>
        <v>364.31311369522302</v>
      </c>
      <c r="AG66" s="327">
        <f t="shared" si="244"/>
        <v>352.8073333333333</v>
      </c>
      <c r="AH66" s="3013">
        <f t="shared" si="244"/>
        <v>351.50044475707506</v>
      </c>
      <c r="AI66" s="1892">
        <f t="shared" si="244"/>
        <v>313.62474726775957</v>
      </c>
      <c r="AJ66" s="1620">
        <f t="shared" ref="AJ66:AO66" si="245">SUM(AJ64:AJ65)</f>
        <v>365.18220887126296</v>
      </c>
      <c r="AK66" s="327">
        <f t="shared" si="245"/>
        <v>360.66129032258061</v>
      </c>
      <c r="AL66" s="3014">
        <f t="shared" si="245"/>
        <v>449.05087391242228</v>
      </c>
      <c r="AM66" s="1629">
        <f t="shared" si="245"/>
        <v>421.31855072463765</v>
      </c>
      <c r="AN66" s="3013">
        <f t="shared" si="245"/>
        <v>353.04275271176533</v>
      </c>
      <c r="AO66" s="1892">
        <f t="shared" si="245"/>
        <v>318.92704848484846</v>
      </c>
      <c r="AP66" s="1620">
        <f t="shared" ref="AP66:AS66" si="246">SUM(AP64:AP65)</f>
        <v>365.42102731606423</v>
      </c>
      <c r="AQ66" s="327">
        <f t="shared" si="246"/>
        <v>361.05612903225807</v>
      </c>
      <c r="AR66" s="3013">
        <f t="shared" si="246"/>
        <v>354.29676092331192</v>
      </c>
      <c r="AS66" s="1892">
        <f t="shared" si="246"/>
        <v>323.19502723311541</v>
      </c>
      <c r="AT66" s="1620">
        <f t="shared" ref="AT66:AW66" si="247">SUM(AT64:AT65)</f>
        <v>359.67406443724354</v>
      </c>
      <c r="AU66" s="327">
        <f t="shared" si="247"/>
        <v>251.40214285714285</v>
      </c>
      <c r="AV66" s="3013">
        <f t="shared" si="247"/>
        <v>354.74755283465947</v>
      </c>
      <c r="AW66" s="1892">
        <f t="shared" si="247"/>
        <v>317.17646207584824</v>
      </c>
      <c r="AX66" s="1620">
        <f t="shared" ref="AX66:BE66" si="248">SUM(AX64:AX65)</f>
        <v>365.42102731606423</v>
      </c>
      <c r="AY66" s="327">
        <f t="shared" si="248"/>
        <v>222.98387096774195</v>
      </c>
      <c r="AZ66" s="3014">
        <f t="shared" si="248"/>
        <v>442.55390335646246</v>
      </c>
      <c r="BA66" s="1629">
        <f t="shared" si="248"/>
        <v>316.29600000000005</v>
      </c>
      <c r="BB66" s="3015">
        <f t="shared" si="248"/>
        <v>445.83808627485973</v>
      </c>
      <c r="BC66" s="1263">
        <f t="shared" si="248"/>
        <v>369.38432234432236</v>
      </c>
      <c r="BD66" s="3013">
        <f t="shared" si="248"/>
        <v>355.65406710568283</v>
      </c>
      <c r="BE66" s="1892">
        <f t="shared" si="248"/>
        <v>309.17654337899535</v>
      </c>
    </row>
    <row r="67" spans="1:60" ht="15.75" x14ac:dyDescent="0.25">
      <c r="A67" s="5284"/>
      <c r="B67" s="132" t="s">
        <v>521</v>
      </c>
      <c r="C67" s="114" t="s">
        <v>528</v>
      </c>
      <c r="D67" s="2399"/>
      <c r="E67" s="232">
        <f>+E60/(30*24)</f>
        <v>4.4522222222222219</v>
      </c>
      <c r="F67" s="2399"/>
      <c r="G67" s="121">
        <f>+G60/(30*24)</f>
        <v>6.3611111111111104E-2</v>
      </c>
      <c r="H67" s="122">
        <v>0</v>
      </c>
      <c r="I67" s="129">
        <f>+((E67*E$2)+(G$2*G67))/I$2</f>
        <v>2.2219444444444441</v>
      </c>
      <c r="J67" s="2399"/>
      <c r="K67" s="121">
        <v>0.95866666666661327</v>
      </c>
      <c r="L67" s="2401">
        <v>0</v>
      </c>
      <c r="M67" s="881">
        <f>+((I67*I$2)+(K$2*K67))/M$2</f>
        <v>1.8054792429792252</v>
      </c>
      <c r="N67" s="2399"/>
      <c r="O67" s="1919">
        <v>16.247688172043009</v>
      </c>
      <c r="P67" s="2402">
        <v>0</v>
      </c>
      <c r="Q67" s="878">
        <f>+((M67*M$2)+(O$2*O67))/Q$2</f>
        <v>5.4752208561019904</v>
      </c>
      <c r="R67" s="2399"/>
      <c r="S67" s="1919">
        <v>20.955698924731195</v>
      </c>
      <c r="T67" s="2402">
        <v>0</v>
      </c>
      <c r="U67" s="878">
        <f>+((Q67*Q$2)+(S$2*S67))/U$2</f>
        <v>8.6117883079157505</v>
      </c>
      <c r="V67" s="2399"/>
      <c r="W67" s="1919">
        <v>11.092000000000027</v>
      </c>
      <c r="X67" s="1122"/>
      <c r="Y67" s="174">
        <f>+((O67*O$2)+(S67*S$2)+(W$2*W67))/Y$2</f>
        <v>16.15288043478262</v>
      </c>
      <c r="Z67" s="2403">
        <v>0</v>
      </c>
      <c r="AA67" s="1238">
        <f>+((U67*U$2)+(W$2*W67))/AA$2</f>
        <v>9.0183803885853031</v>
      </c>
      <c r="AB67" s="3156"/>
      <c r="AC67" s="1919">
        <v>8.1765591397848887</v>
      </c>
      <c r="AD67" s="3158">
        <v>0</v>
      </c>
      <c r="AE67" s="878">
        <f>+((AA67*AA$2)+(AC$2*AC67))/AE$2</f>
        <v>8.8964343198338405</v>
      </c>
      <c r="AF67" s="3313"/>
      <c r="AG67" s="1919">
        <v>11.393688888888816</v>
      </c>
      <c r="AH67" s="3315">
        <v>0</v>
      </c>
      <c r="AI67" s="878">
        <f>+((AE67*AE$2)+(AG$2*AG67))/AI$2</f>
        <v>9.2034738160291223</v>
      </c>
      <c r="AJ67" s="3590"/>
      <c r="AK67" s="1919">
        <v>7.6850537634408509</v>
      </c>
      <c r="AL67" s="1122"/>
      <c r="AM67" s="174">
        <f>+((AC67*AC$2)+(AG67*AG$2)+(AK$2*AK67))/AM$2</f>
        <v>9.0600072463767649</v>
      </c>
      <c r="AN67" s="3504">
        <v>0</v>
      </c>
      <c r="AO67" s="878">
        <f>+((AI67*AI$2)+(AK$2*AK67))/AO$2</f>
        <v>9.0323064646464442</v>
      </c>
      <c r="AP67" s="3950"/>
      <c r="AQ67" s="1919">
        <v>3.1154838709677981</v>
      </c>
      <c r="AR67" s="3504">
        <v>0</v>
      </c>
      <c r="AS67" s="878">
        <f>+((AO67*AO$2)+(AQ$2*AQ67))/AS$2</f>
        <v>8.4328897966593921</v>
      </c>
      <c r="AT67" s="4073"/>
      <c r="AU67" s="4660">
        <v>4.7023809523818183E-2</v>
      </c>
      <c r="AV67" s="3504"/>
      <c r="AW67" s="878">
        <f>+((AS67*AS$2)+(AU$2*AU67))/AW$2</f>
        <v>7.7298830671989256</v>
      </c>
      <c r="AX67" s="4395"/>
      <c r="AY67" s="4660">
        <v>4.7930107526886416E-2</v>
      </c>
      <c r="AZ67" s="4392"/>
      <c r="BA67" s="174">
        <f>+((AQ67*AQ$2)+(AU67*AU$2)+(AY$2*AY67))/BA$2</f>
        <v>1.1042500000000237</v>
      </c>
      <c r="BB67" s="4394"/>
      <c r="BC67" s="1238">
        <f>+((AM67*AM$2)+(BA$2*BA67))/BC$2</f>
        <v>5.1258415750915631</v>
      </c>
      <c r="BD67" s="4393"/>
      <c r="BE67" s="878">
        <f>+((AW67*AW$2)+(AY$2*AY67))/BE$2</f>
        <v>7.0774432267884242</v>
      </c>
    </row>
    <row r="68" spans="1:60" ht="18.75" x14ac:dyDescent="0.25">
      <c r="A68" s="5284"/>
      <c r="B68" s="133" t="s">
        <v>526</v>
      </c>
      <c r="C68" s="115" t="s">
        <v>528</v>
      </c>
      <c r="D68" s="3016">
        <f t="shared" ref="D68:I68" si="249">+D66-D67</f>
        <v>304.98345267958598</v>
      </c>
      <c r="E68" s="337">
        <f t="shared" si="249"/>
        <v>227.23472222222222</v>
      </c>
      <c r="F68" s="3016">
        <f t="shared" ref="F68" si="250">+F66-F67</f>
        <v>318.87299999999999</v>
      </c>
      <c r="G68" s="125">
        <f t="shared" si="249"/>
        <v>247.76165770609319</v>
      </c>
      <c r="H68" s="3017">
        <f t="shared" si="249"/>
        <v>312.04207508832098</v>
      </c>
      <c r="I68" s="134">
        <f t="shared" si="249"/>
        <v>237.66644353369765</v>
      </c>
      <c r="J68" s="2072">
        <f t="shared" ref="J68" si="251">+J66-J67</f>
        <v>365.43490707391703</v>
      </c>
      <c r="K68" s="125">
        <f t="shared" ref="K68:N68" si="252">+K66-K67</f>
        <v>320.44300000000004</v>
      </c>
      <c r="L68" s="177">
        <f t="shared" si="252"/>
        <v>329.64410761104494</v>
      </c>
      <c r="M68" s="1948">
        <f t="shared" si="252"/>
        <v>264.95541819291816</v>
      </c>
      <c r="N68" s="2072">
        <f t="shared" si="252"/>
        <v>365.97029168054866</v>
      </c>
      <c r="O68" s="125">
        <f t="shared" ref="O68:R68" si="253">+O66-O67</f>
        <v>312.44295698924731</v>
      </c>
      <c r="P68" s="3018">
        <f t="shared" si="253"/>
        <v>338.87453143198445</v>
      </c>
      <c r="Q68" s="1893">
        <f t="shared" si="253"/>
        <v>277.02192395264115</v>
      </c>
      <c r="R68" s="2072">
        <f t="shared" si="253"/>
        <v>363.53301944462396</v>
      </c>
      <c r="S68" s="125">
        <f t="shared" ref="S68:V68" si="254">+S66-S67</f>
        <v>319.02107526881719</v>
      </c>
      <c r="T68" s="3018">
        <f t="shared" si="254"/>
        <v>343.87069566983951</v>
      </c>
      <c r="U68" s="1893">
        <f t="shared" si="254"/>
        <v>285.53155591866374</v>
      </c>
      <c r="V68" s="2072">
        <f t="shared" si="254"/>
        <v>363.70845230546206</v>
      </c>
      <c r="W68" s="125">
        <f t="shared" ref="W68" si="255">+W66-W67</f>
        <v>324.48399999999992</v>
      </c>
      <c r="X68" s="3019">
        <f t="shared" ref="X68:AE68" si="256">+X66-X67</f>
        <v>451.18891105247343</v>
      </c>
      <c r="Y68" s="178">
        <f t="shared" si="256"/>
        <v>390.7107065217391</v>
      </c>
      <c r="Z68" s="3020">
        <f t="shared" si="256"/>
        <v>347.12278692158094</v>
      </c>
      <c r="AA68" s="1264">
        <f t="shared" si="256"/>
        <v>291.91720248937463</v>
      </c>
      <c r="AB68" s="2072">
        <f t="shared" si="256"/>
        <v>364.94339042646175</v>
      </c>
      <c r="AC68" s="125">
        <f t="shared" si="256"/>
        <v>342.436559139785</v>
      </c>
      <c r="AD68" s="3018">
        <f t="shared" si="256"/>
        <v>349.70427621434402</v>
      </c>
      <c r="AE68" s="1893">
        <f t="shared" si="256"/>
        <v>299.23542705088272</v>
      </c>
      <c r="AF68" s="2072">
        <f t="shared" ref="AF68:AI68" si="257">+AF66-AF67</f>
        <v>364.31311369522302</v>
      </c>
      <c r="AG68" s="125">
        <f t="shared" si="257"/>
        <v>341.41364444444451</v>
      </c>
      <c r="AH68" s="3018">
        <f t="shared" si="257"/>
        <v>351.50044475707506</v>
      </c>
      <c r="AI68" s="1893">
        <f t="shared" si="257"/>
        <v>304.42127345173043</v>
      </c>
      <c r="AJ68" s="2072">
        <f t="shared" ref="AJ68:AO68" si="258">+AJ66-AJ67</f>
        <v>365.18220887126296</v>
      </c>
      <c r="AK68" s="125">
        <f t="shared" si="258"/>
        <v>352.97623655913975</v>
      </c>
      <c r="AL68" s="3019">
        <f t="shared" si="258"/>
        <v>449.05087391242228</v>
      </c>
      <c r="AM68" s="178">
        <f t="shared" si="258"/>
        <v>412.25854347826089</v>
      </c>
      <c r="AN68" s="3018">
        <f t="shared" si="258"/>
        <v>353.04275271176533</v>
      </c>
      <c r="AO68" s="1893">
        <f t="shared" si="258"/>
        <v>309.89474202020199</v>
      </c>
      <c r="AP68" s="2072">
        <f t="shared" ref="AP68:AS68" si="259">+AP66-AP67</f>
        <v>365.42102731606423</v>
      </c>
      <c r="AQ68" s="125">
        <f t="shared" si="259"/>
        <v>357.94064516129026</v>
      </c>
      <c r="AR68" s="3018">
        <f t="shared" si="259"/>
        <v>354.29676092331192</v>
      </c>
      <c r="AS68" s="1893">
        <f t="shared" si="259"/>
        <v>314.76213743645604</v>
      </c>
      <c r="AT68" s="2072">
        <f t="shared" ref="AT68:AW68" si="260">+AT66-AT67</f>
        <v>359.67406443724354</v>
      </c>
      <c r="AU68" s="125">
        <f t="shared" si="260"/>
        <v>251.35511904761904</v>
      </c>
      <c r="AV68" s="3018">
        <f t="shared" si="260"/>
        <v>354.74755283465947</v>
      </c>
      <c r="AW68" s="1893">
        <f t="shared" si="260"/>
        <v>309.44657900864934</v>
      </c>
      <c r="AX68" s="2072">
        <f t="shared" ref="AX68:BE68" si="261">+AX66-AX67</f>
        <v>365.42102731606423</v>
      </c>
      <c r="AY68" s="125">
        <f t="shared" si="261"/>
        <v>222.93594086021506</v>
      </c>
      <c r="AZ68" s="3019">
        <f t="shared" si="261"/>
        <v>442.55390335646246</v>
      </c>
      <c r="BA68" s="178">
        <f t="shared" si="261"/>
        <v>315.19175000000001</v>
      </c>
      <c r="BB68" s="3020">
        <f t="shared" si="261"/>
        <v>445.83808627485973</v>
      </c>
      <c r="BC68" s="1264">
        <f t="shared" si="261"/>
        <v>364.2584807692308</v>
      </c>
      <c r="BD68" s="3018">
        <f t="shared" si="261"/>
        <v>355.65406710568283</v>
      </c>
      <c r="BE68" s="1893">
        <f t="shared" si="261"/>
        <v>302.09910015220692</v>
      </c>
    </row>
    <row r="69" spans="1:60" ht="18.75" x14ac:dyDescent="0.25">
      <c r="A69" s="5284"/>
      <c r="B69" s="135" t="s">
        <v>524</v>
      </c>
      <c r="C69" s="110"/>
      <c r="D69" s="3021"/>
      <c r="E69" s="1636"/>
      <c r="F69" s="3021"/>
      <c r="G69" s="1638"/>
      <c r="H69" s="1638"/>
      <c r="I69" s="1638"/>
      <c r="J69" s="3021"/>
      <c r="K69" s="1638"/>
      <c r="L69" s="1638"/>
      <c r="M69" s="1638"/>
      <c r="N69" s="3022"/>
      <c r="O69" s="1920"/>
      <c r="P69" s="1638"/>
      <c r="Q69" s="1638"/>
      <c r="R69" s="3022"/>
      <c r="S69" s="1920"/>
      <c r="T69" s="1638"/>
      <c r="U69" s="1638"/>
      <c r="V69" s="3022"/>
      <c r="W69" s="1920"/>
      <c r="X69" s="1638"/>
      <c r="Y69" s="1638"/>
      <c r="Z69" s="1638"/>
      <c r="AA69" s="1638"/>
      <c r="AB69" s="3022"/>
      <c r="AC69" s="1920"/>
      <c r="AD69" s="1638"/>
      <c r="AE69" s="1638"/>
      <c r="AF69" s="3022"/>
      <c r="AG69" s="1920"/>
      <c r="AH69" s="1638"/>
      <c r="AI69" s="1638"/>
      <c r="AJ69" s="3022"/>
      <c r="AK69" s="1920"/>
      <c r="AL69" s="1638"/>
      <c r="AM69" s="1638"/>
      <c r="AN69" s="1638"/>
      <c r="AO69" s="1638"/>
      <c r="AP69" s="3022"/>
      <c r="AQ69" s="1920"/>
      <c r="AR69" s="1638"/>
      <c r="AS69" s="1638"/>
      <c r="AT69" s="3022"/>
      <c r="AU69" s="1920"/>
      <c r="AV69" s="1638"/>
      <c r="AW69" s="1638"/>
      <c r="AX69" s="3022"/>
      <c r="AY69" s="1920"/>
      <c r="AZ69" s="1638"/>
      <c r="BA69" s="1638"/>
      <c r="BB69" s="1638"/>
      <c r="BC69" s="1638"/>
      <c r="BD69" s="1638"/>
      <c r="BE69" s="1638"/>
    </row>
    <row r="70" spans="1:60" ht="15.75" x14ac:dyDescent="0.25">
      <c r="A70" s="5284"/>
      <c r="B70" s="128" t="s">
        <v>716</v>
      </c>
      <c r="C70" s="111" t="s">
        <v>528</v>
      </c>
      <c r="D70" s="2307">
        <v>25</v>
      </c>
      <c r="E70" s="449">
        <v>24.094166666700001</v>
      </c>
      <c r="F70" s="2307">
        <v>27</v>
      </c>
      <c r="G70" s="119">
        <v>21.408333330000001</v>
      </c>
      <c r="H70" s="687">
        <f t="shared" ref="H70:I76" si="262">+((D70*D$2)+(F$2*F70))/H$2</f>
        <v>26.016393442622952</v>
      </c>
      <c r="I70" s="687">
        <f t="shared" si="262"/>
        <v>22.729234971</v>
      </c>
      <c r="J70" s="823">
        <v>30</v>
      </c>
      <c r="K70" s="119">
        <v>21.580000000000002</v>
      </c>
      <c r="L70" s="869">
        <f t="shared" ref="L70:L76" si="263">+((H70*H$2)+(J$2*J70))/L$2</f>
        <v>27.329670329670328</v>
      </c>
      <c r="M70" s="881">
        <f t="shared" ref="M70:M76" si="264">+((I70*I$2)+(K$2*K70))/M$2</f>
        <v>22.35036629924176</v>
      </c>
      <c r="N70" s="2307">
        <v>30</v>
      </c>
      <c r="O70" s="225">
        <v>19.727419354838709</v>
      </c>
      <c r="P70" s="972">
        <f t="shared" ref="P70:P76" si="265">+((L70*L$2)+(N$2*N70))/P$2</f>
        <v>28.008196721311474</v>
      </c>
      <c r="Q70" s="878">
        <f t="shared" ref="Q70:Q76" si="266">+((M70*M$2)+(O$2*O70))/Q$2</f>
        <v>21.683879780581965</v>
      </c>
      <c r="R70" s="2307">
        <v>30</v>
      </c>
      <c r="S70" s="225">
        <v>21.617096774193548</v>
      </c>
      <c r="T70" s="972">
        <f t="shared" ref="T70:T76" si="267">+((P70*P$2)+(R$2*R70))/T$2</f>
        <v>28.411764705882351</v>
      </c>
      <c r="U70" s="878">
        <f t="shared" ref="U70:U76" si="268">+((Q70*Q$2)+(S$2*S70))/U$2</f>
        <v>21.670348583209151</v>
      </c>
      <c r="V70" s="2307">
        <v>30</v>
      </c>
      <c r="W70" s="225">
        <v>21.585666666666668</v>
      </c>
      <c r="X70" s="973">
        <f t="shared" ref="X70:X76" si="269">+((N70*N$2)+(R70*R$2)+(V$2*V70))/X$2</f>
        <v>30</v>
      </c>
      <c r="Y70" s="869">
        <f t="shared" ref="Y70:Y76" si="270">+((O70*O$2)+(S70*S$2)+(W$2*W70))/Y$2</f>
        <v>20.970108695652176</v>
      </c>
      <c r="Z70" s="1862">
        <f>+((L70*L$2)+(X$2*X70))/Z$2</f>
        <v>28.672131147540984</v>
      </c>
      <c r="AA70" s="1862">
        <f>+((M70*M$2)+(Y$2*Y70))/AA$2</f>
        <v>21.656466301808745</v>
      </c>
      <c r="AB70" s="2307">
        <v>30</v>
      </c>
      <c r="AC70" s="225">
        <v>22.366129032258065</v>
      </c>
      <c r="AD70" s="972">
        <f t="shared" ref="AD70:AD76" si="271">+((Z70*Z$2)+(AB$2*AB70))/AD$2</f>
        <v>28.864485981308412</v>
      </c>
      <c r="AE70" s="878">
        <f t="shared" ref="AE70:AE74" si="272">+((AA70*AA$2)+(AC$2*AC70))/AE$2</f>
        <v>21.759267912294398</v>
      </c>
      <c r="AF70" s="2307">
        <v>30</v>
      </c>
      <c r="AG70" s="225">
        <v>22.695666666666664</v>
      </c>
      <c r="AH70" s="972">
        <f t="shared" ref="AH70:AH76" si="273">+((AD70*AD$2)+(AF$2*AF70))/AH$2</f>
        <v>29.004098360655739</v>
      </c>
      <c r="AI70" s="878">
        <f t="shared" ref="AI70:AI74" si="274">+((AE70*AE$2)+(AG$2*AG70))/AI$2</f>
        <v>21.87439890668443</v>
      </c>
      <c r="AJ70" s="2307">
        <v>30</v>
      </c>
      <c r="AK70" s="225">
        <v>23.627741935483872</v>
      </c>
      <c r="AL70" s="973">
        <f t="shared" ref="AL70:AL76" si="275">+((AB70*AB$2)+(AF70*AF$2)+(AJ$2*AJ70))/AL$2</f>
        <v>30</v>
      </c>
      <c r="AM70" s="869">
        <f t="shared" ref="AM70:AM76" si="276">+((AC70*AC$2)+(AG70*AG$2)+(AK$2*AK70))/AM$2</f>
        <v>22.89869565217391</v>
      </c>
      <c r="AN70" s="972">
        <f t="shared" ref="AN70:AN76" si="277">+((AH70*AH$2)+(AJ$2*AJ70))/AN$2</f>
        <v>29.116363636363637</v>
      </c>
      <c r="AO70" s="878">
        <f t="shared" ref="AO70:AO74" si="278">+((AI70*AI$2)+(AK$2*AK70))/AO$2</f>
        <v>22.072048484476365</v>
      </c>
      <c r="AP70" s="2307">
        <v>30</v>
      </c>
      <c r="AQ70" s="225">
        <v>23.14</v>
      </c>
      <c r="AR70" s="972">
        <f>+((AN70*AN$2)+(AP$2*AP70))/AR$2</f>
        <v>29.205882352941178</v>
      </c>
      <c r="AS70" s="878">
        <f t="shared" ref="AS70:AS74" si="279">+((AO70*AO$2)+(AQ$2*AQ70))/AS$2</f>
        <v>22.180239651081703</v>
      </c>
      <c r="AT70" s="2307">
        <v>30</v>
      </c>
      <c r="AU70" s="225">
        <v>22.692142857142859</v>
      </c>
      <c r="AV70" s="972">
        <f>+((AR70*AR$2)+(AT$2*AT70))/AV$2</f>
        <v>29.272455089820358</v>
      </c>
      <c r="AW70" s="878">
        <f t="shared" ref="AW70:AW74" si="280">+((AS70*AS$2)+(AU$2*AU70))/AW$2</f>
        <v>22.223153692308387</v>
      </c>
      <c r="AX70" s="2307">
        <v>30</v>
      </c>
      <c r="AY70" s="225">
        <v>20.376774193548385</v>
      </c>
      <c r="AZ70" s="973">
        <f t="shared" ref="AZ70:AZ76" si="281">+((AP70*AP$2)+(AT70*AT$2)+(AX$2*AX70))/AZ$2</f>
        <v>30</v>
      </c>
      <c r="BA70" s="869">
        <f t="shared" ref="BA70:BA76" si="282">+((AQ70*AQ$2)+(AU70*AU$2)+(AY$2*AY70))/BA$2</f>
        <v>22.048888888888889</v>
      </c>
      <c r="BB70" s="1862">
        <f t="shared" ref="BB70:BB76" si="283">+((AL70*AL$2)+(AZ$2*AZ70))/BB$2</f>
        <v>30</v>
      </c>
      <c r="BC70" s="1862">
        <f t="shared" ref="BC70:BC76" si="284">+((AM70*AM$2)+(BA$2*BA70))/BC$2</f>
        <v>22.478461538461538</v>
      </c>
      <c r="BD70" s="972">
        <f>+((AV70*AV$2)+(AX$2*AX70))/BD$2</f>
        <v>29.334246575342465</v>
      </c>
      <c r="BE70" s="878">
        <f t="shared" ref="BE70:BE74" si="285">+((AW70*AW$2)+(AY$2*AY70))/BE$2</f>
        <v>22.066337899263019</v>
      </c>
    </row>
    <row r="71" spans="1:60" ht="15.75" x14ac:dyDescent="0.25">
      <c r="A71" s="5284"/>
      <c r="B71" s="128" t="s">
        <v>717</v>
      </c>
      <c r="C71" s="111" t="s">
        <v>528</v>
      </c>
      <c r="D71" s="2307">
        <v>0</v>
      </c>
      <c r="E71" s="449">
        <v>0</v>
      </c>
      <c r="F71" s="2307">
        <v>0</v>
      </c>
      <c r="G71" s="119">
        <v>0</v>
      </c>
      <c r="H71" s="687">
        <f t="shared" si="262"/>
        <v>0</v>
      </c>
      <c r="I71" s="687">
        <f t="shared" si="262"/>
        <v>0</v>
      </c>
      <c r="J71" s="823">
        <v>0</v>
      </c>
      <c r="K71" s="119">
        <v>0</v>
      </c>
      <c r="L71" s="869">
        <f t="shared" si="263"/>
        <v>0</v>
      </c>
      <c r="M71" s="881">
        <f t="shared" si="264"/>
        <v>0</v>
      </c>
      <c r="N71" s="2307">
        <v>0</v>
      </c>
      <c r="O71" s="225">
        <v>0</v>
      </c>
      <c r="P71" s="972">
        <f t="shared" si="265"/>
        <v>0</v>
      </c>
      <c r="Q71" s="878">
        <f t="shared" si="266"/>
        <v>0</v>
      </c>
      <c r="R71" s="2307">
        <v>0</v>
      </c>
      <c r="S71" s="225">
        <v>0</v>
      </c>
      <c r="T71" s="972">
        <f t="shared" si="267"/>
        <v>0</v>
      </c>
      <c r="U71" s="878">
        <f t="shared" si="268"/>
        <v>0</v>
      </c>
      <c r="V71" s="2307">
        <v>0</v>
      </c>
      <c r="W71" s="225">
        <v>0</v>
      </c>
      <c r="X71" s="973">
        <f t="shared" si="269"/>
        <v>0</v>
      </c>
      <c r="Y71" s="869">
        <f t="shared" si="270"/>
        <v>0</v>
      </c>
      <c r="Z71" s="1862">
        <f t="shared" ref="Z71:Z76" si="286">+((L71*L$2)+(X$2*X71))/Z$2</f>
        <v>0</v>
      </c>
      <c r="AA71" s="1862">
        <f t="shared" ref="AA71:AA76" si="287">+((M71*M$2)+(Y$2*Y71))/AA$2</f>
        <v>0</v>
      </c>
      <c r="AB71" s="2307">
        <v>0</v>
      </c>
      <c r="AC71" s="225">
        <v>0</v>
      </c>
      <c r="AD71" s="972">
        <f t="shared" si="271"/>
        <v>0</v>
      </c>
      <c r="AE71" s="878">
        <f t="shared" si="272"/>
        <v>0</v>
      </c>
      <c r="AF71" s="2307">
        <v>0</v>
      </c>
      <c r="AG71" s="225">
        <v>0</v>
      </c>
      <c r="AH71" s="972">
        <f t="shared" si="273"/>
        <v>0</v>
      </c>
      <c r="AI71" s="878">
        <f t="shared" si="274"/>
        <v>0</v>
      </c>
      <c r="AJ71" s="2307">
        <v>0</v>
      </c>
      <c r="AK71" s="225">
        <v>0</v>
      </c>
      <c r="AL71" s="973">
        <f t="shared" si="275"/>
        <v>0</v>
      </c>
      <c r="AM71" s="869">
        <f t="shared" si="276"/>
        <v>0</v>
      </c>
      <c r="AN71" s="972">
        <f t="shared" si="277"/>
        <v>0</v>
      </c>
      <c r="AO71" s="878">
        <f t="shared" si="278"/>
        <v>0</v>
      </c>
      <c r="AP71" s="2307">
        <v>0</v>
      </c>
      <c r="AQ71" s="225">
        <v>0</v>
      </c>
      <c r="AR71" s="972">
        <f t="shared" ref="AR71:AR76" si="288">+((AN71*AN$2)+(AP$2*AP71))/AR$2</f>
        <v>0</v>
      </c>
      <c r="AS71" s="878">
        <f t="shared" si="279"/>
        <v>0</v>
      </c>
      <c r="AT71" s="2307">
        <v>0</v>
      </c>
      <c r="AU71" s="225">
        <v>0</v>
      </c>
      <c r="AV71" s="972">
        <f t="shared" ref="AV71:AV76" si="289">+((AR71*AR$2)+(AT$2*AT71))/AV$2</f>
        <v>0</v>
      </c>
      <c r="AW71" s="878">
        <f t="shared" si="280"/>
        <v>0</v>
      </c>
      <c r="AX71" s="2307">
        <v>0</v>
      </c>
      <c r="AY71" s="225">
        <v>0</v>
      </c>
      <c r="AZ71" s="973">
        <f t="shared" si="281"/>
        <v>0</v>
      </c>
      <c r="BA71" s="869">
        <f t="shared" si="282"/>
        <v>0</v>
      </c>
      <c r="BB71" s="1862">
        <f t="shared" si="283"/>
        <v>0</v>
      </c>
      <c r="BC71" s="1862">
        <f t="shared" si="284"/>
        <v>0</v>
      </c>
      <c r="BD71" s="972">
        <f t="shared" ref="BD71:BD76" si="290">+((AV71*AV$2)+(AX$2*AX71))/BD$2</f>
        <v>0</v>
      </c>
      <c r="BE71" s="878">
        <f t="shared" si="285"/>
        <v>0</v>
      </c>
    </row>
    <row r="72" spans="1:60" ht="15.75" x14ac:dyDescent="0.25">
      <c r="A72" s="5284"/>
      <c r="B72" s="128" t="s">
        <v>620</v>
      </c>
      <c r="C72" s="111" t="s">
        <v>528</v>
      </c>
      <c r="D72" s="2307">
        <v>13</v>
      </c>
      <c r="E72" s="449">
        <v>5.5636109999999999</v>
      </c>
      <c r="F72" s="2307">
        <v>13</v>
      </c>
      <c r="G72" s="119">
        <v>5.60752688</v>
      </c>
      <c r="H72" s="687">
        <f t="shared" si="262"/>
        <v>13</v>
      </c>
      <c r="I72" s="687">
        <f t="shared" si="262"/>
        <v>5.5859289062295083</v>
      </c>
      <c r="J72" s="823">
        <v>13</v>
      </c>
      <c r="K72" s="119">
        <v>7.3849999999999998</v>
      </c>
      <c r="L72" s="869">
        <f t="shared" si="263"/>
        <v>13</v>
      </c>
      <c r="M72" s="881">
        <f t="shared" si="264"/>
        <v>6.1790292668131865</v>
      </c>
      <c r="N72" s="2307">
        <v>13</v>
      </c>
      <c r="O72" s="225">
        <v>6.56516129032258</v>
      </c>
      <c r="P72" s="972">
        <f t="shared" si="265"/>
        <v>13</v>
      </c>
      <c r="Q72" s="878">
        <f t="shared" si="266"/>
        <v>6.2771447809836065</v>
      </c>
      <c r="R72" s="2307">
        <v>13</v>
      </c>
      <c r="S72" s="225">
        <v>7.2551612903225813</v>
      </c>
      <c r="T72" s="972">
        <f t="shared" si="267"/>
        <v>13</v>
      </c>
      <c r="U72" s="878">
        <f t="shared" si="268"/>
        <v>6.47530498875817</v>
      </c>
      <c r="V72" s="2307">
        <v>13</v>
      </c>
      <c r="W72" s="225">
        <v>10.398</v>
      </c>
      <c r="X72" s="973">
        <f t="shared" si="269"/>
        <v>13</v>
      </c>
      <c r="Y72" s="869">
        <f t="shared" si="270"/>
        <v>8.0474999999999994</v>
      </c>
      <c r="Z72" s="1862">
        <f t="shared" si="286"/>
        <v>13</v>
      </c>
      <c r="AA72" s="1862">
        <f t="shared" si="287"/>
        <v>7.1183697446994527</v>
      </c>
      <c r="AB72" s="2307">
        <v>13</v>
      </c>
      <c r="AC72" s="225">
        <v>10.676344086021505</v>
      </c>
      <c r="AD72" s="972">
        <f t="shared" si="271"/>
        <v>13</v>
      </c>
      <c r="AE72" s="878">
        <f t="shared" si="272"/>
        <v>7.6337772427414325</v>
      </c>
      <c r="AF72" s="2307">
        <v>13</v>
      </c>
      <c r="AG72" s="225">
        <v>9.428888888888892</v>
      </c>
      <c r="AH72" s="972">
        <f t="shared" si="273"/>
        <v>13</v>
      </c>
      <c r="AI72" s="878">
        <f t="shared" si="274"/>
        <v>7.8544876910382513</v>
      </c>
      <c r="AJ72" s="2307">
        <v>13</v>
      </c>
      <c r="AK72" s="225">
        <v>8.1322580645161278</v>
      </c>
      <c r="AL72" s="973">
        <f t="shared" si="275"/>
        <v>13</v>
      </c>
      <c r="AM72" s="869">
        <f t="shared" si="276"/>
        <v>9.4123188405797116</v>
      </c>
      <c r="AN72" s="972">
        <f t="shared" si="277"/>
        <v>13</v>
      </c>
      <c r="AO72" s="878">
        <f t="shared" si="278"/>
        <v>7.885799987684849</v>
      </c>
      <c r="AP72" s="2307">
        <v>13</v>
      </c>
      <c r="AQ72" s="225">
        <v>14.279032258064516</v>
      </c>
      <c r="AR72" s="972">
        <f t="shared" si="288"/>
        <v>13</v>
      </c>
      <c r="AS72" s="878">
        <f t="shared" si="279"/>
        <v>8.5334803810893263</v>
      </c>
      <c r="AT72" s="2307">
        <v>13</v>
      </c>
      <c r="AU72" s="225">
        <v>7.410000000000001</v>
      </c>
      <c r="AV72" s="972">
        <f t="shared" si="289"/>
        <v>13</v>
      </c>
      <c r="AW72" s="878">
        <f t="shared" si="280"/>
        <v>8.4392963970459096</v>
      </c>
      <c r="AX72" s="2307">
        <v>13</v>
      </c>
      <c r="AY72" s="225">
        <v>8.36</v>
      </c>
      <c r="AZ72" s="973">
        <f t="shared" si="281"/>
        <v>13</v>
      </c>
      <c r="BA72" s="869">
        <f t="shared" si="282"/>
        <v>10.103222222222223</v>
      </c>
      <c r="BB72" s="1862">
        <f t="shared" si="283"/>
        <v>13</v>
      </c>
      <c r="BC72" s="1862">
        <f t="shared" si="284"/>
        <v>9.7539743589743608</v>
      </c>
      <c r="BD72" s="972">
        <f t="shared" si="290"/>
        <v>13</v>
      </c>
      <c r="BE72" s="878">
        <f t="shared" si="285"/>
        <v>8.4325616345570786</v>
      </c>
    </row>
    <row r="73" spans="1:60" ht="15.75" x14ac:dyDescent="0.25">
      <c r="A73" s="5284"/>
      <c r="B73" s="128" t="s">
        <v>621</v>
      </c>
      <c r="C73" s="111" t="s">
        <v>528</v>
      </c>
      <c r="D73" s="2307">
        <v>6</v>
      </c>
      <c r="E73" s="449">
        <v>3.6333329999999999</v>
      </c>
      <c r="F73" s="2307">
        <v>7</v>
      </c>
      <c r="G73" s="119">
        <v>2.8548387100000001</v>
      </c>
      <c r="H73" s="687">
        <f t="shared" si="262"/>
        <v>6.5081967213114753</v>
      </c>
      <c r="I73" s="687">
        <f t="shared" si="262"/>
        <v>3.2377047542622952</v>
      </c>
      <c r="J73" s="823">
        <v>10</v>
      </c>
      <c r="K73" s="119">
        <v>7.0777777777777775</v>
      </c>
      <c r="L73" s="869">
        <f t="shared" si="263"/>
        <v>7.6593406593406597</v>
      </c>
      <c r="M73" s="881">
        <f t="shared" si="264"/>
        <v>4.5036628938827832</v>
      </c>
      <c r="N73" s="2307">
        <v>10</v>
      </c>
      <c r="O73" s="225">
        <v>6.67741935483871</v>
      </c>
      <c r="P73" s="972">
        <f t="shared" si="265"/>
        <v>8.2540983606557372</v>
      </c>
      <c r="Q73" s="878">
        <f t="shared" si="266"/>
        <v>5.0560108470765019</v>
      </c>
      <c r="R73" s="2307">
        <v>10</v>
      </c>
      <c r="S73" s="225">
        <v>7.263440860215054</v>
      </c>
      <c r="T73" s="972">
        <f t="shared" si="267"/>
        <v>8.6078431372549016</v>
      </c>
      <c r="U73" s="878">
        <f t="shared" si="268"/>
        <v>5.5032679085620906</v>
      </c>
      <c r="V73" s="2307">
        <v>10</v>
      </c>
      <c r="W73" s="225">
        <v>7.2777777777777777</v>
      </c>
      <c r="X73" s="973">
        <f t="shared" si="269"/>
        <v>10</v>
      </c>
      <c r="Y73" s="869">
        <f t="shared" si="270"/>
        <v>7.0706521739130439</v>
      </c>
      <c r="Z73" s="1862">
        <f t="shared" si="286"/>
        <v>8.8360655737704921</v>
      </c>
      <c r="AA73" s="1862">
        <f t="shared" si="287"/>
        <v>5.7941711658105639</v>
      </c>
      <c r="AB73" s="2307">
        <v>10</v>
      </c>
      <c r="AC73" s="225">
        <v>7.510752688172043</v>
      </c>
      <c r="AD73" s="972">
        <f t="shared" si="271"/>
        <v>9.0046728971962615</v>
      </c>
      <c r="AE73" s="878">
        <f t="shared" si="272"/>
        <v>6.0428348442834876</v>
      </c>
      <c r="AF73" s="2307">
        <v>10</v>
      </c>
      <c r="AG73" s="225">
        <v>7.1833333333333336</v>
      </c>
      <c r="AH73" s="972">
        <f t="shared" si="273"/>
        <v>9.1270491803278695</v>
      </c>
      <c r="AI73" s="878">
        <f t="shared" si="274"/>
        <v>6.1830600683469932</v>
      </c>
      <c r="AJ73" s="2307">
        <v>10</v>
      </c>
      <c r="AK73" s="225">
        <v>7.758064516129032</v>
      </c>
      <c r="AL73" s="973">
        <f t="shared" si="275"/>
        <v>10</v>
      </c>
      <c r="AM73" s="869">
        <f t="shared" si="276"/>
        <v>7.4873188405797109</v>
      </c>
      <c r="AN73" s="972">
        <f t="shared" si="277"/>
        <v>9.2254545454545447</v>
      </c>
      <c r="AO73" s="878">
        <f t="shared" si="278"/>
        <v>6.3606060242787867</v>
      </c>
      <c r="AP73" s="2307">
        <v>10</v>
      </c>
      <c r="AQ73" s="225">
        <v>7.833333333333333</v>
      </c>
      <c r="AR73" s="972">
        <f t="shared" si="288"/>
        <v>9.3039215686274517</v>
      </c>
      <c r="AS73" s="878">
        <f t="shared" si="279"/>
        <v>6.5098038889215672</v>
      </c>
      <c r="AT73" s="2307">
        <v>10</v>
      </c>
      <c r="AU73" s="225">
        <v>5.01</v>
      </c>
      <c r="AV73" s="972">
        <f t="shared" si="289"/>
        <v>9.3622754491017961</v>
      </c>
      <c r="AW73" s="878">
        <f t="shared" si="280"/>
        <v>6.3840718263772454</v>
      </c>
      <c r="AX73" s="2307">
        <v>10</v>
      </c>
      <c r="AY73" s="225">
        <v>6.8699999999999992</v>
      </c>
      <c r="AZ73" s="973">
        <f t="shared" si="281"/>
        <v>10</v>
      </c>
      <c r="BA73" s="869">
        <f t="shared" si="282"/>
        <v>6.6231481481481476</v>
      </c>
      <c r="BB73" s="1862">
        <f t="shared" si="283"/>
        <v>10</v>
      </c>
      <c r="BC73" s="1862">
        <f t="shared" si="284"/>
        <v>7.0599816849816843</v>
      </c>
      <c r="BD73" s="972">
        <f t="shared" si="290"/>
        <v>9.4164383561643827</v>
      </c>
      <c r="BE73" s="878">
        <f t="shared" si="285"/>
        <v>6.4253424383835611</v>
      </c>
      <c r="BH73" s="1363"/>
    </row>
    <row r="74" spans="1:60" ht="15.75" x14ac:dyDescent="0.25">
      <c r="A74" s="5284"/>
      <c r="B74" s="128" t="s">
        <v>703</v>
      </c>
      <c r="C74" s="111" t="s">
        <v>528</v>
      </c>
      <c r="D74" s="2307">
        <v>13</v>
      </c>
      <c r="E74" s="449">
        <v>8.770778</v>
      </c>
      <c r="F74" s="2307">
        <v>13</v>
      </c>
      <c r="G74" s="119">
        <v>10.88037634</v>
      </c>
      <c r="H74" s="687">
        <f t="shared" si="262"/>
        <v>13</v>
      </c>
      <c r="I74" s="687">
        <f t="shared" si="262"/>
        <v>9.8428689596721295</v>
      </c>
      <c r="J74" s="823">
        <v>15</v>
      </c>
      <c r="K74" s="119">
        <v>11.153</v>
      </c>
      <c r="L74" s="869">
        <f t="shared" si="263"/>
        <v>13.659340659340659</v>
      </c>
      <c r="M74" s="881">
        <f t="shared" si="264"/>
        <v>10.274780291648351</v>
      </c>
      <c r="N74" s="2307">
        <v>15</v>
      </c>
      <c r="O74" s="225">
        <v>11.778225806451612</v>
      </c>
      <c r="P74" s="972">
        <f t="shared" si="265"/>
        <v>14</v>
      </c>
      <c r="Q74" s="878">
        <f t="shared" si="266"/>
        <v>10.656803332295082</v>
      </c>
      <c r="R74" s="2307">
        <v>15</v>
      </c>
      <c r="S74" s="225">
        <v>11.571290322580646</v>
      </c>
      <c r="T74" s="972">
        <f t="shared" si="267"/>
        <v>14.202614379084967</v>
      </c>
      <c r="U74" s="878">
        <f t="shared" si="268"/>
        <v>10.842091546013073</v>
      </c>
      <c r="V74" s="2307">
        <v>15</v>
      </c>
      <c r="W74" s="225">
        <v>12.002666666666666</v>
      </c>
      <c r="X74" s="973">
        <f t="shared" si="269"/>
        <v>15</v>
      </c>
      <c r="Y74" s="869">
        <f t="shared" si="270"/>
        <v>11.781684782608695</v>
      </c>
      <c r="Z74" s="1862">
        <f t="shared" si="286"/>
        <v>14.333333333333334</v>
      </c>
      <c r="AA74" s="1862">
        <f t="shared" si="287"/>
        <v>11.032349762513661</v>
      </c>
      <c r="AB74" s="2307">
        <v>15</v>
      </c>
      <c r="AC74" s="225">
        <v>12.327741935483871</v>
      </c>
      <c r="AD74" s="972">
        <f t="shared" si="271"/>
        <v>14.429906542056075</v>
      </c>
      <c r="AE74" s="878">
        <f t="shared" si="272"/>
        <v>11.220000030560747</v>
      </c>
      <c r="AF74" s="2307">
        <v>15</v>
      </c>
      <c r="AG74" s="225">
        <v>12.20466666666667</v>
      </c>
      <c r="AH74" s="972">
        <f t="shared" si="273"/>
        <v>14.5</v>
      </c>
      <c r="AI74" s="878">
        <f t="shared" si="274"/>
        <v>11.341065600573771</v>
      </c>
      <c r="AJ74" s="2307">
        <v>15</v>
      </c>
      <c r="AK74" s="225">
        <v>12.11225806451613</v>
      </c>
      <c r="AL74" s="973">
        <f t="shared" si="275"/>
        <v>15</v>
      </c>
      <c r="AM74" s="869">
        <f t="shared" si="276"/>
        <v>12.215000000000002</v>
      </c>
      <c r="AN74" s="972">
        <f t="shared" si="277"/>
        <v>14.556363636363637</v>
      </c>
      <c r="AO74" s="878">
        <f t="shared" si="278"/>
        <v>11.428000023781818</v>
      </c>
      <c r="AP74" s="2307">
        <v>15</v>
      </c>
      <c r="AQ74" s="225">
        <v>13.473225806451612</v>
      </c>
      <c r="AR74" s="972">
        <f t="shared" si="288"/>
        <v>14.601307189542483</v>
      </c>
      <c r="AS74" s="878">
        <f t="shared" si="279"/>
        <v>11.635196099803922</v>
      </c>
      <c r="AT74" s="2307">
        <v>15</v>
      </c>
      <c r="AU74" s="225">
        <v>11.403571428571428</v>
      </c>
      <c r="AV74" s="972">
        <f t="shared" si="289"/>
        <v>14.634730538922156</v>
      </c>
      <c r="AW74" s="878">
        <f t="shared" si="280"/>
        <v>11.615778462694612</v>
      </c>
      <c r="AX74" s="2307">
        <v>15</v>
      </c>
      <c r="AY74" s="225">
        <v>9.4464784946236566</v>
      </c>
      <c r="AZ74" s="973">
        <f t="shared" si="281"/>
        <v>15</v>
      </c>
      <c r="BA74" s="869">
        <f t="shared" si="282"/>
        <v>11.442342592592594</v>
      </c>
      <c r="BB74" s="1862">
        <f t="shared" si="283"/>
        <v>15</v>
      </c>
      <c r="BC74" s="1862">
        <f t="shared" si="284"/>
        <v>11.832916666666668</v>
      </c>
      <c r="BD74" s="972">
        <f t="shared" si="290"/>
        <v>14.665753424657535</v>
      </c>
      <c r="BE74" s="878">
        <f t="shared" si="285"/>
        <v>11.431536547598174</v>
      </c>
    </row>
    <row r="75" spans="1:60" ht="15.75" x14ac:dyDescent="0.25">
      <c r="A75" s="5284"/>
      <c r="B75" s="128" t="s">
        <v>519</v>
      </c>
      <c r="C75" s="111" t="s">
        <v>528</v>
      </c>
      <c r="D75" s="2307">
        <v>90</v>
      </c>
      <c r="E75" s="449">
        <v>61.647055999999999</v>
      </c>
      <c r="F75" s="2307">
        <v>100</v>
      </c>
      <c r="G75" s="119">
        <v>61.073924730000002</v>
      </c>
      <c r="H75" s="687">
        <f t="shared" si="262"/>
        <v>95.081967213114751</v>
      </c>
      <c r="I75" s="687">
        <f t="shared" si="262"/>
        <v>61.355792567704917</v>
      </c>
      <c r="J75" s="823">
        <v>115</v>
      </c>
      <c r="K75" s="119">
        <v>107.361</v>
      </c>
      <c r="L75" s="869">
        <f t="shared" si="263"/>
        <v>101.64835164835165</v>
      </c>
      <c r="M75" s="881">
        <f t="shared" si="264"/>
        <v>76.52234446846154</v>
      </c>
      <c r="N75" s="2307">
        <v>115</v>
      </c>
      <c r="O75" s="225">
        <v>105.92161290322579</v>
      </c>
      <c r="P75" s="972">
        <f t="shared" si="265"/>
        <v>105.04098360655738</v>
      </c>
      <c r="Q75" s="878">
        <f t="shared" si="266"/>
        <v>83.992650382213114</v>
      </c>
      <c r="R75" s="2307">
        <v>115</v>
      </c>
      <c r="S75" s="225">
        <v>105.08645161290323</v>
      </c>
      <c r="T75" s="972">
        <f t="shared" si="267"/>
        <v>107.05882352941177</v>
      </c>
      <c r="U75" s="878">
        <f>+((Q75*Q$2)+(S$2*S75))/U$2</f>
        <v>88.266557821111107</v>
      </c>
      <c r="V75" s="2307">
        <v>115</v>
      </c>
      <c r="W75" s="225">
        <v>108.02744444444444</v>
      </c>
      <c r="X75" s="973">
        <f t="shared" si="269"/>
        <v>115</v>
      </c>
      <c r="Y75" s="869">
        <f t="shared" si="270"/>
        <v>106.32688405797101</v>
      </c>
      <c r="Z75" s="1862">
        <f t="shared" si="286"/>
        <v>108.36065573770492</v>
      </c>
      <c r="AA75" s="1862">
        <f t="shared" si="287"/>
        <v>91.506047431493627</v>
      </c>
      <c r="AB75" s="2307">
        <v>115</v>
      </c>
      <c r="AC75" s="225">
        <v>115.46612903225807</v>
      </c>
      <c r="AD75" s="972">
        <f t="shared" si="271"/>
        <v>109.32242990654206</v>
      </c>
      <c r="AE75" s="878">
        <f>+((AA75*AA$2)+(AC$2*AC75))/AE$2</f>
        <v>94.976900373660442</v>
      </c>
      <c r="AF75" s="2307">
        <v>115</v>
      </c>
      <c r="AG75" s="225">
        <v>110.04899999999999</v>
      </c>
      <c r="AH75" s="972">
        <f t="shared" si="273"/>
        <v>110.02049180327869</v>
      </c>
      <c r="AI75" s="878">
        <f>+((AE75*AE$2)+(AG$2*AG75))/AI$2</f>
        <v>96.830027376898911</v>
      </c>
      <c r="AJ75" s="2307">
        <v>115</v>
      </c>
      <c r="AK75" s="225">
        <v>117.31870967741935</v>
      </c>
      <c r="AL75" s="973">
        <f t="shared" si="275"/>
        <v>115</v>
      </c>
      <c r="AM75" s="869">
        <f t="shared" si="276"/>
        <v>114.32391304347826</v>
      </c>
      <c r="AN75" s="972">
        <f t="shared" si="277"/>
        <v>110.58181818181818</v>
      </c>
      <c r="AO75" s="878">
        <f>+((AI75*AI$2)+(AK$2*AK75))/AO$2</f>
        <v>99.13966065441214</v>
      </c>
      <c r="AP75" s="2307">
        <v>115</v>
      </c>
      <c r="AQ75" s="225">
        <v>107.98161290322581</v>
      </c>
      <c r="AR75" s="972">
        <f t="shared" si="288"/>
        <v>111.02941176470588</v>
      </c>
      <c r="AS75" s="878">
        <f>+((AO75*AO$2)+(AQ$2*AQ75))/AS$2</f>
        <v>100.03541398680831</v>
      </c>
      <c r="AT75" s="2307">
        <v>115</v>
      </c>
      <c r="AU75" s="225">
        <v>102.38357142857141</v>
      </c>
      <c r="AV75" s="972">
        <f t="shared" si="289"/>
        <v>111.3622754491018</v>
      </c>
      <c r="AW75" s="878">
        <f>+((AS75*AS$2)+(AU$2*AU75))/AW$2</f>
        <v>100.23226550887229</v>
      </c>
      <c r="AX75" s="2307">
        <v>115</v>
      </c>
      <c r="AY75" s="225">
        <v>108.42516129032259</v>
      </c>
      <c r="AZ75" s="973">
        <f t="shared" si="281"/>
        <v>115</v>
      </c>
      <c r="BA75" s="869">
        <f t="shared" si="282"/>
        <v>106.39277777777778</v>
      </c>
      <c r="BB75" s="1862">
        <f t="shared" si="283"/>
        <v>115</v>
      </c>
      <c r="BC75" s="1862">
        <f t="shared" si="284"/>
        <v>110.40192307692308</v>
      </c>
      <c r="BD75" s="972">
        <f t="shared" si="290"/>
        <v>111.67123287671232</v>
      </c>
      <c r="BE75" s="878">
        <f>+((AW75*AW$2)+(AY$2*AY75))/BE$2</f>
        <v>100.92810049305025</v>
      </c>
    </row>
    <row r="76" spans="1:60" ht="16.5" thickBot="1" x14ac:dyDescent="0.3">
      <c r="A76" s="5284"/>
      <c r="B76" s="130" t="s">
        <v>520</v>
      </c>
      <c r="C76" s="112" t="s">
        <v>528</v>
      </c>
      <c r="D76" s="2308">
        <v>10</v>
      </c>
      <c r="E76" s="449">
        <v>6.7379170000000004</v>
      </c>
      <c r="F76" s="2308">
        <v>10</v>
      </c>
      <c r="G76" s="119">
        <v>8.9720429999999993</v>
      </c>
      <c r="H76" s="687">
        <f t="shared" si="262"/>
        <v>10</v>
      </c>
      <c r="I76" s="687">
        <f t="shared" si="262"/>
        <v>7.8732925081967213</v>
      </c>
      <c r="J76" s="1996">
        <v>10</v>
      </c>
      <c r="K76" s="119">
        <v>8.5488888888888894</v>
      </c>
      <c r="L76" s="869">
        <f t="shared" si="263"/>
        <v>10</v>
      </c>
      <c r="M76" s="881">
        <f t="shared" si="264"/>
        <v>8.0960165897435896</v>
      </c>
      <c r="N76" s="2308">
        <v>10</v>
      </c>
      <c r="O76" s="225">
        <v>9.2060215053763432</v>
      </c>
      <c r="P76" s="972">
        <f t="shared" si="265"/>
        <v>10</v>
      </c>
      <c r="Q76" s="878">
        <f t="shared" si="266"/>
        <v>8.3780670191256839</v>
      </c>
      <c r="R76" s="2308">
        <v>10</v>
      </c>
      <c r="S76" s="225">
        <v>8.9547311827956992</v>
      </c>
      <c r="T76" s="972">
        <f t="shared" si="267"/>
        <v>10</v>
      </c>
      <c r="U76" s="878">
        <f t="shared" si="268"/>
        <v>8.4949074705882364</v>
      </c>
      <c r="V76" s="2308">
        <v>10</v>
      </c>
      <c r="W76" s="225">
        <v>9.3754444444444438</v>
      </c>
      <c r="X76" s="973">
        <f t="shared" si="269"/>
        <v>10</v>
      </c>
      <c r="Y76" s="869">
        <f t="shared" si="270"/>
        <v>9.176594202898551</v>
      </c>
      <c r="Z76" s="1862">
        <f t="shared" si="286"/>
        <v>10</v>
      </c>
      <c r="AA76" s="1862">
        <f t="shared" si="287"/>
        <v>8.6392577941712201</v>
      </c>
      <c r="AB76" s="3166">
        <v>10</v>
      </c>
      <c r="AC76" s="225">
        <v>9.6526881720430104</v>
      </c>
      <c r="AD76" s="972">
        <f t="shared" si="271"/>
        <v>10</v>
      </c>
      <c r="AE76" s="878">
        <f t="shared" ref="AE76" si="291">+((AA76*AA$2)+(AC$2*AC76))/AE$2</f>
        <v>8.7860631292834892</v>
      </c>
      <c r="AF76" s="3323">
        <v>10</v>
      </c>
      <c r="AG76" s="225">
        <v>9.8095555555555549</v>
      </c>
      <c r="AH76" s="972">
        <f t="shared" si="273"/>
        <v>10</v>
      </c>
      <c r="AI76" s="878">
        <f t="shared" ref="AI76" si="292">+((AE76*AE$2)+(AG$2*AG76))/AI$2</f>
        <v>8.9119023620218574</v>
      </c>
      <c r="AJ76" s="3606">
        <v>10</v>
      </c>
      <c r="AK76" s="225">
        <v>9.0180645161290318</v>
      </c>
      <c r="AL76" s="973">
        <f t="shared" si="275"/>
        <v>10</v>
      </c>
      <c r="AM76" s="869">
        <f t="shared" si="276"/>
        <v>9.4899999999999984</v>
      </c>
      <c r="AN76" s="972">
        <f t="shared" si="277"/>
        <v>10</v>
      </c>
      <c r="AO76" s="878">
        <f t="shared" ref="AO76" si="293">+((AI76*AI$2)+(AK$2*AK76))/AO$2</f>
        <v>8.9238697321212115</v>
      </c>
      <c r="AP76" s="3960">
        <v>10</v>
      </c>
      <c r="AQ76" s="225">
        <v>8.6666666666666661</v>
      </c>
      <c r="AR76" s="972">
        <f t="shared" si="288"/>
        <v>10</v>
      </c>
      <c r="AS76" s="878">
        <f t="shared" ref="AS76" si="294">+((AO76*AO$2)+(AQ$2*AQ76))/AS$2</f>
        <v>8.8978132124183009</v>
      </c>
      <c r="AT76" s="4079">
        <v>10</v>
      </c>
      <c r="AU76" s="225">
        <v>8.8619047619047624</v>
      </c>
      <c r="AV76" s="972">
        <f t="shared" si="289"/>
        <v>10</v>
      </c>
      <c r="AW76" s="878">
        <f t="shared" ref="AW76" si="295">+((AS76*AS$2)+(AU$2*AU76))/AW$2</f>
        <v>8.8948029231536925</v>
      </c>
      <c r="AX76" s="4402">
        <v>10</v>
      </c>
      <c r="AY76" s="225">
        <v>8.8539784946236555</v>
      </c>
      <c r="AZ76" s="973">
        <f t="shared" si="281"/>
        <v>10</v>
      </c>
      <c r="BA76" s="869">
        <f t="shared" si="282"/>
        <v>8.7919259259259253</v>
      </c>
      <c r="BB76" s="1862">
        <f t="shared" si="283"/>
        <v>10</v>
      </c>
      <c r="BC76" s="1862">
        <f t="shared" si="284"/>
        <v>9.1447985347985323</v>
      </c>
      <c r="BD76" s="972">
        <f t="shared" si="290"/>
        <v>10</v>
      </c>
      <c r="BE76" s="878">
        <f t="shared" ref="BE76" si="296">+((AW76*AW$2)+(AY$2*AY76))/BE$2</f>
        <v>8.8913356429223747</v>
      </c>
    </row>
    <row r="77" spans="1:60" ht="19.5" thickBot="1" x14ac:dyDescent="0.3">
      <c r="B77" s="136" t="s">
        <v>2</v>
      </c>
      <c r="C77" s="113" t="s">
        <v>528</v>
      </c>
      <c r="D77" s="3023">
        <f t="shared" ref="D77:I77" si="297">SUM(D70:D76)</f>
        <v>157</v>
      </c>
      <c r="E77" s="231">
        <f t="shared" si="297"/>
        <v>110.4468616667</v>
      </c>
      <c r="F77" s="3023">
        <f t="shared" ref="F77" si="298">SUM(F70:F76)</f>
        <v>170</v>
      </c>
      <c r="G77" s="124">
        <f t="shared" si="297"/>
        <v>110.79704299000001</v>
      </c>
      <c r="H77" s="2672">
        <f t="shared" si="297"/>
        <v>163.60655737704917</v>
      </c>
      <c r="I77" s="1628">
        <f t="shared" si="297"/>
        <v>110.62482266706559</v>
      </c>
      <c r="J77" s="3023">
        <f t="shared" ref="J77" si="299">SUM(J70:J76)</f>
        <v>193</v>
      </c>
      <c r="K77" s="124">
        <f t="shared" ref="K77:N77" si="300">SUM(K70:K76)</f>
        <v>163.10566666666665</v>
      </c>
      <c r="L77" s="175">
        <f t="shared" si="300"/>
        <v>173.2967032967033</v>
      </c>
      <c r="M77" s="880">
        <f t="shared" si="300"/>
        <v>127.9261998097912</v>
      </c>
      <c r="N77" s="3023">
        <f t="shared" si="300"/>
        <v>193</v>
      </c>
      <c r="O77" s="327">
        <f t="shared" ref="O77:R77" si="301">SUM(O70:O76)</f>
        <v>159.87586021505376</v>
      </c>
      <c r="P77" s="3024">
        <f t="shared" si="301"/>
        <v>178.30327868852459</v>
      </c>
      <c r="Q77" s="877">
        <f t="shared" si="301"/>
        <v>136.04455614227595</v>
      </c>
      <c r="R77" s="3023">
        <f t="shared" si="301"/>
        <v>193</v>
      </c>
      <c r="S77" s="327">
        <f t="shared" ref="S77:V77" si="302">SUM(S70:S76)</f>
        <v>161.74817204301078</v>
      </c>
      <c r="T77" s="3024">
        <f t="shared" si="302"/>
        <v>181.281045751634</v>
      </c>
      <c r="U77" s="877">
        <f t="shared" si="302"/>
        <v>141.25247831824183</v>
      </c>
      <c r="V77" s="3023">
        <f t="shared" si="302"/>
        <v>193</v>
      </c>
      <c r="W77" s="327">
        <f t="shared" ref="W77" si="303">SUM(W70:W76)</f>
        <v>168.66699999999997</v>
      </c>
      <c r="X77" s="3025">
        <f t="shared" ref="X77:AE77" si="304">SUM(X70:X76)</f>
        <v>193</v>
      </c>
      <c r="Y77" s="176">
        <f t="shared" si="304"/>
        <v>163.37342391304347</v>
      </c>
      <c r="Z77" s="3015">
        <f t="shared" si="304"/>
        <v>183.20218579234972</v>
      </c>
      <c r="AA77" s="1263">
        <f t="shared" si="304"/>
        <v>145.74666220049727</v>
      </c>
      <c r="AB77" s="3023">
        <f t="shared" si="304"/>
        <v>193</v>
      </c>
      <c r="AC77" s="327">
        <f t="shared" si="304"/>
        <v>177.99978494623656</v>
      </c>
      <c r="AD77" s="3024">
        <f t="shared" si="304"/>
        <v>184.62149532710282</v>
      </c>
      <c r="AE77" s="877">
        <f t="shared" si="304"/>
        <v>150.41884353282398</v>
      </c>
      <c r="AF77" s="3023">
        <f t="shared" ref="AF77:AI77" si="305">SUM(AF70:AF76)</f>
        <v>193</v>
      </c>
      <c r="AG77" s="327">
        <f t="shared" si="305"/>
        <v>171.37111111111113</v>
      </c>
      <c r="AH77" s="3024">
        <f t="shared" si="305"/>
        <v>185.65163934426229</v>
      </c>
      <c r="AI77" s="877">
        <f t="shared" si="305"/>
        <v>152.99494200556421</v>
      </c>
      <c r="AJ77" s="3023">
        <f t="shared" ref="AJ77:AO77" si="306">SUM(AJ70:AJ76)</f>
        <v>193</v>
      </c>
      <c r="AK77" s="327">
        <f t="shared" si="306"/>
        <v>177.96709677419355</v>
      </c>
      <c r="AL77" s="3025">
        <f t="shared" si="306"/>
        <v>193</v>
      </c>
      <c r="AM77" s="176">
        <f t="shared" si="306"/>
        <v>175.82724637681162</v>
      </c>
      <c r="AN77" s="3024">
        <f t="shared" si="306"/>
        <v>186.48000000000002</v>
      </c>
      <c r="AO77" s="877">
        <f t="shared" si="306"/>
        <v>155.80998490675518</v>
      </c>
      <c r="AP77" s="3023">
        <f t="shared" ref="AP77:AS77" si="307">SUM(AP70:AP76)</f>
        <v>193</v>
      </c>
      <c r="AQ77" s="327">
        <f t="shared" si="307"/>
        <v>175.37387096774194</v>
      </c>
      <c r="AR77" s="3024">
        <f t="shared" si="307"/>
        <v>187.140522875817</v>
      </c>
      <c r="AS77" s="877">
        <f t="shared" si="307"/>
        <v>157.79194722012312</v>
      </c>
      <c r="AT77" s="3023">
        <f t="shared" ref="AT77:AW77" si="308">SUM(AT70:AT76)</f>
        <v>193</v>
      </c>
      <c r="AU77" s="327">
        <f t="shared" si="308"/>
        <v>157.76119047619045</v>
      </c>
      <c r="AV77" s="3024">
        <f t="shared" si="308"/>
        <v>187.6317365269461</v>
      </c>
      <c r="AW77" s="877">
        <f t="shared" si="308"/>
        <v>157.78936881045212</v>
      </c>
      <c r="AX77" s="3023">
        <f t="shared" ref="AX77:BE77" si="309">SUM(AX70:AX76)</f>
        <v>193</v>
      </c>
      <c r="AY77" s="327">
        <f t="shared" si="309"/>
        <v>162.33239247311829</v>
      </c>
      <c r="AZ77" s="3025">
        <f t="shared" si="309"/>
        <v>193</v>
      </c>
      <c r="BA77" s="176">
        <f t="shared" si="309"/>
        <v>165.40230555555556</v>
      </c>
      <c r="BB77" s="3015">
        <f t="shared" si="309"/>
        <v>193</v>
      </c>
      <c r="BC77" s="1263">
        <f t="shared" si="309"/>
        <v>170.67205586080587</v>
      </c>
      <c r="BD77" s="3024">
        <f t="shared" si="309"/>
        <v>188.08767123287669</v>
      </c>
      <c r="BE77" s="877">
        <f t="shared" si="309"/>
        <v>158.17521465577445</v>
      </c>
    </row>
    <row r="78" spans="1:60" ht="18.75" x14ac:dyDescent="0.25">
      <c r="B78" s="137" t="s">
        <v>523</v>
      </c>
      <c r="C78" s="123"/>
      <c r="D78" s="1637"/>
      <c r="E78" s="1637"/>
      <c r="F78" s="1637"/>
      <c r="G78" s="1637"/>
      <c r="H78" s="1637"/>
      <c r="I78" s="1637"/>
      <c r="J78" s="1637"/>
      <c r="K78" s="1637"/>
      <c r="L78" s="1637"/>
      <c r="M78" s="1637"/>
      <c r="N78" s="3026"/>
      <c r="O78" s="1921"/>
      <c r="P78" s="1637"/>
      <c r="Q78" s="1637"/>
      <c r="R78" s="3026"/>
      <c r="S78" s="1921"/>
      <c r="T78" s="1637"/>
      <c r="U78" s="1637"/>
      <c r="V78" s="3026"/>
      <c r="W78" s="1921"/>
      <c r="X78" s="1637"/>
      <c r="Y78" s="1637"/>
      <c r="Z78" s="1637"/>
      <c r="AA78" s="1637"/>
      <c r="AB78" s="3026"/>
      <c r="AC78" s="1921"/>
      <c r="AD78" s="1637"/>
      <c r="AE78" s="1637"/>
      <c r="AF78" s="3026"/>
      <c r="AG78" s="1921"/>
      <c r="AH78" s="1637"/>
      <c r="AI78" s="1637"/>
      <c r="AJ78" s="3026"/>
      <c r="AK78" s="1921"/>
      <c r="AL78" s="1637"/>
      <c r="AM78" s="1637"/>
      <c r="AN78" s="1637"/>
      <c r="AO78" s="1637"/>
      <c r="AP78" s="3026"/>
      <c r="AQ78" s="1921"/>
      <c r="AR78" s="1637"/>
      <c r="AS78" s="1637"/>
      <c r="AT78" s="3026"/>
      <c r="AU78" s="1921"/>
      <c r="AV78" s="1637"/>
      <c r="AW78" s="1637"/>
      <c r="AX78" s="3026"/>
      <c r="AY78" s="1921"/>
      <c r="AZ78" s="1637"/>
      <c r="BA78" s="1637"/>
      <c r="BB78" s="1637"/>
      <c r="BC78" s="1637"/>
      <c r="BD78" s="1637"/>
      <c r="BE78" s="1637"/>
    </row>
    <row r="79" spans="1:60" ht="15.75" x14ac:dyDescent="0.25">
      <c r="B79" s="128" t="s">
        <v>702</v>
      </c>
      <c r="C79" s="111" t="s">
        <v>528</v>
      </c>
      <c r="D79" s="2307">
        <v>0</v>
      </c>
      <c r="E79" s="230">
        <v>0</v>
      </c>
      <c r="F79" s="2307">
        <v>0</v>
      </c>
      <c r="G79" s="210">
        <v>0</v>
      </c>
      <c r="H79" s="687">
        <f t="shared" ref="H79:I80" si="310">+((D79*D$2)+(F$2*F79))/H$2</f>
        <v>0</v>
      </c>
      <c r="I79" s="687">
        <f t="shared" si="310"/>
        <v>0</v>
      </c>
      <c r="J79" s="1109">
        <v>0</v>
      </c>
      <c r="K79" s="210">
        <v>0</v>
      </c>
      <c r="L79" s="869">
        <f t="shared" ref="L79:L80" si="311">+((H79*H$2)+(J$2*J79))/L$2</f>
        <v>0</v>
      </c>
      <c r="M79" s="881">
        <f t="shared" ref="M79:M80" si="312">+((I79*I$2)+(K$2*K79))/M$2</f>
        <v>0</v>
      </c>
      <c r="N79" s="2307">
        <v>0</v>
      </c>
      <c r="O79" s="181">
        <v>0</v>
      </c>
      <c r="P79" s="972">
        <f t="shared" ref="P79:P80" si="313">+((L79*L$2)+(N$2*N79))/P$2</f>
        <v>0</v>
      </c>
      <c r="Q79" s="878">
        <f t="shared" ref="Q79:Q80" si="314">+((M79*M$2)+(O$2*O79))/Q$2</f>
        <v>0</v>
      </c>
      <c r="R79" s="2307">
        <v>0</v>
      </c>
      <c r="S79" s="181">
        <v>0</v>
      </c>
      <c r="T79" s="972">
        <f t="shared" ref="T79:T80" si="315">+((P79*P$2)+(R$2*R79))/T$2</f>
        <v>0</v>
      </c>
      <c r="U79" s="878">
        <f t="shared" ref="U79:U80" si="316">+((Q79*Q$2)+(S$2*S79))/U$2</f>
        <v>0</v>
      </c>
      <c r="V79" s="2307">
        <v>0</v>
      </c>
      <c r="W79" s="181">
        <v>0</v>
      </c>
      <c r="X79" s="973">
        <f t="shared" ref="X79:X80" si="317">+((N79*N$2)+(R79*R$2)+(V$2*V79))/X$2</f>
        <v>0</v>
      </c>
      <c r="Y79" s="869">
        <f t="shared" ref="Y79:Y80" si="318">+((O79*O$2)+(S79*S$2)+(W$2*W79))/Y$2</f>
        <v>0</v>
      </c>
      <c r="Z79" s="1862">
        <f t="shared" ref="Z79:Z80" si="319">+((L79*L$2)+(X$2*X79))/Z$2</f>
        <v>0</v>
      </c>
      <c r="AA79" s="1862">
        <f t="shared" ref="AA79:AA80" si="320">+((M79*M$2)+(Y$2*Y79))/AA$2</f>
        <v>0</v>
      </c>
      <c r="AB79" s="2307">
        <v>0</v>
      </c>
      <c r="AC79" s="181">
        <v>0</v>
      </c>
      <c r="AD79" s="972">
        <f t="shared" ref="AD79:AD80" si="321">+((Z79*Z$2)+(AB$2*AB79))/AD$2</f>
        <v>0</v>
      </c>
      <c r="AE79" s="878">
        <f t="shared" ref="AE79:AE80" si="322">+((AA79*AA$2)+(AC$2*AC79))/AE$2</f>
        <v>0</v>
      </c>
      <c r="AF79" s="2307">
        <v>0</v>
      </c>
      <c r="AG79" s="181">
        <v>0</v>
      </c>
      <c r="AH79" s="972">
        <f t="shared" ref="AH79:AH80" si="323">+((AD79*AD$2)+(AF$2*AF79))/AH$2</f>
        <v>0</v>
      </c>
      <c r="AI79" s="878">
        <f t="shared" ref="AI79:AI80" si="324">+((AE79*AE$2)+(AG$2*AG79))/AI$2</f>
        <v>0</v>
      </c>
      <c r="AJ79" s="2307">
        <v>0</v>
      </c>
      <c r="AK79" s="181">
        <v>0</v>
      </c>
      <c r="AL79" s="973">
        <f t="shared" ref="AL79:AL80" si="325">+((AB79*AB$2)+(AF79*AF$2)+(AJ$2*AJ79))/AL$2</f>
        <v>0</v>
      </c>
      <c r="AM79" s="869">
        <f t="shared" ref="AM79:AM80" si="326">+((AC79*AC$2)+(AG79*AG$2)+(AK$2*AK79))/AM$2</f>
        <v>0</v>
      </c>
      <c r="AN79" s="972">
        <f t="shared" ref="AN79:AN80" si="327">+((AH79*AH$2)+(AJ$2*AJ79))/AN$2</f>
        <v>0</v>
      </c>
      <c r="AO79" s="878">
        <f t="shared" ref="AO79:AO80" si="328">+((AI79*AI$2)+(AK$2*AK79))/AO$2</f>
        <v>0</v>
      </c>
      <c r="AP79" s="2307">
        <v>0</v>
      </c>
      <c r="AQ79" s="181">
        <v>0</v>
      </c>
      <c r="AR79" s="972">
        <f t="shared" ref="AR79:AR80" si="329">+((AN79*AN$2)+(AP$2*AP79))/AR$2</f>
        <v>0</v>
      </c>
      <c r="AS79" s="878">
        <f t="shared" ref="AS79:AS80" si="330">+((AO79*AO$2)+(AQ$2*AQ79))/AS$2</f>
        <v>0</v>
      </c>
      <c r="AT79" s="2307">
        <v>0</v>
      </c>
      <c r="AU79" s="181">
        <v>0</v>
      </c>
      <c r="AV79" s="972">
        <f t="shared" ref="AV79:AV80" si="331">+((AR79*AR$2)+(AT$2*AT79))/AV$2</f>
        <v>0</v>
      </c>
      <c r="AW79" s="878">
        <f t="shared" ref="AW79:AW80" si="332">+((AS79*AS$2)+(AU$2*AU79))/AW$2</f>
        <v>0</v>
      </c>
      <c r="AX79" s="2307">
        <v>0</v>
      </c>
      <c r="AY79" s="181">
        <v>0</v>
      </c>
      <c r="AZ79" s="973">
        <f t="shared" ref="AZ79:AZ80" si="333">+((AP79*AP$2)+(AT79*AT$2)+(AX$2*AX79))/AZ$2</f>
        <v>0</v>
      </c>
      <c r="BA79" s="869">
        <f t="shared" ref="BA79:BA80" si="334">+((AQ79*AQ$2)+(AU79*AU$2)+(AY$2*AY79))/BA$2</f>
        <v>0</v>
      </c>
      <c r="BB79" s="1862">
        <f>+((AL79*AL$2)+(AZ$2*AZ79))/BB$2</f>
        <v>0</v>
      </c>
      <c r="BC79" s="1862">
        <f>+((AM79*AM$2)+(BA$2*BA79))/BC$2</f>
        <v>0</v>
      </c>
      <c r="BD79" s="972">
        <f t="shared" ref="BD79:BD80" si="335">+((AV79*AV$2)+(AX$2*AX79))/BD$2</f>
        <v>0</v>
      </c>
      <c r="BE79" s="878">
        <f t="shared" ref="BE79:BE80" si="336">+((AW79*AW$2)+(AY$2*AY79))/BE$2</f>
        <v>0</v>
      </c>
      <c r="BF79" s="1363"/>
      <c r="BH79" s="1363"/>
    </row>
    <row r="80" spans="1:60" ht="16.5" thickBot="1" x14ac:dyDescent="0.3">
      <c r="B80" s="130" t="s">
        <v>522</v>
      </c>
      <c r="C80" s="112" t="s">
        <v>528</v>
      </c>
      <c r="D80" s="2308">
        <v>148</v>
      </c>
      <c r="E80" s="360">
        <v>116.78788900000001</v>
      </c>
      <c r="F80" s="2308">
        <v>148.9</v>
      </c>
      <c r="G80" s="379">
        <v>136.96666667</v>
      </c>
      <c r="H80" s="1631">
        <f t="shared" si="310"/>
        <v>148.45737704918037</v>
      </c>
      <c r="I80" s="1631">
        <f t="shared" si="310"/>
        <v>127.04267765196721</v>
      </c>
      <c r="J80" s="2309">
        <v>172.43490707391703</v>
      </c>
      <c r="K80" s="379">
        <v>157.33733333333333</v>
      </c>
      <c r="L80" s="3027">
        <f t="shared" si="311"/>
        <v>156.36205727711553</v>
      </c>
      <c r="M80" s="1949">
        <f t="shared" si="312"/>
        <v>137.02992677769231</v>
      </c>
      <c r="N80" s="2308">
        <v>172.97029168054866</v>
      </c>
      <c r="O80" s="307">
        <v>152.56709677419354</v>
      </c>
      <c r="P80" s="3028">
        <f t="shared" si="313"/>
        <v>160.58218241241411</v>
      </c>
      <c r="Q80" s="1894">
        <f t="shared" si="314"/>
        <v>140.9778962030328</v>
      </c>
      <c r="R80" s="2308">
        <v>170.53301944462396</v>
      </c>
      <c r="S80" s="307">
        <v>157.27290322580643</v>
      </c>
      <c r="T80" s="3028">
        <f t="shared" si="315"/>
        <v>162.59836507907102</v>
      </c>
      <c r="U80" s="1894">
        <f t="shared" si="316"/>
        <v>144.27949893313726</v>
      </c>
      <c r="V80" s="2308">
        <v>170.70845230546206</v>
      </c>
      <c r="W80" s="307">
        <v>155.81700000000001</v>
      </c>
      <c r="X80" s="973">
        <f t="shared" si="317"/>
        <v>171.4114805874371</v>
      </c>
      <c r="Y80" s="869">
        <f t="shared" si="318"/>
        <v>155.21250000000001</v>
      </c>
      <c r="Z80" s="1862">
        <f t="shared" si="319"/>
        <v>163.92788757520069</v>
      </c>
      <c r="AA80" s="1862">
        <f t="shared" si="320"/>
        <v>146.17089255065574</v>
      </c>
      <c r="AB80" s="3166">
        <v>171.94339042646175</v>
      </c>
      <c r="AC80" s="307">
        <v>164.43677419354839</v>
      </c>
      <c r="AD80" s="3028">
        <f t="shared" si="321"/>
        <v>165.08901182000952</v>
      </c>
      <c r="AE80" s="1894">
        <f t="shared" si="322"/>
        <v>148.81688475126168</v>
      </c>
      <c r="AF80" s="3323">
        <v>171.31311369522302</v>
      </c>
      <c r="AG80" s="307">
        <v>170.04253333333332</v>
      </c>
      <c r="AH80" s="3028">
        <f t="shared" si="323"/>
        <v>165.85427024728986</v>
      </c>
      <c r="AI80" s="1894">
        <f t="shared" si="324"/>
        <v>151.42659564249999</v>
      </c>
      <c r="AJ80" s="3606">
        <v>172.18220887126296</v>
      </c>
      <c r="AK80" s="307">
        <v>175.00913978494623</v>
      </c>
      <c r="AL80" s="973">
        <f t="shared" si="325"/>
        <v>171.81833683789301</v>
      </c>
      <c r="AM80" s="869">
        <f t="shared" si="326"/>
        <v>169.82716666666664</v>
      </c>
      <c r="AN80" s="3028">
        <f t="shared" si="327"/>
        <v>166.56760151035593</v>
      </c>
      <c r="AO80" s="1894">
        <f t="shared" si="328"/>
        <v>154.08499152764847</v>
      </c>
      <c r="AP80" s="3960">
        <v>172.42102731606423</v>
      </c>
      <c r="AQ80" s="307">
        <v>182.56677419354838</v>
      </c>
      <c r="AR80" s="3028">
        <f t="shared" si="329"/>
        <v>167.16059562792768</v>
      </c>
      <c r="AS80" s="1894">
        <f t="shared" si="330"/>
        <v>156.97040088269063</v>
      </c>
      <c r="AT80" s="4079">
        <v>166.67406443724354</v>
      </c>
      <c r="AU80" s="307">
        <v>93.593928571428577</v>
      </c>
      <c r="AV80" s="3028">
        <f t="shared" si="331"/>
        <v>167.11980858200207</v>
      </c>
      <c r="AW80" s="1894">
        <f t="shared" si="332"/>
        <v>151.65740320390219</v>
      </c>
      <c r="AX80" s="4402">
        <v>172.42102731606423</v>
      </c>
      <c r="AY80" s="307">
        <v>60.603548387096772</v>
      </c>
      <c r="AZ80" s="973">
        <f t="shared" si="333"/>
        <v>170.63308330932003</v>
      </c>
      <c r="BA80" s="869">
        <f t="shared" si="334"/>
        <v>112.87677777777778</v>
      </c>
      <c r="BB80" s="1862">
        <f>+((AL80*AL$2)+(AZ$2*AZ80))/BB$2</f>
        <v>171.23222245563164</v>
      </c>
      <c r="BC80" s="1862">
        <f>+((AM80*AM$2)+(BA$2*BA80))/BC$2</f>
        <v>141.66488644688644</v>
      </c>
      <c r="BD80" s="3028">
        <f t="shared" si="335"/>
        <v>167.57004907722379</v>
      </c>
      <c r="BE80" s="1894">
        <f t="shared" si="336"/>
        <v>143.92406210987215</v>
      </c>
    </row>
    <row r="81" spans="1:57" ht="19.5" thickBot="1" x14ac:dyDescent="0.3">
      <c r="A81" s="334"/>
      <c r="B81" s="599" t="s">
        <v>2</v>
      </c>
      <c r="C81" s="487" t="s">
        <v>528</v>
      </c>
      <c r="D81" s="1269">
        <f t="shared" ref="D81:I81" si="337">SUM(D79:D80)</f>
        <v>148</v>
      </c>
      <c r="E81" s="231">
        <f t="shared" si="337"/>
        <v>116.78788900000001</v>
      </c>
      <c r="F81" s="1269">
        <f t="shared" ref="F81" si="338">SUM(F79:F80)</f>
        <v>148.9</v>
      </c>
      <c r="G81" s="231">
        <f t="shared" si="337"/>
        <v>136.96666667</v>
      </c>
      <c r="H81" s="1632">
        <f t="shared" si="337"/>
        <v>148.45737704918037</v>
      </c>
      <c r="I81" s="1632">
        <f t="shared" si="337"/>
        <v>127.04267765196721</v>
      </c>
      <c r="J81" s="1269">
        <f t="shared" ref="J81" si="339">SUM(J79:J80)</f>
        <v>172.43490707391703</v>
      </c>
      <c r="K81" s="231">
        <f t="shared" ref="K81:N81" si="340">SUM(K79:K80)</f>
        <v>157.33733333333333</v>
      </c>
      <c r="L81" s="1633">
        <f t="shared" si="340"/>
        <v>156.36205727711553</v>
      </c>
      <c r="M81" s="880">
        <f t="shared" si="340"/>
        <v>137.02992677769231</v>
      </c>
      <c r="N81" s="3023">
        <f t="shared" si="340"/>
        <v>172.97029168054866</v>
      </c>
      <c r="O81" s="327">
        <f t="shared" ref="O81:R81" si="341">SUM(O79:O80)</f>
        <v>152.56709677419354</v>
      </c>
      <c r="P81" s="3024">
        <f t="shared" si="341"/>
        <v>160.58218241241411</v>
      </c>
      <c r="Q81" s="877">
        <f t="shared" si="341"/>
        <v>140.9778962030328</v>
      </c>
      <c r="R81" s="3023">
        <f t="shared" si="341"/>
        <v>170.53301944462396</v>
      </c>
      <c r="S81" s="327">
        <f t="shared" ref="S81:V81" si="342">SUM(S79:S80)</f>
        <v>157.27290322580643</v>
      </c>
      <c r="T81" s="3024">
        <f t="shared" si="342"/>
        <v>162.59836507907102</v>
      </c>
      <c r="U81" s="877">
        <f t="shared" si="342"/>
        <v>144.27949893313726</v>
      </c>
      <c r="V81" s="3023">
        <f t="shared" si="342"/>
        <v>170.70845230546206</v>
      </c>
      <c r="W81" s="327">
        <f t="shared" ref="W81" si="343">SUM(W79:W80)</f>
        <v>155.81700000000001</v>
      </c>
      <c r="X81" s="3025">
        <f t="shared" ref="X81:AE81" si="344">SUM(X79:X80)</f>
        <v>171.4114805874371</v>
      </c>
      <c r="Y81" s="1633">
        <f t="shared" si="344"/>
        <v>155.21250000000001</v>
      </c>
      <c r="Z81" s="3015">
        <f t="shared" si="344"/>
        <v>163.92788757520069</v>
      </c>
      <c r="AA81" s="1263">
        <f t="shared" si="344"/>
        <v>146.17089255065574</v>
      </c>
      <c r="AB81" s="3023">
        <f t="shared" si="344"/>
        <v>171.94339042646175</v>
      </c>
      <c r="AC81" s="327">
        <f t="shared" si="344"/>
        <v>164.43677419354839</v>
      </c>
      <c r="AD81" s="3024">
        <f t="shared" si="344"/>
        <v>165.08901182000952</v>
      </c>
      <c r="AE81" s="877">
        <f t="shared" si="344"/>
        <v>148.81688475126168</v>
      </c>
      <c r="AF81" s="3023">
        <f t="shared" ref="AF81:AI81" si="345">SUM(AF79:AF80)</f>
        <v>171.31311369522302</v>
      </c>
      <c r="AG81" s="327">
        <f t="shared" si="345"/>
        <v>170.04253333333332</v>
      </c>
      <c r="AH81" s="3024">
        <f t="shared" si="345"/>
        <v>165.85427024728986</v>
      </c>
      <c r="AI81" s="877">
        <f t="shared" si="345"/>
        <v>151.42659564249999</v>
      </c>
      <c r="AJ81" s="3023">
        <f t="shared" ref="AJ81:AO81" si="346">SUM(AJ79:AJ80)</f>
        <v>172.18220887126296</v>
      </c>
      <c r="AK81" s="327">
        <f t="shared" si="346"/>
        <v>175.00913978494623</v>
      </c>
      <c r="AL81" s="3025">
        <f t="shared" si="346"/>
        <v>171.81833683789301</v>
      </c>
      <c r="AM81" s="1633">
        <f t="shared" si="346"/>
        <v>169.82716666666664</v>
      </c>
      <c r="AN81" s="3024">
        <f t="shared" si="346"/>
        <v>166.56760151035593</v>
      </c>
      <c r="AO81" s="877">
        <f t="shared" si="346"/>
        <v>154.08499152764847</v>
      </c>
      <c r="AP81" s="3023">
        <f t="shared" ref="AP81:AS81" si="347">SUM(AP79:AP80)</f>
        <v>172.42102731606423</v>
      </c>
      <c r="AQ81" s="327">
        <f t="shared" si="347"/>
        <v>182.56677419354838</v>
      </c>
      <c r="AR81" s="3024">
        <f t="shared" si="347"/>
        <v>167.16059562792768</v>
      </c>
      <c r="AS81" s="877">
        <f t="shared" si="347"/>
        <v>156.97040088269063</v>
      </c>
      <c r="AT81" s="3023">
        <f t="shared" ref="AT81:AW81" si="348">SUM(AT79:AT80)</f>
        <v>166.67406443724354</v>
      </c>
      <c r="AU81" s="327">
        <f t="shared" si="348"/>
        <v>93.593928571428577</v>
      </c>
      <c r="AV81" s="3024">
        <f t="shared" si="348"/>
        <v>167.11980858200207</v>
      </c>
      <c r="AW81" s="877">
        <f t="shared" si="348"/>
        <v>151.65740320390219</v>
      </c>
      <c r="AX81" s="3023">
        <f t="shared" ref="AX81:BE81" si="349">SUM(AX79:AX80)</f>
        <v>172.42102731606423</v>
      </c>
      <c r="AY81" s="327">
        <f t="shared" si="349"/>
        <v>60.603548387096772</v>
      </c>
      <c r="AZ81" s="3025">
        <f t="shared" si="349"/>
        <v>170.63308330932003</v>
      </c>
      <c r="BA81" s="1633">
        <f t="shared" si="349"/>
        <v>112.87677777777778</v>
      </c>
      <c r="BB81" s="3015">
        <f t="shared" si="349"/>
        <v>171.23222245563164</v>
      </c>
      <c r="BC81" s="1263">
        <f t="shared" si="349"/>
        <v>141.66488644688644</v>
      </c>
      <c r="BD81" s="3024">
        <f t="shared" si="349"/>
        <v>167.57004907722379</v>
      </c>
      <c r="BE81" s="877">
        <f t="shared" si="349"/>
        <v>143.92406210987215</v>
      </c>
    </row>
    <row r="82" spans="1:57" x14ac:dyDescent="0.25">
      <c r="A82" s="334"/>
      <c r="B82" s="84" t="s">
        <v>72</v>
      </c>
      <c r="C82" s="36" t="s">
        <v>333</v>
      </c>
      <c r="D82" s="2050">
        <f>+EMD!D24/(EMD!D$2*24)</f>
        <v>17.8</v>
      </c>
      <c r="E82" s="915">
        <f>+EMD!E24/(EMD!E$2*24)</f>
        <v>10.673852699999999</v>
      </c>
      <c r="F82" s="915">
        <f>+EMD!F24/(EMD!F$2*24)</f>
        <v>17.8</v>
      </c>
      <c r="G82" s="915">
        <f>+EMD!G24/(EMD!G$2*24)</f>
        <v>13.702956989247312</v>
      </c>
      <c r="H82" s="209">
        <f>+EMD!H24/(EMD!H$2*24)</f>
        <v>17.8</v>
      </c>
      <c r="I82" s="209">
        <f>+EMD!I24/(EMD!I$2*24)</f>
        <v>12.213233568306013</v>
      </c>
      <c r="J82" s="915">
        <f>+EMD!J24/(EMD!J$2*24)</f>
        <v>12.2690997</v>
      </c>
      <c r="K82" s="915">
        <f>+EMD!K24/(EMD!K$2*24)</f>
        <v>15.257319444444445</v>
      </c>
      <c r="L82" s="195">
        <f>+EMD!L24/(EMD!L$2*24)</f>
        <v>15.976626274725277</v>
      </c>
      <c r="M82" s="195">
        <f>+EMD!M24/(EMD!M$2*24)</f>
        <v>13.216778362637363</v>
      </c>
      <c r="N82" s="915">
        <f>+EMD!N24/(EMD!N$2*24)</f>
        <v>12.0569674</v>
      </c>
      <c r="O82" s="915">
        <f>+EMD!O24/(EMD!O$2*24)</f>
        <v>15.387405913978494</v>
      </c>
      <c r="P82" s="209">
        <f>+EMD!P24/(EMD!P$2*24)</f>
        <v>14.980647380327872</v>
      </c>
      <c r="Q82" s="209">
        <f>+EMD!Q24/(EMD!Q$2*24)</f>
        <v>13.768331265027323</v>
      </c>
      <c r="R82" s="915">
        <f>+EMD!R24/(EMD!R$2*24)</f>
        <v>12.045869100000001</v>
      </c>
      <c r="S82" s="915">
        <f>+EMD!S24/(EMD!S$2*24)</f>
        <v>16.380510752688174</v>
      </c>
      <c r="T82" s="209">
        <f>+EMD!T24/(EMD!T$2*24)</f>
        <v>14.386019101307193</v>
      </c>
      <c r="U82" s="209">
        <f>+EMD!U24/(EMD!U$2*24)</f>
        <v>14.297596389978214</v>
      </c>
      <c r="V82" s="915">
        <f>+EMD!V24/(EMD!V$2*24)</f>
        <v>12.164190299999998</v>
      </c>
      <c r="W82" s="915">
        <f>+EMD!W24/(EMD!W$2*24)</f>
        <v>16.76413888888889</v>
      </c>
      <c r="X82" s="195">
        <f>+EMD!X24/(EMD!X$2*24)</f>
        <v>12.088191744565217</v>
      </c>
      <c r="Y82" s="195">
        <f>+EMD!Y24/(EMD!Y$2*24)</f>
        <v>16.170973731884054</v>
      </c>
      <c r="Z82" s="1147">
        <f>+EMD!Z24/(EMD!Z$2*24)</f>
        <v>14.0217848715847</v>
      </c>
      <c r="AA82" s="1147">
        <f>+EMD!AA24/(EMD!AA$2*24)</f>
        <v>14.70194761930783</v>
      </c>
      <c r="AB82" s="915">
        <f>+EMD!AB24/(EMD!AB$2*24)</f>
        <v>11.9523768</v>
      </c>
      <c r="AC82" s="915">
        <f>+EMD!AC24/(EMD!AC$2*24)</f>
        <v>16.333185483870967</v>
      </c>
      <c r="AD82" s="209">
        <f>+EMD!AD24/(EMD!AD$2*24)</f>
        <v>13.722010805140185</v>
      </c>
      <c r="AE82" s="209">
        <f>+EMD!AE24/(EMD!AE$2*24)</f>
        <v>14.938248431464173</v>
      </c>
      <c r="AF82" s="915">
        <f>+EMD!AF24/(EMD!AF$2*24)</f>
        <v>12.164190299999998</v>
      </c>
      <c r="AG82" s="915">
        <f>+EMD!AG24/(EMD!AG$2*24)</f>
        <v>15.878736111111111</v>
      </c>
      <c r="AH82" s="209">
        <f>+EMD!AH24/(EMD!AH$2*24)</f>
        <v>13.530475497131144</v>
      </c>
      <c r="AI82" s="209">
        <f>+EMD!AI24/(EMD!AI$2*24)</f>
        <v>15.053882162568305</v>
      </c>
      <c r="AJ82" s="915">
        <f>+EMD!AJ24/(EMD!AJ$2*24)</f>
        <v>11.9523768</v>
      </c>
      <c r="AK82" s="915">
        <f>+EMD!AK24/(EMD!AK$2*24)</f>
        <v>16.097177419354839</v>
      </c>
      <c r="AL82" s="195">
        <f>+EMD!AL24/(EMD!AL$2*24)</f>
        <v>12.021446419565216</v>
      </c>
      <c r="AM82" s="195">
        <f>+EMD!AM24/(EMD!AM$2*24)</f>
        <v>16.105471014492753</v>
      </c>
      <c r="AN82" s="209">
        <f>+EMD!AN24/(EMD!AN$2*24)</f>
        <v>13.35258073490909</v>
      </c>
      <c r="AO82" s="209">
        <f>+EMD!AO24/(EMD!AO$2*24)</f>
        <v>15.171489991515152</v>
      </c>
      <c r="AP82" s="915">
        <f>+EMD!AP24/(EMD!AP$2*24)</f>
        <v>11.9523768</v>
      </c>
      <c r="AQ82" s="915">
        <f>+EMD!AQ24/(EMD!AQ$2*24)</f>
        <v>16.006142473118278</v>
      </c>
      <c r="AR82" s="209">
        <f>+EMD!AR24/(EMD!AR$2*24)</f>
        <v>13.210730009477121</v>
      </c>
      <c r="AS82" s="209">
        <f>+EMD!AS24/(EMD!AS$2*24)</f>
        <v>15.256046288671023</v>
      </c>
      <c r="AT82" s="915">
        <f>+EMD!AT24/(EMD!AT$2*24)</f>
        <v>12.8866785</v>
      </c>
      <c r="AU82" s="915">
        <f>+EMD!AU24/(EMD!AU$2*24)</f>
        <v>11.34479166666666</v>
      </c>
      <c r="AV82" s="209">
        <f>+EMD!AV24/(EMD!AV$2*24)</f>
        <v>13.183564014670656</v>
      </c>
      <c r="AW82" s="209">
        <f>+EMD!AW24/(EMD!AW$2*24)</f>
        <v>14.928156679640717</v>
      </c>
      <c r="AX82" s="915">
        <f>+EMD!AX24/(EMD!AX$2*24)</f>
        <v>11.9523768</v>
      </c>
      <c r="AY82" s="915">
        <f>+EMD!AY24/(EMD!AY$2*24)</f>
        <v>9.6981854838709669</v>
      </c>
      <c r="AZ82" s="195">
        <f>+EMD!AZ24/(EMD!AZ$2*24)</f>
        <v>12.243048439999999</v>
      </c>
      <c r="BA82" s="195">
        <f>+EMD!BA24/(EMD!BA$2*24)</f>
        <v>12.383203703703701</v>
      </c>
      <c r="BB82" s="1147">
        <f>+EMD!BB24/(EMD!BB$2*24)</f>
        <v>12.131029836263735</v>
      </c>
      <c r="BC82" s="1147">
        <f>+EMD!BC24/(EMD!BC$2*24)</f>
        <v>14.264789377289375</v>
      </c>
      <c r="BD82" s="209">
        <f>+EMD!BD24/(EMD!BD$2*24)</f>
        <v>13.078997429315066</v>
      </c>
      <c r="BE82" s="209">
        <f>+EMD!BE24/(EMD!BE$2*24)</f>
        <v>14.483967345205478</v>
      </c>
    </row>
    <row r="83" spans="1:57" x14ac:dyDescent="0.25">
      <c r="A83" s="334"/>
      <c r="B83" s="85" t="s">
        <v>100</v>
      </c>
      <c r="C83" s="36" t="s">
        <v>333</v>
      </c>
      <c r="D83" s="2050">
        <f>EMD!D45/(EMD!D$2*24)</f>
        <v>92.260721111111124</v>
      </c>
      <c r="E83" s="915">
        <f>EMD!E45/(EMD!E$2*24)</f>
        <v>92.415444444444432</v>
      </c>
      <c r="F83" s="915">
        <f>EMD!F45/(EMD!F$2*24)</f>
        <v>106.31217946240901</v>
      </c>
      <c r="G83" s="915">
        <f>EMD!G45/(EMD!G$2*24)</f>
        <v>87.494623655913983</v>
      </c>
      <c r="H83" s="209">
        <f>EMD!H45/(EMD!H$2*24)</f>
        <v>99.40162617488545</v>
      </c>
      <c r="I83" s="209">
        <f>EMD!I45/(EMD!I$2*24)</f>
        <v>89.914699453551904</v>
      </c>
      <c r="J83" s="915">
        <f>EMD!J45/(EMD!J$2*24)</f>
        <v>180.62243181199699</v>
      </c>
      <c r="K83" s="915">
        <f>EMD!K45/(EMD!K$2*24)</f>
        <v>177.03655555555557</v>
      </c>
      <c r="L83" s="195">
        <f>EMD!L45/(EMD!L$2*24)</f>
        <v>126.17771594536177</v>
      </c>
      <c r="M83" s="195">
        <f>EMD!M45/(EMD!M$2*24)</f>
        <v>118.63619047619048</v>
      </c>
      <c r="N83" s="915">
        <f>EMD!N45/(EMD!N$2*24)</f>
        <v>181.86989094267099</v>
      </c>
      <c r="O83" s="915">
        <f>EMD!O45/(EMD!O$2*24)</f>
        <v>170.19489247311827</v>
      </c>
      <c r="P83" s="209">
        <f>EMD!P45/(EMD!P$2*24)</f>
        <v>140.3290063135305</v>
      </c>
      <c r="Q83" s="209">
        <f>EMD!Q45/(EMD!Q$2*24)</f>
        <v>131.73717213114753</v>
      </c>
      <c r="R83" s="915">
        <f>EMD!R45/(EMD!R$2*24)</f>
        <v>181.21291924395899</v>
      </c>
      <c r="S83" s="915">
        <f>EMD!S45/(EMD!S$2*24)</f>
        <v>173.23387096774192</v>
      </c>
      <c r="T83" s="209">
        <f>EMD!T45/(EMD!T$2*24)</f>
        <v>148.61267494649314</v>
      </c>
      <c r="U83" s="209">
        <f>EMD!U45/(EMD!U$2*24)</f>
        <v>140.14500000000001</v>
      </c>
      <c r="V83" s="915">
        <f>EMD!V45/(EMD!V$2*24)</f>
        <v>181.236318902671</v>
      </c>
      <c r="W83" s="915">
        <f>EMD!W45/(EMD!W$2*24)</f>
        <v>173.14583333333334</v>
      </c>
      <c r="X83" s="195">
        <f>EMD!X45/(EMD!X$2*24)</f>
        <v>181.44192046593108</v>
      </c>
      <c r="Y83" s="195">
        <f>EMD!Y45/(EMD!Y$2*24)</f>
        <v>172.18115942028984</v>
      </c>
      <c r="Z83" s="1147">
        <f>EMD!Z45/(EMD!Z$2*24)</f>
        <v>153.96081329996494</v>
      </c>
      <c r="AA83" s="1147">
        <f>EMD!AA45/(EMD!AA$2*24)</f>
        <v>145.55497267759563</v>
      </c>
      <c r="AB83" s="915">
        <f>EMD!AB45/(EMD!AB$2*24)</f>
        <v>182.57469526232902</v>
      </c>
      <c r="AC83" s="915">
        <f>EMD!AC45/(EMD!AC$2*24)</f>
        <v>179.88709677419354</v>
      </c>
      <c r="AD83" s="209">
        <f>EMD!AD45/(EMD!AD$2*24)</f>
        <v>158.10581489264385</v>
      </c>
      <c r="AE83" s="209">
        <f>EMD!AE45/(EMD!AE$2*24)</f>
        <v>150.52831775700935</v>
      </c>
      <c r="AF83" s="915">
        <f>EMD!AF45/(EMD!AF$2*24)</f>
        <v>181.236318902671</v>
      </c>
      <c r="AG83" s="915">
        <f>EMD!AG45/(EMD!AG$2*24)</f>
        <v>174.1861111111111</v>
      </c>
      <c r="AH83" s="209">
        <f>EMD!AH45/(EMD!AH$2*24)</f>
        <v>160.9497293201062</v>
      </c>
      <c r="AI83" s="209">
        <f>EMD!AI45/(EMD!AI$2*24)</f>
        <v>153.43706284153004</v>
      </c>
      <c r="AJ83" s="915">
        <f>EMD!AJ45/(EMD!AJ$2*24)</f>
        <v>182.57469526232902</v>
      </c>
      <c r="AK83" s="915">
        <f>EMD!AK45/(EMD!AK$2*24)</f>
        <v>178.82258064516128</v>
      </c>
      <c r="AL83" s="195">
        <f>EMD!AL45/(EMD!AL$2*24)</f>
        <v>182.13826818852749</v>
      </c>
      <c r="AM83" s="195">
        <f>EMD!AM45/(EMD!AM$2*24)</f>
        <v>177.669384057971</v>
      </c>
      <c r="AN83" s="209">
        <f>EMD!AN45/(EMD!AN$2*24)</f>
        <v>163.38745275359315</v>
      </c>
      <c r="AO83" s="209">
        <f>EMD!AO45/(EMD!AO$2*24)</f>
        <v>156.29870303030302</v>
      </c>
      <c r="AP83" s="915">
        <f>EMD!AP45/(EMD!AP$2*24)</f>
        <v>182.57469526232902</v>
      </c>
      <c r="AQ83" s="915">
        <f>EMD!AQ45/(EMD!AQ$2*24)</f>
        <v>180.53629032258064</v>
      </c>
      <c r="AR83" s="209">
        <f>EMD!AR45/(EMD!AR$2*24)</f>
        <v>165.33125836722326</v>
      </c>
      <c r="AS83" s="209">
        <f>EMD!AS45/(EMD!AS$2*24)</f>
        <v>158.75414488017429</v>
      </c>
      <c r="AT83" s="915">
        <f>EMD!AT45/(EMD!AT$2*24)</f>
        <v>174.724181146022</v>
      </c>
      <c r="AU83" s="915">
        <f>EMD!AU45/(EMD!AU$2*24)</f>
        <v>117.57886904761905</v>
      </c>
      <c r="AV83" s="209">
        <f>EMD!AV45/(EMD!AV$2*24)</f>
        <v>166.11868901933812</v>
      </c>
      <c r="AW83" s="209">
        <f>EMD!AW45/(EMD!AW$2*24)</f>
        <v>155.30232534930138</v>
      </c>
      <c r="AX83" s="915">
        <f>EMD!AX45/(EMD!AX$2*24)</f>
        <v>182.57469526232902</v>
      </c>
      <c r="AY83" s="915">
        <f>EMD!AY45/(EMD!AY$2*24)</f>
        <v>95.382661290322574</v>
      </c>
      <c r="AZ83" s="195">
        <f>EMD!AZ45/(EMD!AZ$2*24)</f>
        <v>180.13231309281127</v>
      </c>
      <c r="BA83" s="195">
        <f>EMD!BA45/(EMD!BA$2*24)</f>
        <v>131.61884259259259</v>
      </c>
      <c r="BB83" s="1147">
        <f>EMD!BB45/(EMD!BB$2*24)</f>
        <v>181.14631237196454</v>
      </c>
      <c r="BC83" s="1147">
        <f>EMD!BC45/(EMD!BC$2*24)</f>
        <v>154.89713827838827</v>
      </c>
      <c r="BD83" s="209">
        <f>EMD!BD45/(EMD!BD$2*24)</f>
        <v>167.5163224262771</v>
      </c>
      <c r="BE83" s="209">
        <f>EMD!BE45/(EMD!BE$2*24)</f>
        <v>150.21325799086756</v>
      </c>
    </row>
    <row r="84" spans="1:57" x14ac:dyDescent="0.25">
      <c r="A84" s="334"/>
      <c r="B84" s="85" t="s">
        <v>509</v>
      </c>
      <c r="C84" s="36" t="s">
        <v>333</v>
      </c>
      <c r="D84" s="2050">
        <f>EMD!D59/(EMD!D$2*24)</f>
        <v>7.4117544771000006</v>
      </c>
      <c r="E84" s="915">
        <f>EMD!E59/(EMD!E$2*24)</f>
        <v>3.1533791666666668</v>
      </c>
      <c r="F84" s="915">
        <f>EMD!F59/(EMD!F$2*24)</f>
        <v>7.1842344388899999</v>
      </c>
      <c r="G84" s="915">
        <f>EMD!G59/(EMD!G$2*24)</f>
        <v>0</v>
      </c>
      <c r="H84" s="209">
        <f>EMD!H59/(EMD!H$2*24)</f>
        <v>7.2961295396490167</v>
      </c>
      <c r="I84" s="209">
        <f>EMD!I59/(EMD!I$2*24)</f>
        <v>1.5508422131147541</v>
      </c>
      <c r="J84" s="915">
        <f>EMD!J59/(EMD!J$2*24)</f>
        <v>17.432446531042334</v>
      </c>
      <c r="K84" s="915">
        <f>EMD!K59/(EMD!K$2*24)</f>
        <v>0</v>
      </c>
      <c r="L84" s="195">
        <f>EMD!L59/(EMD!L$2*24)</f>
        <v>10.637772503844616</v>
      </c>
      <c r="M84" s="195">
        <f>EMD!M59/(EMD!M$2*24)</f>
        <v>1.0395755494505494</v>
      </c>
      <c r="N84" s="915">
        <f>EMD!N59/(EMD!N$2*24)</f>
        <v>16.881215609070001</v>
      </c>
      <c r="O84" s="915">
        <f>EMD!O59/(EMD!O$2*24)</f>
        <v>9.8674731182795696</v>
      </c>
      <c r="P84" s="209">
        <f>EMD!P59/(EMD!P$2*24)</f>
        <v>12.224221161729755</v>
      </c>
      <c r="Q84" s="209">
        <f>EMD!Q59/(EMD!Q$2*24)</f>
        <v>3.2827298497267754</v>
      </c>
      <c r="R84" s="915">
        <f>EMD!R59/(EMD!R$2*24)</f>
        <v>16.895098187689999</v>
      </c>
      <c r="S84" s="915">
        <f>EMD!S59/(EMD!S$2*24)</f>
        <v>14.097715053763443</v>
      </c>
      <c r="T84" s="209">
        <f>EMD!T59/(EMD!T$2*24)</f>
        <v>13.170608010126928</v>
      </c>
      <c r="U84" s="209">
        <f>EMD!U59/(EMD!U$2*24)</f>
        <v>5.4740013616557732</v>
      </c>
      <c r="V84" s="915">
        <f>EMD!V59/(EMD!V$2*24)</f>
        <v>16.884454877410001</v>
      </c>
      <c r="W84" s="915">
        <f>EMD!W59/(EMD!W$2*24)</f>
        <v>20.218472222222221</v>
      </c>
      <c r="X84" s="195">
        <f>EMD!X59/(EMD!X$2*24)</f>
        <v>16.886949717628912</v>
      </c>
      <c r="Y84" s="195">
        <f>EMD!Y59/(EMD!Y$2*24)</f>
        <v>14.668206521739132</v>
      </c>
      <c r="Z84" s="1147">
        <f>EMD!Z59/(EMD!Z$2*24)</f>
        <v>13.779435365419234</v>
      </c>
      <c r="AA84" s="1147">
        <f>EMD!AA59/(EMD!AA$2*24)</f>
        <v>7.8911277322404372</v>
      </c>
      <c r="AB84" s="915">
        <f>EMD!AB59/(EMD!AB$2*24)</f>
        <v>16.554975011361293</v>
      </c>
      <c r="AC84" s="915">
        <f>EMD!AC59/(EMD!AC$2*24)</f>
        <v>21.265188172043011</v>
      </c>
      <c r="AD84" s="209">
        <f>EMD!AD59/(EMD!AD$2*24)</f>
        <v>14.181499519737944</v>
      </c>
      <c r="AE84" s="209">
        <f>EMD!AE59/(EMD!AE$2*24)</f>
        <v>9.8284916277258567</v>
      </c>
      <c r="AF84" s="915">
        <f>EMD!AF59/(EMD!AF$2*24)</f>
        <v>17.201845331249999</v>
      </c>
      <c r="AG84" s="915">
        <f>EMD!AG59/(EMD!AG$2*24)</f>
        <v>20.295694444444443</v>
      </c>
      <c r="AH84" s="209">
        <f>EMD!AH59/(EMD!AH$2*24)</f>
        <v>14.55285351295664</v>
      </c>
      <c r="AI84" s="209">
        <f>EMD!AI59/(EMD!AI$2*24)</f>
        <v>11.115442793715847</v>
      </c>
      <c r="AJ84" s="915">
        <f>EMD!AJ59/(EMD!AJ$2*24)</f>
        <v>17.212662173759998</v>
      </c>
      <c r="AK84" s="915">
        <f>EMD!AK59/(EMD!AK$2*24)</f>
        <v>20.147580645161291</v>
      </c>
      <c r="AL84" s="195">
        <f>EMD!AL59/(EMD!AL$2*24)</f>
        <v>16.987522963872394</v>
      </c>
      <c r="AM84" s="195">
        <f>EMD!AM59/(EMD!AM$2*24)</f>
        <v>20.572463768115941</v>
      </c>
      <c r="AN84" s="209">
        <f>EMD!AN59/(EMD!AN$2*24)</f>
        <v>14.852686489265382</v>
      </c>
      <c r="AO84" s="209">
        <f>EMD!AO59/(EMD!AO$2*24)</f>
        <v>12.133611060606061</v>
      </c>
      <c r="AP84" s="915">
        <f>EMD!AP59/(EMD!AP$2*24)</f>
        <v>17.318516835779999</v>
      </c>
      <c r="AQ84" s="915">
        <f>EMD!AQ59/(EMD!AQ$2*24)</f>
        <v>25.660752688172042</v>
      </c>
      <c r="AR84" s="209">
        <f>EMD!AR59/(EMD!AR$2*24)</f>
        <v>15.102492831559347</v>
      </c>
      <c r="AS84" s="209">
        <f>EMD!AS59/(EMD!AS$2*24)</f>
        <v>13.504007761437908</v>
      </c>
      <c r="AT84" s="915">
        <f>EMD!AT59/(EMD!AT$2*24)</f>
        <v>16.687975072659999</v>
      </c>
      <c r="AU84" s="915">
        <f>EMD!AU59/(EMD!AU$2*24)</f>
        <v>23.577041666666666</v>
      </c>
      <c r="AV84" s="209">
        <f>EMD!AV59/(EMD!AV$2*24)</f>
        <v>15.235407510454014</v>
      </c>
      <c r="AW84" s="209">
        <f>EMD!AW59/(EMD!AW$2*24)</f>
        <v>14.348453717564869</v>
      </c>
      <c r="AX84" s="915">
        <f>EMD!AX59/(EMD!AX$2*24)</f>
        <v>17.318516835779999</v>
      </c>
      <c r="AY84" s="915">
        <f>EMD!AY59/(EMD!AY$2*24)</f>
        <v>22.840591397849465</v>
      </c>
      <c r="AZ84" s="195">
        <f>EMD!AZ59/(EMD!AZ$2*24)</f>
        <v>17.122348287253779</v>
      </c>
      <c r="BA84" s="195">
        <f>EMD!BA59/(EMD!BA$2*24)</f>
        <v>24.041098148148151</v>
      </c>
      <c r="BB84" s="1147">
        <f>EMD!BB59/(EMD!BB$2*24)</f>
        <v>17.054194827082966</v>
      </c>
      <c r="BC84" s="1147">
        <f>EMD!BC59/(EMD!BC$2*24)</f>
        <v>22.287722527472528</v>
      </c>
      <c r="BD84" s="209">
        <f>EMD!BD59/(EMD!BD$2*24)</f>
        <v>15.41232912438581</v>
      </c>
      <c r="BE84" s="209">
        <f>EMD!BE59/(EMD!BE$2*24)</f>
        <v>15.069703767123286</v>
      </c>
    </row>
    <row r="85" spans="1:57" x14ac:dyDescent="0.25">
      <c r="A85" s="334"/>
      <c r="B85" s="85" t="s">
        <v>111</v>
      </c>
      <c r="C85" s="33" t="s">
        <v>508</v>
      </c>
      <c r="D85" s="2050">
        <f>EMD!D65/(EMD!D$2*24)</f>
        <v>4.6687483499999995</v>
      </c>
      <c r="E85" s="2050">
        <f>EMD!E65/(EMD!E$2*24)</f>
        <v>1.7255573179115695</v>
      </c>
      <c r="F85" s="2050">
        <f>EMD!F65/(EMD!F$2*24)</f>
        <v>4.6082009599999996</v>
      </c>
      <c r="G85" s="2050">
        <f>EMD!G65/(EMD!G$2*24)</f>
        <v>2.871600806451613</v>
      </c>
      <c r="H85" s="2251">
        <f>EMD!H65/(EMD!H$2*24)</f>
        <v>4.6379783649180322</v>
      </c>
      <c r="I85" s="2251">
        <f>EMD!I65/(EMD!I$2*24)</f>
        <v>2.3079728612679848</v>
      </c>
      <c r="J85" s="2050">
        <f>EMD!J65/(EMD!J$2*24)</f>
        <v>2.4795356700000002</v>
      </c>
      <c r="K85" s="2050">
        <f>EMD!K65/(EMD!K$2*24)</f>
        <v>1.0015902777777776</v>
      </c>
      <c r="L85" s="1168">
        <f>EMD!L65/(EMD!L$2*24)</f>
        <v>3.9264038501098897</v>
      </c>
      <c r="M85" s="1168">
        <f>EMD!M65/(EMD!M$2*24)</f>
        <v>1.8772972842931914</v>
      </c>
      <c r="N85" s="2050">
        <f>EMD!N65/(EMD!N$2*24)</f>
        <v>2.5106712400000006</v>
      </c>
      <c r="O85" s="2050">
        <f>EMD!O65/(EMD!O$2*24)</f>
        <v>0.53376881720430114</v>
      </c>
      <c r="P85" s="2251">
        <f>EMD!P65/(EMD!P$2*24)</f>
        <v>3.5666685147540984</v>
      </c>
      <c r="Q85" s="2251">
        <f>EMD!Q65/(EMD!Q$2*24)</f>
        <v>1.5359089033115882</v>
      </c>
      <c r="R85" s="2050">
        <f>EMD!R65/(EMD!R$2*24)</f>
        <v>2.3332703399999999</v>
      </c>
      <c r="S85" s="2050">
        <f>EMD!S65/(EMD!S$2*24)</f>
        <v>0.56965860215053765</v>
      </c>
      <c r="T85" s="2251">
        <f>EMD!T65/(EMD!T$2*24)</f>
        <v>3.3167643094117647</v>
      </c>
      <c r="U85" s="2251">
        <f>EMD!U65/(EMD!U$2*24)</f>
        <v>1.3401326985011792</v>
      </c>
      <c r="V85" s="2050">
        <f>EMD!V65/(EMD!V$2*24)</f>
        <v>2.2776898800000001</v>
      </c>
      <c r="W85" s="2050">
        <f>EMD!W65/(EMD!W$2*24)</f>
        <v>0.62852083333333342</v>
      </c>
      <c r="X85" s="1168">
        <f>EMD!X65/(EMD!X$2*24)</f>
        <v>2.3749226671739136</v>
      </c>
      <c r="Y85" s="1168">
        <f>EMD!Y65/(EMD!Y$2*24)</f>
        <v>0.57675951086956523</v>
      </c>
      <c r="Z85" s="2253">
        <f>EMD!Z65/(EMD!Z$2*24)</f>
        <v>3.1464242390163935</v>
      </c>
      <c r="AA85" s="2253">
        <f>EMD!AA65/(EMD!AA$2*24)</f>
        <v>1.2234750156867784</v>
      </c>
      <c r="AB85" s="2050">
        <f>EMD!AB65/(EMD!AB$2*24)</f>
        <v>2.2580035548387096</v>
      </c>
      <c r="AC85" s="2050">
        <f>EMD!AC65/(EMD!AC$2*24)</f>
        <v>7.7291666666666675E-2</v>
      </c>
      <c r="AD85" s="2251">
        <f>EMD!AD65/(EMD!AD$2*24)</f>
        <v>3.0177277847663553</v>
      </c>
      <c r="AE85" s="2251">
        <f>EMD!AE65/(EMD!AE$2*24)</f>
        <v>1.0574391099876035</v>
      </c>
      <c r="AF85" s="2050">
        <f>EMD!AF65/(EMD!AF$2*24)</f>
        <v>2.2776898800000001</v>
      </c>
      <c r="AG85" s="2050">
        <f>EMD!AG65/(EMD!AG$2*24)</f>
        <v>0.68258888888888891</v>
      </c>
      <c r="AH85" s="2251">
        <f>EMD!AH65/(EMD!AH$2*24)</f>
        <v>2.9267395177868853</v>
      </c>
      <c r="AI85" s="2251">
        <f>EMD!AI65/(EMD!AI$2*24)</f>
        <v>1.0113509680492367</v>
      </c>
      <c r="AJ85" s="2050">
        <f>EMD!AJ65/(EMD!AJ$2*24)</f>
        <v>2.3332703399999999</v>
      </c>
      <c r="AK85" s="2050">
        <f>EMD!AK65/(EMD!AK$2*24)</f>
        <v>0.17697446236559142</v>
      </c>
      <c r="AL85" s="1168">
        <f>EMD!AL65/(EMD!AL$2*24)</f>
        <v>2.2897846428260866</v>
      </c>
      <c r="AM85" s="1168">
        <f>EMD!AM65/(EMD!AM$2*24)</f>
        <v>0.30825996376811593</v>
      </c>
      <c r="AN85" s="2251">
        <f>EMD!AN65/(EMD!AN$2*24)</f>
        <v>2.8598393559272726</v>
      </c>
      <c r="AO85" s="2251">
        <f>EMD!AO65/(EMD!AO$2*24)</f>
        <v>0.91729398013580765</v>
      </c>
      <c r="AP85" s="2050">
        <f>EMD!AP65/(EMD!AP$2*24)</f>
        <v>2.3332703399999999</v>
      </c>
      <c r="AQ85" s="2050">
        <f>EMD!AQ65/(EMD!AQ$2*24)</f>
        <v>0.18802688172043011</v>
      </c>
      <c r="AR85" s="2251">
        <f>EMD!AR65/(EMD!AR$2*24)</f>
        <v>2.8064941288235294</v>
      </c>
      <c r="AS85" s="2251">
        <f>EMD!AS65/(EMD!AS$2*24)</f>
        <v>0.84341397996954393</v>
      </c>
      <c r="AT85" s="2050">
        <f>EMD!AT65/(EMD!AT$2*24)</f>
        <v>2.2336281599999999</v>
      </c>
      <c r="AU85" s="2050">
        <f>EMD!AU65/(EMD!AU$2*24)</f>
        <v>0.20723235993657485</v>
      </c>
      <c r="AV85" s="2251">
        <f>EMD!AV65/(EMD!AV$2*24)</f>
        <v>2.7584694368263469</v>
      </c>
      <c r="AW85" s="2251">
        <f>EMD!AW65/(EMD!AW$2*24)</f>
        <v>0.79008138906857639</v>
      </c>
      <c r="AX85" s="2050">
        <f>EMD!AX65/(EMD!AX$2*24)</f>
        <v>2.3332703399999999</v>
      </c>
      <c r="AY85" s="2050">
        <f>EMD!AY65/(EMD!AY$2*24)</f>
        <v>9.1877688172043004E-2</v>
      </c>
      <c r="AZ85" s="1168">
        <f>EMD!AZ65/(EMD!AZ$2*24)</f>
        <v>2.3022705506666665</v>
      </c>
      <c r="BA85" s="1168">
        <f>EMD!BA65/(EMD!BA$2*24)</f>
        <v>0.16088386383211958</v>
      </c>
      <c r="BB85" s="2253">
        <f>EMD!BB65/(EMD!BB$2*24)</f>
        <v>2.2959589928571429</v>
      </c>
      <c r="BC85" s="2253">
        <f>EMD!BC65/(EMD!BC$2*24)</f>
        <v>0.23538167259097489</v>
      </c>
      <c r="BD85" s="2251">
        <f>EMD!BD65/(EMD!BD$2*24)</f>
        <v>2.7223566368219174</v>
      </c>
      <c r="BE85" s="2251">
        <f>EMD!BE65/(EMD!BE$2*24)</f>
        <v>0.73078189666366533</v>
      </c>
    </row>
    <row r="86" spans="1:57" x14ac:dyDescent="0.25">
      <c r="A86" s="334"/>
      <c r="B86" s="86" t="s">
        <v>451</v>
      </c>
      <c r="C86" s="40" t="s">
        <v>449</v>
      </c>
      <c r="D86" s="2406">
        <v>8000</v>
      </c>
      <c r="E86" s="475">
        <v>8027.9803849519103</v>
      </c>
      <c r="F86" s="2406">
        <v>8000</v>
      </c>
      <c r="G86" s="50">
        <v>8028</v>
      </c>
      <c r="H86" s="2418">
        <f>+((D86*(D85*D2*24))+(F86*(F85*24*F2)))/(H85*24*H2)</f>
        <v>8000.0000000000009</v>
      </c>
      <c r="I86" s="2418">
        <f>+((E86*(E85*E2*24))+(G86*(G85*24*G2)))/(I85*24*I2)</f>
        <v>8027.9927876052443</v>
      </c>
      <c r="J86" s="823">
        <v>8000</v>
      </c>
      <c r="K86" s="50">
        <v>8027.98</v>
      </c>
      <c r="L86" s="2415">
        <f>+((H86*(H85*H2*24))+(J86*(J85*24*J2)))/(L85*24*L2)</f>
        <v>8000</v>
      </c>
      <c r="M86" s="1326">
        <f>+((I86*(I85*I2*24))+(K86*(K85*24*K2)))/(M85*24*M2)</f>
        <v>8027.9905384153062</v>
      </c>
      <c r="N86" s="2406">
        <v>8000</v>
      </c>
      <c r="O86" s="40">
        <v>8028</v>
      </c>
      <c r="P86" s="1077">
        <f>+((L86*(L85*L2*24))+(N86*(N85*24*N2)))/(P85*24*P2)</f>
        <v>7999.9999999999982</v>
      </c>
      <c r="Q86" s="1325">
        <f>+((M86*(M85*M2*24))+(O86*(O85*24*O2)))/(Q85*24*Q2)</f>
        <v>8027.9913739288331</v>
      </c>
      <c r="R86" s="2406">
        <v>8000</v>
      </c>
      <c r="S86" s="417">
        <v>8027.98</v>
      </c>
      <c r="T86" s="1077">
        <f>+((P86*(P85*P2*24))+(R86*(R85*24*R2)))/(T85*24*T2)</f>
        <v>7999.9999999999982</v>
      </c>
      <c r="U86" s="1325">
        <f>+((Q86*(Q85*Q2*24))+(S86*(S85*24*S2)))/(U85*24*U2)</f>
        <v>8027.9903943314284</v>
      </c>
      <c r="V86" s="2406">
        <v>8000</v>
      </c>
      <c r="W86" s="417">
        <v>8027.98</v>
      </c>
      <c r="X86" s="162">
        <v>8000</v>
      </c>
      <c r="Y86" s="3914">
        <f>+((O86*(O85*O2*24))+(S86*(S85*S2*24))+(W86*(W85*24*W2)))/(Y85*24*Y2)</f>
        <v>8027.9862368068734</v>
      </c>
      <c r="Z86" s="2549">
        <v>8000</v>
      </c>
      <c r="AA86" s="1236">
        <f>+((U86*(U85*U2*24))+(W86*(W85*24*W2)))/(AA85*24*AA2)</f>
        <v>8027.9895189621548</v>
      </c>
      <c r="AB86" s="3160">
        <v>8000</v>
      </c>
      <c r="AC86" s="417">
        <v>8027.98</v>
      </c>
      <c r="AD86" s="1077">
        <f>+((Z86*(Z85*Z2*24))+(AB86*(AB85*24*AB2)))/(AD85*24*AD2)</f>
        <v>8000</v>
      </c>
      <c r="AE86" s="1325">
        <f>+((AA86*(AA85*AA2*24))+(AC86*(AC85*24*AC2)))/(AE85*24*AE2)</f>
        <v>8027.9894181727623</v>
      </c>
      <c r="AF86" s="3317">
        <v>8000</v>
      </c>
      <c r="AG86" s="417">
        <v>8027.98</v>
      </c>
      <c r="AH86" s="1077">
        <f>+((AD86*(AD85*AD2*24))+(AF86*(AF85*24*AF2)))/(AH85*24*AH2)</f>
        <v>7999.9999999999991</v>
      </c>
      <c r="AI86" s="1325">
        <f>+((AE86*(AE85*AE2*24))+(AG86*(AG85*24*AG2)))/(AI85*24*AI2)</f>
        <v>8027.9886366252222</v>
      </c>
      <c r="AJ86" s="3502">
        <v>8000</v>
      </c>
      <c r="AK86" s="417">
        <v>8027.98</v>
      </c>
      <c r="AL86" s="162">
        <v>8000</v>
      </c>
      <c r="AM86" s="3914">
        <f>+((AC86*(AC85*AC2*24))+(AG86*(AG85*AG2*24))+(AK86*(AK85*24*AK2)))/(AM85*24*AM2)</f>
        <v>8027.9800000000023</v>
      </c>
      <c r="AN86" s="1077">
        <f>+((AH86*(AH85*AH2*24))+(AJ86*(AJ85*24*AJ2)))/(AN85*24*AN2)</f>
        <v>7999.9999999999991</v>
      </c>
      <c r="AO86" s="1325">
        <f>+((AI86*(AI85*AI2*24))+(AK86*(AK85*24*AK2)))/(AO85*24*AO2)</f>
        <v>8027.9884487908221</v>
      </c>
      <c r="AP86" s="3502">
        <v>8000</v>
      </c>
      <c r="AQ86" s="417">
        <v>8027.98</v>
      </c>
      <c r="AR86" s="1077">
        <f>+((AN86*(AN85*AN2*24))+(AP86*(AP85*24*AP2)))/(AR85*24*AR2)</f>
        <v>7999.9999999999991</v>
      </c>
      <c r="AS86" s="1325">
        <f>+((AO86*(AO85*AO2*24))+(AQ86*(AQ85*24*AQ2)))/(AS85*24*AS2)</f>
        <v>8027.9882579751784</v>
      </c>
      <c r="AT86" s="3502">
        <v>8000</v>
      </c>
      <c r="AU86" s="417">
        <v>8027.9787055013412</v>
      </c>
      <c r="AV86" s="1077">
        <f>+((AR86*(AR85*AR2*24))+(AT86*(AT85*24*AT2)))/(AV85*24*AV2)</f>
        <v>8000.0000000000009</v>
      </c>
      <c r="AW86" s="1325">
        <f>+((AS86*(AS85*AS2*24))+(AU86*(AU85*24*AU2)))/(AW85*24*AW2)</f>
        <v>8027.9880479297835</v>
      </c>
      <c r="AX86" s="3502">
        <v>8000</v>
      </c>
      <c r="AY86" s="417">
        <v>8027.98</v>
      </c>
      <c r="AZ86" s="162">
        <v>8000</v>
      </c>
      <c r="BA86" s="4380">
        <f>+((AQ86*(AQ85*AQ2*24))+(AU86*(AU85*AU2*24))+(AY86*(AY85*24*AY2)))/(BA85*24*BA2)</f>
        <v>8027.9794812451019</v>
      </c>
      <c r="BB86" s="1789">
        <f>+((AL86*(AL85*AL2*24))+(AZ86*(AZ85*24*AZ2)))/(BB85*24*BB2)</f>
        <v>8000</v>
      </c>
      <c r="BC86" s="1236">
        <f>+((AM86*(AM85*AM2*24))+(BA86*(BA85*24*BA2)))/(BC85*24*BC2)</f>
        <v>8027.9798246631626</v>
      </c>
      <c r="BD86" s="1077">
        <f>+((AV86*(AV85*AV2*24))+(AX86*(AX85*24*AX2)))/(BD85*24*BD2)</f>
        <v>8000</v>
      </c>
      <c r="BE86" s="1325">
        <f>+((AW86*(AW85*AW2*24))+(AY86*(AY85*24*AY2)))/(BE85*24*BE2)</f>
        <v>8027.9879619937547</v>
      </c>
    </row>
    <row r="87" spans="1:57" x14ac:dyDescent="0.25">
      <c r="A87" s="334"/>
      <c r="B87" s="85" t="s">
        <v>447</v>
      </c>
      <c r="C87" s="33" t="s">
        <v>448</v>
      </c>
      <c r="D87" s="1035">
        <v>28.8</v>
      </c>
      <c r="E87" s="365">
        <v>59.14</v>
      </c>
      <c r="F87" s="1035">
        <v>22.32</v>
      </c>
      <c r="G87" s="210">
        <v>24.8</v>
      </c>
      <c r="H87" s="949">
        <f>+D87+F87</f>
        <v>51.120000000000005</v>
      </c>
      <c r="I87" s="949">
        <f>+E87+G87</f>
        <v>83.94</v>
      </c>
      <c r="J87" s="1110">
        <v>7.1999999999999993</v>
      </c>
      <c r="K87" s="210">
        <v>1</v>
      </c>
      <c r="L87" s="951">
        <f>+H87+J87</f>
        <v>58.320000000000007</v>
      </c>
      <c r="M87" s="1843">
        <f>+I87+K87</f>
        <v>84.94</v>
      </c>
      <c r="N87" s="1035">
        <v>7.4399999999999995</v>
      </c>
      <c r="O87" s="181">
        <v>61.019999999999996</v>
      </c>
      <c r="P87" s="2053">
        <f>+L87+N87</f>
        <v>65.760000000000005</v>
      </c>
      <c r="Q87" s="1895">
        <f>+M87+O87</f>
        <v>145.95999999999998</v>
      </c>
      <c r="R87" s="1035">
        <v>7.4399999999999995</v>
      </c>
      <c r="S87" s="376">
        <v>7.6</v>
      </c>
      <c r="T87" s="2053">
        <f>+P87+R87</f>
        <v>73.2</v>
      </c>
      <c r="U87" s="1895">
        <f>+Q87+S87</f>
        <v>153.55999999999997</v>
      </c>
      <c r="V87" s="1035">
        <v>14.879999999999999</v>
      </c>
      <c r="W87" s="376">
        <v>9.34</v>
      </c>
      <c r="X87" s="2355">
        <f>+N87+R87+V87</f>
        <v>29.759999999999998</v>
      </c>
      <c r="Y87" s="951">
        <f>+O87+S87+W87</f>
        <v>77.959999999999994</v>
      </c>
      <c r="Z87" s="1141">
        <f>+L87+X87</f>
        <v>88.080000000000013</v>
      </c>
      <c r="AA87" s="1789">
        <f>+M87+Y87</f>
        <v>162.89999999999998</v>
      </c>
      <c r="AB87" s="1035">
        <v>7.4399999999999995</v>
      </c>
      <c r="AC87" s="376">
        <v>20.399999999999999</v>
      </c>
      <c r="AD87" s="2053">
        <f>+Z87+AB87</f>
        <v>95.52000000000001</v>
      </c>
      <c r="AE87" s="1895">
        <f>+AA87+AC87</f>
        <v>183.29999999999998</v>
      </c>
      <c r="AF87" s="1035">
        <v>7.4399999999999995</v>
      </c>
      <c r="AG87" s="376">
        <v>52.4</v>
      </c>
      <c r="AH87" s="2053">
        <f>+AD87+AF87</f>
        <v>102.96000000000001</v>
      </c>
      <c r="AI87" s="1895">
        <f>+AE87+AG87</f>
        <v>235.7</v>
      </c>
      <c r="AJ87" s="1035">
        <v>7.4399999999999995</v>
      </c>
      <c r="AK87" s="376">
        <v>0</v>
      </c>
      <c r="AL87" s="2355">
        <f>+AB87+AF87+AJ87</f>
        <v>22.32</v>
      </c>
      <c r="AM87" s="3619">
        <f>+AC87+AG87+AK87</f>
        <v>72.8</v>
      </c>
      <c r="AN87" s="2053">
        <f>+AH87+AJ87</f>
        <v>110.4</v>
      </c>
      <c r="AO87" s="1895">
        <f>+AI87+AK87</f>
        <v>235.7</v>
      </c>
      <c r="AP87" s="1035">
        <f>0.01*24*AP2</f>
        <v>7.4399999999999995</v>
      </c>
      <c r="AQ87" s="376">
        <v>15.38</v>
      </c>
      <c r="AR87" s="2053">
        <f>+AN87+AP87</f>
        <v>117.84</v>
      </c>
      <c r="AS87" s="1895">
        <f>+AO87+AQ87</f>
        <v>251.07999999999998</v>
      </c>
      <c r="AT87" s="1035">
        <f>0.01*24*AT2</f>
        <v>6.72</v>
      </c>
      <c r="AU87" s="376">
        <v>49.58</v>
      </c>
      <c r="AV87" s="2053">
        <f>+AR87+AT87</f>
        <v>124.56</v>
      </c>
      <c r="AW87" s="1895">
        <f>+AS87+AU87</f>
        <v>300.65999999999997</v>
      </c>
      <c r="AX87" s="1035">
        <f>0.01*24*AX2</f>
        <v>7.4399999999999995</v>
      </c>
      <c r="AY87" s="376">
        <v>7.8</v>
      </c>
      <c r="AZ87" s="2355">
        <f>+AP87+AT87+AX87</f>
        <v>21.6</v>
      </c>
      <c r="BA87" s="4416">
        <f>+AQ87+AU87+AY87</f>
        <v>72.759999999999991</v>
      </c>
      <c r="BB87" s="1141">
        <f>+AL87+AZ87</f>
        <v>43.92</v>
      </c>
      <c r="BC87" s="1789">
        <f>+AM87+BA87</f>
        <v>145.56</v>
      </c>
      <c r="BD87" s="2053">
        <f>+AV87+AX87</f>
        <v>132</v>
      </c>
      <c r="BE87" s="2053">
        <f>+AW87+AY87</f>
        <v>308.45999999999998</v>
      </c>
    </row>
    <row r="88" spans="1:57" x14ac:dyDescent="0.25">
      <c r="A88" s="334"/>
      <c r="B88" s="86" t="s">
        <v>452</v>
      </c>
      <c r="C88" s="40" t="s">
        <v>453</v>
      </c>
      <c r="D88" s="2406">
        <v>9135</v>
      </c>
      <c r="E88" s="238">
        <v>9135</v>
      </c>
      <c r="F88" s="2406">
        <v>9135</v>
      </c>
      <c r="G88" s="50">
        <v>9135</v>
      </c>
      <c r="H88" s="2418">
        <f>+AVERAGE(D88,F88)</f>
        <v>9135</v>
      </c>
      <c r="I88" s="2418">
        <f>+AVERAGE(E88,G88)</f>
        <v>9135</v>
      </c>
      <c r="J88" s="823">
        <v>9135</v>
      </c>
      <c r="K88" s="50">
        <v>9135</v>
      </c>
      <c r="L88" s="2415">
        <f>+AVERAGE(H88,J88)</f>
        <v>9135</v>
      </c>
      <c r="M88" s="1326">
        <f>+AVERAGE(I88,K88)</f>
        <v>9135</v>
      </c>
      <c r="N88" s="2406">
        <v>9135</v>
      </c>
      <c r="O88" s="40">
        <v>9135</v>
      </c>
      <c r="P88" s="1077">
        <f>+AVERAGE(L88,N88)</f>
        <v>9135</v>
      </c>
      <c r="Q88" s="1325">
        <f>+AVERAGE(M88,O88)</f>
        <v>9135</v>
      </c>
      <c r="R88" s="2406">
        <v>9135</v>
      </c>
      <c r="S88" s="417">
        <v>9135</v>
      </c>
      <c r="T88" s="1077">
        <f>+AVERAGE(P88,R88)</f>
        <v>9135</v>
      </c>
      <c r="U88" s="1325">
        <f>+AVERAGE(Q88,S88)</f>
        <v>9135</v>
      </c>
      <c r="V88" s="2406">
        <v>9135</v>
      </c>
      <c r="W88" s="417">
        <v>9135</v>
      </c>
      <c r="X88" s="162">
        <v>9135</v>
      </c>
      <c r="Y88" s="2415">
        <f>+AVERAGE(O88,S88,W88)</f>
        <v>9135</v>
      </c>
      <c r="Z88" s="2549">
        <v>9135</v>
      </c>
      <c r="AA88" s="1236">
        <f>+AVERAGE(M88,Y88)</f>
        <v>9135</v>
      </c>
      <c r="AB88" s="3160">
        <v>9135</v>
      </c>
      <c r="AC88" s="417">
        <v>9135</v>
      </c>
      <c r="AD88" s="1077">
        <f>+AVERAGE(Z88,AB88)</f>
        <v>9135</v>
      </c>
      <c r="AE88" s="1325">
        <f>+AVERAGE(AA88,AC88)</f>
        <v>9135</v>
      </c>
      <c r="AF88" s="3317">
        <v>9135</v>
      </c>
      <c r="AG88" s="417">
        <v>9135</v>
      </c>
      <c r="AH88" s="1077">
        <f>+AVERAGE(AD88,AF88)</f>
        <v>9135</v>
      </c>
      <c r="AI88" s="1325">
        <f>+AVERAGE(AE88,AG88)</f>
        <v>9135</v>
      </c>
      <c r="AJ88" s="3502">
        <v>9135</v>
      </c>
      <c r="AK88" s="417">
        <v>9135</v>
      </c>
      <c r="AL88" s="162">
        <v>9135</v>
      </c>
      <c r="AM88" s="3600">
        <f>+AVERAGE(AC88,AG88,AK88)</f>
        <v>9135</v>
      </c>
      <c r="AN88" s="1077">
        <f>+AVERAGE(AH88,AJ88)</f>
        <v>9135</v>
      </c>
      <c r="AO88" s="1325">
        <f>+AVERAGE(AI88,AK88)</f>
        <v>9135</v>
      </c>
      <c r="AP88" s="3502">
        <v>9135</v>
      </c>
      <c r="AQ88" s="417">
        <v>9135</v>
      </c>
      <c r="AR88" s="1077">
        <f>+AVERAGE(AN88,AP88)</f>
        <v>9135</v>
      </c>
      <c r="AS88" s="1325">
        <f>+AVERAGE(AO88,AQ88)</f>
        <v>9135</v>
      </c>
      <c r="AT88" s="3502">
        <v>9135</v>
      </c>
      <c r="AU88" s="417">
        <v>9135</v>
      </c>
      <c r="AV88" s="1077">
        <f>+AVERAGE(D88,F88,J88,N88,R88,V88,AB88,AF88,AJ88,AP88,AT88)</f>
        <v>9135</v>
      </c>
      <c r="AW88" s="1077">
        <f>+AVERAGE(E88,G88,K88,O88,S88,W88,AC88,AG88,AK88,AQ88,AU88)</f>
        <v>9135</v>
      </c>
      <c r="AX88" s="3502">
        <v>9135</v>
      </c>
      <c r="AY88" s="417">
        <v>9135</v>
      </c>
      <c r="AZ88" s="162"/>
      <c r="BA88" s="4380">
        <f>+AVERAGE(AQ88,AU88,AY88)</f>
        <v>9135</v>
      </c>
      <c r="BB88" s="1789">
        <f>+AVERAGE(AL88,AZ88)</f>
        <v>9135</v>
      </c>
      <c r="BC88" s="1789">
        <f>+AVERAGE(AM88,BA88)</f>
        <v>9135</v>
      </c>
      <c r="BD88" s="1077">
        <f>+AVERAGE(D88,F88,J88,N88,R88,V88,AB88,AF88,AJ88,AP88,AT88,AX88)</f>
        <v>9135</v>
      </c>
      <c r="BE88" s="1077">
        <f>+AVERAGE(E88,G88,K88,O88,S88,W88,AC88,AG88,AK88,AQ88,AU88,AY88)</f>
        <v>9135</v>
      </c>
    </row>
    <row r="89" spans="1:57" x14ac:dyDescent="0.25">
      <c r="B89" s="87" t="s">
        <v>450</v>
      </c>
      <c r="C89" s="40" t="s">
        <v>552</v>
      </c>
      <c r="D89" s="3029">
        <v>0.77300000000000002</v>
      </c>
      <c r="E89" s="413">
        <v>0.88300000000000001</v>
      </c>
      <c r="F89" s="3029">
        <v>0.78042909999999999</v>
      </c>
      <c r="G89" s="1630">
        <v>0.874</v>
      </c>
      <c r="H89" s="957">
        <f>+((D89*D58)+(F58*F89))/H58</f>
        <v>0.7768580926559665</v>
      </c>
      <c r="I89" s="957">
        <f>+((E89*E58)+(G58*G89))/I58</f>
        <v>0.87827490300304722</v>
      </c>
      <c r="J89" s="2352">
        <v>0.83822704523698399</v>
      </c>
      <c r="K89" s="1630">
        <v>0.88400000000000001</v>
      </c>
      <c r="L89" s="958">
        <f>+((H89*H58)+(J58*J89))/L58</f>
        <v>0.7992862340795317</v>
      </c>
      <c r="M89" s="1842">
        <f>+((I89*I58)+(K58*K89))/M58</f>
        <v>0.88054889360868005</v>
      </c>
      <c r="N89" s="3029">
        <v>0.838309991162277</v>
      </c>
      <c r="O89" s="296">
        <v>0.93600000000000005</v>
      </c>
      <c r="P89" s="3030">
        <f>+((L89*L58)+(N58*N89))/P58</f>
        <v>0.80999496102176227</v>
      </c>
      <c r="Q89" s="1896">
        <f>+((M89*M58)+(O58*O89))/Q58</f>
        <v>0.8969429098151821</v>
      </c>
      <c r="R89" s="3029">
        <v>0.83840065630406102</v>
      </c>
      <c r="S89" s="983">
        <v>0.94</v>
      </c>
      <c r="T89" s="3030">
        <f>+((P89*P58)+(R58*R89))/T58</f>
        <v>0.81607945384706848</v>
      </c>
      <c r="U89" s="1896">
        <f>+((Q89*Q58)+(S58*S89))/U58</f>
        <v>0.90702626726057511</v>
      </c>
      <c r="V89" s="3029">
        <v>0.83831636353269401</v>
      </c>
      <c r="W89" s="983">
        <v>1.0209999999999999</v>
      </c>
      <c r="X89" s="3031">
        <f>+((N89*N58)+(R89*R58)+(V58*V89))/X58</f>
        <v>0.83834254166591737</v>
      </c>
      <c r="Y89" s="958">
        <f>+((O89*O58)+(S89*S58)+(W58*W89))/Y58</f>
        <v>0.96515563042826702</v>
      </c>
      <c r="Z89" s="1140">
        <f>+((T89*T58)+(V89*V58))/Z58</f>
        <v>0.8198990273078548</v>
      </c>
      <c r="AA89" s="1265">
        <f>+((U89*U58)+(W58*W89))/AA58</f>
        <v>0.92786120888266876</v>
      </c>
      <c r="AB89" s="3029">
        <v>0.83852660341735397</v>
      </c>
      <c r="AC89" s="983">
        <v>0.99199999999999999</v>
      </c>
      <c r="AD89" s="3030">
        <f>+((Z89*Z58)+(AB58*AB89))/AD58</f>
        <v>0.82271500251329055</v>
      </c>
      <c r="AE89" s="1896">
        <f>+((AA89*AA58)+(AC58*AC89))/AE58</f>
        <v>0.93843328410271409</v>
      </c>
      <c r="AF89" s="3029">
        <v>0.83851245174554001</v>
      </c>
      <c r="AG89" s="983">
        <v>0.99199999999999999</v>
      </c>
      <c r="AH89" s="3030">
        <f>+((AD89*AD58)+(AF58*AF89))/AH58</f>
        <v>0.8247281116600762</v>
      </c>
      <c r="AI89" s="1896">
        <f>+((AE89*AE58)+(AG58*AG89))/AI58</f>
        <v>0.94584218403171105</v>
      </c>
      <c r="AJ89" s="3029">
        <v>0.83858880804606195</v>
      </c>
      <c r="AK89" s="983">
        <v>0.97</v>
      </c>
      <c r="AL89" s="3031">
        <f>+((AB89*AB58)+(AF89*AF58)+(AJ58*AJ89))/AL58</f>
        <v>0.83854297629366448</v>
      </c>
      <c r="AM89" s="958">
        <f>+((AC89*AC58)+(AG89*AG58)+(AK58*AK89))/AM58</f>
        <v>0.98446267511790964</v>
      </c>
      <c r="AN89" s="3030">
        <f>+((AH89*AH58)+(AJ58*AJ89))/AN58</f>
        <v>0.82634431634401129</v>
      </c>
      <c r="AO89" s="1896">
        <f>+((AI89*AI58)+(AK58*AK89))/AO58</f>
        <v>0.94892178783243353</v>
      </c>
      <c r="AP89" s="3029">
        <v>0.83863684984826403</v>
      </c>
      <c r="AQ89" s="983">
        <v>0.997</v>
      </c>
      <c r="AR89" s="3030">
        <f>+((AN89*AN58)+(AP58*AP89))/AR58</f>
        <v>0.82762873918579238</v>
      </c>
      <c r="AS89" s="1896">
        <f>+((AO89*AO58)+(AQ58*AQ89))/AS58</f>
        <v>0.95436303718757665</v>
      </c>
      <c r="AT89" s="3029">
        <v>0.83806684022502698</v>
      </c>
      <c r="AU89" s="983">
        <v>1.1120000000000001</v>
      </c>
      <c r="AV89" s="3030">
        <f>+((AR89*AR58)+(AT58*AT89))/AV58</f>
        <v>0.82851594172346488</v>
      </c>
      <c r="AW89" s="1896">
        <f>+((AS89*AS58)+(AU58*AU89))/AW58</f>
        <v>0.96483764202612166</v>
      </c>
      <c r="AX89" s="3029">
        <v>0.83863684984826403</v>
      </c>
      <c r="AY89" s="983">
        <v>1.1519999999999999</v>
      </c>
      <c r="AZ89" s="3031">
        <f>+((AP89*AP58)+(AT89*AT58)+(AX58*AX89))/AZ58</f>
        <v>0.83846144425258362</v>
      </c>
      <c r="BA89" s="958">
        <f>+((AQ89*AQ58)+(AU89*AU58)+(AY58*AY89))/BA58</f>
        <v>1.0718057189445005</v>
      </c>
      <c r="BB89" s="1140">
        <f>+((AL89*AL58)+(AZ58*AZ89))/BB58</f>
        <v>0.83850272457202091</v>
      </c>
      <c r="BC89" s="1265">
        <f>+((AM89*AM58)+(BA58*BA89))/BC58</f>
        <v>1.0224734845906194</v>
      </c>
      <c r="BD89" s="3030">
        <f>+((AV89*AV58)+(AX58*AX89))/BD58</f>
        <v>0.82939913156791134</v>
      </c>
      <c r="BE89" s="1896">
        <f>+((AW89*AW58)+(AY58*AY89))/BE58</f>
        <v>0.97630211910816911</v>
      </c>
    </row>
    <row r="90" spans="1:57" s="334" customFormat="1" x14ac:dyDescent="0.25">
      <c r="B90" s="1051" t="s">
        <v>65</v>
      </c>
      <c r="C90" s="1052"/>
      <c r="D90" s="1052"/>
      <c r="E90" s="1052"/>
      <c r="F90" s="1052"/>
      <c r="G90" s="1052"/>
      <c r="H90" s="1052"/>
      <c r="I90" s="1052"/>
      <c r="J90" s="1052"/>
      <c r="K90" s="1052"/>
      <c r="L90" s="1052"/>
      <c r="M90" s="1052"/>
      <c r="N90" s="3032"/>
      <c r="O90" s="1922"/>
      <c r="P90" s="1052"/>
      <c r="Q90" s="1052"/>
      <c r="R90" s="3032"/>
      <c r="S90" s="1922"/>
      <c r="T90" s="1052"/>
      <c r="U90" s="1052"/>
      <c r="V90" s="3032"/>
      <c r="W90" s="1922"/>
      <c r="X90" s="1052"/>
      <c r="Y90" s="1052"/>
      <c r="Z90" s="1052"/>
      <c r="AA90" s="1052"/>
      <c r="AB90" s="3032"/>
      <c r="AC90" s="1922"/>
      <c r="AD90" s="1052"/>
      <c r="AE90" s="1052"/>
      <c r="AF90" s="3032"/>
      <c r="AG90" s="1922"/>
      <c r="AH90" s="1052"/>
      <c r="AI90" s="1052"/>
      <c r="AJ90" s="3032"/>
      <c r="AK90" s="1922"/>
      <c r="AL90" s="1052"/>
      <c r="AM90" s="1052"/>
      <c r="AN90" s="1052"/>
      <c r="AO90" s="1052"/>
      <c r="AP90" s="3032"/>
      <c r="AQ90" s="1922"/>
      <c r="AR90" s="1052"/>
      <c r="AS90" s="1052"/>
      <c r="AT90" s="3032"/>
      <c r="AU90" s="1922"/>
      <c r="AV90" s="1052"/>
      <c r="AW90" s="1052"/>
      <c r="AX90" s="3032"/>
      <c r="AY90" s="1922"/>
      <c r="AZ90" s="1052"/>
      <c r="BA90" s="1052"/>
      <c r="BB90" s="1052"/>
      <c r="BC90" s="1052"/>
      <c r="BD90" s="1052"/>
      <c r="BE90" s="1052"/>
    </row>
    <row r="91" spans="1:57" x14ac:dyDescent="0.25">
      <c r="B91" s="85" t="s">
        <v>455</v>
      </c>
      <c r="C91" s="225" t="s">
        <v>393</v>
      </c>
      <c r="D91" s="3033"/>
      <c r="E91" s="355">
        <v>101.3</v>
      </c>
      <c r="F91" s="5300"/>
      <c r="G91" s="225">
        <v>95.3</v>
      </c>
      <c r="H91" s="5297"/>
      <c r="I91" s="533">
        <f>+E91+G91</f>
        <v>196.6</v>
      </c>
      <c r="J91" s="3033"/>
      <c r="K91" s="225">
        <v>95.1</v>
      </c>
      <c r="L91" s="5302"/>
      <c r="M91" s="1326">
        <f>+I91+K91</f>
        <v>291.7</v>
      </c>
      <c r="N91" s="3033"/>
      <c r="O91" s="225">
        <v>78.099999999999994</v>
      </c>
      <c r="P91" s="5270"/>
      <c r="Q91" s="1325">
        <f>+M91+O91</f>
        <v>369.79999999999995</v>
      </c>
      <c r="R91" s="3033"/>
      <c r="S91" s="225">
        <v>71.7</v>
      </c>
      <c r="T91" s="5270"/>
      <c r="U91" s="1325">
        <f>+Q91+S91</f>
        <v>441.49999999999994</v>
      </c>
      <c r="V91" s="3033"/>
      <c r="W91" s="225">
        <v>71.5</v>
      </c>
      <c r="X91" s="5282"/>
      <c r="Y91" s="571">
        <f>+O91+S91+W91</f>
        <v>221.3</v>
      </c>
      <c r="Z91" s="5276"/>
      <c r="AA91" s="1236">
        <f>+U91+W91</f>
        <v>513</v>
      </c>
      <c r="AB91" s="3033"/>
      <c r="AC91" s="225">
        <v>73.900000000000006</v>
      </c>
      <c r="AD91" s="5270"/>
      <c r="AE91" s="1325">
        <f>+AA91+AC91</f>
        <v>586.9</v>
      </c>
      <c r="AF91" s="3033"/>
      <c r="AG91" s="225">
        <v>76.500000000000014</v>
      </c>
      <c r="AH91" s="5270"/>
      <c r="AI91" s="1325">
        <f>+AE91+AG91</f>
        <v>663.4</v>
      </c>
      <c r="AJ91" s="3033"/>
      <c r="AK91" s="225">
        <v>86.6</v>
      </c>
      <c r="AL91" s="5282"/>
      <c r="AM91" s="571">
        <f>+AC91+AG91+AK91</f>
        <v>237.00000000000003</v>
      </c>
      <c r="AN91" s="5270"/>
      <c r="AO91" s="1325">
        <f>+AI91+AK91</f>
        <v>750</v>
      </c>
      <c r="AP91" s="3033"/>
      <c r="AQ91" s="225">
        <v>90.9</v>
      </c>
      <c r="AR91" s="5270"/>
      <c r="AS91" s="1325">
        <f>+AO91+AQ91</f>
        <v>840.9</v>
      </c>
      <c r="AT91" s="3033"/>
      <c r="AU91" s="225">
        <v>76.400000000000006</v>
      </c>
      <c r="AV91" s="5270"/>
      <c r="AW91" s="1325">
        <f>+AS91+AU91</f>
        <v>917.3</v>
      </c>
      <c r="AX91" s="3033"/>
      <c r="AY91" s="225">
        <v>87.5</v>
      </c>
      <c r="AZ91" s="5282"/>
      <c r="BA91" s="571">
        <f>+AQ91+AU91+AY91</f>
        <v>254.8</v>
      </c>
      <c r="BB91" s="5276"/>
      <c r="BC91" s="1236">
        <f t="shared" ref="BC91:BC108" si="350">+AM91+BA91</f>
        <v>491.80000000000007</v>
      </c>
      <c r="BD91" s="5270"/>
      <c r="BE91" s="1325">
        <f>+AW91+AY91</f>
        <v>1004.8</v>
      </c>
    </row>
    <row r="92" spans="1:57" x14ac:dyDescent="0.25">
      <c r="B92" s="85" t="s">
        <v>1903</v>
      </c>
      <c r="C92" s="225" t="s">
        <v>1913</v>
      </c>
      <c r="D92" s="3034"/>
      <c r="E92" s="238">
        <v>44.16</v>
      </c>
      <c r="F92" s="5301"/>
      <c r="G92" s="40">
        <v>42.384</v>
      </c>
      <c r="H92" s="5298"/>
      <c r="I92" s="533">
        <f t="shared" ref="I92:I106" si="351">+E92+G92</f>
        <v>86.543999999999997</v>
      </c>
      <c r="J92" s="3034"/>
      <c r="K92" s="40">
        <v>40.799999999999997</v>
      </c>
      <c r="L92" s="5303"/>
      <c r="M92" s="1326">
        <f t="shared" ref="M92:M106" si="352">+I92+K92</f>
        <v>127.34399999999999</v>
      </c>
      <c r="N92" s="3034"/>
      <c r="O92" s="40">
        <v>39.6</v>
      </c>
      <c r="P92" s="5271"/>
      <c r="Q92" s="1325">
        <f t="shared" ref="Q92:Q106" si="353">+M92+O92</f>
        <v>166.94399999999999</v>
      </c>
      <c r="R92" s="3034"/>
      <c r="S92" s="40">
        <v>32.735999999999997</v>
      </c>
      <c r="T92" s="5271"/>
      <c r="U92" s="1325">
        <f t="shared" ref="U92:U106" si="354">+Q92+S92</f>
        <v>199.67999999999998</v>
      </c>
      <c r="V92" s="3034"/>
      <c r="W92" s="40">
        <v>32.832000000000001</v>
      </c>
      <c r="X92" s="5283"/>
      <c r="Y92" s="571">
        <f t="shared" ref="Y92:Y106" si="355">+O92+S92+W92</f>
        <v>105.16800000000001</v>
      </c>
      <c r="Z92" s="5277"/>
      <c r="AA92" s="1236">
        <f t="shared" ref="AA92:AA106" si="356">+U92+W92</f>
        <v>232.51199999999997</v>
      </c>
      <c r="AB92" s="3034"/>
      <c r="AC92" s="40">
        <v>36.863999999999997</v>
      </c>
      <c r="AD92" s="5271"/>
      <c r="AE92" s="1325">
        <f t="shared" ref="AE92:AE99" si="357">+AA92+AC92</f>
        <v>269.37599999999998</v>
      </c>
      <c r="AF92" s="3034"/>
      <c r="AG92" s="40">
        <v>38.303999999999995</v>
      </c>
      <c r="AH92" s="5271"/>
      <c r="AI92" s="1325">
        <f t="shared" ref="AI92:AI99" si="358">+AE92+AG92</f>
        <v>307.67999999999995</v>
      </c>
      <c r="AJ92" s="3034"/>
      <c r="AK92" s="40">
        <v>42.911999999999999</v>
      </c>
      <c r="AL92" s="5283"/>
      <c r="AM92" s="571">
        <f t="shared" ref="AM92:AM108" si="359">+AC92+AG92+AK92</f>
        <v>118.07999999999998</v>
      </c>
      <c r="AN92" s="5271"/>
      <c r="AO92" s="1325">
        <f t="shared" ref="AO92:AO99" si="360">+AI92+AK92</f>
        <v>350.59199999999993</v>
      </c>
      <c r="AP92" s="3034"/>
      <c r="AQ92" s="40">
        <v>49.103999999999999</v>
      </c>
      <c r="AR92" s="5271"/>
      <c r="AS92" s="1325">
        <f t="shared" ref="AS92:AS99" si="361">+AO92+AQ92</f>
        <v>399.69599999999991</v>
      </c>
      <c r="AT92" s="3034"/>
      <c r="AU92" s="40">
        <v>41.28</v>
      </c>
      <c r="AV92" s="5271"/>
      <c r="AW92" s="1325">
        <f t="shared" ref="AW92:AW99" si="362">+AS92+AU92</f>
        <v>440.97599999999989</v>
      </c>
      <c r="AX92" s="3034"/>
      <c r="AY92" s="40">
        <v>47.328000000000003</v>
      </c>
      <c r="AZ92" s="5283"/>
      <c r="BA92" s="571">
        <f t="shared" ref="BA92:BA108" si="363">+AQ92+AU92+AY92</f>
        <v>137.71199999999999</v>
      </c>
      <c r="BB92" s="5277"/>
      <c r="BC92" s="1236">
        <f t="shared" si="350"/>
        <v>255.79199999999997</v>
      </c>
      <c r="BD92" s="5271"/>
      <c r="BE92" s="1325">
        <f t="shared" ref="BE92:BE99" si="364">+AW92+AY92</f>
        <v>488.30399999999986</v>
      </c>
    </row>
    <row r="93" spans="1:57" x14ac:dyDescent="0.25">
      <c r="B93" s="85" t="s">
        <v>1904</v>
      </c>
      <c r="C93" s="225" t="s">
        <v>454</v>
      </c>
      <c r="D93" s="3034"/>
      <c r="E93" s="355">
        <v>350</v>
      </c>
      <c r="F93" s="5301"/>
      <c r="G93" s="33">
        <v>460</v>
      </c>
      <c r="H93" s="5298"/>
      <c r="I93" s="533">
        <f t="shared" si="351"/>
        <v>810</v>
      </c>
      <c r="J93" s="3034"/>
      <c r="K93" s="40">
        <v>445</v>
      </c>
      <c r="L93" s="5303"/>
      <c r="M93" s="1326">
        <f t="shared" si="352"/>
        <v>1255</v>
      </c>
      <c r="N93" s="3034"/>
      <c r="O93" s="40">
        <v>465</v>
      </c>
      <c r="P93" s="5271"/>
      <c r="Q93" s="1325">
        <f t="shared" si="353"/>
        <v>1720</v>
      </c>
      <c r="R93" s="3034"/>
      <c r="S93" s="40">
        <v>465</v>
      </c>
      <c r="T93" s="5271"/>
      <c r="U93" s="1325">
        <f t="shared" si="354"/>
        <v>2185</v>
      </c>
      <c r="V93" s="3034"/>
      <c r="W93" s="40">
        <v>440</v>
      </c>
      <c r="X93" s="5283"/>
      <c r="Y93" s="571">
        <f t="shared" si="355"/>
        <v>1370</v>
      </c>
      <c r="Z93" s="5277"/>
      <c r="AA93" s="1236">
        <f t="shared" si="356"/>
        <v>2625</v>
      </c>
      <c r="AB93" s="3034"/>
      <c r="AC93" s="40">
        <v>465</v>
      </c>
      <c r="AD93" s="5271"/>
      <c r="AE93" s="1325">
        <f t="shared" si="357"/>
        <v>3090</v>
      </c>
      <c r="AF93" s="3034"/>
      <c r="AG93" s="40">
        <v>440</v>
      </c>
      <c r="AH93" s="5271"/>
      <c r="AI93" s="1325">
        <f t="shared" si="358"/>
        <v>3530</v>
      </c>
      <c r="AJ93" s="3034"/>
      <c r="AK93" s="40">
        <v>465</v>
      </c>
      <c r="AL93" s="5283"/>
      <c r="AM93" s="571">
        <f t="shared" si="359"/>
        <v>1370</v>
      </c>
      <c r="AN93" s="5271"/>
      <c r="AO93" s="1325">
        <f t="shared" si="360"/>
        <v>3995</v>
      </c>
      <c r="AP93" s="3034"/>
      <c r="AQ93" s="40">
        <v>465</v>
      </c>
      <c r="AR93" s="5271"/>
      <c r="AS93" s="1325">
        <f t="shared" si="361"/>
        <v>4460</v>
      </c>
      <c r="AT93" s="3034"/>
      <c r="AU93" s="40">
        <v>415</v>
      </c>
      <c r="AV93" s="5271"/>
      <c r="AW93" s="1325">
        <f t="shared" si="362"/>
        <v>4875</v>
      </c>
      <c r="AX93" s="3034"/>
      <c r="AY93" s="40">
        <v>465</v>
      </c>
      <c r="AZ93" s="5283"/>
      <c r="BA93" s="571">
        <f t="shared" si="363"/>
        <v>1345</v>
      </c>
      <c r="BB93" s="5277"/>
      <c r="BC93" s="1236">
        <f t="shared" si="350"/>
        <v>2715</v>
      </c>
      <c r="BD93" s="5271"/>
      <c r="BE93" s="1325">
        <f t="shared" si="364"/>
        <v>5340</v>
      </c>
    </row>
    <row r="94" spans="1:57" x14ac:dyDescent="0.25">
      <c r="B94" s="85" t="s">
        <v>1905</v>
      </c>
      <c r="C94" s="225" t="s">
        <v>1914</v>
      </c>
      <c r="D94" s="3034"/>
      <c r="E94" s="355">
        <v>580</v>
      </c>
      <c r="F94" s="5301"/>
      <c r="G94" s="33">
        <v>740</v>
      </c>
      <c r="H94" s="5298"/>
      <c r="I94" s="533">
        <f t="shared" si="351"/>
        <v>1320</v>
      </c>
      <c r="J94" s="3034"/>
      <c r="K94" s="40">
        <v>660</v>
      </c>
      <c r="L94" s="5303"/>
      <c r="M94" s="1326">
        <f t="shared" si="352"/>
        <v>1980</v>
      </c>
      <c r="N94" s="3034"/>
      <c r="O94" s="40">
        <v>925</v>
      </c>
      <c r="P94" s="5271"/>
      <c r="Q94" s="1325">
        <f t="shared" si="353"/>
        <v>2905</v>
      </c>
      <c r="R94" s="3034"/>
      <c r="S94" s="40">
        <v>870</v>
      </c>
      <c r="T94" s="5271"/>
      <c r="U94" s="1325">
        <f t="shared" si="354"/>
        <v>3775</v>
      </c>
      <c r="V94" s="3034"/>
      <c r="W94" s="40">
        <v>745</v>
      </c>
      <c r="X94" s="5283"/>
      <c r="Y94" s="571">
        <f t="shared" si="355"/>
        <v>2540</v>
      </c>
      <c r="Z94" s="5277"/>
      <c r="AA94" s="1236">
        <f t="shared" si="356"/>
        <v>4520</v>
      </c>
      <c r="AB94" s="3034"/>
      <c r="AC94" s="40">
        <v>730</v>
      </c>
      <c r="AD94" s="5271"/>
      <c r="AE94" s="1325">
        <f t="shared" si="357"/>
        <v>5250</v>
      </c>
      <c r="AF94" s="3034"/>
      <c r="AG94" s="40">
        <v>705</v>
      </c>
      <c r="AH94" s="5271"/>
      <c r="AI94" s="1325">
        <f t="shared" si="358"/>
        <v>5955</v>
      </c>
      <c r="AJ94" s="3034"/>
      <c r="AK94" s="40">
        <v>610</v>
      </c>
      <c r="AL94" s="5283"/>
      <c r="AM94" s="571">
        <f t="shared" si="359"/>
        <v>2045</v>
      </c>
      <c r="AN94" s="5271"/>
      <c r="AO94" s="1325">
        <f t="shared" si="360"/>
        <v>6565</v>
      </c>
      <c r="AP94" s="3034"/>
      <c r="AQ94" s="40">
        <v>660</v>
      </c>
      <c r="AR94" s="5271"/>
      <c r="AS94" s="1325">
        <f t="shared" si="361"/>
        <v>7225</v>
      </c>
      <c r="AT94" s="3034"/>
      <c r="AU94" s="40">
        <v>585</v>
      </c>
      <c r="AV94" s="5271"/>
      <c r="AW94" s="1325">
        <f t="shared" si="362"/>
        <v>7810</v>
      </c>
      <c r="AX94" s="3034"/>
      <c r="AY94" s="40">
        <v>720</v>
      </c>
      <c r="AZ94" s="5283"/>
      <c r="BA94" s="571">
        <f t="shared" si="363"/>
        <v>1965</v>
      </c>
      <c r="BB94" s="5277"/>
      <c r="BC94" s="1236">
        <f t="shared" si="350"/>
        <v>4010</v>
      </c>
      <c r="BD94" s="5271"/>
      <c r="BE94" s="1325">
        <f t="shared" si="364"/>
        <v>8530</v>
      </c>
    </row>
    <row r="95" spans="1:57" x14ac:dyDescent="0.25">
      <c r="B95" s="85" t="s">
        <v>1906</v>
      </c>
      <c r="C95" s="225" t="s">
        <v>454</v>
      </c>
      <c r="D95" s="3034"/>
      <c r="E95" s="355">
        <v>72</v>
      </c>
      <c r="F95" s="5301"/>
      <c r="G95" s="33">
        <v>160</v>
      </c>
      <c r="H95" s="5298"/>
      <c r="I95" s="533">
        <f t="shared" si="351"/>
        <v>232</v>
      </c>
      <c r="J95" s="3034"/>
      <c r="K95" s="40">
        <v>188</v>
      </c>
      <c r="L95" s="5303"/>
      <c r="M95" s="1326">
        <f t="shared" si="352"/>
        <v>420</v>
      </c>
      <c r="N95" s="3034"/>
      <c r="O95" s="40">
        <v>203</v>
      </c>
      <c r="P95" s="5271"/>
      <c r="Q95" s="1325">
        <f t="shared" si="353"/>
        <v>623</v>
      </c>
      <c r="R95" s="3034"/>
      <c r="S95" s="40">
        <v>266</v>
      </c>
      <c r="T95" s="5271"/>
      <c r="U95" s="1325">
        <f t="shared" si="354"/>
        <v>889</v>
      </c>
      <c r="V95" s="3034"/>
      <c r="W95" s="40">
        <v>137</v>
      </c>
      <c r="X95" s="5283"/>
      <c r="Y95" s="571">
        <f t="shared" si="355"/>
        <v>606</v>
      </c>
      <c r="Z95" s="5277"/>
      <c r="AA95" s="1236">
        <f t="shared" si="356"/>
        <v>1026</v>
      </c>
      <c r="AB95" s="3034"/>
      <c r="AC95" s="40">
        <v>188</v>
      </c>
      <c r="AD95" s="5271"/>
      <c r="AE95" s="1325">
        <f t="shared" si="357"/>
        <v>1214</v>
      </c>
      <c r="AF95" s="3034"/>
      <c r="AG95" s="40">
        <v>166</v>
      </c>
      <c r="AH95" s="5271"/>
      <c r="AI95" s="1325">
        <f t="shared" si="358"/>
        <v>1380</v>
      </c>
      <c r="AJ95" s="3034"/>
      <c r="AK95" s="40">
        <v>139</v>
      </c>
      <c r="AL95" s="5283"/>
      <c r="AM95" s="571">
        <f t="shared" si="359"/>
        <v>493</v>
      </c>
      <c r="AN95" s="5271"/>
      <c r="AO95" s="1325">
        <f t="shared" si="360"/>
        <v>1519</v>
      </c>
      <c r="AP95" s="3034"/>
      <c r="AQ95" s="40">
        <v>167</v>
      </c>
      <c r="AR95" s="5271"/>
      <c r="AS95" s="1325">
        <f t="shared" si="361"/>
        <v>1686</v>
      </c>
      <c r="AT95" s="3034"/>
      <c r="AU95" s="40">
        <v>133</v>
      </c>
      <c r="AV95" s="5271"/>
      <c r="AW95" s="1325">
        <f t="shared" si="362"/>
        <v>1819</v>
      </c>
      <c r="AX95" s="3034"/>
      <c r="AY95" s="40">
        <v>195</v>
      </c>
      <c r="AZ95" s="5283"/>
      <c r="BA95" s="571">
        <f t="shared" si="363"/>
        <v>495</v>
      </c>
      <c r="BB95" s="5277"/>
      <c r="BC95" s="1236">
        <f t="shared" si="350"/>
        <v>988</v>
      </c>
      <c r="BD95" s="5271"/>
      <c r="BE95" s="1325">
        <f t="shared" si="364"/>
        <v>2014</v>
      </c>
    </row>
    <row r="96" spans="1:57" x14ac:dyDescent="0.25">
      <c r="B96" s="85" t="s">
        <v>1907</v>
      </c>
      <c r="C96" s="225" t="s">
        <v>454</v>
      </c>
      <c r="D96" s="3034"/>
      <c r="E96" s="355">
        <v>121</v>
      </c>
      <c r="F96" s="5301"/>
      <c r="G96" s="33">
        <v>168</v>
      </c>
      <c r="H96" s="5298"/>
      <c r="I96" s="533">
        <f t="shared" si="351"/>
        <v>289</v>
      </c>
      <c r="J96" s="3034"/>
      <c r="K96" s="40">
        <v>129</v>
      </c>
      <c r="L96" s="5303"/>
      <c r="M96" s="1326">
        <f t="shared" si="352"/>
        <v>418</v>
      </c>
      <c r="N96" s="3034"/>
      <c r="O96" s="40">
        <v>131</v>
      </c>
      <c r="P96" s="5271"/>
      <c r="Q96" s="1325">
        <f t="shared" si="353"/>
        <v>549</v>
      </c>
      <c r="R96" s="3034"/>
      <c r="S96" s="40">
        <v>152</v>
      </c>
      <c r="T96" s="5271"/>
      <c r="U96" s="1325">
        <f t="shared" si="354"/>
        <v>701</v>
      </c>
      <c r="V96" s="3034"/>
      <c r="W96" s="40">
        <v>131</v>
      </c>
      <c r="X96" s="5283"/>
      <c r="Y96" s="571">
        <f t="shared" si="355"/>
        <v>414</v>
      </c>
      <c r="Z96" s="5277"/>
      <c r="AA96" s="1236">
        <f t="shared" si="356"/>
        <v>832</v>
      </c>
      <c r="AB96" s="3034"/>
      <c r="AC96" s="40">
        <v>60</v>
      </c>
      <c r="AD96" s="5271"/>
      <c r="AE96" s="1325">
        <f t="shared" si="357"/>
        <v>892</v>
      </c>
      <c r="AF96" s="3034"/>
      <c r="AG96" s="40">
        <v>106</v>
      </c>
      <c r="AH96" s="5271"/>
      <c r="AI96" s="1325">
        <f t="shared" si="358"/>
        <v>998</v>
      </c>
      <c r="AJ96" s="3034"/>
      <c r="AK96" s="40">
        <v>115</v>
      </c>
      <c r="AL96" s="5283"/>
      <c r="AM96" s="571">
        <f t="shared" si="359"/>
        <v>281</v>
      </c>
      <c r="AN96" s="5271"/>
      <c r="AO96" s="1325">
        <f t="shared" si="360"/>
        <v>1113</v>
      </c>
      <c r="AP96" s="3034"/>
      <c r="AQ96" s="40">
        <v>123</v>
      </c>
      <c r="AR96" s="5271"/>
      <c r="AS96" s="1325">
        <f t="shared" si="361"/>
        <v>1236</v>
      </c>
      <c r="AT96" s="3034"/>
      <c r="AU96" s="40">
        <v>83</v>
      </c>
      <c r="AV96" s="5271"/>
      <c r="AW96" s="1325">
        <f t="shared" si="362"/>
        <v>1319</v>
      </c>
      <c r="AX96" s="3034"/>
      <c r="AY96" s="40">
        <v>76</v>
      </c>
      <c r="AZ96" s="5283"/>
      <c r="BA96" s="571">
        <f t="shared" si="363"/>
        <v>282</v>
      </c>
      <c r="BB96" s="5277"/>
      <c r="BC96" s="1236">
        <f t="shared" si="350"/>
        <v>563</v>
      </c>
      <c r="BD96" s="5271"/>
      <c r="BE96" s="1325">
        <f t="shared" si="364"/>
        <v>1395</v>
      </c>
    </row>
    <row r="97" spans="2:57" s="334" customFormat="1" x14ac:dyDescent="0.25">
      <c r="B97" s="3035" t="s">
        <v>1908</v>
      </c>
      <c r="C97" s="225" t="s">
        <v>454</v>
      </c>
      <c r="D97" s="3034"/>
      <c r="E97" s="483">
        <v>0</v>
      </c>
      <c r="F97" s="5301"/>
      <c r="G97" s="550">
        <v>0</v>
      </c>
      <c r="H97" s="5298"/>
      <c r="I97" s="533">
        <f t="shared" si="351"/>
        <v>0</v>
      </c>
      <c r="J97" s="3034"/>
      <c r="K97" s="417">
        <v>0</v>
      </c>
      <c r="L97" s="5303"/>
      <c r="M97" s="1326">
        <f t="shared" si="352"/>
        <v>0</v>
      </c>
      <c r="N97" s="3034"/>
      <c r="O97" s="417">
        <v>53</v>
      </c>
      <c r="P97" s="5271"/>
      <c r="Q97" s="1325">
        <f t="shared" si="353"/>
        <v>53</v>
      </c>
      <c r="R97" s="3034"/>
      <c r="S97" s="417">
        <v>121</v>
      </c>
      <c r="T97" s="5271"/>
      <c r="U97" s="1325">
        <f t="shared" si="354"/>
        <v>174</v>
      </c>
      <c r="V97" s="3034"/>
      <c r="W97" s="417">
        <v>13</v>
      </c>
      <c r="X97" s="5283"/>
      <c r="Y97" s="571">
        <f t="shared" si="355"/>
        <v>187</v>
      </c>
      <c r="Z97" s="5277"/>
      <c r="AA97" s="1236">
        <f t="shared" si="356"/>
        <v>187</v>
      </c>
      <c r="AB97" s="3034"/>
      <c r="AC97" s="417">
        <v>15</v>
      </c>
      <c r="AD97" s="5271"/>
      <c r="AE97" s="1325">
        <f t="shared" si="357"/>
        <v>202</v>
      </c>
      <c r="AF97" s="3034"/>
      <c r="AG97" s="417">
        <v>83</v>
      </c>
      <c r="AH97" s="5271"/>
      <c r="AI97" s="1325">
        <f t="shared" si="358"/>
        <v>285</v>
      </c>
      <c r="AJ97" s="3034"/>
      <c r="AK97" s="417">
        <v>50</v>
      </c>
      <c r="AL97" s="5283"/>
      <c r="AM97" s="571">
        <f t="shared" si="359"/>
        <v>148</v>
      </c>
      <c r="AN97" s="5271"/>
      <c r="AO97" s="1325">
        <f t="shared" si="360"/>
        <v>335</v>
      </c>
      <c r="AP97" s="3034"/>
      <c r="AQ97" s="417">
        <v>36</v>
      </c>
      <c r="AR97" s="5271"/>
      <c r="AS97" s="1325">
        <f t="shared" si="361"/>
        <v>371</v>
      </c>
      <c r="AT97" s="3034"/>
      <c r="AU97" s="417">
        <v>7</v>
      </c>
      <c r="AV97" s="5271"/>
      <c r="AW97" s="1325">
        <f t="shared" si="362"/>
        <v>378</v>
      </c>
      <c r="AX97" s="3034"/>
      <c r="AY97" s="417">
        <v>25</v>
      </c>
      <c r="AZ97" s="5283"/>
      <c r="BA97" s="571">
        <f t="shared" si="363"/>
        <v>68</v>
      </c>
      <c r="BB97" s="5277"/>
      <c r="BC97" s="1236">
        <f t="shared" si="350"/>
        <v>216</v>
      </c>
      <c r="BD97" s="5271"/>
      <c r="BE97" s="1325">
        <f t="shared" si="364"/>
        <v>403</v>
      </c>
    </row>
    <row r="98" spans="2:57" s="334" customFormat="1" x14ac:dyDescent="0.25">
      <c r="B98" s="3035" t="s">
        <v>1909</v>
      </c>
      <c r="C98" s="225" t="s">
        <v>454</v>
      </c>
      <c r="D98" s="3034"/>
      <c r="E98" s="483">
        <v>4010</v>
      </c>
      <c r="F98" s="5301"/>
      <c r="G98" s="550">
        <v>4400</v>
      </c>
      <c r="H98" s="5298"/>
      <c r="I98" s="533">
        <f t="shared" si="351"/>
        <v>8410</v>
      </c>
      <c r="J98" s="3034"/>
      <c r="K98" s="417">
        <v>4190</v>
      </c>
      <c r="L98" s="5303"/>
      <c r="M98" s="1326">
        <f t="shared" si="352"/>
        <v>12600</v>
      </c>
      <c r="N98" s="3034"/>
      <c r="O98" s="417">
        <v>2490</v>
      </c>
      <c r="P98" s="5271"/>
      <c r="Q98" s="1325">
        <f t="shared" si="353"/>
        <v>15090</v>
      </c>
      <c r="R98" s="3034"/>
      <c r="S98" s="417">
        <v>4130</v>
      </c>
      <c r="T98" s="5271"/>
      <c r="U98" s="1325">
        <f t="shared" si="354"/>
        <v>19220</v>
      </c>
      <c r="V98" s="3034"/>
      <c r="W98" s="417">
        <v>3280</v>
      </c>
      <c r="X98" s="5283"/>
      <c r="Y98" s="571">
        <f t="shared" si="355"/>
        <v>9900</v>
      </c>
      <c r="Z98" s="5277"/>
      <c r="AA98" s="1236">
        <f t="shared" si="356"/>
        <v>22500</v>
      </c>
      <c r="AB98" s="3034"/>
      <c r="AC98" s="417">
        <v>2610</v>
      </c>
      <c r="AD98" s="5271"/>
      <c r="AE98" s="1325">
        <f t="shared" si="357"/>
        <v>25110</v>
      </c>
      <c r="AF98" s="3034"/>
      <c r="AG98" s="417">
        <v>3920</v>
      </c>
      <c r="AH98" s="5271"/>
      <c r="AI98" s="1325">
        <f t="shared" si="358"/>
        <v>29030</v>
      </c>
      <c r="AJ98" s="3034"/>
      <c r="AK98" s="417">
        <v>3630</v>
      </c>
      <c r="AL98" s="5283"/>
      <c r="AM98" s="571">
        <f t="shared" si="359"/>
        <v>10160</v>
      </c>
      <c r="AN98" s="5271"/>
      <c r="AO98" s="1325">
        <f t="shared" si="360"/>
        <v>32660</v>
      </c>
      <c r="AP98" s="3034"/>
      <c r="AQ98" s="417">
        <v>3295</v>
      </c>
      <c r="AR98" s="5271"/>
      <c r="AS98" s="1325">
        <f t="shared" si="361"/>
        <v>35955</v>
      </c>
      <c r="AT98" s="3034"/>
      <c r="AU98" s="417">
        <v>1490</v>
      </c>
      <c r="AV98" s="5271"/>
      <c r="AW98" s="1325">
        <f t="shared" si="362"/>
        <v>37445</v>
      </c>
      <c r="AX98" s="3034"/>
      <c r="AY98" s="417">
        <v>1905</v>
      </c>
      <c r="AZ98" s="5283"/>
      <c r="BA98" s="571">
        <f t="shared" si="363"/>
        <v>6690</v>
      </c>
      <c r="BB98" s="5277"/>
      <c r="BC98" s="1236">
        <f t="shared" si="350"/>
        <v>16850</v>
      </c>
      <c r="BD98" s="5271"/>
      <c r="BE98" s="1325">
        <f t="shared" si="364"/>
        <v>39350</v>
      </c>
    </row>
    <row r="99" spans="2:57" s="334" customFormat="1" x14ac:dyDescent="0.25">
      <c r="B99" s="3035" t="s">
        <v>1910</v>
      </c>
      <c r="C99" s="225" t="s">
        <v>454</v>
      </c>
      <c r="D99" s="3034"/>
      <c r="E99" s="483">
        <v>34</v>
      </c>
      <c r="F99" s="5301"/>
      <c r="G99" s="550">
        <v>44</v>
      </c>
      <c r="H99" s="5298"/>
      <c r="I99" s="533">
        <f t="shared" si="351"/>
        <v>78</v>
      </c>
      <c r="J99" s="3034"/>
      <c r="K99" s="417">
        <v>36</v>
      </c>
      <c r="L99" s="5303"/>
      <c r="M99" s="1326">
        <f t="shared" si="352"/>
        <v>114</v>
      </c>
      <c r="N99" s="3034"/>
      <c r="O99" s="417">
        <v>14</v>
      </c>
      <c r="P99" s="5271"/>
      <c r="Q99" s="1325">
        <f t="shared" si="353"/>
        <v>128</v>
      </c>
      <c r="R99" s="3034"/>
      <c r="S99" s="417">
        <v>31</v>
      </c>
      <c r="T99" s="5271"/>
      <c r="U99" s="1325">
        <f t="shared" si="354"/>
        <v>159</v>
      </c>
      <c r="V99" s="3034"/>
      <c r="W99" s="417">
        <v>31</v>
      </c>
      <c r="X99" s="5283"/>
      <c r="Y99" s="571">
        <f t="shared" si="355"/>
        <v>76</v>
      </c>
      <c r="Z99" s="5277"/>
      <c r="AA99" s="1236">
        <f t="shared" si="356"/>
        <v>190</v>
      </c>
      <c r="AB99" s="3034"/>
      <c r="AC99" s="417">
        <v>46</v>
      </c>
      <c r="AD99" s="5271"/>
      <c r="AE99" s="1325">
        <f t="shared" si="357"/>
        <v>236</v>
      </c>
      <c r="AF99" s="3034"/>
      <c r="AG99" s="417">
        <v>38</v>
      </c>
      <c r="AH99" s="5271"/>
      <c r="AI99" s="1325">
        <f t="shared" si="358"/>
        <v>274</v>
      </c>
      <c r="AJ99" s="3034"/>
      <c r="AK99" s="417">
        <v>24</v>
      </c>
      <c r="AL99" s="5283"/>
      <c r="AM99" s="571">
        <f t="shared" si="359"/>
        <v>108</v>
      </c>
      <c r="AN99" s="5271"/>
      <c r="AO99" s="1325">
        <f t="shared" si="360"/>
        <v>298</v>
      </c>
      <c r="AP99" s="3034"/>
      <c r="AQ99" s="417">
        <v>45</v>
      </c>
      <c r="AR99" s="5271"/>
      <c r="AS99" s="1325">
        <f t="shared" si="361"/>
        <v>343</v>
      </c>
      <c r="AT99" s="3034"/>
      <c r="AU99" s="417">
        <v>13</v>
      </c>
      <c r="AV99" s="5271"/>
      <c r="AW99" s="1325">
        <f t="shared" si="362"/>
        <v>356</v>
      </c>
      <c r="AX99" s="3034"/>
      <c r="AY99" s="417">
        <v>0</v>
      </c>
      <c r="AZ99" s="5283"/>
      <c r="BA99" s="571">
        <f t="shared" si="363"/>
        <v>58</v>
      </c>
      <c r="BB99" s="5277"/>
      <c r="BC99" s="1236">
        <f t="shared" si="350"/>
        <v>166</v>
      </c>
      <c r="BD99" s="5271"/>
      <c r="BE99" s="1325">
        <f t="shared" si="364"/>
        <v>356</v>
      </c>
    </row>
    <row r="100" spans="2:57" s="334" customFormat="1" x14ac:dyDescent="0.25">
      <c r="B100" s="3035" t="s">
        <v>1911</v>
      </c>
      <c r="C100" s="225" t="s">
        <v>454</v>
      </c>
      <c r="D100" s="3034"/>
      <c r="E100" s="483">
        <v>392</v>
      </c>
      <c r="F100" s="5301"/>
      <c r="G100" s="550">
        <v>590</v>
      </c>
      <c r="H100" s="5298"/>
      <c r="I100" s="533">
        <f t="shared" si="351"/>
        <v>982</v>
      </c>
      <c r="J100" s="3034"/>
      <c r="K100" s="417">
        <v>385</v>
      </c>
      <c r="L100" s="5303"/>
      <c r="M100" s="1326">
        <f t="shared" si="352"/>
        <v>1367</v>
      </c>
      <c r="N100" s="3034"/>
      <c r="O100" s="417">
        <v>212</v>
      </c>
      <c r="P100" s="5271"/>
      <c r="Q100" s="1325">
        <f t="shared" si="353"/>
        <v>1579</v>
      </c>
      <c r="R100" s="3034"/>
      <c r="S100" s="417">
        <v>483</v>
      </c>
      <c r="T100" s="5271"/>
      <c r="U100" s="1325">
        <f>+Q100+S100</f>
        <v>2062</v>
      </c>
      <c r="V100" s="3034"/>
      <c r="W100" s="417">
        <v>515</v>
      </c>
      <c r="X100" s="5283"/>
      <c r="Y100" s="571">
        <f t="shared" si="355"/>
        <v>1210</v>
      </c>
      <c r="Z100" s="5277"/>
      <c r="AA100" s="1236">
        <f t="shared" si="356"/>
        <v>2577</v>
      </c>
      <c r="AB100" s="3034"/>
      <c r="AC100" s="417">
        <v>300</v>
      </c>
      <c r="AD100" s="5271"/>
      <c r="AE100" s="1325">
        <f>+AA100+AC100</f>
        <v>2877</v>
      </c>
      <c r="AF100" s="3034"/>
      <c r="AG100" s="417">
        <v>390</v>
      </c>
      <c r="AH100" s="5271"/>
      <c r="AI100" s="1325">
        <f>+AE100+AG100</f>
        <v>3267</v>
      </c>
      <c r="AJ100" s="3034"/>
      <c r="AK100" s="417">
        <v>430</v>
      </c>
      <c r="AL100" s="5283"/>
      <c r="AM100" s="571">
        <f t="shared" si="359"/>
        <v>1120</v>
      </c>
      <c r="AN100" s="5271"/>
      <c r="AO100" s="1325">
        <f>+AI100+AK100</f>
        <v>3697</v>
      </c>
      <c r="AP100" s="3034"/>
      <c r="AQ100" s="417">
        <v>440</v>
      </c>
      <c r="AR100" s="5271"/>
      <c r="AS100" s="1325">
        <f>+AO100+AQ100</f>
        <v>4137</v>
      </c>
      <c r="AT100" s="3034"/>
      <c r="AU100" s="417">
        <v>90</v>
      </c>
      <c r="AV100" s="5271"/>
      <c r="AW100" s="1325">
        <f>+AS100+AU100</f>
        <v>4227</v>
      </c>
      <c r="AX100" s="3034"/>
      <c r="AY100" s="417">
        <v>0</v>
      </c>
      <c r="AZ100" s="5283"/>
      <c r="BA100" s="571">
        <f t="shared" si="363"/>
        <v>530</v>
      </c>
      <c r="BB100" s="5277"/>
      <c r="BC100" s="1236">
        <f t="shared" si="350"/>
        <v>1650</v>
      </c>
      <c r="BD100" s="5271"/>
      <c r="BE100" s="1325">
        <f>+AW100+AY100</f>
        <v>4227</v>
      </c>
    </row>
    <row r="101" spans="2:57" s="334" customFormat="1" x14ac:dyDescent="0.25">
      <c r="B101" s="3035" t="s">
        <v>1912</v>
      </c>
      <c r="C101" s="225" t="s">
        <v>454</v>
      </c>
      <c r="D101" s="3034"/>
      <c r="E101" s="483">
        <v>49</v>
      </c>
      <c r="F101" s="5301"/>
      <c r="G101" s="550">
        <v>62</v>
      </c>
      <c r="H101" s="5298"/>
      <c r="I101" s="533">
        <f t="shared" si="351"/>
        <v>111</v>
      </c>
      <c r="J101" s="3034"/>
      <c r="K101" s="417">
        <v>53</v>
      </c>
      <c r="L101" s="5303"/>
      <c r="M101" s="1326">
        <f t="shared" si="352"/>
        <v>164</v>
      </c>
      <c r="N101" s="3034"/>
      <c r="O101" s="417">
        <v>32</v>
      </c>
      <c r="P101" s="5271"/>
      <c r="Q101" s="1325">
        <f t="shared" si="353"/>
        <v>196</v>
      </c>
      <c r="R101" s="3034"/>
      <c r="S101" s="417">
        <v>39</v>
      </c>
      <c r="T101" s="5271"/>
      <c r="U101" s="1325">
        <f t="shared" si="354"/>
        <v>235</v>
      </c>
      <c r="V101" s="3034"/>
      <c r="W101" s="417">
        <v>25</v>
      </c>
      <c r="X101" s="5283"/>
      <c r="Y101" s="571">
        <f t="shared" si="355"/>
        <v>96</v>
      </c>
      <c r="Z101" s="5277"/>
      <c r="AA101" s="1236">
        <f t="shared" si="356"/>
        <v>260</v>
      </c>
      <c r="AB101" s="3034"/>
      <c r="AC101" s="417">
        <v>15</v>
      </c>
      <c r="AD101" s="5271"/>
      <c r="AE101" s="1325">
        <f t="shared" ref="AE101:AE106" si="365">+AA101+AC101</f>
        <v>275</v>
      </c>
      <c r="AF101" s="3034"/>
      <c r="AG101" s="417">
        <v>31</v>
      </c>
      <c r="AH101" s="5271"/>
      <c r="AI101" s="1325">
        <f t="shared" ref="AI101:AI106" si="366">+AE101+AG101</f>
        <v>306</v>
      </c>
      <c r="AJ101" s="3034"/>
      <c r="AK101" s="417">
        <v>31</v>
      </c>
      <c r="AL101" s="5283"/>
      <c r="AM101" s="571">
        <f t="shared" si="359"/>
        <v>77</v>
      </c>
      <c r="AN101" s="5271"/>
      <c r="AO101" s="1325">
        <f t="shared" ref="AO101:AO106" si="367">+AI101+AK101</f>
        <v>337</v>
      </c>
      <c r="AP101" s="3034"/>
      <c r="AQ101" s="417">
        <v>38</v>
      </c>
      <c r="AR101" s="5271"/>
      <c r="AS101" s="1325">
        <f t="shared" ref="AS101:AS108" si="368">+AO101+AQ101</f>
        <v>375</v>
      </c>
      <c r="AT101" s="3034"/>
      <c r="AU101" s="417">
        <v>15</v>
      </c>
      <c r="AV101" s="5271"/>
      <c r="AW101" s="1325">
        <f t="shared" ref="AW101:AW108" si="369">+AS101+AU101</f>
        <v>390</v>
      </c>
      <c r="AX101" s="3034"/>
      <c r="AY101" s="417">
        <v>7</v>
      </c>
      <c r="AZ101" s="5283"/>
      <c r="BA101" s="571">
        <f t="shared" si="363"/>
        <v>60</v>
      </c>
      <c r="BB101" s="5277"/>
      <c r="BC101" s="1236">
        <f t="shared" si="350"/>
        <v>137</v>
      </c>
      <c r="BD101" s="5271"/>
      <c r="BE101" s="1325">
        <f t="shared" ref="BE101:BE108" si="370">+AW101+AY101</f>
        <v>397</v>
      </c>
    </row>
    <row r="102" spans="2:57" s="334" customFormat="1" x14ac:dyDescent="0.25">
      <c r="B102" s="3035" t="s">
        <v>1804</v>
      </c>
      <c r="C102" s="225" t="s">
        <v>454</v>
      </c>
      <c r="D102" s="3034"/>
      <c r="E102" s="483">
        <v>0</v>
      </c>
      <c r="F102" s="5301"/>
      <c r="G102" s="550">
        <v>0</v>
      </c>
      <c r="H102" s="5298"/>
      <c r="I102" s="533">
        <f t="shared" si="351"/>
        <v>0</v>
      </c>
      <c r="J102" s="3034"/>
      <c r="K102" s="417">
        <v>0</v>
      </c>
      <c r="L102" s="5303"/>
      <c r="M102" s="1326">
        <f t="shared" si="352"/>
        <v>0</v>
      </c>
      <c r="N102" s="3034"/>
      <c r="O102" s="417">
        <v>0</v>
      </c>
      <c r="P102" s="5271"/>
      <c r="Q102" s="1325">
        <f t="shared" si="353"/>
        <v>0</v>
      </c>
      <c r="R102" s="3034"/>
      <c r="S102" s="417">
        <v>0</v>
      </c>
      <c r="T102" s="5271"/>
      <c r="U102" s="1325">
        <f t="shared" si="354"/>
        <v>0</v>
      </c>
      <c r="V102" s="3034"/>
      <c r="W102" s="417">
        <v>0</v>
      </c>
      <c r="X102" s="5283"/>
      <c r="Y102" s="571">
        <f t="shared" si="355"/>
        <v>0</v>
      </c>
      <c r="Z102" s="5277"/>
      <c r="AA102" s="1236">
        <f t="shared" si="356"/>
        <v>0</v>
      </c>
      <c r="AB102" s="3034"/>
      <c r="AC102" s="417">
        <v>0</v>
      </c>
      <c r="AD102" s="5271"/>
      <c r="AE102" s="1325">
        <f t="shared" si="365"/>
        <v>0</v>
      </c>
      <c r="AF102" s="3034"/>
      <c r="AG102" s="417">
        <v>0</v>
      </c>
      <c r="AH102" s="5271"/>
      <c r="AI102" s="1325">
        <f t="shared" si="366"/>
        <v>0</v>
      </c>
      <c r="AJ102" s="3034"/>
      <c r="AK102" s="417">
        <v>0</v>
      </c>
      <c r="AL102" s="5283"/>
      <c r="AM102" s="571">
        <f t="shared" si="359"/>
        <v>0</v>
      </c>
      <c r="AN102" s="5271"/>
      <c r="AO102" s="1325">
        <f t="shared" si="367"/>
        <v>0</v>
      </c>
      <c r="AP102" s="3034"/>
      <c r="AQ102" s="417">
        <v>375</v>
      </c>
      <c r="AR102" s="5271"/>
      <c r="AS102" s="1325">
        <f t="shared" si="368"/>
        <v>375</v>
      </c>
      <c r="AT102" s="3034"/>
      <c r="AU102" s="417">
        <v>227.5</v>
      </c>
      <c r="AV102" s="5271"/>
      <c r="AW102" s="1325">
        <f t="shared" si="369"/>
        <v>602.5</v>
      </c>
      <c r="AX102" s="3034"/>
      <c r="AY102" s="417">
        <v>337</v>
      </c>
      <c r="AZ102" s="5283"/>
      <c r="BA102" s="571">
        <f t="shared" si="363"/>
        <v>939.5</v>
      </c>
      <c r="BB102" s="5277"/>
      <c r="BC102" s="1236">
        <f t="shared" si="350"/>
        <v>939.5</v>
      </c>
      <c r="BD102" s="5271"/>
      <c r="BE102" s="1325">
        <f t="shared" si="370"/>
        <v>939.5</v>
      </c>
    </row>
    <row r="103" spans="2:57" s="334" customFormat="1" x14ac:dyDescent="0.25">
      <c r="B103" s="3035" t="s">
        <v>1805</v>
      </c>
      <c r="C103" s="225" t="s">
        <v>454</v>
      </c>
      <c r="D103" s="3034"/>
      <c r="E103" s="483">
        <v>0</v>
      </c>
      <c r="F103" s="5301"/>
      <c r="G103" s="550">
        <v>0</v>
      </c>
      <c r="H103" s="5298"/>
      <c r="I103" s="533">
        <f t="shared" si="351"/>
        <v>0</v>
      </c>
      <c r="J103" s="3034"/>
      <c r="K103" s="417">
        <v>0</v>
      </c>
      <c r="L103" s="5303"/>
      <c r="M103" s="1326">
        <f t="shared" si="352"/>
        <v>0</v>
      </c>
      <c r="N103" s="3034"/>
      <c r="O103" s="417">
        <v>0</v>
      </c>
      <c r="P103" s="5271"/>
      <c r="Q103" s="1325">
        <f t="shared" si="353"/>
        <v>0</v>
      </c>
      <c r="R103" s="3034"/>
      <c r="S103" s="417">
        <v>0</v>
      </c>
      <c r="T103" s="5271"/>
      <c r="U103" s="1325">
        <f t="shared" si="354"/>
        <v>0</v>
      </c>
      <c r="V103" s="3034"/>
      <c r="W103" s="417">
        <v>0</v>
      </c>
      <c r="X103" s="5283"/>
      <c r="Y103" s="571">
        <f t="shared" si="355"/>
        <v>0</v>
      </c>
      <c r="Z103" s="5277"/>
      <c r="AA103" s="1236">
        <f t="shared" si="356"/>
        <v>0</v>
      </c>
      <c r="AB103" s="3034"/>
      <c r="AC103" s="417">
        <v>0</v>
      </c>
      <c r="AD103" s="5271"/>
      <c r="AE103" s="1325">
        <f t="shared" si="365"/>
        <v>0</v>
      </c>
      <c r="AF103" s="3034"/>
      <c r="AG103" s="417">
        <v>0</v>
      </c>
      <c r="AH103" s="5271"/>
      <c r="AI103" s="1325">
        <f t="shared" si="366"/>
        <v>0</v>
      </c>
      <c r="AJ103" s="3034"/>
      <c r="AK103" s="417">
        <v>0</v>
      </c>
      <c r="AL103" s="5283"/>
      <c r="AM103" s="571">
        <f t="shared" si="359"/>
        <v>0</v>
      </c>
      <c r="AN103" s="5271"/>
      <c r="AO103" s="1325">
        <f t="shared" si="367"/>
        <v>0</v>
      </c>
      <c r="AP103" s="3034"/>
      <c r="AQ103" s="417">
        <v>104.2</v>
      </c>
      <c r="AR103" s="5271"/>
      <c r="AS103" s="1325">
        <f t="shared" si="368"/>
        <v>104.2</v>
      </c>
      <c r="AT103" s="3034"/>
      <c r="AU103" s="417">
        <v>12.3</v>
      </c>
      <c r="AV103" s="5271"/>
      <c r="AW103" s="1325">
        <f t="shared" si="369"/>
        <v>116.5</v>
      </c>
      <c r="AX103" s="3034"/>
      <c r="AY103" s="417">
        <v>127</v>
      </c>
      <c r="AZ103" s="5283"/>
      <c r="BA103" s="571">
        <f t="shared" si="363"/>
        <v>243.5</v>
      </c>
      <c r="BB103" s="5277"/>
      <c r="BC103" s="1236">
        <f t="shared" si="350"/>
        <v>243.5</v>
      </c>
      <c r="BD103" s="5271"/>
      <c r="BE103" s="1325">
        <f t="shared" si="370"/>
        <v>243.5</v>
      </c>
    </row>
    <row r="104" spans="2:57" s="334" customFormat="1" x14ac:dyDescent="0.25">
      <c r="B104" s="3035" t="s">
        <v>1806</v>
      </c>
      <c r="C104" s="225" t="s">
        <v>454</v>
      </c>
      <c r="D104" s="3034"/>
      <c r="E104" s="483">
        <v>0</v>
      </c>
      <c r="F104" s="5301"/>
      <c r="G104" s="550">
        <v>0</v>
      </c>
      <c r="H104" s="5298"/>
      <c r="I104" s="533">
        <f t="shared" si="351"/>
        <v>0</v>
      </c>
      <c r="J104" s="3034"/>
      <c r="K104" s="417">
        <v>0</v>
      </c>
      <c r="L104" s="5303"/>
      <c r="M104" s="1326">
        <f t="shared" si="352"/>
        <v>0</v>
      </c>
      <c r="N104" s="3034"/>
      <c r="O104" s="417">
        <v>0</v>
      </c>
      <c r="P104" s="5271"/>
      <c r="Q104" s="1325">
        <f t="shared" si="353"/>
        <v>0</v>
      </c>
      <c r="R104" s="3034"/>
      <c r="S104" s="417">
        <v>0</v>
      </c>
      <c r="T104" s="5271"/>
      <c r="U104" s="1325">
        <f t="shared" si="354"/>
        <v>0</v>
      </c>
      <c r="V104" s="3034"/>
      <c r="W104" s="417">
        <v>0</v>
      </c>
      <c r="X104" s="5283"/>
      <c r="Y104" s="571">
        <f t="shared" si="355"/>
        <v>0</v>
      </c>
      <c r="Z104" s="5277"/>
      <c r="AA104" s="1236">
        <f t="shared" si="356"/>
        <v>0</v>
      </c>
      <c r="AB104" s="3034"/>
      <c r="AC104" s="417">
        <v>0</v>
      </c>
      <c r="AD104" s="5271"/>
      <c r="AE104" s="1325">
        <f t="shared" si="365"/>
        <v>0</v>
      </c>
      <c r="AF104" s="3034"/>
      <c r="AG104" s="417">
        <v>0</v>
      </c>
      <c r="AH104" s="5271"/>
      <c r="AI104" s="1325">
        <f t="shared" si="366"/>
        <v>0</v>
      </c>
      <c r="AJ104" s="3034"/>
      <c r="AK104" s="417">
        <v>0</v>
      </c>
      <c r="AL104" s="5283"/>
      <c r="AM104" s="571">
        <f t="shared" si="359"/>
        <v>0</v>
      </c>
      <c r="AN104" s="5271"/>
      <c r="AO104" s="1325">
        <f t="shared" si="367"/>
        <v>0</v>
      </c>
      <c r="AP104" s="3034"/>
      <c r="AQ104" s="417">
        <v>200</v>
      </c>
      <c r="AR104" s="5271"/>
      <c r="AS104" s="1325">
        <f t="shared" si="368"/>
        <v>200</v>
      </c>
      <c r="AT104" s="3034"/>
      <c r="AU104" s="417">
        <v>250</v>
      </c>
      <c r="AV104" s="5271"/>
      <c r="AW104" s="1325">
        <f t="shared" si="369"/>
        <v>450</v>
      </c>
      <c r="AX104" s="3034"/>
      <c r="AY104" s="417">
        <v>300</v>
      </c>
      <c r="AZ104" s="5283"/>
      <c r="BA104" s="571">
        <f t="shared" si="363"/>
        <v>750</v>
      </c>
      <c r="BB104" s="5277"/>
      <c r="BC104" s="1236">
        <f t="shared" si="350"/>
        <v>750</v>
      </c>
      <c r="BD104" s="5271"/>
      <c r="BE104" s="1325">
        <f t="shared" si="370"/>
        <v>750</v>
      </c>
    </row>
    <row r="105" spans="2:57" x14ac:dyDescent="0.25">
      <c r="B105" s="85" t="s">
        <v>1807</v>
      </c>
      <c r="C105" s="225" t="s">
        <v>454</v>
      </c>
      <c r="D105" s="3034"/>
      <c r="E105" s="355">
        <v>0</v>
      </c>
      <c r="F105" s="5301"/>
      <c r="G105" s="33">
        <v>0</v>
      </c>
      <c r="H105" s="5298"/>
      <c r="I105" s="533">
        <f t="shared" si="351"/>
        <v>0</v>
      </c>
      <c r="J105" s="3034"/>
      <c r="K105" s="40">
        <v>0</v>
      </c>
      <c r="L105" s="5303"/>
      <c r="M105" s="1326">
        <f t="shared" si="352"/>
        <v>0</v>
      </c>
      <c r="N105" s="3034"/>
      <c r="O105" s="40">
        <v>0</v>
      </c>
      <c r="P105" s="5271"/>
      <c r="Q105" s="1325">
        <f t="shared" si="353"/>
        <v>0</v>
      </c>
      <c r="R105" s="3034"/>
      <c r="S105" s="40">
        <v>0</v>
      </c>
      <c r="T105" s="5271"/>
      <c r="U105" s="1325">
        <f t="shared" si="354"/>
        <v>0</v>
      </c>
      <c r="V105" s="3034"/>
      <c r="W105" s="40">
        <v>0</v>
      </c>
      <c r="X105" s="5283"/>
      <c r="Y105" s="571">
        <f t="shared" si="355"/>
        <v>0</v>
      </c>
      <c r="Z105" s="5277"/>
      <c r="AA105" s="1236">
        <f t="shared" si="356"/>
        <v>0</v>
      </c>
      <c r="AB105" s="3034"/>
      <c r="AC105" s="40">
        <v>0</v>
      </c>
      <c r="AD105" s="5271"/>
      <c r="AE105" s="1325">
        <f t="shared" si="365"/>
        <v>0</v>
      </c>
      <c r="AF105" s="3034"/>
      <c r="AG105" s="40">
        <v>0</v>
      </c>
      <c r="AH105" s="5271"/>
      <c r="AI105" s="1325">
        <f t="shared" si="366"/>
        <v>0</v>
      </c>
      <c r="AJ105" s="3034"/>
      <c r="AK105" s="40">
        <v>0</v>
      </c>
      <c r="AL105" s="5283"/>
      <c r="AM105" s="571">
        <f t="shared" si="359"/>
        <v>0</v>
      </c>
      <c r="AN105" s="5271"/>
      <c r="AO105" s="1325">
        <f t="shared" si="367"/>
        <v>0</v>
      </c>
      <c r="AP105" s="3034"/>
      <c r="AQ105" s="40">
        <v>3650</v>
      </c>
      <c r="AR105" s="5271"/>
      <c r="AS105" s="1325">
        <f t="shared" si="368"/>
        <v>3650</v>
      </c>
      <c r="AT105" s="3034"/>
      <c r="AU105" s="417">
        <v>4200</v>
      </c>
      <c r="AV105" s="5271"/>
      <c r="AW105" s="1325">
        <f t="shared" si="369"/>
        <v>7850</v>
      </c>
      <c r="AX105" s="3034"/>
      <c r="AY105" s="417">
        <v>4050</v>
      </c>
      <c r="AZ105" s="5283"/>
      <c r="BA105" s="571">
        <f t="shared" si="363"/>
        <v>11900</v>
      </c>
      <c r="BB105" s="5277"/>
      <c r="BC105" s="1236">
        <f t="shared" si="350"/>
        <v>11900</v>
      </c>
      <c r="BD105" s="5271"/>
      <c r="BE105" s="1325">
        <f t="shared" si="370"/>
        <v>11900</v>
      </c>
    </row>
    <row r="106" spans="2:57" x14ac:dyDescent="0.25">
      <c r="B106" s="85" t="s">
        <v>1808</v>
      </c>
      <c r="C106" s="225" t="s">
        <v>454</v>
      </c>
      <c r="D106" s="3034"/>
      <c r="E106" s="355">
        <v>0</v>
      </c>
      <c r="F106" s="5301"/>
      <c r="G106" s="33">
        <v>0</v>
      </c>
      <c r="H106" s="5298"/>
      <c r="I106" s="533">
        <f t="shared" si="351"/>
        <v>0</v>
      </c>
      <c r="J106" s="3034"/>
      <c r="K106" s="40">
        <v>0</v>
      </c>
      <c r="L106" s="5303"/>
      <c r="M106" s="1950">
        <f t="shared" si="352"/>
        <v>0</v>
      </c>
      <c r="N106" s="3034"/>
      <c r="O106" s="40">
        <v>0</v>
      </c>
      <c r="P106" s="5271"/>
      <c r="Q106" s="1897">
        <f t="shared" si="353"/>
        <v>0</v>
      </c>
      <c r="R106" s="3034"/>
      <c r="S106" s="40">
        <v>0</v>
      </c>
      <c r="T106" s="5271"/>
      <c r="U106" s="1897">
        <f t="shared" si="354"/>
        <v>0</v>
      </c>
      <c r="V106" s="3034"/>
      <c r="W106" s="40">
        <v>0</v>
      </c>
      <c r="X106" s="5283"/>
      <c r="Y106" s="580">
        <f t="shared" si="355"/>
        <v>0</v>
      </c>
      <c r="Z106" s="5277"/>
      <c r="AA106" s="1266">
        <f t="shared" si="356"/>
        <v>0</v>
      </c>
      <c r="AB106" s="3034"/>
      <c r="AC106" s="40">
        <v>0</v>
      </c>
      <c r="AD106" s="5271"/>
      <c r="AE106" s="1897">
        <f t="shared" si="365"/>
        <v>0</v>
      </c>
      <c r="AF106" s="3034"/>
      <c r="AG106" s="40">
        <v>0</v>
      </c>
      <c r="AH106" s="5271"/>
      <c r="AI106" s="1897">
        <f t="shared" si="366"/>
        <v>0</v>
      </c>
      <c r="AJ106" s="3034"/>
      <c r="AK106" s="40">
        <v>0</v>
      </c>
      <c r="AL106" s="5283"/>
      <c r="AM106" s="580">
        <f t="shared" si="359"/>
        <v>0</v>
      </c>
      <c r="AN106" s="5271"/>
      <c r="AO106" s="1897">
        <f t="shared" si="367"/>
        <v>0</v>
      </c>
      <c r="AP106" s="3034"/>
      <c r="AQ106" s="40">
        <v>225</v>
      </c>
      <c r="AR106" s="5271"/>
      <c r="AS106" s="1897">
        <f t="shared" si="368"/>
        <v>225</v>
      </c>
      <c r="AT106" s="3034"/>
      <c r="AU106" s="417">
        <v>0</v>
      </c>
      <c r="AV106" s="5271"/>
      <c r="AW106" s="1897">
        <f t="shared" si="369"/>
        <v>225</v>
      </c>
      <c r="AX106" s="3034"/>
      <c r="AY106" s="417">
        <v>225</v>
      </c>
      <c r="AZ106" s="5283"/>
      <c r="BA106" s="580">
        <f t="shared" si="363"/>
        <v>450</v>
      </c>
      <c r="BB106" s="5277"/>
      <c r="BC106" s="1266">
        <f t="shared" si="350"/>
        <v>450</v>
      </c>
      <c r="BD106" s="5271"/>
      <c r="BE106" s="1897">
        <f t="shared" si="370"/>
        <v>450</v>
      </c>
    </row>
    <row r="107" spans="2:57" s="1726" customFormat="1" x14ac:dyDescent="0.25">
      <c r="B107" s="85" t="s">
        <v>1809</v>
      </c>
      <c r="C107" s="225" t="s">
        <v>454</v>
      </c>
      <c r="D107" s="3034"/>
      <c r="E107" s="3620">
        <v>0</v>
      </c>
      <c r="F107" s="5301"/>
      <c r="G107" s="33">
        <v>0</v>
      </c>
      <c r="H107" s="5298"/>
      <c r="I107" s="533"/>
      <c r="J107" s="3034"/>
      <c r="K107" s="40">
        <v>0</v>
      </c>
      <c r="L107" s="5303"/>
      <c r="M107" s="1950"/>
      <c r="N107" s="3034"/>
      <c r="O107" s="40">
        <v>0</v>
      </c>
      <c r="P107" s="5271"/>
      <c r="Q107" s="1897"/>
      <c r="R107" s="3034"/>
      <c r="S107" s="40">
        <v>0</v>
      </c>
      <c r="T107" s="5271"/>
      <c r="U107" s="1897"/>
      <c r="V107" s="3034"/>
      <c r="W107" s="40">
        <v>0</v>
      </c>
      <c r="X107" s="5283"/>
      <c r="Y107" s="580"/>
      <c r="Z107" s="5277"/>
      <c r="AA107" s="1266"/>
      <c r="AB107" s="3034"/>
      <c r="AC107" s="40">
        <v>0</v>
      </c>
      <c r="AD107" s="5271"/>
      <c r="AE107" s="1897"/>
      <c r="AF107" s="3034"/>
      <c r="AG107" s="40">
        <v>0</v>
      </c>
      <c r="AH107" s="5271"/>
      <c r="AI107" s="1897"/>
      <c r="AJ107" s="3034"/>
      <c r="AK107" s="40">
        <v>0</v>
      </c>
      <c r="AL107" s="5283"/>
      <c r="AM107" s="580">
        <f t="shared" si="359"/>
        <v>0</v>
      </c>
      <c r="AN107" s="5271"/>
      <c r="AO107" s="1897"/>
      <c r="AP107" s="3034"/>
      <c r="AQ107" s="40">
        <v>0</v>
      </c>
      <c r="AR107" s="5271"/>
      <c r="AS107" s="1897">
        <f t="shared" si="368"/>
        <v>0</v>
      </c>
      <c r="AT107" s="3034"/>
      <c r="AU107" s="40">
        <v>225</v>
      </c>
      <c r="AV107" s="5271"/>
      <c r="AW107" s="1897">
        <f t="shared" si="369"/>
        <v>225</v>
      </c>
      <c r="AX107" s="3034"/>
      <c r="AY107" s="40">
        <v>0</v>
      </c>
      <c r="AZ107" s="5283"/>
      <c r="BA107" s="580">
        <f t="shared" si="363"/>
        <v>225</v>
      </c>
      <c r="BB107" s="5277"/>
      <c r="BC107" s="1266">
        <f t="shared" si="350"/>
        <v>225</v>
      </c>
      <c r="BD107" s="5271"/>
      <c r="BE107" s="1897">
        <f t="shared" si="370"/>
        <v>225</v>
      </c>
    </row>
    <row r="108" spans="2:57" s="1726" customFormat="1" ht="15.75" thickBot="1" x14ac:dyDescent="0.3">
      <c r="B108" s="85" t="s">
        <v>1810</v>
      </c>
      <c r="C108" s="225" t="s">
        <v>454</v>
      </c>
      <c r="D108" s="3034"/>
      <c r="E108" s="3620">
        <v>0</v>
      </c>
      <c r="F108" s="5301"/>
      <c r="G108" s="33">
        <v>0</v>
      </c>
      <c r="H108" s="5298"/>
      <c r="I108" s="533"/>
      <c r="J108" s="3034"/>
      <c r="K108" s="40">
        <v>0</v>
      </c>
      <c r="L108" s="5303"/>
      <c r="M108" s="1950"/>
      <c r="N108" s="3034"/>
      <c r="O108" s="40">
        <v>0</v>
      </c>
      <c r="P108" s="5271"/>
      <c r="Q108" s="1897"/>
      <c r="R108" s="3034"/>
      <c r="S108" s="40">
        <v>0</v>
      </c>
      <c r="T108" s="5271"/>
      <c r="U108" s="1897"/>
      <c r="V108" s="3034"/>
      <c r="W108" s="40">
        <v>0</v>
      </c>
      <c r="X108" s="5283"/>
      <c r="Y108" s="580"/>
      <c r="Z108" s="5277"/>
      <c r="AA108" s="1266"/>
      <c r="AB108" s="3034"/>
      <c r="AC108" s="40">
        <v>0</v>
      </c>
      <c r="AD108" s="5271"/>
      <c r="AE108" s="1897"/>
      <c r="AF108" s="3034"/>
      <c r="AG108" s="40">
        <v>0</v>
      </c>
      <c r="AH108" s="5271"/>
      <c r="AI108" s="1897"/>
      <c r="AJ108" s="3034"/>
      <c r="AK108" s="40">
        <v>0</v>
      </c>
      <c r="AL108" s="5283"/>
      <c r="AM108" s="580">
        <f t="shared" si="359"/>
        <v>0</v>
      </c>
      <c r="AN108" s="5271"/>
      <c r="AO108" s="1897"/>
      <c r="AP108" s="3034"/>
      <c r="AQ108" s="40">
        <v>924</v>
      </c>
      <c r="AR108" s="5271"/>
      <c r="AS108" s="1897">
        <f t="shared" si="368"/>
        <v>924</v>
      </c>
      <c r="AT108" s="3034"/>
      <c r="AU108" s="40">
        <v>1232</v>
      </c>
      <c r="AV108" s="5271"/>
      <c r="AW108" s="1897">
        <f t="shared" si="369"/>
        <v>2156</v>
      </c>
      <c r="AX108" s="3034"/>
      <c r="AY108" s="40">
        <v>1408</v>
      </c>
      <c r="AZ108" s="5283"/>
      <c r="BA108" s="580">
        <f t="shared" si="363"/>
        <v>3564</v>
      </c>
      <c r="BB108" s="5277"/>
      <c r="BC108" s="1266">
        <f t="shared" si="350"/>
        <v>3564</v>
      </c>
      <c r="BD108" s="5271"/>
      <c r="BE108" s="1897">
        <f t="shared" si="370"/>
        <v>3564</v>
      </c>
    </row>
    <row r="109" spans="2:57" ht="24" thickTop="1" thickBot="1" x14ac:dyDescent="0.35">
      <c r="B109" s="3036" t="s">
        <v>456</v>
      </c>
      <c r="C109" s="315"/>
      <c r="D109" s="3037"/>
      <c r="E109" s="315"/>
      <c r="F109" s="3037"/>
      <c r="G109" s="315"/>
      <c r="H109" s="315"/>
      <c r="I109" s="1639"/>
      <c r="J109" s="3037"/>
      <c r="K109" s="1639"/>
      <c r="L109" s="315"/>
      <c r="M109" s="315"/>
      <c r="N109" s="3038"/>
      <c r="O109" s="1923"/>
      <c r="P109" s="315"/>
      <c r="Q109" s="315"/>
      <c r="R109" s="3038"/>
      <c r="S109" s="1923"/>
      <c r="T109" s="315"/>
      <c r="U109" s="315"/>
      <c r="V109" s="3038"/>
      <c r="W109" s="1923"/>
      <c r="X109" s="315"/>
      <c r="Y109" s="315"/>
      <c r="Z109" s="315"/>
      <c r="AA109" s="315"/>
      <c r="AB109" s="3038"/>
      <c r="AC109" s="1923"/>
      <c r="AD109" s="315"/>
      <c r="AE109" s="315"/>
      <c r="AF109" s="3038"/>
      <c r="AG109" s="1923"/>
      <c r="AH109" s="315"/>
      <c r="AI109" s="315"/>
      <c r="AJ109" s="3038"/>
      <c r="AK109" s="1923"/>
      <c r="AL109" s="315"/>
      <c r="AM109" s="315"/>
      <c r="AN109" s="315"/>
      <c r="AO109" s="315"/>
      <c r="AP109" s="3038"/>
      <c r="AQ109" s="1923"/>
      <c r="AR109" s="315"/>
      <c r="AS109" s="315"/>
      <c r="AT109" s="3038"/>
      <c r="AU109" s="1923"/>
      <c r="AV109" s="315"/>
      <c r="AW109" s="315"/>
      <c r="AX109" s="3038"/>
      <c r="AY109" s="1923"/>
      <c r="AZ109" s="315"/>
      <c r="BA109" s="315"/>
      <c r="BB109" s="315"/>
      <c r="BC109" s="315"/>
      <c r="BD109" s="315"/>
      <c r="BE109" s="315"/>
    </row>
    <row r="110" spans="2:57" x14ac:dyDescent="0.25">
      <c r="B110" s="5304" t="s">
        <v>417</v>
      </c>
      <c r="C110" s="2738" t="s">
        <v>436</v>
      </c>
      <c r="D110" s="931">
        <f t="shared" ref="D110:AI110" si="371">+D7+D49</f>
        <v>27323.398207337792</v>
      </c>
      <c r="E110" s="180">
        <f t="shared" si="371"/>
        <v>21745.100000000002</v>
      </c>
      <c r="F110" s="931">
        <f t="shared" si="371"/>
        <v>29224.135909914054</v>
      </c>
      <c r="G110" s="363">
        <f t="shared" si="371"/>
        <v>25247.9</v>
      </c>
      <c r="H110" s="2000">
        <f t="shared" si="371"/>
        <v>56547.534117251846</v>
      </c>
      <c r="I110" s="545">
        <f t="shared" si="371"/>
        <v>46993</v>
      </c>
      <c r="J110" s="931">
        <f t="shared" si="371"/>
        <v>35468.904166666667</v>
      </c>
      <c r="K110" s="363">
        <f t="shared" si="371"/>
        <v>32403.200000000001</v>
      </c>
      <c r="L110" s="2001">
        <f t="shared" si="371"/>
        <v>92016.438283918513</v>
      </c>
      <c r="M110" s="1934">
        <f t="shared" si="371"/>
        <v>79396.200000000012</v>
      </c>
      <c r="N110" s="931">
        <f t="shared" si="371"/>
        <v>36656.595833333333</v>
      </c>
      <c r="O110" s="180">
        <f t="shared" si="371"/>
        <v>33310.6</v>
      </c>
      <c r="P110" s="2007">
        <f t="shared" si="371"/>
        <v>128673.03411725184</v>
      </c>
      <c r="Q110" s="1877">
        <f t="shared" si="371"/>
        <v>112706.8</v>
      </c>
      <c r="R110" s="3039">
        <f t="shared" si="371"/>
        <v>36583.451931607065</v>
      </c>
      <c r="S110" s="180">
        <f t="shared" si="371"/>
        <v>35794.9</v>
      </c>
      <c r="T110" s="2007">
        <f t="shared" si="371"/>
        <v>165256.4860488589</v>
      </c>
      <c r="U110" s="1877">
        <f t="shared" si="371"/>
        <v>148501.70000000001</v>
      </c>
      <c r="V110" s="3039">
        <f t="shared" si="371"/>
        <v>35478.05750735425</v>
      </c>
      <c r="W110" s="180">
        <f t="shared" si="371"/>
        <v>33549.9</v>
      </c>
      <c r="X110" s="2008">
        <f t="shared" si="371"/>
        <v>108718.10527229465</v>
      </c>
      <c r="Y110" s="581">
        <f t="shared" si="371"/>
        <v>102655.40000000001</v>
      </c>
      <c r="Z110" s="2002">
        <f t="shared" si="371"/>
        <v>200734.54355621315</v>
      </c>
      <c r="AA110" s="1318">
        <f t="shared" si="371"/>
        <v>182051.59999999998</v>
      </c>
      <c r="AB110" s="3039">
        <f t="shared" si="371"/>
        <v>36711.75</v>
      </c>
      <c r="AC110" s="180">
        <f t="shared" si="371"/>
        <v>36464.5</v>
      </c>
      <c r="AD110" s="2007">
        <f t="shared" si="371"/>
        <v>237446.29355621315</v>
      </c>
      <c r="AE110" s="1877">
        <f t="shared" si="371"/>
        <v>218516.09999999998</v>
      </c>
      <c r="AF110" s="3039">
        <f t="shared" si="371"/>
        <v>35522.25</v>
      </c>
      <c r="AG110" s="180">
        <f t="shared" si="371"/>
        <v>34890.50000000008</v>
      </c>
      <c r="AH110" s="2007">
        <f t="shared" si="371"/>
        <v>272968.54355621315</v>
      </c>
      <c r="AI110" s="1877">
        <f t="shared" si="371"/>
        <v>253406.60000000006</v>
      </c>
      <c r="AJ110" s="3039">
        <f t="shared" ref="AJ110:BE110" si="372">+AJ7+AJ49</f>
        <v>36711.75</v>
      </c>
      <c r="AK110" s="180">
        <f t="shared" si="372"/>
        <v>36662.300000000003</v>
      </c>
      <c r="AL110" s="2008">
        <f t="shared" si="372"/>
        <v>108945.75</v>
      </c>
      <c r="AM110" s="581">
        <f t="shared" si="372"/>
        <v>108017.30000000008</v>
      </c>
      <c r="AN110" s="2007">
        <f t="shared" si="372"/>
        <v>309680.29355621315</v>
      </c>
      <c r="AO110" s="1877">
        <f t="shared" si="372"/>
        <v>290068.90000000008</v>
      </c>
      <c r="AP110" s="3039">
        <f t="shared" si="372"/>
        <v>36711.75</v>
      </c>
      <c r="AQ110" s="180">
        <f t="shared" si="372"/>
        <v>37941.199999999997</v>
      </c>
      <c r="AR110" s="2007">
        <f t="shared" si="372"/>
        <v>346392.04355621315</v>
      </c>
      <c r="AS110" s="1877">
        <f t="shared" si="372"/>
        <v>328010.10000000009</v>
      </c>
      <c r="AT110" s="3039">
        <f t="shared" si="372"/>
        <v>32377.454049019667</v>
      </c>
      <c r="AU110" s="180">
        <f t="shared" si="372"/>
        <v>20507.300000000003</v>
      </c>
      <c r="AV110" s="2007">
        <f t="shared" si="372"/>
        <v>378769.49760523281</v>
      </c>
      <c r="AW110" s="1877">
        <f t="shared" si="372"/>
        <v>348517.40000000008</v>
      </c>
      <c r="AX110" s="3039">
        <f t="shared" si="372"/>
        <v>36711.75</v>
      </c>
      <c r="AY110" s="180">
        <f t="shared" si="372"/>
        <v>18248.8</v>
      </c>
      <c r="AZ110" s="2008">
        <f t="shared" si="372"/>
        <v>105800.95404901967</v>
      </c>
      <c r="BA110" s="581">
        <f t="shared" si="372"/>
        <v>76697.3</v>
      </c>
      <c r="BB110" s="2002">
        <f t="shared" si="372"/>
        <v>214746.70404901967</v>
      </c>
      <c r="BC110" s="1318">
        <f t="shared" si="372"/>
        <v>184714.60000000009</v>
      </c>
      <c r="BD110" s="2007">
        <f t="shared" si="372"/>
        <v>415481.24760523281</v>
      </c>
      <c r="BE110" s="1877">
        <f t="shared" si="372"/>
        <v>366766.20000000007</v>
      </c>
    </row>
    <row r="111" spans="2:57" ht="15.75" thickBot="1" x14ac:dyDescent="0.3">
      <c r="B111" s="5305"/>
      <c r="C111" s="2041" t="s">
        <v>424</v>
      </c>
      <c r="D111" s="3040">
        <f t="shared" ref="D111:AI111" si="373">+D11+D50</f>
        <v>37.949164176858041</v>
      </c>
      <c r="E111" s="523">
        <f t="shared" si="373"/>
        <v>30.20152777777778</v>
      </c>
      <c r="F111" s="3041">
        <f t="shared" si="373"/>
        <v>39.279752567088792</v>
      </c>
      <c r="G111" s="530">
        <f t="shared" si="373"/>
        <v>33.935349462365593</v>
      </c>
      <c r="H111" s="2257">
        <f t="shared" si="373"/>
        <v>38.625364834188417</v>
      </c>
      <c r="I111" s="546">
        <f t="shared" si="373"/>
        <v>32.099043715846996</v>
      </c>
      <c r="J111" s="3040">
        <f t="shared" si="373"/>
        <v>49.262366898148144</v>
      </c>
      <c r="K111" s="530">
        <f t="shared" si="373"/>
        <v>45.004444444444452</v>
      </c>
      <c r="L111" s="2258">
        <f t="shared" si="373"/>
        <v>42.132068811318</v>
      </c>
      <c r="M111" s="1951">
        <f t="shared" si="373"/>
        <v>36.353571428571435</v>
      </c>
      <c r="N111" s="3040">
        <f t="shared" si="373"/>
        <v>49.269618055555554</v>
      </c>
      <c r="O111" s="523">
        <f t="shared" si="373"/>
        <v>44.77231182795699</v>
      </c>
      <c r="P111" s="2917">
        <f t="shared" si="373"/>
        <v>43.945708373378359</v>
      </c>
      <c r="Q111" s="1898">
        <f t="shared" si="373"/>
        <v>38.492759562841535</v>
      </c>
      <c r="R111" s="3042">
        <f t="shared" si="373"/>
        <v>49.171306359686916</v>
      </c>
      <c r="S111" s="1924">
        <f t="shared" si="373"/>
        <v>48.111424731182801</v>
      </c>
      <c r="T111" s="2917">
        <f t="shared" si="373"/>
        <v>45.00448966472193</v>
      </c>
      <c r="U111" s="1898">
        <f t="shared" si="373"/>
        <v>40.441639433551202</v>
      </c>
      <c r="V111" s="3042">
        <f t="shared" si="373"/>
        <v>49.275079871325346</v>
      </c>
      <c r="W111" s="1924">
        <f t="shared" si="373"/>
        <v>46.597083333333337</v>
      </c>
      <c r="X111" s="2916">
        <f t="shared" si="373"/>
        <v>49.238272315350841</v>
      </c>
      <c r="Y111" s="582">
        <f t="shared" si="373"/>
        <v>46.492481884057973</v>
      </c>
      <c r="Z111" s="2259">
        <f t="shared" si="373"/>
        <v>45.704586419902817</v>
      </c>
      <c r="AA111" s="1863">
        <f t="shared" si="373"/>
        <v>41.450728597449903</v>
      </c>
      <c r="AB111" s="3042">
        <f t="shared" si="373"/>
        <v>49.34375</v>
      </c>
      <c r="AC111" s="1924">
        <f t="shared" si="373"/>
        <v>49.011424731182792</v>
      </c>
      <c r="AD111" s="2917">
        <f t="shared" si="373"/>
        <v>46.231754975898205</v>
      </c>
      <c r="AE111" s="1898">
        <f t="shared" si="373"/>
        <v>42.545969626168223</v>
      </c>
      <c r="AF111" s="3042">
        <f t="shared" si="373"/>
        <v>49.336458333333333</v>
      </c>
      <c r="AG111" s="1924">
        <f t="shared" si="373"/>
        <v>48.459027777777891</v>
      </c>
      <c r="AH111" s="2917">
        <f t="shared" si="373"/>
        <v>46.613480798533665</v>
      </c>
      <c r="AI111" s="1898">
        <f t="shared" si="373"/>
        <v>43.272984972677612</v>
      </c>
      <c r="AJ111" s="3042">
        <f t="shared" ref="AJ111:BE111" si="374">+AJ11+AJ50</f>
        <v>49.34375</v>
      </c>
      <c r="AK111" s="1924">
        <f t="shared" si="374"/>
        <v>49.277284946236563</v>
      </c>
      <c r="AL111" s="2916">
        <f t="shared" si="374"/>
        <v>49.341372282608695</v>
      </c>
      <c r="AM111" s="582">
        <f t="shared" si="374"/>
        <v>48.920878623188436</v>
      </c>
      <c r="AN111" s="2917">
        <f t="shared" si="374"/>
        <v>46.921256599426236</v>
      </c>
      <c r="AO111" s="1898">
        <f t="shared" si="374"/>
        <v>43.949833333333345</v>
      </c>
      <c r="AP111" s="3042">
        <f t="shared" si="374"/>
        <v>49.34375</v>
      </c>
      <c r="AQ111" s="1924">
        <f t="shared" si="374"/>
        <v>50.996236559139781</v>
      </c>
      <c r="AR111" s="2917">
        <f t="shared" si="374"/>
        <v>47.166672597523579</v>
      </c>
      <c r="AS111" s="1898">
        <f t="shared" si="374"/>
        <v>44.663684640522888</v>
      </c>
      <c r="AT111" s="3042">
        <f t="shared" si="374"/>
        <v>48.180735191993556</v>
      </c>
      <c r="AU111" s="1924">
        <f t="shared" si="374"/>
        <v>30.516815476190484</v>
      </c>
      <c r="AV111" s="2917">
        <f t="shared" si="374"/>
        <v>47.251683832988128</v>
      </c>
      <c r="AW111" s="1898">
        <f t="shared" si="374"/>
        <v>43.477719560878256</v>
      </c>
      <c r="AX111" s="3042">
        <f t="shared" si="374"/>
        <v>49.34375</v>
      </c>
      <c r="AY111" s="1924">
        <f t="shared" si="374"/>
        <v>24.527956989247311</v>
      </c>
      <c r="AZ111" s="2916">
        <f t="shared" si="374"/>
        <v>48.981923170842435</v>
      </c>
      <c r="BA111" s="582">
        <f t="shared" si="374"/>
        <v>35.508009259259261</v>
      </c>
      <c r="BB111" s="2259">
        <f t="shared" si="374"/>
        <v>49.163622721845158</v>
      </c>
      <c r="BC111" s="1863">
        <f t="shared" si="374"/>
        <v>42.288141025641046</v>
      </c>
      <c r="BD111" s="2917">
        <f t="shared" si="374"/>
        <v>47.42936616498092</v>
      </c>
      <c r="BE111" s="1898">
        <f t="shared" si="374"/>
        <v>41.868287671232885</v>
      </c>
    </row>
    <row r="112" spans="2:57" ht="15.75" customHeight="1" x14ac:dyDescent="0.25">
      <c r="B112" s="5306" t="s">
        <v>442</v>
      </c>
      <c r="C112" s="2738" t="s">
        <v>436</v>
      </c>
      <c r="D112" s="931">
        <f t="shared" ref="D112:AI112" si="375">+D8+D51</f>
        <v>64947.995968132796</v>
      </c>
      <c r="E112" s="180">
        <f t="shared" si="375"/>
        <v>61930.6</v>
      </c>
      <c r="F112" s="931">
        <f t="shared" si="375"/>
        <v>65902.599304045361</v>
      </c>
      <c r="G112" s="363">
        <f t="shared" si="375"/>
        <v>64627.9</v>
      </c>
      <c r="H112" s="2000">
        <f t="shared" si="375"/>
        <v>130850.59527217815</v>
      </c>
      <c r="I112" s="545">
        <f t="shared" si="375"/>
        <v>126558.5</v>
      </c>
      <c r="J112" s="931">
        <f t="shared" si="375"/>
        <v>78246.922881336868</v>
      </c>
      <c r="K112" s="363">
        <f t="shared" si="375"/>
        <v>76788</v>
      </c>
      <c r="L112" s="2001">
        <f t="shared" si="375"/>
        <v>209097.518153515</v>
      </c>
      <c r="M112" s="1934">
        <f t="shared" si="375"/>
        <v>203346.5</v>
      </c>
      <c r="N112" s="931">
        <f t="shared" si="375"/>
        <v>80918.609477048929</v>
      </c>
      <c r="O112" s="180">
        <f t="shared" si="375"/>
        <v>78205.5</v>
      </c>
      <c r="P112" s="2007">
        <f t="shared" si="375"/>
        <v>290016.12763056392</v>
      </c>
      <c r="Q112" s="1877">
        <f t="shared" si="375"/>
        <v>281552</v>
      </c>
      <c r="R112" s="3039">
        <f t="shared" si="375"/>
        <v>81557.820654740266</v>
      </c>
      <c r="S112" s="180">
        <f t="shared" si="375"/>
        <v>76645.7</v>
      </c>
      <c r="T112" s="2007">
        <f t="shared" si="375"/>
        <v>371573.94828530418</v>
      </c>
      <c r="U112" s="1877">
        <f t="shared" si="375"/>
        <v>358197.7</v>
      </c>
      <c r="V112" s="3039">
        <f t="shared" si="375"/>
        <v>79226.827201788852</v>
      </c>
      <c r="W112" s="180">
        <f t="shared" si="375"/>
        <v>75186.399999999994</v>
      </c>
      <c r="X112" s="2008">
        <f t="shared" si="375"/>
        <v>241703.25733357802</v>
      </c>
      <c r="Y112" s="581">
        <f t="shared" si="375"/>
        <v>230037.6</v>
      </c>
      <c r="Z112" s="2002">
        <f t="shared" si="375"/>
        <v>450800.77548709302</v>
      </c>
      <c r="AA112" s="1318">
        <f t="shared" si="375"/>
        <v>433384.1</v>
      </c>
      <c r="AB112" s="3039">
        <f t="shared" si="375"/>
        <v>81679.887906613643</v>
      </c>
      <c r="AC112" s="180">
        <f t="shared" si="375"/>
        <v>76983.3</v>
      </c>
      <c r="AD112" s="2007">
        <f t="shared" si="375"/>
        <v>532480.66339370667</v>
      </c>
      <c r="AE112" s="1877">
        <f t="shared" si="375"/>
        <v>510367.4</v>
      </c>
      <c r="AF112" s="3039">
        <f t="shared" si="375"/>
        <v>79182.634709143109</v>
      </c>
      <c r="AG112" s="180">
        <f t="shared" si="375"/>
        <v>72071.7</v>
      </c>
      <c r="AH112" s="2007">
        <f t="shared" si="375"/>
        <v>611663.29810284975</v>
      </c>
      <c r="AI112" s="1877">
        <f t="shared" si="375"/>
        <v>582439.1</v>
      </c>
      <c r="AJ112" s="3039">
        <f t="shared" ref="AJ112:BE112" si="376">+AJ8+AJ51</f>
        <v>81679.887906613643</v>
      </c>
      <c r="AK112" s="180">
        <f t="shared" si="376"/>
        <v>76700.2</v>
      </c>
      <c r="AL112" s="2008">
        <f t="shared" si="376"/>
        <v>242542.4105223704</v>
      </c>
      <c r="AM112" s="581">
        <f t="shared" si="376"/>
        <v>225755.2</v>
      </c>
      <c r="AN112" s="2007">
        <f t="shared" si="376"/>
        <v>693343.18600946339</v>
      </c>
      <c r="AO112" s="1877">
        <f t="shared" si="376"/>
        <v>659139.30000000005</v>
      </c>
      <c r="AP112" s="3039">
        <f t="shared" si="376"/>
        <v>81679.887906613643</v>
      </c>
      <c r="AQ112" s="180">
        <f t="shared" si="376"/>
        <v>74744.899999999994</v>
      </c>
      <c r="AR112" s="2007">
        <f t="shared" si="376"/>
        <v>775023.07391607703</v>
      </c>
      <c r="AS112" s="1877">
        <f t="shared" si="376"/>
        <v>733884.2</v>
      </c>
      <c r="AT112" s="3039">
        <f t="shared" si="376"/>
        <v>74092.083974564841</v>
      </c>
      <c r="AU112" s="180">
        <f t="shared" si="376"/>
        <v>79261.399999999994</v>
      </c>
      <c r="AV112" s="2007">
        <f t="shared" si="376"/>
        <v>849115.15789064183</v>
      </c>
      <c r="AW112" s="1877">
        <f t="shared" si="376"/>
        <v>813145.59999999998</v>
      </c>
      <c r="AX112" s="3039">
        <f t="shared" si="376"/>
        <v>81679.887906613643</v>
      </c>
      <c r="AY112" s="180">
        <f t="shared" si="376"/>
        <v>94621</v>
      </c>
      <c r="AZ112" s="2008">
        <f t="shared" si="376"/>
        <v>237451.85978779214</v>
      </c>
      <c r="BA112" s="581">
        <f t="shared" si="376"/>
        <v>248627.3</v>
      </c>
      <c r="BB112" s="2002">
        <f t="shared" si="376"/>
        <v>479994.27031016257</v>
      </c>
      <c r="BC112" s="1318">
        <f t="shared" si="376"/>
        <v>474382.5</v>
      </c>
      <c r="BD112" s="2007">
        <f t="shared" si="376"/>
        <v>930795.04579725547</v>
      </c>
      <c r="BE112" s="1877">
        <f t="shared" si="376"/>
        <v>907766.6</v>
      </c>
    </row>
    <row r="113" spans="2:57" ht="15.75" thickBot="1" x14ac:dyDescent="0.3">
      <c r="B113" s="5307"/>
      <c r="C113" s="2041" t="s">
        <v>424</v>
      </c>
      <c r="D113" s="3040">
        <f t="shared" ref="D113:AI113" si="377">+D12+D52</f>
        <v>90.205549955739997</v>
      </c>
      <c r="E113" s="523">
        <f t="shared" si="377"/>
        <v>86.014722222222218</v>
      </c>
      <c r="F113" s="3040">
        <f t="shared" si="377"/>
        <v>88.578762505437311</v>
      </c>
      <c r="G113" s="530">
        <f t="shared" si="377"/>
        <v>86.865456989247306</v>
      </c>
      <c r="H113" s="2257">
        <f t="shared" si="377"/>
        <v>89.378821907225515</v>
      </c>
      <c r="I113" s="546">
        <f t="shared" si="377"/>
        <v>86.447062841530055</v>
      </c>
      <c r="J113" s="3040">
        <f t="shared" si="377"/>
        <v>108.67628177963454</v>
      </c>
      <c r="K113" s="530">
        <f t="shared" si="377"/>
        <v>106.65</v>
      </c>
      <c r="L113" s="2258">
        <f t="shared" si="377"/>
        <v>95.740621865162552</v>
      </c>
      <c r="M113" s="1951">
        <f t="shared" si="377"/>
        <v>93.107371794871796</v>
      </c>
      <c r="N113" s="3040">
        <f t="shared" si="377"/>
        <v>108.76157187775394</v>
      </c>
      <c r="O113" s="523">
        <f t="shared" si="377"/>
        <v>105.11491935483872</v>
      </c>
      <c r="P113" s="2917">
        <f t="shared" si="377"/>
        <v>99.049223917542335</v>
      </c>
      <c r="Q113" s="1898">
        <f t="shared" si="377"/>
        <v>96.158469945355193</v>
      </c>
      <c r="R113" s="3042">
        <f t="shared" si="377"/>
        <v>109.62072668647886</v>
      </c>
      <c r="S113" s="1924">
        <f t="shared" si="377"/>
        <v>103.01841397849462</v>
      </c>
      <c r="T113" s="2917">
        <f t="shared" si="377"/>
        <v>101.1911623870654</v>
      </c>
      <c r="U113" s="1898">
        <f t="shared" si="377"/>
        <v>97.548393246187359</v>
      </c>
      <c r="V113" s="3042">
        <f t="shared" si="377"/>
        <v>110.03726000248452</v>
      </c>
      <c r="W113" s="1924">
        <f t="shared" si="377"/>
        <v>104.42555555555556</v>
      </c>
      <c r="X113" s="2916">
        <f t="shared" si="377"/>
        <v>109.46705495180164</v>
      </c>
      <c r="Y113" s="582">
        <f t="shared" si="377"/>
        <v>104.18369565217392</v>
      </c>
      <c r="Z113" s="2259">
        <f t="shared" si="377"/>
        <v>102.64134232401936</v>
      </c>
      <c r="AA113" s="1863">
        <f t="shared" si="377"/>
        <v>98.675796903460849</v>
      </c>
      <c r="AB113" s="3042">
        <f t="shared" si="377"/>
        <v>109.78479557340543</v>
      </c>
      <c r="AC113" s="1924">
        <f t="shared" si="377"/>
        <v>103.47217741935484</v>
      </c>
      <c r="AD113" s="2917">
        <f t="shared" si="377"/>
        <v>103.67614162650051</v>
      </c>
      <c r="AE113" s="1898">
        <f t="shared" si="377"/>
        <v>99.370599688473519</v>
      </c>
      <c r="AF113" s="3042">
        <f t="shared" si="377"/>
        <v>109.97588154047654</v>
      </c>
      <c r="AG113" s="1924">
        <f t="shared" si="377"/>
        <v>100.09958333333333</v>
      </c>
      <c r="AH113" s="2917">
        <f t="shared" si="377"/>
        <v>104.4506998126451</v>
      </c>
      <c r="AI113" s="1898">
        <f t="shared" si="377"/>
        <v>99.46022882513661</v>
      </c>
      <c r="AJ113" s="3042">
        <f t="shared" ref="AJ113:BE113" si="378">+AJ12+AJ52</f>
        <v>109.78479557340543</v>
      </c>
      <c r="AK113" s="1924">
        <f t="shared" si="378"/>
        <v>103.09166666666667</v>
      </c>
      <c r="AL113" s="2916">
        <f t="shared" si="378"/>
        <v>109.84710621484167</v>
      </c>
      <c r="AM113" s="582">
        <f t="shared" si="378"/>
        <v>102.24420289855074</v>
      </c>
      <c r="AN113" s="2917">
        <f t="shared" si="378"/>
        <v>105.05199788022173</v>
      </c>
      <c r="AO113" s="1898">
        <f t="shared" si="378"/>
        <v>99.869590909090917</v>
      </c>
      <c r="AP113" s="3042">
        <f t="shared" si="378"/>
        <v>109.78479557340543</v>
      </c>
      <c r="AQ113" s="1924">
        <f t="shared" si="378"/>
        <v>100.46357526881721</v>
      </c>
      <c r="AR113" s="2917">
        <f t="shared" si="378"/>
        <v>105.53146431319131</v>
      </c>
      <c r="AS113" s="1898">
        <f t="shared" si="378"/>
        <v>99.929765795206976</v>
      </c>
      <c r="AT113" s="3042">
        <f t="shared" si="378"/>
        <v>110.25607734310245</v>
      </c>
      <c r="AU113" s="1924">
        <f t="shared" si="378"/>
        <v>117.9485119047619</v>
      </c>
      <c r="AV113" s="2917">
        <f t="shared" si="378"/>
        <v>105.9275396570162</v>
      </c>
      <c r="AW113" s="1898">
        <f t="shared" si="378"/>
        <v>101.44031936127745</v>
      </c>
      <c r="AX113" s="3042">
        <f t="shared" si="378"/>
        <v>109.78479557340543</v>
      </c>
      <c r="AY113" s="1924">
        <f t="shared" si="378"/>
        <v>127.17876344086021</v>
      </c>
      <c r="AZ113" s="2916">
        <f t="shared" si="378"/>
        <v>109.93141656842228</v>
      </c>
      <c r="BA113" s="582">
        <f t="shared" si="378"/>
        <v>115.10523148148147</v>
      </c>
      <c r="BB113" s="2259">
        <f t="shared" si="378"/>
        <v>109.88879814793098</v>
      </c>
      <c r="BC113" s="1863">
        <f t="shared" si="378"/>
        <v>108.6040521978022</v>
      </c>
      <c r="BD113" s="2917">
        <f t="shared" si="378"/>
        <v>106.25514221429857</v>
      </c>
      <c r="BE113" s="1898">
        <f t="shared" si="378"/>
        <v>103.62632420091325</v>
      </c>
    </row>
    <row r="114" spans="2:57" ht="18.75" customHeight="1" x14ac:dyDescent="0.25">
      <c r="B114" s="4938" t="s">
        <v>506</v>
      </c>
      <c r="C114" s="2629" t="s">
        <v>436</v>
      </c>
      <c r="D114" s="3043">
        <f t="shared" ref="D114:I115" si="379">+D110+D112</f>
        <v>92271.394175470588</v>
      </c>
      <c r="E114" s="524">
        <f t="shared" si="379"/>
        <v>83675.7</v>
      </c>
      <c r="F114" s="3043">
        <f t="shared" ref="F114" si="380">+F110+F112</f>
        <v>95126.735213959415</v>
      </c>
      <c r="G114" s="2413">
        <f t="shared" si="379"/>
        <v>89875.8</v>
      </c>
      <c r="H114" s="2411">
        <f t="shared" si="379"/>
        <v>187398.12938942999</v>
      </c>
      <c r="I114" s="547">
        <f t="shared" si="379"/>
        <v>173551.5</v>
      </c>
      <c r="J114" s="3043">
        <f t="shared" ref="J114" si="381">+J110+J112</f>
        <v>113715.82704800353</v>
      </c>
      <c r="K114" s="2413">
        <f t="shared" ref="K114:Q115" si="382">+K110+K112</f>
        <v>109191.2</v>
      </c>
      <c r="L114" s="2410">
        <f t="shared" si="382"/>
        <v>301113.95643743349</v>
      </c>
      <c r="M114" s="1952">
        <f t="shared" si="382"/>
        <v>282742.7</v>
      </c>
      <c r="N114" s="3043">
        <f t="shared" si="382"/>
        <v>117575.20531038227</v>
      </c>
      <c r="O114" s="524">
        <f t="shared" ref="O114:R114" si="383">+O110+O112</f>
        <v>111516.1</v>
      </c>
      <c r="P114" s="3044">
        <f t="shared" si="383"/>
        <v>418689.16174781579</v>
      </c>
      <c r="Q114" s="1899">
        <f t="shared" si="383"/>
        <v>394258.8</v>
      </c>
      <c r="R114" s="3043">
        <f t="shared" si="383"/>
        <v>118141.27258634733</v>
      </c>
      <c r="S114" s="524">
        <f t="shared" ref="S114:V114" si="384">+S110+S112</f>
        <v>112440.6</v>
      </c>
      <c r="T114" s="3044">
        <f t="shared" si="384"/>
        <v>536830.43433416309</v>
      </c>
      <c r="U114" s="1899">
        <f t="shared" si="384"/>
        <v>506699.4</v>
      </c>
      <c r="V114" s="3043">
        <f t="shared" si="384"/>
        <v>114704.88470914311</v>
      </c>
      <c r="W114" s="524">
        <f t="shared" ref="W114" si="385">+W110+W112</f>
        <v>108736.29999999999</v>
      </c>
      <c r="X114" s="3045">
        <f t="shared" ref="X114:AE114" si="386">+X110+X112</f>
        <v>350421.36260587268</v>
      </c>
      <c r="Y114" s="583">
        <f t="shared" si="386"/>
        <v>332693</v>
      </c>
      <c r="Z114" s="2409">
        <f t="shared" si="386"/>
        <v>651535.31904330617</v>
      </c>
      <c r="AA114" s="1864">
        <f t="shared" si="386"/>
        <v>615435.69999999995</v>
      </c>
      <c r="AB114" s="3043">
        <f t="shared" si="386"/>
        <v>118391.63790661364</v>
      </c>
      <c r="AC114" s="524">
        <f t="shared" si="386"/>
        <v>113447.8</v>
      </c>
      <c r="AD114" s="3044">
        <f t="shared" si="386"/>
        <v>769926.95694991981</v>
      </c>
      <c r="AE114" s="1899">
        <f t="shared" si="386"/>
        <v>728883.5</v>
      </c>
      <c r="AF114" s="3043">
        <f t="shared" ref="AF114:AI114" si="387">+AF110+AF112</f>
        <v>114704.88470914311</v>
      </c>
      <c r="AG114" s="524">
        <f t="shared" si="387"/>
        <v>106962.20000000007</v>
      </c>
      <c r="AH114" s="3044">
        <f t="shared" si="387"/>
        <v>884631.84165906289</v>
      </c>
      <c r="AI114" s="1899">
        <f t="shared" si="387"/>
        <v>835845.70000000007</v>
      </c>
      <c r="AJ114" s="3043">
        <f t="shared" ref="AJ114:AO114" si="388">+AJ110+AJ112</f>
        <v>118391.63790661364</v>
      </c>
      <c r="AK114" s="524">
        <f t="shared" si="388"/>
        <v>113362.5</v>
      </c>
      <c r="AL114" s="3045">
        <f t="shared" si="388"/>
        <v>351488.16052237037</v>
      </c>
      <c r="AM114" s="583">
        <f t="shared" si="388"/>
        <v>333772.50000000012</v>
      </c>
      <c r="AN114" s="3044">
        <f t="shared" si="388"/>
        <v>1003023.4795656765</v>
      </c>
      <c r="AO114" s="1899">
        <f t="shared" si="388"/>
        <v>949208.20000000019</v>
      </c>
      <c r="AP114" s="3043">
        <f t="shared" ref="AP114:AS114" si="389">+AP110+AP112</f>
        <v>118391.63790661364</v>
      </c>
      <c r="AQ114" s="524">
        <f t="shared" si="389"/>
        <v>112686.09999999999</v>
      </c>
      <c r="AR114" s="3044">
        <f t="shared" si="389"/>
        <v>1121415.1174722901</v>
      </c>
      <c r="AS114" s="1899">
        <f t="shared" si="389"/>
        <v>1061894.3</v>
      </c>
      <c r="AT114" s="3043">
        <f t="shared" ref="AT114:AW114" si="390">+AT110+AT112</f>
        <v>106469.53802358451</v>
      </c>
      <c r="AU114" s="524">
        <f t="shared" si="390"/>
        <v>99768.7</v>
      </c>
      <c r="AV114" s="3044">
        <f t="shared" si="390"/>
        <v>1227884.6554958746</v>
      </c>
      <c r="AW114" s="1899">
        <f t="shared" si="390"/>
        <v>1161663</v>
      </c>
      <c r="AX114" s="3043">
        <f t="shared" ref="AX114:BE114" si="391">+AX110+AX112</f>
        <v>118391.63790661364</v>
      </c>
      <c r="AY114" s="524">
        <f t="shared" si="391"/>
        <v>112869.8</v>
      </c>
      <c r="AZ114" s="3045">
        <f t="shared" si="391"/>
        <v>343252.81383681181</v>
      </c>
      <c r="BA114" s="583">
        <f t="shared" si="391"/>
        <v>325324.59999999998</v>
      </c>
      <c r="BB114" s="4391">
        <f t="shared" si="391"/>
        <v>694740.97435918218</v>
      </c>
      <c r="BC114" s="1864">
        <f t="shared" si="391"/>
        <v>659097.10000000009</v>
      </c>
      <c r="BD114" s="3044">
        <f t="shared" si="391"/>
        <v>1346276.2934024883</v>
      </c>
      <c r="BE114" s="1899">
        <f t="shared" si="391"/>
        <v>1274532.8</v>
      </c>
    </row>
    <row r="115" spans="2:57" ht="19.5" thickBot="1" x14ac:dyDescent="0.3">
      <c r="B115" s="5057"/>
      <c r="C115" s="3046" t="s">
        <v>424</v>
      </c>
      <c r="D115" s="3047">
        <f t="shared" si="379"/>
        <v>128.15471413259803</v>
      </c>
      <c r="E115" s="525">
        <f t="shared" si="379"/>
        <v>116.21625</v>
      </c>
      <c r="F115" s="3047">
        <f t="shared" ref="F115" si="392">+F111+F113</f>
        <v>127.8585150725261</v>
      </c>
      <c r="G115" s="1865">
        <f t="shared" si="379"/>
        <v>120.8008064516129</v>
      </c>
      <c r="H115" s="3048">
        <f t="shared" si="379"/>
        <v>128.00418674141395</v>
      </c>
      <c r="I115" s="1866">
        <f t="shared" si="379"/>
        <v>118.54610655737704</v>
      </c>
      <c r="J115" s="3047">
        <f t="shared" ref="J115" si="393">+J111+J113</f>
        <v>157.93864867778268</v>
      </c>
      <c r="K115" s="1865">
        <f t="shared" ref="K115:M115" si="394">+K111+K113</f>
        <v>151.65444444444447</v>
      </c>
      <c r="L115" s="3049">
        <f t="shared" si="394"/>
        <v>137.87269067648054</v>
      </c>
      <c r="M115" s="1938">
        <f t="shared" si="394"/>
        <v>129.46094322344322</v>
      </c>
      <c r="N115" s="3047">
        <f t="shared" si="382"/>
        <v>158.03118993330949</v>
      </c>
      <c r="O115" s="525">
        <f t="shared" si="382"/>
        <v>149.88723118279572</v>
      </c>
      <c r="P115" s="3050">
        <f t="shared" si="382"/>
        <v>142.9949322909207</v>
      </c>
      <c r="Q115" s="1881">
        <f t="shared" si="382"/>
        <v>134.65122950819674</v>
      </c>
      <c r="R115" s="3051">
        <f t="shared" ref="R115:U115" si="395">+R111+R113</f>
        <v>158.79203304616578</v>
      </c>
      <c r="S115" s="1925">
        <f t="shared" si="395"/>
        <v>151.12983870967741</v>
      </c>
      <c r="T115" s="3050">
        <f t="shared" si="395"/>
        <v>146.19565205178733</v>
      </c>
      <c r="U115" s="1881">
        <f t="shared" si="395"/>
        <v>137.99003267973856</v>
      </c>
      <c r="V115" s="3051">
        <f t="shared" ref="V115:W115" si="396">+V111+V113</f>
        <v>159.31233987380986</v>
      </c>
      <c r="W115" s="1925">
        <f t="shared" si="396"/>
        <v>151.02263888888891</v>
      </c>
      <c r="X115" s="3052">
        <f t="shared" ref="X115:AE115" si="397">+X111+X113</f>
        <v>158.70532726715248</v>
      </c>
      <c r="Y115" s="1867">
        <f t="shared" si="397"/>
        <v>150.6761775362319</v>
      </c>
      <c r="Z115" s="3053">
        <f t="shared" si="397"/>
        <v>148.34592874392217</v>
      </c>
      <c r="AA115" s="1868">
        <f t="shared" si="397"/>
        <v>140.12652550091076</v>
      </c>
      <c r="AB115" s="3051">
        <f t="shared" si="397"/>
        <v>159.12854557340543</v>
      </c>
      <c r="AC115" s="1925">
        <f t="shared" si="397"/>
        <v>152.48360215053762</v>
      </c>
      <c r="AD115" s="3050">
        <f t="shared" si="397"/>
        <v>149.90789660239872</v>
      </c>
      <c r="AE115" s="1881">
        <f t="shared" si="397"/>
        <v>141.91656931464175</v>
      </c>
      <c r="AF115" s="3051">
        <f t="shared" ref="AF115:AI115" si="398">+AF111+AF113</f>
        <v>159.31233987380986</v>
      </c>
      <c r="AG115" s="1925">
        <f t="shared" si="398"/>
        <v>148.55861111111122</v>
      </c>
      <c r="AH115" s="3050">
        <f t="shared" si="398"/>
        <v>151.06418061117876</v>
      </c>
      <c r="AI115" s="1881">
        <f t="shared" si="398"/>
        <v>142.73321379781422</v>
      </c>
      <c r="AJ115" s="3051">
        <f t="shared" ref="AJ115:AO115" si="399">+AJ111+AJ113</f>
        <v>159.12854557340543</v>
      </c>
      <c r="AK115" s="1925">
        <f t="shared" si="399"/>
        <v>152.36895161290323</v>
      </c>
      <c r="AL115" s="3052">
        <f t="shared" si="399"/>
        <v>159.18847849745038</v>
      </c>
      <c r="AM115" s="1867">
        <f t="shared" si="399"/>
        <v>151.16508152173918</v>
      </c>
      <c r="AN115" s="3050">
        <f t="shared" si="399"/>
        <v>151.97325447964798</v>
      </c>
      <c r="AO115" s="1881">
        <f t="shared" si="399"/>
        <v>143.81942424242425</v>
      </c>
      <c r="AP115" s="3051">
        <f t="shared" ref="AP115:AS115" si="400">+AP111+AP113</f>
        <v>159.12854557340543</v>
      </c>
      <c r="AQ115" s="1925">
        <f t="shared" si="400"/>
        <v>151.459811827957</v>
      </c>
      <c r="AR115" s="3050">
        <f t="shared" si="400"/>
        <v>152.69813691071488</v>
      </c>
      <c r="AS115" s="1881">
        <f t="shared" si="400"/>
        <v>144.59345043572986</v>
      </c>
      <c r="AT115" s="3051">
        <f t="shared" ref="AT115:AW115" si="401">+AT111+AT113</f>
        <v>158.43681253509601</v>
      </c>
      <c r="AU115" s="1925">
        <f t="shared" si="401"/>
        <v>148.46532738095237</v>
      </c>
      <c r="AV115" s="3050">
        <f t="shared" si="401"/>
        <v>153.17922349000432</v>
      </c>
      <c r="AW115" s="1881">
        <f t="shared" si="401"/>
        <v>144.91803892215569</v>
      </c>
      <c r="AX115" s="3051">
        <f t="shared" ref="AX115:BE115" si="402">+AX111+AX113</f>
        <v>159.12854557340543</v>
      </c>
      <c r="AY115" s="1925">
        <f t="shared" si="402"/>
        <v>151.70672043010751</v>
      </c>
      <c r="AZ115" s="3052">
        <f t="shared" si="402"/>
        <v>158.9133397392647</v>
      </c>
      <c r="BA115" s="1867">
        <f t="shared" si="402"/>
        <v>150.61324074074074</v>
      </c>
      <c r="BB115" s="3053">
        <f t="shared" si="402"/>
        <v>159.05242086977614</v>
      </c>
      <c r="BC115" s="1868">
        <f t="shared" si="402"/>
        <v>150.89219322344326</v>
      </c>
      <c r="BD115" s="3050">
        <f t="shared" si="402"/>
        <v>153.68450837927949</v>
      </c>
      <c r="BE115" s="1881">
        <f t="shared" si="402"/>
        <v>145.49461187214612</v>
      </c>
    </row>
    <row r="116" spans="2:57" x14ac:dyDescent="0.25">
      <c r="AF116" s="1726"/>
      <c r="AG116" s="1726"/>
      <c r="AH116" s="1726"/>
      <c r="AI116" s="1726"/>
      <c r="AJ116" s="1726"/>
      <c r="AK116" s="1726"/>
      <c r="AN116" s="1726"/>
      <c r="AO116" s="1726"/>
      <c r="AP116" s="1726"/>
      <c r="AQ116" s="1726"/>
      <c r="AR116" s="1726"/>
      <c r="AS116" s="1726"/>
      <c r="AT116" s="1726"/>
      <c r="AU116" s="1726"/>
      <c r="AV116" s="1726"/>
      <c r="AW116" s="1726"/>
      <c r="AX116" s="4390"/>
      <c r="AY116" s="4390"/>
      <c r="BD116" s="4390"/>
      <c r="BE116" s="4390"/>
    </row>
    <row r="117" spans="2:57" x14ac:dyDescent="0.25">
      <c r="AF117" s="1726"/>
      <c r="AG117" s="1726"/>
      <c r="AH117" s="1726"/>
      <c r="AI117" s="1726"/>
      <c r="AJ117" s="1726"/>
      <c r="AK117" s="1726"/>
      <c r="AN117" s="1726"/>
      <c r="AO117" s="1726"/>
      <c r="AP117" s="1726"/>
      <c r="AQ117" s="1726"/>
      <c r="AR117" s="1726"/>
      <c r="AS117" s="1726"/>
      <c r="AT117" s="1726"/>
      <c r="AU117" s="1726"/>
      <c r="AV117" s="1726"/>
      <c r="AW117" s="1726"/>
      <c r="AX117" s="4390"/>
      <c r="AY117" s="4390"/>
      <c r="BD117" s="4390"/>
      <c r="BE117" s="4390"/>
    </row>
    <row r="118" spans="2:57" ht="18.75" x14ac:dyDescent="0.3">
      <c r="B118" s="108"/>
      <c r="AF118" s="1726"/>
      <c r="AG118" s="1726"/>
      <c r="AH118" s="1726"/>
      <c r="AI118" s="1726"/>
      <c r="AJ118" s="1726"/>
      <c r="AK118" s="1726"/>
      <c r="AN118" s="1726"/>
      <c r="AO118" s="1726"/>
      <c r="AP118" s="1482"/>
      <c r="AQ118" s="1482"/>
      <c r="AR118" s="1726"/>
      <c r="AS118" s="1726"/>
      <c r="AT118" s="1726"/>
      <c r="AU118" s="1726"/>
      <c r="AV118" s="1726"/>
      <c r="AW118" s="1726"/>
      <c r="AX118" s="4390"/>
      <c r="AY118" s="4390"/>
      <c r="BD118" s="4390"/>
      <c r="BE118" s="4390"/>
    </row>
    <row r="119" spans="2:57" x14ac:dyDescent="0.25">
      <c r="B119" s="5"/>
      <c r="C119" s="5"/>
      <c r="D119" s="548"/>
      <c r="E119" s="106"/>
      <c r="F119" s="259"/>
      <c r="G119" s="106"/>
      <c r="H119" s="259"/>
      <c r="I119" s="106"/>
      <c r="AF119" s="1726"/>
      <c r="AG119" s="1726"/>
      <c r="AH119" s="1726"/>
      <c r="AI119" s="1726"/>
      <c r="AJ119" s="1726"/>
      <c r="AK119" s="1726"/>
      <c r="AN119" s="1726"/>
      <c r="AO119" s="1726"/>
      <c r="AP119" s="1482"/>
      <c r="AQ119" s="1482"/>
      <c r="AR119" s="1726"/>
      <c r="AS119" s="1726"/>
      <c r="AT119" s="1726"/>
      <c r="AU119" s="1726"/>
      <c r="AV119" s="1726"/>
      <c r="AW119" s="1726"/>
      <c r="AX119" s="4390"/>
      <c r="AY119" s="4390"/>
      <c r="BD119" s="4390"/>
      <c r="BE119" s="4390"/>
    </row>
    <row r="120" spans="2:57" x14ac:dyDescent="0.25">
      <c r="B120" s="5"/>
      <c r="C120" s="5"/>
      <c r="D120" s="548"/>
      <c r="E120" s="106"/>
      <c r="F120" s="259"/>
      <c r="G120" s="106"/>
      <c r="H120" s="259"/>
      <c r="I120" s="106"/>
      <c r="AF120" s="1726"/>
      <c r="AG120" s="1726"/>
      <c r="AH120" s="1726"/>
      <c r="AI120" s="1726"/>
      <c r="AJ120" s="1726"/>
      <c r="AK120" s="1726"/>
      <c r="AN120" s="1726"/>
      <c r="AO120" s="1726"/>
      <c r="AP120" s="1482"/>
      <c r="AQ120" s="1482"/>
      <c r="AR120" s="1726"/>
      <c r="AS120" s="1726"/>
      <c r="AT120" s="1726"/>
      <c r="AU120" s="1726"/>
      <c r="AV120" s="1726"/>
      <c r="AW120" s="1726"/>
      <c r="AX120" s="4390"/>
      <c r="AY120" s="4390"/>
      <c r="BD120" s="4390"/>
      <c r="BE120" s="4390"/>
    </row>
    <row r="121" spans="2:57" ht="18.75" x14ac:dyDescent="0.3">
      <c r="B121" s="108"/>
      <c r="C121" s="5"/>
      <c r="D121" s="548"/>
      <c r="E121" s="106"/>
      <c r="F121" s="259"/>
      <c r="G121" s="106"/>
      <c r="H121" s="259"/>
      <c r="I121" s="106"/>
      <c r="AF121" s="1726"/>
      <c r="AG121" s="1726"/>
      <c r="AH121" s="1726"/>
      <c r="AI121" s="1726"/>
      <c r="AJ121" s="1726"/>
      <c r="AK121" s="1726"/>
      <c r="AN121" s="1726"/>
      <c r="AO121" s="1726"/>
      <c r="AP121" s="1482"/>
      <c r="AQ121" s="1482"/>
      <c r="AR121" s="1482"/>
      <c r="AS121" s="1482"/>
      <c r="AT121" s="1726"/>
      <c r="AU121" s="1726"/>
      <c r="AV121" s="1726"/>
      <c r="AW121" s="1726"/>
      <c r="AX121" s="4390"/>
      <c r="AY121" s="4390"/>
      <c r="BD121" s="4390"/>
      <c r="BE121" s="4390"/>
    </row>
    <row r="122" spans="2:57" ht="15.75" x14ac:dyDescent="0.25">
      <c r="B122" s="107"/>
      <c r="C122" s="5"/>
      <c r="D122" s="548"/>
      <c r="E122" s="106"/>
      <c r="F122" s="259"/>
      <c r="G122" s="106"/>
      <c r="H122" s="259"/>
      <c r="I122" s="106"/>
      <c r="AF122" s="1726"/>
      <c r="AG122" s="1726"/>
      <c r="AH122" s="1726"/>
      <c r="AI122" s="1726"/>
      <c r="AJ122" s="1726"/>
      <c r="AK122" s="1726"/>
      <c r="AN122" s="1726"/>
      <c r="AO122" s="1726"/>
      <c r="AP122" s="1482"/>
      <c r="AQ122" s="1482"/>
      <c r="AR122" s="1482"/>
      <c r="AS122" s="1482"/>
      <c r="AT122" s="1726"/>
      <c r="AU122" s="1726"/>
      <c r="AV122" s="1726"/>
      <c r="AW122" s="1726"/>
      <c r="AX122" s="4390"/>
      <c r="AY122" s="4390"/>
      <c r="BD122" s="4390"/>
      <c r="BE122" s="4390"/>
    </row>
    <row r="123" spans="2:57" ht="18.75" x14ac:dyDescent="0.3">
      <c r="B123" s="108"/>
      <c r="C123" s="5"/>
      <c r="D123" s="548"/>
      <c r="E123" s="106"/>
      <c r="F123" s="259"/>
      <c r="G123" s="106"/>
      <c r="H123" s="259"/>
      <c r="I123" s="106"/>
      <c r="AF123" s="1726"/>
      <c r="AG123" s="1726"/>
      <c r="AH123" s="1726"/>
      <c r="AI123" s="1726"/>
      <c r="AJ123" s="1726"/>
      <c r="AK123" s="1726"/>
      <c r="AN123" s="1726"/>
      <c r="AO123" s="1726"/>
      <c r="AP123" s="1482"/>
      <c r="AQ123" s="1482"/>
      <c r="AT123" s="1726"/>
      <c r="AU123" s="1726"/>
      <c r="AV123" s="1726"/>
      <c r="AW123" s="1726"/>
    </row>
    <row r="124" spans="2:57" x14ac:dyDescent="0.25">
      <c r="B124" s="5"/>
      <c r="C124" s="5"/>
      <c r="D124" s="548"/>
      <c r="E124" s="106"/>
      <c r="F124" s="259"/>
      <c r="G124" s="106"/>
      <c r="H124" s="259"/>
      <c r="I124" s="106"/>
      <c r="AF124" s="1726"/>
      <c r="AG124" s="1726"/>
      <c r="AH124" s="1726"/>
      <c r="AI124" s="1726"/>
      <c r="AJ124" s="1726"/>
      <c r="AK124" s="1726"/>
      <c r="AN124" s="1726"/>
      <c r="AO124" s="1726"/>
      <c r="AP124" s="1482"/>
      <c r="AQ124" s="1482"/>
      <c r="AT124" s="1726"/>
      <c r="AU124" s="1726"/>
      <c r="AV124" s="1726"/>
      <c r="AW124" s="1726"/>
    </row>
    <row r="125" spans="2:57" x14ac:dyDescent="0.25">
      <c r="B125" s="5"/>
      <c r="C125" s="5"/>
      <c r="D125" s="548"/>
      <c r="E125" s="106"/>
      <c r="F125" s="259"/>
      <c r="G125" s="106"/>
      <c r="H125" s="259"/>
      <c r="I125" s="106"/>
      <c r="AF125" s="1726"/>
      <c r="AG125" s="1726"/>
      <c r="AH125" s="1726"/>
      <c r="AI125" s="1726"/>
      <c r="AJ125" s="1726"/>
      <c r="AK125" s="1726"/>
      <c r="AN125" s="1726"/>
      <c r="AO125" s="1726"/>
      <c r="AP125" s="1482"/>
      <c r="AQ125" s="1482"/>
      <c r="AT125" s="1726"/>
      <c r="AU125" s="1726"/>
      <c r="AV125" s="1726"/>
      <c r="AW125" s="1726"/>
    </row>
    <row r="126" spans="2:57" x14ac:dyDescent="0.25">
      <c r="B126" s="5"/>
      <c r="C126" s="5"/>
      <c r="D126" s="548"/>
      <c r="E126" s="106"/>
      <c r="F126" s="259"/>
      <c r="G126" s="106"/>
      <c r="H126" s="259"/>
      <c r="I126" s="106"/>
      <c r="AF126" s="1726"/>
      <c r="AG126" s="1726"/>
      <c r="AH126" s="1726"/>
      <c r="AI126" s="1726"/>
      <c r="AJ126" s="1726"/>
      <c r="AK126" s="1726"/>
      <c r="AN126" s="1726"/>
      <c r="AO126" s="1726"/>
      <c r="AP126" s="1482"/>
      <c r="AQ126" s="1482"/>
      <c r="AT126" s="1726"/>
      <c r="AU126" s="1726"/>
      <c r="AV126" s="1726"/>
      <c r="AW126" s="1726"/>
    </row>
    <row r="127" spans="2:57" x14ac:dyDescent="0.25">
      <c r="B127" s="5"/>
      <c r="C127" s="5"/>
      <c r="D127" s="548"/>
      <c r="E127" s="106"/>
      <c r="F127" s="259"/>
      <c r="G127" s="106"/>
      <c r="H127" s="259"/>
      <c r="I127" s="106"/>
      <c r="AJ127" s="1726"/>
      <c r="AK127" s="1726"/>
      <c r="AN127" s="1726"/>
      <c r="AO127" s="1726"/>
      <c r="AP127" s="1482"/>
      <c r="AQ127" s="1482"/>
      <c r="AT127" s="1726"/>
      <c r="AU127" s="1726"/>
      <c r="AV127" s="1726"/>
      <c r="AW127" s="1726"/>
    </row>
    <row r="128" spans="2:57" x14ac:dyDescent="0.25">
      <c r="B128" s="5"/>
      <c r="C128" s="5"/>
      <c r="D128" s="548"/>
      <c r="E128" s="106"/>
      <c r="F128" s="259"/>
      <c r="G128" s="106"/>
      <c r="H128" s="259"/>
      <c r="I128" s="106"/>
      <c r="AJ128" s="1726"/>
      <c r="AK128" s="1726"/>
      <c r="AN128" s="1726"/>
      <c r="AO128" s="1726"/>
      <c r="AP128" s="1482"/>
      <c r="AQ128" s="1482"/>
      <c r="AT128" s="1726"/>
      <c r="AU128" s="1726"/>
      <c r="AV128" s="1726"/>
      <c r="AW128" s="1726"/>
    </row>
    <row r="129" spans="2:49" x14ac:dyDescent="0.25">
      <c r="B129" s="5"/>
      <c r="C129" s="5"/>
      <c r="D129" s="548"/>
      <c r="E129" s="106"/>
      <c r="F129" s="259"/>
      <c r="G129" s="106"/>
      <c r="H129" s="259"/>
      <c r="I129" s="106"/>
      <c r="AJ129" s="1726"/>
      <c r="AK129" s="1726"/>
      <c r="AN129" s="1726"/>
      <c r="AO129" s="1726"/>
      <c r="AT129" s="1726"/>
      <c r="AU129" s="1726"/>
      <c r="AV129" s="1726"/>
      <c r="AW129" s="1726"/>
    </row>
    <row r="130" spans="2:49" ht="15.75" x14ac:dyDescent="0.25">
      <c r="B130" s="107"/>
      <c r="C130" s="5"/>
      <c r="D130" s="548"/>
      <c r="E130" s="106"/>
      <c r="F130" s="259"/>
      <c r="G130" s="106"/>
      <c r="H130" s="259"/>
      <c r="I130" s="106"/>
      <c r="AJ130" s="1726"/>
      <c r="AK130" s="1726"/>
      <c r="AN130" s="1726"/>
      <c r="AO130" s="1726"/>
    </row>
    <row r="131" spans="2:49" ht="18.75" x14ac:dyDescent="0.3">
      <c r="B131" s="108"/>
      <c r="C131" s="5"/>
      <c r="D131" s="548"/>
      <c r="E131" s="106"/>
      <c r="F131" s="259"/>
      <c r="G131" s="106"/>
      <c r="H131" s="259"/>
      <c r="I131" s="106"/>
    </row>
    <row r="132" spans="2:49" x14ac:dyDescent="0.25">
      <c r="B132" s="5"/>
      <c r="C132" s="5"/>
      <c r="D132" s="548"/>
      <c r="E132" s="106"/>
      <c r="F132" s="259"/>
      <c r="G132" s="106"/>
      <c r="H132" s="259"/>
      <c r="I132" s="106"/>
    </row>
    <row r="133" spans="2:49" x14ac:dyDescent="0.25">
      <c r="B133" s="5"/>
      <c r="C133" s="5"/>
      <c r="D133" s="548"/>
      <c r="E133" s="106"/>
      <c r="F133" s="259"/>
      <c r="G133" s="106"/>
      <c r="H133" s="259"/>
      <c r="I133" s="106"/>
    </row>
    <row r="134" spans="2:49" ht="15.75" x14ac:dyDescent="0.25">
      <c r="B134" s="107"/>
      <c r="C134" s="5"/>
      <c r="D134" s="548"/>
      <c r="E134" s="106"/>
      <c r="F134" s="259"/>
      <c r="G134" s="106"/>
      <c r="H134" s="259"/>
      <c r="I134" s="106"/>
    </row>
  </sheetData>
  <mergeCells count="110">
    <mergeCell ref="AP37:AP42"/>
    <mergeCell ref="AD91:AD108"/>
    <mergeCell ref="AB3:AC3"/>
    <mergeCell ref="AD3:AE3"/>
    <mergeCell ref="AB18:AB19"/>
    <mergeCell ref="AD18:AD19"/>
    <mergeCell ref="AB37:AB42"/>
    <mergeCell ref="AD37:AD42"/>
    <mergeCell ref="AH91:AH108"/>
    <mergeCell ref="AF3:AG3"/>
    <mergeCell ref="AH3:AI3"/>
    <mergeCell ref="AF18:AF19"/>
    <mergeCell ref="AH18:AH19"/>
    <mergeCell ref="AF37:AF42"/>
    <mergeCell ref="AH37:AH42"/>
    <mergeCell ref="B114:B115"/>
    <mergeCell ref="B110:B111"/>
    <mergeCell ref="B112:B113"/>
    <mergeCell ref="D18:D19"/>
    <mergeCell ref="F18:F19"/>
    <mergeCell ref="H18:H19"/>
    <mergeCell ref="F37:F42"/>
    <mergeCell ref="H37:H42"/>
    <mergeCell ref="L18:L19"/>
    <mergeCell ref="J37:J42"/>
    <mergeCell ref="L37:L42"/>
    <mergeCell ref="T91:T108"/>
    <mergeCell ref="H91:H108"/>
    <mergeCell ref="C3:C4"/>
    <mergeCell ref="D3:E3"/>
    <mergeCell ref="F3:G3"/>
    <mergeCell ref="F91:F108"/>
    <mergeCell ref="L91:L108"/>
    <mergeCell ref="P91:P108"/>
    <mergeCell ref="T3:U3"/>
    <mergeCell ref="T18:T19"/>
    <mergeCell ref="P37:P42"/>
    <mergeCell ref="R37:R42"/>
    <mergeCell ref="T37:T42"/>
    <mergeCell ref="H3:I3"/>
    <mergeCell ref="R3:S3"/>
    <mergeCell ref="R18:R19"/>
    <mergeCell ref="N18:N19"/>
    <mergeCell ref="P18:P19"/>
    <mergeCell ref="J3:K3"/>
    <mergeCell ref="A62:A76"/>
    <mergeCell ref="B49:B50"/>
    <mergeCell ref="N3:O3"/>
    <mergeCell ref="P3:Q3"/>
    <mergeCell ref="B47:B48"/>
    <mergeCell ref="B58:B59"/>
    <mergeCell ref="B3:B4"/>
    <mergeCell ref="B37:B38"/>
    <mergeCell ref="B39:B40"/>
    <mergeCell ref="B41:B42"/>
    <mergeCell ref="B45:B46"/>
    <mergeCell ref="B43:B44"/>
    <mergeCell ref="L3:M3"/>
    <mergeCell ref="J18:J19"/>
    <mergeCell ref="N37:N42"/>
    <mergeCell ref="Z91:Z108"/>
    <mergeCell ref="X3:Y3"/>
    <mergeCell ref="X18:X19"/>
    <mergeCell ref="X37:X42"/>
    <mergeCell ref="X91:X108"/>
    <mergeCell ref="V3:W3"/>
    <mergeCell ref="Z3:AA3"/>
    <mergeCell ref="V18:V19"/>
    <mergeCell ref="Z18:Z19"/>
    <mergeCell ref="V37:V42"/>
    <mergeCell ref="Z37:Z42"/>
    <mergeCell ref="AV91:AV108"/>
    <mergeCell ref="AT3:AU3"/>
    <mergeCell ref="AV3:AW3"/>
    <mergeCell ref="AT18:AT19"/>
    <mergeCell ref="AV18:AV19"/>
    <mergeCell ref="AT37:AT42"/>
    <mergeCell ref="AV37:AV42"/>
    <mergeCell ref="AJ37:AJ42"/>
    <mergeCell ref="AN37:AN42"/>
    <mergeCell ref="AL37:AL42"/>
    <mergeCell ref="AN91:AN108"/>
    <mergeCell ref="AL91:AL108"/>
    <mergeCell ref="AJ3:AK3"/>
    <mergeCell ref="AN3:AO3"/>
    <mergeCell ref="AL3:AM3"/>
    <mergeCell ref="AJ18:AJ19"/>
    <mergeCell ref="AN18:AN19"/>
    <mergeCell ref="AL18:AL19"/>
    <mergeCell ref="AR3:AS3"/>
    <mergeCell ref="AR18:AR19"/>
    <mergeCell ref="AR37:AR42"/>
    <mergeCell ref="AR91:AR108"/>
    <mergeCell ref="AP3:AQ3"/>
    <mergeCell ref="AP18:AP19"/>
    <mergeCell ref="AX3:AY3"/>
    <mergeCell ref="AX18:AX19"/>
    <mergeCell ref="AX37:AX42"/>
    <mergeCell ref="BD3:BE3"/>
    <mergeCell ref="BD18:BD19"/>
    <mergeCell ref="BD37:BD42"/>
    <mergeCell ref="BD91:BD108"/>
    <mergeCell ref="BB3:BC3"/>
    <mergeCell ref="BB18:BB19"/>
    <mergeCell ref="BB37:BB42"/>
    <mergeCell ref="BB91:BB108"/>
    <mergeCell ref="AZ3:BA3"/>
    <mergeCell ref="AZ18:AZ19"/>
    <mergeCell ref="AZ37:AZ42"/>
    <mergeCell ref="AZ91:AZ108"/>
  </mergeCells>
  <pageMargins left="1.2" right="0.7" top="0.25" bottom="0.25" header="0.3" footer="0.3"/>
  <pageSetup scale="76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6633"/>
    <pageSetUpPr fitToPage="1"/>
  </sheetPr>
  <dimension ref="A1:BJ126"/>
  <sheetViews>
    <sheetView zoomScale="115" zoomScaleNormal="115" zoomScaleSheetLayoutView="98" workbookViewId="0">
      <pane xSplit="8" topLeftCell="AY1" activePane="topRight" state="frozen"/>
      <selection activeCell="F1" sqref="F1"/>
      <selection pane="topRight" activeCell="BE8" sqref="BE8"/>
    </sheetView>
  </sheetViews>
  <sheetFormatPr defaultColWidth="9.140625" defaultRowHeight="15" x14ac:dyDescent="0.25"/>
  <cols>
    <col min="1" max="1" width="16.85546875" style="730" hidden="1" customWidth="1"/>
    <col min="2" max="2" width="56.7109375" style="729" hidden="1" customWidth="1"/>
    <col min="3" max="3" width="6.140625" style="731" hidden="1" customWidth="1"/>
    <col min="4" max="4" width="11.140625" style="736" hidden="1" customWidth="1"/>
    <col min="5" max="5" width="8.140625" style="729" hidden="1" customWidth="1"/>
    <col min="6" max="6" width="13.28515625" style="729" customWidth="1"/>
    <col min="7" max="7" width="8.42578125" style="671" bestFit="1" customWidth="1"/>
    <col min="8" max="8" width="55" style="729" bestFit="1" customWidth="1"/>
    <col min="9" max="9" width="14" style="729" customWidth="1"/>
    <col min="10" max="11" width="17.42578125" style="729" customWidth="1"/>
    <col min="12" max="12" width="16.42578125" style="729" customWidth="1"/>
    <col min="13" max="13" width="12.7109375" style="729" hidden="1" customWidth="1"/>
    <col min="14" max="14" width="12.140625" style="729" hidden="1" customWidth="1"/>
    <col min="15" max="15" width="12.85546875" style="729" bestFit="1" customWidth="1"/>
    <col min="16" max="18" width="12.140625" style="729" bestFit="1" customWidth="1"/>
    <col min="19" max="20" width="12.140625" style="729" customWidth="1"/>
    <col min="21" max="22" width="12.140625" style="729" hidden="1" customWidth="1"/>
    <col min="23" max="24" width="12.140625" style="729" customWidth="1"/>
    <col min="25" max="26" width="12.140625" style="729" hidden="1" customWidth="1"/>
    <col min="27" max="27" width="12.140625" style="729" customWidth="1"/>
    <col min="28" max="28" width="11.28515625" style="729" customWidth="1"/>
    <col min="29" max="30" width="12.85546875" style="1183" customWidth="1"/>
    <col min="31" max="32" width="12.140625" style="729" customWidth="1"/>
    <col min="33" max="34" width="11.28515625" style="729" bestFit="1" customWidth="1"/>
    <col min="35" max="36" width="12.140625" style="729" hidden="1" customWidth="1"/>
    <col min="37" max="38" width="11.28515625" style="729" bestFit="1" customWidth="1"/>
    <col min="39" max="40" width="11.28515625" style="729" hidden="1" customWidth="1"/>
    <col min="41" max="42" width="12.140625" style="729" customWidth="1"/>
    <col min="43" max="44" width="12.85546875" style="729" customWidth="1"/>
    <col min="45" max="46" width="12.140625" style="729" hidden="1" customWidth="1"/>
    <col min="47" max="48" width="12.140625" style="729" customWidth="1"/>
    <col min="49" max="49" width="13.28515625" style="729" hidden="1" customWidth="1"/>
    <col min="50" max="50" width="12.140625" style="729" hidden="1" customWidth="1"/>
    <col min="51" max="51" width="11.5703125" style="554" customWidth="1"/>
    <col min="52" max="52" width="11.28515625" style="729" bestFit="1" customWidth="1"/>
    <col min="53" max="54" width="13.28515625" style="729" hidden="1" customWidth="1"/>
    <col min="55" max="56" width="11.28515625" style="729" bestFit="1" customWidth="1"/>
    <col min="57" max="58" width="13.42578125" style="4390" bestFit="1" customWidth="1"/>
    <col min="59" max="59" width="11.28515625" style="4390" bestFit="1" customWidth="1"/>
    <col min="60" max="60" width="11.28515625" style="4390" customWidth="1"/>
    <col min="61" max="62" width="12.42578125" style="729" bestFit="1" customWidth="1"/>
    <col min="63" max="16384" width="9.140625" style="729"/>
  </cols>
  <sheetData>
    <row r="1" spans="1:62" ht="22.5" x14ac:dyDescent="0.3">
      <c r="B1" s="37" t="s">
        <v>545</v>
      </c>
      <c r="C1" s="735"/>
      <c r="G1" s="2823"/>
      <c r="H1" s="971" t="s">
        <v>545</v>
      </c>
      <c r="I1" s="971"/>
      <c r="J1" s="737"/>
      <c r="K1" s="737"/>
      <c r="L1" s="737"/>
      <c r="M1" s="737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0"/>
      <c r="AE1" s="200"/>
      <c r="AF1" s="200"/>
      <c r="AV1" s="48">
        <f>+AV17/('Maj Production Summ'!AR35+0.25*'Maj Production Summ'!AR24)</f>
        <v>481.9518600316872</v>
      </c>
    </row>
    <row r="2" spans="1:62" x14ac:dyDescent="0.25">
      <c r="B2" s="5"/>
      <c r="C2" s="735"/>
      <c r="G2" s="2823"/>
      <c r="H2" s="106"/>
      <c r="I2" s="106"/>
      <c r="J2" s="737"/>
      <c r="K2" s="737"/>
      <c r="L2" s="737"/>
      <c r="M2" s="737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  <c r="AA2" s="200"/>
      <c r="AB2" s="200"/>
      <c r="AC2" s="200"/>
      <c r="AD2" s="200"/>
      <c r="AE2" s="200"/>
      <c r="AF2" s="200"/>
    </row>
    <row r="3" spans="1:62" ht="15.75" thickBot="1" x14ac:dyDescent="0.3">
      <c r="B3" s="46"/>
      <c r="C3" s="47"/>
      <c r="D3" s="738">
        <v>30</v>
      </c>
      <c r="E3" s="738">
        <v>31</v>
      </c>
      <c r="G3" s="2823"/>
      <c r="H3" s="106"/>
      <c r="I3" s="476">
        <v>30</v>
      </c>
      <c r="J3" s="821">
        <v>30</v>
      </c>
      <c r="K3" s="821">
        <v>31</v>
      </c>
      <c r="L3" s="821">
        <v>31</v>
      </c>
      <c r="M3" s="2824">
        <f>+I3+K3</f>
        <v>61</v>
      </c>
      <c r="N3" s="2824">
        <f>+J3+L3</f>
        <v>61</v>
      </c>
      <c r="O3" s="476">
        <v>30</v>
      </c>
      <c r="P3" s="821">
        <v>30</v>
      </c>
      <c r="Q3" s="1092">
        <f>+M3+O3</f>
        <v>91</v>
      </c>
      <c r="R3" s="1092">
        <f>+N3+P3</f>
        <v>91</v>
      </c>
      <c r="S3" s="821">
        <v>31</v>
      </c>
      <c r="T3" s="821">
        <v>31</v>
      </c>
      <c r="U3" s="2824">
        <f>+Q3+S3</f>
        <v>122</v>
      </c>
      <c r="V3" s="2824">
        <f>+R3+T3</f>
        <v>122</v>
      </c>
      <c r="W3" s="821">
        <v>31</v>
      </c>
      <c r="X3" s="821">
        <v>31</v>
      </c>
      <c r="Y3" s="2824">
        <f>+U3+W3</f>
        <v>153</v>
      </c>
      <c r="Z3" s="2824">
        <f>+V3+X3</f>
        <v>153</v>
      </c>
      <c r="AA3" s="821">
        <v>30</v>
      </c>
      <c r="AB3" s="821">
        <v>30</v>
      </c>
      <c r="AC3" s="1092">
        <f>+AA3+W3+S3</f>
        <v>92</v>
      </c>
      <c r="AD3" s="1092">
        <f>+AB3+X3+T3</f>
        <v>92</v>
      </c>
      <c r="AE3" s="2824">
        <f>+Y3+AA3</f>
        <v>183</v>
      </c>
      <c r="AF3" s="2824">
        <f>+Z3+AB3</f>
        <v>183</v>
      </c>
      <c r="AG3" s="821">
        <v>31</v>
      </c>
      <c r="AH3" s="821">
        <v>31</v>
      </c>
      <c r="AI3" s="940">
        <f>+AE3+AG3</f>
        <v>214</v>
      </c>
      <c r="AJ3" s="940">
        <f>+AF3+AH3</f>
        <v>214</v>
      </c>
      <c r="AK3" s="821">
        <v>30</v>
      </c>
      <c r="AL3" s="821">
        <v>30</v>
      </c>
      <c r="AM3" s="940">
        <f>+AI3+AK3</f>
        <v>244</v>
      </c>
      <c r="AN3" s="940">
        <f>+AJ3+AL3</f>
        <v>244</v>
      </c>
      <c r="AO3" s="821">
        <v>31</v>
      </c>
      <c r="AP3" s="821">
        <v>31</v>
      </c>
      <c r="AQ3" s="899">
        <f>+AO3+AK3+AG3</f>
        <v>92</v>
      </c>
      <c r="AR3" s="899">
        <f>+AP3+AL3+AH3</f>
        <v>92</v>
      </c>
      <c r="AS3" s="940">
        <f>+AM3+AO3</f>
        <v>275</v>
      </c>
      <c r="AT3" s="940">
        <f>+AN3+AP3</f>
        <v>275</v>
      </c>
      <c r="AU3" s="821">
        <v>31</v>
      </c>
      <c r="AV3" s="821">
        <v>31</v>
      </c>
      <c r="AW3" s="940">
        <f>+AS3+AU3</f>
        <v>306</v>
      </c>
      <c r="AX3" s="940">
        <f>+AT3+AV3</f>
        <v>306</v>
      </c>
      <c r="AY3" s="1726">
        <v>28</v>
      </c>
      <c r="AZ3" s="729">
        <v>28</v>
      </c>
      <c r="BA3" s="729">
        <f>+AW3+AY3</f>
        <v>334</v>
      </c>
      <c r="BB3" s="729">
        <f>+AX3+AZ3</f>
        <v>334</v>
      </c>
      <c r="BC3" s="4390">
        <v>31</v>
      </c>
      <c r="BD3" s="4390">
        <v>31</v>
      </c>
      <c r="BE3" s="899">
        <f>+BC3+AY3+AU3</f>
        <v>90</v>
      </c>
      <c r="BF3" s="899">
        <f>+BD3+AZ3+AV3</f>
        <v>90</v>
      </c>
      <c r="BG3" s="4390">
        <f>+AQ3+BE3</f>
        <v>182</v>
      </c>
      <c r="BH3" s="4390">
        <f>+AR3+BF3</f>
        <v>182</v>
      </c>
      <c r="BI3" s="4390">
        <f>+BA3+BC3</f>
        <v>365</v>
      </c>
      <c r="BJ3" s="4390">
        <f>+BB3+BD3</f>
        <v>365</v>
      </c>
    </row>
    <row r="4" spans="1:62" ht="20.25" customHeight="1" thickBot="1" x14ac:dyDescent="0.3">
      <c r="B4" s="739" t="s">
        <v>153</v>
      </c>
      <c r="C4" s="5141" t="s">
        <v>198</v>
      </c>
      <c r="D4" s="740" t="s">
        <v>826</v>
      </c>
      <c r="E4" s="741" t="s">
        <v>827</v>
      </c>
      <c r="G4" s="2825"/>
      <c r="H4" s="2826" t="s">
        <v>153</v>
      </c>
      <c r="I4" s="5225" t="s">
        <v>1323</v>
      </c>
      <c r="J4" s="5345"/>
      <c r="K4" s="5225" t="s">
        <v>1384</v>
      </c>
      <c r="L4" s="5325"/>
      <c r="M4" s="5326" t="s">
        <v>15</v>
      </c>
      <c r="N4" s="5327"/>
      <c r="O4" s="5225" t="s">
        <v>1397</v>
      </c>
      <c r="P4" s="5345"/>
      <c r="Q4" s="5338" t="s">
        <v>1018</v>
      </c>
      <c r="R4" s="5339"/>
      <c r="S4" s="5225" t="s">
        <v>1424</v>
      </c>
      <c r="T4" s="5325"/>
      <c r="U4" s="5326" t="s">
        <v>18</v>
      </c>
      <c r="V4" s="5327"/>
      <c r="W4" s="5225" t="s">
        <v>1496</v>
      </c>
      <c r="X4" s="5325"/>
      <c r="Y4" s="5326" t="s">
        <v>19</v>
      </c>
      <c r="Z4" s="5327"/>
      <c r="AA4" s="5225" t="s">
        <v>1573</v>
      </c>
      <c r="AB4" s="5325"/>
      <c r="AC4" s="5338" t="s">
        <v>1104</v>
      </c>
      <c r="AD4" s="5339"/>
      <c r="AE4" s="5334" t="s">
        <v>784</v>
      </c>
      <c r="AF4" s="5335"/>
      <c r="AG4" s="4875" t="s">
        <v>1634</v>
      </c>
      <c r="AH4" s="4875"/>
      <c r="AI4" s="4877" t="s">
        <v>26</v>
      </c>
      <c r="AJ4" s="4878"/>
      <c r="AK4" s="5319" t="s">
        <v>1671</v>
      </c>
      <c r="AL4" s="5320"/>
      <c r="AM4" s="5321" t="s">
        <v>29</v>
      </c>
      <c r="AN4" s="5322"/>
      <c r="AO4" s="5319" t="s">
        <v>1696</v>
      </c>
      <c r="AP4" s="5320"/>
      <c r="AQ4" s="5347" t="s">
        <v>1220</v>
      </c>
      <c r="AR4" s="5348"/>
      <c r="AS4" s="5321" t="s">
        <v>1221</v>
      </c>
      <c r="AT4" s="5322"/>
      <c r="AU4" s="5319" t="s">
        <v>1760</v>
      </c>
      <c r="AV4" s="5320"/>
      <c r="AW4" s="5321" t="s">
        <v>31</v>
      </c>
      <c r="AX4" s="5322"/>
      <c r="AY4" s="5319" t="s">
        <v>1812</v>
      </c>
      <c r="AZ4" s="5320"/>
      <c r="BA4" s="5321" t="s">
        <v>33</v>
      </c>
      <c r="BB4" s="5322"/>
      <c r="BC4" s="5319" t="s">
        <v>1844</v>
      </c>
      <c r="BD4" s="5320"/>
      <c r="BE4" s="5347" t="s">
        <v>1313</v>
      </c>
      <c r="BF4" s="5348"/>
      <c r="BG4" s="5334" t="s">
        <v>817</v>
      </c>
      <c r="BH4" s="5335"/>
      <c r="BI4" s="5321" t="s">
        <v>1314</v>
      </c>
      <c r="BJ4" s="5322"/>
    </row>
    <row r="5" spans="1:62" ht="15.75" customHeight="1" thickBot="1" x14ac:dyDescent="0.3">
      <c r="A5" s="714" t="s">
        <v>913</v>
      </c>
      <c r="B5" s="742" t="s">
        <v>457</v>
      </c>
      <c r="C5" s="5342"/>
      <c r="D5" s="740" t="s">
        <v>200</v>
      </c>
      <c r="E5" s="741" t="s">
        <v>200</v>
      </c>
      <c r="G5" s="2827"/>
      <c r="H5" s="700"/>
      <c r="I5" s="1989" t="s">
        <v>199</v>
      </c>
      <c r="J5" s="1989" t="s">
        <v>200</v>
      </c>
      <c r="K5" s="1989" t="s">
        <v>199</v>
      </c>
      <c r="L5" s="2348" t="s">
        <v>200</v>
      </c>
      <c r="M5" s="1990" t="s">
        <v>199</v>
      </c>
      <c r="N5" s="2828" t="s">
        <v>200</v>
      </c>
      <c r="O5" s="1989" t="s">
        <v>199</v>
      </c>
      <c r="P5" s="1989" t="s">
        <v>200</v>
      </c>
      <c r="Q5" s="1991" t="s">
        <v>199</v>
      </c>
      <c r="R5" s="2829" t="s">
        <v>200</v>
      </c>
      <c r="S5" s="1989" t="s">
        <v>199</v>
      </c>
      <c r="T5" s="2348" t="s">
        <v>200</v>
      </c>
      <c r="U5" s="1990" t="s">
        <v>199</v>
      </c>
      <c r="V5" s="2828" t="s">
        <v>200</v>
      </c>
      <c r="W5" s="1989" t="s">
        <v>199</v>
      </c>
      <c r="X5" s="2348" t="s">
        <v>200</v>
      </c>
      <c r="Y5" s="1990" t="s">
        <v>199</v>
      </c>
      <c r="Z5" s="2828" t="s">
        <v>200</v>
      </c>
      <c r="AA5" s="1989" t="s">
        <v>199</v>
      </c>
      <c r="AB5" s="2348" t="s">
        <v>200</v>
      </c>
      <c r="AC5" s="1991" t="s">
        <v>199</v>
      </c>
      <c r="AD5" s="2829" t="s">
        <v>200</v>
      </c>
      <c r="AE5" s="2421" t="s">
        <v>199</v>
      </c>
      <c r="AF5" s="2423" t="s">
        <v>200</v>
      </c>
      <c r="AG5" s="446" t="s">
        <v>199</v>
      </c>
      <c r="AH5" s="20" t="s">
        <v>200</v>
      </c>
      <c r="AI5" s="447" t="s">
        <v>199</v>
      </c>
      <c r="AJ5" s="794" t="s">
        <v>200</v>
      </c>
      <c r="AK5" s="1339" t="s">
        <v>199</v>
      </c>
      <c r="AL5" s="20" t="s">
        <v>200</v>
      </c>
      <c r="AM5" s="447" t="s">
        <v>199</v>
      </c>
      <c r="AN5" s="794" t="s">
        <v>200</v>
      </c>
      <c r="AO5" s="1360" t="s">
        <v>199</v>
      </c>
      <c r="AP5" s="20" t="s">
        <v>200</v>
      </c>
      <c r="AQ5" s="448" t="s">
        <v>199</v>
      </c>
      <c r="AR5" s="904" t="s">
        <v>200</v>
      </c>
      <c r="AS5" s="447" t="s">
        <v>199</v>
      </c>
      <c r="AT5" s="794" t="s">
        <v>200</v>
      </c>
      <c r="AU5" s="1484" t="s">
        <v>199</v>
      </c>
      <c r="AV5" s="20" t="s">
        <v>200</v>
      </c>
      <c r="AW5" s="447" t="s">
        <v>199</v>
      </c>
      <c r="AX5" s="794" t="s">
        <v>200</v>
      </c>
      <c r="AY5" s="4063" t="s">
        <v>199</v>
      </c>
      <c r="AZ5" s="20" t="s">
        <v>200</v>
      </c>
      <c r="BA5" s="447" t="s">
        <v>199</v>
      </c>
      <c r="BB5" s="794" t="s">
        <v>200</v>
      </c>
      <c r="BC5" s="4383" t="s">
        <v>199</v>
      </c>
      <c r="BD5" s="20" t="s">
        <v>200</v>
      </c>
      <c r="BE5" s="448" t="s">
        <v>199</v>
      </c>
      <c r="BF5" s="904" t="s">
        <v>200</v>
      </c>
      <c r="BG5" s="4397" t="s">
        <v>199</v>
      </c>
      <c r="BH5" s="2423" t="s">
        <v>200</v>
      </c>
      <c r="BI5" s="447" t="s">
        <v>199</v>
      </c>
      <c r="BJ5" s="794" t="s">
        <v>200</v>
      </c>
    </row>
    <row r="6" spans="1:62" ht="15" customHeight="1" x14ac:dyDescent="0.25">
      <c r="A6" s="714">
        <v>1</v>
      </c>
      <c r="B6" s="743" t="s">
        <v>529</v>
      </c>
      <c r="C6" s="36" t="s">
        <v>242</v>
      </c>
      <c r="D6" s="744">
        <v>0</v>
      </c>
      <c r="E6" s="745">
        <v>0</v>
      </c>
      <c r="G6" s="2830">
        <v>1</v>
      </c>
      <c r="H6" s="2448" t="s">
        <v>914</v>
      </c>
      <c r="I6" s="2831">
        <f>SUM(I7:I11)</f>
        <v>92811394.175470561</v>
      </c>
      <c r="J6" s="2464">
        <v>84124910</v>
      </c>
      <c r="K6" s="2831">
        <f>SUM(K7:K11)</f>
        <v>95684735.213959426</v>
      </c>
      <c r="L6" s="2832">
        <f>SUM(L7:L11)</f>
        <v>90428940</v>
      </c>
      <c r="M6" s="2833">
        <f>+I6+K6</f>
        <v>188496129.38942999</v>
      </c>
      <c r="N6" s="2833">
        <f>+J6+L6</f>
        <v>174553850</v>
      </c>
      <c r="O6" s="2831">
        <f>SUM(O7:O11)</f>
        <v>114255827.04800352</v>
      </c>
      <c r="P6" s="2464">
        <f>SUM(P7:P11)</f>
        <v>109754360</v>
      </c>
      <c r="Q6" s="2834">
        <f>+M6+O6</f>
        <v>302751956.43743348</v>
      </c>
      <c r="R6" s="2835">
        <f>+N6+P6</f>
        <v>284308210</v>
      </c>
      <c r="S6" s="2831">
        <f>SUM(S7:S11)</f>
        <v>118133205.31038228</v>
      </c>
      <c r="T6" s="2832">
        <f>SUM(T7:T11)</f>
        <v>112091149.99999994</v>
      </c>
      <c r="U6" s="2836">
        <f>+Q6+S6</f>
        <v>420885161.74781573</v>
      </c>
      <c r="V6" s="2833">
        <f>+R6+T6</f>
        <v>396399359.99999994</v>
      </c>
      <c r="W6" s="2831">
        <f>SUM(W7:W11)</f>
        <v>118699272.58634733</v>
      </c>
      <c r="X6" s="2832">
        <f>SUM(X7:X11)</f>
        <v>113002360.00000009</v>
      </c>
      <c r="Y6" s="2836">
        <f>+U6+W6</f>
        <v>539584434.33416307</v>
      </c>
      <c r="Z6" s="2833">
        <f>+V6+X6</f>
        <v>509401720</v>
      </c>
      <c r="AA6" s="2831">
        <f>SUM(AA7:AA11)</f>
        <v>115244884.7091431</v>
      </c>
      <c r="AB6" s="2832">
        <f>SUM(AB7:AB11)</f>
        <v>109272019.99999996</v>
      </c>
      <c r="AC6" s="2834">
        <f>+S6+W6+AA6</f>
        <v>352077362.60587269</v>
      </c>
      <c r="AD6" s="2834">
        <f>+T6+X6+AB6</f>
        <v>334365530</v>
      </c>
      <c r="AE6" s="2837">
        <f>+Y6+AA6</f>
        <v>654829319.04330611</v>
      </c>
      <c r="AF6" s="2838">
        <f>+Z6+AB6</f>
        <v>618673740</v>
      </c>
      <c r="AG6" s="779">
        <f>SUM(AG7:AG11)</f>
        <v>118949637.90661365</v>
      </c>
      <c r="AH6" s="775">
        <f>SUM(AH7:AH11)</f>
        <v>114000369.99999997</v>
      </c>
      <c r="AI6" s="798">
        <f>+AE6+AG6</f>
        <v>773778956.9499197</v>
      </c>
      <c r="AJ6" s="795">
        <f>+AF6+AH6</f>
        <v>732674110</v>
      </c>
      <c r="AK6" s="779">
        <f>SUM(AK7:AK11)</f>
        <v>115244884.7091431</v>
      </c>
      <c r="AL6" s="775">
        <f>SUM(AL7:AL11)</f>
        <v>107496120</v>
      </c>
      <c r="AM6" s="798">
        <f>+AI6+AK6</f>
        <v>889023841.65906286</v>
      </c>
      <c r="AN6" s="795">
        <f>+AJ6+AL6</f>
        <v>840170230</v>
      </c>
      <c r="AO6" s="779">
        <f>SUM(AO7:AO11)</f>
        <v>118949637.90661365</v>
      </c>
      <c r="AP6" s="775">
        <f>SUM(AP7:AP11)</f>
        <v>113908899.99999997</v>
      </c>
      <c r="AQ6" s="907">
        <f>+AG6+AK6+AO6</f>
        <v>353144160.5223704</v>
      </c>
      <c r="AR6" s="907">
        <f>+AH6+AL6+AP6</f>
        <v>335405389.99999994</v>
      </c>
      <c r="AS6" s="798">
        <f>+AM6+AO6</f>
        <v>1007973479.5656765</v>
      </c>
      <c r="AT6" s="795">
        <f>+AN6+AP6</f>
        <v>954079130</v>
      </c>
      <c r="AU6" s="779">
        <f>SUM(AU7:AU11)</f>
        <v>118949637.90661365</v>
      </c>
      <c r="AV6" s="775">
        <f>SUM(AV7:AV11)</f>
        <v>113234750</v>
      </c>
      <c r="AW6" s="798">
        <f>+AS6+AU6</f>
        <v>1126923117.47229</v>
      </c>
      <c r="AX6" s="795">
        <f>+AT6+AV6</f>
        <v>1067313880</v>
      </c>
      <c r="AY6" s="779">
        <f>SUM(AY7:AY11)</f>
        <v>106973538.0235845</v>
      </c>
      <c r="AZ6" s="775">
        <f>SUM(AZ7:AZ11)</f>
        <v>100263450</v>
      </c>
      <c r="BA6" s="798">
        <f>+AW6+AY6</f>
        <v>1233896655.4958746</v>
      </c>
      <c r="BB6" s="795">
        <f>+AX6+AZ6</f>
        <v>1167577330</v>
      </c>
      <c r="BC6" s="779">
        <f>SUM(BC7:BC11)</f>
        <v>118949637.90661365</v>
      </c>
      <c r="BD6" s="775">
        <f>SUM(BD7:BD11)</f>
        <v>113412059.99999999</v>
      </c>
      <c r="BE6" s="907">
        <f>+AU6+AY6+BC6</f>
        <v>344872813.83681178</v>
      </c>
      <c r="BF6" s="907">
        <f>+AV6+AZ6+BD6</f>
        <v>326910260</v>
      </c>
      <c r="BG6" s="2837">
        <f>+BC6+BE6</f>
        <v>463822451.74342543</v>
      </c>
      <c r="BH6" s="2838">
        <f>+BD6+BF6</f>
        <v>440322320</v>
      </c>
      <c r="BI6" s="798">
        <f>+BA6+BC6</f>
        <v>1352846293.4024882</v>
      </c>
      <c r="BJ6" s="795">
        <f>+BB6+BD6</f>
        <v>1280989390</v>
      </c>
    </row>
    <row r="7" spans="1:62" ht="15" customHeight="1" x14ac:dyDescent="0.25">
      <c r="A7" s="714">
        <v>2</v>
      </c>
      <c r="B7" s="746" t="s">
        <v>657</v>
      </c>
      <c r="C7" s="33" t="s">
        <v>242</v>
      </c>
      <c r="D7" s="747">
        <v>29290499.99999997</v>
      </c>
      <c r="E7" s="748">
        <v>29010500</v>
      </c>
      <c r="G7" s="2827">
        <v>1.1000000000000001</v>
      </c>
      <c r="H7" s="700" t="s">
        <v>529</v>
      </c>
      <c r="I7" s="2839">
        <f>+I55*I$3*24*1000</f>
        <v>0</v>
      </c>
      <c r="J7" s="2839">
        <v>0</v>
      </c>
      <c r="K7" s="2839">
        <f>+K55*K$3*24*1000</f>
        <v>0</v>
      </c>
      <c r="L7" s="2840">
        <v>0</v>
      </c>
      <c r="M7" s="2841">
        <f t="shared" ref="M7:N46" si="0">+I7+K7</f>
        <v>0</v>
      </c>
      <c r="N7" s="2841">
        <f t="shared" si="0"/>
        <v>0</v>
      </c>
      <c r="O7" s="2839">
        <f>+O55*O$3*24*1000</f>
        <v>0</v>
      </c>
      <c r="P7" s="2839">
        <v>0</v>
      </c>
      <c r="Q7" s="2842">
        <f t="shared" ref="Q7:Q32" si="1">+M7+O7</f>
        <v>0</v>
      </c>
      <c r="R7" s="2842">
        <f t="shared" ref="R7:R32" si="2">+N7+P7</f>
        <v>0</v>
      </c>
      <c r="S7" s="2839">
        <f>+S55*S$3*24*1000</f>
        <v>0</v>
      </c>
      <c r="T7" s="2840">
        <v>0</v>
      </c>
      <c r="U7" s="2841">
        <f t="shared" ref="U7:U32" si="3">+Q7+S7</f>
        <v>0</v>
      </c>
      <c r="V7" s="2841">
        <f t="shared" ref="V7:V32" si="4">+R7+T7</f>
        <v>0</v>
      </c>
      <c r="W7" s="2839">
        <f>+W55*W$3*24*1000</f>
        <v>0</v>
      </c>
      <c r="X7" s="2840">
        <v>0</v>
      </c>
      <c r="Y7" s="2841">
        <f t="shared" ref="Y7:Y32" si="5">+U7+W7</f>
        <v>0</v>
      </c>
      <c r="Z7" s="2841">
        <f t="shared" ref="Z7:Z32" si="6">+V7+X7</f>
        <v>0</v>
      </c>
      <c r="AA7" s="2839">
        <f>+AA55*AA$3*24*1000</f>
        <v>0</v>
      </c>
      <c r="AB7" s="2840">
        <v>0</v>
      </c>
      <c r="AC7" s="2842">
        <f>+S7+W7+AA7</f>
        <v>0</v>
      </c>
      <c r="AD7" s="2842">
        <f>+T7+X7+AB7</f>
        <v>0</v>
      </c>
      <c r="AE7" s="2843">
        <f t="shared" ref="AE7:AE32" si="7">+Y7+AA7</f>
        <v>0</v>
      </c>
      <c r="AF7" s="2843">
        <f t="shared" ref="AF7:AF32" si="8">+Z7+AB7</f>
        <v>0</v>
      </c>
      <c r="AG7" s="1106">
        <f>+AG55*AG$3*24*1000</f>
        <v>0</v>
      </c>
      <c r="AH7" s="776">
        <v>0</v>
      </c>
      <c r="AI7" s="796">
        <f t="shared" ref="AI7:AI32" si="9">+AE7+AG7</f>
        <v>0</v>
      </c>
      <c r="AJ7" s="796">
        <f t="shared" ref="AJ7:AJ32" si="10">+AF7+AH7</f>
        <v>0</v>
      </c>
      <c r="AK7" s="1106">
        <f>+AK55*AK$3*24*1000</f>
        <v>0</v>
      </c>
      <c r="AL7" s="776"/>
      <c r="AM7" s="796">
        <f t="shared" ref="AM7:AM32" si="11">+AI7+AK7</f>
        <v>0</v>
      </c>
      <c r="AN7" s="796">
        <f t="shared" ref="AN7:AN32" si="12">+AJ7+AL7</f>
        <v>0</v>
      </c>
      <c r="AO7" s="1106">
        <f>+AO55*AO$3*24*1000</f>
        <v>0</v>
      </c>
      <c r="AP7" s="776">
        <v>0</v>
      </c>
      <c r="AQ7" s="905">
        <f>+AG7+AK7+AO7</f>
        <v>0</v>
      </c>
      <c r="AR7" s="905">
        <f>+AH7+AL7+AP7</f>
        <v>0</v>
      </c>
      <c r="AS7" s="796">
        <f t="shared" ref="AS7:AS32" si="13">+AM7+AO7</f>
        <v>0</v>
      </c>
      <c r="AT7" s="796">
        <f t="shared" ref="AT7:AT32" si="14">+AN7+AP7</f>
        <v>0</v>
      </c>
      <c r="AU7" s="1106">
        <f>+AU55*AU$3*24*1000</f>
        <v>0</v>
      </c>
      <c r="AV7" s="776">
        <v>0</v>
      </c>
      <c r="AW7" s="796">
        <f t="shared" ref="AW7:AW32" si="15">+AS7+AU7</f>
        <v>0</v>
      </c>
      <c r="AX7" s="796">
        <f t="shared" ref="AX7:AX32" si="16">+AT7+AV7</f>
        <v>0</v>
      </c>
      <c r="AY7" s="1106">
        <f>+AY55*AY$3*24*1000</f>
        <v>0</v>
      </c>
      <c r="AZ7" s="776">
        <v>0</v>
      </c>
      <c r="BA7" s="796">
        <f t="shared" ref="BA7:BA32" si="17">+AW7+AY7</f>
        <v>0</v>
      </c>
      <c r="BB7" s="796">
        <f t="shared" ref="BB7:BB32" si="18">+AX7+AZ7</f>
        <v>0</v>
      </c>
      <c r="BC7" s="1106">
        <f>+BC55*BC$3*24*1000</f>
        <v>0</v>
      </c>
      <c r="BD7" s="776">
        <v>0</v>
      </c>
      <c r="BE7" s="905">
        <f>+AU7+AY7+BC7</f>
        <v>0</v>
      </c>
      <c r="BF7" s="905">
        <f>+AV7+AZ7+BD7</f>
        <v>0</v>
      </c>
      <c r="BG7" s="2843">
        <f t="shared" ref="BG7:BG32" si="19">+BC7+BE7</f>
        <v>0</v>
      </c>
      <c r="BH7" s="2843">
        <f t="shared" ref="BH7:BH32" si="20">+BD7+BF7</f>
        <v>0</v>
      </c>
      <c r="BI7" s="796">
        <f t="shared" ref="BI7:BI32" si="21">+BA7+BC7</f>
        <v>0</v>
      </c>
      <c r="BJ7" s="796">
        <f t="shared" ref="BJ7:BJ32" si="22">+BB7+BD7</f>
        <v>0</v>
      </c>
    </row>
    <row r="8" spans="1:62" ht="15" customHeight="1" x14ac:dyDescent="0.25">
      <c r="A8" s="714">
        <v>3</v>
      </c>
      <c r="B8" s="749" t="s">
        <v>530</v>
      </c>
      <c r="C8" s="33" t="s">
        <v>242</v>
      </c>
      <c r="D8" s="747">
        <v>3137000</v>
      </c>
      <c r="E8" s="748">
        <v>766000</v>
      </c>
      <c r="G8" s="2827">
        <v>1.2</v>
      </c>
      <c r="H8" s="700" t="s">
        <v>657</v>
      </c>
      <c r="I8" s="2844">
        <f t="shared" ref="I8:K14" si="23">+I56*I$3*24*1000</f>
        <v>27323398.207337763</v>
      </c>
      <c r="J8" s="1398">
        <v>21745100</v>
      </c>
      <c r="K8" s="2839">
        <f t="shared" si="23"/>
        <v>29224135.909914069</v>
      </c>
      <c r="L8" s="2845">
        <v>25247900</v>
      </c>
      <c r="M8" s="2846">
        <f t="shared" si="0"/>
        <v>56547534.117251828</v>
      </c>
      <c r="N8" s="2846">
        <f t="shared" si="0"/>
        <v>46993000</v>
      </c>
      <c r="O8" s="2839">
        <f t="shared" ref="O8" si="24">+O56*O$3*24*1000</f>
        <v>35468904.166666664</v>
      </c>
      <c r="P8" s="1398">
        <v>32403199.999999996</v>
      </c>
      <c r="Q8" s="2847">
        <f t="shared" si="1"/>
        <v>92016438.2839185</v>
      </c>
      <c r="R8" s="2847">
        <f t="shared" si="2"/>
        <v>79396200</v>
      </c>
      <c r="S8" s="1398">
        <f t="shared" ref="S8" si="25">+S56*S$3*24*1000</f>
        <v>36656595.833333336</v>
      </c>
      <c r="T8" s="2845">
        <v>33310599.999999933</v>
      </c>
      <c r="U8" s="2846">
        <f t="shared" si="3"/>
        <v>128673034.11725184</v>
      </c>
      <c r="V8" s="2846">
        <f t="shared" si="4"/>
        <v>112706799.99999994</v>
      </c>
      <c r="W8" s="1398">
        <f t="shared" ref="W8:W11" si="26">+W56*W$3*24*1000</f>
        <v>36583451.931607068</v>
      </c>
      <c r="X8" s="2845">
        <v>35794900.000000082</v>
      </c>
      <c r="Y8" s="2846">
        <f t="shared" si="5"/>
        <v>165256486.04885891</v>
      </c>
      <c r="Z8" s="2846">
        <f t="shared" si="6"/>
        <v>148501700.00000003</v>
      </c>
      <c r="AA8" s="1398">
        <f t="shared" ref="AA8:AA11" si="27">+AA56*AA$3*24*1000</f>
        <v>35478057.507354252</v>
      </c>
      <c r="AB8" s="2845">
        <v>33549899.999999952</v>
      </c>
      <c r="AC8" s="2842">
        <f t="shared" ref="AC8:AC11" si="28">+S8+W8+AA8</f>
        <v>108718105.27229467</v>
      </c>
      <c r="AD8" s="2842">
        <f t="shared" ref="AD8:AD11" si="29">+T8+X8+AB8</f>
        <v>102655399.99999997</v>
      </c>
      <c r="AE8" s="2848">
        <f t="shared" si="7"/>
        <v>200734543.55621317</v>
      </c>
      <c r="AF8" s="2848">
        <f t="shared" si="8"/>
        <v>182051599.99999997</v>
      </c>
      <c r="AG8" s="777">
        <f t="shared" ref="AG8:AG11" si="30">+AG56*AG$3*24*1000</f>
        <v>36711750</v>
      </c>
      <c r="AH8" s="778">
        <v>36464499.99999997</v>
      </c>
      <c r="AI8" s="797">
        <f t="shared" si="9"/>
        <v>237446293.55621317</v>
      </c>
      <c r="AJ8" s="797">
        <f t="shared" si="10"/>
        <v>218516099.99999994</v>
      </c>
      <c r="AK8" s="777">
        <f t="shared" ref="AK8:AK11" si="31">+AK56*AK$3*24*1000</f>
        <v>35522250</v>
      </c>
      <c r="AL8" s="778">
        <v>34890500</v>
      </c>
      <c r="AM8" s="797">
        <f t="shared" si="11"/>
        <v>272968543.55621314</v>
      </c>
      <c r="AN8" s="797">
        <f t="shared" si="12"/>
        <v>253406599.99999994</v>
      </c>
      <c r="AO8" s="777">
        <f t="shared" ref="AO8:AO11" si="32">+AO56*AO$3*24*1000</f>
        <v>36711750</v>
      </c>
      <c r="AP8" s="778">
        <v>36662299.99999997</v>
      </c>
      <c r="AQ8" s="906">
        <f t="shared" ref="AQ8:AQ11" si="33">+AG8+AK8+AO8</f>
        <v>108945750</v>
      </c>
      <c r="AR8" s="905">
        <f t="shared" ref="AR8:AR11" si="34">+AH8+AL8+AP8</f>
        <v>108017299.99999994</v>
      </c>
      <c r="AS8" s="797">
        <f t="shared" si="13"/>
        <v>309680293.55621314</v>
      </c>
      <c r="AT8" s="797">
        <f t="shared" si="14"/>
        <v>290068899.99999988</v>
      </c>
      <c r="AU8" s="777">
        <f t="shared" ref="AU8:AU11" si="35">+AU56*AU$3*24*1000</f>
        <v>36711750</v>
      </c>
      <c r="AV8" s="778">
        <v>37941200</v>
      </c>
      <c r="AW8" s="797">
        <f t="shared" si="15"/>
        <v>346392043.55621314</v>
      </c>
      <c r="AX8" s="797">
        <f t="shared" si="16"/>
        <v>328010099.99999988</v>
      </c>
      <c r="AY8" s="777">
        <f t="shared" ref="AY8:AY11" si="36">+AY56*AY$3*24*1000</f>
        <v>32377454.049019668</v>
      </c>
      <c r="AZ8" s="778">
        <v>20507300.000000004</v>
      </c>
      <c r="BA8" s="797">
        <f t="shared" si="17"/>
        <v>378769497.60523283</v>
      </c>
      <c r="BB8" s="797">
        <f t="shared" si="18"/>
        <v>348517399.99999988</v>
      </c>
      <c r="BC8" s="777">
        <f t="shared" ref="BC8:BC11" si="37">+BC56*BC$3*24*1000</f>
        <v>36711750</v>
      </c>
      <c r="BD8" s="778">
        <v>18248799.999999989</v>
      </c>
      <c r="BE8" s="906">
        <f t="shared" ref="BE8:BE11" si="38">+AU8+AY8+BC8</f>
        <v>105800954.04901966</v>
      </c>
      <c r="BF8" s="905">
        <f t="shared" ref="BF8:BF11" si="39">+AV8+AZ8+BD8</f>
        <v>76697299.999999985</v>
      </c>
      <c r="BG8" s="2848">
        <f t="shared" si="19"/>
        <v>142512704.04901966</v>
      </c>
      <c r="BH8" s="2848">
        <f t="shared" si="20"/>
        <v>94946099.99999997</v>
      </c>
      <c r="BI8" s="797">
        <f t="shared" si="21"/>
        <v>415481247.60523283</v>
      </c>
      <c r="BJ8" s="797">
        <f t="shared" si="22"/>
        <v>366766199.99999988</v>
      </c>
    </row>
    <row r="9" spans="1:62" ht="15" customHeight="1" x14ac:dyDescent="0.25">
      <c r="A9" s="714">
        <v>4</v>
      </c>
      <c r="B9" s="749" t="s">
        <v>531</v>
      </c>
      <c r="C9" s="33" t="s">
        <v>242</v>
      </c>
      <c r="D9" s="747">
        <v>56402000</v>
      </c>
      <c r="E9" s="748">
        <v>65310000</v>
      </c>
      <c r="G9" s="2827">
        <v>1.3</v>
      </c>
      <c r="H9" s="700" t="s">
        <v>530</v>
      </c>
      <c r="I9" s="2839">
        <f t="shared" si="23"/>
        <v>3240000</v>
      </c>
      <c r="J9" s="1398">
        <v>3779600</v>
      </c>
      <c r="K9" s="2839">
        <f t="shared" si="23"/>
        <v>3348000</v>
      </c>
      <c r="L9" s="2845">
        <v>3236900</v>
      </c>
      <c r="M9" s="2846">
        <f t="shared" si="0"/>
        <v>6588000</v>
      </c>
      <c r="N9" s="2846">
        <f t="shared" si="0"/>
        <v>7016500</v>
      </c>
      <c r="O9" s="2839">
        <f t="shared" ref="O9" si="40">+O57*O$3*24*1000</f>
        <v>3240000</v>
      </c>
      <c r="P9" s="1398">
        <v>3388000</v>
      </c>
      <c r="Q9" s="2847">
        <f t="shared" si="1"/>
        <v>9828000</v>
      </c>
      <c r="R9" s="2847">
        <f t="shared" si="2"/>
        <v>10404500</v>
      </c>
      <c r="S9" s="1398">
        <f t="shared" ref="S9" si="41">+S57*S$3*24*1000</f>
        <v>3348000</v>
      </c>
      <c r="T9" s="2845">
        <v>3718500</v>
      </c>
      <c r="U9" s="2846">
        <f t="shared" si="3"/>
        <v>13176000</v>
      </c>
      <c r="V9" s="2846">
        <f t="shared" si="4"/>
        <v>14123000</v>
      </c>
      <c r="W9" s="1398">
        <f t="shared" si="26"/>
        <v>3348000</v>
      </c>
      <c r="X9" s="2845">
        <v>3965700</v>
      </c>
      <c r="Y9" s="2846">
        <f t="shared" si="5"/>
        <v>16524000</v>
      </c>
      <c r="Z9" s="2846">
        <f t="shared" si="6"/>
        <v>18088700</v>
      </c>
      <c r="AA9" s="1398">
        <f t="shared" si="27"/>
        <v>3240000</v>
      </c>
      <c r="AB9" s="2845">
        <v>3893400</v>
      </c>
      <c r="AC9" s="2847">
        <f t="shared" si="28"/>
        <v>9936000</v>
      </c>
      <c r="AD9" s="2842">
        <f t="shared" si="29"/>
        <v>11577600</v>
      </c>
      <c r="AE9" s="2848">
        <f t="shared" si="7"/>
        <v>19764000</v>
      </c>
      <c r="AF9" s="2848">
        <f t="shared" si="8"/>
        <v>21982100</v>
      </c>
      <c r="AG9" s="777">
        <f t="shared" si="30"/>
        <v>3348000</v>
      </c>
      <c r="AH9" s="778">
        <v>3554300</v>
      </c>
      <c r="AI9" s="797">
        <f t="shared" si="9"/>
        <v>23112000</v>
      </c>
      <c r="AJ9" s="797">
        <f t="shared" si="10"/>
        <v>25536400</v>
      </c>
      <c r="AK9" s="777">
        <f t="shared" si="31"/>
        <v>3240000</v>
      </c>
      <c r="AL9" s="778">
        <v>2843700</v>
      </c>
      <c r="AM9" s="797">
        <f t="shared" si="11"/>
        <v>26352000</v>
      </c>
      <c r="AN9" s="797">
        <f t="shared" si="12"/>
        <v>28380100</v>
      </c>
      <c r="AO9" s="777">
        <f t="shared" si="32"/>
        <v>3348000</v>
      </c>
      <c r="AP9" s="778">
        <v>3100200</v>
      </c>
      <c r="AQ9" s="906">
        <f t="shared" si="33"/>
        <v>9936000</v>
      </c>
      <c r="AR9" s="905">
        <f t="shared" si="34"/>
        <v>9498200</v>
      </c>
      <c r="AS9" s="797">
        <f t="shared" si="13"/>
        <v>29700000</v>
      </c>
      <c r="AT9" s="797">
        <f t="shared" si="14"/>
        <v>31480300</v>
      </c>
      <c r="AU9" s="777">
        <f t="shared" si="35"/>
        <v>3348000</v>
      </c>
      <c r="AV9" s="778">
        <v>3247900</v>
      </c>
      <c r="AW9" s="797">
        <f t="shared" si="15"/>
        <v>33048000</v>
      </c>
      <c r="AX9" s="797">
        <f t="shared" si="16"/>
        <v>34728200</v>
      </c>
      <c r="AY9" s="777">
        <f t="shared" si="36"/>
        <v>3024000</v>
      </c>
      <c r="AZ9" s="778">
        <v>2876400</v>
      </c>
      <c r="BA9" s="797">
        <f t="shared" si="17"/>
        <v>36072000</v>
      </c>
      <c r="BB9" s="797">
        <f t="shared" si="18"/>
        <v>37604600</v>
      </c>
      <c r="BC9" s="777">
        <f t="shared" si="37"/>
        <v>3348000</v>
      </c>
      <c r="BD9" s="778">
        <v>3381000</v>
      </c>
      <c r="BE9" s="906">
        <f t="shared" si="38"/>
        <v>9720000</v>
      </c>
      <c r="BF9" s="905">
        <f t="shared" si="39"/>
        <v>9505300</v>
      </c>
      <c r="BG9" s="2848">
        <f t="shared" si="19"/>
        <v>13068000</v>
      </c>
      <c r="BH9" s="2848">
        <f t="shared" si="20"/>
        <v>12886300</v>
      </c>
      <c r="BI9" s="797">
        <f t="shared" si="21"/>
        <v>39420000</v>
      </c>
      <c r="BJ9" s="797">
        <f t="shared" si="22"/>
        <v>40985600</v>
      </c>
    </row>
    <row r="10" spans="1:62" ht="15.75" customHeight="1" thickBot="1" x14ac:dyDescent="0.3">
      <c r="A10" s="714">
        <v>5</v>
      </c>
      <c r="B10" s="750" t="s">
        <v>532</v>
      </c>
      <c r="C10" s="34" t="s">
        <v>242</v>
      </c>
      <c r="D10" s="747">
        <v>514390</v>
      </c>
      <c r="E10" s="748">
        <v>517460.00000000029</v>
      </c>
      <c r="G10" s="2827">
        <v>1.4</v>
      </c>
      <c r="H10" s="700" t="s">
        <v>531</v>
      </c>
      <c r="I10" s="1398">
        <f t="shared" si="23"/>
        <v>61707995.968132794</v>
      </c>
      <c r="J10" s="1398">
        <v>58151000</v>
      </c>
      <c r="K10" s="2839">
        <f t="shared" si="23"/>
        <v>62554599.304045349</v>
      </c>
      <c r="L10" s="2845">
        <v>61391000</v>
      </c>
      <c r="M10" s="2846">
        <f t="shared" si="0"/>
        <v>124262595.27217814</v>
      </c>
      <c r="N10" s="2846">
        <f t="shared" si="0"/>
        <v>119542000</v>
      </c>
      <c r="O10" s="1398">
        <f t="shared" ref="O10" si="42">+O58*O$3*24*1000</f>
        <v>75006922.881336868</v>
      </c>
      <c r="P10" s="1398">
        <v>73400000</v>
      </c>
      <c r="Q10" s="2847">
        <f t="shared" si="1"/>
        <v>199269518.15351501</v>
      </c>
      <c r="R10" s="2847">
        <f t="shared" si="2"/>
        <v>192942000</v>
      </c>
      <c r="S10" s="1398">
        <f t="shared" ref="S10" si="43">+S58*S$3*24*1000</f>
        <v>77570609.477048934</v>
      </c>
      <c r="T10" s="2845">
        <v>74487000</v>
      </c>
      <c r="U10" s="2846">
        <f t="shared" si="3"/>
        <v>276840127.63056397</v>
      </c>
      <c r="V10" s="2846">
        <f t="shared" si="4"/>
        <v>267429000</v>
      </c>
      <c r="W10" s="1398">
        <f t="shared" si="26"/>
        <v>78209820.654740259</v>
      </c>
      <c r="X10" s="2845">
        <v>72680000</v>
      </c>
      <c r="Y10" s="2846">
        <f>+U10+W10</f>
        <v>355049948.28530425</v>
      </c>
      <c r="Z10" s="2846">
        <f t="shared" si="6"/>
        <v>340109000</v>
      </c>
      <c r="AA10" s="1398">
        <f t="shared" si="27"/>
        <v>75986827.201788858</v>
      </c>
      <c r="AB10" s="2845">
        <v>71293000</v>
      </c>
      <c r="AC10" s="2842">
        <f t="shared" si="28"/>
        <v>231767257.33357805</v>
      </c>
      <c r="AD10" s="2842">
        <f t="shared" si="29"/>
        <v>218460000</v>
      </c>
      <c r="AE10" s="2848">
        <f t="shared" si="7"/>
        <v>431036775.48709309</v>
      </c>
      <c r="AF10" s="2848">
        <f t="shared" si="8"/>
        <v>411402000</v>
      </c>
      <c r="AG10" s="777">
        <f t="shared" si="30"/>
        <v>78331887.906613648</v>
      </c>
      <c r="AH10" s="778">
        <v>73429000</v>
      </c>
      <c r="AI10" s="797">
        <f t="shared" si="9"/>
        <v>509368663.39370674</v>
      </c>
      <c r="AJ10" s="797">
        <f t="shared" si="10"/>
        <v>484831000</v>
      </c>
      <c r="AK10" s="777">
        <f t="shared" si="31"/>
        <v>75942634.709143102</v>
      </c>
      <c r="AL10" s="778">
        <v>69228000</v>
      </c>
      <c r="AM10" s="797">
        <f>+AI10+AK10</f>
        <v>585311298.10284984</v>
      </c>
      <c r="AN10" s="797">
        <f t="shared" si="12"/>
        <v>554059000</v>
      </c>
      <c r="AO10" s="777">
        <f t="shared" si="32"/>
        <v>78331887.906613648</v>
      </c>
      <c r="AP10" s="778">
        <v>73600000</v>
      </c>
      <c r="AQ10" s="906">
        <f t="shared" si="33"/>
        <v>232606410.5223704</v>
      </c>
      <c r="AR10" s="905">
        <f t="shared" si="34"/>
        <v>216257000</v>
      </c>
      <c r="AS10" s="797">
        <f t="shared" si="13"/>
        <v>663643186.00946355</v>
      </c>
      <c r="AT10" s="797">
        <f t="shared" si="14"/>
        <v>627659000</v>
      </c>
      <c r="AU10" s="777">
        <f t="shared" si="35"/>
        <v>78331887.906613648</v>
      </c>
      <c r="AV10" s="778">
        <v>71497000</v>
      </c>
      <c r="AW10" s="797">
        <f t="shared" si="15"/>
        <v>741975073.91607714</v>
      </c>
      <c r="AX10" s="797">
        <f t="shared" si="16"/>
        <v>699156000</v>
      </c>
      <c r="AY10" s="777">
        <f t="shared" si="36"/>
        <v>71068083.974564835</v>
      </c>
      <c r="AZ10" s="778">
        <v>76385000</v>
      </c>
      <c r="BA10" s="797">
        <f t="shared" si="17"/>
        <v>813043157.89064193</v>
      </c>
      <c r="BB10" s="797">
        <f t="shared" si="18"/>
        <v>775541000</v>
      </c>
      <c r="BC10" s="777">
        <f t="shared" si="37"/>
        <v>78331887.906613648</v>
      </c>
      <c r="BD10" s="778">
        <v>91240000</v>
      </c>
      <c r="BE10" s="906">
        <f t="shared" si="38"/>
        <v>227731859.78779215</v>
      </c>
      <c r="BF10" s="905">
        <f t="shared" si="39"/>
        <v>239122000</v>
      </c>
      <c r="BG10" s="2848">
        <f t="shared" si="19"/>
        <v>306063747.69440579</v>
      </c>
      <c r="BH10" s="2848">
        <f t="shared" si="20"/>
        <v>330362000</v>
      </c>
      <c r="BI10" s="797">
        <f t="shared" si="21"/>
        <v>891375045.79725552</v>
      </c>
      <c r="BJ10" s="797">
        <f t="shared" si="22"/>
        <v>866781000</v>
      </c>
    </row>
    <row r="11" spans="1:62" ht="15.75" customHeight="1" thickBot="1" x14ac:dyDescent="0.3">
      <c r="A11" s="714">
        <v>6</v>
      </c>
      <c r="B11" s="751" t="s">
        <v>533</v>
      </c>
      <c r="C11" s="35" t="s">
        <v>242</v>
      </c>
      <c r="D11" s="752">
        <f t="shared" ref="D11:E11" si="44">SUM(D6:D10)</f>
        <v>89343889.99999997</v>
      </c>
      <c r="E11" s="753">
        <f t="shared" si="44"/>
        <v>95603960</v>
      </c>
      <c r="G11" s="2827">
        <v>1.5</v>
      </c>
      <c r="H11" s="700" t="s">
        <v>532</v>
      </c>
      <c r="I11" s="2839">
        <f t="shared" si="23"/>
        <v>540000</v>
      </c>
      <c r="J11" s="1398">
        <v>449210</v>
      </c>
      <c r="K11" s="2839">
        <f t="shared" si="23"/>
        <v>558000</v>
      </c>
      <c r="L11" s="2845">
        <v>553140</v>
      </c>
      <c r="M11" s="2846">
        <f t="shared" si="0"/>
        <v>1098000</v>
      </c>
      <c r="N11" s="2846">
        <f t="shared" si="0"/>
        <v>1002350</v>
      </c>
      <c r="O11" s="2839">
        <f t="shared" ref="O11" si="45">+O59*O$3*24*1000</f>
        <v>540000</v>
      </c>
      <c r="P11" s="1398">
        <v>563160.0000000007</v>
      </c>
      <c r="Q11" s="2847">
        <f t="shared" si="1"/>
        <v>1638000</v>
      </c>
      <c r="R11" s="2847">
        <f t="shared" si="2"/>
        <v>1565510.0000000007</v>
      </c>
      <c r="S11" s="2839">
        <f t="shared" ref="S11" si="46">+S59*S$3*24*1000</f>
        <v>558000</v>
      </c>
      <c r="T11" s="2845">
        <v>575050.00000000023</v>
      </c>
      <c r="U11" s="2846">
        <f t="shared" si="3"/>
        <v>2196000</v>
      </c>
      <c r="V11" s="2846">
        <f t="shared" si="4"/>
        <v>2140560.0000000009</v>
      </c>
      <c r="W11" s="2839">
        <f t="shared" si="26"/>
        <v>558000</v>
      </c>
      <c r="X11" s="2845">
        <v>561760.00000000023</v>
      </c>
      <c r="Y11" s="2846">
        <f t="shared" si="5"/>
        <v>2754000</v>
      </c>
      <c r="Z11" s="2846">
        <f t="shared" si="6"/>
        <v>2702320.0000000009</v>
      </c>
      <c r="AA11" s="2839">
        <f t="shared" si="27"/>
        <v>540000</v>
      </c>
      <c r="AB11" s="2845">
        <v>535719.99999999837</v>
      </c>
      <c r="AC11" s="2842">
        <f t="shared" si="28"/>
        <v>1656000</v>
      </c>
      <c r="AD11" s="2842">
        <f t="shared" si="29"/>
        <v>1672529.9999999988</v>
      </c>
      <c r="AE11" s="2848">
        <f t="shared" si="7"/>
        <v>3294000</v>
      </c>
      <c r="AF11" s="2848">
        <f t="shared" si="8"/>
        <v>3238039.9999999991</v>
      </c>
      <c r="AG11" s="1106">
        <f t="shared" si="30"/>
        <v>558000</v>
      </c>
      <c r="AH11" s="778">
        <v>552570.00000000058</v>
      </c>
      <c r="AI11" s="797">
        <f t="shared" si="9"/>
        <v>3852000</v>
      </c>
      <c r="AJ11" s="797">
        <f t="shared" si="10"/>
        <v>3790609.9999999995</v>
      </c>
      <c r="AK11" s="1106">
        <f t="shared" si="31"/>
        <v>540000</v>
      </c>
      <c r="AL11" s="778">
        <v>533920.00000000012</v>
      </c>
      <c r="AM11" s="797">
        <f t="shared" si="11"/>
        <v>4392000</v>
      </c>
      <c r="AN11" s="797">
        <f t="shared" si="12"/>
        <v>4324530</v>
      </c>
      <c r="AO11" s="1106">
        <f t="shared" si="32"/>
        <v>558000</v>
      </c>
      <c r="AP11" s="778">
        <v>546400.00000000012</v>
      </c>
      <c r="AQ11" s="905">
        <f t="shared" si="33"/>
        <v>1656000</v>
      </c>
      <c r="AR11" s="905">
        <f t="shared" si="34"/>
        <v>1632890.0000000009</v>
      </c>
      <c r="AS11" s="797">
        <f t="shared" si="13"/>
        <v>4950000</v>
      </c>
      <c r="AT11" s="797">
        <f t="shared" si="14"/>
        <v>4870930</v>
      </c>
      <c r="AU11" s="1106">
        <f t="shared" si="35"/>
        <v>558000</v>
      </c>
      <c r="AV11" s="778">
        <v>548650.00000000058</v>
      </c>
      <c r="AW11" s="797">
        <f t="shared" si="15"/>
        <v>5508000</v>
      </c>
      <c r="AX11" s="797">
        <f t="shared" si="16"/>
        <v>5419580.0000000009</v>
      </c>
      <c r="AY11" s="1106">
        <f t="shared" si="36"/>
        <v>504000</v>
      </c>
      <c r="AZ11" s="778">
        <v>494749.99999999907</v>
      </c>
      <c r="BA11" s="797">
        <f t="shared" si="17"/>
        <v>6012000</v>
      </c>
      <c r="BB11" s="797">
        <f t="shared" si="18"/>
        <v>5914330</v>
      </c>
      <c r="BC11" s="1106">
        <f t="shared" si="37"/>
        <v>558000</v>
      </c>
      <c r="BD11" s="778">
        <v>542259.9999999993</v>
      </c>
      <c r="BE11" s="905">
        <f t="shared" si="38"/>
        <v>1620000</v>
      </c>
      <c r="BF11" s="905">
        <f t="shared" si="39"/>
        <v>1585659.9999999991</v>
      </c>
      <c r="BG11" s="2848">
        <f t="shared" si="19"/>
        <v>2178000</v>
      </c>
      <c r="BH11" s="2848">
        <f t="shared" si="20"/>
        <v>2127919.9999999981</v>
      </c>
      <c r="BI11" s="797">
        <f t="shared" si="21"/>
        <v>6570000</v>
      </c>
      <c r="BJ11" s="797">
        <f t="shared" si="22"/>
        <v>6456589.9999999991</v>
      </c>
    </row>
    <row r="12" spans="1:62" ht="15.75" customHeight="1" x14ac:dyDescent="0.25">
      <c r="A12" s="714">
        <v>7</v>
      </c>
      <c r="B12" s="743" t="s">
        <v>539</v>
      </c>
      <c r="C12" s="36" t="s">
        <v>242</v>
      </c>
      <c r="D12" s="747">
        <v>261981.80799999906</v>
      </c>
      <c r="E12" s="748">
        <v>317978.65699999966</v>
      </c>
      <c r="G12" s="2830">
        <v>2</v>
      </c>
      <c r="H12" s="2448" t="s">
        <v>915</v>
      </c>
      <c r="I12" s="2831">
        <f>SUM(I13:I14)</f>
        <v>3672000</v>
      </c>
      <c r="J12" s="2831">
        <f>+J13+J14</f>
        <v>1821657</v>
      </c>
      <c r="K12" s="2831">
        <f>SUM(K13:K14)</f>
        <v>3794400.0000000005</v>
      </c>
      <c r="L12" s="2849">
        <f>SUM(L13:L14)</f>
        <v>1945060.093359</v>
      </c>
      <c r="M12" s="2836">
        <f t="shared" si="0"/>
        <v>7466400</v>
      </c>
      <c r="N12" s="2836">
        <f t="shared" si="0"/>
        <v>3766717.093359</v>
      </c>
      <c r="O12" s="2831">
        <f>SUM(O13:O14)</f>
        <v>3672000</v>
      </c>
      <c r="P12" s="2831">
        <f>SUM(P13:P14)</f>
        <v>2415026.5532758245</v>
      </c>
      <c r="Q12" s="2834">
        <f t="shared" si="1"/>
        <v>11138400</v>
      </c>
      <c r="R12" s="2834">
        <f t="shared" si="2"/>
        <v>6181743.6466348246</v>
      </c>
      <c r="S12" s="2831">
        <f>SUM(S13:S14)</f>
        <v>3794400.0000000005</v>
      </c>
      <c r="T12" s="2849">
        <f>SUM(T13:T14)</f>
        <v>2613094.4948172276</v>
      </c>
      <c r="U12" s="2836">
        <f t="shared" si="3"/>
        <v>14932800</v>
      </c>
      <c r="V12" s="2836">
        <f t="shared" si="4"/>
        <v>8794838.1414520517</v>
      </c>
      <c r="W12" s="2831">
        <f>SUM(W13:W14)</f>
        <v>3794400.0000000005</v>
      </c>
      <c r="X12" s="2849">
        <f>SUM(X13:X14)</f>
        <v>2158436.2796001341</v>
      </c>
      <c r="Y12" s="2836">
        <f t="shared" si="5"/>
        <v>18727200</v>
      </c>
      <c r="Z12" s="2836">
        <f t="shared" si="6"/>
        <v>10953274.421052186</v>
      </c>
      <c r="AA12" s="2831">
        <f>SUM(AA13:AA14)</f>
        <v>3672000</v>
      </c>
      <c r="AB12" s="2849">
        <f>SUM(AB13:AB14)</f>
        <v>1710084.4579998665</v>
      </c>
      <c r="AC12" s="2834">
        <f>+S12+W12+AA12</f>
        <v>11260800</v>
      </c>
      <c r="AD12" s="2834">
        <f>+T12+X12+AB12</f>
        <v>6481615.2324172277</v>
      </c>
      <c r="AE12" s="2837">
        <f t="shared" si="7"/>
        <v>22399200</v>
      </c>
      <c r="AF12" s="2837">
        <f t="shared" si="8"/>
        <v>12663358.879052052</v>
      </c>
      <c r="AG12" s="779">
        <f>SUM(AG13:AG14)</f>
        <v>3794400.0000000005</v>
      </c>
      <c r="AH12" s="780">
        <f>SUM(AH13:AH14)</f>
        <v>1375973.3239999998</v>
      </c>
      <c r="AI12" s="798">
        <f t="shared" si="9"/>
        <v>26193600</v>
      </c>
      <c r="AJ12" s="798">
        <f t="shared" si="10"/>
        <v>14039332.203052051</v>
      </c>
      <c r="AK12" s="779">
        <f>SUM(AK13:AK14)</f>
        <v>3672000</v>
      </c>
      <c r="AL12" s="780">
        <f>SUM(AL13:AL14)</f>
        <v>1724621.7253333863</v>
      </c>
      <c r="AM12" s="798">
        <f t="shared" si="11"/>
        <v>29865600</v>
      </c>
      <c r="AN12" s="798">
        <f t="shared" si="12"/>
        <v>15763953.928385438</v>
      </c>
      <c r="AO12" s="779">
        <f>SUM(AO13:AO14)</f>
        <v>3794400.0000000005</v>
      </c>
      <c r="AP12" s="780">
        <f>SUM(AP13:AP14)</f>
        <v>1923326.7609998821</v>
      </c>
      <c r="AQ12" s="907">
        <f>+AG12+AK12+AO12</f>
        <v>11260800</v>
      </c>
      <c r="AR12" s="907">
        <f>+AH12+AL12+AP12</f>
        <v>5023921.8103332687</v>
      </c>
      <c r="AS12" s="798">
        <f t="shared" si="13"/>
        <v>33660000</v>
      </c>
      <c r="AT12" s="798">
        <f t="shared" si="14"/>
        <v>17687280.689385321</v>
      </c>
      <c r="AU12" s="779">
        <f>SUM(AU13:AU14)</f>
        <v>3794400.0000000005</v>
      </c>
      <c r="AV12" s="780">
        <f>SUM(AV13:AV14)</f>
        <v>2380762.5300000045</v>
      </c>
      <c r="AW12" s="798">
        <f t="shared" si="15"/>
        <v>37454400</v>
      </c>
      <c r="AX12" s="798">
        <f t="shared" si="16"/>
        <v>20068043.219385326</v>
      </c>
      <c r="AY12" s="779">
        <f>SUM(AY13:AY14)</f>
        <v>3427200</v>
      </c>
      <c r="AZ12" s="780">
        <f>SUM(AZ13:AZ14)</f>
        <v>2172750.9891033997</v>
      </c>
      <c r="BA12" s="798">
        <f t="shared" si="17"/>
        <v>40881600</v>
      </c>
      <c r="BB12" s="798">
        <f t="shared" si="18"/>
        <v>22240794.208488725</v>
      </c>
      <c r="BC12" s="779">
        <f>SUM(BC13:BC14)</f>
        <v>3794400.0000000005</v>
      </c>
      <c r="BD12" s="780">
        <f>SUM(BD13:BD14)</f>
        <v>1904380.3087241375</v>
      </c>
      <c r="BE12" s="907">
        <f>+AU12+AY12+BC12</f>
        <v>11016000</v>
      </c>
      <c r="BF12" s="907">
        <f>+AV12+AZ12+BD12</f>
        <v>6457893.8278275412</v>
      </c>
      <c r="BG12" s="2837">
        <f t="shared" si="19"/>
        <v>14810400</v>
      </c>
      <c r="BH12" s="2837">
        <f t="shared" si="20"/>
        <v>8362274.1365516782</v>
      </c>
      <c r="BI12" s="798">
        <f t="shared" si="21"/>
        <v>44676000</v>
      </c>
      <c r="BJ12" s="798">
        <f t="shared" si="22"/>
        <v>24145174.517212864</v>
      </c>
    </row>
    <row r="13" spans="1:62" ht="15" customHeight="1" thickBot="1" x14ac:dyDescent="0.3">
      <c r="A13" s="714">
        <v>8</v>
      </c>
      <c r="B13" s="754" t="s">
        <v>540</v>
      </c>
      <c r="C13" s="34" t="s">
        <v>242</v>
      </c>
      <c r="D13" s="747">
        <v>1020193.9999999553</v>
      </c>
      <c r="E13" s="748">
        <v>1775455.3000000119</v>
      </c>
      <c r="G13" s="2827">
        <v>2.1</v>
      </c>
      <c r="H13" s="700" t="s">
        <v>539</v>
      </c>
      <c r="I13" s="2839">
        <f t="shared" si="23"/>
        <v>504000</v>
      </c>
      <c r="J13" s="1398">
        <v>141810</v>
      </c>
      <c r="K13" s="2839">
        <f t="shared" si="23"/>
        <v>520799.99999999994</v>
      </c>
      <c r="L13" s="2845">
        <v>187654.09335899999</v>
      </c>
      <c r="M13" s="2846">
        <f t="shared" si="0"/>
        <v>1024800</v>
      </c>
      <c r="N13" s="2846">
        <f t="shared" si="0"/>
        <v>329464.09335899999</v>
      </c>
      <c r="O13" s="2839">
        <f t="shared" ref="O13" si="47">+O61*O$3*24*1000</f>
        <v>504000</v>
      </c>
      <c r="P13" s="1398">
        <v>222457.55327585433</v>
      </c>
      <c r="Q13" s="2847">
        <f t="shared" si="1"/>
        <v>1528800</v>
      </c>
      <c r="R13" s="2847">
        <f t="shared" si="2"/>
        <v>551921.64663485438</v>
      </c>
      <c r="S13" s="2839">
        <f t="shared" ref="S13" si="48">+S61*S$3*24*1000</f>
        <v>520799.99999999994</v>
      </c>
      <c r="T13" s="2845">
        <v>176133.49481724261</v>
      </c>
      <c r="U13" s="2846">
        <f t="shared" si="3"/>
        <v>2049600</v>
      </c>
      <c r="V13" s="2846">
        <f t="shared" si="4"/>
        <v>728055.14145209698</v>
      </c>
      <c r="W13" s="2839">
        <f t="shared" ref="W13:W14" si="49">+W61*W$3*24*1000</f>
        <v>520799.99999999994</v>
      </c>
      <c r="X13" s="2845">
        <v>231993.27959999989</v>
      </c>
      <c r="Y13" s="2846">
        <f t="shared" si="5"/>
        <v>2570400</v>
      </c>
      <c r="Z13" s="2846">
        <f t="shared" si="6"/>
        <v>960048.42105209688</v>
      </c>
      <c r="AA13" s="2839">
        <f t="shared" ref="AA13:AA14" si="50">+AA61*AA$3*24*1000</f>
        <v>504000</v>
      </c>
      <c r="AB13" s="2845">
        <v>47254.45800000045</v>
      </c>
      <c r="AC13" s="2842">
        <f t="shared" ref="AC13:AC14" si="51">+S13+W13+AA13</f>
        <v>1545600</v>
      </c>
      <c r="AD13" s="2842">
        <f t="shared" ref="AD13:AD14" si="52">+T13+X13+AB13</f>
        <v>455381.23241724295</v>
      </c>
      <c r="AE13" s="2848">
        <f t="shared" si="7"/>
        <v>3074400</v>
      </c>
      <c r="AF13" s="2848">
        <f t="shared" si="8"/>
        <v>1007302.8790520973</v>
      </c>
      <c r="AG13" s="1106">
        <f t="shared" ref="AG13:AG14" si="53">+AG61*AG$3*24*1000</f>
        <v>520799.99999999994</v>
      </c>
      <c r="AH13" s="778">
        <v>236295.58400000515</v>
      </c>
      <c r="AI13" s="797">
        <f t="shared" si="9"/>
        <v>3595200</v>
      </c>
      <c r="AJ13" s="797">
        <f t="shared" si="10"/>
        <v>1243598.4630521024</v>
      </c>
      <c r="AK13" s="1106">
        <f t="shared" ref="AK13:AK14" si="54">+AK61*AK$3*24*1000</f>
        <v>504000</v>
      </c>
      <c r="AL13" s="778">
        <v>187665.131999993</v>
      </c>
      <c r="AM13" s="797">
        <f t="shared" si="11"/>
        <v>4099200</v>
      </c>
      <c r="AN13" s="797">
        <f t="shared" si="12"/>
        <v>1431263.5950520954</v>
      </c>
      <c r="AO13" s="1106">
        <f t="shared" ref="AO13:AO14" si="55">+AO61*AO$3*24*1000</f>
        <v>520799.99999999994</v>
      </c>
      <c r="AP13" s="778">
        <v>184547.76100000122</v>
      </c>
      <c r="AQ13" s="905">
        <f t="shared" ref="AQ13:AQ17" si="56">+AG13+AK13+AO13</f>
        <v>1545600</v>
      </c>
      <c r="AR13" s="905">
        <f t="shared" ref="AR13:AR17" si="57">+AH13+AL13+AP13</f>
        <v>608508.47699999937</v>
      </c>
      <c r="AS13" s="797">
        <f t="shared" si="13"/>
        <v>4620000</v>
      </c>
      <c r="AT13" s="797">
        <f t="shared" si="14"/>
        <v>1615811.3560520965</v>
      </c>
      <c r="AU13" s="1106">
        <f t="shared" ref="AU13:AU14" si="58">+AU61*AU$3*24*1000</f>
        <v>520799.99999999994</v>
      </c>
      <c r="AV13" s="778">
        <v>217963.53000000445</v>
      </c>
      <c r="AW13" s="797">
        <f t="shared" si="15"/>
        <v>5140800</v>
      </c>
      <c r="AX13" s="797">
        <f t="shared" si="16"/>
        <v>1833774.8860521009</v>
      </c>
      <c r="AY13" s="1106">
        <f t="shared" ref="AY13:AY14" si="59">+AY61*AY$3*24*1000</f>
        <v>470400</v>
      </c>
      <c r="AZ13" s="778">
        <v>302759.43910344748</v>
      </c>
      <c r="BA13" s="797">
        <f t="shared" si="17"/>
        <v>5611200</v>
      </c>
      <c r="BB13" s="797">
        <f t="shared" si="18"/>
        <v>2136534.3251555483</v>
      </c>
      <c r="BC13" s="1106">
        <f t="shared" ref="BC13:BC14" si="60">+BC61*BC$3*24*1000</f>
        <v>520799.99999999994</v>
      </c>
      <c r="BD13" s="778">
        <v>283849.30872413749</v>
      </c>
      <c r="BE13" s="905">
        <f t="shared" ref="BE13:BE17" si="61">+AU13+AY13+BC13</f>
        <v>1512000</v>
      </c>
      <c r="BF13" s="905">
        <f t="shared" ref="BF13:BF17" si="62">+AV13+AZ13+BD13</f>
        <v>804572.27782758942</v>
      </c>
      <c r="BG13" s="2848">
        <f t="shared" si="19"/>
        <v>2032800</v>
      </c>
      <c r="BH13" s="2848">
        <f t="shared" si="20"/>
        <v>1088421.5865517268</v>
      </c>
      <c r="BI13" s="797">
        <f t="shared" si="21"/>
        <v>6132000</v>
      </c>
      <c r="BJ13" s="797">
        <f t="shared" si="22"/>
        <v>2420383.6338796858</v>
      </c>
    </row>
    <row r="14" spans="1:62" ht="15" customHeight="1" thickBot="1" x14ac:dyDescent="0.3">
      <c r="A14" s="714">
        <v>9</v>
      </c>
      <c r="B14" s="751" t="s">
        <v>541</v>
      </c>
      <c r="C14" s="35" t="s">
        <v>242</v>
      </c>
      <c r="D14" s="752">
        <f>SUM(D12:D13)</f>
        <v>1282175.8079999543</v>
      </c>
      <c r="E14" s="753">
        <f>SUM(E12:E13)</f>
        <v>2093433.9570000116</v>
      </c>
      <c r="G14" s="2827">
        <v>2.2000000000000002</v>
      </c>
      <c r="H14" s="700" t="s">
        <v>540</v>
      </c>
      <c r="I14" s="2839">
        <f t="shared" si="23"/>
        <v>3168000</v>
      </c>
      <c r="J14" s="1398">
        <v>1679847</v>
      </c>
      <c r="K14" s="2839">
        <f t="shared" si="23"/>
        <v>3273600.0000000005</v>
      </c>
      <c r="L14" s="2845">
        <v>1757406</v>
      </c>
      <c r="M14" s="2846">
        <f t="shared" si="0"/>
        <v>6441600</v>
      </c>
      <c r="N14" s="2846">
        <f t="shared" si="0"/>
        <v>3437253</v>
      </c>
      <c r="O14" s="2839">
        <f t="shared" ref="O14" si="63">+O62*O$3*24*1000</f>
        <v>3168000</v>
      </c>
      <c r="P14" s="1398">
        <v>2192568.9999999702</v>
      </c>
      <c r="Q14" s="2847">
        <f t="shared" si="1"/>
        <v>9609600</v>
      </c>
      <c r="R14" s="2847">
        <f t="shared" si="2"/>
        <v>5629821.9999999702</v>
      </c>
      <c r="S14" s="2839">
        <f t="shared" ref="S14" si="64">+S62*S$3*24*1000</f>
        <v>3273600.0000000005</v>
      </c>
      <c r="T14" s="2845">
        <v>2436960.9999999851</v>
      </c>
      <c r="U14" s="2846">
        <f t="shared" si="3"/>
        <v>12883200</v>
      </c>
      <c r="V14" s="2846">
        <f t="shared" si="4"/>
        <v>8066782.9999999553</v>
      </c>
      <c r="W14" s="2839">
        <f t="shared" si="49"/>
        <v>3273600.0000000005</v>
      </c>
      <c r="X14" s="2845">
        <v>1926443.0000001341</v>
      </c>
      <c r="Y14" s="2846">
        <f t="shared" si="5"/>
        <v>16156800</v>
      </c>
      <c r="Z14" s="2846">
        <f t="shared" si="6"/>
        <v>9993226.0000000894</v>
      </c>
      <c r="AA14" s="2839">
        <f t="shared" si="50"/>
        <v>3168000</v>
      </c>
      <c r="AB14" s="2845">
        <v>1662829.9999998659</v>
      </c>
      <c r="AC14" s="2842">
        <f t="shared" si="51"/>
        <v>9715200</v>
      </c>
      <c r="AD14" s="2842">
        <f t="shared" si="52"/>
        <v>6026233.9999999851</v>
      </c>
      <c r="AE14" s="2848">
        <f t="shared" si="7"/>
        <v>19324800</v>
      </c>
      <c r="AF14" s="2848">
        <f t="shared" si="8"/>
        <v>11656055.999999955</v>
      </c>
      <c r="AG14" s="1106">
        <f t="shared" si="53"/>
        <v>3273600.0000000005</v>
      </c>
      <c r="AH14" s="778">
        <v>1139677.7399999946</v>
      </c>
      <c r="AI14" s="797">
        <f t="shared" si="9"/>
        <v>22598400</v>
      </c>
      <c r="AJ14" s="797">
        <f t="shared" si="10"/>
        <v>12795733.73999995</v>
      </c>
      <c r="AK14" s="1106">
        <f t="shared" si="54"/>
        <v>3168000</v>
      </c>
      <c r="AL14" s="778">
        <v>1536956.5933333933</v>
      </c>
      <c r="AM14" s="797">
        <f t="shared" si="11"/>
        <v>25766400</v>
      </c>
      <c r="AN14" s="797">
        <f t="shared" si="12"/>
        <v>14332690.333333343</v>
      </c>
      <c r="AO14" s="1106">
        <f t="shared" si="55"/>
        <v>3273600.0000000005</v>
      </c>
      <c r="AP14" s="778">
        <v>1738778.9999998808</v>
      </c>
      <c r="AQ14" s="905">
        <f t="shared" si="56"/>
        <v>9715200</v>
      </c>
      <c r="AR14" s="905">
        <f t="shared" si="57"/>
        <v>4415413.3333332688</v>
      </c>
      <c r="AS14" s="797">
        <f t="shared" si="13"/>
        <v>29040000</v>
      </c>
      <c r="AT14" s="797">
        <f t="shared" si="14"/>
        <v>16071469.333333224</v>
      </c>
      <c r="AU14" s="1106">
        <f t="shared" si="58"/>
        <v>3273600.0000000005</v>
      </c>
      <c r="AV14" s="778">
        <v>2162799</v>
      </c>
      <c r="AW14" s="797">
        <f t="shared" si="15"/>
        <v>32313600</v>
      </c>
      <c r="AX14" s="797">
        <f t="shared" si="16"/>
        <v>18234268.333333224</v>
      </c>
      <c r="AY14" s="1106">
        <f t="shared" si="59"/>
        <v>2956800</v>
      </c>
      <c r="AZ14" s="778">
        <v>1869991.5499999523</v>
      </c>
      <c r="BA14" s="797">
        <f t="shared" si="17"/>
        <v>35270400</v>
      </c>
      <c r="BB14" s="797">
        <f t="shared" si="18"/>
        <v>20104259.883333176</v>
      </c>
      <c r="BC14" s="1106">
        <f t="shared" si="60"/>
        <v>3273600.0000000005</v>
      </c>
      <c r="BD14" s="778">
        <v>1620531</v>
      </c>
      <c r="BE14" s="905">
        <f t="shared" si="61"/>
        <v>9504000</v>
      </c>
      <c r="BF14" s="905">
        <f t="shared" si="62"/>
        <v>5653321.5499999523</v>
      </c>
      <c r="BG14" s="2848">
        <f t="shared" si="19"/>
        <v>12777600</v>
      </c>
      <c r="BH14" s="2848">
        <f t="shared" si="20"/>
        <v>7273852.5499999523</v>
      </c>
      <c r="BI14" s="797">
        <f t="shared" si="21"/>
        <v>38544000</v>
      </c>
      <c r="BJ14" s="797">
        <f t="shared" si="22"/>
        <v>21724790.883333176</v>
      </c>
    </row>
    <row r="15" spans="1:62" ht="18.75" customHeight="1" thickBot="1" x14ac:dyDescent="0.3">
      <c r="A15" s="714">
        <v>10</v>
      </c>
      <c r="B15" s="755" t="s">
        <v>140</v>
      </c>
      <c r="C15" s="35" t="s">
        <v>242</v>
      </c>
      <c r="D15" s="756">
        <f t="shared" ref="D15:E15" si="65">+D11-D14</f>
        <v>88061714.192000017</v>
      </c>
      <c r="E15" s="757">
        <f t="shared" si="65"/>
        <v>93510526.042999983</v>
      </c>
      <c r="G15" s="2830">
        <v>3</v>
      </c>
      <c r="H15" s="2448" t="s">
        <v>916</v>
      </c>
      <c r="I15" s="2831">
        <f>I6-I12</f>
        <v>89139394.175470561</v>
      </c>
      <c r="J15" s="2831">
        <f>J6-J12</f>
        <v>82303253</v>
      </c>
      <c r="K15" s="2831">
        <f>K6-K12</f>
        <v>91890335.213959426</v>
      </c>
      <c r="L15" s="2850">
        <f>L6-L12</f>
        <v>88483879.906641006</v>
      </c>
      <c r="M15" s="2836">
        <f t="shared" si="0"/>
        <v>181029729.38942999</v>
      </c>
      <c r="N15" s="2836">
        <f t="shared" si="0"/>
        <v>170787132.90664101</v>
      </c>
      <c r="O15" s="2831">
        <f>O6-O12</f>
        <v>110583827.04800352</v>
      </c>
      <c r="P15" s="2831">
        <f>P6-P12</f>
        <v>107339333.44672418</v>
      </c>
      <c r="Q15" s="2834">
        <f t="shared" si="1"/>
        <v>291613556.43743348</v>
      </c>
      <c r="R15" s="2834">
        <f t="shared" si="2"/>
        <v>278126466.35336518</v>
      </c>
      <c r="S15" s="2831">
        <f>S6-S12</f>
        <v>114338805.31038228</v>
      </c>
      <c r="T15" s="2850">
        <f>T6-T12</f>
        <v>109478055.50518271</v>
      </c>
      <c r="U15" s="2836">
        <f t="shared" si="3"/>
        <v>405952361.74781573</v>
      </c>
      <c r="V15" s="2836">
        <f t="shared" si="4"/>
        <v>387604521.85854793</v>
      </c>
      <c r="W15" s="2831">
        <f>W6-W12</f>
        <v>114904872.58634733</v>
      </c>
      <c r="X15" s="2850">
        <f>X6-X12</f>
        <v>110843923.72039996</v>
      </c>
      <c r="Y15" s="2836">
        <f t="shared" si="5"/>
        <v>520857234.33416307</v>
      </c>
      <c r="Z15" s="2836">
        <f t="shared" si="6"/>
        <v>498448445.5789479</v>
      </c>
      <c r="AA15" s="2831">
        <f>AA6-AA12</f>
        <v>111572884.7091431</v>
      </c>
      <c r="AB15" s="2850">
        <f>AB6-AB12</f>
        <v>107561935.54200009</v>
      </c>
      <c r="AC15" s="2834">
        <f t="shared" ref="AC15:AC16" si="66">+S15+W15+AA15</f>
        <v>340816562.60587269</v>
      </c>
      <c r="AD15" s="2834">
        <f t="shared" ref="AD15:AD16" si="67">+T15+X15+AB15</f>
        <v>327883914.76758277</v>
      </c>
      <c r="AE15" s="2837">
        <f t="shared" si="7"/>
        <v>632430119.04330611</v>
      </c>
      <c r="AF15" s="2837">
        <f t="shared" si="8"/>
        <v>606010381.12094796</v>
      </c>
      <c r="AG15" s="779">
        <f>AG6-AG12</f>
        <v>115155237.90661365</v>
      </c>
      <c r="AH15" s="917">
        <f>AH6-AH12</f>
        <v>112624396.67599997</v>
      </c>
      <c r="AI15" s="798">
        <f t="shared" si="9"/>
        <v>747585356.9499197</v>
      </c>
      <c r="AJ15" s="798">
        <f t="shared" si="10"/>
        <v>718634777.79694796</v>
      </c>
      <c r="AK15" s="779">
        <f>AK6-AK12</f>
        <v>111572884.7091431</v>
      </c>
      <c r="AL15" s="917">
        <f>AL6-AL12</f>
        <v>105771498.27466661</v>
      </c>
      <c r="AM15" s="798">
        <f t="shared" si="11"/>
        <v>859158241.65906286</v>
      </c>
      <c r="AN15" s="798">
        <f t="shared" si="12"/>
        <v>824406276.0716145</v>
      </c>
      <c r="AO15" s="779">
        <f>AO6-AO12</f>
        <v>115155237.90661365</v>
      </c>
      <c r="AP15" s="917">
        <f>AP6-AP12</f>
        <v>111985573.23900008</v>
      </c>
      <c r="AQ15" s="907">
        <f t="shared" si="56"/>
        <v>341883360.5223704</v>
      </c>
      <c r="AR15" s="907">
        <f t="shared" si="57"/>
        <v>330381468.18966663</v>
      </c>
      <c r="AS15" s="798">
        <f t="shared" si="13"/>
        <v>974313479.56567645</v>
      </c>
      <c r="AT15" s="798">
        <f t="shared" si="14"/>
        <v>936391849.31061459</v>
      </c>
      <c r="AU15" s="779">
        <f>AU6-AU12</f>
        <v>115155237.90661365</v>
      </c>
      <c r="AV15" s="917">
        <f>AV6-AV12</f>
        <v>110853987.47</v>
      </c>
      <c r="AW15" s="798">
        <f t="shared" si="15"/>
        <v>1089468717.47229</v>
      </c>
      <c r="AX15" s="798">
        <f t="shared" si="16"/>
        <v>1047245836.7806146</v>
      </c>
      <c r="AY15" s="779">
        <f>AY6-AY12</f>
        <v>103546338.0235845</v>
      </c>
      <c r="AZ15" s="917">
        <f>AZ6-AZ12</f>
        <v>98090699.010896593</v>
      </c>
      <c r="BA15" s="798">
        <f t="shared" si="17"/>
        <v>1193015055.4958746</v>
      </c>
      <c r="BB15" s="798">
        <f t="shared" si="18"/>
        <v>1145336535.7915113</v>
      </c>
      <c r="BC15" s="779">
        <f>BC6-BC12</f>
        <v>115155237.90661365</v>
      </c>
      <c r="BD15" s="917">
        <f>BD6-BD12</f>
        <v>111507679.69127585</v>
      </c>
      <c r="BE15" s="907">
        <f t="shared" si="61"/>
        <v>333856813.83681178</v>
      </c>
      <c r="BF15" s="907">
        <f t="shared" si="62"/>
        <v>320452366.17217243</v>
      </c>
      <c r="BG15" s="2837">
        <f t="shared" si="19"/>
        <v>449012051.74342543</v>
      </c>
      <c r="BH15" s="2837">
        <f t="shared" si="20"/>
        <v>431960045.86344826</v>
      </c>
      <c r="BI15" s="798">
        <f t="shared" si="21"/>
        <v>1308170293.4024882</v>
      </c>
      <c r="BJ15" s="798">
        <f t="shared" si="22"/>
        <v>1256844215.4827871</v>
      </c>
    </row>
    <row r="16" spans="1:62" ht="15" customHeight="1" x14ac:dyDescent="0.25">
      <c r="A16" s="714">
        <v>11</v>
      </c>
      <c r="B16" s="746" t="s">
        <v>899</v>
      </c>
      <c r="C16" s="33" t="s">
        <v>242</v>
      </c>
      <c r="D16" s="747">
        <v>1093290</v>
      </c>
      <c r="E16" s="748">
        <v>1171532.8</v>
      </c>
      <c r="G16" s="2830">
        <v>4</v>
      </c>
      <c r="H16" s="2448" t="s">
        <v>917</v>
      </c>
      <c r="I16" s="2831">
        <f>I17+I39</f>
        <v>89139394.175470561</v>
      </c>
      <c r="J16" s="2831">
        <f>J17+J39</f>
        <v>82303252.540209472</v>
      </c>
      <c r="K16" s="2831">
        <f>K17+K39</f>
        <v>91890335.213959441</v>
      </c>
      <c r="L16" s="2850">
        <f>L17+L39</f>
        <v>88483879.906641096</v>
      </c>
      <c r="M16" s="2836">
        <f t="shared" si="0"/>
        <v>181029729.38942999</v>
      </c>
      <c r="N16" s="2836">
        <f t="shared" si="0"/>
        <v>170787132.44685057</v>
      </c>
      <c r="O16" s="2831">
        <f>O17+O39</f>
        <v>111046112.72760351</v>
      </c>
      <c r="P16" s="2831">
        <f>P17+P39</f>
        <v>107350333.44672415</v>
      </c>
      <c r="Q16" s="2834">
        <f t="shared" si="1"/>
        <v>292075842.11703348</v>
      </c>
      <c r="R16" s="2834">
        <f t="shared" si="2"/>
        <v>278137465.89357471</v>
      </c>
      <c r="S16" s="2831">
        <f>S17+S39</f>
        <v>114338805.31038225</v>
      </c>
      <c r="T16" s="2850">
        <f>T17+T39</f>
        <v>109478055.50518273</v>
      </c>
      <c r="U16" s="2836">
        <f t="shared" si="3"/>
        <v>406414647.42741573</v>
      </c>
      <c r="V16" s="2836">
        <f t="shared" si="4"/>
        <v>387615521.39875746</v>
      </c>
      <c r="W16" s="2831">
        <f>W17+W39</f>
        <v>114904872.58634734</v>
      </c>
      <c r="X16" s="2850">
        <f>X17+X39</f>
        <v>110843923.72039996</v>
      </c>
      <c r="Y16" s="2836">
        <f t="shared" si="5"/>
        <v>521319520.01376307</v>
      </c>
      <c r="Z16" s="2836">
        <f t="shared" si="6"/>
        <v>498459445.11915743</v>
      </c>
      <c r="AA16" s="2831">
        <f>AA17+AA39</f>
        <v>111572884.7091431</v>
      </c>
      <c r="AB16" s="2850">
        <f>AB17+AB39</f>
        <v>107633935.54200007</v>
      </c>
      <c r="AC16" s="2834">
        <f t="shared" si="66"/>
        <v>340816562.60587269</v>
      </c>
      <c r="AD16" s="2834">
        <f t="shared" si="67"/>
        <v>327955914.76758277</v>
      </c>
      <c r="AE16" s="2837">
        <f t="shared" si="7"/>
        <v>632892404.72290611</v>
      </c>
      <c r="AF16" s="2837">
        <f t="shared" si="8"/>
        <v>606093380.66115749</v>
      </c>
      <c r="AG16" s="779">
        <f>AG17+AG39</f>
        <v>115155237.90661362</v>
      </c>
      <c r="AH16" s="917">
        <f>AH17+AH39</f>
        <v>112624396.67599995</v>
      </c>
      <c r="AI16" s="798">
        <f t="shared" si="9"/>
        <v>748047642.6295197</v>
      </c>
      <c r="AJ16" s="798">
        <f t="shared" si="10"/>
        <v>718717777.33715749</v>
      </c>
      <c r="AK16" s="779">
        <f>AK17+AK39</f>
        <v>111572884.7091431</v>
      </c>
      <c r="AL16" s="917">
        <f>AL17+AL39</f>
        <v>105771498.27466661</v>
      </c>
      <c r="AM16" s="798">
        <f t="shared" si="11"/>
        <v>859620527.33866286</v>
      </c>
      <c r="AN16" s="798">
        <f t="shared" si="12"/>
        <v>824489275.61182404</v>
      </c>
      <c r="AO16" s="779">
        <f>AO17+AO39</f>
        <v>115155237.90661362</v>
      </c>
      <c r="AP16" s="917">
        <f>AP17+AP39</f>
        <v>111985573.2390001</v>
      </c>
      <c r="AQ16" s="907">
        <f t="shared" si="56"/>
        <v>341883360.52237034</v>
      </c>
      <c r="AR16" s="907">
        <f t="shared" si="57"/>
        <v>330381468.18966663</v>
      </c>
      <c r="AS16" s="798">
        <f t="shared" si="13"/>
        <v>974775765.24527645</v>
      </c>
      <c r="AT16" s="798">
        <f t="shared" si="14"/>
        <v>936474848.85082412</v>
      </c>
      <c r="AU16" s="779">
        <f>AU17+AU39</f>
        <v>115155237.90661362</v>
      </c>
      <c r="AV16" s="917">
        <f>AV17+AV39</f>
        <v>110853987.47</v>
      </c>
      <c r="AW16" s="798">
        <f t="shared" si="15"/>
        <v>1089931003.15189</v>
      </c>
      <c r="AX16" s="798">
        <f t="shared" si="16"/>
        <v>1047328836.3208241</v>
      </c>
      <c r="AY16" s="779">
        <f>AY17+AY39</f>
        <v>103546338.02358451</v>
      </c>
      <c r="AZ16" s="917">
        <f>AZ17+AZ39</f>
        <v>98090699.010896564</v>
      </c>
      <c r="BA16" s="798">
        <f t="shared" si="17"/>
        <v>1193477341.1754746</v>
      </c>
      <c r="BB16" s="798">
        <f t="shared" si="18"/>
        <v>1145419535.3317208</v>
      </c>
      <c r="BC16" s="779">
        <f>BC17+BC39</f>
        <v>115155237.90661362</v>
      </c>
      <c r="BD16" s="917">
        <f>BD17+BD39</f>
        <v>111507679.69127582</v>
      </c>
      <c r="BE16" s="907">
        <f t="shared" si="61"/>
        <v>333856813.83681178</v>
      </c>
      <c r="BF16" s="907">
        <f t="shared" si="62"/>
        <v>320452366.17217237</v>
      </c>
      <c r="BG16" s="2837">
        <f t="shared" si="19"/>
        <v>449012051.74342537</v>
      </c>
      <c r="BH16" s="2837">
        <f t="shared" si="20"/>
        <v>431960045.8634482</v>
      </c>
      <c r="BI16" s="798">
        <f t="shared" si="21"/>
        <v>1308632579.0820882</v>
      </c>
      <c r="BJ16" s="798">
        <f t="shared" si="22"/>
        <v>1256927215.0229967</v>
      </c>
    </row>
    <row r="17" spans="1:62" ht="15" customHeight="1" x14ac:dyDescent="0.25">
      <c r="A17" s="714">
        <v>12</v>
      </c>
      <c r="B17" s="746" t="s">
        <v>891</v>
      </c>
      <c r="C17" s="33" t="s">
        <v>242</v>
      </c>
      <c r="D17" s="747">
        <v>5090630.0000000047</v>
      </c>
      <c r="E17" s="748">
        <v>4892460.0000000009</v>
      </c>
      <c r="G17" s="2851">
        <v>4.0999999999999996</v>
      </c>
      <c r="H17" s="2452" t="s">
        <v>911</v>
      </c>
      <c r="I17" s="470">
        <f>I18+I34</f>
        <v>79545394.175470561</v>
      </c>
      <c r="J17" s="470">
        <f>J18+J34</f>
        <v>73693539.817753628</v>
      </c>
      <c r="K17" s="470">
        <f>K18+K34</f>
        <v>81976535.213959441</v>
      </c>
      <c r="L17" s="419">
        <v>79755556.598941103</v>
      </c>
      <c r="M17" s="418">
        <f t="shared" si="0"/>
        <v>161521929.38942999</v>
      </c>
      <c r="N17" s="418">
        <f t="shared" si="0"/>
        <v>153449096.41669473</v>
      </c>
      <c r="O17" s="470">
        <f>O18+O34</f>
        <v>101452112.72760351</v>
      </c>
      <c r="P17" s="470">
        <f>P18+P34</f>
        <v>97533326.955172434</v>
      </c>
      <c r="Q17" s="552">
        <f t="shared" si="1"/>
        <v>262974042.11703348</v>
      </c>
      <c r="R17" s="552">
        <f t="shared" si="2"/>
        <v>250982423.37186718</v>
      </c>
      <c r="S17" s="470">
        <f>S18+S34</f>
        <v>104425005.31038225</v>
      </c>
      <c r="T17" s="419">
        <f>T18+T34</f>
        <v>99460173.124430999</v>
      </c>
      <c r="U17" s="418">
        <f t="shared" si="3"/>
        <v>367399047.42741573</v>
      </c>
      <c r="V17" s="418">
        <f t="shared" si="4"/>
        <v>350442596.49629819</v>
      </c>
      <c r="W17" s="470">
        <f>W18+W34</f>
        <v>104991072.58634734</v>
      </c>
      <c r="X17" s="419">
        <f>X18+X34</f>
        <v>100590354.91399996</v>
      </c>
      <c r="Y17" s="418">
        <f t="shared" si="5"/>
        <v>472390120.01376307</v>
      </c>
      <c r="Z17" s="418">
        <f t="shared" si="6"/>
        <v>451032951.41029817</v>
      </c>
      <c r="AA17" s="470">
        <f>AA18+AA34</f>
        <v>101978884.7091431</v>
      </c>
      <c r="AB17" s="419">
        <f>AB18+AB34</f>
        <v>97223898.840000063</v>
      </c>
      <c r="AC17" s="2834">
        <f t="shared" ref="AC17" si="68">+S17+W17+AA17</f>
        <v>311394962.60587269</v>
      </c>
      <c r="AD17" s="2834">
        <f t="shared" ref="AD17" si="69">+T17+X17+AB17</f>
        <v>297274426.87843102</v>
      </c>
      <c r="AE17" s="1268">
        <f t="shared" si="7"/>
        <v>574369004.72290611</v>
      </c>
      <c r="AF17" s="1268">
        <f t="shared" si="8"/>
        <v>548256850.25029826</v>
      </c>
      <c r="AG17" s="941">
        <f>AG18+AG34</f>
        <v>105241437.90661362</v>
      </c>
      <c r="AH17" s="781">
        <f>AH18+AH34</f>
        <v>102941490.22999996</v>
      </c>
      <c r="AI17" s="569">
        <f t="shared" si="9"/>
        <v>679610442.6295197</v>
      </c>
      <c r="AJ17" s="569">
        <f t="shared" si="10"/>
        <v>651198340.48029828</v>
      </c>
      <c r="AK17" s="941">
        <f>AK18+AK34</f>
        <v>101978884.7091431</v>
      </c>
      <c r="AL17" s="781">
        <f>AL18+AL34</f>
        <v>96810213.017666593</v>
      </c>
      <c r="AM17" s="569">
        <f t="shared" si="11"/>
        <v>781589327.33866286</v>
      </c>
      <c r="AN17" s="569">
        <f t="shared" si="12"/>
        <v>748008553.49796486</v>
      </c>
      <c r="AO17" s="941">
        <f>AO18+AO34</f>
        <v>105241437.90661362</v>
      </c>
      <c r="AP17" s="781">
        <f>AP18+AP34</f>
        <v>102764581.64675009</v>
      </c>
      <c r="AQ17" s="1193">
        <f t="shared" si="56"/>
        <v>312461760.52237034</v>
      </c>
      <c r="AR17" s="1193">
        <f t="shared" si="57"/>
        <v>302516284.89441663</v>
      </c>
      <c r="AS17" s="569">
        <f t="shared" si="13"/>
        <v>886830765.24527645</v>
      </c>
      <c r="AT17" s="569">
        <f t="shared" si="14"/>
        <v>850773135.14471495</v>
      </c>
      <c r="AU17" s="941">
        <f>AU18+AU34</f>
        <v>105241437.90661362</v>
      </c>
      <c r="AV17" s="781">
        <f>AV18+AV34</f>
        <v>101457022.4108</v>
      </c>
      <c r="AW17" s="569">
        <f t="shared" si="15"/>
        <v>992072203.15189004</v>
      </c>
      <c r="AX17" s="569">
        <f t="shared" si="16"/>
        <v>952230157.55551493</v>
      </c>
      <c r="AY17" s="941">
        <f>AY18+AY34</f>
        <v>94591938.023584515</v>
      </c>
      <c r="AZ17" s="781">
        <f>AZ18+AZ34</f>
        <v>90553980.727346569</v>
      </c>
      <c r="BA17" s="569">
        <f t="shared" si="17"/>
        <v>1086664141.1754746</v>
      </c>
      <c r="BB17" s="569">
        <f t="shared" si="18"/>
        <v>1042784138.2828615</v>
      </c>
      <c r="BC17" s="941">
        <f>BC18+BC34</f>
        <v>105241437.90661362</v>
      </c>
      <c r="BD17" s="781">
        <f>BD18+BD34</f>
        <v>103196688.20977582</v>
      </c>
      <c r="BE17" s="1193">
        <f t="shared" si="61"/>
        <v>305074813.83681178</v>
      </c>
      <c r="BF17" s="1193">
        <f t="shared" si="62"/>
        <v>295207691.34792238</v>
      </c>
      <c r="BG17" s="1268">
        <f t="shared" si="19"/>
        <v>410316251.74342537</v>
      </c>
      <c r="BH17" s="1268">
        <f t="shared" si="20"/>
        <v>398404379.55769819</v>
      </c>
      <c r="BI17" s="569">
        <f t="shared" si="21"/>
        <v>1191905579.0820882</v>
      </c>
      <c r="BJ17" s="569">
        <f t="shared" si="22"/>
        <v>1145980826.4926374</v>
      </c>
    </row>
    <row r="18" spans="1:62" ht="15" customHeight="1" x14ac:dyDescent="0.25">
      <c r="A18" s="714">
        <v>13</v>
      </c>
      <c r="B18" s="746" t="s">
        <v>731</v>
      </c>
      <c r="C18" s="33" t="s">
        <v>242</v>
      </c>
      <c r="D18" s="747">
        <v>1555939.9999999995</v>
      </c>
      <c r="E18" s="748">
        <v>1505040</v>
      </c>
      <c r="G18" s="2852" t="s">
        <v>918</v>
      </c>
      <c r="H18" s="2553" t="s">
        <v>890</v>
      </c>
      <c r="I18" s="2853">
        <f>SUM(I19:I32)</f>
        <v>76889173.786470577</v>
      </c>
      <c r="J18" s="2853">
        <f>SUM(J19:J32)</f>
        <v>71633533.700000003</v>
      </c>
      <c r="K18" s="2853">
        <f>SUM(K19:K32)</f>
        <v>79231774.145326108</v>
      </c>
      <c r="L18" s="2854">
        <f>SUM(L19:L32)</f>
        <v>77738769.300000086</v>
      </c>
      <c r="M18" s="2855">
        <f t="shared" si="0"/>
        <v>156120947.93179667</v>
      </c>
      <c r="N18" s="2855">
        <f t="shared" si="0"/>
        <v>149372303.00000009</v>
      </c>
      <c r="O18" s="2853">
        <f>SUM(O19:O32)</f>
        <v>98795892.338603511</v>
      </c>
      <c r="P18" s="2853">
        <f>SUM(P19:P32)</f>
        <v>95563613.600000024</v>
      </c>
      <c r="Q18" s="2856">
        <f t="shared" si="1"/>
        <v>254916840.27040017</v>
      </c>
      <c r="R18" s="2856">
        <f t="shared" si="2"/>
        <v>244935916.60000011</v>
      </c>
      <c r="S18" s="2853">
        <f>SUM(S19:S32)</f>
        <v>101677116.08238225</v>
      </c>
      <c r="T18" s="2854">
        <f>SUM(T19:T32)</f>
        <v>97537959.799999967</v>
      </c>
      <c r="U18" s="2855">
        <f t="shared" si="3"/>
        <v>356593956.35278243</v>
      </c>
      <c r="V18" s="2855">
        <f t="shared" si="4"/>
        <v>342473876.4000001</v>
      </c>
      <c r="W18" s="2853">
        <f>SUM(W19:W32)</f>
        <v>102243183.35834734</v>
      </c>
      <c r="X18" s="2854">
        <f>SUM(X19:X32)</f>
        <v>98565458.399999961</v>
      </c>
      <c r="Y18" s="2855">
        <f t="shared" si="5"/>
        <v>458837139.71112978</v>
      </c>
      <c r="Z18" s="2855">
        <f t="shared" si="6"/>
        <v>441039334.80000007</v>
      </c>
      <c r="AA18" s="2853">
        <f>SUM(AA19:AA32)</f>
        <v>99319637.069143102</v>
      </c>
      <c r="AB18" s="2854">
        <f>SUM(AB19:AB32)</f>
        <v>95326777.200000063</v>
      </c>
      <c r="AC18" s="2834">
        <f>+S18+W18+AA18</f>
        <v>303239936.50987267</v>
      </c>
      <c r="AD18" s="2834">
        <f>+T18+X18+AB18</f>
        <v>291430195.39999998</v>
      </c>
      <c r="AE18" s="2857">
        <f t="shared" si="7"/>
        <v>558156776.78027284</v>
      </c>
      <c r="AF18" s="2857">
        <f t="shared" si="8"/>
        <v>536366112.00000012</v>
      </c>
      <c r="AG18" s="782">
        <f>SUM(AG19:AG32)</f>
        <v>102493548.67861362</v>
      </c>
      <c r="AH18" s="783">
        <f>SUM(AH19:AH32)</f>
        <v>101026355.65999997</v>
      </c>
      <c r="AI18" s="799">
        <f t="shared" si="9"/>
        <v>660650325.4588865</v>
      </c>
      <c r="AJ18" s="799">
        <f t="shared" si="10"/>
        <v>637392467.66000009</v>
      </c>
      <c r="AK18" s="782">
        <f>SUM(AK19:AK32)</f>
        <v>99319637.069143102</v>
      </c>
      <c r="AL18" s="783">
        <f>SUM(AL19:AL32)</f>
        <v>94975090.406666592</v>
      </c>
      <c r="AM18" s="799">
        <f t="shared" si="11"/>
        <v>759969962.52802956</v>
      </c>
      <c r="AN18" s="799">
        <f t="shared" si="12"/>
        <v>732367558.06666672</v>
      </c>
      <c r="AO18" s="782">
        <f>SUM(AO19:AO32)</f>
        <v>102493548.67861362</v>
      </c>
      <c r="AP18" s="783">
        <f>SUM(AP19:AP32)</f>
        <v>100861138.50000009</v>
      </c>
      <c r="AQ18" s="907">
        <f>+AG18+AK18+AO18</f>
        <v>304306734.42637032</v>
      </c>
      <c r="AR18" s="907">
        <f>+AH18+AL18+AP18</f>
        <v>296862584.5666666</v>
      </c>
      <c r="AS18" s="799">
        <f t="shared" si="13"/>
        <v>862463511.20664322</v>
      </c>
      <c r="AT18" s="799">
        <f t="shared" si="14"/>
        <v>833228696.56666684</v>
      </c>
      <c r="AU18" s="782">
        <f>SUM(AU19:AU32)</f>
        <v>102493548.67861362</v>
      </c>
      <c r="AV18" s="783">
        <f>SUM(AV19:AV32)</f>
        <v>99637763.700000003</v>
      </c>
      <c r="AW18" s="799">
        <f t="shared" si="15"/>
        <v>964957059.88525689</v>
      </c>
      <c r="AX18" s="799">
        <f t="shared" si="16"/>
        <v>932866460.26666689</v>
      </c>
      <c r="AY18" s="782">
        <f>SUM(AY19:AY32)</f>
        <v>92109973.559584513</v>
      </c>
      <c r="AZ18" s="783">
        <f>SUM(AZ19:AZ32)</f>
        <v>88947576.950000018</v>
      </c>
      <c r="BA18" s="799">
        <f t="shared" si="17"/>
        <v>1057067033.4448414</v>
      </c>
      <c r="BB18" s="799">
        <f t="shared" si="18"/>
        <v>1021814037.2166669</v>
      </c>
      <c r="BC18" s="782">
        <f>SUM(BC19:BC32)</f>
        <v>102493548.67861362</v>
      </c>
      <c r="BD18" s="783">
        <f>SUM(BD19:BD32)</f>
        <v>101305205.59999996</v>
      </c>
      <c r="BE18" s="907">
        <f>+AU18+AY18+BC18</f>
        <v>297097070.91681176</v>
      </c>
      <c r="BF18" s="907">
        <f>+AV18+AZ18+BD18</f>
        <v>289890546.25</v>
      </c>
      <c r="BG18" s="2857">
        <f t="shared" si="19"/>
        <v>399590619.59542537</v>
      </c>
      <c r="BH18" s="2857">
        <f t="shared" si="20"/>
        <v>391195751.84999996</v>
      </c>
      <c r="BI18" s="799">
        <f t="shared" si="21"/>
        <v>1159560582.123455</v>
      </c>
      <c r="BJ18" s="799">
        <f t="shared" si="22"/>
        <v>1123119242.8166668</v>
      </c>
    </row>
    <row r="19" spans="1:62" ht="15" customHeight="1" x14ac:dyDescent="0.25">
      <c r="A19" s="714">
        <v>14</v>
      </c>
      <c r="B19" s="746" t="s">
        <v>534</v>
      </c>
      <c r="C19" s="33" t="s">
        <v>242</v>
      </c>
      <c r="D19" s="747">
        <v>7954979.9999999814</v>
      </c>
      <c r="E19" s="748">
        <v>8018420.0000000149</v>
      </c>
      <c r="G19" s="2827" t="s">
        <v>919</v>
      </c>
      <c r="H19" s="700" t="s">
        <v>891</v>
      </c>
      <c r="I19" s="2839">
        <f t="shared" ref="I19:K32" si="70">+I67*I$3*24*1000</f>
        <v>5125581.4499999993</v>
      </c>
      <c r="J19" s="1398">
        <v>4589870.0000000102</v>
      </c>
      <c r="K19" s="2839">
        <f t="shared" si="70"/>
        <v>5296434.165000001</v>
      </c>
      <c r="L19" s="2845">
        <v>4865769.9999999898</v>
      </c>
      <c r="M19" s="2846">
        <f t="shared" si="0"/>
        <v>10422015.615</v>
      </c>
      <c r="N19" s="2846">
        <f t="shared" si="0"/>
        <v>9455640</v>
      </c>
      <c r="O19" s="1398">
        <f t="shared" ref="O19" si="71">+O67*O$3*24*1000</f>
        <v>5125581.45</v>
      </c>
      <c r="P19" s="1398">
        <v>4678410</v>
      </c>
      <c r="Q19" s="2847">
        <f t="shared" si="1"/>
        <v>15547597.065000001</v>
      </c>
      <c r="R19" s="2847">
        <f t="shared" si="2"/>
        <v>14134050</v>
      </c>
      <c r="S19" s="1398">
        <f t="shared" ref="S19" si="72">+S67*S$3*24*1000</f>
        <v>5296434.165000001</v>
      </c>
      <c r="T19" s="2845">
        <v>4811400.0000000009</v>
      </c>
      <c r="U19" s="2846">
        <f t="shared" si="3"/>
        <v>20844031.230000004</v>
      </c>
      <c r="V19" s="2846">
        <f t="shared" si="4"/>
        <v>18945450</v>
      </c>
      <c r="W19" s="1398">
        <f t="shared" ref="W19:W32" si="73">+W67*W$3*24*1000</f>
        <v>5296434.165000001</v>
      </c>
      <c r="X19" s="2845">
        <v>4817160.0000000009</v>
      </c>
      <c r="Y19" s="2846">
        <f t="shared" si="5"/>
        <v>26140465.395000003</v>
      </c>
      <c r="Z19" s="2846">
        <f t="shared" si="6"/>
        <v>23762610</v>
      </c>
      <c r="AA19" s="1398">
        <f t="shared" ref="AA19:AA32" si="74">+AA67*AA$3*24*1000</f>
        <v>5125581.45</v>
      </c>
      <c r="AB19" s="2845">
        <v>4786340.000000013</v>
      </c>
      <c r="AC19" s="2842">
        <f t="shared" ref="AC19:AC32" si="75">+S19+W19+AA19</f>
        <v>15718449.780000001</v>
      </c>
      <c r="AD19" s="2842">
        <f t="shared" ref="AD19:AD32" si="76">+T19+X19+AB19</f>
        <v>14414900.000000015</v>
      </c>
      <c r="AE19" s="2848">
        <f t="shared" si="7"/>
        <v>31266046.845000003</v>
      </c>
      <c r="AF19" s="2848">
        <f t="shared" si="8"/>
        <v>28548950.000000015</v>
      </c>
      <c r="AG19" s="777">
        <f t="shared" ref="AG19:AG32" si="77">+AG67*AG$3*24*1000</f>
        <v>5296434.165000001</v>
      </c>
      <c r="AH19" s="778">
        <v>4946639.9999999795</v>
      </c>
      <c r="AI19" s="797">
        <f t="shared" si="9"/>
        <v>36562481.010000005</v>
      </c>
      <c r="AJ19" s="797">
        <f t="shared" si="10"/>
        <v>33495589.999999993</v>
      </c>
      <c r="AK19" s="777">
        <f t="shared" ref="AK19:AK32" si="78">+AK67*AK$3*24*1000</f>
        <v>5125581.45</v>
      </c>
      <c r="AL19" s="778">
        <v>4752520.000000014</v>
      </c>
      <c r="AM19" s="797">
        <f t="shared" si="11"/>
        <v>41688062.460000008</v>
      </c>
      <c r="AN19" s="797">
        <f t="shared" si="12"/>
        <v>38248110.000000007</v>
      </c>
      <c r="AO19" s="777">
        <f t="shared" ref="AO19:AO32" si="79">+AO67*AO$3*24*1000</f>
        <v>5296434.165000001</v>
      </c>
      <c r="AP19" s="778">
        <v>4991729.9999999981</v>
      </c>
      <c r="AQ19" s="905">
        <f t="shared" ref="AQ19:AQ32" si="80">+AG19+AK19+AO19</f>
        <v>15718449.780000003</v>
      </c>
      <c r="AR19" s="905">
        <f t="shared" ref="AR19:AR32" si="81">+AH19+AL19+AP19</f>
        <v>14690889.999999991</v>
      </c>
      <c r="AS19" s="797">
        <f t="shared" si="13"/>
        <v>46984496.625000007</v>
      </c>
      <c r="AT19" s="797">
        <f t="shared" si="14"/>
        <v>43239840.000000007</v>
      </c>
      <c r="AU19" s="777">
        <f t="shared" ref="AU19:AU32" si="82">+AU67*AU$3*24*1000</f>
        <v>5296434.165000001</v>
      </c>
      <c r="AV19" s="778">
        <v>4945589.9999999953</v>
      </c>
      <c r="AW19" s="797">
        <f t="shared" si="15"/>
        <v>52280930.790000007</v>
      </c>
      <c r="AX19" s="797">
        <f t="shared" si="16"/>
        <v>48185430</v>
      </c>
      <c r="AY19" s="777">
        <f t="shared" ref="AY19:AY32" si="83">+AY67*AY$3*24*1000</f>
        <v>4783876.0199999996</v>
      </c>
      <c r="AZ19" s="778">
        <v>4415110.0000000102</v>
      </c>
      <c r="BA19" s="797">
        <f t="shared" si="17"/>
        <v>57064806.810000002</v>
      </c>
      <c r="BB19" s="797">
        <f t="shared" si="18"/>
        <v>52600540.000000007</v>
      </c>
      <c r="BC19" s="777">
        <f t="shared" ref="BC19:BC32" si="84">+BC67*BC$3*24*1000</f>
        <v>5296434.165000001</v>
      </c>
      <c r="BD19" s="778">
        <v>4978580.0000000047</v>
      </c>
      <c r="BE19" s="905">
        <f t="shared" ref="BE19:BE32" si="85">+AU19+AY19+BC19</f>
        <v>15376744.350000001</v>
      </c>
      <c r="BF19" s="905">
        <f t="shared" ref="BF19:BF32" si="86">+AV19+AZ19+BD19</f>
        <v>14339280.000000011</v>
      </c>
      <c r="BG19" s="2848">
        <f t="shared" si="19"/>
        <v>20673178.515000001</v>
      </c>
      <c r="BH19" s="2848">
        <f t="shared" si="20"/>
        <v>19317860.000000015</v>
      </c>
      <c r="BI19" s="797">
        <f t="shared" si="21"/>
        <v>62361240.975000001</v>
      </c>
      <c r="BJ19" s="797">
        <f t="shared" si="22"/>
        <v>57579120.000000015</v>
      </c>
    </row>
    <row r="20" spans="1:62" ht="15" customHeight="1" x14ac:dyDescent="0.25">
      <c r="A20" s="714">
        <v>15</v>
      </c>
      <c r="B20" s="746" t="s">
        <v>892</v>
      </c>
      <c r="C20" s="33" t="s">
        <v>242</v>
      </c>
      <c r="D20" s="747">
        <v>9405013.9999999981</v>
      </c>
      <c r="E20" s="748">
        <v>9828956</v>
      </c>
      <c r="G20" s="2827" t="s">
        <v>920</v>
      </c>
      <c r="H20" s="700" t="s">
        <v>731</v>
      </c>
      <c r="I20" s="2839">
        <f t="shared" si="70"/>
        <v>2088000</v>
      </c>
      <c r="J20" s="1398">
        <v>1582480</v>
      </c>
      <c r="K20" s="2839">
        <f t="shared" si="70"/>
        <v>2157600</v>
      </c>
      <c r="L20" s="2845">
        <v>1739590</v>
      </c>
      <c r="M20" s="2846">
        <f t="shared" si="0"/>
        <v>4245600</v>
      </c>
      <c r="N20" s="2846">
        <f t="shared" si="0"/>
        <v>3322070</v>
      </c>
      <c r="O20" s="2839">
        <f t="shared" ref="O20" si="87">+O68*O$3*24*1000</f>
        <v>2088000</v>
      </c>
      <c r="P20" s="1398">
        <v>2151600.0000000014</v>
      </c>
      <c r="Q20" s="2847">
        <f t="shared" si="1"/>
        <v>6333600</v>
      </c>
      <c r="R20" s="2847">
        <f t="shared" si="2"/>
        <v>5473670.0000000019</v>
      </c>
      <c r="S20" s="1398">
        <f t="shared" ref="S20" si="88">+S68*S$3*24*1000</f>
        <v>2157600</v>
      </c>
      <c r="T20" s="2845">
        <v>2309020.0000000009</v>
      </c>
      <c r="U20" s="2846">
        <f t="shared" si="3"/>
        <v>8491200</v>
      </c>
      <c r="V20" s="2846">
        <f t="shared" si="4"/>
        <v>7782690.0000000028</v>
      </c>
      <c r="W20" s="1398">
        <f t="shared" si="73"/>
        <v>2157600</v>
      </c>
      <c r="X20" s="2845">
        <v>2289739.9999999958</v>
      </c>
      <c r="Y20" s="2846">
        <f t="shared" si="5"/>
        <v>10648800</v>
      </c>
      <c r="Z20" s="2846">
        <f t="shared" si="6"/>
        <v>10072429.999999998</v>
      </c>
      <c r="AA20" s="1398">
        <f t="shared" si="74"/>
        <v>2088000</v>
      </c>
      <c r="AB20" s="2845">
        <v>2224270.0000000005</v>
      </c>
      <c r="AC20" s="2842">
        <f t="shared" si="75"/>
        <v>6403200</v>
      </c>
      <c r="AD20" s="2842">
        <f t="shared" si="76"/>
        <v>6823029.9999999963</v>
      </c>
      <c r="AE20" s="2848">
        <f t="shared" si="7"/>
        <v>12736800</v>
      </c>
      <c r="AF20" s="2848">
        <f t="shared" si="8"/>
        <v>12296699.999999998</v>
      </c>
      <c r="AG20" s="777">
        <f t="shared" si="77"/>
        <v>2157600</v>
      </c>
      <c r="AH20" s="778">
        <v>2323250.0000000028</v>
      </c>
      <c r="AI20" s="797">
        <f t="shared" si="9"/>
        <v>14894400</v>
      </c>
      <c r="AJ20" s="797">
        <f t="shared" si="10"/>
        <v>14619950</v>
      </c>
      <c r="AK20" s="777">
        <f t="shared" si="78"/>
        <v>2088000</v>
      </c>
      <c r="AL20" s="778">
        <v>2098999.9999999991</v>
      </c>
      <c r="AM20" s="797">
        <f t="shared" si="11"/>
        <v>16982400</v>
      </c>
      <c r="AN20" s="797">
        <f t="shared" si="12"/>
        <v>16718950</v>
      </c>
      <c r="AO20" s="777">
        <f t="shared" si="79"/>
        <v>2157600</v>
      </c>
      <c r="AP20" s="778">
        <v>1925750</v>
      </c>
      <c r="AQ20" s="905">
        <f t="shared" si="80"/>
        <v>6403200</v>
      </c>
      <c r="AR20" s="905">
        <f t="shared" si="81"/>
        <v>6348000.0000000019</v>
      </c>
      <c r="AS20" s="797">
        <f t="shared" si="13"/>
        <v>19140000</v>
      </c>
      <c r="AT20" s="797">
        <f t="shared" si="14"/>
        <v>18644700</v>
      </c>
      <c r="AU20" s="777">
        <f t="shared" si="82"/>
        <v>2157600</v>
      </c>
      <c r="AV20" s="778">
        <v>1556027</v>
      </c>
      <c r="AW20" s="797">
        <f t="shared" si="15"/>
        <v>21297600</v>
      </c>
      <c r="AX20" s="797">
        <f t="shared" si="16"/>
        <v>20200727</v>
      </c>
      <c r="AY20" s="777">
        <f t="shared" si="83"/>
        <v>1948800.0000000002</v>
      </c>
      <c r="AZ20" s="778">
        <v>1670860.6999999993</v>
      </c>
      <c r="BA20" s="797">
        <f t="shared" si="17"/>
        <v>23246400</v>
      </c>
      <c r="BB20" s="797">
        <f t="shared" si="18"/>
        <v>21871587.699999999</v>
      </c>
      <c r="BC20" s="777">
        <f t="shared" si="84"/>
        <v>2157600</v>
      </c>
      <c r="BD20" s="778">
        <v>2020109.9999999988</v>
      </c>
      <c r="BE20" s="905">
        <f t="shared" si="85"/>
        <v>6264000</v>
      </c>
      <c r="BF20" s="905">
        <f t="shared" si="86"/>
        <v>5246997.6999999983</v>
      </c>
      <c r="BG20" s="2848">
        <f t="shared" si="19"/>
        <v>8421600</v>
      </c>
      <c r="BH20" s="2848">
        <f t="shared" si="20"/>
        <v>7267107.6999999974</v>
      </c>
      <c r="BI20" s="797">
        <f t="shared" si="21"/>
        <v>25404000</v>
      </c>
      <c r="BJ20" s="797">
        <f t="shared" si="22"/>
        <v>23891697.699999999</v>
      </c>
    </row>
    <row r="21" spans="1:62" ht="15" customHeight="1" x14ac:dyDescent="0.25">
      <c r="A21" s="714">
        <v>16</v>
      </c>
      <c r="B21" s="746" t="s">
        <v>893</v>
      </c>
      <c r="C21" s="33" t="s">
        <v>242</v>
      </c>
      <c r="D21" s="747">
        <v>16006660.000000006</v>
      </c>
      <c r="E21" s="748">
        <v>16895070</v>
      </c>
      <c r="G21" s="2827" t="s">
        <v>921</v>
      </c>
      <c r="H21" s="700" t="s">
        <v>534</v>
      </c>
      <c r="I21" s="2839">
        <f t="shared" si="70"/>
        <v>7589798.9780746317</v>
      </c>
      <c r="J21" s="1398">
        <v>8770860.0000000093</v>
      </c>
      <c r="K21" s="2839">
        <f t="shared" si="70"/>
        <v>7751415.5790392812</v>
      </c>
      <c r="L21" s="2845">
        <v>8940170</v>
      </c>
      <c r="M21" s="2846">
        <f t="shared" si="0"/>
        <v>15341214.557113912</v>
      </c>
      <c r="N21" s="2846">
        <f t="shared" si="0"/>
        <v>17711030.000000007</v>
      </c>
      <c r="O21" s="2839">
        <f t="shared" ref="O21" si="89">+O69*O$3*24*1000</f>
        <v>11269452.019069076</v>
      </c>
      <c r="P21" s="1398">
        <v>11523339.999999998</v>
      </c>
      <c r="Q21" s="2847">
        <f t="shared" si="1"/>
        <v>26610666.576182988</v>
      </c>
      <c r="R21" s="2847">
        <f t="shared" si="2"/>
        <v>29234370.000000007</v>
      </c>
      <c r="S21" s="1398">
        <f t="shared" ref="S21" si="90">+S69*S$3*24*1000</f>
        <v>11651467.341749385</v>
      </c>
      <c r="T21" s="2858">
        <v>11147449.999999996</v>
      </c>
      <c r="U21" s="2846">
        <f t="shared" si="3"/>
        <v>38262133.917932376</v>
      </c>
      <c r="V21" s="2846">
        <f t="shared" si="4"/>
        <v>40381820</v>
      </c>
      <c r="W21" s="1398">
        <f t="shared" si="73"/>
        <v>11651467.341749385</v>
      </c>
      <c r="X21" s="2858">
        <v>11562760.000000006</v>
      </c>
      <c r="Y21" s="2846">
        <f t="shared" si="5"/>
        <v>49913601.259681761</v>
      </c>
      <c r="Z21" s="2846">
        <f t="shared" si="6"/>
        <v>51944580.000000007</v>
      </c>
      <c r="AA21" s="1398">
        <f t="shared" si="74"/>
        <v>11332409.851577843</v>
      </c>
      <c r="AB21" s="2858">
        <v>11222100.000000013</v>
      </c>
      <c r="AC21" s="2842">
        <f t="shared" si="75"/>
        <v>34635344.535076611</v>
      </c>
      <c r="AD21" s="2842">
        <f t="shared" si="76"/>
        <v>33932310.000000015</v>
      </c>
      <c r="AE21" s="2848">
        <f t="shared" si="7"/>
        <v>61246011.111259602</v>
      </c>
      <c r="AF21" s="2848">
        <f t="shared" si="8"/>
        <v>63166680.000000022</v>
      </c>
      <c r="AG21" s="777">
        <f t="shared" si="77"/>
        <v>11716559.338072006</v>
      </c>
      <c r="AH21" s="943">
        <v>11873739.999999993</v>
      </c>
      <c r="AI21" s="797">
        <f t="shared" si="9"/>
        <v>72962570.449331611</v>
      </c>
      <c r="AJ21" s="797">
        <f t="shared" si="10"/>
        <v>75040420.000000015</v>
      </c>
      <c r="AK21" s="777">
        <f t="shared" si="78"/>
        <v>11332409.851577843</v>
      </c>
      <c r="AL21" s="943">
        <v>11028739.999999981</v>
      </c>
      <c r="AM21" s="797">
        <f t="shared" si="11"/>
        <v>84294980.30090946</v>
      </c>
      <c r="AN21" s="797">
        <f t="shared" si="12"/>
        <v>86069160</v>
      </c>
      <c r="AO21" s="777">
        <f t="shared" si="79"/>
        <v>11716559.338072006</v>
      </c>
      <c r="AP21" s="3804">
        <v>11785290.000000009</v>
      </c>
      <c r="AQ21" s="905">
        <f t="shared" si="80"/>
        <v>34765528.527721852</v>
      </c>
      <c r="AR21" s="905">
        <f t="shared" si="81"/>
        <v>34687769.999999985</v>
      </c>
      <c r="AS21" s="797">
        <f t="shared" si="13"/>
        <v>96011539.638981462</v>
      </c>
      <c r="AT21" s="797">
        <f t="shared" si="14"/>
        <v>97854450.000000015</v>
      </c>
      <c r="AU21" s="777">
        <f t="shared" si="82"/>
        <v>11716559.338072006</v>
      </c>
      <c r="AV21" s="943">
        <v>13146990.000000015</v>
      </c>
      <c r="AW21" s="797">
        <f t="shared" si="15"/>
        <v>107728098.97705346</v>
      </c>
      <c r="AX21" s="797">
        <f t="shared" si="16"/>
        <v>111001440.00000003</v>
      </c>
      <c r="AY21" s="777">
        <f t="shared" si="83"/>
        <v>10382610.679910779</v>
      </c>
      <c r="AZ21" s="943">
        <v>10943609.999999972</v>
      </c>
      <c r="BA21" s="797">
        <f t="shared" si="17"/>
        <v>118110709.65696424</v>
      </c>
      <c r="BB21" s="797">
        <f t="shared" si="18"/>
        <v>121945050</v>
      </c>
      <c r="BC21" s="777">
        <f t="shared" si="84"/>
        <v>11716559.338072006</v>
      </c>
      <c r="BD21" s="943">
        <v>12086910.000000013</v>
      </c>
      <c r="BE21" s="905">
        <f t="shared" si="85"/>
        <v>33815729.35605479</v>
      </c>
      <c r="BF21" s="905">
        <f t="shared" si="86"/>
        <v>36177510</v>
      </c>
      <c r="BG21" s="2848">
        <f t="shared" si="19"/>
        <v>45532288.6941268</v>
      </c>
      <c r="BH21" s="2848">
        <f t="shared" si="20"/>
        <v>48264420.000000015</v>
      </c>
      <c r="BI21" s="797">
        <f t="shared" si="21"/>
        <v>129827268.99503624</v>
      </c>
      <c r="BJ21" s="797">
        <f t="shared" si="22"/>
        <v>134031960.00000001</v>
      </c>
    </row>
    <row r="22" spans="1:62" ht="15.75" customHeight="1" x14ac:dyDescent="0.25">
      <c r="A22" s="714">
        <v>17</v>
      </c>
      <c r="B22" s="746" t="s">
        <v>85</v>
      </c>
      <c r="C22" s="33" t="s">
        <v>242</v>
      </c>
      <c r="D22" s="747">
        <v>961360.0000000014</v>
      </c>
      <c r="E22" s="748">
        <v>1006979.9999999992</v>
      </c>
      <c r="G22" s="2827" t="s">
        <v>922</v>
      </c>
      <c r="H22" s="700" t="s">
        <v>892</v>
      </c>
      <c r="I22" s="2839">
        <f t="shared" si="70"/>
        <v>7015199.9999999749</v>
      </c>
      <c r="J22" s="1398">
        <v>7383179.9999999898</v>
      </c>
      <c r="K22" s="2839">
        <f t="shared" si="70"/>
        <v>7866400.0000000065</v>
      </c>
      <c r="L22" s="2845">
        <v>7757454.0000000102</v>
      </c>
      <c r="M22" s="2846">
        <f t="shared" si="0"/>
        <v>14881599.999999981</v>
      </c>
      <c r="N22" s="2846">
        <f t="shared" si="0"/>
        <v>15140634</v>
      </c>
      <c r="O22" s="2839">
        <f t="shared" ref="O22" si="91">+O70*O$3*24*1000</f>
        <v>11310831</v>
      </c>
      <c r="P22" s="1398">
        <v>10573941.999999994</v>
      </c>
      <c r="Q22" s="2847">
        <f t="shared" si="1"/>
        <v>26192430.999999981</v>
      </c>
      <c r="R22" s="2847">
        <f t="shared" si="2"/>
        <v>25714575.999999993</v>
      </c>
      <c r="S22" s="1398">
        <f t="shared" ref="S22" si="92">+S70*S$3*24*1000</f>
        <v>11694249</v>
      </c>
      <c r="T22" s="2845">
        <v>11040828</v>
      </c>
      <c r="U22" s="2846">
        <f t="shared" si="3"/>
        <v>37886679.999999985</v>
      </c>
      <c r="V22" s="2846">
        <f t="shared" si="4"/>
        <v>36755403.999999993</v>
      </c>
      <c r="W22" s="1398">
        <f t="shared" si="73"/>
        <v>11694249</v>
      </c>
      <c r="X22" s="2845">
        <v>11391528.000000004</v>
      </c>
      <c r="Y22" s="2846">
        <f t="shared" si="5"/>
        <v>49580928.999999985</v>
      </c>
      <c r="Z22" s="2846">
        <f t="shared" si="6"/>
        <v>48146932</v>
      </c>
      <c r="AA22" s="1398">
        <f t="shared" si="74"/>
        <v>11374020</v>
      </c>
      <c r="AB22" s="2845">
        <v>10199465.999999998</v>
      </c>
      <c r="AC22" s="2842">
        <f t="shared" si="75"/>
        <v>34762518</v>
      </c>
      <c r="AD22" s="2842">
        <f t="shared" si="76"/>
        <v>32631822</v>
      </c>
      <c r="AE22" s="2848">
        <f t="shared" si="7"/>
        <v>60954948.999999985</v>
      </c>
      <c r="AF22" s="2848">
        <f t="shared" si="8"/>
        <v>58346398</v>
      </c>
      <c r="AG22" s="777">
        <f t="shared" si="77"/>
        <v>11759580</v>
      </c>
      <c r="AH22" s="778">
        <v>10764974.000000004</v>
      </c>
      <c r="AI22" s="797">
        <f t="shared" si="9"/>
        <v>72714528.999999985</v>
      </c>
      <c r="AJ22" s="797">
        <f t="shared" si="10"/>
        <v>69111372</v>
      </c>
      <c r="AK22" s="777">
        <f t="shared" si="78"/>
        <v>11374020</v>
      </c>
      <c r="AL22" s="778">
        <v>10113127.999999993</v>
      </c>
      <c r="AM22" s="797">
        <f t="shared" si="11"/>
        <v>84088548.999999985</v>
      </c>
      <c r="AN22" s="797">
        <f t="shared" si="12"/>
        <v>79224500</v>
      </c>
      <c r="AO22" s="777">
        <f t="shared" si="79"/>
        <v>11759580</v>
      </c>
      <c r="AP22" s="778">
        <v>11313648.000000013</v>
      </c>
      <c r="AQ22" s="905">
        <f t="shared" si="80"/>
        <v>34893180</v>
      </c>
      <c r="AR22" s="905">
        <f t="shared" si="81"/>
        <v>32191750.000000007</v>
      </c>
      <c r="AS22" s="797">
        <f t="shared" si="13"/>
        <v>95848128.999999985</v>
      </c>
      <c r="AT22" s="797">
        <f t="shared" si="14"/>
        <v>90538148.000000015</v>
      </c>
      <c r="AU22" s="777">
        <f t="shared" si="82"/>
        <v>11759580</v>
      </c>
      <c r="AV22" s="778">
        <v>11229299.999999983</v>
      </c>
      <c r="AW22" s="797">
        <f t="shared" si="15"/>
        <v>107607708.99999999</v>
      </c>
      <c r="AX22" s="797">
        <f t="shared" si="16"/>
        <v>101767448</v>
      </c>
      <c r="AY22" s="777">
        <f t="shared" si="83"/>
        <v>10420733.372</v>
      </c>
      <c r="AZ22" s="778">
        <v>10058586.000000024</v>
      </c>
      <c r="BA22" s="797">
        <f t="shared" si="17"/>
        <v>118028442.37199998</v>
      </c>
      <c r="BB22" s="797">
        <f t="shared" si="18"/>
        <v>111826034.00000003</v>
      </c>
      <c r="BC22" s="777">
        <f t="shared" si="84"/>
        <v>11759580</v>
      </c>
      <c r="BD22" s="778">
        <v>11810945.999999987</v>
      </c>
      <c r="BE22" s="905">
        <f t="shared" si="85"/>
        <v>33939893.372000001</v>
      </c>
      <c r="BF22" s="905">
        <f t="shared" si="86"/>
        <v>33098831.999999993</v>
      </c>
      <c r="BG22" s="2848">
        <f t="shared" si="19"/>
        <v>45699473.372000001</v>
      </c>
      <c r="BH22" s="2848">
        <f t="shared" si="20"/>
        <v>44909777.999999978</v>
      </c>
      <c r="BI22" s="797">
        <f t="shared" si="21"/>
        <v>129788022.37199998</v>
      </c>
      <c r="BJ22" s="797">
        <f t="shared" si="22"/>
        <v>123636980.00000001</v>
      </c>
    </row>
    <row r="23" spans="1:62" ht="15.75" customHeight="1" x14ac:dyDescent="0.25">
      <c r="A23" s="714">
        <v>18</v>
      </c>
      <c r="B23" s="746" t="s">
        <v>535</v>
      </c>
      <c r="C23" s="33" t="s">
        <v>242</v>
      </c>
      <c r="D23" s="747">
        <v>3675250.0000000093</v>
      </c>
      <c r="E23" s="748">
        <v>4377139.9999999879</v>
      </c>
      <c r="G23" s="2827" t="s">
        <v>923</v>
      </c>
      <c r="H23" s="700" t="s">
        <v>893</v>
      </c>
      <c r="I23" s="2839">
        <f t="shared" si="70"/>
        <v>10898967.136150224</v>
      </c>
      <c r="J23" s="1398">
        <v>11048350</v>
      </c>
      <c r="K23" s="2839">
        <f t="shared" si="70"/>
        <v>11276830.985915491</v>
      </c>
      <c r="L23" s="2845">
        <v>11507620</v>
      </c>
      <c r="M23" s="2846">
        <f t="shared" si="0"/>
        <v>22175798.122065715</v>
      </c>
      <c r="N23" s="2846">
        <f t="shared" si="0"/>
        <v>22555970</v>
      </c>
      <c r="O23" s="2839">
        <f t="shared" ref="O23" si="93">+O71*O$3*24*1000</f>
        <v>20695840.44600939</v>
      </c>
      <c r="P23" s="1398">
        <v>20701631.000000007</v>
      </c>
      <c r="Q23" s="2847">
        <f t="shared" si="1"/>
        <v>42871638.568075106</v>
      </c>
      <c r="R23" s="2847">
        <f t="shared" si="2"/>
        <v>43257601.000000007</v>
      </c>
      <c r="S23" s="1398">
        <f t="shared" ref="S23" si="94">+S71*S$3*24*1000</f>
        <v>21399764.248826291</v>
      </c>
      <c r="T23" s="2845">
        <v>20294838.999999996</v>
      </c>
      <c r="U23" s="2846">
        <f t="shared" si="3"/>
        <v>64271402.816901401</v>
      </c>
      <c r="V23" s="2846">
        <f t="shared" si="4"/>
        <v>63552440</v>
      </c>
      <c r="W23" s="1398">
        <f t="shared" si="73"/>
        <v>21417242.183098592</v>
      </c>
      <c r="X23" s="2845">
        <v>20253659.999999996</v>
      </c>
      <c r="Y23" s="2846">
        <f t="shared" si="5"/>
        <v>85688645</v>
      </c>
      <c r="Z23" s="2846">
        <f t="shared" si="6"/>
        <v>83806100</v>
      </c>
      <c r="AA23" s="1398">
        <f t="shared" si="74"/>
        <v>20829328.169014085</v>
      </c>
      <c r="AB23" s="2845">
        <v>20929629.999999996</v>
      </c>
      <c r="AC23" s="2842">
        <f t="shared" si="75"/>
        <v>63646334.600938961</v>
      </c>
      <c r="AD23" s="2842">
        <f t="shared" si="76"/>
        <v>61478128.999999985</v>
      </c>
      <c r="AE23" s="2848">
        <f t="shared" si="7"/>
        <v>106517973.16901408</v>
      </c>
      <c r="AF23" s="2848">
        <f t="shared" si="8"/>
        <v>104735730</v>
      </c>
      <c r="AG23" s="777">
        <f t="shared" si="77"/>
        <v>21537184.507042252</v>
      </c>
      <c r="AH23" s="778">
        <v>21396499.999999993</v>
      </c>
      <c r="AI23" s="797">
        <f t="shared" si="9"/>
        <v>128055157.67605633</v>
      </c>
      <c r="AJ23" s="797">
        <f t="shared" si="10"/>
        <v>126132230</v>
      </c>
      <c r="AK23" s="777">
        <f t="shared" si="78"/>
        <v>20829328.169014085</v>
      </c>
      <c r="AL23" s="778">
        <v>19810640.000000007</v>
      </c>
      <c r="AM23" s="797">
        <f t="shared" si="11"/>
        <v>148884485.84507042</v>
      </c>
      <c r="AN23" s="797">
        <f t="shared" si="12"/>
        <v>145942870</v>
      </c>
      <c r="AO23" s="777">
        <f t="shared" si="79"/>
        <v>21537184.507042252</v>
      </c>
      <c r="AP23" s="778">
        <v>21468039.999999993</v>
      </c>
      <c r="AQ23" s="905">
        <f t="shared" si="80"/>
        <v>63903697.183098592</v>
      </c>
      <c r="AR23" s="905">
        <f t="shared" si="81"/>
        <v>62675179.999999993</v>
      </c>
      <c r="AS23" s="797">
        <f t="shared" si="13"/>
        <v>170421670.35211268</v>
      </c>
      <c r="AT23" s="797">
        <f t="shared" si="14"/>
        <v>167410910</v>
      </c>
      <c r="AU23" s="777">
        <f t="shared" si="82"/>
        <v>21537184.507042252</v>
      </c>
      <c r="AV23" s="778">
        <v>21098251.000000007</v>
      </c>
      <c r="AW23" s="797">
        <f t="shared" si="15"/>
        <v>191958854.85915494</v>
      </c>
      <c r="AX23" s="797">
        <f t="shared" si="16"/>
        <v>188509161</v>
      </c>
      <c r="AY23" s="777">
        <f t="shared" si="83"/>
        <v>19079172.598967131</v>
      </c>
      <c r="AZ23" s="778">
        <v>18275808.999999993</v>
      </c>
      <c r="BA23" s="797">
        <f t="shared" si="17"/>
        <v>211038027.45812207</v>
      </c>
      <c r="BB23" s="797">
        <f t="shared" si="18"/>
        <v>206784970</v>
      </c>
      <c r="BC23" s="777">
        <f t="shared" si="84"/>
        <v>21537184.507042252</v>
      </c>
      <c r="BD23" s="778">
        <v>20999079.999999996</v>
      </c>
      <c r="BE23" s="905">
        <f t="shared" si="85"/>
        <v>62153541.613051631</v>
      </c>
      <c r="BF23" s="905">
        <f t="shared" si="86"/>
        <v>60373140</v>
      </c>
      <c r="BG23" s="2848">
        <f t="shared" si="19"/>
        <v>83690726.120093882</v>
      </c>
      <c r="BH23" s="2848">
        <f t="shared" si="20"/>
        <v>81372220</v>
      </c>
      <c r="BI23" s="797">
        <f t="shared" si="21"/>
        <v>232575211.96516433</v>
      </c>
      <c r="BJ23" s="797">
        <f t="shared" si="22"/>
        <v>227784050</v>
      </c>
    </row>
    <row r="24" spans="1:62" ht="15" customHeight="1" x14ac:dyDescent="0.25">
      <c r="A24" s="714">
        <v>19</v>
      </c>
      <c r="B24" s="746" t="s">
        <v>536</v>
      </c>
      <c r="C24" s="33" t="s">
        <v>242</v>
      </c>
      <c r="D24" s="747">
        <v>2119909.9999999995</v>
      </c>
      <c r="E24" s="748">
        <v>4863980</v>
      </c>
      <c r="G24" s="2827" t="s">
        <v>924</v>
      </c>
      <c r="H24" s="700" t="s">
        <v>85</v>
      </c>
      <c r="I24" s="2839">
        <f t="shared" si="70"/>
        <v>1368000</v>
      </c>
      <c r="J24" s="1398">
        <v>626380.00000000198</v>
      </c>
      <c r="K24" s="2839">
        <f t="shared" si="70"/>
        <v>1413600</v>
      </c>
      <c r="L24" s="2845">
        <v>543800</v>
      </c>
      <c r="M24" s="2846">
        <f t="shared" si="0"/>
        <v>2781600</v>
      </c>
      <c r="N24" s="2846">
        <f t="shared" si="0"/>
        <v>1170180.0000000019</v>
      </c>
      <c r="O24" s="2839">
        <f t="shared" ref="O24" si="95">+O72*O$3*24*1000</f>
        <v>1368000</v>
      </c>
      <c r="P24" s="1398">
        <v>1328440.0000000009</v>
      </c>
      <c r="Q24" s="2847">
        <f t="shared" si="1"/>
        <v>4149600</v>
      </c>
      <c r="R24" s="2847">
        <f t="shared" si="2"/>
        <v>2498620.0000000028</v>
      </c>
      <c r="S24" s="1398">
        <f t="shared" ref="S24" si="96">+S72*S$3*24*1000</f>
        <v>1413600</v>
      </c>
      <c r="T24" s="2845">
        <v>1207809.9999999981</v>
      </c>
      <c r="U24" s="2846">
        <f t="shared" si="3"/>
        <v>5563200</v>
      </c>
      <c r="V24" s="2846">
        <f t="shared" si="4"/>
        <v>3706430.0000000009</v>
      </c>
      <c r="W24" s="1398">
        <f t="shared" si="73"/>
        <v>1413600</v>
      </c>
      <c r="X24" s="2845">
        <v>1178490</v>
      </c>
      <c r="Y24" s="2846">
        <f t="shared" si="5"/>
        <v>6976800</v>
      </c>
      <c r="Z24" s="2846">
        <f t="shared" si="6"/>
        <v>4884920.0000000009</v>
      </c>
      <c r="AA24" s="1398">
        <f t="shared" si="74"/>
        <v>1368000</v>
      </c>
      <c r="AB24" s="2845">
        <v>1173280.0000000007</v>
      </c>
      <c r="AC24" s="2842">
        <f t="shared" si="75"/>
        <v>4195200</v>
      </c>
      <c r="AD24" s="2842">
        <f t="shared" si="76"/>
        <v>3559579.9999999991</v>
      </c>
      <c r="AE24" s="2848">
        <f t="shared" si="7"/>
        <v>8344800</v>
      </c>
      <c r="AF24" s="2848">
        <f t="shared" si="8"/>
        <v>6058200.0000000019</v>
      </c>
      <c r="AG24" s="777">
        <f t="shared" si="77"/>
        <v>1413600</v>
      </c>
      <c r="AH24" s="778">
        <v>1126219.9999999995</v>
      </c>
      <c r="AI24" s="797">
        <f t="shared" si="9"/>
        <v>9758400</v>
      </c>
      <c r="AJ24" s="797">
        <f t="shared" si="10"/>
        <v>7184420.0000000019</v>
      </c>
      <c r="AK24" s="777">
        <f t="shared" si="78"/>
        <v>1368000</v>
      </c>
      <c r="AL24" s="778">
        <v>1013729.6666666672</v>
      </c>
      <c r="AM24" s="797">
        <f t="shared" si="11"/>
        <v>11126400</v>
      </c>
      <c r="AN24" s="797">
        <f t="shared" si="12"/>
        <v>8198149.6666666688</v>
      </c>
      <c r="AO24" s="777">
        <f t="shared" si="79"/>
        <v>1413600</v>
      </c>
      <c r="AP24" s="778">
        <v>1018514</v>
      </c>
      <c r="AQ24" s="905">
        <f t="shared" si="80"/>
        <v>4195200</v>
      </c>
      <c r="AR24" s="905">
        <f t="shared" si="81"/>
        <v>3158463.666666667</v>
      </c>
      <c r="AS24" s="797">
        <f t="shared" si="13"/>
        <v>12540000</v>
      </c>
      <c r="AT24" s="797">
        <f t="shared" si="14"/>
        <v>9216663.6666666679</v>
      </c>
      <c r="AU24" s="777">
        <f t="shared" si="82"/>
        <v>1413600</v>
      </c>
      <c r="AV24" s="778">
        <v>850959</v>
      </c>
      <c r="AW24" s="797">
        <f t="shared" si="15"/>
        <v>13953600</v>
      </c>
      <c r="AX24" s="797">
        <f t="shared" si="16"/>
        <v>10067622.666666668</v>
      </c>
      <c r="AY24" s="777">
        <f t="shared" si="83"/>
        <v>1276800</v>
      </c>
      <c r="AZ24" s="778">
        <v>794682.59999999963</v>
      </c>
      <c r="BA24" s="797">
        <f t="shared" si="17"/>
        <v>15230400</v>
      </c>
      <c r="BB24" s="797">
        <f t="shared" si="18"/>
        <v>10862305.266666668</v>
      </c>
      <c r="BC24" s="777">
        <f t="shared" si="84"/>
        <v>1413600</v>
      </c>
      <c r="BD24" s="778">
        <v>1170761.0000000005</v>
      </c>
      <c r="BE24" s="905">
        <f t="shared" si="85"/>
        <v>4104000</v>
      </c>
      <c r="BF24" s="905">
        <f t="shared" si="86"/>
        <v>2816402.6</v>
      </c>
      <c r="BG24" s="2848">
        <f t="shared" si="19"/>
        <v>5517600</v>
      </c>
      <c r="BH24" s="2848">
        <f t="shared" si="20"/>
        <v>3987163.6000000006</v>
      </c>
      <c r="BI24" s="797">
        <f t="shared" si="21"/>
        <v>16644000</v>
      </c>
      <c r="BJ24" s="797">
        <f t="shared" si="22"/>
        <v>12033066.266666668</v>
      </c>
    </row>
    <row r="25" spans="1:62" ht="15" customHeight="1" x14ac:dyDescent="0.25">
      <c r="A25" s="714">
        <v>20</v>
      </c>
      <c r="B25" s="746" t="s">
        <v>537</v>
      </c>
      <c r="C25" s="33" t="s">
        <v>242</v>
      </c>
      <c r="D25" s="747">
        <v>423946.99999999942</v>
      </c>
      <c r="E25" s="748">
        <v>543130.00000000047</v>
      </c>
      <c r="G25" s="2827" t="s">
        <v>925</v>
      </c>
      <c r="H25" s="700" t="s">
        <v>535</v>
      </c>
      <c r="I25" s="2839">
        <f t="shared" si="70"/>
        <v>6424375.0000000317</v>
      </c>
      <c r="J25" s="1398">
        <v>6094295</v>
      </c>
      <c r="K25" s="2839">
        <f t="shared" si="70"/>
        <v>7012229.166666666</v>
      </c>
      <c r="L25" s="2845">
        <v>5137596.6666666698</v>
      </c>
      <c r="M25" s="2846">
        <f t="shared" si="0"/>
        <v>13436604.166666698</v>
      </c>
      <c r="N25" s="2846">
        <f t="shared" si="0"/>
        <v>11231891.66666667</v>
      </c>
      <c r="O25" s="2839">
        <f t="shared" ref="O25" si="97">+O73*O$3*24*1000</f>
        <v>6268229.166666666</v>
      </c>
      <c r="P25" s="1398">
        <v>6534523.3333333321</v>
      </c>
      <c r="Q25" s="2847">
        <f t="shared" si="1"/>
        <v>19704833.333333366</v>
      </c>
      <c r="R25" s="2847">
        <f t="shared" si="2"/>
        <v>17766415</v>
      </c>
      <c r="S25" s="1398">
        <f t="shared" ref="S25" si="98">+S73*S$3*24*1000</f>
        <v>6570312.5</v>
      </c>
      <c r="T25" s="2845">
        <v>6877443.3333333321</v>
      </c>
      <c r="U25" s="2846">
        <f t="shared" si="3"/>
        <v>26275145.833333366</v>
      </c>
      <c r="V25" s="2846">
        <f t="shared" si="4"/>
        <v>24643858.333333332</v>
      </c>
      <c r="W25" s="1398">
        <f t="shared" si="73"/>
        <v>6570312.5</v>
      </c>
      <c r="X25" s="2845">
        <v>7271710</v>
      </c>
      <c r="Y25" s="2846">
        <f t="shared" si="5"/>
        <v>32845458.333333366</v>
      </c>
      <c r="Z25" s="2846">
        <f t="shared" si="6"/>
        <v>31915568.333333332</v>
      </c>
      <c r="AA25" s="1398">
        <f t="shared" si="74"/>
        <v>6343750</v>
      </c>
      <c r="AB25" s="2845">
        <v>6973893.333333334</v>
      </c>
      <c r="AC25" s="2842">
        <f t="shared" si="75"/>
        <v>19484375</v>
      </c>
      <c r="AD25" s="2842">
        <f t="shared" si="76"/>
        <v>21123046.666666664</v>
      </c>
      <c r="AE25" s="2848">
        <f t="shared" si="7"/>
        <v>39189208.333333366</v>
      </c>
      <c r="AF25" s="2848">
        <f t="shared" si="8"/>
        <v>38889461.666666664</v>
      </c>
      <c r="AG25" s="777">
        <f t="shared" si="77"/>
        <v>6570312.5</v>
      </c>
      <c r="AH25" s="778">
        <v>7022328.3333333256</v>
      </c>
      <c r="AI25" s="797">
        <f t="shared" si="9"/>
        <v>45759520.833333366</v>
      </c>
      <c r="AJ25" s="797">
        <f t="shared" si="10"/>
        <v>45911789.999999993</v>
      </c>
      <c r="AK25" s="777">
        <f t="shared" si="78"/>
        <v>6343750</v>
      </c>
      <c r="AL25" s="778">
        <v>6828001.6666666698</v>
      </c>
      <c r="AM25" s="797">
        <f t="shared" si="11"/>
        <v>52103270.833333366</v>
      </c>
      <c r="AN25" s="797">
        <f t="shared" si="12"/>
        <v>52739791.666666664</v>
      </c>
      <c r="AO25" s="777">
        <f t="shared" si="79"/>
        <v>6570312.5</v>
      </c>
      <c r="AP25" s="778">
        <v>6872006.6666666698</v>
      </c>
      <c r="AQ25" s="905">
        <f t="shared" si="80"/>
        <v>19484375</v>
      </c>
      <c r="AR25" s="905">
        <f t="shared" si="81"/>
        <v>20722336.666666664</v>
      </c>
      <c r="AS25" s="797">
        <f t="shared" si="13"/>
        <v>58673583.333333366</v>
      </c>
      <c r="AT25" s="797">
        <f t="shared" si="14"/>
        <v>59611798.333333336</v>
      </c>
      <c r="AU25" s="777">
        <f t="shared" si="82"/>
        <v>6570312.5</v>
      </c>
      <c r="AV25" s="778">
        <v>6865886.0000000009</v>
      </c>
      <c r="AW25" s="797">
        <f t="shared" si="15"/>
        <v>65243895.833333366</v>
      </c>
      <c r="AX25" s="797">
        <f t="shared" si="16"/>
        <v>66477684.333333336</v>
      </c>
      <c r="AY25" s="777">
        <f t="shared" si="83"/>
        <v>5890625.0000000009</v>
      </c>
      <c r="AZ25" s="778">
        <v>7038283.333333334</v>
      </c>
      <c r="BA25" s="797">
        <f t="shared" si="17"/>
        <v>71134520.833333373</v>
      </c>
      <c r="BB25" s="797">
        <f t="shared" si="18"/>
        <v>73515967.666666672</v>
      </c>
      <c r="BC25" s="777">
        <f t="shared" si="84"/>
        <v>6570312.5</v>
      </c>
      <c r="BD25" s="778">
        <v>7238645.0000000019</v>
      </c>
      <c r="BE25" s="905">
        <f t="shared" si="85"/>
        <v>19031250</v>
      </c>
      <c r="BF25" s="905">
        <f t="shared" si="86"/>
        <v>21142814.333333336</v>
      </c>
      <c r="BG25" s="2848">
        <f t="shared" si="19"/>
        <v>25601562.5</v>
      </c>
      <c r="BH25" s="2848">
        <f t="shared" si="20"/>
        <v>28381459.333333336</v>
      </c>
      <c r="BI25" s="797">
        <f t="shared" si="21"/>
        <v>77704833.333333373</v>
      </c>
      <c r="BJ25" s="797">
        <f t="shared" si="22"/>
        <v>80754612.666666672</v>
      </c>
    </row>
    <row r="26" spans="1:62" ht="15" customHeight="1" x14ac:dyDescent="0.25">
      <c r="A26" s="714">
        <v>21</v>
      </c>
      <c r="B26" s="746" t="s">
        <v>926</v>
      </c>
      <c r="C26" s="33" t="s">
        <v>242</v>
      </c>
      <c r="D26" s="747">
        <v>378639</v>
      </c>
      <c r="E26" s="748">
        <v>383365</v>
      </c>
      <c r="G26" s="2827" t="s">
        <v>927</v>
      </c>
      <c r="H26" s="700" t="s">
        <v>536</v>
      </c>
      <c r="I26" s="2839">
        <f t="shared" si="70"/>
        <v>4322072.5388601124</v>
      </c>
      <c r="J26" s="1398">
        <v>3160935</v>
      </c>
      <c r="K26" s="2839">
        <f t="shared" si="70"/>
        <v>4465264.2487046598</v>
      </c>
      <c r="L26" s="2845">
        <v>4875136.6666666605</v>
      </c>
      <c r="M26" s="2846">
        <f t="shared" si="0"/>
        <v>8787336.7875647731</v>
      </c>
      <c r="N26" s="2846">
        <f t="shared" si="0"/>
        <v>8036071.6666666605</v>
      </c>
      <c r="O26" s="2839">
        <f t="shared" ref="O26" si="99">+O74*O$3*24*1000</f>
        <v>5321243.5233160621</v>
      </c>
      <c r="P26" s="1398">
        <v>5017163.333333334</v>
      </c>
      <c r="Q26" s="2847">
        <f t="shared" si="1"/>
        <v>14108580.310880836</v>
      </c>
      <c r="R26" s="2847">
        <f t="shared" si="2"/>
        <v>13053234.999999994</v>
      </c>
      <c r="S26" s="1398">
        <f t="shared" ref="S26" si="100">+S74*S$3*24*1000</f>
        <v>5484974.0932642501</v>
      </c>
      <c r="T26" s="2845">
        <v>4895693.3333333423</v>
      </c>
      <c r="U26" s="2846">
        <f t="shared" si="3"/>
        <v>19593554.404145084</v>
      </c>
      <c r="V26" s="2846">
        <f t="shared" si="4"/>
        <v>17948928.333333336</v>
      </c>
      <c r="W26" s="1398">
        <f t="shared" si="73"/>
        <v>5484974.0932642501</v>
      </c>
      <c r="X26" s="2845">
        <v>5236189.9999999935</v>
      </c>
      <c r="Y26" s="2846">
        <f t="shared" si="5"/>
        <v>25078528.497409336</v>
      </c>
      <c r="Z26" s="2846">
        <f t="shared" si="6"/>
        <v>23185118.333333328</v>
      </c>
      <c r="AA26" s="1398">
        <f t="shared" si="74"/>
        <v>5321243.5233160621</v>
      </c>
      <c r="AB26" s="2845">
        <v>4911553.3333333367</v>
      </c>
      <c r="AC26" s="2842">
        <f t="shared" si="75"/>
        <v>16291191.709844563</v>
      </c>
      <c r="AD26" s="2842">
        <f t="shared" si="76"/>
        <v>15043436.666666672</v>
      </c>
      <c r="AE26" s="2848">
        <f t="shared" si="7"/>
        <v>30399772.020725399</v>
      </c>
      <c r="AF26" s="2848">
        <f t="shared" si="8"/>
        <v>28096671.666666664</v>
      </c>
      <c r="AG26" s="777">
        <f t="shared" si="77"/>
        <v>5484974.0932642501</v>
      </c>
      <c r="AH26" s="778">
        <v>5436948.3333333349</v>
      </c>
      <c r="AI26" s="797">
        <f t="shared" si="9"/>
        <v>35884746.113989651</v>
      </c>
      <c r="AJ26" s="797">
        <f t="shared" si="10"/>
        <v>33533620</v>
      </c>
      <c r="AK26" s="777">
        <f t="shared" si="78"/>
        <v>5321243.5233160621</v>
      </c>
      <c r="AL26" s="778">
        <v>4980231.6666666688</v>
      </c>
      <c r="AM26" s="797">
        <f t="shared" si="11"/>
        <v>41205989.637305714</v>
      </c>
      <c r="AN26" s="797">
        <f t="shared" si="12"/>
        <v>38513851.666666672</v>
      </c>
      <c r="AO26" s="777">
        <f t="shared" si="79"/>
        <v>5484974.0932642501</v>
      </c>
      <c r="AP26" s="778">
        <v>5642216.6666666586</v>
      </c>
      <c r="AQ26" s="905">
        <f t="shared" si="80"/>
        <v>16291191.709844561</v>
      </c>
      <c r="AR26" s="905">
        <f t="shared" si="81"/>
        <v>16059396.666666662</v>
      </c>
      <c r="AS26" s="797">
        <f t="shared" si="13"/>
        <v>46690963.730569966</v>
      </c>
      <c r="AT26" s="797">
        <f t="shared" si="14"/>
        <v>44156068.333333328</v>
      </c>
      <c r="AU26" s="777">
        <f t="shared" si="82"/>
        <v>5484974.0932642501</v>
      </c>
      <c r="AV26" s="778">
        <v>5652335.0000000019</v>
      </c>
      <c r="AW26" s="797">
        <f t="shared" si="15"/>
        <v>52175937.823834218</v>
      </c>
      <c r="AX26" s="797">
        <f t="shared" si="16"/>
        <v>49808403.333333328</v>
      </c>
      <c r="AY26" s="777">
        <f t="shared" si="83"/>
        <v>4830051.8134715026</v>
      </c>
      <c r="AZ26" s="778">
        <v>4504943.333333333</v>
      </c>
      <c r="BA26" s="797">
        <f t="shared" si="17"/>
        <v>57005989.637305722</v>
      </c>
      <c r="BB26" s="797">
        <f t="shared" si="18"/>
        <v>54313346.666666664</v>
      </c>
      <c r="BC26" s="777">
        <f t="shared" si="84"/>
        <v>5484974.0932642501</v>
      </c>
      <c r="BD26" s="778">
        <v>5544905.0000000028</v>
      </c>
      <c r="BE26" s="905">
        <f t="shared" si="85"/>
        <v>15800000.000000002</v>
      </c>
      <c r="BF26" s="905">
        <f t="shared" si="86"/>
        <v>15702183.33333334</v>
      </c>
      <c r="BG26" s="2848">
        <f t="shared" si="19"/>
        <v>21284974.093264252</v>
      </c>
      <c r="BH26" s="2848">
        <f t="shared" si="20"/>
        <v>21247088.333333343</v>
      </c>
      <c r="BI26" s="797">
        <f t="shared" si="21"/>
        <v>62490963.730569974</v>
      </c>
      <c r="BJ26" s="797">
        <f t="shared" si="22"/>
        <v>59858251.666666664</v>
      </c>
    </row>
    <row r="27" spans="1:62" ht="15" customHeight="1" x14ac:dyDescent="0.25">
      <c r="A27" s="714">
        <v>22</v>
      </c>
      <c r="B27" s="746" t="s">
        <v>928</v>
      </c>
      <c r="C27" s="33" t="s">
        <v>242</v>
      </c>
      <c r="D27" s="747">
        <v>5408863.7999999998</v>
      </c>
      <c r="E27" s="748">
        <v>5589150</v>
      </c>
      <c r="G27" s="2827" t="s">
        <v>929</v>
      </c>
      <c r="H27" s="700" t="s">
        <v>537</v>
      </c>
      <c r="I27" s="2839">
        <f t="shared" si="70"/>
        <v>1457178.6833856001</v>
      </c>
      <c r="J27" s="1398">
        <v>1694370</v>
      </c>
      <c r="K27" s="2839">
        <f t="shared" si="70"/>
        <v>372000</v>
      </c>
      <c r="L27" s="2845">
        <v>1514666.66666667</v>
      </c>
      <c r="M27" s="2846">
        <f t="shared" si="0"/>
        <v>1829178.6833856001</v>
      </c>
      <c r="N27" s="2846">
        <f t="shared" si="0"/>
        <v>3209036.6666666698</v>
      </c>
      <c r="O27" s="2839">
        <f t="shared" ref="O27" si="101">+O75*O$3*24*1000</f>
        <v>4748714.7335423194</v>
      </c>
      <c r="P27" s="1398">
        <v>1919963.3333333326</v>
      </c>
      <c r="Q27" s="2847">
        <f t="shared" si="1"/>
        <v>6577893.4169279197</v>
      </c>
      <c r="R27" s="2847">
        <f t="shared" si="2"/>
        <v>5129000.0000000019</v>
      </c>
      <c r="S27" s="1398">
        <f t="shared" ref="S27" si="102">+S75*S$3*24*1000</f>
        <v>4388714.7335423194</v>
      </c>
      <c r="T27" s="2845">
        <v>2896093.333333334</v>
      </c>
      <c r="U27" s="2846">
        <f t="shared" si="3"/>
        <v>10966608.150470238</v>
      </c>
      <c r="V27" s="2846">
        <f t="shared" si="4"/>
        <v>8025093.3333333358</v>
      </c>
      <c r="W27" s="1398">
        <f t="shared" si="73"/>
        <v>4937304.0752351098</v>
      </c>
      <c r="X27" s="2845">
        <v>2522047.0000000014</v>
      </c>
      <c r="Y27" s="2846">
        <f t="shared" si="5"/>
        <v>15903912.225705348</v>
      </c>
      <c r="Z27" s="2846">
        <f t="shared" si="6"/>
        <v>10547140.333333338</v>
      </c>
      <c r="AA27" s="1398">
        <f t="shared" si="74"/>
        <v>4937304.0752351098</v>
      </c>
      <c r="AB27" s="2845">
        <v>1924236.3333333293</v>
      </c>
      <c r="AC27" s="2842">
        <f t="shared" si="75"/>
        <v>14263322.884012539</v>
      </c>
      <c r="AD27" s="2842">
        <f t="shared" si="76"/>
        <v>7342376.6666666651</v>
      </c>
      <c r="AE27" s="2848">
        <f t="shared" si="7"/>
        <v>20841216.300940458</v>
      </c>
      <c r="AF27" s="2848">
        <f t="shared" si="8"/>
        <v>12471376.666666668</v>
      </c>
      <c r="AG27" s="777">
        <f t="shared" si="77"/>
        <v>4937304.0752351098</v>
      </c>
      <c r="AH27" s="778">
        <v>3027155.3333333367</v>
      </c>
      <c r="AI27" s="797">
        <f t="shared" si="9"/>
        <v>25778520.376175568</v>
      </c>
      <c r="AJ27" s="797">
        <f t="shared" si="10"/>
        <v>15498532.000000004</v>
      </c>
      <c r="AK27" s="777">
        <f t="shared" si="78"/>
        <v>4937304.0752351098</v>
      </c>
      <c r="AL27" s="778">
        <v>2857664.6666666674</v>
      </c>
      <c r="AM27" s="797">
        <f t="shared" si="11"/>
        <v>30715824.451410677</v>
      </c>
      <c r="AN27" s="797">
        <f t="shared" si="12"/>
        <v>18356196.666666672</v>
      </c>
      <c r="AO27" s="777">
        <f t="shared" si="79"/>
        <v>4937304.0752351098</v>
      </c>
      <c r="AP27" s="778">
        <v>3240616.6666666633</v>
      </c>
      <c r="AQ27" s="905">
        <f t="shared" si="80"/>
        <v>14811912.225705329</v>
      </c>
      <c r="AR27" s="905">
        <f t="shared" si="81"/>
        <v>9125436.6666666679</v>
      </c>
      <c r="AS27" s="797">
        <f t="shared" si="13"/>
        <v>35653128.526645787</v>
      </c>
      <c r="AT27" s="797">
        <f t="shared" si="14"/>
        <v>21596813.333333336</v>
      </c>
      <c r="AU27" s="777">
        <f t="shared" si="82"/>
        <v>4937304.0752351098</v>
      </c>
      <c r="AV27" s="778">
        <v>2809210.0000000023</v>
      </c>
      <c r="AW27" s="797">
        <f t="shared" si="15"/>
        <v>40590432.601880893</v>
      </c>
      <c r="AX27" s="797">
        <f t="shared" si="16"/>
        <v>24406023.33333334</v>
      </c>
      <c r="AY27" s="777">
        <f t="shared" si="83"/>
        <v>4937304.0752351098</v>
      </c>
      <c r="AZ27" s="778">
        <v>2670593.3333333316</v>
      </c>
      <c r="BA27" s="797">
        <f t="shared" si="17"/>
        <v>45527736.677116007</v>
      </c>
      <c r="BB27" s="797">
        <f t="shared" si="18"/>
        <v>27076616.666666672</v>
      </c>
      <c r="BC27" s="777">
        <f t="shared" si="84"/>
        <v>4937304.0752351098</v>
      </c>
      <c r="BD27" s="778">
        <v>2962572.0000000019</v>
      </c>
      <c r="BE27" s="905">
        <f t="shared" si="85"/>
        <v>14811912.225705329</v>
      </c>
      <c r="BF27" s="905">
        <f t="shared" si="86"/>
        <v>8442375.3333333358</v>
      </c>
      <c r="BG27" s="2848">
        <f t="shared" si="19"/>
        <v>19749216.300940439</v>
      </c>
      <c r="BH27" s="2848">
        <f t="shared" si="20"/>
        <v>11404947.333333338</v>
      </c>
      <c r="BI27" s="797">
        <f t="shared" si="21"/>
        <v>50465040.75235112</v>
      </c>
      <c r="BJ27" s="797">
        <f t="shared" si="22"/>
        <v>30039188.666666672</v>
      </c>
    </row>
    <row r="28" spans="1:62" ht="15" customHeight="1" x14ac:dyDescent="0.25">
      <c r="A28" s="714">
        <v>23</v>
      </c>
      <c r="B28" s="746" t="s">
        <v>894</v>
      </c>
      <c r="C28" s="33" t="s">
        <v>242</v>
      </c>
      <c r="D28" s="747">
        <v>24602610.000000015</v>
      </c>
      <c r="E28" s="748">
        <v>25208649.999999989</v>
      </c>
      <c r="G28" s="2827" t="s">
        <v>930</v>
      </c>
      <c r="H28" s="700" t="s">
        <v>894</v>
      </c>
      <c r="I28" s="2839">
        <f t="shared" si="70"/>
        <v>24768000</v>
      </c>
      <c r="J28" s="1398">
        <v>21388380</v>
      </c>
      <c r="K28" s="2839">
        <f t="shared" si="70"/>
        <v>25593600</v>
      </c>
      <c r="L28" s="2845">
        <v>25069410.000000101</v>
      </c>
      <c r="M28" s="2846">
        <f t="shared" si="0"/>
        <v>50361600</v>
      </c>
      <c r="N28" s="2846">
        <f t="shared" si="0"/>
        <v>46457790.000000104</v>
      </c>
      <c r="O28" s="2839">
        <f t="shared" ref="O28" si="103">+O76*O$3*24*1000</f>
        <v>24768000</v>
      </c>
      <c r="P28" s="1398">
        <v>25087290.000000037</v>
      </c>
      <c r="Q28" s="2847">
        <f t="shared" si="1"/>
        <v>75129600</v>
      </c>
      <c r="R28" s="2847">
        <f t="shared" si="2"/>
        <v>71545080.000000149</v>
      </c>
      <c r="S28" s="1398">
        <f t="shared" ref="S28" si="104">+S76*S$3*24*1000</f>
        <v>25593600</v>
      </c>
      <c r="T28" s="2845">
        <v>25581809.999999959</v>
      </c>
      <c r="U28" s="2846">
        <f t="shared" si="3"/>
        <v>100723200</v>
      </c>
      <c r="V28" s="2846">
        <f t="shared" si="4"/>
        <v>97126890.000000104</v>
      </c>
      <c r="W28" s="1398">
        <f t="shared" si="73"/>
        <v>25593600</v>
      </c>
      <c r="X28" s="2845">
        <v>25941979.999999963</v>
      </c>
      <c r="Y28" s="2846">
        <f t="shared" si="5"/>
        <v>126316800</v>
      </c>
      <c r="Z28" s="2846">
        <f t="shared" si="6"/>
        <v>123068870.00000006</v>
      </c>
      <c r="AA28" s="1398">
        <f t="shared" si="74"/>
        <v>24768000</v>
      </c>
      <c r="AB28" s="2845">
        <v>25195803.000000041</v>
      </c>
      <c r="AC28" s="2842">
        <f t="shared" si="75"/>
        <v>75955200</v>
      </c>
      <c r="AD28" s="2842">
        <f t="shared" si="76"/>
        <v>76719592.99999997</v>
      </c>
      <c r="AE28" s="2848">
        <f t="shared" si="7"/>
        <v>151084800</v>
      </c>
      <c r="AF28" s="2848">
        <f t="shared" si="8"/>
        <v>148264673.00000009</v>
      </c>
      <c r="AG28" s="777">
        <f t="shared" si="77"/>
        <v>25593600</v>
      </c>
      <c r="AH28" s="778">
        <v>26359766.999999993</v>
      </c>
      <c r="AI28" s="797">
        <f t="shared" si="9"/>
        <v>176678400</v>
      </c>
      <c r="AJ28" s="797">
        <f t="shared" si="10"/>
        <v>174624440.00000009</v>
      </c>
      <c r="AK28" s="777">
        <f t="shared" si="78"/>
        <v>24768000</v>
      </c>
      <c r="AL28" s="778">
        <v>25346999.999999933</v>
      </c>
      <c r="AM28" s="797">
        <f t="shared" si="11"/>
        <v>201446400</v>
      </c>
      <c r="AN28" s="797">
        <f t="shared" si="12"/>
        <v>199971440.00000003</v>
      </c>
      <c r="AO28" s="777">
        <f t="shared" si="79"/>
        <v>25593600</v>
      </c>
      <c r="AP28" s="778">
        <v>25933620.000000082</v>
      </c>
      <c r="AQ28" s="905">
        <f t="shared" si="80"/>
        <v>75955200</v>
      </c>
      <c r="AR28" s="905">
        <f t="shared" si="81"/>
        <v>77640387</v>
      </c>
      <c r="AS28" s="797">
        <f t="shared" si="13"/>
        <v>227040000</v>
      </c>
      <c r="AT28" s="797">
        <f t="shared" si="14"/>
        <v>225905060.00000012</v>
      </c>
      <c r="AU28" s="777">
        <f t="shared" si="82"/>
        <v>25593600</v>
      </c>
      <c r="AV28" s="778">
        <v>25845420.999999993</v>
      </c>
      <c r="AW28" s="797">
        <f t="shared" si="15"/>
        <v>252633600</v>
      </c>
      <c r="AX28" s="797">
        <f t="shared" si="16"/>
        <v>251750481.00000012</v>
      </c>
      <c r="AY28" s="777">
        <f t="shared" si="83"/>
        <v>23116800</v>
      </c>
      <c r="AZ28" s="778">
        <v>23408220.00000003</v>
      </c>
      <c r="BA28" s="797">
        <f t="shared" si="17"/>
        <v>275750400</v>
      </c>
      <c r="BB28" s="797">
        <f t="shared" si="18"/>
        <v>275158701.00000012</v>
      </c>
      <c r="BC28" s="777">
        <f t="shared" si="84"/>
        <v>25593600</v>
      </c>
      <c r="BD28" s="778">
        <v>26182479.999999974</v>
      </c>
      <c r="BE28" s="905">
        <f t="shared" si="85"/>
        <v>74304000</v>
      </c>
      <c r="BF28" s="905">
        <f t="shared" si="86"/>
        <v>75436121</v>
      </c>
      <c r="BG28" s="2848">
        <f t="shared" si="19"/>
        <v>99897600</v>
      </c>
      <c r="BH28" s="2848">
        <f t="shared" si="20"/>
        <v>101618600.99999997</v>
      </c>
      <c r="BI28" s="797">
        <f t="shared" si="21"/>
        <v>301344000</v>
      </c>
      <c r="BJ28" s="797">
        <f t="shared" si="22"/>
        <v>301341181.00000012</v>
      </c>
    </row>
    <row r="29" spans="1:62" ht="15" customHeight="1" x14ac:dyDescent="0.25">
      <c r="A29" s="714">
        <v>24</v>
      </c>
      <c r="B29" s="746" t="s">
        <v>538</v>
      </c>
      <c r="C29" s="33" t="s">
        <v>242</v>
      </c>
      <c r="D29" s="747">
        <v>3577000</v>
      </c>
      <c r="E29" s="748">
        <v>3313400.0000000051</v>
      </c>
      <c r="G29" s="2827" t="s">
        <v>931</v>
      </c>
      <c r="H29" s="700" t="s">
        <v>538</v>
      </c>
      <c r="I29" s="2839">
        <f t="shared" si="70"/>
        <v>3456000</v>
      </c>
      <c r="J29" s="1398">
        <v>3514500</v>
      </c>
      <c r="K29" s="2839">
        <f t="shared" si="70"/>
        <v>3571200</v>
      </c>
      <c r="L29" s="2845">
        <v>3641599.9999999902</v>
      </c>
      <c r="M29" s="2846">
        <f t="shared" si="0"/>
        <v>7027200</v>
      </c>
      <c r="N29" s="2846">
        <f t="shared" si="0"/>
        <v>7156099.9999999907</v>
      </c>
      <c r="O29" s="2839">
        <f t="shared" ref="O29" si="105">+O77*O$3*24*1000</f>
        <v>3456000</v>
      </c>
      <c r="P29" s="1398">
        <v>4083000</v>
      </c>
      <c r="Q29" s="2847">
        <f t="shared" si="1"/>
        <v>10483200</v>
      </c>
      <c r="R29" s="2847">
        <f t="shared" si="2"/>
        <v>11239099.999999991</v>
      </c>
      <c r="S29" s="1398">
        <f t="shared" ref="S29" si="106">+S77*S$3*24*1000</f>
        <v>3571200</v>
      </c>
      <c r="T29" s="2845">
        <v>4272000.0000000037</v>
      </c>
      <c r="U29" s="2846">
        <f t="shared" si="3"/>
        <v>14054400</v>
      </c>
      <c r="V29" s="2846">
        <f t="shared" si="4"/>
        <v>15511099.999999994</v>
      </c>
      <c r="W29" s="1398">
        <f t="shared" si="73"/>
        <v>3571200</v>
      </c>
      <c r="X29" s="2845">
        <v>4235900.0000000019</v>
      </c>
      <c r="Y29" s="2846">
        <f t="shared" si="5"/>
        <v>17625600</v>
      </c>
      <c r="Z29" s="2846">
        <f t="shared" si="6"/>
        <v>19746999.999999996</v>
      </c>
      <c r="AA29" s="1398">
        <f t="shared" si="74"/>
        <v>3456000</v>
      </c>
      <c r="AB29" s="2845">
        <v>3889200.0000000047</v>
      </c>
      <c r="AC29" s="2842">
        <f t="shared" si="75"/>
        <v>10598400</v>
      </c>
      <c r="AD29" s="2842">
        <f t="shared" si="76"/>
        <v>12397100.000000011</v>
      </c>
      <c r="AE29" s="2848">
        <f t="shared" si="7"/>
        <v>21081600</v>
      </c>
      <c r="AF29" s="2848">
        <f t="shared" si="8"/>
        <v>23636200</v>
      </c>
      <c r="AG29" s="777">
        <f t="shared" si="77"/>
        <v>3571200</v>
      </c>
      <c r="AH29" s="778">
        <v>4418599.9999999944</v>
      </c>
      <c r="AI29" s="797">
        <f t="shared" si="9"/>
        <v>24652800</v>
      </c>
      <c r="AJ29" s="797">
        <f t="shared" si="10"/>
        <v>28054799.999999993</v>
      </c>
      <c r="AK29" s="777">
        <f t="shared" si="78"/>
        <v>3456000</v>
      </c>
      <c r="AL29" s="778">
        <v>4131500.0000000037</v>
      </c>
      <c r="AM29" s="797">
        <f t="shared" si="11"/>
        <v>28108800</v>
      </c>
      <c r="AN29" s="797">
        <f t="shared" si="12"/>
        <v>32186299.999999996</v>
      </c>
      <c r="AO29" s="777">
        <f t="shared" si="79"/>
        <v>3571200</v>
      </c>
      <c r="AP29" s="778">
        <v>4550999.9999999963</v>
      </c>
      <c r="AQ29" s="905">
        <f t="shared" si="80"/>
        <v>10598400</v>
      </c>
      <c r="AR29" s="905">
        <f t="shared" si="81"/>
        <v>13101099.999999994</v>
      </c>
      <c r="AS29" s="797">
        <f t="shared" si="13"/>
        <v>31680000</v>
      </c>
      <c r="AT29" s="797">
        <f t="shared" si="14"/>
        <v>36737299.999999993</v>
      </c>
      <c r="AU29" s="777">
        <f t="shared" si="82"/>
        <v>3571200</v>
      </c>
      <c r="AV29" s="778">
        <v>3514600</v>
      </c>
      <c r="AW29" s="797">
        <f t="shared" si="15"/>
        <v>35251200</v>
      </c>
      <c r="AX29" s="797">
        <f t="shared" si="16"/>
        <v>40251899.999999993</v>
      </c>
      <c r="AY29" s="777">
        <f t="shared" si="83"/>
        <v>3225600.0000000005</v>
      </c>
      <c r="AZ29" s="778">
        <v>3426735</v>
      </c>
      <c r="BA29" s="797">
        <f t="shared" si="17"/>
        <v>38476800</v>
      </c>
      <c r="BB29" s="797">
        <f t="shared" si="18"/>
        <v>43678634.999999993</v>
      </c>
      <c r="BC29" s="777">
        <f t="shared" si="84"/>
        <v>3571200</v>
      </c>
      <c r="BD29" s="778">
        <v>4123100</v>
      </c>
      <c r="BE29" s="905">
        <f t="shared" si="85"/>
        <v>10368000</v>
      </c>
      <c r="BF29" s="905">
        <f t="shared" si="86"/>
        <v>11064435</v>
      </c>
      <c r="BG29" s="2848">
        <f t="shared" si="19"/>
        <v>13939200</v>
      </c>
      <c r="BH29" s="2848">
        <f t="shared" si="20"/>
        <v>15187535</v>
      </c>
      <c r="BI29" s="797">
        <f t="shared" si="21"/>
        <v>42048000</v>
      </c>
      <c r="BJ29" s="797">
        <f t="shared" si="22"/>
        <v>47801734.999999993</v>
      </c>
    </row>
    <row r="30" spans="1:62" ht="15" customHeight="1" x14ac:dyDescent="0.25">
      <c r="A30" s="714">
        <v>25</v>
      </c>
      <c r="B30" s="746" t="s">
        <v>932</v>
      </c>
      <c r="C30" s="33" t="s">
        <v>242</v>
      </c>
      <c r="D30" s="747">
        <v>2204510.0000000019</v>
      </c>
      <c r="E30" s="748">
        <v>2354639.9999999991</v>
      </c>
      <c r="G30" s="2827" t="s">
        <v>933</v>
      </c>
      <c r="H30" s="700" t="s">
        <v>895</v>
      </c>
      <c r="I30" s="2839">
        <f t="shared" si="70"/>
        <v>648000</v>
      </c>
      <c r="J30" s="1398">
        <v>467260</v>
      </c>
      <c r="K30" s="2839">
        <f t="shared" si="70"/>
        <v>669600</v>
      </c>
      <c r="L30" s="2845">
        <v>517150.00000000099</v>
      </c>
      <c r="M30" s="2846">
        <f t="shared" si="0"/>
        <v>1317600</v>
      </c>
      <c r="N30" s="2846">
        <f t="shared" si="0"/>
        <v>984410.00000000093</v>
      </c>
      <c r="O30" s="2839">
        <f t="shared" ref="O30" si="107">+O78*O$3*24*1000</f>
        <v>648000</v>
      </c>
      <c r="P30" s="1398">
        <v>557120.00000000047</v>
      </c>
      <c r="Q30" s="2847">
        <f t="shared" si="1"/>
        <v>1965600</v>
      </c>
      <c r="R30" s="2847">
        <f t="shared" si="2"/>
        <v>1541530.0000000014</v>
      </c>
      <c r="S30" s="2839">
        <f t="shared" ref="S30" si="108">+S78*S$3*24*1000</f>
        <v>669600</v>
      </c>
      <c r="T30" s="2845">
        <v>567439.99999999965</v>
      </c>
      <c r="U30" s="2846">
        <f t="shared" si="3"/>
        <v>2635200</v>
      </c>
      <c r="V30" s="2846">
        <f t="shared" si="4"/>
        <v>2108970.0000000009</v>
      </c>
      <c r="W30" s="2839">
        <f t="shared" si="73"/>
        <v>669600</v>
      </c>
      <c r="X30" s="2845">
        <v>551799.9999999993</v>
      </c>
      <c r="Y30" s="2846">
        <f t="shared" si="5"/>
        <v>3304800</v>
      </c>
      <c r="Z30" s="2846">
        <f t="shared" si="6"/>
        <v>2660770</v>
      </c>
      <c r="AA30" s="2839">
        <f t="shared" si="74"/>
        <v>648000</v>
      </c>
      <c r="AB30" s="2845">
        <v>553240.0000000021</v>
      </c>
      <c r="AC30" s="2842">
        <f t="shared" si="75"/>
        <v>1987200</v>
      </c>
      <c r="AD30" s="2842">
        <f t="shared" si="76"/>
        <v>1672480.0000000012</v>
      </c>
      <c r="AE30" s="2848">
        <f t="shared" si="7"/>
        <v>3952800</v>
      </c>
      <c r="AF30" s="2848">
        <f t="shared" si="8"/>
        <v>3214010.0000000019</v>
      </c>
      <c r="AG30" s="1106">
        <f t="shared" si="77"/>
        <v>669600</v>
      </c>
      <c r="AH30" s="778">
        <v>570879.99999999965</v>
      </c>
      <c r="AI30" s="797">
        <f t="shared" si="9"/>
        <v>4622400</v>
      </c>
      <c r="AJ30" s="797">
        <f t="shared" si="10"/>
        <v>3784890.0000000014</v>
      </c>
      <c r="AK30" s="1106">
        <f t="shared" si="78"/>
        <v>648000</v>
      </c>
      <c r="AL30" s="778">
        <v>524979.99999999907</v>
      </c>
      <c r="AM30" s="797">
        <f t="shared" si="11"/>
        <v>5270400</v>
      </c>
      <c r="AN30" s="797">
        <f t="shared" si="12"/>
        <v>4309870</v>
      </c>
      <c r="AO30" s="1106">
        <f t="shared" si="79"/>
        <v>669600</v>
      </c>
      <c r="AP30" s="778">
        <v>541530.00000000116</v>
      </c>
      <c r="AQ30" s="905">
        <f t="shared" si="80"/>
        <v>1987200</v>
      </c>
      <c r="AR30" s="905">
        <f t="shared" si="81"/>
        <v>1637389.9999999998</v>
      </c>
      <c r="AS30" s="797">
        <f t="shared" si="13"/>
        <v>5940000</v>
      </c>
      <c r="AT30" s="797">
        <f t="shared" si="14"/>
        <v>4851400.0000000009</v>
      </c>
      <c r="AU30" s="1106">
        <f t="shared" si="82"/>
        <v>669600</v>
      </c>
      <c r="AV30" s="778">
        <v>539299.99999999884</v>
      </c>
      <c r="AW30" s="797">
        <f t="shared" si="15"/>
        <v>6609600</v>
      </c>
      <c r="AX30" s="797">
        <f t="shared" si="16"/>
        <v>5390700</v>
      </c>
      <c r="AY30" s="1106">
        <f t="shared" si="83"/>
        <v>604800</v>
      </c>
      <c r="AZ30" s="778">
        <v>480140.00000000029</v>
      </c>
      <c r="BA30" s="797">
        <f t="shared" si="17"/>
        <v>7214400</v>
      </c>
      <c r="BB30" s="797">
        <f t="shared" si="18"/>
        <v>5870840</v>
      </c>
      <c r="BC30" s="1106">
        <f t="shared" si="84"/>
        <v>669600</v>
      </c>
      <c r="BD30" s="778">
        <v>567079.99999999895</v>
      </c>
      <c r="BE30" s="905">
        <f t="shared" si="85"/>
        <v>1944000</v>
      </c>
      <c r="BF30" s="905">
        <f t="shared" si="86"/>
        <v>1586519.9999999981</v>
      </c>
      <c r="BG30" s="2848">
        <f t="shared" si="19"/>
        <v>2613600</v>
      </c>
      <c r="BH30" s="2848">
        <f t="shared" si="20"/>
        <v>2153599.9999999972</v>
      </c>
      <c r="BI30" s="797">
        <f t="shared" si="21"/>
        <v>7884000</v>
      </c>
      <c r="BJ30" s="797">
        <f t="shared" si="22"/>
        <v>6437919.9999999991</v>
      </c>
    </row>
    <row r="31" spans="1:62" ht="15" customHeight="1" x14ac:dyDescent="0.25">
      <c r="A31" s="714"/>
      <c r="B31" s="746"/>
      <c r="C31" s="33"/>
      <c r="D31" s="747"/>
      <c r="E31" s="748"/>
      <c r="G31" s="2827" t="s">
        <v>934</v>
      </c>
      <c r="H31" s="700" t="s">
        <v>896</v>
      </c>
      <c r="I31" s="2839">
        <f t="shared" si="70"/>
        <v>720000</v>
      </c>
      <c r="J31" s="1398">
        <v>514000</v>
      </c>
      <c r="K31" s="2839">
        <f t="shared" si="70"/>
        <v>744000</v>
      </c>
      <c r="L31" s="2845">
        <v>903499.99999999604</v>
      </c>
      <c r="M31" s="2846">
        <f t="shared" si="0"/>
        <v>1464000</v>
      </c>
      <c r="N31" s="2846">
        <f t="shared" si="0"/>
        <v>1417499.999999996</v>
      </c>
      <c r="O31" s="2839">
        <f t="shared" ref="O31" si="109">+O79*O$3*24*1000</f>
        <v>720000</v>
      </c>
      <c r="P31" s="1398">
        <v>653500</v>
      </c>
      <c r="Q31" s="2847">
        <f t="shared" si="1"/>
        <v>2184000</v>
      </c>
      <c r="R31" s="2847">
        <f t="shared" si="2"/>
        <v>2070999.999999996</v>
      </c>
      <c r="S31" s="2839">
        <f t="shared" ref="S31" si="110">+S79*S$3*24*1000</f>
        <v>744000</v>
      </c>
      <c r="T31" s="2845">
        <v>827100.0000000021</v>
      </c>
      <c r="U31" s="2846">
        <f t="shared" si="3"/>
        <v>2928000</v>
      </c>
      <c r="V31" s="2846">
        <f t="shared" si="4"/>
        <v>2898099.9999999981</v>
      </c>
      <c r="W31" s="2839">
        <f t="shared" si="73"/>
        <v>744000</v>
      </c>
      <c r="X31" s="2845">
        <v>493000</v>
      </c>
      <c r="Y31" s="2846">
        <f t="shared" si="5"/>
        <v>3672000</v>
      </c>
      <c r="Z31" s="2846">
        <f t="shared" si="6"/>
        <v>3391099.9999999981</v>
      </c>
      <c r="AA31" s="2839">
        <f t="shared" si="74"/>
        <v>720000</v>
      </c>
      <c r="AB31" s="2845">
        <v>491599.99999999854</v>
      </c>
      <c r="AC31" s="2842">
        <f t="shared" si="75"/>
        <v>2208000</v>
      </c>
      <c r="AD31" s="2842">
        <f t="shared" si="76"/>
        <v>1811700.0000000007</v>
      </c>
      <c r="AE31" s="2848">
        <f t="shared" si="7"/>
        <v>4392000</v>
      </c>
      <c r="AF31" s="2848">
        <f t="shared" si="8"/>
        <v>3882699.9999999967</v>
      </c>
      <c r="AG31" s="1106">
        <f t="shared" si="77"/>
        <v>744000</v>
      </c>
      <c r="AH31" s="778">
        <v>877000</v>
      </c>
      <c r="AI31" s="797">
        <f t="shared" si="9"/>
        <v>5136000</v>
      </c>
      <c r="AJ31" s="797">
        <f t="shared" si="10"/>
        <v>4759699.9999999963</v>
      </c>
      <c r="AK31" s="1106">
        <f t="shared" si="78"/>
        <v>720000</v>
      </c>
      <c r="AL31" s="778">
        <v>744299.9999999993</v>
      </c>
      <c r="AM31" s="797">
        <f t="shared" si="11"/>
        <v>5856000</v>
      </c>
      <c r="AN31" s="797">
        <f t="shared" si="12"/>
        <v>5503999.9999999953</v>
      </c>
      <c r="AO31" s="1106">
        <f t="shared" si="79"/>
        <v>744000</v>
      </c>
      <c r="AP31" s="778">
        <v>754100.00000000221</v>
      </c>
      <c r="AQ31" s="905">
        <f t="shared" si="80"/>
        <v>2208000</v>
      </c>
      <c r="AR31" s="905">
        <f t="shared" si="81"/>
        <v>2375400.0000000014</v>
      </c>
      <c r="AS31" s="797">
        <f t="shared" si="13"/>
        <v>6600000</v>
      </c>
      <c r="AT31" s="797">
        <f t="shared" si="14"/>
        <v>6258099.9999999972</v>
      </c>
      <c r="AU31" s="1106">
        <f t="shared" si="82"/>
        <v>744000</v>
      </c>
      <c r="AV31" s="778">
        <v>782200.0000000007</v>
      </c>
      <c r="AW31" s="797">
        <f t="shared" si="15"/>
        <v>7344000</v>
      </c>
      <c r="AX31" s="797">
        <f t="shared" si="16"/>
        <v>7040299.9999999981</v>
      </c>
      <c r="AY31" s="1106">
        <f t="shared" si="83"/>
        <v>672000</v>
      </c>
      <c r="AZ31" s="778">
        <v>576400.0000000014</v>
      </c>
      <c r="BA31" s="797">
        <f t="shared" si="17"/>
        <v>8016000</v>
      </c>
      <c r="BB31" s="797">
        <f t="shared" si="18"/>
        <v>7616700</v>
      </c>
      <c r="BC31" s="1106">
        <f t="shared" si="84"/>
        <v>744000</v>
      </c>
      <c r="BD31" s="778">
        <v>758899.99999999779</v>
      </c>
      <c r="BE31" s="905">
        <f t="shared" si="85"/>
        <v>2160000</v>
      </c>
      <c r="BF31" s="905">
        <f t="shared" si="86"/>
        <v>2117500</v>
      </c>
      <c r="BG31" s="2848">
        <f t="shared" si="19"/>
        <v>2904000</v>
      </c>
      <c r="BH31" s="2848">
        <f t="shared" si="20"/>
        <v>2876399.9999999977</v>
      </c>
      <c r="BI31" s="797">
        <f t="shared" si="21"/>
        <v>8760000</v>
      </c>
      <c r="BJ31" s="797">
        <f t="shared" si="22"/>
        <v>8375599.9999999981</v>
      </c>
    </row>
    <row r="32" spans="1:62" ht="15" customHeight="1" x14ac:dyDescent="0.25">
      <c r="A32" s="714">
        <v>26</v>
      </c>
      <c r="B32" s="746" t="s">
        <v>935</v>
      </c>
      <c r="C32" s="33" t="s">
        <v>242</v>
      </c>
      <c r="D32" s="747">
        <v>1110620</v>
      </c>
      <c r="E32" s="748">
        <v>1155720.0000000005</v>
      </c>
      <c r="G32" s="2827" t="s">
        <v>936</v>
      </c>
      <c r="H32" s="700" t="s">
        <v>897</v>
      </c>
      <c r="I32" s="2839">
        <f t="shared" si="70"/>
        <v>1008000</v>
      </c>
      <c r="J32" s="1398">
        <v>798673.7</v>
      </c>
      <c r="K32" s="2839">
        <f t="shared" si="70"/>
        <v>1041599.9999999999</v>
      </c>
      <c r="L32" s="2845">
        <v>725305.299999999</v>
      </c>
      <c r="M32" s="2846">
        <f t="shared" si="0"/>
        <v>2049600</v>
      </c>
      <c r="N32" s="2846">
        <f t="shared" si="0"/>
        <v>1523978.9999999991</v>
      </c>
      <c r="O32" s="2839">
        <f t="shared" ref="O32" si="111">+O80*O$3*24*1000</f>
        <v>1008000</v>
      </c>
      <c r="P32" s="1398">
        <v>753690.60000000056</v>
      </c>
      <c r="Q32" s="2847">
        <f t="shared" si="1"/>
        <v>3057600</v>
      </c>
      <c r="R32" s="2847">
        <f t="shared" si="2"/>
        <v>2277669.5999999996</v>
      </c>
      <c r="S32" s="2839">
        <f t="shared" ref="S32" si="112">+S80*S$3*24*1000</f>
        <v>1041599.9999999999</v>
      </c>
      <c r="T32" s="2845">
        <v>809032.80000000016</v>
      </c>
      <c r="U32" s="2846">
        <f t="shared" si="3"/>
        <v>4099200</v>
      </c>
      <c r="V32" s="2846">
        <f t="shared" si="4"/>
        <v>3086702.4</v>
      </c>
      <c r="W32" s="2839">
        <f t="shared" si="73"/>
        <v>1041599.9999999999</v>
      </c>
      <c r="X32" s="2845">
        <v>819493.39999999898</v>
      </c>
      <c r="Y32" s="2846">
        <f t="shared" si="5"/>
        <v>5140800</v>
      </c>
      <c r="Z32" s="2846">
        <f t="shared" si="6"/>
        <v>3906195.7999999989</v>
      </c>
      <c r="AA32" s="2839">
        <f t="shared" si="74"/>
        <v>1008000</v>
      </c>
      <c r="AB32" s="2845">
        <v>852165.20000000042</v>
      </c>
      <c r="AC32" s="2842">
        <f t="shared" si="75"/>
        <v>3091200</v>
      </c>
      <c r="AD32" s="2842">
        <f t="shared" si="76"/>
        <v>2480691.3999999994</v>
      </c>
      <c r="AE32" s="2848">
        <f t="shared" si="7"/>
        <v>6148800</v>
      </c>
      <c r="AF32" s="2848">
        <f t="shared" si="8"/>
        <v>4758360.9999999991</v>
      </c>
      <c r="AG32" s="1106">
        <f t="shared" si="77"/>
        <v>1041599.9999999999</v>
      </c>
      <c r="AH32" s="778">
        <v>882352.65999999957</v>
      </c>
      <c r="AI32" s="797">
        <f t="shared" si="9"/>
        <v>7190400</v>
      </c>
      <c r="AJ32" s="797">
        <f t="shared" si="10"/>
        <v>5640713.6599999983</v>
      </c>
      <c r="AK32" s="1106">
        <f t="shared" si="78"/>
        <v>1008000</v>
      </c>
      <c r="AL32" s="778">
        <v>743654.74000000185</v>
      </c>
      <c r="AM32" s="797">
        <f t="shared" si="11"/>
        <v>8198400</v>
      </c>
      <c r="AN32" s="797">
        <f t="shared" si="12"/>
        <v>6384368.4000000004</v>
      </c>
      <c r="AO32" s="1106">
        <f t="shared" si="79"/>
        <v>1041599.9999999999</v>
      </c>
      <c r="AP32" s="778">
        <v>823076.49999999953</v>
      </c>
      <c r="AQ32" s="905">
        <f t="shared" si="80"/>
        <v>3091200</v>
      </c>
      <c r="AR32" s="905">
        <f t="shared" si="81"/>
        <v>2449083.9000000008</v>
      </c>
      <c r="AS32" s="797">
        <f t="shared" si="13"/>
        <v>9240000</v>
      </c>
      <c r="AT32" s="797">
        <f t="shared" si="14"/>
        <v>7207444.9000000004</v>
      </c>
      <c r="AU32" s="1106">
        <f t="shared" si="82"/>
        <v>1041599.9999999999</v>
      </c>
      <c r="AV32" s="778">
        <v>801694.70000000042</v>
      </c>
      <c r="AW32" s="797">
        <f t="shared" si="15"/>
        <v>10281600</v>
      </c>
      <c r="AX32" s="797">
        <f t="shared" si="16"/>
        <v>8009139.6000000006</v>
      </c>
      <c r="AY32" s="1106">
        <f t="shared" si="83"/>
        <v>940800</v>
      </c>
      <c r="AZ32" s="778">
        <v>683603.64999999723</v>
      </c>
      <c r="BA32" s="797">
        <f t="shared" si="17"/>
        <v>11222400</v>
      </c>
      <c r="BB32" s="797">
        <f t="shared" si="18"/>
        <v>8692743.2499999981</v>
      </c>
      <c r="BC32" s="1106">
        <f t="shared" si="84"/>
        <v>1041599.9999999999</v>
      </c>
      <c r="BD32" s="778">
        <v>861136.60000000102</v>
      </c>
      <c r="BE32" s="905">
        <f t="shared" si="85"/>
        <v>3024000</v>
      </c>
      <c r="BF32" s="905">
        <f t="shared" si="86"/>
        <v>2346434.9499999988</v>
      </c>
      <c r="BG32" s="2848">
        <f t="shared" si="19"/>
        <v>4065600</v>
      </c>
      <c r="BH32" s="2848">
        <f t="shared" si="20"/>
        <v>3207571.55</v>
      </c>
      <c r="BI32" s="797">
        <f t="shared" si="21"/>
        <v>12264000</v>
      </c>
      <c r="BJ32" s="797">
        <f t="shared" si="22"/>
        <v>9553879.8499999996</v>
      </c>
    </row>
    <row r="33" spans="1:62" s="334" customFormat="1" ht="15" customHeight="1" x14ac:dyDescent="0.25">
      <c r="G33" s="343"/>
      <c r="H33" s="343"/>
      <c r="I33" s="343"/>
      <c r="J33" s="343"/>
      <c r="K33" s="343"/>
      <c r="L33" s="343"/>
      <c r="M33" s="343"/>
      <c r="N33" s="343"/>
      <c r="O33" s="343"/>
      <c r="P33" s="343"/>
      <c r="Q33" s="343"/>
      <c r="R33" s="343"/>
      <c r="S33" s="343"/>
      <c r="T33" s="343"/>
      <c r="U33" s="343"/>
      <c r="V33" s="343"/>
      <c r="W33" s="343"/>
      <c r="X33" s="343"/>
      <c r="Y33" s="343"/>
      <c r="Z33" s="343"/>
      <c r="AA33" s="343"/>
      <c r="AB33" s="343"/>
      <c r="AC33" s="343"/>
      <c r="AD33" s="343"/>
      <c r="AE33" s="343"/>
      <c r="AF33" s="343"/>
      <c r="BG33" s="343"/>
      <c r="BH33" s="343"/>
    </row>
    <row r="34" spans="1:62" ht="15" customHeight="1" x14ac:dyDescent="0.25">
      <c r="A34" s="714">
        <v>27</v>
      </c>
      <c r="B34" s="746" t="s">
        <v>895</v>
      </c>
      <c r="C34" s="33" t="s">
        <v>242</v>
      </c>
      <c r="D34" s="747">
        <v>454899.99999999919</v>
      </c>
      <c r="E34" s="748">
        <v>444510.0000000007</v>
      </c>
      <c r="G34" s="2852" t="s">
        <v>937</v>
      </c>
      <c r="H34" s="2553" t="s">
        <v>898</v>
      </c>
      <c r="I34" s="2853">
        <f>SUM(I35:I38)</f>
        <v>2656220.3889999841</v>
      </c>
      <c r="J34" s="2853">
        <f>SUM(J35:J38)</f>
        <v>2060006.1177536249</v>
      </c>
      <c r="K34" s="2853">
        <f>SUM(K35:K38)</f>
        <v>2744761.0686333333</v>
      </c>
      <c r="L34" s="2854">
        <f>SUM(L35:L38)</f>
        <v>2016787.2989409999</v>
      </c>
      <c r="M34" s="2855">
        <f t="shared" si="0"/>
        <v>5400981.4576333174</v>
      </c>
      <c r="N34" s="2855">
        <f t="shared" si="0"/>
        <v>4076793.4166946248</v>
      </c>
      <c r="O34" s="2853">
        <f>SUM(O35:O38)</f>
        <v>2656220.389</v>
      </c>
      <c r="P34" s="2853">
        <f>SUM(P35:P38)</f>
        <v>1969713.3551724125</v>
      </c>
      <c r="Q34" s="2856">
        <f t="shared" ref="Q34:Q46" si="113">+M34+O34</f>
        <v>8057201.8466333169</v>
      </c>
      <c r="R34" s="2856">
        <f t="shared" ref="R34:R46" si="114">+N34+P34</f>
        <v>6046506.7718670368</v>
      </c>
      <c r="S34" s="2853">
        <f>SUM(S35:S38)</f>
        <v>2747889.2280000001</v>
      </c>
      <c r="T34" s="2854">
        <f>SUM(T35:T38)</f>
        <v>1922213.3244310354</v>
      </c>
      <c r="U34" s="2855">
        <f t="shared" ref="U34:U46" si="115">+Q34+S34</f>
        <v>10805091.074633317</v>
      </c>
      <c r="V34" s="2855">
        <f t="shared" ref="V34:V46" si="116">+R34+T34</f>
        <v>7968720.0962980725</v>
      </c>
      <c r="W34" s="2853">
        <f>SUM(W35:W38)</f>
        <v>2747889.2280000001</v>
      </c>
      <c r="X34" s="2854">
        <f>SUM(X35:X38)</f>
        <v>2024896.5139999981</v>
      </c>
      <c r="Y34" s="2855">
        <f t="shared" ref="Y34:Y46" si="117">+U34+W34</f>
        <v>13552980.302633317</v>
      </c>
      <c r="Z34" s="2855">
        <f t="shared" ref="Z34:Z46" si="118">+V34+X34</f>
        <v>9993616.6102980711</v>
      </c>
      <c r="AA34" s="2853">
        <f>SUM(AA35:AA38)</f>
        <v>2659247.64</v>
      </c>
      <c r="AB34" s="2854">
        <f>SUM(AB35:AB38)</f>
        <v>1897121.6400000013</v>
      </c>
      <c r="AC34" s="2834">
        <f>+S34+W34+AA34</f>
        <v>8155026.0960000008</v>
      </c>
      <c r="AD34" s="2834">
        <f>+T34+X34+AB34</f>
        <v>5844231.4784310348</v>
      </c>
      <c r="AE34" s="2857">
        <f t="shared" ref="AE34:AE46" si="119">+Y34+AA34</f>
        <v>16212227.942633318</v>
      </c>
      <c r="AF34" s="2857">
        <f t="shared" ref="AF34:AF46" si="120">+Z34+AB34</f>
        <v>11890738.250298072</v>
      </c>
      <c r="AG34" s="782">
        <f>SUM(AG35:AG38)</f>
        <v>2747889.2280000001</v>
      </c>
      <c r="AH34" s="783">
        <f>SUM(AH35:AH38)</f>
        <v>1915134.5699999989</v>
      </c>
      <c r="AI34" s="799">
        <f t="shared" ref="AI34:AI46" si="121">+AE34+AG34</f>
        <v>18960117.170633316</v>
      </c>
      <c r="AJ34" s="799">
        <f t="shared" ref="AJ34:AJ46" si="122">+AF34+AH34</f>
        <v>13805872.82029807</v>
      </c>
      <c r="AK34" s="782">
        <f>SUM(AK35:AK38)</f>
        <v>2659247.64</v>
      </c>
      <c r="AL34" s="783">
        <f>SUM(AL35:AL38)</f>
        <v>1835122.6110000012</v>
      </c>
      <c r="AM34" s="799">
        <f t="shared" ref="AM34:AM46" si="123">+AI34+AK34</f>
        <v>21619364.810633317</v>
      </c>
      <c r="AN34" s="799">
        <f t="shared" ref="AN34:AN46" si="124">+AJ34+AL34</f>
        <v>15640995.431298072</v>
      </c>
      <c r="AO34" s="782">
        <f>SUM(AO35:AO38)</f>
        <v>2747889.2280000001</v>
      </c>
      <c r="AP34" s="783">
        <f>SUM(AP35:AP38)</f>
        <v>1903443.1467499994</v>
      </c>
      <c r="AQ34" s="907">
        <f>+AG34+AK34+AO34</f>
        <v>8155026.0960000008</v>
      </c>
      <c r="AR34" s="907">
        <f>+AH34+AL34+AP34</f>
        <v>5653700.3277499992</v>
      </c>
      <c r="AS34" s="799">
        <f t="shared" ref="AS34:AS46" si="125">+AM34+AO34</f>
        <v>24367254.038633317</v>
      </c>
      <c r="AT34" s="799">
        <f t="shared" ref="AT34:AT46" si="126">+AN34+AP34</f>
        <v>17544438.578048073</v>
      </c>
      <c r="AU34" s="782">
        <f>SUM(AU35:AU38)</f>
        <v>2747889.2280000001</v>
      </c>
      <c r="AV34" s="783">
        <f>SUM(AV35:AV38)</f>
        <v>1819258.7107999991</v>
      </c>
      <c r="AW34" s="799">
        <f t="shared" ref="AW34:AW46" si="127">+AS34+AU34</f>
        <v>27115143.266633317</v>
      </c>
      <c r="AX34" s="799">
        <f t="shared" ref="AX34:AX46" si="128">+AT34+AV34</f>
        <v>19363697.288848072</v>
      </c>
      <c r="AY34" s="782">
        <f>SUM(AY35:AY38)</f>
        <v>2481964.4639999997</v>
      </c>
      <c r="AZ34" s="783">
        <f>SUM(AZ35:AZ38)</f>
        <v>1606403.7773465526</v>
      </c>
      <c r="BA34" s="799">
        <f t="shared" ref="BA34:BA46" si="129">+AW34+AY34</f>
        <v>29597107.730633318</v>
      </c>
      <c r="BB34" s="799">
        <f t="shared" ref="BB34:BB46" si="130">+AX34+AZ34</f>
        <v>20970101.066194624</v>
      </c>
      <c r="BC34" s="782">
        <f>SUM(BC35:BC38)</f>
        <v>2747889.2280000001</v>
      </c>
      <c r="BD34" s="783">
        <f>SUM(BD35:BD38)</f>
        <v>1891482.6097758615</v>
      </c>
      <c r="BE34" s="907">
        <f>+AU34+AY34+BC34</f>
        <v>7977742.9199999999</v>
      </c>
      <c r="BF34" s="907">
        <f>+AV34+AZ34+BD34</f>
        <v>5317145.0979224136</v>
      </c>
      <c r="BG34" s="2857">
        <f t="shared" ref="BG34:BG46" si="131">+BC34+BE34</f>
        <v>10725632.148</v>
      </c>
      <c r="BH34" s="2857">
        <f t="shared" ref="BH34:BH46" si="132">+BD34+BF34</f>
        <v>7208627.7076982753</v>
      </c>
      <c r="BI34" s="799">
        <f t="shared" ref="BI34:BI46" si="133">+BA34+BC34</f>
        <v>32344996.958633319</v>
      </c>
      <c r="BJ34" s="799">
        <f t="shared" ref="BJ34:BJ46" si="134">+BB34+BD34</f>
        <v>22861583.675970484</v>
      </c>
    </row>
    <row r="35" spans="1:62" ht="15" customHeight="1" x14ac:dyDescent="0.25">
      <c r="A35" s="714">
        <v>28</v>
      </c>
      <c r="B35" s="759" t="s">
        <v>900</v>
      </c>
      <c r="C35" s="33" t="s">
        <v>242</v>
      </c>
      <c r="D35" s="747">
        <v>644972.74900000007</v>
      </c>
      <c r="E35" s="748">
        <v>646895.54300000006</v>
      </c>
      <c r="G35" s="2827" t="s">
        <v>938</v>
      </c>
      <c r="H35" s="700" t="s">
        <v>899</v>
      </c>
      <c r="I35" s="1398">
        <f>+I83*I$3*24*1000</f>
        <v>1543247.6400000001</v>
      </c>
      <c r="J35" s="1398">
        <v>1382207.155</v>
      </c>
      <c r="K35" s="1398">
        <f t="shared" ref="I35:K38" si="135">+K83*K$3*24*1000</f>
        <v>1594689.2280000001</v>
      </c>
      <c r="L35" s="2845">
        <v>1393281.97</v>
      </c>
      <c r="M35" s="2846">
        <f t="shared" si="0"/>
        <v>3137936.8680000002</v>
      </c>
      <c r="N35" s="2846">
        <f t="shared" si="0"/>
        <v>2775489.125</v>
      </c>
      <c r="O35" s="2839">
        <f t="shared" ref="O35" si="136">+O83*O$3*24*1000</f>
        <v>1543247.6400000001</v>
      </c>
      <c r="P35" s="1398">
        <v>1359631.0896551723</v>
      </c>
      <c r="Q35" s="2847">
        <f t="shared" si="113"/>
        <v>4681184.5080000004</v>
      </c>
      <c r="R35" s="2847">
        <f t="shared" si="114"/>
        <v>4135120.2146551721</v>
      </c>
      <c r="S35" s="1398">
        <f t="shared" ref="S35" si="137">+S83*S$3*24*1000</f>
        <v>1594689.2280000001</v>
      </c>
      <c r="T35" s="2845">
        <v>1357625.5086206896</v>
      </c>
      <c r="U35" s="2846">
        <f t="shared" si="115"/>
        <v>6275873.7360000005</v>
      </c>
      <c r="V35" s="2846">
        <f t="shared" si="116"/>
        <v>5492745.7232758617</v>
      </c>
      <c r="W35" s="1398">
        <f t="shared" ref="W35:W38" si="138">+W83*W$3*24*1000</f>
        <v>1594689.2280000001</v>
      </c>
      <c r="X35" s="2845">
        <v>1410638.2799999998</v>
      </c>
      <c r="Y35" s="2846">
        <f t="shared" si="117"/>
        <v>7870562.9640000006</v>
      </c>
      <c r="Z35" s="2846">
        <f t="shared" si="118"/>
        <v>6903384.003275862</v>
      </c>
      <c r="AA35" s="1398">
        <f t="shared" ref="AA35:AA38" si="139">+AA83*AA$3*24*1000</f>
        <v>1543247.6400000001</v>
      </c>
      <c r="AB35" s="2845">
        <v>1307901.67</v>
      </c>
      <c r="AC35" s="2842">
        <f t="shared" ref="AC35:AC38" si="140">+S35+W35+AA35</f>
        <v>4732626.0960000008</v>
      </c>
      <c r="AD35" s="2842">
        <f t="shared" ref="AD35:AD38" si="141">+T35+X35+AB35</f>
        <v>4076165.4586206893</v>
      </c>
      <c r="AE35" s="2848">
        <f t="shared" si="119"/>
        <v>9413810.6040000003</v>
      </c>
      <c r="AF35" s="2848">
        <f t="shared" si="120"/>
        <v>8211285.6732758619</v>
      </c>
      <c r="AG35" s="777">
        <f t="shared" ref="AG35:AG38" si="142">+AG83*AG$3*24*1000</f>
        <v>1594689.2280000001</v>
      </c>
      <c r="AH35" s="778">
        <v>1357243.91</v>
      </c>
      <c r="AI35" s="797">
        <f t="shared" si="121"/>
        <v>11008499.832</v>
      </c>
      <c r="AJ35" s="797">
        <f t="shared" si="122"/>
        <v>9568529.583275862</v>
      </c>
      <c r="AK35" s="777">
        <f t="shared" ref="AK35:AK38" si="143">+AK83*AK$3*24*1000</f>
        <v>1543247.6400000001</v>
      </c>
      <c r="AL35" s="778">
        <v>1290947.3999999999</v>
      </c>
      <c r="AM35" s="797">
        <f t="shared" si="123"/>
        <v>12551747.472000001</v>
      </c>
      <c r="AN35" s="797">
        <f t="shared" si="124"/>
        <v>10859476.983275862</v>
      </c>
      <c r="AO35" s="777">
        <f t="shared" ref="AO35:AO38" si="144">+AO83*AO$3*24*1000</f>
        <v>1594689.2280000001</v>
      </c>
      <c r="AP35" s="778">
        <v>1284211.71</v>
      </c>
      <c r="AQ35" s="905">
        <f t="shared" ref="AQ35:AQ40" si="145">+AG35+AK35+AO35</f>
        <v>4732626.0960000008</v>
      </c>
      <c r="AR35" s="905">
        <f t="shared" ref="AR35:AR40" si="146">+AH35+AL35+AP35</f>
        <v>3932403.0199999996</v>
      </c>
      <c r="AS35" s="797">
        <f t="shared" si="125"/>
        <v>14146436.700000001</v>
      </c>
      <c r="AT35" s="797">
        <f t="shared" si="126"/>
        <v>12143688.693275861</v>
      </c>
      <c r="AU35" s="777">
        <f t="shared" ref="AU35:AU38" si="147">+AU83*AU$3*24*1000</f>
        <v>1594689.2280000001</v>
      </c>
      <c r="AV35" s="778">
        <v>1319272.0299999998</v>
      </c>
      <c r="AW35" s="797">
        <f t="shared" si="127"/>
        <v>15741125.928000001</v>
      </c>
      <c r="AX35" s="797">
        <f t="shared" si="128"/>
        <v>13462960.723275861</v>
      </c>
      <c r="AY35" s="777">
        <f t="shared" ref="AY35:AY38" si="148">+AY83*AY$3*24*1000</f>
        <v>1440364.4639999999</v>
      </c>
      <c r="AZ35" s="778">
        <v>1150827.1499999999</v>
      </c>
      <c r="BA35" s="797">
        <f t="shared" si="129"/>
        <v>17181490.392000001</v>
      </c>
      <c r="BB35" s="797">
        <f t="shared" si="130"/>
        <v>14613787.873275861</v>
      </c>
      <c r="BC35" s="777">
        <f t="shared" ref="BC35:BC38" si="149">+BC83*BC$3*24*1000</f>
        <v>1594689.2280000001</v>
      </c>
      <c r="BD35" s="778">
        <v>1336289.76</v>
      </c>
      <c r="BE35" s="905">
        <f t="shared" ref="BE35:BE40" si="150">+AU35+AY35+BC35</f>
        <v>4629742.92</v>
      </c>
      <c r="BF35" s="905">
        <f t="shared" ref="BF35:BF40" si="151">+AV35+AZ35+BD35</f>
        <v>3806388.9399999995</v>
      </c>
      <c r="BG35" s="2848">
        <f t="shared" si="131"/>
        <v>6224432.148</v>
      </c>
      <c r="BH35" s="2848">
        <f t="shared" si="132"/>
        <v>5142678.6999999993</v>
      </c>
      <c r="BI35" s="797">
        <f t="shared" si="133"/>
        <v>18776179.620000001</v>
      </c>
      <c r="BJ35" s="797">
        <f t="shared" si="134"/>
        <v>15950077.633275861</v>
      </c>
    </row>
    <row r="36" spans="1:62" ht="15" customHeight="1" x14ac:dyDescent="0.25">
      <c r="A36" s="714">
        <v>29</v>
      </c>
      <c r="B36" s="759" t="s">
        <v>901</v>
      </c>
      <c r="C36" s="33" t="s">
        <v>242</v>
      </c>
      <c r="D36" s="747">
        <v>187023.60760000031</v>
      </c>
      <c r="E36" s="748">
        <v>184126.8434000003</v>
      </c>
      <c r="G36" s="2827" t="s">
        <v>939</v>
      </c>
      <c r="H36" s="700" t="s">
        <v>900</v>
      </c>
      <c r="I36" s="1398">
        <f t="shared" si="135"/>
        <v>644972.74899998412</v>
      </c>
      <c r="J36" s="1398">
        <v>404334.32330434897</v>
      </c>
      <c r="K36" s="1398">
        <f t="shared" si="135"/>
        <v>666471.8406333332</v>
      </c>
      <c r="L36" s="2845">
        <v>404091.31650000002</v>
      </c>
      <c r="M36" s="2846">
        <f t="shared" si="0"/>
        <v>1311444.5896333172</v>
      </c>
      <c r="N36" s="2846">
        <f t="shared" si="0"/>
        <v>808425.63980434905</v>
      </c>
      <c r="O36" s="2839">
        <f t="shared" ref="O36" si="152">+O84*O$3*24*1000</f>
        <v>644972.74899999995</v>
      </c>
      <c r="P36" s="1398">
        <v>335808.23068965401</v>
      </c>
      <c r="Q36" s="2847">
        <f t="shared" si="113"/>
        <v>1956417.338633317</v>
      </c>
      <c r="R36" s="2847">
        <f t="shared" si="114"/>
        <v>1144233.8704940029</v>
      </c>
      <c r="S36" s="2839">
        <f t="shared" ref="S36" si="153">+S84*S$3*24*1000</f>
        <v>669600</v>
      </c>
      <c r="T36" s="2845">
        <v>367389.81931034592</v>
      </c>
      <c r="U36" s="2846">
        <f t="shared" si="115"/>
        <v>2626017.338633317</v>
      </c>
      <c r="V36" s="2846">
        <f t="shared" si="116"/>
        <v>1511623.6898043489</v>
      </c>
      <c r="W36" s="2839">
        <f t="shared" si="138"/>
        <v>669600</v>
      </c>
      <c r="X36" s="2845">
        <v>356645.62149999849</v>
      </c>
      <c r="Y36" s="2846">
        <f t="shared" si="117"/>
        <v>3295617.338633317</v>
      </c>
      <c r="Z36" s="2846">
        <f t="shared" si="118"/>
        <v>1868269.3113043474</v>
      </c>
      <c r="AA36" s="2839">
        <f t="shared" si="139"/>
        <v>648000</v>
      </c>
      <c r="AB36" s="2845">
        <v>324555.30000000133</v>
      </c>
      <c r="AC36" s="2842">
        <f t="shared" si="140"/>
        <v>1987200</v>
      </c>
      <c r="AD36" s="2842">
        <f t="shared" si="141"/>
        <v>1048590.7408103459</v>
      </c>
      <c r="AE36" s="2848">
        <f t="shared" si="119"/>
        <v>3943617.338633317</v>
      </c>
      <c r="AF36" s="2848">
        <f t="shared" si="120"/>
        <v>2192824.6113043488</v>
      </c>
      <c r="AG36" s="1106">
        <f t="shared" si="142"/>
        <v>669600</v>
      </c>
      <c r="AH36" s="778">
        <v>346045.14999999898</v>
      </c>
      <c r="AI36" s="797">
        <f t="shared" si="121"/>
        <v>4613217.3386333175</v>
      </c>
      <c r="AJ36" s="797">
        <f t="shared" si="122"/>
        <v>2538869.7613043478</v>
      </c>
      <c r="AK36" s="1106">
        <f t="shared" si="143"/>
        <v>648000</v>
      </c>
      <c r="AL36" s="778">
        <v>332592.1500000013</v>
      </c>
      <c r="AM36" s="797">
        <f t="shared" si="123"/>
        <v>5261217.3386333175</v>
      </c>
      <c r="AN36" s="797">
        <f t="shared" si="124"/>
        <v>2871461.9113043491</v>
      </c>
      <c r="AO36" s="1106">
        <f t="shared" si="144"/>
        <v>669600</v>
      </c>
      <c r="AP36" s="778">
        <v>381697.94999999931</v>
      </c>
      <c r="AQ36" s="905">
        <f t="shared" si="145"/>
        <v>1987200</v>
      </c>
      <c r="AR36" s="905">
        <f t="shared" si="146"/>
        <v>1060335.2499999995</v>
      </c>
      <c r="AS36" s="797">
        <f t="shared" si="125"/>
        <v>5930817.3386333175</v>
      </c>
      <c r="AT36" s="797">
        <f t="shared" si="126"/>
        <v>3253159.8613043483</v>
      </c>
      <c r="AU36" s="1106">
        <f t="shared" si="147"/>
        <v>669600</v>
      </c>
      <c r="AV36" s="778">
        <v>332896.99999999953</v>
      </c>
      <c r="AW36" s="797">
        <f t="shared" si="127"/>
        <v>6600417.3386333175</v>
      </c>
      <c r="AX36" s="797">
        <f t="shared" si="128"/>
        <v>3586056.8613043479</v>
      </c>
      <c r="AY36" s="1106">
        <f t="shared" si="148"/>
        <v>604800</v>
      </c>
      <c r="AZ36" s="778">
        <v>258341.65689655265</v>
      </c>
      <c r="BA36" s="797">
        <f t="shared" si="129"/>
        <v>7205217.3386333175</v>
      </c>
      <c r="BB36" s="797">
        <f t="shared" si="130"/>
        <v>3844398.5182009004</v>
      </c>
      <c r="BC36" s="1106">
        <f t="shared" si="149"/>
        <v>669600</v>
      </c>
      <c r="BD36" s="778">
        <v>306935.74827586167</v>
      </c>
      <c r="BE36" s="905">
        <f t="shared" si="150"/>
        <v>1944000</v>
      </c>
      <c r="BF36" s="905">
        <f t="shared" si="151"/>
        <v>898174.40517241391</v>
      </c>
      <c r="BG36" s="2848">
        <f t="shared" si="131"/>
        <v>2613600</v>
      </c>
      <c r="BH36" s="2848">
        <f t="shared" si="132"/>
        <v>1205110.1534482755</v>
      </c>
      <c r="BI36" s="797">
        <f t="shared" si="133"/>
        <v>7874817.3386333175</v>
      </c>
      <c r="BJ36" s="797">
        <f t="shared" si="134"/>
        <v>4151334.266476762</v>
      </c>
    </row>
    <row r="37" spans="1:62" ht="15" customHeight="1" x14ac:dyDescent="0.25">
      <c r="A37" s="714">
        <v>30</v>
      </c>
      <c r="B37" s="759" t="s">
        <v>907</v>
      </c>
      <c r="C37" s="33" t="s">
        <v>242</v>
      </c>
      <c r="D37" s="747">
        <v>339821.83539999893</v>
      </c>
      <c r="E37" s="748">
        <v>349899.85260000126</v>
      </c>
      <c r="G37" s="2827" t="s">
        <v>940</v>
      </c>
      <c r="H37" s="700" t="s">
        <v>901</v>
      </c>
      <c r="I37" s="2839">
        <f t="shared" si="135"/>
        <v>360000</v>
      </c>
      <c r="J37" s="1398">
        <v>158322.639449276</v>
      </c>
      <c r="K37" s="2839">
        <f t="shared" si="135"/>
        <v>372000</v>
      </c>
      <c r="L37" s="2845">
        <v>162306.012441</v>
      </c>
      <c r="M37" s="2846">
        <f t="shared" si="0"/>
        <v>732000</v>
      </c>
      <c r="N37" s="2846">
        <f t="shared" si="0"/>
        <v>320628.651890276</v>
      </c>
      <c r="O37" s="2839">
        <f t="shared" ref="O37" si="154">+O85*O$3*24*1000</f>
        <v>360000</v>
      </c>
      <c r="P37" s="1398">
        <v>160670.03482758618</v>
      </c>
      <c r="Q37" s="2847">
        <f t="shared" si="113"/>
        <v>1092000</v>
      </c>
      <c r="R37" s="2847">
        <f t="shared" si="114"/>
        <v>481298.68671786215</v>
      </c>
      <c r="S37" s="2839">
        <f t="shared" ref="S37" si="155">+S85*S$3*24*1000</f>
        <v>372000</v>
      </c>
      <c r="T37" s="2845">
        <v>129162.59649999999</v>
      </c>
      <c r="U37" s="2846">
        <f t="shared" si="115"/>
        <v>1464000</v>
      </c>
      <c r="V37" s="2846">
        <f t="shared" si="116"/>
        <v>610461.28321786213</v>
      </c>
      <c r="W37" s="2839">
        <f t="shared" si="138"/>
        <v>372000</v>
      </c>
      <c r="X37" s="2845">
        <v>126946.61249999992</v>
      </c>
      <c r="Y37" s="2846">
        <f t="shared" si="117"/>
        <v>1836000</v>
      </c>
      <c r="Z37" s="2846">
        <f t="shared" si="118"/>
        <v>737407.89571786206</v>
      </c>
      <c r="AA37" s="2839">
        <f t="shared" si="139"/>
        <v>360000</v>
      </c>
      <c r="AB37" s="2845">
        <v>130304.67000000026</v>
      </c>
      <c r="AC37" s="2842">
        <f t="shared" si="140"/>
        <v>1104000</v>
      </c>
      <c r="AD37" s="2842">
        <f t="shared" si="141"/>
        <v>386413.87900000019</v>
      </c>
      <c r="AE37" s="2848">
        <f t="shared" si="119"/>
        <v>2196000</v>
      </c>
      <c r="AF37" s="2848">
        <f t="shared" si="120"/>
        <v>867712.56571786234</v>
      </c>
      <c r="AG37" s="1106">
        <f t="shared" si="142"/>
        <v>372000</v>
      </c>
      <c r="AH37" s="778">
        <v>144491.50999999995</v>
      </c>
      <c r="AI37" s="797">
        <f t="shared" si="121"/>
        <v>2568000</v>
      </c>
      <c r="AJ37" s="797">
        <f t="shared" si="122"/>
        <v>1012204.0757178622</v>
      </c>
      <c r="AK37" s="1106">
        <f t="shared" si="143"/>
        <v>360000</v>
      </c>
      <c r="AL37" s="778">
        <v>130685.06100000002</v>
      </c>
      <c r="AM37" s="797">
        <f t="shared" si="123"/>
        <v>2928000</v>
      </c>
      <c r="AN37" s="797">
        <f t="shared" si="124"/>
        <v>1142889.1367178622</v>
      </c>
      <c r="AO37" s="1106">
        <f t="shared" si="144"/>
        <v>372000</v>
      </c>
      <c r="AP37" s="778">
        <v>144649.48675000007</v>
      </c>
      <c r="AQ37" s="905">
        <f t="shared" si="145"/>
        <v>1104000</v>
      </c>
      <c r="AR37" s="905">
        <f t="shared" si="146"/>
        <v>419826.05775000004</v>
      </c>
      <c r="AS37" s="797">
        <f t="shared" si="125"/>
        <v>3300000</v>
      </c>
      <c r="AT37" s="797">
        <f t="shared" si="126"/>
        <v>1287538.6234678624</v>
      </c>
      <c r="AU37" s="1106">
        <f t="shared" si="147"/>
        <v>372000</v>
      </c>
      <c r="AV37" s="778">
        <v>86491.680799999696</v>
      </c>
      <c r="AW37" s="797">
        <f t="shared" si="127"/>
        <v>3672000</v>
      </c>
      <c r="AX37" s="797">
        <f t="shared" si="128"/>
        <v>1374030.3042678621</v>
      </c>
      <c r="AY37" s="1106">
        <f t="shared" si="148"/>
        <v>336000</v>
      </c>
      <c r="AZ37" s="778">
        <v>95196.970450000066</v>
      </c>
      <c r="BA37" s="797">
        <f t="shared" si="129"/>
        <v>4008000</v>
      </c>
      <c r="BB37" s="797">
        <f t="shared" si="130"/>
        <v>1469227.2747178623</v>
      </c>
      <c r="BC37" s="1106">
        <f t="shared" si="149"/>
        <v>372000</v>
      </c>
      <c r="BD37" s="778">
        <v>130269.10149999989</v>
      </c>
      <c r="BE37" s="905">
        <f t="shared" si="150"/>
        <v>1080000</v>
      </c>
      <c r="BF37" s="905">
        <f t="shared" si="151"/>
        <v>311957.75274999964</v>
      </c>
      <c r="BG37" s="2848">
        <f t="shared" si="131"/>
        <v>1452000</v>
      </c>
      <c r="BH37" s="2848">
        <f t="shared" si="132"/>
        <v>442226.85424999951</v>
      </c>
      <c r="BI37" s="797">
        <f t="shared" si="133"/>
        <v>4380000</v>
      </c>
      <c r="BJ37" s="797">
        <f t="shared" si="134"/>
        <v>1599496.3762178621</v>
      </c>
    </row>
    <row r="38" spans="1:62" ht="15" customHeight="1" x14ac:dyDescent="0.25">
      <c r="A38" s="714"/>
      <c r="B38" s="759"/>
      <c r="C38" s="34"/>
      <c r="D38" s="747"/>
      <c r="E38" s="748"/>
      <c r="G38" s="2827" t="s">
        <v>940</v>
      </c>
      <c r="H38" s="700" t="s">
        <v>902</v>
      </c>
      <c r="I38" s="2839">
        <f t="shared" si="135"/>
        <v>108000</v>
      </c>
      <c r="J38" s="1398">
        <v>115142</v>
      </c>
      <c r="K38" s="2839">
        <f t="shared" si="135"/>
        <v>111600</v>
      </c>
      <c r="L38" s="2845">
        <v>57108</v>
      </c>
      <c r="M38" s="2846">
        <f t="shared" si="0"/>
        <v>219600</v>
      </c>
      <c r="N38" s="2846">
        <f t="shared" si="0"/>
        <v>172250</v>
      </c>
      <c r="O38" s="2839">
        <f t="shared" ref="O38" si="156">+O86*O$3*24*1000</f>
        <v>108000</v>
      </c>
      <c r="P38" s="1398">
        <v>113604</v>
      </c>
      <c r="Q38" s="2847">
        <f t="shared" si="113"/>
        <v>327600</v>
      </c>
      <c r="R38" s="2847">
        <f t="shared" si="114"/>
        <v>285854</v>
      </c>
      <c r="S38" s="2839">
        <f t="shared" ref="S38" si="157">+S86*S$3*24*1000</f>
        <v>111600</v>
      </c>
      <c r="T38" s="2845">
        <v>68035.400000000009</v>
      </c>
      <c r="U38" s="2846">
        <f t="shared" si="115"/>
        <v>439200</v>
      </c>
      <c r="V38" s="2846">
        <f t="shared" si="116"/>
        <v>353889.4</v>
      </c>
      <c r="W38" s="2839">
        <f t="shared" si="138"/>
        <v>111600</v>
      </c>
      <c r="X38" s="2845">
        <v>130666</v>
      </c>
      <c r="Y38" s="2846">
        <f t="shared" si="117"/>
        <v>550800</v>
      </c>
      <c r="Z38" s="2846">
        <f t="shared" si="118"/>
        <v>484555.4</v>
      </c>
      <c r="AA38" s="2839">
        <f t="shared" si="139"/>
        <v>108000</v>
      </c>
      <c r="AB38" s="2845">
        <v>134360</v>
      </c>
      <c r="AC38" s="2842">
        <f t="shared" si="140"/>
        <v>331200</v>
      </c>
      <c r="AD38" s="2842">
        <f t="shared" si="141"/>
        <v>333061.40000000002</v>
      </c>
      <c r="AE38" s="2848">
        <f t="shared" si="119"/>
        <v>658800</v>
      </c>
      <c r="AF38" s="2848">
        <f t="shared" si="120"/>
        <v>618915.4</v>
      </c>
      <c r="AG38" s="1106">
        <f t="shared" si="142"/>
        <v>111600</v>
      </c>
      <c r="AH38" s="778">
        <v>67354</v>
      </c>
      <c r="AI38" s="797">
        <f t="shared" si="121"/>
        <v>770400</v>
      </c>
      <c r="AJ38" s="797">
        <f t="shared" si="122"/>
        <v>686269.4</v>
      </c>
      <c r="AK38" s="1106">
        <f t="shared" si="143"/>
        <v>108000</v>
      </c>
      <c r="AL38" s="778">
        <v>80898</v>
      </c>
      <c r="AM38" s="797">
        <f t="shared" si="123"/>
        <v>878400</v>
      </c>
      <c r="AN38" s="797">
        <f t="shared" si="124"/>
        <v>767167.4</v>
      </c>
      <c r="AO38" s="1106">
        <f t="shared" si="144"/>
        <v>111600</v>
      </c>
      <c r="AP38" s="778">
        <v>92884</v>
      </c>
      <c r="AQ38" s="905">
        <f t="shared" si="145"/>
        <v>331200</v>
      </c>
      <c r="AR38" s="905">
        <f t="shared" si="146"/>
        <v>241136</v>
      </c>
      <c r="AS38" s="797">
        <f t="shared" si="125"/>
        <v>990000</v>
      </c>
      <c r="AT38" s="797">
        <f t="shared" si="126"/>
        <v>860051.4</v>
      </c>
      <c r="AU38" s="1106">
        <f t="shared" si="147"/>
        <v>111600</v>
      </c>
      <c r="AV38" s="778">
        <v>80598</v>
      </c>
      <c r="AW38" s="797">
        <f t="shared" si="127"/>
        <v>1101600</v>
      </c>
      <c r="AX38" s="797">
        <f t="shared" si="128"/>
        <v>940649.4</v>
      </c>
      <c r="AY38" s="1106">
        <f t="shared" si="148"/>
        <v>100800.00000000001</v>
      </c>
      <c r="AZ38" s="778">
        <v>102038</v>
      </c>
      <c r="BA38" s="797">
        <f t="shared" si="129"/>
        <v>1202400</v>
      </c>
      <c r="BB38" s="797">
        <f t="shared" si="130"/>
        <v>1042687.4</v>
      </c>
      <c r="BC38" s="1106">
        <f t="shared" si="149"/>
        <v>111600</v>
      </c>
      <c r="BD38" s="778">
        <v>117988</v>
      </c>
      <c r="BE38" s="905">
        <f t="shared" si="150"/>
        <v>324000</v>
      </c>
      <c r="BF38" s="905">
        <f t="shared" si="151"/>
        <v>300624</v>
      </c>
      <c r="BG38" s="2848">
        <f t="shared" si="131"/>
        <v>435600</v>
      </c>
      <c r="BH38" s="2848">
        <f t="shared" si="132"/>
        <v>418612</v>
      </c>
      <c r="BI38" s="797">
        <f t="shared" si="133"/>
        <v>1314000</v>
      </c>
      <c r="BJ38" s="797">
        <f t="shared" si="134"/>
        <v>1160675.3999999999</v>
      </c>
    </row>
    <row r="39" spans="1:62" ht="16.5" thickBot="1" x14ac:dyDescent="0.3">
      <c r="A39" s="714">
        <v>31</v>
      </c>
      <c r="B39" s="746" t="s">
        <v>897</v>
      </c>
      <c r="C39" s="34" t="s">
        <v>242</v>
      </c>
      <c r="D39" s="747">
        <v>865772.19999999972</v>
      </c>
      <c r="E39" s="748">
        <v>777589.69999999867</v>
      </c>
      <c r="G39" s="2852">
        <v>4.2</v>
      </c>
      <c r="H39" s="2553" t="s">
        <v>903</v>
      </c>
      <c r="I39" s="2853">
        <f>I40+I42</f>
        <v>9594000</v>
      </c>
      <c r="J39" s="2853">
        <f>J40+J42</f>
        <v>8609712.7224558517</v>
      </c>
      <c r="K39" s="2853">
        <f>K40+K42</f>
        <v>9913800</v>
      </c>
      <c r="L39" s="2854">
        <f>L40+L42</f>
        <v>8728323.3077000007</v>
      </c>
      <c r="M39" s="2855">
        <f t="shared" si="0"/>
        <v>19507800</v>
      </c>
      <c r="N39" s="2855">
        <f t="shared" si="0"/>
        <v>17338036.030155852</v>
      </c>
      <c r="O39" s="2853">
        <f>O40+O42</f>
        <v>9594000</v>
      </c>
      <c r="P39" s="2853">
        <f>P40+P42</f>
        <v>9817006.4915517196</v>
      </c>
      <c r="Q39" s="2856">
        <f t="shared" si="113"/>
        <v>29101800</v>
      </c>
      <c r="R39" s="2856">
        <f t="shared" si="114"/>
        <v>27155042.521707572</v>
      </c>
      <c r="S39" s="2853">
        <f>S40+S42</f>
        <v>9913800</v>
      </c>
      <c r="T39" s="2854">
        <f>T40+T42</f>
        <v>10017882.380751725</v>
      </c>
      <c r="U39" s="2855">
        <f t="shared" si="115"/>
        <v>39015600</v>
      </c>
      <c r="V39" s="2855">
        <f t="shared" si="116"/>
        <v>37172924.902459294</v>
      </c>
      <c r="W39" s="2853">
        <f>W40+W42</f>
        <v>9913800</v>
      </c>
      <c r="X39" s="2854">
        <f>X40+X42</f>
        <v>10253568.806399997</v>
      </c>
      <c r="Y39" s="2855">
        <f t="shared" si="117"/>
        <v>48929400</v>
      </c>
      <c r="Z39" s="2855">
        <f t="shared" si="118"/>
        <v>47426493.708859295</v>
      </c>
      <c r="AA39" s="2853">
        <f>AA40+AA42</f>
        <v>9594000</v>
      </c>
      <c r="AB39" s="2854">
        <f>AB40+AB42</f>
        <v>10410036.702000003</v>
      </c>
      <c r="AC39" s="2834">
        <f t="shared" ref="AC39:AC40" si="158">+S39+W39+AA39</f>
        <v>29421600</v>
      </c>
      <c r="AD39" s="2834">
        <f t="shared" ref="AD39:AD40" si="159">+T39+X39+AB39</f>
        <v>30681487.889151726</v>
      </c>
      <c r="AE39" s="2857">
        <f t="shared" si="119"/>
        <v>58523400</v>
      </c>
      <c r="AF39" s="2857">
        <f t="shared" si="120"/>
        <v>57836530.410859302</v>
      </c>
      <c r="AG39" s="782">
        <f>AG40+AG42</f>
        <v>9913800</v>
      </c>
      <c r="AH39" s="783">
        <f>AH40+AH42</f>
        <v>9682906.445999993</v>
      </c>
      <c r="AI39" s="799">
        <f t="shared" si="121"/>
        <v>68437200</v>
      </c>
      <c r="AJ39" s="799">
        <f t="shared" si="122"/>
        <v>67519436.856859297</v>
      </c>
      <c r="AK39" s="782">
        <f>AK40+AK42</f>
        <v>9594000</v>
      </c>
      <c r="AL39" s="783">
        <f>AL40+AL42</f>
        <v>8961285.2570000067</v>
      </c>
      <c r="AM39" s="799">
        <f t="shared" si="123"/>
        <v>78031200</v>
      </c>
      <c r="AN39" s="799">
        <f t="shared" si="124"/>
        <v>76480722.113859296</v>
      </c>
      <c r="AO39" s="782">
        <f>AO40+AO42</f>
        <v>9913800</v>
      </c>
      <c r="AP39" s="783">
        <f>AP40+AP42</f>
        <v>9220991.5922500007</v>
      </c>
      <c r="AQ39" s="907">
        <f t="shared" si="145"/>
        <v>29421600</v>
      </c>
      <c r="AR39" s="907">
        <f t="shared" si="146"/>
        <v>27865183.295250002</v>
      </c>
      <c r="AS39" s="799">
        <f t="shared" si="125"/>
        <v>87945000</v>
      </c>
      <c r="AT39" s="799">
        <f t="shared" si="126"/>
        <v>85701713.7061093</v>
      </c>
      <c r="AU39" s="782">
        <f>AU40+AU42</f>
        <v>9913800</v>
      </c>
      <c r="AV39" s="783">
        <f>AV40+AV42</f>
        <v>9396965.0591999963</v>
      </c>
      <c r="AW39" s="799">
        <f t="shared" si="127"/>
        <v>97858800</v>
      </c>
      <c r="AX39" s="799">
        <f t="shared" si="128"/>
        <v>95098678.765309304</v>
      </c>
      <c r="AY39" s="782">
        <f>AY40+AY42</f>
        <v>8954400</v>
      </c>
      <c r="AZ39" s="783">
        <f>AZ40+AZ42</f>
        <v>7536718.2835500007</v>
      </c>
      <c r="BA39" s="799">
        <f t="shared" si="129"/>
        <v>106813200</v>
      </c>
      <c r="BB39" s="799">
        <f t="shared" si="130"/>
        <v>102635397.0488593</v>
      </c>
      <c r="BC39" s="782">
        <f>BC40+BC42</f>
        <v>9913800</v>
      </c>
      <c r="BD39" s="783">
        <f>BD40+BD42</f>
        <v>8310991.4815000007</v>
      </c>
      <c r="BE39" s="907">
        <f t="shared" si="150"/>
        <v>28782000</v>
      </c>
      <c r="BF39" s="907">
        <f t="shared" si="151"/>
        <v>25244674.824249998</v>
      </c>
      <c r="BG39" s="2857">
        <f t="shared" si="131"/>
        <v>38695800</v>
      </c>
      <c r="BH39" s="2857">
        <f t="shared" si="132"/>
        <v>33555666.305749997</v>
      </c>
      <c r="BI39" s="799">
        <f t="shared" si="133"/>
        <v>116727000</v>
      </c>
      <c r="BJ39" s="799">
        <f t="shared" si="134"/>
        <v>110946388.5303593</v>
      </c>
    </row>
    <row r="40" spans="1:62" ht="16.5" thickBot="1" x14ac:dyDescent="0.3">
      <c r="A40" s="714">
        <v>32</v>
      </c>
      <c r="B40" s="760" t="s">
        <v>941</v>
      </c>
      <c r="C40" s="35" t="s">
        <v>242</v>
      </c>
      <c r="D40" s="756">
        <f>SUM(D16:D39)</f>
        <v>88061714.192000017</v>
      </c>
      <c r="E40" s="757">
        <f>SUM(E16:E39)</f>
        <v>93510655.738999993</v>
      </c>
      <c r="G40" s="2852" t="s">
        <v>942</v>
      </c>
      <c r="H40" s="2553" t="s">
        <v>904</v>
      </c>
      <c r="I40" s="2853">
        <f>I41</f>
        <v>5616000</v>
      </c>
      <c r="J40" s="2853">
        <f>J41</f>
        <v>4614229.3</v>
      </c>
      <c r="K40" s="2853">
        <f>K41</f>
        <v>5803200</v>
      </c>
      <c r="L40" s="2854">
        <f>L41</f>
        <v>5096130.7</v>
      </c>
      <c r="M40" s="2855">
        <f t="shared" si="0"/>
        <v>11419200</v>
      </c>
      <c r="N40" s="2855">
        <f t="shared" si="0"/>
        <v>9710360</v>
      </c>
      <c r="O40" s="2853">
        <f>O41</f>
        <v>5616000</v>
      </c>
      <c r="P40" s="2853">
        <f>P41</f>
        <v>5877034.3999999966</v>
      </c>
      <c r="Q40" s="2856">
        <f t="shared" si="113"/>
        <v>17035200</v>
      </c>
      <c r="R40" s="2856">
        <f t="shared" si="114"/>
        <v>15587394.399999997</v>
      </c>
      <c r="S40" s="2853">
        <f>S41</f>
        <v>5803200</v>
      </c>
      <c r="T40" s="2854">
        <f>T41</f>
        <v>6001029.200000003</v>
      </c>
      <c r="U40" s="2855">
        <f t="shared" si="115"/>
        <v>22838400</v>
      </c>
      <c r="V40" s="2855">
        <f t="shared" si="116"/>
        <v>21588423.600000001</v>
      </c>
      <c r="W40" s="2853">
        <f>W41</f>
        <v>5803200</v>
      </c>
      <c r="X40" s="2854">
        <f>X41</f>
        <v>6012528.599999995</v>
      </c>
      <c r="Y40" s="2855">
        <f t="shared" si="117"/>
        <v>28641600</v>
      </c>
      <c r="Z40" s="2855">
        <f t="shared" si="118"/>
        <v>27600952.199999996</v>
      </c>
      <c r="AA40" s="2853">
        <f>AA41</f>
        <v>5616000</v>
      </c>
      <c r="AB40" s="2854">
        <f>AB41</f>
        <v>6002938.8000000063</v>
      </c>
      <c r="AC40" s="2834">
        <f t="shared" si="158"/>
        <v>17222400</v>
      </c>
      <c r="AD40" s="2834">
        <f t="shared" si="159"/>
        <v>18016496.600000001</v>
      </c>
      <c r="AE40" s="2857">
        <f t="shared" si="119"/>
        <v>34257600</v>
      </c>
      <c r="AF40" s="2857">
        <f t="shared" si="120"/>
        <v>33603891</v>
      </c>
      <c r="AG40" s="782">
        <f>AG41</f>
        <v>5803200</v>
      </c>
      <c r="AH40" s="783">
        <f>AH41</f>
        <v>6045740.5999999968</v>
      </c>
      <c r="AI40" s="799">
        <f t="shared" si="121"/>
        <v>40060800</v>
      </c>
      <c r="AJ40" s="799">
        <f t="shared" si="122"/>
        <v>39649631.599999994</v>
      </c>
      <c r="AK40" s="782">
        <f>AK41</f>
        <v>5616000</v>
      </c>
      <c r="AL40" s="783">
        <f>AL41</f>
        <v>5876050</v>
      </c>
      <c r="AM40" s="799">
        <f t="shared" si="123"/>
        <v>45676800</v>
      </c>
      <c r="AN40" s="799">
        <f t="shared" si="124"/>
        <v>45525681.599999994</v>
      </c>
      <c r="AO40" s="782">
        <f>AO41</f>
        <v>5803200</v>
      </c>
      <c r="AP40" s="783">
        <f>AP41</f>
        <v>5940705.5000000009</v>
      </c>
      <c r="AQ40" s="907">
        <f t="shared" si="145"/>
        <v>17222400</v>
      </c>
      <c r="AR40" s="907">
        <f t="shared" si="146"/>
        <v>17862496.099999998</v>
      </c>
      <c r="AS40" s="799">
        <f t="shared" si="125"/>
        <v>51480000</v>
      </c>
      <c r="AT40" s="799">
        <f t="shared" si="126"/>
        <v>51466387.099999994</v>
      </c>
      <c r="AU40" s="782">
        <f>AU41</f>
        <v>5803200</v>
      </c>
      <c r="AV40" s="783">
        <f>AV41</f>
        <v>6025919.2999999989</v>
      </c>
      <c r="AW40" s="799">
        <f t="shared" si="127"/>
        <v>57283200</v>
      </c>
      <c r="AX40" s="799">
        <f t="shared" si="128"/>
        <v>57492306.399999991</v>
      </c>
      <c r="AY40" s="782">
        <f>AY41</f>
        <v>5241600</v>
      </c>
      <c r="AZ40" s="783">
        <f>AZ41</f>
        <v>4651718.5000000009</v>
      </c>
      <c r="BA40" s="799">
        <f t="shared" si="129"/>
        <v>62524800</v>
      </c>
      <c r="BB40" s="799">
        <f t="shared" si="130"/>
        <v>62144024.899999991</v>
      </c>
      <c r="BC40" s="782">
        <f>BC41</f>
        <v>5803200</v>
      </c>
      <c r="BD40" s="783">
        <f>BD41</f>
        <v>4936227.3999999994</v>
      </c>
      <c r="BE40" s="907">
        <f t="shared" si="150"/>
        <v>16848000</v>
      </c>
      <c r="BF40" s="907">
        <f t="shared" si="151"/>
        <v>15613865.199999999</v>
      </c>
      <c r="BG40" s="2857">
        <f t="shared" si="131"/>
        <v>22651200</v>
      </c>
      <c r="BH40" s="2857">
        <f t="shared" si="132"/>
        <v>20550092.599999998</v>
      </c>
      <c r="BI40" s="799">
        <f t="shared" si="133"/>
        <v>68328000</v>
      </c>
      <c r="BJ40" s="799">
        <f t="shared" si="134"/>
        <v>67080252.29999999</v>
      </c>
    </row>
    <row r="41" spans="1:62" ht="15.75" thickBot="1" x14ac:dyDescent="0.3">
      <c r="E41" s="736"/>
      <c r="G41" s="2827" t="s">
        <v>943</v>
      </c>
      <c r="H41" s="700" t="s">
        <v>905</v>
      </c>
      <c r="I41" s="2839">
        <f t="shared" ref="I41:K41" si="160">+I89*I$3*24*1000</f>
        <v>5616000</v>
      </c>
      <c r="J41" s="1398">
        <v>4614229.3</v>
      </c>
      <c r="K41" s="2839">
        <f t="shared" si="160"/>
        <v>5803200</v>
      </c>
      <c r="L41" s="2845">
        <v>5096130.7</v>
      </c>
      <c r="M41" s="2846">
        <f t="shared" si="0"/>
        <v>11419200</v>
      </c>
      <c r="N41" s="2846">
        <f t="shared" si="0"/>
        <v>9710360</v>
      </c>
      <c r="O41" s="2839">
        <f t="shared" ref="O41" si="161">+O89*O$3*24*1000</f>
        <v>5616000</v>
      </c>
      <c r="P41" s="1398">
        <v>5877034.3999999966</v>
      </c>
      <c r="Q41" s="2847">
        <f t="shared" si="113"/>
        <v>17035200</v>
      </c>
      <c r="R41" s="2847">
        <f t="shared" si="114"/>
        <v>15587394.399999997</v>
      </c>
      <c r="S41" s="2839">
        <f t="shared" ref="S41" si="162">+S89*S$3*24*1000</f>
        <v>5803200</v>
      </c>
      <c r="T41" s="2845">
        <v>6001029.200000003</v>
      </c>
      <c r="U41" s="2846">
        <f t="shared" si="115"/>
        <v>22838400</v>
      </c>
      <c r="V41" s="2846">
        <f t="shared" si="116"/>
        <v>21588423.600000001</v>
      </c>
      <c r="W41" s="2839">
        <f t="shared" ref="W41" si="163">+W89*W$3*24*1000</f>
        <v>5803200</v>
      </c>
      <c r="X41" s="2845">
        <v>6012528.599999995</v>
      </c>
      <c r="Y41" s="2846">
        <f t="shared" si="117"/>
        <v>28641600</v>
      </c>
      <c r="Z41" s="2846">
        <f t="shared" si="118"/>
        <v>27600952.199999996</v>
      </c>
      <c r="AA41" s="2839">
        <f t="shared" ref="AA41" si="164">+AA89*AA$3*24*1000</f>
        <v>5616000</v>
      </c>
      <c r="AB41" s="2845">
        <v>6002938.8000000063</v>
      </c>
      <c r="AC41" s="2842">
        <f>+S41+W41+AA41</f>
        <v>17222400</v>
      </c>
      <c r="AD41" s="2842">
        <f>+T41+X41+AB41</f>
        <v>18016496.600000001</v>
      </c>
      <c r="AE41" s="2848">
        <f t="shared" si="119"/>
        <v>34257600</v>
      </c>
      <c r="AF41" s="2848">
        <f t="shared" si="120"/>
        <v>33603891</v>
      </c>
      <c r="AG41" s="1106">
        <f t="shared" ref="AG41" si="165">+AG89*AG$3*24*1000</f>
        <v>5803200</v>
      </c>
      <c r="AH41" s="778">
        <v>6045740.5999999968</v>
      </c>
      <c r="AI41" s="797">
        <f t="shared" si="121"/>
        <v>40060800</v>
      </c>
      <c r="AJ41" s="797">
        <f t="shared" si="122"/>
        <v>39649631.599999994</v>
      </c>
      <c r="AK41" s="1106">
        <f t="shared" ref="AK41" si="166">+AK89*AK$3*24*1000</f>
        <v>5616000</v>
      </c>
      <c r="AL41" s="778">
        <v>5876050</v>
      </c>
      <c r="AM41" s="797">
        <f t="shared" si="123"/>
        <v>45676800</v>
      </c>
      <c r="AN41" s="797">
        <f t="shared" si="124"/>
        <v>45525681.599999994</v>
      </c>
      <c r="AO41" s="1106">
        <f t="shared" ref="AO41" si="167">+AO89*AO$3*24*1000</f>
        <v>5803200</v>
      </c>
      <c r="AP41" s="778">
        <v>5940705.5000000009</v>
      </c>
      <c r="AQ41" s="905">
        <f>+AG41+AK41+AO41</f>
        <v>17222400</v>
      </c>
      <c r="AR41" s="905">
        <f>+AH41+AL41+AP41</f>
        <v>17862496.099999998</v>
      </c>
      <c r="AS41" s="797">
        <f t="shared" si="125"/>
        <v>51480000</v>
      </c>
      <c r="AT41" s="797">
        <f t="shared" si="126"/>
        <v>51466387.099999994</v>
      </c>
      <c r="AU41" s="1106">
        <f t="shared" ref="AU41" si="168">+AU89*AU$3*24*1000</f>
        <v>5803200</v>
      </c>
      <c r="AV41" s="778">
        <v>6025919.2999999989</v>
      </c>
      <c r="AW41" s="797">
        <f t="shared" si="127"/>
        <v>57283200</v>
      </c>
      <c r="AX41" s="797">
        <f t="shared" si="128"/>
        <v>57492306.399999991</v>
      </c>
      <c r="AY41" s="1106">
        <f t="shared" ref="AY41" si="169">+AY89*AY$3*24*1000</f>
        <v>5241600</v>
      </c>
      <c r="AZ41" s="778">
        <v>4651718.5000000009</v>
      </c>
      <c r="BA41" s="797">
        <f t="shared" si="129"/>
        <v>62524800</v>
      </c>
      <c r="BB41" s="797">
        <f t="shared" si="130"/>
        <v>62144024.899999991</v>
      </c>
      <c r="BC41" s="1106">
        <f t="shared" ref="BC41" si="170">+BC89*BC$3*24*1000</f>
        <v>5803200</v>
      </c>
      <c r="BD41" s="778">
        <v>4936227.3999999994</v>
      </c>
      <c r="BE41" s="905">
        <f>+AU41+AY41+BC41</f>
        <v>16848000</v>
      </c>
      <c r="BF41" s="905">
        <f>+AV41+AZ41+BD41</f>
        <v>15613865.199999999</v>
      </c>
      <c r="BG41" s="2848">
        <f t="shared" si="131"/>
        <v>22651200</v>
      </c>
      <c r="BH41" s="2848">
        <f t="shared" si="132"/>
        <v>20550092.599999998</v>
      </c>
      <c r="BI41" s="797">
        <f t="shared" si="133"/>
        <v>68328000</v>
      </c>
      <c r="BJ41" s="797">
        <f t="shared" si="134"/>
        <v>67080252.29999999</v>
      </c>
    </row>
    <row r="42" spans="1:62" ht="21" thickBot="1" x14ac:dyDescent="0.3">
      <c r="A42" s="714">
        <v>33</v>
      </c>
      <c r="B42" s="761" t="s">
        <v>569</v>
      </c>
      <c r="C42" s="762" t="s">
        <v>242</v>
      </c>
      <c r="D42" s="763">
        <v>79406183.556600019</v>
      </c>
      <c r="E42" s="764">
        <v>84399504.886399984</v>
      </c>
      <c r="G42" s="2852" t="s">
        <v>944</v>
      </c>
      <c r="H42" s="2553" t="s">
        <v>906</v>
      </c>
      <c r="I42" s="2853">
        <f>SUM(I43:I46)</f>
        <v>3978000</v>
      </c>
      <c r="J42" s="2853">
        <f>SUM(J43:J46)</f>
        <v>3995483.4224558529</v>
      </c>
      <c r="K42" s="2853">
        <f>SUM(K43:K46)</f>
        <v>4110600</v>
      </c>
      <c r="L42" s="2854">
        <f>SUM(L43:L46)</f>
        <v>3632192.6076999996</v>
      </c>
      <c r="M42" s="2855">
        <f t="shared" si="0"/>
        <v>8088600</v>
      </c>
      <c r="N42" s="2855">
        <f t="shared" si="0"/>
        <v>7627676.0301558524</v>
      </c>
      <c r="O42" s="2853">
        <f>SUM(O43:O46)</f>
        <v>3978000</v>
      </c>
      <c r="P42" s="2853">
        <f>SUM(P43:P46)</f>
        <v>3939972.0915517239</v>
      </c>
      <c r="Q42" s="2856">
        <f t="shared" si="113"/>
        <v>12066600</v>
      </c>
      <c r="R42" s="2856">
        <f t="shared" si="114"/>
        <v>11567648.121707577</v>
      </c>
      <c r="S42" s="2853">
        <f>SUM(S43:S46)</f>
        <v>4110600</v>
      </c>
      <c r="T42" s="2854">
        <f>SUM(T43:T46)</f>
        <v>4016853.1807517218</v>
      </c>
      <c r="U42" s="2855">
        <f t="shared" si="115"/>
        <v>16177200</v>
      </c>
      <c r="V42" s="2855">
        <f t="shared" si="116"/>
        <v>15584501.3024593</v>
      </c>
      <c r="W42" s="2853">
        <f>SUM(W43:W46)</f>
        <v>4110600</v>
      </c>
      <c r="X42" s="2854">
        <f>SUM(X43:X46)</f>
        <v>4241040.2064000014</v>
      </c>
      <c r="Y42" s="2855">
        <f t="shared" si="117"/>
        <v>20287800</v>
      </c>
      <c r="Z42" s="2855">
        <f t="shared" si="118"/>
        <v>19825541.508859299</v>
      </c>
      <c r="AA42" s="2853">
        <f>SUM(AA43:AA46)</f>
        <v>3978000</v>
      </c>
      <c r="AB42" s="2854">
        <f>SUM(AB43:AB46)</f>
        <v>4407097.9019999979</v>
      </c>
      <c r="AC42" s="2834">
        <f>+S42+W42+AA42</f>
        <v>12199200</v>
      </c>
      <c r="AD42" s="2834">
        <f>+T42+X42+AB42</f>
        <v>12664991.289151721</v>
      </c>
      <c r="AE42" s="2857">
        <f t="shared" si="119"/>
        <v>24265800</v>
      </c>
      <c r="AF42" s="2857">
        <f t="shared" si="120"/>
        <v>24232639.410859298</v>
      </c>
      <c r="AG42" s="782">
        <f>SUM(AG43:AG46)</f>
        <v>4110600</v>
      </c>
      <c r="AH42" s="783">
        <f>SUM(AH43:AH46)</f>
        <v>3637165.8459999962</v>
      </c>
      <c r="AI42" s="799">
        <f t="shared" si="121"/>
        <v>28376400</v>
      </c>
      <c r="AJ42" s="799">
        <f t="shared" si="122"/>
        <v>27869805.256859295</v>
      </c>
      <c r="AK42" s="782">
        <f>SUM(AK43:AK46)</f>
        <v>3978000</v>
      </c>
      <c r="AL42" s="783">
        <f>SUM(AL43:AL46)</f>
        <v>3085235.2570000058</v>
      </c>
      <c r="AM42" s="799">
        <f t="shared" si="123"/>
        <v>32354400</v>
      </c>
      <c r="AN42" s="799">
        <f t="shared" si="124"/>
        <v>30955040.513859302</v>
      </c>
      <c r="AO42" s="782">
        <f>SUM(AO43:AO46)</f>
        <v>4110600</v>
      </c>
      <c r="AP42" s="783">
        <f>SUM(AP43:AP46)</f>
        <v>3280286.0922499998</v>
      </c>
      <c r="AQ42" s="907">
        <f>+AG42+AK42+AO42</f>
        <v>12199200</v>
      </c>
      <c r="AR42" s="907">
        <f>+AH42+AL42+AP42</f>
        <v>10002687.195250001</v>
      </c>
      <c r="AS42" s="799">
        <f t="shared" si="125"/>
        <v>36465000</v>
      </c>
      <c r="AT42" s="799">
        <f t="shared" si="126"/>
        <v>34235326.606109299</v>
      </c>
      <c r="AU42" s="782">
        <f>SUM(AU43:AU46)</f>
        <v>4110600</v>
      </c>
      <c r="AV42" s="783">
        <f>SUM(AV43:AV46)</f>
        <v>3371045.7591999969</v>
      </c>
      <c r="AW42" s="799">
        <f t="shared" si="127"/>
        <v>40575600</v>
      </c>
      <c r="AX42" s="799">
        <f t="shared" si="128"/>
        <v>37606372.365309298</v>
      </c>
      <c r="AY42" s="782">
        <f>SUM(AY43:AY46)</f>
        <v>3712800</v>
      </c>
      <c r="AZ42" s="783">
        <f>SUM(AZ43:AZ46)</f>
        <v>2884999.7835499998</v>
      </c>
      <c r="BA42" s="799">
        <f t="shared" si="129"/>
        <v>44288400</v>
      </c>
      <c r="BB42" s="799">
        <f t="shared" si="130"/>
        <v>40491372.1488593</v>
      </c>
      <c r="BC42" s="782">
        <f>SUM(BC43:BC46)</f>
        <v>4110600</v>
      </c>
      <c r="BD42" s="783">
        <f>SUM(BD43:BD46)</f>
        <v>3374764.0815000013</v>
      </c>
      <c r="BE42" s="907">
        <f>+AU42+AY42+BC42</f>
        <v>11934000</v>
      </c>
      <c r="BF42" s="907">
        <f>+AV42+AZ42+BD42</f>
        <v>9630809.6242499985</v>
      </c>
      <c r="BG42" s="2857">
        <f t="shared" si="131"/>
        <v>16044600</v>
      </c>
      <c r="BH42" s="2857">
        <f t="shared" si="132"/>
        <v>13005573.70575</v>
      </c>
      <c r="BI42" s="799">
        <f t="shared" si="133"/>
        <v>48399000</v>
      </c>
      <c r="BJ42" s="799">
        <f t="shared" si="134"/>
        <v>43866136.230359301</v>
      </c>
    </row>
    <row r="43" spans="1:62" ht="15.75" x14ac:dyDescent="0.25">
      <c r="A43" s="765"/>
      <c r="B43" s="766"/>
      <c r="C43" s="767"/>
      <c r="D43" s="768"/>
      <c r="E43" s="768"/>
      <c r="G43" s="2827" t="s">
        <v>945</v>
      </c>
      <c r="H43" s="700" t="s">
        <v>907</v>
      </c>
      <c r="I43" s="2839">
        <f t="shared" ref="I43:K46" si="171">+I91*I$3*24*1000</f>
        <v>378000</v>
      </c>
      <c r="J43" s="1398">
        <v>432151.89945586299</v>
      </c>
      <c r="K43" s="2839">
        <f t="shared" si="171"/>
        <v>390600</v>
      </c>
      <c r="L43" s="2845">
        <v>394185.3247</v>
      </c>
      <c r="M43" s="2846">
        <f t="shared" si="0"/>
        <v>768600</v>
      </c>
      <c r="N43" s="2846">
        <f t="shared" si="0"/>
        <v>826337.22415586305</v>
      </c>
      <c r="O43" s="2839">
        <f t="shared" ref="O43" si="172">+O91*O$3*24*1000</f>
        <v>378000</v>
      </c>
      <c r="P43" s="1398">
        <v>398006.75379310187</v>
      </c>
      <c r="Q43" s="2847">
        <f t="shared" si="113"/>
        <v>1146600</v>
      </c>
      <c r="R43" s="2847">
        <f t="shared" si="114"/>
        <v>1224343.977948965</v>
      </c>
      <c r="S43" s="2839">
        <f t="shared" ref="S43" si="173">+S91*S$3*24*1000</f>
        <v>390600</v>
      </c>
      <c r="T43" s="2845">
        <v>447285.90157931129</v>
      </c>
      <c r="U43" s="2846">
        <f t="shared" si="115"/>
        <v>1537200</v>
      </c>
      <c r="V43" s="2846">
        <f t="shared" si="116"/>
        <v>1671629.8795282764</v>
      </c>
      <c r="W43" s="2839">
        <f t="shared" ref="W43:W46" si="174">+W91*W$3*24*1000</f>
        <v>390600</v>
      </c>
      <c r="X43" s="2845">
        <v>447880.95939999854</v>
      </c>
      <c r="Y43" s="2846">
        <f t="shared" si="117"/>
        <v>1927800</v>
      </c>
      <c r="Z43" s="2846">
        <f t="shared" si="118"/>
        <v>2119510.8389282748</v>
      </c>
      <c r="AA43" s="2839">
        <f t="shared" ref="AA43:AA46" si="175">+AA91*AA$3*24*1000</f>
        <v>378000</v>
      </c>
      <c r="AB43" s="2845">
        <v>395668.61200000171</v>
      </c>
      <c r="AC43" s="2842">
        <f t="shared" ref="AC43:AC46" si="176">+S43+W43+AA43</f>
        <v>1159200</v>
      </c>
      <c r="AD43" s="2842">
        <f t="shared" ref="AD43:AD46" si="177">+T43+X43+AB43</f>
        <v>1290835.4729793114</v>
      </c>
      <c r="AE43" s="2848">
        <f t="shared" si="119"/>
        <v>2305800</v>
      </c>
      <c r="AF43" s="2848">
        <f t="shared" si="120"/>
        <v>2515179.4509282764</v>
      </c>
      <c r="AG43" s="1106">
        <f t="shared" ref="AG43:AG46" si="178">+AG91*AG$3*24*1000</f>
        <v>390600</v>
      </c>
      <c r="AH43" s="778">
        <v>384203.39499999845</v>
      </c>
      <c r="AI43" s="797">
        <f t="shared" si="121"/>
        <v>2696400</v>
      </c>
      <c r="AJ43" s="797">
        <f t="shared" si="122"/>
        <v>2899382.845928275</v>
      </c>
      <c r="AK43" s="1106">
        <f t="shared" ref="AK43:AK46" si="179">+AK91*AK$3*24*1000</f>
        <v>378000</v>
      </c>
      <c r="AL43" s="778">
        <v>315975.60700000159</v>
      </c>
      <c r="AM43" s="797">
        <f t="shared" si="123"/>
        <v>3074400</v>
      </c>
      <c r="AN43" s="797">
        <f t="shared" si="124"/>
        <v>3215358.4529282767</v>
      </c>
      <c r="AO43" s="1106">
        <f t="shared" ref="AO43:AO46" si="180">+AO91*AO$3*24*1000</f>
        <v>390600</v>
      </c>
      <c r="AP43" s="778">
        <v>331720.09224999952</v>
      </c>
      <c r="AQ43" s="905">
        <f t="shared" ref="AQ43:AQ46" si="181">+AG43+AK43+AO43</f>
        <v>1159200</v>
      </c>
      <c r="AR43" s="905">
        <f t="shared" ref="AR43:AR46" si="182">+AH43+AL43+AP43</f>
        <v>1031899.0942499996</v>
      </c>
      <c r="AS43" s="797">
        <f t="shared" si="125"/>
        <v>3465000</v>
      </c>
      <c r="AT43" s="797">
        <f t="shared" si="126"/>
        <v>3547078.5451782765</v>
      </c>
      <c r="AU43" s="1106">
        <f t="shared" ref="AU43:AU46" si="183">+AU91*AU$3*24*1000</f>
        <v>390600</v>
      </c>
      <c r="AV43" s="778">
        <v>309777.9241999996</v>
      </c>
      <c r="AW43" s="797">
        <f t="shared" si="127"/>
        <v>3855600</v>
      </c>
      <c r="AX43" s="797">
        <f t="shared" si="128"/>
        <v>3856856.4693782763</v>
      </c>
      <c r="AY43" s="1106">
        <f t="shared" ref="AY43:AY46" si="184">+AY91*AY$3*24*1000</f>
        <v>352800</v>
      </c>
      <c r="AZ43" s="778">
        <v>271554.99855000101</v>
      </c>
      <c r="BA43" s="797">
        <f t="shared" si="129"/>
        <v>4208400</v>
      </c>
      <c r="BB43" s="797">
        <f t="shared" si="130"/>
        <v>4128411.4679282773</v>
      </c>
      <c r="BC43" s="1106">
        <f t="shared" ref="BC43:BC46" si="185">+BC91*BC$3*24*1000</f>
        <v>390600</v>
      </c>
      <c r="BD43" s="778">
        <v>347105.81649999938</v>
      </c>
      <c r="BE43" s="905">
        <f t="shared" ref="BE43:BE46" si="186">+AU43+AY43+BC43</f>
        <v>1134000</v>
      </c>
      <c r="BF43" s="905">
        <f t="shared" ref="BF43:BF46" si="187">+AV43+AZ43+BD43</f>
        <v>928438.73924999998</v>
      </c>
      <c r="BG43" s="2848">
        <f t="shared" si="131"/>
        <v>1524600</v>
      </c>
      <c r="BH43" s="2848">
        <f t="shared" si="132"/>
        <v>1275544.5557499994</v>
      </c>
      <c r="BI43" s="797">
        <f t="shared" si="133"/>
        <v>4599000</v>
      </c>
      <c r="BJ43" s="797">
        <f t="shared" si="134"/>
        <v>4475517.2844282771</v>
      </c>
    </row>
    <row r="44" spans="1:62" ht="15.75" x14ac:dyDescent="0.25">
      <c r="A44" s="765"/>
      <c r="B44" s="766"/>
      <c r="C44" s="767"/>
      <c r="D44" s="768"/>
      <c r="E44" s="768"/>
      <c r="G44" s="2827" t="s">
        <v>946</v>
      </c>
      <c r="H44" s="700" t="s">
        <v>908</v>
      </c>
      <c r="I44" s="2839">
        <f t="shared" si="171"/>
        <v>2520000</v>
      </c>
      <c r="J44" s="1398">
        <v>2618199.5229999898</v>
      </c>
      <c r="K44" s="2839">
        <f t="shared" si="171"/>
        <v>2604000</v>
      </c>
      <c r="L44" s="2845">
        <v>2515357.2829999998</v>
      </c>
      <c r="M44" s="2846">
        <f t="shared" si="0"/>
        <v>5124000</v>
      </c>
      <c r="N44" s="2846">
        <f t="shared" si="0"/>
        <v>5133556.8059999896</v>
      </c>
      <c r="O44" s="2839">
        <f t="shared" ref="O44" si="188">+O92*O$3*24*1000</f>
        <v>2520000</v>
      </c>
      <c r="P44" s="1398">
        <v>2645213.3377586221</v>
      </c>
      <c r="Q44" s="2847">
        <f t="shared" si="113"/>
        <v>7644000</v>
      </c>
      <c r="R44" s="2847">
        <f t="shared" si="114"/>
        <v>7778770.1437586118</v>
      </c>
      <c r="S44" s="2839">
        <f t="shared" ref="S44" si="189">+S92*S$3*24*1000</f>
        <v>2604000</v>
      </c>
      <c r="T44" s="2845">
        <v>2920193.6791724106</v>
      </c>
      <c r="U44" s="2846">
        <f t="shared" si="115"/>
        <v>10248000</v>
      </c>
      <c r="V44" s="2846">
        <f t="shared" si="116"/>
        <v>10698963.822931021</v>
      </c>
      <c r="W44" s="2839">
        <f t="shared" si="174"/>
        <v>2604000</v>
      </c>
      <c r="X44" s="2845">
        <v>2753560.2470000032</v>
      </c>
      <c r="Y44" s="2846">
        <f t="shared" si="117"/>
        <v>12852000</v>
      </c>
      <c r="Z44" s="2846">
        <f t="shared" si="118"/>
        <v>13452524.069931025</v>
      </c>
      <c r="AA44" s="2839">
        <f t="shared" si="175"/>
        <v>2520000</v>
      </c>
      <c r="AB44" s="2845">
        <v>2654701.2899999963</v>
      </c>
      <c r="AC44" s="2842">
        <f t="shared" si="176"/>
        <v>7728000</v>
      </c>
      <c r="AD44" s="2842">
        <f t="shared" si="177"/>
        <v>8328455.2161724102</v>
      </c>
      <c r="AE44" s="2848">
        <f t="shared" si="119"/>
        <v>15372000</v>
      </c>
      <c r="AF44" s="2848">
        <f t="shared" si="120"/>
        <v>16107225.359931022</v>
      </c>
      <c r="AG44" s="1106">
        <f t="shared" si="178"/>
        <v>2604000</v>
      </c>
      <c r="AH44" s="778">
        <v>2469443.4509999976</v>
      </c>
      <c r="AI44" s="797">
        <f t="shared" si="121"/>
        <v>17976000</v>
      </c>
      <c r="AJ44" s="797">
        <f t="shared" si="122"/>
        <v>18576668.810931019</v>
      </c>
      <c r="AK44" s="1106">
        <f t="shared" si="179"/>
        <v>2520000</v>
      </c>
      <c r="AL44" s="778">
        <v>1931192.6500000041</v>
      </c>
      <c r="AM44" s="797">
        <f t="shared" si="123"/>
        <v>20496000</v>
      </c>
      <c r="AN44" s="797">
        <f t="shared" si="124"/>
        <v>20507861.460931025</v>
      </c>
      <c r="AO44" s="1106">
        <f t="shared" si="180"/>
        <v>2604000</v>
      </c>
      <c r="AP44" s="778">
        <v>2106405</v>
      </c>
      <c r="AQ44" s="905">
        <f t="shared" si="181"/>
        <v>7728000</v>
      </c>
      <c r="AR44" s="905">
        <f t="shared" si="182"/>
        <v>6507041.1010000017</v>
      </c>
      <c r="AS44" s="797">
        <f t="shared" si="125"/>
        <v>23100000</v>
      </c>
      <c r="AT44" s="797">
        <f t="shared" si="126"/>
        <v>22614266.460931025</v>
      </c>
      <c r="AU44" s="1106">
        <f t="shared" si="183"/>
        <v>2604000</v>
      </c>
      <c r="AV44" s="778">
        <v>2330375.8349999972</v>
      </c>
      <c r="AW44" s="797">
        <f t="shared" si="127"/>
        <v>25704000</v>
      </c>
      <c r="AX44" s="797">
        <f t="shared" si="128"/>
        <v>24944642.295931023</v>
      </c>
      <c r="AY44" s="1106">
        <f t="shared" si="184"/>
        <v>2352000</v>
      </c>
      <c r="AZ44" s="778">
        <v>1864880.784999999</v>
      </c>
      <c r="BA44" s="797">
        <f t="shared" si="129"/>
        <v>28056000</v>
      </c>
      <c r="BB44" s="797">
        <f t="shared" si="130"/>
        <v>26809523.080931023</v>
      </c>
      <c r="BC44" s="1106">
        <f t="shared" si="185"/>
        <v>2604000</v>
      </c>
      <c r="BD44" s="778">
        <v>2201727.265000002</v>
      </c>
      <c r="BE44" s="905">
        <f t="shared" si="186"/>
        <v>7560000</v>
      </c>
      <c r="BF44" s="905">
        <f t="shared" si="187"/>
        <v>6396983.8849999979</v>
      </c>
      <c r="BG44" s="2848">
        <f t="shared" si="131"/>
        <v>10164000</v>
      </c>
      <c r="BH44" s="2848">
        <f t="shared" si="132"/>
        <v>8598711.1500000004</v>
      </c>
      <c r="BI44" s="797">
        <f t="shared" si="133"/>
        <v>30660000</v>
      </c>
      <c r="BJ44" s="797">
        <f t="shared" si="134"/>
        <v>29011250.345931023</v>
      </c>
    </row>
    <row r="45" spans="1:62" ht="22.5" x14ac:dyDescent="0.3">
      <c r="A45" s="765"/>
      <c r="B45" s="37" t="s">
        <v>546</v>
      </c>
      <c r="C45" s="769"/>
      <c r="D45" s="768"/>
      <c r="E45" s="768"/>
      <c r="G45" s="2827" t="s">
        <v>947</v>
      </c>
      <c r="H45" s="700" t="s">
        <v>909</v>
      </c>
      <c r="I45" s="2839">
        <f t="shared" si="171"/>
        <v>432000</v>
      </c>
      <c r="J45" s="1398">
        <v>460568</v>
      </c>
      <c r="K45" s="2839">
        <f t="shared" si="171"/>
        <v>446400</v>
      </c>
      <c r="L45" s="2845">
        <v>228432</v>
      </c>
      <c r="M45" s="2846">
        <f t="shared" si="0"/>
        <v>878400</v>
      </c>
      <c r="N45" s="2846">
        <f t="shared" si="0"/>
        <v>689000</v>
      </c>
      <c r="O45" s="2839">
        <f t="shared" ref="O45" si="190">+O93*O$3*24*1000</f>
        <v>432000</v>
      </c>
      <c r="P45" s="1398">
        <v>454416</v>
      </c>
      <c r="Q45" s="2847">
        <f t="shared" si="113"/>
        <v>1310400</v>
      </c>
      <c r="R45" s="2847">
        <f t="shared" si="114"/>
        <v>1143416</v>
      </c>
      <c r="S45" s="2839">
        <f t="shared" ref="S45" si="191">+S93*S$3*24*1000</f>
        <v>446400</v>
      </c>
      <c r="T45" s="2845">
        <v>272141.60000000003</v>
      </c>
      <c r="U45" s="2846">
        <f t="shared" si="115"/>
        <v>1756800</v>
      </c>
      <c r="V45" s="2846">
        <f t="shared" si="116"/>
        <v>1415557.6</v>
      </c>
      <c r="W45" s="2839">
        <f t="shared" si="174"/>
        <v>446400</v>
      </c>
      <c r="X45" s="2845">
        <v>522664</v>
      </c>
      <c r="Y45" s="2846">
        <f t="shared" si="117"/>
        <v>2203200</v>
      </c>
      <c r="Z45" s="2846">
        <f t="shared" si="118"/>
        <v>1938221.6</v>
      </c>
      <c r="AA45" s="2839">
        <f t="shared" si="175"/>
        <v>432000</v>
      </c>
      <c r="AB45" s="2845">
        <v>537440</v>
      </c>
      <c r="AC45" s="2842">
        <f t="shared" si="176"/>
        <v>1324800</v>
      </c>
      <c r="AD45" s="2842">
        <f t="shared" si="177"/>
        <v>1332245.6000000001</v>
      </c>
      <c r="AE45" s="2848">
        <f t="shared" si="119"/>
        <v>2635200</v>
      </c>
      <c r="AF45" s="2848">
        <f t="shared" si="120"/>
        <v>2475661.6</v>
      </c>
      <c r="AG45" s="1106">
        <f t="shared" si="178"/>
        <v>446400</v>
      </c>
      <c r="AH45" s="778">
        <v>269416</v>
      </c>
      <c r="AI45" s="797">
        <f t="shared" si="121"/>
        <v>3081600</v>
      </c>
      <c r="AJ45" s="797">
        <f t="shared" si="122"/>
        <v>2745077.6</v>
      </c>
      <c r="AK45" s="1106">
        <f t="shared" si="179"/>
        <v>432000</v>
      </c>
      <c r="AL45" s="778">
        <v>323592</v>
      </c>
      <c r="AM45" s="797">
        <f t="shared" si="123"/>
        <v>3513600</v>
      </c>
      <c r="AN45" s="797">
        <f t="shared" si="124"/>
        <v>3068669.6</v>
      </c>
      <c r="AO45" s="1106">
        <f t="shared" si="180"/>
        <v>446400</v>
      </c>
      <c r="AP45" s="778">
        <v>371536</v>
      </c>
      <c r="AQ45" s="905">
        <f t="shared" si="181"/>
        <v>1324800</v>
      </c>
      <c r="AR45" s="905">
        <f t="shared" si="182"/>
        <v>964544</v>
      </c>
      <c r="AS45" s="797">
        <f t="shared" si="125"/>
        <v>3960000</v>
      </c>
      <c r="AT45" s="797">
        <f t="shared" si="126"/>
        <v>3440205.6</v>
      </c>
      <c r="AU45" s="1106">
        <f t="shared" si="183"/>
        <v>446400</v>
      </c>
      <c r="AV45" s="778">
        <v>322392</v>
      </c>
      <c r="AW45" s="797">
        <f t="shared" si="127"/>
        <v>4406400</v>
      </c>
      <c r="AX45" s="797">
        <f t="shared" si="128"/>
        <v>3762597.6</v>
      </c>
      <c r="AY45" s="1106">
        <f t="shared" si="184"/>
        <v>403200.00000000006</v>
      </c>
      <c r="AZ45" s="778">
        <v>408152</v>
      </c>
      <c r="BA45" s="797">
        <f t="shared" si="129"/>
        <v>4809600</v>
      </c>
      <c r="BB45" s="797">
        <f t="shared" si="130"/>
        <v>4170749.6</v>
      </c>
      <c r="BC45" s="1106">
        <f t="shared" si="185"/>
        <v>446400</v>
      </c>
      <c r="BD45" s="778">
        <v>471952</v>
      </c>
      <c r="BE45" s="905">
        <f t="shared" si="186"/>
        <v>1296000</v>
      </c>
      <c r="BF45" s="905">
        <f t="shared" si="187"/>
        <v>1202496</v>
      </c>
      <c r="BG45" s="2848">
        <f t="shared" si="131"/>
        <v>1742400</v>
      </c>
      <c r="BH45" s="2848">
        <f t="shared" si="132"/>
        <v>1674448</v>
      </c>
      <c r="BI45" s="797">
        <f t="shared" si="133"/>
        <v>5256000</v>
      </c>
      <c r="BJ45" s="797">
        <f t="shared" si="134"/>
        <v>4642701.5999999996</v>
      </c>
    </row>
    <row r="46" spans="1:62" ht="15.75" thickBot="1" x14ac:dyDescent="0.3">
      <c r="B46" s="5"/>
      <c r="C46" s="735"/>
      <c r="E46" s="736"/>
      <c r="G46" s="2859" t="s">
        <v>948</v>
      </c>
      <c r="H46" s="2860" t="s">
        <v>910</v>
      </c>
      <c r="I46" s="2839">
        <f t="shared" si="171"/>
        <v>648000</v>
      </c>
      <c r="J46" s="2861">
        <v>484564</v>
      </c>
      <c r="K46" s="2839">
        <f t="shared" si="171"/>
        <v>669600</v>
      </c>
      <c r="L46" s="2862">
        <v>494218</v>
      </c>
      <c r="M46" s="2863">
        <f t="shared" si="0"/>
        <v>1317600</v>
      </c>
      <c r="N46" s="2863">
        <f t="shared" si="0"/>
        <v>978782</v>
      </c>
      <c r="O46" s="2839">
        <f t="shared" ref="O46" si="192">+O94*O$3*24*1000</f>
        <v>648000</v>
      </c>
      <c r="P46" s="2861">
        <v>442336</v>
      </c>
      <c r="Q46" s="2864">
        <f t="shared" si="113"/>
        <v>1965600</v>
      </c>
      <c r="R46" s="2864">
        <f t="shared" si="114"/>
        <v>1421118</v>
      </c>
      <c r="S46" s="2839">
        <f t="shared" ref="S46" si="193">+S94*S$3*24*1000</f>
        <v>669600</v>
      </c>
      <c r="T46" s="2862">
        <v>377232</v>
      </c>
      <c r="U46" s="2863">
        <f t="shared" si="115"/>
        <v>2635200</v>
      </c>
      <c r="V46" s="2863">
        <f t="shared" si="116"/>
        <v>1798350</v>
      </c>
      <c r="W46" s="2839">
        <f t="shared" si="174"/>
        <v>669600</v>
      </c>
      <c r="X46" s="2862">
        <v>516935</v>
      </c>
      <c r="Y46" s="2863">
        <f t="shared" si="117"/>
        <v>3304800</v>
      </c>
      <c r="Z46" s="2863">
        <f t="shared" si="118"/>
        <v>2315285</v>
      </c>
      <c r="AA46" s="2839">
        <f t="shared" si="175"/>
        <v>648000</v>
      </c>
      <c r="AB46" s="2862">
        <v>819288</v>
      </c>
      <c r="AC46" s="2842">
        <f t="shared" si="176"/>
        <v>1987200</v>
      </c>
      <c r="AD46" s="2842">
        <f t="shared" si="177"/>
        <v>1713455</v>
      </c>
      <c r="AE46" s="2865">
        <f t="shared" si="119"/>
        <v>3952800</v>
      </c>
      <c r="AF46" s="2865">
        <f t="shared" si="120"/>
        <v>3134573</v>
      </c>
      <c r="AG46" s="1106">
        <f t="shared" si="178"/>
        <v>669600</v>
      </c>
      <c r="AH46" s="784">
        <v>514103</v>
      </c>
      <c r="AI46" s="800">
        <f t="shared" si="121"/>
        <v>4622400</v>
      </c>
      <c r="AJ46" s="800">
        <f t="shared" si="122"/>
        <v>3648676</v>
      </c>
      <c r="AK46" s="1106">
        <f t="shared" si="179"/>
        <v>648000</v>
      </c>
      <c r="AL46" s="784">
        <v>514475</v>
      </c>
      <c r="AM46" s="800">
        <f t="shared" si="123"/>
        <v>5270400</v>
      </c>
      <c r="AN46" s="800">
        <f t="shared" si="124"/>
        <v>4163151</v>
      </c>
      <c r="AO46" s="1106">
        <f t="shared" si="180"/>
        <v>669600</v>
      </c>
      <c r="AP46" s="784">
        <v>470625</v>
      </c>
      <c r="AQ46" s="905">
        <f t="shared" si="181"/>
        <v>1987200</v>
      </c>
      <c r="AR46" s="905">
        <f t="shared" si="182"/>
        <v>1499203</v>
      </c>
      <c r="AS46" s="800">
        <f t="shared" si="125"/>
        <v>5940000</v>
      </c>
      <c r="AT46" s="800">
        <f t="shared" si="126"/>
        <v>4633776</v>
      </c>
      <c r="AU46" s="1106">
        <f t="shared" si="183"/>
        <v>669600</v>
      </c>
      <c r="AV46" s="784">
        <v>408500</v>
      </c>
      <c r="AW46" s="800">
        <f t="shared" si="127"/>
        <v>6609600</v>
      </c>
      <c r="AX46" s="800">
        <f t="shared" si="128"/>
        <v>5042276</v>
      </c>
      <c r="AY46" s="1106">
        <f t="shared" si="184"/>
        <v>604800</v>
      </c>
      <c r="AZ46" s="784">
        <v>340412</v>
      </c>
      <c r="BA46" s="800">
        <f t="shared" si="129"/>
        <v>7214400</v>
      </c>
      <c r="BB46" s="800">
        <f t="shared" si="130"/>
        <v>5382688</v>
      </c>
      <c r="BC46" s="1106">
        <f t="shared" si="185"/>
        <v>669600</v>
      </c>
      <c r="BD46" s="784">
        <v>353979</v>
      </c>
      <c r="BE46" s="905">
        <f t="shared" si="186"/>
        <v>1944000</v>
      </c>
      <c r="BF46" s="905">
        <f t="shared" si="187"/>
        <v>1102891</v>
      </c>
      <c r="BG46" s="2865">
        <f t="shared" si="131"/>
        <v>2613600</v>
      </c>
      <c r="BH46" s="2865">
        <f t="shared" si="132"/>
        <v>1456870</v>
      </c>
      <c r="BI46" s="800">
        <f t="shared" si="133"/>
        <v>7884000</v>
      </c>
      <c r="BJ46" s="800">
        <f t="shared" si="134"/>
        <v>5736667</v>
      </c>
    </row>
    <row r="47" spans="1:62" s="334" customFormat="1" ht="15.75" thickBot="1" x14ac:dyDescent="0.3">
      <c r="A47" s="806"/>
      <c r="B47" s="807"/>
      <c r="C47" s="808"/>
      <c r="D47" s="809"/>
      <c r="E47" s="809"/>
      <c r="G47" s="2866"/>
      <c r="H47" s="343"/>
      <c r="I47" s="1734"/>
      <c r="J47" s="1734"/>
      <c r="K47" s="1734"/>
      <c r="L47" s="343"/>
      <c r="M47" s="343"/>
      <c r="N47" s="343"/>
      <c r="O47" s="1734"/>
      <c r="P47" s="1734"/>
      <c r="Q47" s="343"/>
      <c r="R47" s="343"/>
      <c r="S47" s="1734"/>
      <c r="T47" s="343"/>
      <c r="U47" s="343"/>
      <c r="V47" s="343"/>
      <c r="W47" s="1734"/>
      <c r="X47" s="343"/>
      <c r="Y47" s="343"/>
      <c r="Z47" s="343"/>
      <c r="AA47" s="1734"/>
      <c r="AB47" s="343"/>
      <c r="AC47" s="343"/>
      <c r="AD47" s="343"/>
      <c r="AE47" s="343"/>
      <c r="AF47" s="343"/>
      <c r="AG47" s="811"/>
      <c r="AK47" s="811"/>
      <c r="AO47" s="811"/>
      <c r="AU47" s="811"/>
      <c r="AY47" s="811"/>
      <c r="BC47" s="811"/>
      <c r="BG47" s="343"/>
      <c r="BH47" s="343"/>
    </row>
    <row r="48" spans="1:62" s="334" customFormat="1" ht="22.5" x14ac:dyDescent="0.25">
      <c r="A48" s="812"/>
      <c r="B48" s="813" t="s">
        <v>153</v>
      </c>
      <c r="C48" s="5343" t="s">
        <v>198</v>
      </c>
      <c r="D48" s="814"/>
      <c r="E48" s="814"/>
      <c r="G48" s="2866"/>
      <c r="H48" s="343"/>
      <c r="I48" s="1734"/>
      <c r="J48" s="1734"/>
      <c r="K48" s="1734"/>
      <c r="L48" s="343"/>
      <c r="M48" s="343"/>
      <c r="N48" s="343"/>
      <c r="O48" s="1734"/>
      <c r="P48" s="2867"/>
      <c r="Q48" s="343"/>
      <c r="R48" s="343"/>
      <c r="S48" s="1734"/>
      <c r="T48" s="343"/>
      <c r="U48" s="343"/>
      <c r="V48" s="343"/>
      <c r="W48" s="1734"/>
      <c r="X48" s="343"/>
      <c r="Y48" s="343"/>
      <c r="Z48" s="343"/>
      <c r="AA48" s="1734"/>
      <c r="AB48" s="343"/>
      <c r="AC48" s="343"/>
      <c r="AD48" s="343"/>
      <c r="AE48" s="343"/>
      <c r="AF48" s="343"/>
      <c r="AG48" s="811"/>
      <c r="AK48" s="811"/>
      <c r="AO48" s="811"/>
      <c r="AU48" s="811"/>
      <c r="AY48" s="811"/>
      <c r="BC48" s="811"/>
      <c r="BG48" s="343"/>
      <c r="BH48" s="343"/>
    </row>
    <row r="49" spans="1:62" s="334" customFormat="1" ht="23.25" thickBot="1" x14ac:dyDescent="0.35">
      <c r="A49" s="812"/>
      <c r="B49" s="815" t="s">
        <v>457</v>
      </c>
      <c r="C49" s="5344"/>
      <c r="D49" s="816" t="s">
        <v>200</v>
      </c>
      <c r="E49" s="816" t="s">
        <v>200</v>
      </c>
      <c r="G49" s="2866"/>
      <c r="H49" s="2387" t="s">
        <v>546</v>
      </c>
      <c r="I49" s="1734"/>
      <c r="J49" s="1734"/>
      <c r="K49" s="1734"/>
      <c r="L49" s="343"/>
      <c r="M49" s="343"/>
      <c r="N49" s="343"/>
      <c r="O49" s="1734"/>
      <c r="P49" s="1734"/>
      <c r="Q49" s="343"/>
      <c r="R49" s="343"/>
      <c r="S49" s="1734"/>
      <c r="T49" s="343"/>
      <c r="U49" s="343"/>
      <c r="V49" s="343"/>
      <c r="W49" s="1734"/>
      <c r="X49" s="343"/>
      <c r="Y49" s="343"/>
      <c r="Z49" s="343"/>
      <c r="AA49" s="1734"/>
      <c r="AB49" s="343"/>
      <c r="AC49" s="343"/>
      <c r="AD49" s="343"/>
      <c r="AE49" s="343"/>
      <c r="AF49" s="343"/>
      <c r="AG49" s="811"/>
      <c r="AK49" s="811"/>
      <c r="AO49" s="811"/>
      <c r="AU49" s="811"/>
      <c r="AY49" s="811"/>
      <c r="BC49" s="811"/>
      <c r="BG49" s="343"/>
      <c r="BH49" s="343"/>
    </row>
    <row r="50" spans="1:62" s="334" customFormat="1" x14ac:dyDescent="0.25">
      <c r="A50" s="817"/>
      <c r="B50" s="818" t="s">
        <v>529</v>
      </c>
      <c r="C50" s="661" t="s">
        <v>424</v>
      </c>
      <c r="D50" s="819">
        <f t="shared" ref="D50:E65" si="194">+((D6/1000)/D$3)/24</f>
        <v>0</v>
      </c>
      <c r="E50" s="819">
        <f t="shared" si="194"/>
        <v>0</v>
      </c>
      <c r="G50" s="2866"/>
      <c r="H50" s="1322"/>
      <c r="I50" s="1734"/>
      <c r="J50" s="1734"/>
      <c r="K50" s="1734"/>
      <c r="L50" s="343"/>
      <c r="M50" s="343"/>
      <c r="N50" s="343"/>
      <c r="O50" s="1734"/>
      <c r="P50" s="1734"/>
      <c r="Q50" s="343"/>
      <c r="R50" s="343"/>
      <c r="S50" s="1734"/>
      <c r="T50" s="343"/>
      <c r="U50" s="343"/>
      <c r="V50" s="343"/>
      <c r="W50" s="1734"/>
      <c r="X50" s="343"/>
      <c r="Y50" s="343"/>
      <c r="Z50" s="343"/>
      <c r="AA50" s="1734"/>
      <c r="AB50" s="343"/>
      <c r="AC50" s="343"/>
      <c r="AD50" s="343"/>
      <c r="AE50" s="343"/>
      <c r="AF50" s="343"/>
      <c r="AG50" s="811"/>
      <c r="AK50" s="811"/>
      <c r="AO50" s="811"/>
      <c r="AU50" s="811"/>
      <c r="AY50" s="811"/>
      <c r="BC50" s="811"/>
      <c r="BG50" s="343"/>
      <c r="BH50" s="343"/>
    </row>
    <row r="51" spans="1:62" s="334" customFormat="1" ht="15.75" thickBot="1" x14ac:dyDescent="0.3">
      <c r="A51" s="820"/>
      <c r="B51" s="420" t="s">
        <v>657</v>
      </c>
      <c r="C51" s="550" t="s">
        <v>424</v>
      </c>
      <c r="D51" s="819">
        <f t="shared" si="194"/>
        <v>40.681249999999956</v>
      </c>
      <c r="E51" s="819">
        <f t="shared" si="194"/>
        <v>38.99260752688172</v>
      </c>
      <c r="G51" s="2866"/>
      <c r="H51" s="1322"/>
      <c r="I51" s="2868">
        <v>30</v>
      </c>
      <c r="J51" s="913">
        <f>+J3</f>
        <v>30</v>
      </c>
      <c r="K51" s="913">
        <f t="shared" ref="K51:AF51" si="195">+K3</f>
        <v>31</v>
      </c>
      <c r="L51" s="913">
        <f t="shared" si="195"/>
        <v>31</v>
      </c>
      <c r="M51" s="913">
        <f t="shared" si="195"/>
        <v>61</v>
      </c>
      <c r="N51" s="913">
        <f t="shared" si="195"/>
        <v>61</v>
      </c>
      <c r="O51" s="913">
        <f t="shared" si="195"/>
        <v>30</v>
      </c>
      <c r="P51" s="913">
        <f t="shared" si="195"/>
        <v>30</v>
      </c>
      <c r="Q51" s="913">
        <f t="shared" si="195"/>
        <v>91</v>
      </c>
      <c r="R51" s="913">
        <f t="shared" si="195"/>
        <v>91</v>
      </c>
      <c r="S51" s="913">
        <f t="shared" si="195"/>
        <v>31</v>
      </c>
      <c r="T51" s="913">
        <f t="shared" si="195"/>
        <v>31</v>
      </c>
      <c r="U51" s="913">
        <f t="shared" si="195"/>
        <v>122</v>
      </c>
      <c r="V51" s="913">
        <f t="shared" si="195"/>
        <v>122</v>
      </c>
      <c r="W51" s="913">
        <f t="shared" si="195"/>
        <v>31</v>
      </c>
      <c r="X51" s="913">
        <f t="shared" si="195"/>
        <v>31</v>
      </c>
      <c r="Y51" s="913">
        <f t="shared" si="195"/>
        <v>153</v>
      </c>
      <c r="Z51" s="913">
        <f t="shared" si="195"/>
        <v>153</v>
      </c>
      <c r="AA51" s="913">
        <f t="shared" si="195"/>
        <v>30</v>
      </c>
      <c r="AB51" s="913">
        <f t="shared" si="195"/>
        <v>30</v>
      </c>
      <c r="AC51" s="913">
        <f t="shared" si="195"/>
        <v>92</v>
      </c>
      <c r="AD51" s="913">
        <f t="shared" si="195"/>
        <v>92</v>
      </c>
      <c r="AE51" s="913">
        <f t="shared" si="195"/>
        <v>183</v>
      </c>
      <c r="AF51" s="913">
        <f t="shared" si="195"/>
        <v>183</v>
      </c>
      <c r="AG51" s="913">
        <f t="shared" ref="AG51:AT51" si="196">+AG3</f>
        <v>31</v>
      </c>
      <c r="AH51" s="913">
        <f t="shared" si="196"/>
        <v>31</v>
      </c>
      <c r="AI51" s="913">
        <f t="shared" si="196"/>
        <v>214</v>
      </c>
      <c r="AJ51" s="913">
        <f t="shared" si="196"/>
        <v>214</v>
      </c>
      <c r="AK51" s="913">
        <f t="shared" si="196"/>
        <v>30</v>
      </c>
      <c r="AL51" s="913">
        <f t="shared" si="196"/>
        <v>30</v>
      </c>
      <c r="AM51" s="913">
        <f t="shared" si="196"/>
        <v>244</v>
      </c>
      <c r="AN51" s="913">
        <f t="shared" si="196"/>
        <v>244</v>
      </c>
      <c r="AO51" s="913">
        <f t="shared" si="196"/>
        <v>31</v>
      </c>
      <c r="AP51" s="913">
        <f t="shared" si="196"/>
        <v>31</v>
      </c>
      <c r="AQ51" s="913">
        <f t="shared" si="196"/>
        <v>92</v>
      </c>
      <c r="AR51" s="913">
        <f t="shared" si="196"/>
        <v>92</v>
      </c>
      <c r="AS51" s="913">
        <f t="shared" si="196"/>
        <v>275</v>
      </c>
      <c r="AT51" s="913">
        <f t="shared" si="196"/>
        <v>275</v>
      </c>
      <c r="AU51" s="913">
        <f t="shared" ref="AU51:AX51" si="197">+AU3</f>
        <v>31</v>
      </c>
      <c r="AV51" s="913">
        <f t="shared" si="197"/>
        <v>31</v>
      </c>
      <c r="AW51" s="913">
        <f t="shared" si="197"/>
        <v>306</v>
      </c>
      <c r="AX51" s="913">
        <f t="shared" si="197"/>
        <v>306</v>
      </c>
      <c r="AY51" s="913">
        <f t="shared" ref="AY51:BB51" si="198">+AY3</f>
        <v>28</v>
      </c>
      <c r="AZ51" s="913">
        <f t="shared" si="198"/>
        <v>28</v>
      </c>
      <c r="BA51" s="913">
        <f t="shared" si="198"/>
        <v>334</v>
      </c>
      <c r="BB51" s="913">
        <f t="shared" si="198"/>
        <v>334</v>
      </c>
      <c r="BC51" s="913">
        <f t="shared" ref="BC51:BJ51" si="199">+BC3</f>
        <v>31</v>
      </c>
      <c r="BD51" s="913">
        <f t="shared" si="199"/>
        <v>31</v>
      </c>
      <c r="BE51" s="913">
        <f t="shared" si="199"/>
        <v>90</v>
      </c>
      <c r="BF51" s="913">
        <f t="shared" si="199"/>
        <v>90</v>
      </c>
      <c r="BG51" s="913">
        <f t="shared" si="199"/>
        <v>182</v>
      </c>
      <c r="BH51" s="913">
        <f t="shared" si="199"/>
        <v>182</v>
      </c>
      <c r="BI51" s="913">
        <f t="shared" si="199"/>
        <v>365</v>
      </c>
      <c r="BJ51" s="913">
        <f t="shared" si="199"/>
        <v>365</v>
      </c>
    </row>
    <row r="52" spans="1:62" ht="22.5" x14ac:dyDescent="0.25">
      <c r="A52" s="148"/>
      <c r="B52" s="420" t="s">
        <v>530</v>
      </c>
      <c r="C52" s="33" t="s">
        <v>424</v>
      </c>
      <c r="D52" s="770">
        <f t="shared" si="194"/>
        <v>4.3569444444444443</v>
      </c>
      <c r="E52" s="770">
        <f t="shared" si="194"/>
        <v>1.0295698924731183</v>
      </c>
      <c r="G52" s="2825"/>
      <c r="H52" s="2826" t="s">
        <v>153</v>
      </c>
      <c r="I52" s="5328" t="s">
        <v>1323</v>
      </c>
      <c r="J52" s="5329"/>
      <c r="K52" s="5328" t="s">
        <v>1384</v>
      </c>
      <c r="L52" s="5346"/>
      <c r="M52" s="5330" t="s">
        <v>15</v>
      </c>
      <c r="N52" s="5331"/>
      <c r="O52" s="5328" t="str">
        <f>+O4</f>
        <v>Jun'21</v>
      </c>
      <c r="P52" s="5329"/>
      <c r="Q52" s="5340" t="str">
        <f>+Q4</f>
        <v>QTR 1</v>
      </c>
      <c r="R52" s="5341"/>
      <c r="S52" s="5328" t="str">
        <f>+S4</f>
        <v>Jul'21</v>
      </c>
      <c r="T52" s="5329"/>
      <c r="U52" s="5330" t="s">
        <v>18</v>
      </c>
      <c r="V52" s="5331"/>
      <c r="W52" s="5328" t="str">
        <f>+W4</f>
        <v>Aug'21</v>
      </c>
      <c r="X52" s="5329"/>
      <c r="Y52" s="5330" t="s">
        <v>18</v>
      </c>
      <c r="Z52" s="5331"/>
      <c r="AA52" s="5328" t="str">
        <f>+AA4</f>
        <v>Sep'21</v>
      </c>
      <c r="AB52" s="5329"/>
      <c r="AC52" s="5340" t="str">
        <f>+AC4</f>
        <v>QTR 2</v>
      </c>
      <c r="AD52" s="5341"/>
      <c r="AE52" s="5336" t="s">
        <v>784</v>
      </c>
      <c r="AF52" s="5337"/>
      <c r="AG52" s="5323" t="str">
        <f>+AG4</f>
        <v>Oct'21</v>
      </c>
      <c r="AH52" s="5324"/>
      <c r="AI52" s="5332" t="s">
        <v>18</v>
      </c>
      <c r="AJ52" s="5333"/>
      <c r="AK52" s="5323" t="str">
        <f>+AK4</f>
        <v>Nov'21</v>
      </c>
      <c r="AL52" s="5324"/>
      <c r="AM52" s="5332" t="s">
        <v>18</v>
      </c>
      <c r="AN52" s="5333"/>
      <c r="AO52" s="5323" t="str">
        <f>+AO4</f>
        <v>Dec'21</v>
      </c>
      <c r="AP52" s="5324"/>
      <c r="AQ52" s="5349" t="str">
        <f>+AQ4</f>
        <v>QTR 3</v>
      </c>
      <c r="AR52" s="5350"/>
      <c r="AS52" s="5332" t="str">
        <f>+AS4</f>
        <v>9 M</v>
      </c>
      <c r="AT52" s="5333"/>
      <c r="AU52" s="5323" t="str">
        <f>+AU4</f>
        <v>Jan'22</v>
      </c>
      <c r="AV52" s="5324"/>
      <c r="AW52" s="5323" t="str">
        <f>+AW4</f>
        <v>10M</v>
      </c>
      <c r="AX52" s="5324"/>
      <c r="AY52" s="5323" t="str">
        <f>+AY4</f>
        <v>Feb'22</v>
      </c>
      <c r="AZ52" s="5324"/>
      <c r="BA52" s="5323" t="str">
        <f>+BA4</f>
        <v>11M</v>
      </c>
      <c r="BB52" s="5324"/>
      <c r="BC52" s="5323" t="str">
        <f>+BC4</f>
        <v>Mar'22</v>
      </c>
      <c r="BD52" s="5324"/>
      <c r="BE52" s="5349" t="str">
        <f>+BE4</f>
        <v>QTR 4</v>
      </c>
      <c r="BF52" s="5350"/>
      <c r="BG52" s="5336" t="str">
        <f>+BG4</f>
        <v>H2</v>
      </c>
      <c r="BH52" s="5337"/>
      <c r="BI52" s="5323" t="str">
        <f>+BI4</f>
        <v>2021-22</v>
      </c>
      <c r="BJ52" s="5324"/>
    </row>
    <row r="53" spans="1:62" x14ac:dyDescent="0.25">
      <c r="A53" s="732"/>
      <c r="B53" s="420" t="s">
        <v>531</v>
      </c>
      <c r="C53" s="33" t="s">
        <v>424</v>
      </c>
      <c r="D53" s="770">
        <f t="shared" si="194"/>
        <v>78.336111111111109</v>
      </c>
      <c r="E53" s="770">
        <f t="shared" si="194"/>
        <v>87.782258064516142</v>
      </c>
      <c r="G53" s="2827"/>
      <c r="H53" s="700"/>
      <c r="I53" s="1989" t="s">
        <v>199</v>
      </c>
      <c r="J53" s="1989" t="s">
        <v>200</v>
      </c>
      <c r="K53" s="1989" t="s">
        <v>199</v>
      </c>
      <c r="L53" s="2348" t="s">
        <v>200</v>
      </c>
      <c r="M53" s="1990" t="s">
        <v>199</v>
      </c>
      <c r="N53" s="2828" t="s">
        <v>200</v>
      </c>
      <c r="O53" s="1989" t="s">
        <v>199</v>
      </c>
      <c r="P53" s="1989" t="s">
        <v>200</v>
      </c>
      <c r="Q53" s="1991" t="s">
        <v>199</v>
      </c>
      <c r="R53" s="2829" t="s">
        <v>200</v>
      </c>
      <c r="S53" s="1989" t="s">
        <v>199</v>
      </c>
      <c r="T53" s="2348" t="s">
        <v>200</v>
      </c>
      <c r="U53" s="1990" t="s">
        <v>199</v>
      </c>
      <c r="V53" s="2828" t="s">
        <v>200</v>
      </c>
      <c r="W53" s="1989" t="s">
        <v>199</v>
      </c>
      <c r="X53" s="2348" t="s">
        <v>200</v>
      </c>
      <c r="Y53" s="1990" t="s">
        <v>199</v>
      </c>
      <c r="Z53" s="2828" t="s">
        <v>200</v>
      </c>
      <c r="AA53" s="1989" t="s">
        <v>199</v>
      </c>
      <c r="AB53" s="2348" t="s">
        <v>200</v>
      </c>
      <c r="AC53" s="1991" t="s">
        <v>199</v>
      </c>
      <c r="AD53" s="2829" t="s">
        <v>200</v>
      </c>
      <c r="AE53" s="2421" t="s">
        <v>199</v>
      </c>
      <c r="AF53" s="2423" t="s">
        <v>200</v>
      </c>
      <c r="AG53" s="446" t="s">
        <v>199</v>
      </c>
      <c r="AH53" s="20" t="s">
        <v>200</v>
      </c>
      <c r="AI53" s="447" t="s">
        <v>199</v>
      </c>
      <c r="AJ53" s="794" t="s">
        <v>200</v>
      </c>
      <c r="AK53" s="1339" t="s">
        <v>199</v>
      </c>
      <c r="AL53" s="20" t="s">
        <v>200</v>
      </c>
      <c r="AM53" s="447" t="s">
        <v>199</v>
      </c>
      <c r="AN53" s="794" t="s">
        <v>200</v>
      </c>
      <c r="AO53" s="1360" t="s">
        <v>199</v>
      </c>
      <c r="AP53" s="20" t="s">
        <v>200</v>
      </c>
      <c r="AQ53" s="448" t="s">
        <v>199</v>
      </c>
      <c r="AR53" s="904" t="s">
        <v>200</v>
      </c>
      <c r="AS53" s="447" t="s">
        <v>199</v>
      </c>
      <c r="AT53" s="794" t="s">
        <v>200</v>
      </c>
      <c r="AU53" s="1484" t="s">
        <v>199</v>
      </c>
      <c r="AV53" s="20" t="s">
        <v>200</v>
      </c>
      <c r="AW53" s="447" t="s">
        <v>199</v>
      </c>
      <c r="AX53" s="794" t="s">
        <v>200</v>
      </c>
      <c r="AY53" s="4063" t="s">
        <v>199</v>
      </c>
      <c r="AZ53" s="20" t="s">
        <v>200</v>
      </c>
      <c r="BA53" s="447" t="s">
        <v>199</v>
      </c>
      <c r="BB53" s="794" t="s">
        <v>200</v>
      </c>
      <c r="BC53" s="4383" t="s">
        <v>199</v>
      </c>
      <c r="BD53" s="20" t="s">
        <v>200</v>
      </c>
      <c r="BE53" s="448" t="s">
        <v>199</v>
      </c>
      <c r="BF53" s="904" t="s">
        <v>200</v>
      </c>
      <c r="BG53" s="4397" t="s">
        <v>199</v>
      </c>
      <c r="BH53" s="2423" t="s">
        <v>200</v>
      </c>
      <c r="BI53" s="447" t="s">
        <v>199</v>
      </c>
      <c r="BJ53" s="794" t="s">
        <v>200</v>
      </c>
    </row>
    <row r="54" spans="1:62" ht="16.5" thickBot="1" x14ac:dyDescent="0.3">
      <c r="A54" s="732"/>
      <c r="B54" s="45" t="s">
        <v>532</v>
      </c>
      <c r="C54" s="34" t="s">
        <v>424</v>
      </c>
      <c r="D54" s="770">
        <f t="shared" si="194"/>
        <v>0.71443055555555557</v>
      </c>
      <c r="E54" s="770">
        <f t="shared" si="194"/>
        <v>0.69551075268817242</v>
      </c>
      <c r="G54" s="2830">
        <v>1</v>
      </c>
      <c r="H54" s="2448" t="s">
        <v>914</v>
      </c>
      <c r="I54" s="2869">
        <f>+SUM(I55:I59)</f>
        <v>128.904714132598</v>
      </c>
      <c r="J54" s="2869">
        <f t="shared" ref="J54:M69" si="200">J6/1000/24/J$3</f>
        <v>116.84015277777779</v>
      </c>
      <c r="K54" s="2869">
        <v>128.60851507252599</v>
      </c>
      <c r="L54" s="2870">
        <f t="shared" si="200"/>
        <v>121.54427419354839</v>
      </c>
      <c r="M54" s="2871">
        <f t="shared" ref="M54:N54" si="201">M6/1000/24/M$3</f>
        <v>128.75418674141392</v>
      </c>
      <c r="N54" s="2871">
        <f t="shared" si="201"/>
        <v>119.2307718579235</v>
      </c>
      <c r="O54" s="2869">
        <f>+SUM(O55:O59)</f>
        <v>158.68864867778268</v>
      </c>
      <c r="P54" s="2869">
        <f t="shared" ref="P54:R69" si="202">P6/1000/24/P$3</f>
        <v>152.43661111111112</v>
      </c>
      <c r="Q54" s="2872">
        <f t="shared" si="202"/>
        <v>138.62269067648052</v>
      </c>
      <c r="R54" s="2872">
        <f t="shared" si="202"/>
        <v>130.17775183150184</v>
      </c>
      <c r="S54" s="2869">
        <f>+SUM(S55:S59)</f>
        <v>158.78118993330949</v>
      </c>
      <c r="T54" s="2870">
        <f t="shared" ref="T54:V69" si="203">T6/1000/24/T$3</f>
        <v>150.66014784946228</v>
      </c>
      <c r="U54" s="2871">
        <f t="shared" si="203"/>
        <v>143.74493229092067</v>
      </c>
      <c r="V54" s="2871">
        <f t="shared" si="203"/>
        <v>135.38229508196719</v>
      </c>
      <c r="W54" s="2869">
        <f>+SUM(W55:W59)</f>
        <v>159.54203304616578</v>
      </c>
      <c r="X54" s="2870">
        <f t="shared" ref="X54:Z54" si="204">X6/1000/24/X$3</f>
        <v>151.88489247311838</v>
      </c>
      <c r="Y54" s="2871">
        <f t="shared" si="204"/>
        <v>146.94565205178733</v>
      </c>
      <c r="Z54" s="2871">
        <f t="shared" si="204"/>
        <v>138.72595860566449</v>
      </c>
      <c r="AA54" s="2869">
        <f>+SUM(AA55:AA59)</f>
        <v>160.06233987380986</v>
      </c>
      <c r="AB54" s="2870">
        <f t="shared" ref="AB54" si="205">AB6/1000/24/AB$3</f>
        <v>151.7666944444444</v>
      </c>
      <c r="AC54" s="2872">
        <f t="shared" ref="AC54:AF54" si="206">AC6/1000/24/AC$3</f>
        <v>159.45532726715248</v>
      </c>
      <c r="AD54" s="2872">
        <f t="shared" si="206"/>
        <v>151.43366394927537</v>
      </c>
      <c r="AE54" s="2873">
        <f t="shared" si="206"/>
        <v>149.09592874392217</v>
      </c>
      <c r="AF54" s="2873">
        <f t="shared" si="206"/>
        <v>140.86378415300547</v>
      </c>
      <c r="AG54" s="785">
        <f>+SUM(AG55:AG59)</f>
        <v>159.87854557340543</v>
      </c>
      <c r="AH54" s="786">
        <f t="shared" ref="AH54:AJ54" si="207">AH6/1000/24/AH$3</f>
        <v>153.22630376344082</v>
      </c>
      <c r="AI54" s="801">
        <f t="shared" si="207"/>
        <v>150.65789660239869</v>
      </c>
      <c r="AJ54" s="801">
        <f t="shared" si="207"/>
        <v>142.6546164330218</v>
      </c>
      <c r="AK54" s="785">
        <f>+SUM(AK55:AK59)</f>
        <v>160.06233987380986</v>
      </c>
      <c r="AL54" s="786">
        <f t="shared" ref="AL54:AN54" si="208">AL6/1000/24/AL$3</f>
        <v>149.30016666666668</v>
      </c>
      <c r="AM54" s="801">
        <f t="shared" si="208"/>
        <v>151.81418061117876</v>
      </c>
      <c r="AN54" s="801">
        <f t="shared" si="208"/>
        <v>143.47169228142076</v>
      </c>
      <c r="AO54" s="785">
        <f>+SUM(AO55:AO59)</f>
        <v>159.87854557340543</v>
      </c>
      <c r="AP54" s="786">
        <f t="shared" ref="AP54:AT54" si="209">AP6/1000/24/AP$3</f>
        <v>153.10336021505373</v>
      </c>
      <c r="AQ54" s="908">
        <f t="shared" si="209"/>
        <v>159.93847849745038</v>
      </c>
      <c r="AR54" s="908">
        <f t="shared" si="209"/>
        <v>151.90461503623186</v>
      </c>
      <c r="AS54" s="801">
        <f t="shared" si="209"/>
        <v>152.72325447964795</v>
      </c>
      <c r="AT54" s="801">
        <f t="shared" si="209"/>
        <v>144.55744393939392</v>
      </c>
      <c r="AU54" s="785">
        <f>+SUM(AU55:AU59)</f>
        <v>159.87854557340543</v>
      </c>
      <c r="AV54" s="786">
        <f t="shared" ref="AV54:AX54" si="210">AV6/1000/24/AV$3</f>
        <v>152.19724462365591</v>
      </c>
      <c r="AW54" s="801">
        <f t="shared" si="210"/>
        <v>153.44813691071488</v>
      </c>
      <c r="AX54" s="801">
        <f t="shared" si="210"/>
        <v>145.33141067538125</v>
      </c>
      <c r="AY54" s="785">
        <f>+SUM(AY55:AY59)</f>
        <v>159.18681253509601</v>
      </c>
      <c r="AZ54" s="786">
        <f t="shared" ref="AZ54:BB54" si="211">AZ6/1000/24/AZ$3</f>
        <v>149.20156249999999</v>
      </c>
      <c r="BA54" s="801">
        <f t="shared" si="211"/>
        <v>153.92922349000432</v>
      </c>
      <c r="BB54" s="801">
        <f t="shared" si="211"/>
        <v>145.65585454091817</v>
      </c>
      <c r="BC54" s="785">
        <f>+SUM(BC55:BC59)</f>
        <v>159.87854557340543</v>
      </c>
      <c r="BD54" s="786">
        <f t="shared" ref="BD54:BJ54" si="212">BD6/1000/24/BD$3</f>
        <v>152.43556451612901</v>
      </c>
      <c r="BE54" s="908">
        <f t="shared" si="212"/>
        <v>159.66333973926473</v>
      </c>
      <c r="BF54" s="908">
        <f t="shared" si="212"/>
        <v>151.34734259259261</v>
      </c>
      <c r="BG54" s="2873">
        <f t="shared" si="212"/>
        <v>106.18645873246921</v>
      </c>
      <c r="BH54" s="2873">
        <f t="shared" si="212"/>
        <v>100.80639194139194</v>
      </c>
      <c r="BI54" s="801">
        <f t="shared" si="212"/>
        <v>154.43450837927949</v>
      </c>
      <c r="BJ54" s="801">
        <f t="shared" si="212"/>
        <v>146.23166552511415</v>
      </c>
    </row>
    <row r="55" spans="1:62" ht="16.5" thickBot="1" x14ac:dyDescent="0.3">
      <c r="A55" s="149"/>
      <c r="B55" s="29" t="s">
        <v>533</v>
      </c>
      <c r="C55" s="35" t="s">
        <v>424</v>
      </c>
      <c r="D55" s="771">
        <f t="shared" si="194"/>
        <v>124.08873611111107</v>
      </c>
      <c r="E55" s="771">
        <f t="shared" si="194"/>
        <v>128.49994623655914</v>
      </c>
      <c r="G55" s="2827">
        <v>1.1000000000000001</v>
      </c>
      <c r="H55" s="700" t="s">
        <v>529</v>
      </c>
      <c r="I55" s="2874">
        <v>0</v>
      </c>
      <c r="J55" s="2875">
        <f t="shared" si="200"/>
        <v>0</v>
      </c>
      <c r="K55" s="2874">
        <v>0</v>
      </c>
      <c r="L55" s="2876">
        <f t="shared" si="200"/>
        <v>0</v>
      </c>
      <c r="M55" s="2877">
        <f t="shared" si="200"/>
        <v>0</v>
      </c>
      <c r="N55" s="2877">
        <f t="shared" ref="N55" si="213">N7/1000/24/N$3</f>
        <v>0</v>
      </c>
      <c r="O55" s="2874">
        <v>0</v>
      </c>
      <c r="P55" s="2875">
        <f t="shared" ref="P55:Q55" si="214">P7/1000/24/P$3</f>
        <v>0</v>
      </c>
      <c r="Q55" s="2878">
        <f t="shared" si="214"/>
        <v>0</v>
      </c>
      <c r="R55" s="2878">
        <f t="shared" si="202"/>
        <v>0</v>
      </c>
      <c r="S55" s="2874">
        <v>0</v>
      </c>
      <c r="T55" s="2876">
        <f t="shared" ref="T55:U55" si="215">T7/1000/24/T$3</f>
        <v>0</v>
      </c>
      <c r="U55" s="2877">
        <f t="shared" si="215"/>
        <v>0</v>
      </c>
      <c r="V55" s="2877">
        <f t="shared" si="203"/>
        <v>0</v>
      </c>
      <c r="W55" s="2874">
        <v>0</v>
      </c>
      <c r="X55" s="2876">
        <f t="shared" ref="X55:Z55" si="216">X7/1000/24/X$3</f>
        <v>0</v>
      </c>
      <c r="Y55" s="2877">
        <f t="shared" si="216"/>
        <v>0</v>
      </c>
      <c r="Z55" s="2877">
        <f t="shared" si="216"/>
        <v>0</v>
      </c>
      <c r="AA55" s="2874">
        <v>0</v>
      </c>
      <c r="AB55" s="2876">
        <f t="shared" ref="AB55" si="217">AB7/1000/24/AB$3</f>
        <v>0</v>
      </c>
      <c r="AC55" s="2878">
        <f t="shared" ref="AC55:AF55" si="218">AC7/1000/24/AC$3</f>
        <v>0</v>
      </c>
      <c r="AD55" s="2878">
        <f t="shared" si="218"/>
        <v>0</v>
      </c>
      <c r="AE55" s="2879">
        <f t="shared" si="218"/>
        <v>0</v>
      </c>
      <c r="AF55" s="2879">
        <f t="shared" si="218"/>
        <v>0</v>
      </c>
      <c r="AG55" s="963">
        <v>0</v>
      </c>
      <c r="AH55" s="788">
        <f t="shared" ref="AH55:AJ55" si="219">AH7/1000/24/AH$3</f>
        <v>0</v>
      </c>
      <c r="AI55" s="802">
        <f t="shared" si="219"/>
        <v>0</v>
      </c>
      <c r="AJ55" s="802">
        <f t="shared" si="219"/>
        <v>0</v>
      </c>
      <c r="AK55" s="963">
        <v>0</v>
      </c>
      <c r="AL55" s="788">
        <f t="shared" ref="AL55:AN55" si="220">AL7/1000/24/AL$3</f>
        <v>0</v>
      </c>
      <c r="AM55" s="802">
        <f t="shared" si="220"/>
        <v>0</v>
      </c>
      <c r="AN55" s="802">
        <f t="shared" si="220"/>
        <v>0</v>
      </c>
      <c r="AO55" s="963">
        <v>0</v>
      </c>
      <c r="AP55" s="788">
        <f t="shared" ref="AP55:AT55" si="221">AP7/1000/24/AP$3</f>
        <v>0</v>
      </c>
      <c r="AQ55" s="909">
        <f t="shared" si="221"/>
        <v>0</v>
      </c>
      <c r="AR55" s="909">
        <f t="shared" si="221"/>
        <v>0</v>
      </c>
      <c r="AS55" s="802">
        <f t="shared" si="221"/>
        <v>0</v>
      </c>
      <c r="AT55" s="802">
        <f t="shared" si="221"/>
        <v>0</v>
      </c>
      <c r="AU55" s="963">
        <v>0</v>
      </c>
      <c r="AV55" s="788">
        <f t="shared" ref="AV55:AX55" si="222">AV7/1000/24/AV$3</f>
        <v>0</v>
      </c>
      <c r="AW55" s="802">
        <f t="shared" si="222"/>
        <v>0</v>
      </c>
      <c r="AX55" s="802">
        <f t="shared" si="222"/>
        <v>0</v>
      </c>
      <c r="AY55" s="963">
        <v>0</v>
      </c>
      <c r="AZ55" s="788">
        <f t="shared" ref="AZ55:BB55" si="223">AZ7/1000/24/AZ$3</f>
        <v>0</v>
      </c>
      <c r="BA55" s="802">
        <f t="shared" si="223"/>
        <v>0</v>
      </c>
      <c r="BB55" s="802">
        <f t="shared" si="223"/>
        <v>0</v>
      </c>
      <c r="BC55" s="963">
        <v>0</v>
      </c>
      <c r="BD55" s="788">
        <f t="shared" ref="BD55:BJ55" si="224">BD7/1000/24/BD$3</f>
        <v>0</v>
      </c>
      <c r="BE55" s="909">
        <f t="shared" si="224"/>
        <v>0</v>
      </c>
      <c r="BF55" s="909">
        <f t="shared" si="224"/>
        <v>0</v>
      </c>
      <c r="BG55" s="2879">
        <f t="shared" si="224"/>
        <v>0</v>
      </c>
      <c r="BH55" s="2879">
        <f t="shared" si="224"/>
        <v>0</v>
      </c>
      <c r="BI55" s="802">
        <f t="shared" si="224"/>
        <v>0</v>
      </c>
      <c r="BJ55" s="802">
        <f t="shared" si="224"/>
        <v>0</v>
      </c>
    </row>
    <row r="56" spans="1:62" x14ac:dyDescent="0.25">
      <c r="A56" s="732"/>
      <c r="B56" s="138" t="s">
        <v>539</v>
      </c>
      <c r="C56" s="36" t="s">
        <v>424</v>
      </c>
      <c r="D56" s="770">
        <f t="shared" si="194"/>
        <v>0.36386362222222091</v>
      </c>
      <c r="E56" s="770">
        <f t="shared" si="194"/>
        <v>0.42739066801075221</v>
      </c>
      <c r="G56" s="2827">
        <v>1.2</v>
      </c>
      <c r="H56" s="700" t="s">
        <v>657</v>
      </c>
      <c r="I56" s="2874">
        <v>37.949164176857998</v>
      </c>
      <c r="J56" s="2875">
        <f t="shared" si="200"/>
        <v>30.201527777777773</v>
      </c>
      <c r="K56" s="2874">
        <v>39.279752567088799</v>
      </c>
      <c r="L56" s="2876">
        <f t="shared" si="200"/>
        <v>33.935349462365593</v>
      </c>
      <c r="M56" s="2877">
        <f t="shared" si="200"/>
        <v>38.62536483418841</v>
      </c>
      <c r="N56" s="2877">
        <f t="shared" ref="N56" si="225">N8/1000/24/N$3</f>
        <v>32.099043715846996</v>
      </c>
      <c r="O56" s="2874">
        <v>49.262366898148144</v>
      </c>
      <c r="P56" s="2875">
        <f t="shared" ref="P56:Q56" si="226">P8/1000/24/P$3</f>
        <v>45.004444444444438</v>
      </c>
      <c r="Q56" s="2878">
        <f t="shared" si="226"/>
        <v>42.132068811317993</v>
      </c>
      <c r="R56" s="2878">
        <f t="shared" si="202"/>
        <v>36.353571428571428</v>
      </c>
      <c r="S56" s="2874">
        <v>49.269618055555554</v>
      </c>
      <c r="T56" s="2876">
        <f t="shared" ref="T56:U56" si="227">T8/1000/24/T$3</f>
        <v>44.772311827956898</v>
      </c>
      <c r="U56" s="2877">
        <f t="shared" si="227"/>
        <v>43.945708373378359</v>
      </c>
      <c r="V56" s="2877">
        <f t="shared" si="203"/>
        <v>38.492759562841506</v>
      </c>
      <c r="W56" s="2874">
        <v>49.171306359686916</v>
      </c>
      <c r="X56" s="2876">
        <f t="shared" ref="X56:Z56" si="228">X8/1000/24/X$3</f>
        <v>48.111424731182908</v>
      </c>
      <c r="Y56" s="2877">
        <f t="shared" si="228"/>
        <v>45.004489664721923</v>
      </c>
      <c r="Z56" s="2877">
        <f t="shared" si="228"/>
        <v>40.441639433551209</v>
      </c>
      <c r="AA56" s="2874">
        <v>49.275079871325346</v>
      </c>
      <c r="AB56" s="2876">
        <f t="shared" ref="AB56" si="229">AB8/1000/24/AB$3</f>
        <v>46.597083333333259</v>
      </c>
      <c r="AC56" s="2878">
        <f t="shared" ref="AC56:AF56" si="230">AC8/1000/24/AC$3</f>
        <v>49.238272315350848</v>
      </c>
      <c r="AD56" s="2878">
        <f t="shared" si="230"/>
        <v>46.492481884057952</v>
      </c>
      <c r="AE56" s="2879">
        <f t="shared" si="230"/>
        <v>45.704586419902817</v>
      </c>
      <c r="AF56" s="2879">
        <f t="shared" si="230"/>
        <v>41.450728597449903</v>
      </c>
      <c r="AG56" s="963">
        <v>49.34375</v>
      </c>
      <c r="AH56" s="788">
        <f t="shared" ref="AH56:AJ56" si="231">AH8/1000/24/AH$3</f>
        <v>49.011424731182757</v>
      </c>
      <c r="AI56" s="802">
        <f t="shared" si="231"/>
        <v>46.231754975898198</v>
      </c>
      <c r="AJ56" s="802">
        <f t="shared" si="231"/>
        <v>42.545969626168215</v>
      </c>
      <c r="AK56" s="963">
        <v>49.336458333333333</v>
      </c>
      <c r="AL56" s="788">
        <f t="shared" ref="AL56:AN56" si="232">AL8/1000/24/AL$3</f>
        <v>48.459027777777777</v>
      </c>
      <c r="AM56" s="802">
        <f t="shared" si="232"/>
        <v>46.613480798533665</v>
      </c>
      <c r="AN56" s="802">
        <f t="shared" si="232"/>
        <v>43.272984972677591</v>
      </c>
      <c r="AO56" s="963">
        <v>49.34375</v>
      </c>
      <c r="AP56" s="788">
        <f t="shared" ref="AP56:AT56" si="233">AP8/1000/24/AP$3</f>
        <v>49.27728494623652</v>
      </c>
      <c r="AQ56" s="909">
        <f t="shared" si="233"/>
        <v>49.341372282608695</v>
      </c>
      <c r="AR56" s="909">
        <f t="shared" si="233"/>
        <v>48.920878623188379</v>
      </c>
      <c r="AS56" s="802">
        <f t="shared" si="233"/>
        <v>46.921256599426236</v>
      </c>
      <c r="AT56" s="802">
        <f t="shared" si="233"/>
        <v>43.949833333333316</v>
      </c>
      <c r="AU56" s="963">
        <v>49.34375</v>
      </c>
      <c r="AV56" s="788">
        <f t="shared" ref="AV56:AX56" si="234">AV8/1000/24/AV$3</f>
        <v>50.996236559139781</v>
      </c>
      <c r="AW56" s="802">
        <f t="shared" si="234"/>
        <v>47.166672597523579</v>
      </c>
      <c r="AX56" s="802">
        <f t="shared" si="234"/>
        <v>44.66368464052286</v>
      </c>
      <c r="AY56" s="963">
        <v>48.180735191993556</v>
      </c>
      <c r="AZ56" s="788">
        <f t="shared" ref="AZ56:BB56" si="235">AZ8/1000/24/AZ$3</f>
        <v>30.51681547619048</v>
      </c>
      <c r="BA56" s="802">
        <f t="shared" si="235"/>
        <v>47.251683832988128</v>
      </c>
      <c r="BB56" s="802">
        <f t="shared" si="235"/>
        <v>43.477719560878228</v>
      </c>
      <c r="BC56" s="963">
        <v>49.34375</v>
      </c>
      <c r="BD56" s="788">
        <f t="shared" ref="BD56:BJ56" si="236">BD8/1000/24/BD$3</f>
        <v>24.527956989247297</v>
      </c>
      <c r="BE56" s="909">
        <f t="shared" si="236"/>
        <v>48.981923170842443</v>
      </c>
      <c r="BF56" s="909">
        <f t="shared" si="236"/>
        <v>35.508009259259254</v>
      </c>
      <c r="BG56" s="2879">
        <f t="shared" si="236"/>
        <v>32.626534809757253</v>
      </c>
      <c r="BH56" s="2879">
        <f t="shared" si="236"/>
        <v>21.736744505494499</v>
      </c>
      <c r="BI56" s="802">
        <f t="shared" si="236"/>
        <v>47.429366164980912</v>
      </c>
      <c r="BJ56" s="802">
        <f t="shared" si="236"/>
        <v>41.868287671232864</v>
      </c>
    </row>
    <row r="57" spans="1:62" ht="15.75" thickBot="1" x14ac:dyDescent="0.3">
      <c r="A57" s="732"/>
      <c r="B57" s="139" t="s">
        <v>540</v>
      </c>
      <c r="C57" s="34" t="s">
        <v>424</v>
      </c>
      <c r="D57" s="770">
        <f t="shared" si="194"/>
        <v>1.416936111111049</v>
      </c>
      <c r="E57" s="770">
        <f t="shared" si="194"/>
        <v>2.3863646505376503</v>
      </c>
      <c r="G57" s="2827">
        <v>1.3</v>
      </c>
      <c r="H57" s="700" t="s">
        <v>530</v>
      </c>
      <c r="I57" s="2874">
        <v>4.5</v>
      </c>
      <c r="J57" s="2875">
        <f t="shared" si="200"/>
        <v>5.2494444444444444</v>
      </c>
      <c r="K57" s="2874">
        <v>4.5</v>
      </c>
      <c r="L57" s="2876">
        <f t="shared" si="200"/>
        <v>4.3506720430107526</v>
      </c>
      <c r="M57" s="2877">
        <f t="shared" si="200"/>
        <v>4.5</v>
      </c>
      <c r="N57" s="2877">
        <f t="shared" ref="N57" si="237">N9/1000/24/N$3</f>
        <v>4.7926912568306017</v>
      </c>
      <c r="O57" s="2874">
        <v>4.5</v>
      </c>
      <c r="P57" s="2875">
        <f t="shared" ref="P57:Q57" si="238">P9/1000/24/P$3</f>
        <v>4.7055555555555548</v>
      </c>
      <c r="Q57" s="2878">
        <f t="shared" si="238"/>
        <v>4.5</v>
      </c>
      <c r="R57" s="2878">
        <f t="shared" si="202"/>
        <v>4.7639652014652016</v>
      </c>
      <c r="S57" s="2874">
        <v>4.5</v>
      </c>
      <c r="T57" s="2876">
        <f t="shared" ref="T57:U57" si="239">T9/1000/24/T$3</f>
        <v>4.997983870967742</v>
      </c>
      <c r="U57" s="2877">
        <f t="shared" si="239"/>
        <v>4.5</v>
      </c>
      <c r="V57" s="2877">
        <f t="shared" si="203"/>
        <v>4.8234289617486343</v>
      </c>
      <c r="W57" s="2874">
        <v>4.5</v>
      </c>
      <c r="X57" s="2876">
        <f t="shared" ref="X57:Z57" si="240">X9/1000/24/X$3</f>
        <v>5.3302419354838708</v>
      </c>
      <c r="Y57" s="2877">
        <f t="shared" si="240"/>
        <v>4.5</v>
      </c>
      <c r="Z57" s="2877">
        <f t="shared" si="240"/>
        <v>4.926116557734205</v>
      </c>
      <c r="AA57" s="2874">
        <v>4.5</v>
      </c>
      <c r="AB57" s="2876">
        <f t="shared" ref="AB57" si="241">AB9/1000/24/AB$3</f>
        <v>5.4074999999999998</v>
      </c>
      <c r="AC57" s="2878">
        <f t="shared" ref="AC57:AF57" si="242">AC9/1000/24/AC$3</f>
        <v>4.5</v>
      </c>
      <c r="AD57" s="2878">
        <f t="shared" si="242"/>
        <v>5.2434782608695656</v>
      </c>
      <c r="AE57" s="2879">
        <f t="shared" si="242"/>
        <v>4.5</v>
      </c>
      <c r="AF57" s="2879">
        <f t="shared" si="242"/>
        <v>5.0050318761384327</v>
      </c>
      <c r="AG57" s="963">
        <v>4.5</v>
      </c>
      <c r="AH57" s="788">
        <f t="shared" ref="AH57:AJ57" si="243">AH9/1000/24/AH$3</f>
        <v>4.7772849462365592</v>
      </c>
      <c r="AI57" s="802">
        <f t="shared" si="243"/>
        <v>4.5</v>
      </c>
      <c r="AJ57" s="802">
        <f t="shared" si="243"/>
        <v>4.9720404984423672</v>
      </c>
      <c r="AK57" s="963">
        <v>4.5</v>
      </c>
      <c r="AL57" s="788">
        <f t="shared" ref="AL57:AN57" si="244">AL9/1000/24/AL$3</f>
        <v>3.9495833333333334</v>
      </c>
      <c r="AM57" s="802">
        <f t="shared" si="244"/>
        <v>4.5</v>
      </c>
      <c r="AN57" s="802">
        <f t="shared" si="244"/>
        <v>4.8463285519125678</v>
      </c>
      <c r="AO57" s="963">
        <v>4.5</v>
      </c>
      <c r="AP57" s="788">
        <f t="shared" ref="AP57:AT57" si="245">AP9/1000/24/AP$3</f>
        <v>4.1669354838709669</v>
      </c>
      <c r="AQ57" s="909">
        <f t="shared" si="245"/>
        <v>4.5</v>
      </c>
      <c r="AR57" s="909">
        <f t="shared" si="245"/>
        <v>4.3017210144927542</v>
      </c>
      <c r="AS57" s="802">
        <f t="shared" si="245"/>
        <v>4.5</v>
      </c>
      <c r="AT57" s="802">
        <f t="shared" si="245"/>
        <v>4.7697424242424242</v>
      </c>
      <c r="AU57" s="963">
        <v>4.5</v>
      </c>
      <c r="AV57" s="788">
        <f t="shared" ref="AV57:AX57" si="246">AV9/1000/24/AV$3</f>
        <v>4.3654569892473125</v>
      </c>
      <c r="AW57" s="802">
        <f t="shared" si="246"/>
        <v>4.5</v>
      </c>
      <c r="AX57" s="802">
        <f t="shared" si="246"/>
        <v>4.7287854030501082</v>
      </c>
      <c r="AY57" s="963">
        <v>4.5</v>
      </c>
      <c r="AZ57" s="788">
        <f t="shared" ref="AZ57:BB57" si="247">AZ9/1000/24/AZ$3</f>
        <v>4.2803571428571434</v>
      </c>
      <c r="BA57" s="802">
        <f t="shared" si="247"/>
        <v>4.5</v>
      </c>
      <c r="BB57" s="802">
        <f t="shared" si="247"/>
        <v>4.6911926147704595</v>
      </c>
      <c r="BC57" s="963">
        <v>4.5</v>
      </c>
      <c r="BD57" s="788">
        <f t="shared" ref="BD57:BJ57" si="248">BD9/1000/24/BD$3</f>
        <v>4.544354838709677</v>
      </c>
      <c r="BE57" s="909">
        <f t="shared" si="248"/>
        <v>4.5</v>
      </c>
      <c r="BF57" s="909">
        <f t="shared" si="248"/>
        <v>4.4006018518518513</v>
      </c>
      <c r="BG57" s="2879">
        <f t="shared" si="248"/>
        <v>2.9917582417582418</v>
      </c>
      <c r="BH57" s="2879">
        <f t="shared" si="248"/>
        <v>2.9501602564102565</v>
      </c>
      <c r="BI57" s="802">
        <f t="shared" si="248"/>
        <v>4.5</v>
      </c>
      <c r="BJ57" s="802">
        <f t="shared" si="248"/>
        <v>4.678721461187215</v>
      </c>
    </row>
    <row r="58" spans="1:62" ht="16.5" thickBot="1" x14ac:dyDescent="0.3">
      <c r="A58" s="149"/>
      <c r="B58" s="772" t="s">
        <v>541</v>
      </c>
      <c r="C58" s="773" t="s">
        <v>424</v>
      </c>
      <c r="D58" s="771">
        <f t="shared" si="194"/>
        <v>1.7807997333332697</v>
      </c>
      <c r="E58" s="771">
        <f t="shared" si="194"/>
        <v>2.8137553185484028</v>
      </c>
      <c r="G58" s="2827">
        <v>1.4</v>
      </c>
      <c r="H58" s="700" t="s">
        <v>531</v>
      </c>
      <c r="I58" s="2874">
        <v>85.705549955739997</v>
      </c>
      <c r="J58" s="2875">
        <f t="shared" si="200"/>
        <v>80.765277777777783</v>
      </c>
      <c r="K58" s="2874">
        <v>84.078762505437297</v>
      </c>
      <c r="L58" s="2876">
        <f t="shared" si="200"/>
        <v>82.51478494623656</v>
      </c>
      <c r="M58" s="2877">
        <f t="shared" si="200"/>
        <v>84.878821907225515</v>
      </c>
      <c r="N58" s="2877">
        <f t="shared" ref="N58" si="249">N10/1000/24/N$3</f>
        <v>81.654371584699462</v>
      </c>
      <c r="O58" s="2874">
        <v>104.17628177963454</v>
      </c>
      <c r="P58" s="2875">
        <f t="shared" ref="P58:Q58" si="250">P10/1000/24/P$3</f>
        <v>101.94444444444444</v>
      </c>
      <c r="Q58" s="2878">
        <f t="shared" si="250"/>
        <v>91.240621865162538</v>
      </c>
      <c r="R58" s="2878">
        <f t="shared" si="202"/>
        <v>88.343406593406598</v>
      </c>
      <c r="S58" s="2874">
        <v>104.26157187775394</v>
      </c>
      <c r="T58" s="2876">
        <f t="shared" ref="T58:U58" si="251">T10/1000/24/T$3</f>
        <v>100.11693548387096</v>
      </c>
      <c r="U58" s="2877">
        <f t="shared" si="251"/>
        <v>94.549223917542335</v>
      </c>
      <c r="V58" s="2877">
        <f t="shared" si="203"/>
        <v>91.335040983606561</v>
      </c>
      <c r="W58" s="2874">
        <v>105.12072668647886</v>
      </c>
      <c r="X58" s="2876">
        <f t="shared" ref="X58:Z58" si="252">X10/1000/24/X$3</f>
        <v>97.688172043010752</v>
      </c>
      <c r="Y58" s="2877">
        <f t="shared" si="252"/>
        <v>96.691162387065432</v>
      </c>
      <c r="Z58" s="2877">
        <f t="shared" si="252"/>
        <v>92.622276688453169</v>
      </c>
      <c r="AA58" s="2874">
        <v>105.53726000248452</v>
      </c>
      <c r="AB58" s="2876">
        <f t="shared" ref="AB58" si="253">AB10/1000/24/AB$3</f>
        <v>99.018055555555549</v>
      </c>
      <c r="AC58" s="2878">
        <f t="shared" ref="AC58:AF58" si="254">AC10/1000/24/AC$3</f>
        <v>104.96705495180166</v>
      </c>
      <c r="AD58" s="2878">
        <f t="shared" si="254"/>
        <v>98.940217391304344</v>
      </c>
      <c r="AE58" s="2879">
        <f t="shared" si="254"/>
        <v>98.141342324019362</v>
      </c>
      <c r="AF58" s="2879">
        <f t="shared" si="254"/>
        <v>93.670765027322403</v>
      </c>
      <c r="AG58" s="963">
        <v>105.28479557340543</v>
      </c>
      <c r="AH58" s="788">
        <f t="shared" ref="AH58:AJ58" si="255">AH10/1000/24/AH$3</f>
        <v>98.694892473118273</v>
      </c>
      <c r="AI58" s="802">
        <f t="shared" si="255"/>
        <v>99.176141626500524</v>
      </c>
      <c r="AJ58" s="802">
        <f t="shared" si="255"/>
        <v>94.398559190031165</v>
      </c>
      <c r="AK58" s="963">
        <v>105.47588154047654</v>
      </c>
      <c r="AL58" s="788">
        <f t="shared" ref="AL58:AN58" si="256">AL10/1000/24/AL$3</f>
        <v>96.15</v>
      </c>
      <c r="AM58" s="802">
        <f t="shared" si="256"/>
        <v>99.950699812645126</v>
      </c>
      <c r="AN58" s="802">
        <f t="shared" si="256"/>
        <v>94.613900273224047</v>
      </c>
      <c r="AO58" s="963">
        <v>105.28479557340543</v>
      </c>
      <c r="AP58" s="788">
        <f t="shared" ref="AP58:AT58" si="257">AP10/1000/24/AP$3</f>
        <v>98.924731182795696</v>
      </c>
      <c r="AQ58" s="909">
        <f t="shared" si="257"/>
        <v>105.34710621484166</v>
      </c>
      <c r="AR58" s="909">
        <f t="shared" si="257"/>
        <v>97.942481884057983</v>
      </c>
      <c r="AS58" s="802">
        <f t="shared" si="257"/>
        <v>100.55199788022173</v>
      </c>
      <c r="AT58" s="802">
        <f t="shared" si="257"/>
        <v>95.099848484848479</v>
      </c>
      <c r="AU58" s="963">
        <v>105.28479557340543</v>
      </c>
      <c r="AV58" s="788">
        <f t="shared" ref="AV58:AX58" si="258">AV10/1000/24/AV$3</f>
        <v>96.098118279569889</v>
      </c>
      <c r="AW58" s="802">
        <f t="shared" si="258"/>
        <v>101.03146431319134</v>
      </c>
      <c r="AX58" s="802">
        <f t="shared" si="258"/>
        <v>95.200980392156865</v>
      </c>
      <c r="AY58" s="963">
        <v>105.75607734310245</v>
      </c>
      <c r="AZ58" s="788">
        <f t="shared" ref="AZ58:BB58" si="259">AZ10/1000/24/AZ$3</f>
        <v>113.66815476190477</v>
      </c>
      <c r="BA58" s="802">
        <f t="shared" si="259"/>
        <v>101.42753965701621</v>
      </c>
      <c r="BB58" s="802">
        <f t="shared" si="259"/>
        <v>96.749126746506988</v>
      </c>
      <c r="BC58" s="963">
        <v>105.28479557340543</v>
      </c>
      <c r="BD58" s="788">
        <f t="shared" ref="BD58:BJ58" si="260">BD10/1000/24/BD$3</f>
        <v>122.63440860215053</v>
      </c>
      <c r="BE58" s="909">
        <f t="shared" si="260"/>
        <v>105.43141656842229</v>
      </c>
      <c r="BF58" s="909">
        <f t="shared" si="260"/>
        <v>110.70462962962962</v>
      </c>
      <c r="BG58" s="2879">
        <f t="shared" si="260"/>
        <v>70.069539307327332</v>
      </c>
      <c r="BH58" s="2879">
        <f t="shared" si="260"/>
        <v>75.632326007326014</v>
      </c>
      <c r="BI58" s="802">
        <f t="shared" si="260"/>
        <v>101.75514221429856</v>
      </c>
      <c r="BJ58" s="802">
        <f t="shared" si="260"/>
        <v>98.947602739726022</v>
      </c>
    </row>
    <row r="59" spans="1:62" ht="15.75" x14ac:dyDescent="0.25">
      <c r="A59" s="149"/>
      <c r="B59" s="774" t="s">
        <v>140</v>
      </c>
      <c r="C59" s="92" t="s">
        <v>424</v>
      </c>
      <c r="D59" s="771">
        <f t="shared" si="194"/>
        <v>122.30793637777781</v>
      </c>
      <c r="E59" s="771">
        <f t="shared" si="194"/>
        <v>125.68619091801072</v>
      </c>
      <c r="G59" s="2827">
        <v>1.5</v>
      </c>
      <c r="H59" s="700" t="s">
        <v>532</v>
      </c>
      <c r="I59" s="2874">
        <v>0.75</v>
      </c>
      <c r="J59" s="2875">
        <f t="shared" si="200"/>
        <v>0.6239027777777777</v>
      </c>
      <c r="K59" s="2874">
        <v>0.75</v>
      </c>
      <c r="L59" s="2876">
        <f t="shared" si="200"/>
        <v>0.74346774193548382</v>
      </c>
      <c r="M59" s="2877">
        <f t="shared" si="200"/>
        <v>0.75</v>
      </c>
      <c r="N59" s="2877">
        <f t="shared" ref="N59" si="261">N11/1000/24/N$3</f>
        <v>0.68466530054644814</v>
      </c>
      <c r="O59" s="2874">
        <v>0.75</v>
      </c>
      <c r="P59" s="2875">
        <f t="shared" ref="P59:Q59" si="262">P11/1000/24/P$3</f>
        <v>0.78216666666666756</v>
      </c>
      <c r="Q59" s="2878">
        <f t="shared" si="262"/>
        <v>0.75</v>
      </c>
      <c r="R59" s="2878">
        <f t="shared" si="202"/>
        <v>0.71680860805860847</v>
      </c>
      <c r="S59" s="2874">
        <v>0.75</v>
      </c>
      <c r="T59" s="2876">
        <f t="shared" ref="T59:U59" si="263">T11/1000/24/T$3</f>
        <v>0.77291666666666692</v>
      </c>
      <c r="U59" s="2877">
        <f t="shared" si="263"/>
        <v>0.75</v>
      </c>
      <c r="V59" s="2877">
        <f t="shared" si="203"/>
        <v>0.73106557377049208</v>
      </c>
      <c r="W59" s="2874">
        <v>0.75</v>
      </c>
      <c r="X59" s="2876">
        <f t="shared" ref="X59:Z59" si="264">X11/1000/24/X$3</f>
        <v>0.7550537634408605</v>
      </c>
      <c r="Y59" s="2877">
        <f t="shared" si="264"/>
        <v>0.75</v>
      </c>
      <c r="Z59" s="2877">
        <f t="shared" si="264"/>
        <v>0.73592592592592621</v>
      </c>
      <c r="AA59" s="2874">
        <v>0.75</v>
      </c>
      <c r="AB59" s="2876">
        <f t="shared" ref="AB59" si="265">AB11/1000/24/AB$3</f>
        <v>0.74405555555555325</v>
      </c>
      <c r="AC59" s="2878">
        <f t="shared" ref="AC59:AF59" si="266">AC11/1000/24/AC$3</f>
        <v>0.75</v>
      </c>
      <c r="AD59" s="2878">
        <f t="shared" si="266"/>
        <v>0.75748641304347775</v>
      </c>
      <c r="AE59" s="2879">
        <f t="shared" si="266"/>
        <v>0.75</v>
      </c>
      <c r="AF59" s="2879">
        <f t="shared" si="266"/>
        <v>0.73725865209471741</v>
      </c>
      <c r="AG59" s="963">
        <v>0.75</v>
      </c>
      <c r="AH59" s="788">
        <f t="shared" ref="AH59:AJ59" si="267">AH11/1000/24/AH$3</f>
        <v>0.74270161290322656</v>
      </c>
      <c r="AI59" s="802">
        <f t="shared" si="267"/>
        <v>0.75</v>
      </c>
      <c r="AJ59" s="802">
        <f t="shared" si="267"/>
        <v>0.73804711838006232</v>
      </c>
      <c r="AK59" s="963">
        <v>0.75</v>
      </c>
      <c r="AL59" s="788">
        <f t="shared" ref="AL59:AN59" si="268">AL11/1000/24/AL$3</f>
        <v>0.74155555555555563</v>
      </c>
      <c r="AM59" s="802">
        <f t="shared" si="268"/>
        <v>0.75</v>
      </c>
      <c r="AN59" s="802">
        <f t="shared" si="268"/>
        <v>0.73847848360655732</v>
      </c>
      <c r="AO59" s="963">
        <v>0.75</v>
      </c>
      <c r="AP59" s="788">
        <f t="shared" ref="AP59:AT59" si="269">AP11/1000/24/AP$3</f>
        <v>0.73440860215053771</v>
      </c>
      <c r="AQ59" s="909">
        <f t="shared" si="269"/>
        <v>0.75</v>
      </c>
      <c r="AR59" s="909">
        <f t="shared" si="269"/>
        <v>0.73953351449275406</v>
      </c>
      <c r="AS59" s="802">
        <f t="shared" si="269"/>
        <v>0.75</v>
      </c>
      <c r="AT59" s="802">
        <f t="shared" si="269"/>
        <v>0.73801969696969705</v>
      </c>
      <c r="AU59" s="963">
        <v>0.75</v>
      </c>
      <c r="AV59" s="788">
        <f t="shared" ref="AV59:AX59" si="270">AV11/1000/24/AV$3</f>
        <v>0.7374327956989255</v>
      </c>
      <c r="AW59" s="802">
        <f t="shared" si="270"/>
        <v>0.75</v>
      </c>
      <c r="AX59" s="802">
        <f t="shared" si="270"/>
        <v>0.73796023965141622</v>
      </c>
      <c r="AY59" s="963">
        <v>0.75</v>
      </c>
      <c r="AZ59" s="788">
        <f t="shared" ref="AZ59:BB59" si="271">AZ11/1000/24/AZ$3</f>
        <v>0.73623511904761774</v>
      </c>
      <c r="BA59" s="802">
        <f t="shared" si="271"/>
        <v>0.75</v>
      </c>
      <c r="BB59" s="802">
        <f t="shared" si="271"/>
        <v>0.73781561876247503</v>
      </c>
      <c r="BC59" s="963">
        <v>0.75</v>
      </c>
      <c r="BD59" s="788">
        <f t="shared" ref="BD59:BJ59" si="272">BD11/1000/24/BD$3</f>
        <v>0.72884408602150441</v>
      </c>
      <c r="BE59" s="909">
        <f t="shared" si="272"/>
        <v>0.75</v>
      </c>
      <c r="BF59" s="909">
        <f t="shared" si="272"/>
        <v>0.73410185185185151</v>
      </c>
      <c r="BG59" s="2879">
        <f t="shared" si="272"/>
        <v>0.49862637362637363</v>
      </c>
      <c r="BH59" s="2879">
        <f t="shared" si="272"/>
        <v>0.48716117216117172</v>
      </c>
      <c r="BI59" s="802">
        <f t="shared" si="272"/>
        <v>0.75</v>
      </c>
      <c r="BJ59" s="802">
        <f t="shared" si="272"/>
        <v>0.73705365296803638</v>
      </c>
    </row>
    <row r="60" spans="1:62" ht="15.75" x14ac:dyDescent="0.25">
      <c r="A60" s="732"/>
      <c r="B60" s="44" t="s">
        <v>899</v>
      </c>
      <c r="C60" s="33" t="s">
        <v>424</v>
      </c>
      <c r="D60" s="770">
        <f t="shared" si="194"/>
        <v>1.5184583333333332</v>
      </c>
      <c r="E60" s="770">
        <f t="shared" si="194"/>
        <v>1.5746408602150537</v>
      </c>
      <c r="G60" s="2830">
        <v>2</v>
      </c>
      <c r="H60" s="2448" t="s">
        <v>915</v>
      </c>
      <c r="I60" s="2869">
        <f>+I61+I62</f>
        <v>5.1000000000000005</v>
      </c>
      <c r="J60" s="2869">
        <f t="shared" si="200"/>
        <v>2.5300791666666664</v>
      </c>
      <c r="K60" s="2869">
        <v>5.0999999999999996</v>
      </c>
      <c r="L60" s="2870">
        <f t="shared" si="200"/>
        <v>2.6143280824717743</v>
      </c>
      <c r="M60" s="2871">
        <f t="shared" si="200"/>
        <v>5.0999999999999996</v>
      </c>
      <c r="N60" s="2871">
        <f t="shared" ref="N60" si="273">N12/1000/24/N$3</f>
        <v>2.5728941894528692</v>
      </c>
      <c r="O60" s="2869">
        <f>+O61+O62</f>
        <v>5.1000000000000005</v>
      </c>
      <c r="P60" s="2869">
        <f t="shared" ref="P60:Q60" si="274">P12/1000/24/P$3</f>
        <v>3.3542035462164228</v>
      </c>
      <c r="Q60" s="2872">
        <f t="shared" si="274"/>
        <v>5.0999999999999996</v>
      </c>
      <c r="R60" s="2872">
        <f t="shared" si="202"/>
        <v>2.8304687026716233</v>
      </c>
      <c r="S60" s="2880">
        <f>+S61+S62</f>
        <v>5.1000000000000005</v>
      </c>
      <c r="T60" s="2870">
        <f t="shared" ref="T60:U60" si="275">T12/1000/24/T$3</f>
        <v>3.5122237833564891</v>
      </c>
      <c r="U60" s="2871">
        <f t="shared" si="275"/>
        <v>5.0999999999999996</v>
      </c>
      <c r="V60" s="2871">
        <f t="shared" si="203"/>
        <v>3.0037015510423672</v>
      </c>
      <c r="W60" s="2880">
        <f>+W61+W62</f>
        <v>5.1000000000000005</v>
      </c>
      <c r="X60" s="2870">
        <f t="shared" ref="X60:Z60" si="276">X12/1000/24/X$3</f>
        <v>2.9011240317206104</v>
      </c>
      <c r="Y60" s="2871">
        <f t="shared" si="276"/>
        <v>5.1000000000000005</v>
      </c>
      <c r="Z60" s="2871">
        <f t="shared" si="276"/>
        <v>2.9829178706569133</v>
      </c>
      <c r="AA60" s="2880">
        <f>+AA61+AA62</f>
        <v>5.1000000000000005</v>
      </c>
      <c r="AB60" s="2870">
        <f t="shared" ref="AB60" si="277">AB12/1000/24/AB$3</f>
        <v>2.3751173027775918</v>
      </c>
      <c r="AC60" s="2872">
        <f t="shared" ref="AC60:AF60" si="278">AC12/1000/24/AC$3</f>
        <v>5.0999999999999996</v>
      </c>
      <c r="AD60" s="2872">
        <f t="shared" si="278"/>
        <v>2.9355141451164983</v>
      </c>
      <c r="AE60" s="2873">
        <f t="shared" si="278"/>
        <v>5.1000000000000005</v>
      </c>
      <c r="AF60" s="2873">
        <f t="shared" si="278"/>
        <v>2.8832784332996471</v>
      </c>
      <c r="AG60" s="965">
        <f>+AG61+AG62</f>
        <v>5.1000000000000005</v>
      </c>
      <c r="AH60" s="786">
        <f t="shared" ref="AH60:AJ60" si="279">AH12/1000/24/AH$3</f>
        <v>1.8494265107526879</v>
      </c>
      <c r="AI60" s="801">
        <f t="shared" si="279"/>
        <v>5.0999999999999996</v>
      </c>
      <c r="AJ60" s="801">
        <f t="shared" si="279"/>
        <v>2.7335148370428453</v>
      </c>
      <c r="AK60" s="965">
        <f>+AK61+AK62</f>
        <v>5.1000000000000005</v>
      </c>
      <c r="AL60" s="786">
        <f t="shared" ref="AL60:AN60" si="280">AL12/1000/24/AL$3</f>
        <v>2.3953079518519256</v>
      </c>
      <c r="AM60" s="801">
        <f t="shared" si="280"/>
        <v>5.0999999999999996</v>
      </c>
      <c r="AN60" s="801">
        <f t="shared" si="280"/>
        <v>2.6919320232898634</v>
      </c>
      <c r="AO60" s="965">
        <f>+AO61+AO62</f>
        <v>5.1000000000000005</v>
      </c>
      <c r="AP60" s="786">
        <f t="shared" ref="AP60:AT60" si="281">AP12/1000/24/AP$3</f>
        <v>2.5851166142471533</v>
      </c>
      <c r="AQ60" s="908">
        <f t="shared" si="281"/>
        <v>5.0999999999999996</v>
      </c>
      <c r="AR60" s="908">
        <f t="shared" si="281"/>
        <v>2.2753269068538353</v>
      </c>
      <c r="AS60" s="801">
        <f t="shared" si="281"/>
        <v>5.0999999999999996</v>
      </c>
      <c r="AT60" s="801">
        <f t="shared" si="281"/>
        <v>2.6798910135432301</v>
      </c>
      <c r="AU60" s="965">
        <f>+AU61+AU62</f>
        <v>5.1000000000000005</v>
      </c>
      <c r="AV60" s="786">
        <f t="shared" ref="AV60:AX60" si="282">AV12/1000/24/AV$3</f>
        <v>3.1999496370967804</v>
      </c>
      <c r="AW60" s="801">
        <f t="shared" si="282"/>
        <v>5.1000000000000005</v>
      </c>
      <c r="AX60" s="801">
        <f t="shared" si="282"/>
        <v>2.7325766910927736</v>
      </c>
      <c r="AY60" s="965">
        <f>+AY61+AY62</f>
        <v>5.1000000000000005</v>
      </c>
      <c r="AZ60" s="786">
        <f t="shared" ref="AZ60:BB60" si="283">AZ12/1000/24/AZ$3</f>
        <v>3.2332604004514875</v>
      </c>
      <c r="BA60" s="801">
        <f t="shared" si="283"/>
        <v>5.0999999999999996</v>
      </c>
      <c r="BB60" s="801">
        <f t="shared" si="283"/>
        <v>2.7745501757096713</v>
      </c>
      <c r="BC60" s="965">
        <f>+BC61+BC62</f>
        <v>5.1000000000000005</v>
      </c>
      <c r="BD60" s="786">
        <f t="shared" ref="BD60:BJ60" si="284">BD12/1000/24/BD$3</f>
        <v>2.5596509525862063</v>
      </c>
      <c r="BE60" s="908">
        <f t="shared" si="284"/>
        <v>5.0999999999999996</v>
      </c>
      <c r="BF60" s="908">
        <f t="shared" si="284"/>
        <v>2.9897656610312691</v>
      </c>
      <c r="BG60" s="2873">
        <f t="shared" si="284"/>
        <v>3.3906593406593406</v>
      </c>
      <c r="BH60" s="2873">
        <f t="shared" si="284"/>
        <v>1.9144400495768492</v>
      </c>
      <c r="BI60" s="801">
        <f t="shared" si="284"/>
        <v>5.0999999999999996</v>
      </c>
      <c r="BJ60" s="801">
        <f t="shared" si="284"/>
        <v>2.7562984608690484</v>
      </c>
    </row>
    <row r="61" spans="1:62" x14ac:dyDescent="0.25">
      <c r="A61" s="732"/>
      <c r="B61" s="44" t="s">
        <v>891</v>
      </c>
      <c r="C61" s="33" t="s">
        <v>424</v>
      </c>
      <c r="D61" s="770">
        <f t="shared" si="194"/>
        <v>7.0703194444444506</v>
      </c>
      <c r="E61" s="770">
        <f t="shared" si="194"/>
        <v>6.5758870967741947</v>
      </c>
      <c r="G61" s="2827">
        <v>2.1</v>
      </c>
      <c r="H61" s="700" t="s">
        <v>539</v>
      </c>
      <c r="I61" s="2875">
        <v>0.7</v>
      </c>
      <c r="J61" s="2875">
        <f t="shared" si="200"/>
        <v>0.19695833333333335</v>
      </c>
      <c r="K61" s="2875">
        <v>0.7</v>
      </c>
      <c r="L61" s="2876">
        <f t="shared" si="200"/>
        <v>0.25222324376209676</v>
      </c>
      <c r="M61" s="2877">
        <f t="shared" si="200"/>
        <v>0.7</v>
      </c>
      <c r="N61" s="2877">
        <f t="shared" ref="N61" si="285">N13/1000/24/N$3</f>
        <v>0.22504377961680327</v>
      </c>
      <c r="O61" s="2875">
        <v>0.7</v>
      </c>
      <c r="P61" s="2875">
        <f t="shared" ref="P61:Q61" si="286">P13/1000/24/P$3</f>
        <v>0.30896882399424214</v>
      </c>
      <c r="Q61" s="2878">
        <f t="shared" si="286"/>
        <v>0.7</v>
      </c>
      <c r="R61" s="2878">
        <f t="shared" si="202"/>
        <v>0.25271137666431059</v>
      </c>
      <c r="S61" s="2874">
        <v>0.7</v>
      </c>
      <c r="T61" s="2876">
        <f t="shared" ref="T61:U61" si="287">T13/1000/24/T$3</f>
        <v>0.23673856830274545</v>
      </c>
      <c r="U61" s="2877">
        <f t="shared" si="287"/>
        <v>0.7</v>
      </c>
      <c r="V61" s="2877">
        <f t="shared" si="203"/>
        <v>0.24865271224456864</v>
      </c>
      <c r="W61" s="2874">
        <v>0.7</v>
      </c>
      <c r="X61" s="2876">
        <f t="shared" ref="X61:Z61" si="288">X13/1000/24/X$3</f>
        <v>0.31181892419354823</v>
      </c>
      <c r="Y61" s="2877">
        <f t="shared" si="288"/>
        <v>0.70000000000000007</v>
      </c>
      <c r="Z61" s="2877">
        <f t="shared" si="288"/>
        <v>0.2614510950577606</v>
      </c>
      <c r="AA61" s="2874">
        <v>0.7</v>
      </c>
      <c r="AB61" s="2876">
        <f t="shared" ref="AB61" si="289">AB13/1000/24/AB$3</f>
        <v>6.5631191666667282E-2</v>
      </c>
      <c r="AC61" s="2878">
        <f t="shared" ref="AC61:AF61" si="290">AC13/1000/24/AC$3</f>
        <v>0.7</v>
      </c>
      <c r="AD61" s="2878">
        <f t="shared" si="290"/>
        <v>0.20624150018896872</v>
      </c>
      <c r="AE61" s="2879">
        <f t="shared" si="290"/>
        <v>0.7</v>
      </c>
      <c r="AF61" s="2879">
        <f t="shared" si="290"/>
        <v>0.22934947155102398</v>
      </c>
      <c r="AG61" s="963">
        <v>0.7</v>
      </c>
      <c r="AH61" s="788">
        <f t="shared" ref="AH61:AJ61" si="291">AH13/1000/24/AH$3</f>
        <v>0.31760159139785643</v>
      </c>
      <c r="AI61" s="802">
        <f t="shared" si="291"/>
        <v>0.7</v>
      </c>
      <c r="AJ61" s="802">
        <f t="shared" si="291"/>
        <v>0.24213365713631277</v>
      </c>
      <c r="AK61" s="963">
        <v>0.7</v>
      </c>
      <c r="AL61" s="788">
        <f t="shared" ref="AL61:AN61" si="292">AL13/1000/24/AL$3</f>
        <v>0.26064601666665699</v>
      </c>
      <c r="AM61" s="802">
        <f t="shared" si="292"/>
        <v>0.7</v>
      </c>
      <c r="AN61" s="802">
        <f t="shared" si="292"/>
        <v>0.24440976691463376</v>
      </c>
      <c r="AO61" s="963">
        <v>0.7</v>
      </c>
      <c r="AP61" s="788">
        <f t="shared" ref="AP61:AT61" si="293">AP13/1000/24/AP$3</f>
        <v>0.24804806586021672</v>
      </c>
      <c r="AQ61" s="909">
        <f t="shared" si="293"/>
        <v>0.7</v>
      </c>
      <c r="AR61" s="909">
        <f t="shared" si="293"/>
        <v>0.27559260733695629</v>
      </c>
      <c r="AS61" s="802">
        <f t="shared" si="293"/>
        <v>0.7</v>
      </c>
      <c r="AT61" s="802">
        <f t="shared" si="293"/>
        <v>0.24481990243213581</v>
      </c>
      <c r="AU61" s="963">
        <v>0.7</v>
      </c>
      <c r="AV61" s="788">
        <f t="shared" ref="AV61:AX61" si="294">AV13/1000/24/AV$3</f>
        <v>0.29296173387097368</v>
      </c>
      <c r="AW61" s="802">
        <f t="shared" si="294"/>
        <v>0.70000000000000007</v>
      </c>
      <c r="AX61" s="802">
        <f t="shared" si="294"/>
        <v>0.24969701607463249</v>
      </c>
      <c r="AY61" s="963">
        <v>0.7</v>
      </c>
      <c r="AZ61" s="788">
        <f t="shared" ref="AZ61:BB61" si="295">AZ13/1000/24/AZ$3</f>
        <v>0.45053487961822547</v>
      </c>
      <c r="BA61" s="802">
        <f t="shared" si="295"/>
        <v>0.7</v>
      </c>
      <c r="BB61" s="802">
        <f t="shared" si="295"/>
        <v>0.26653372319804747</v>
      </c>
      <c r="BC61" s="963">
        <v>0.7</v>
      </c>
      <c r="BD61" s="788">
        <f t="shared" ref="BD61:BJ61" si="296">BD13/1000/24/BD$3</f>
        <v>0.38151788807007725</v>
      </c>
      <c r="BE61" s="909">
        <f t="shared" si="296"/>
        <v>0.7</v>
      </c>
      <c r="BF61" s="909">
        <f t="shared" si="296"/>
        <v>0.37248716566092105</v>
      </c>
      <c r="BG61" s="2879">
        <f t="shared" si="296"/>
        <v>0.4653846153846154</v>
      </c>
      <c r="BH61" s="2879">
        <f t="shared" si="296"/>
        <v>0.24918076615195209</v>
      </c>
      <c r="BI61" s="802">
        <f t="shared" si="296"/>
        <v>0.7</v>
      </c>
      <c r="BJ61" s="802">
        <f t="shared" si="296"/>
        <v>0.27629950158443906</v>
      </c>
    </row>
    <row r="62" spans="1:62" x14ac:dyDescent="0.25">
      <c r="A62" s="732"/>
      <c r="B62" s="44" t="s">
        <v>731</v>
      </c>
      <c r="C62" s="33" t="s">
        <v>424</v>
      </c>
      <c r="D62" s="770">
        <f t="shared" si="194"/>
        <v>2.1610277777777771</v>
      </c>
      <c r="E62" s="770">
        <f t="shared" si="194"/>
        <v>2.0229032258064517</v>
      </c>
      <c r="G62" s="2827">
        <v>2.2000000000000002</v>
      </c>
      <c r="H62" s="700" t="s">
        <v>540</v>
      </c>
      <c r="I62" s="2875">
        <v>4.4000000000000004</v>
      </c>
      <c r="J62" s="2875">
        <f t="shared" si="200"/>
        <v>2.3331208333333331</v>
      </c>
      <c r="K62" s="2875">
        <v>4.4000000000000004</v>
      </c>
      <c r="L62" s="2876">
        <f t="shared" si="200"/>
        <v>2.3621048387096777</v>
      </c>
      <c r="M62" s="2877">
        <f t="shared" si="200"/>
        <v>4.4000000000000004</v>
      </c>
      <c r="N62" s="2877">
        <f t="shared" ref="N62" si="297">N14/1000/24/N$3</f>
        <v>2.3478504098360657</v>
      </c>
      <c r="O62" s="2875">
        <v>4.4000000000000004</v>
      </c>
      <c r="P62" s="2875">
        <f t="shared" ref="P62:Q62" si="298">P14/1000/24/P$3</f>
        <v>3.0452347222221814</v>
      </c>
      <c r="Q62" s="2878">
        <f t="shared" si="298"/>
        <v>4.4000000000000004</v>
      </c>
      <c r="R62" s="2878">
        <f t="shared" si="202"/>
        <v>2.5777573260073123</v>
      </c>
      <c r="S62" s="2874">
        <v>4.4000000000000004</v>
      </c>
      <c r="T62" s="2876">
        <f t="shared" ref="T62:U62" si="299">T14/1000/24/T$3</f>
        <v>3.2754852150537439</v>
      </c>
      <c r="U62" s="2877">
        <f t="shared" si="299"/>
        <v>4.4000000000000004</v>
      </c>
      <c r="V62" s="2877">
        <f t="shared" si="203"/>
        <v>2.7550488387977987</v>
      </c>
      <c r="W62" s="2874">
        <v>4.4000000000000004</v>
      </c>
      <c r="X62" s="2876">
        <f t="shared" ref="X62:Z62" si="300">X14/1000/24/X$3</f>
        <v>2.5893051075270623</v>
      </c>
      <c r="Y62" s="2877">
        <f t="shared" si="300"/>
        <v>4.3999999999999995</v>
      </c>
      <c r="Z62" s="2877">
        <f t="shared" si="300"/>
        <v>2.7214667755991528</v>
      </c>
      <c r="AA62" s="2874">
        <v>4.4000000000000004</v>
      </c>
      <c r="AB62" s="2876">
        <f t="shared" ref="AB62" si="301">AB14/1000/24/AB$3</f>
        <v>2.3094861111109251</v>
      </c>
      <c r="AC62" s="2878">
        <f t="shared" ref="AC62:AF62" si="302">AC14/1000/24/AC$3</f>
        <v>4.4000000000000004</v>
      </c>
      <c r="AD62" s="2878">
        <f t="shared" si="302"/>
        <v>2.7292726449275295</v>
      </c>
      <c r="AE62" s="2879">
        <f t="shared" si="302"/>
        <v>4.3999999999999995</v>
      </c>
      <c r="AF62" s="2879">
        <f t="shared" si="302"/>
        <v>2.6539289617486235</v>
      </c>
      <c r="AG62" s="963">
        <v>4.4000000000000004</v>
      </c>
      <c r="AH62" s="788">
        <f t="shared" ref="AH62:AJ62" si="303">AH14/1000/24/AH$3</f>
        <v>1.5318249193548314</v>
      </c>
      <c r="AI62" s="802">
        <f t="shared" si="303"/>
        <v>4.4000000000000004</v>
      </c>
      <c r="AJ62" s="802">
        <f t="shared" si="303"/>
        <v>2.4913811799065324</v>
      </c>
      <c r="AK62" s="963">
        <v>4.4000000000000004</v>
      </c>
      <c r="AL62" s="788">
        <f t="shared" ref="AL62:AN62" si="304">AL14/1000/24/AL$3</f>
        <v>2.1346619351852687</v>
      </c>
      <c r="AM62" s="802">
        <f t="shared" si="304"/>
        <v>4.4000000000000004</v>
      </c>
      <c r="AN62" s="802">
        <f t="shared" si="304"/>
        <v>2.4475222563752292</v>
      </c>
      <c r="AO62" s="963">
        <v>4.4000000000000004</v>
      </c>
      <c r="AP62" s="788">
        <f t="shared" ref="AP62:AT62" si="305">AP14/1000/24/AP$3</f>
        <v>2.3370685483869367</v>
      </c>
      <c r="AQ62" s="909">
        <f t="shared" si="305"/>
        <v>4.4000000000000004</v>
      </c>
      <c r="AR62" s="909">
        <f t="shared" si="305"/>
        <v>1.999734299516879</v>
      </c>
      <c r="AS62" s="802">
        <f t="shared" si="305"/>
        <v>4.4000000000000004</v>
      </c>
      <c r="AT62" s="802">
        <f t="shared" si="305"/>
        <v>2.4350711111110943</v>
      </c>
      <c r="AU62" s="963">
        <v>4.4000000000000004</v>
      </c>
      <c r="AV62" s="788">
        <f t="shared" ref="AV62:AX62" si="306">AV14/1000/24/AV$3</f>
        <v>2.9069879032258066</v>
      </c>
      <c r="AW62" s="802">
        <f t="shared" si="306"/>
        <v>4.3999999999999995</v>
      </c>
      <c r="AX62" s="802">
        <f t="shared" si="306"/>
        <v>2.4828796750181406</v>
      </c>
      <c r="AY62" s="963">
        <v>4.4000000000000004</v>
      </c>
      <c r="AZ62" s="788">
        <f t="shared" ref="AZ62:BB62" si="307">AZ14/1000/24/AZ$3</f>
        <v>2.7827255208332624</v>
      </c>
      <c r="BA62" s="802">
        <f t="shared" si="307"/>
        <v>4.4000000000000004</v>
      </c>
      <c r="BB62" s="802">
        <f t="shared" si="307"/>
        <v>2.5080164525116238</v>
      </c>
      <c r="BC62" s="963">
        <v>4.4000000000000004</v>
      </c>
      <c r="BD62" s="788">
        <f t="shared" ref="BD62:BJ62" si="308">BD14/1000/24/BD$3</f>
        <v>2.1781330645161292</v>
      </c>
      <c r="BE62" s="909">
        <f t="shared" si="308"/>
        <v>4.4000000000000004</v>
      </c>
      <c r="BF62" s="909">
        <f t="shared" si="308"/>
        <v>2.6172784953703485</v>
      </c>
      <c r="BG62" s="2879">
        <f t="shared" si="308"/>
        <v>2.9252747252747251</v>
      </c>
      <c r="BH62" s="2879">
        <f t="shared" si="308"/>
        <v>1.6652592834248976</v>
      </c>
      <c r="BI62" s="802">
        <f t="shared" si="308"/>
        <v>4.4000000000000004</v>
      </c>
      <c r="BJ62" s="802">
        <f t="shared" si="308"/>
        <v>2.4799989592846092</v>
      </c>
    </row>
    <row r="63" spans="1:62" ht="15.75" x14ac:dyDescent="0.25">
      <c r="A63" s="732"/>
      <c r="B63" s="44" t="s">
        <v>534</v>
      </c>
      <c r="C63" s="33" t="s">
        <v>424</v>
      </c>
      <c r="D63" s="770">
        <f t="shared" si="194"/>
        <v>11.048583333333307</v>
      </c>
      <c r="E63" s="770">
        <f t="shared" si="194"/>
        <v>10.777446236559159</v>
      </c>
      <c r="G63" s="2830">
        <v>3</v>
      </c>
      <c r="H63" s="2448" t="s">
        <v>916</v>
      </c>
      <c r="I63" s="2869">
        <f>+I54-I60</f>
        <v>123.80471413259801</v>
      </c>
      <c r="J63" s="2869">
        <f t="shared" si="200"/>
        <v>114.31007361111111</v>
      </c>
      <c r="K63" s="2869">
        <v>123.508515072526</v>
      </c>
      <c r="L63" s="2870">
        <f t="shared" si="200"/>
        <v>118.92994611107662</v>
      </c>
      <c r="M63" s="2871">
        <f t="shared" si="200"/>
        <v>123.65418674141394</v>
      </c>
      <c r="N63" s="2871">
        <f t="shared" ref="N63" si="309">N15/1000/24/N$3</f>
        <v>116.65787766847063</v>
      </c>
      <c r="O63" s="2869">
        <f>+O54-O60</f>
        <v>153.58864867778269</v>
      </c>
      <c r="P63" s="2869">
        <f t="shared" ref="P63:Q63" si="310">P15/1000/24/P$3</f>
        <v>149.08240756489471</v>
      </c>
      <c r="Q63" s="2872">
        <f t="shared" si="310"/>
        <v>133.52269067648052</v>
      </c>
      <c r="R63" s="2872">
        <f t="shared" si="202"/>
        <v>127.3472831288302</v>
      </c>
      <c r="S63" s="2869">
        <f>+S54-S60</f>
        <v>153.6811899333095</v>
      </c>
      <c r="T63" s="2870">
        <f t="shared" ref="T63:U63" si="311">T15/1000/24/T$3</f>
        <v>147.14792406610579</v>
      </c>
      <c r="U63" s="2871">
        <f t="shared" si="311"/>
        <v>138.64493229092068</v>
      </c>
      <c r="V63" s="2871">
        <f t="shared" si="203"/>
        <v>132.37859353092483</v>
      </c>
      <c r="W63" s="2869">
        <f>+W54-W60</f>
        <v>154.44203304616579</v>
      </c>
      <c r="X63" s="2870">
        <f t="shared" ref="X63:Z63" si="312">X15/1000/24/X$3</f>
        <v>148.98376844139781</v>
      </c>
      <c r="Y63" s="2871">
        <f t="shared" si="312"/>
        <v>141.84565205178734</v>
      </c>
      <c r="Z63" s="2871">
        <f t="shared" si="312"/>
        <v>135.74304073500761</v>
      </c>
      <c r="AA63" s="2869">
        <f>+AA54-AA60</f>
        <v>154.96233987380987</v>
      </c>
      <c r="AB63" s="2870">
        <f t="shared" ref="AB63" si="313">AB15/1000/24/AB$3</f>
        <v>149.39157714166677</v>
      </c>
      <c r="AC63" s="2872">
        <f t="shared" ref="AC63:AF63" si="314">AC15/1000/24/AC$3</f>
        <v>154.35532726715249</v>
      </c>
      <c r="AD63" s="2872">
        <f t="shared" si="314"/>
        <v>148.49814980415888</v>
      </c>
      <c r="AE63" s="2873">
        <f t="shared" si="314"/>
        <v>143.99592874392215</v>
      </c>
      <c r="AF63" s="2873">
        <f t="shared" si="314"/>
        <v>137.98050571970583</v>
      </c>
      <c r="AG63" s="785">
        <f>+AG54-AG60</f>
        <v>154.77854557340544</v>
      </c>
      <c r="AH63" s="786">
        <f t="shared" ref="AH63:AJ63" si="315">AH15/1000/24/AH$3</f>
        <v>151.37687725268813</v>
      </c>
      <c r="AI63" s="801">
        <f t="shared" si="315"/>
        <v>145.5578966023987</v>
      </c>
      <c r="AJ63" s="801">
        <f t="shared" si="315"/>
        <v>139.92110159597897</v>
      </c>
      <c r="AK63" s="785">
        <f>+AK54-AK60</f>
        <v>154.96233987380987</v>
      </c>
      <c r="AL63" s="786">
        <f t="shared" ref="AL63:AN63" si="316">AL15/1000/24/AL$3</f>
        <v>146.90485871481471</v>
      </c>
      <c r="AM63" s="801">
        <f t="shared" si="316"/>
        <v>146.71418061117879</v>
      </c>
      <c r="AN63" s="801">
        <f t="shared" si="316"/>
        <v>140.77976025813089</v>
      </c>
      <c r="AO63" s="785">
        <f>+AO54-AO60</f>
        <v>154.77854557340544</v>
      </c>
      <c r="AP63" s="786">
        <f t="shared" ref="AP63:AT63" si="317">AP15/1000/24/AP$3</f>
        <v>150.51824360080656</v>
      </c>
      <c r="AQ63" s="908">
        <f t="shared" si="317"/>
        <v>154.83847849745035</v>
      </c>
      <c r="AR63" s="908">
        <f t="shared" si="317"/>
        <v>149.62928812937801</v>
      </c>
      <c r="AS63" s="801">
        <f t="shared" si="317"/>
        <v>147.62325447964795</v>
      </c>
      <c r="AT63" s="801">
        <f t="shared" si="317"/>
        <v>141.87755292585069</v>
      </c>
      <c r="AU63" s="785">
        <f>+AU54-AU60</f>
        <v>154.77854557340544</v>
      </c>
      <c r="AV63" s="786">
        <f t="shared" ref="AV63:AX63" si="318">AV15/1000/24/AV$3</f>
        <v>148.99729498655913</v>
      </c>
      <c r="AW63" s="801">
        <f t="shared" si="318"/>
        <v>148.34813691071489</v>
      </c>
      <c r="AX63" s="801">
        <f t="shared" si="318"/>
        <v>142.59883398428846</v>
      </c>
      <c r="AY63" s="785">
        <f>+AY54-AY60</f>
        <v>154.08681253509602</v>
      </c>
      <c r="AZ63" s="786">
        <f t="shared" ref="AZ63:BB63" si="319">AZ15/1000/24/AZ$3</f>
        <v>145.96830209954851</v>
      </c>
      <c r="BA63" s="801">
        <f t="shared" si="319"/>
        <v>148.82922349000435</v>
      </c>
      <c r="BB63" s="801">
        <f t="shared" si="319"/>
        <v>142.88130436520848</v>
      </c>
      <c r="BC63" s="785">
        <f>+BC54-BC60</f>
        <v>154.77854557340544</v>
      </c>
      <c r="BD63" s="786">
        <f t="shared" ref="BD63:BJ63" si="320">BD15/1000/24/BD$3</f>
        <v>149.87591356354281</v>
      </c>
      <c r="BE63" s="908">
        <f t="shared" si="320"/>
        <v>154.56333973926473</v>
      </c>
      <c r="BF63" s="908">
        <f t="shared" si="320"/>
        <v>148.35757693156131</v>
      </c>
      <c r="BG63" s="2873">
        <f t="shared" si="320"/>
        <v>102.79579939180985</v>
      </c>
      <c r="BH63" s="2873">
        <f t="shared" si="320"/>
        <v>98.891951891815069</v>
      </c>
      <c r="BI63" s="801">
        <f t="shared" si="320"/>
        <v>149.3345083792795</v>
      </c>
      <c r="BJ63" s="801">
        <f t="shared" si="320"/>
        <v>143.47536706424512</v>
      </c>
    </row>
    <row r="64" spans="1:62" ht="15.75" x14ac:dyDescent="0.25">
      <c r="A64" s="732"/>
      <c r="B64" s="44" t="s">
        <v>892</v>
      </c>
      <c r="C64" s="33" t="s">
        <v>424</v>
      </c>
      <c r="D64" s="770">
        <f t="shared" si="194"/>
        <v>13.06251944444444</v>
      </c>
      <c r="E64" s="770">
        <f t="shared" si="194"/>
        <v>13.210962365591397</v>
      </c>
      <c r="G64" s="2830">
        <v>4</v>
      </c>
      <c r="H64" s="2448" t="s">
        <v>917</v>
      </c>
      <c r="I64" s="2869">
        <f>+I65+I87</f>
        <v>123.61136605083345</v>
      </c>
      <c r="J64" s="2869">
        <f t="shared" si="200"/>
        <v>114.31007297251315</v>
      </c>
      <c r="K64" s="2869">
        <v>123.508515072526</v>
      </c>
      <c r="L64" s="2870">
        <f t="shared" si="200"/>
        <v>118.92994611107675</v>
      </c>
      <c r="M64" s="2871">
        <f t="shared" si="200"/>
        <v>123.65418674141394</v>
      </c>
      <c r="N64" s="2871">
        <f t="shared" ref="N64" si="321">N16/1000/24/N$3</f>
        <v>116.65787735440612</v>
      </c>
      <c r="O64" s="2869">
        <f>+O65+O87</f>
        <v>154.23071212167159</v>
      </c>
      <c r="P64" s="2869">
        <f t="shared" ref="P64:Q64" si="322">P16/1000/24/P$3</f>
        <v>149.09768534267243</v>
      </c>
      <c r="Q64" s="2872">
        <f t="shared" si="322"/>
        <v>133.73435994369666</v>
      </c>
      <c r="R64" s="2872">
        <f t="shared" si="202"/>
        <v>127.35231954834006</v>
      </c>
      <c r="S64" s="2869">
        <f>+S65+S87</f>
        <v>153.6811899333095</v>
      </c>
      <c r="T64" s="2870">
        <f t="shared" ref="T64:U64" si="323">T16/1000/24/T$3</f>
        <v>147.14792406610582</v>
      </c>
      <c r="U64" s="2871">
        <f t="shared" si="323"/>
        <v>138.80281674433596</v>
      </c>
      <c r="V64" s="2871">
        <f t="shared" si="203"/>
        <v>132.38235020449366</v>
      </c>
      <c r="W64" s="2869">
        <f>+W65+W87</f>
        <v>154.44203304616579</v>
      </c>
      <c r="X64" s="2870">
        <f t="shared" ref="X64:Z64" si="324">X16/1000/24/X$3</f>
        <v>148.98376844139781</v>
      </c>
      <c r="Y64" s="2871">
        <f t="shared" si="324"/>
        <v>141.97154684470669</v>
      </c>
      <c r="Z64" s="2871">
        <f t="shared" si="324"/>
        <v>135.74603625249387</v>
      </c>
      <c r="AA64" s="2869">
        <f>+AA65+AA87</f>
        <v>154.96233987380987</v>
      </c>
      <c r="AB64" s="2870">
        <f t="shared" ref="AB64" si="325">AB16/1000/24/AB$3</f>
        <v>149.49157714166677</v>
      </c>
      <c r="AC64" s="2872">
        <f t="shared" ref="AC64:AF64" si="326">AC16/1000/24/AC$3</f>
        <v>154.35532726715249</v>
      </c>
      <c r="AD64" s="2872">
        <f t="shared" si="326"/>
        <v>148.53075849981104</v>
      </c>
      <c r="AE64" s="2873">
        <f t="shared" si="326"/>
        <v>144.10118504619902</v>
      </c>
      <c r="AF64" s="2873">
        <f t="shared" si="326"/>
        <v>137.99940361137467</v>
      </c>
      <c r="AG64" s="785">
        <f>+AG65+AG87</f>
        <v>154.77854557340544</v>
      </c>
      <c r="AH64" s="786">
        <f t="shared" ref="AH64:AJ64" si="327">AH16/1000/24/AH$3</f>
        <v>151.37687725268813</v>
      </c>
      <c r="AI64" s="801">
        <f t="shared" si="327"/>
        <v>145.64790549640182</v>
      </c>
      <c r="AJ64" s="801">
        <f t="shared" si="327"/>
        <v>139.93726194259298</v>
      </c>
      <c r="AK64" s="785">
        <f>+AK65+AK87</f>
        <v>154.96233987380987</v>
      </c>
      <c r="AL64" s="786">
        <f t="shared" ref="AL64:AN64" si="328">AL16/1000/24/AL$3</f>
        <v>146.90485871481471</v>
      </c>
      <c r="AM64" s="801">
        <f t="shared" si="328"/>
        <v>146.79312283788641</v>
      </c>
      <c r="AN64" s="801">
        <f t="shared" si="328"/>
        <v>140.79393367688252</v>
      </c>
      <c r="AO64" s="785">
        <f>+AO65+AO87</f>
        <v>154.77854557340544</v>
      </c>
      <c r="AP64" s="786">
        <f t="shared" ref="AP64:AT64" si="329">AP16/1000/24/AP$3</f>
        <v>150.51824360080656</v>
      </c>
      <c r="AQ64" s="908">
        <f t="shared" si="329"/>
        <v>154.83847849745032</v>
      </c>
      <c r="AR64" s="908">
        <f t="shared" si="329"/>
        <v>149.62928812937801</v>
      </c>
      <c r="AS64" s="801">
        <f t="shared" si="329"/>
        <v>147.69329776443584</v>
      </c>
      <c r="AT64" s="801">
        <f t="shared" si="329"/>
        <v>141.89012861376122</v>
      </c>
      <c r="AU64" s="785">
        <f>+AU65+AU87</f>
        <v>154.77854557340544</v>
      </c>
      <c r="AV64" s="786">
        <f t="shared" ref="AV64:AX64" si="330">AV16/1000/24/AV$3</f>
        <v>148.99729498655913</v>
      </c>
      <c r="AW64" s="801">
        <f t="shared" si="330"/>
        <v>148.41108430717458</v>
      </c>
      <c r="AX64" s="801">
        <f t="shared" si="330"/>
        <v>142.61013566460022</v>
      </c>
      <c r="AY64" s="785">
        <f>+AY65+AY87</f>
        <v>154.08681253509602</v>
      </c>
      <c r="AZ64" s="786">
        <f t="shared" ref="AZ64:BB64" si="331">AZ16/1000/24/AZ$3</f>
        <v>145.96830209954845</v>
      </c>
      <c r="BA64" s="801">
        <f t="shared" si="331"/>
        <v>148.88689385921592</v>
      </c>
      <c r="BB64" s="801">
        <f t="shared" si="331"/>
        <v>142.89165859926658</v>
      </c>
      <c r="BC64" s="785">
        <f>+BC65+BC87</f>
        <v>154.77854557340544</v>
      </c>
      <c r="BD64" s="786">
        <f t="shared" ref="BD64:BJ64" si="332">BD16/1000/24/BD$3</f>
        <v>149.87591356354275</v>
      </c>
      <c r="BE64" s="908">
        <f t="shared" si="332"/>
        <v>154.56333973926473</v>
      </c>
      <c r="BF64" s="908">
        <f t="shared" si="332"/>
        <v>148.35757693156128</v>
      </c>
      <c r="BG64" s="2873">
        <f t="shared" si="332"/>
        <v>102.79579939180984</v>
      </c>
      <c r="BH64" s="2873">
        <f t="shared" si="332"/>
        <v>98.891951891815054</v>
      </c>
      <c r="BI64" s="801">
        <f t="shared" si="332"/>
        <v>149.38728071713336</v>
      </c>
      <c r="BJ64" s="801">
        <f t="shared" si="332"/>
        <v>143.48484189760237</v>
      </c>
    </row>
    <row r="65" spans="1:62" ht="15.75" x14ac:dyDescent="0.25">
      <c r="A65" s="732"/>
      <c r="B65" s="44" t="s">
        <v>893</v>
      </c>
      <c r="C65" s="33" t="s">
        <v>424</v>
      </c>
      <c r="D65" s="770">
        <f t="shared" si="194"/>
        <v>22.231472222222227</v>
      </c>
      <c r="E65" s="770">
        <f t="shared" si="194"/>
        <v>22.708427419354837</v>
      </c>
      <c r="G65" s="2851">
        <v>4.0999999999999996</v>
      </c>
      <c r="H65" s="2452" t="s">
        <v>911</v>
      </c>
      <c r="I65" s="1781">
        <v>110.28636605083345</v>
      </c>
      <c r="J65" s="1781">
        <f t="shared" si="200"/>
        <v>102.35213863576892</v>
      </c>
      <c r="K65" s="1781">
        <v>110.18351507252601</v>
      </c>
      <c r="L65" s="2881">
        <f t="shared" si="200"/>
        <v>107.19832876201761</v>
      </c>
      <c r="M65" s="2882">
        <f t="shared" si="200"/>
        <v>110.32918674141392</v>
      </c>
      <c r="N65" s="2882">
        <f t="shared" ref="N65" si="333">N17/1000/24/N$3</f>
        <v>104.81495656878054</v>
      </c>
      <c r="O65" s="1781">
        <v>140.9057121216716</v>
      </c>
      <c r="P65" s="1781">
        <f t="shared" ref="P65:Q65" si="334">P17/1000/24/P$3</f>
        <v>135.46295410440615</v>
      </c>
      <c r="Q65" s="2883">
        <f t="shared" si="334"/>
        <v>120.40935994369666</v>
      </c>
      <c r="R65" s="2883">
        <f t="shared" si="202"/>
        <v>114.9186920200857</v>
      </c>
      <c r="S65" s="1781">
        <v>140.35618993330951</v>
      </c>
      <c r="T65" s="2881">
        <f t="shared" ref="T65:U65" si="335">T17/1000/24/T$3</f>
        <v>133.68302839305241</v>
      </c>
      <c r="U65" s="2882">
        <f t="shared" si="335"/>
        <v>125.47781674433597</v>
      </c>
      <c r="V65" s="2882">
        <f t="shared" si="203"/>
        <v>119.68667913124938</v>
      </c>
      <c r="W65" s="1781">
        <v>141.1170330461658</v>
      </c>
      <c r="X65" s="2881">
        <f t="shared" ref="X65:Z65" si="336">X17/1000/24/X$3</f>
        <v>135.20208993817201</v>
      </c>
      <c r="Y65" s="2882">
        <f t="shared" si="336"/>
        <v>128.64654684470671</v>
      </c>
      <c r="Z65" s="2882">
        <f t="shared" si="336"/>
        <v>122.83032445814221</v>
      </c>
      <c r="AA65" s="1781">
        <v>141.63733987380988</v>
      </c>
      <c r="AB65" s="2881">
        <f t="shared" ref="AB65" si="337">AB17/1000/24/AB$3</f>
        <v>135.03319283333343</v>
      </c>
      <c r="AC65" s="2883">
        <f t="shared" ref="AC65:AF65" si="338">AC17/1000/24/AC$3</f>
        <v>141.0303272671525</v>
      </c>
      <c r="AD65" s="2883">
        <f t="shared" si="338"/>
        <v>134.6351571007387</v>
      </c>
      <c r="AE65" s="2884">
        <f t="shared" si="338"/>
        <v>130.77618504619903</v>
      </c>
      <c r="AF65" s="2884">
        <f t="shared" si="338"/>
        <v>124.83079468358339</v>
      </c>
      <c r="AG65" s="789">
        <v>141.45354557340545</v>
      </c>
      <c r="AH65" s="790">
        <f t="shared" ref="AH65:AJ65" si="339">AH17/1000/24/AH$3</f>
        <v>138.36221805107525</v>
      </c>
      <c r="AI65" s="803">
        <f t="shared" si="339"/>
        <v>132.32290549640183</v>
      </c>
      <c r="AJ65" s="803">
        <f t="shared" si="339"/>
        <v>126.79095414336025</v>
      </c>
      <c r="AK65" s="789">
        <v>141.63733987380988</v>
      </c>
      <c r="AL65" s="790">
        <f t="shared" ref="AL65:AN65" si="340">AL17/1000/24/AL$3</f>
        <v>134.45862919120361</v>
      </c>
      <c r="AM65" s="803">
        <f t="shared" si="340"/>
        <v>133.4681228378864</v>
      </c>
      <c r="AN65" s="803">
        <f t="shared" si="340"/>
        <v>127.73370107547214</v>
      </c>
      <c r="AO65" s="789">
        <v>141.45354557340545</v>
      </c>
      <c r="AP65" s="790">
        <f t="shared" ref="AP65:AT65" si="341">AP17/1000/24/AP$3</f>
        <v>138.12443769724476</v>
      </c>
      <c r="AQ65" s="910">
        <f t="shared" si="341"/>
        <v>141.51347849745034</v>
      </c>
      <c r="AR65" s="910">
        <f t="shared" si="341"/>
        <v>137.00918699928289</v>
      </c>
      <c r="AS65" s="803">
        <f t="shared" si="341"/>
        <v>134.36829776443582</v>
      </c>
      <c r="AT65" s="803">
        <f t="shared" si="341"/>
        <v>128.90502047647195</v>
      </c>
      <c r="AU65" s="789">
        <v>141.45354557340545</v>
      </c>
      <c r="AV65" s="790">
        <f t="shared" ref="AV65:AX65" si="342">AV17/1000/24/AV$3</f>
        <v>136.36696560591398</v>
      </c>
      <c r="AW65" s="803">
        <f t="shared" si="342"/>
        <v>135.08608430717456</v>
      </c>
      <c r="AX65" s="803">
        <f t="shared" si="342"/>
        <v>129.66096916605593</v>
      </c>
      <c r="AY65" s="789">
        <v>140.76181253509603</v>
      </c>
      <c r="AZ65" s="790">
        <f t="shared" ref="AZ65:BB65" si="343">AZ17/1000/24/AZ$3</f>
        <v>134.75294751093239</v>
      </c>
      <c r="BA65" s="803">
        <f t="shared" si="343"/>
        <v>135.56189385921593</v>
      </c>
      <c r="BB65" s="803">
        <f t="shared" si="343"/>
        <v>130.08784160215336</v>
      </c>
      <c r="BC65" s="789">
        <v>141.45354557340545</v>
      </c>
      <c r="BD65" s="790">
        <f t="shared" ref="BD65:BJ65" si="344">BD17/1000/24/BD$3</f>
        <v>138.70522608840835</v>
      </c>
      <c r="BE65" s="910">
        <f t="shared" si="344"/>
        <v>141.23833973926472</v>
      </c>
      <c r="BF65" s="910">
        <f t="shared" si="344"/>
        <v>136.67022747588999</v>
      </c>
      <c r="BG65" s="2884">
        <f t="shared" si="344"/>
        <v>93.936870820381273</v>
      </c>
      <c r="BH65" s="2884">
        <f t="shared" si="344"/>
        <v>91.209793854784394</v>
      </c>
      <c r="BI65" s="803">
        <f t="shared" si="344"/>
        <v>136.06228071713338</v>
      </c>
      <c r="BJ65" s="803">
        <f t="shared" si="344"/>
        <v>130.81972905167095</v>
      </c>
    </row>
    <row r="66" spans="1:62" x14ac:dyDescent="0.25">
      <c r="A66" s="732"/>
      <c r="B66" s="44" t="s">
        <v>85</v>
      </c>
      <c r="C66" s="33" t="s">
        <v>424</v>
      </c>
      <c r="D66" s="770">
        <f t="shared" ref="D66:E74" si="345">+((D22/1000)/D$3)/24</f>
        <v>1.3352222222222243</v>
      </c>
      <c r="E66" s="770">
        <f t="shared" si="345"/>
        <v>1.3534677419354828</v>
      </c>
      <c r="G66" s="2852" t="s">
        <v>918</v>
      </c>
      <c r="H66" s="2553" t="s">
        <v>890</v>
      </c>
      <c r="I66" s="2885">
        <f>+SUM(I67:I80)</f>
        <v>106.7905191478758</v>
      </c>
      <c r="J66" s="2885">
        <f t="shared" si="200"/>
        <v>99.491019027777782</v>
      </c>
      <c r="K66" s="2885">
        <v>106.494320087804</v>
      </c>
      <c r="L66" s="2886">
        <f t="shared" si="200"/>
        <v>104.48759314516141</v>
      </c>
      <c r="M66" s="2887">
        <f t="shared" si="200"/>
        <v>106.63999175669171</v>
      </c>
      <c r="N66" s="2887">
        <f t="shared" ref="N66" si="346">N18/1000/24/N$3</f>
        <v>102.03026161202193</v>
      </c>
      <c r="O66" s="2885">
        <f>+SUM(O67:O80)</f>
        <v>137.21651713694936</v>
      </c>
      <c r="P66" s="2885">
        <f t="shared" ref="P66:Q66" si="347">P18/1000/24/P$3</f>
        <v>132.72724111111114</v>
      </c>
      <c r="Q66" s="2888">
        <f t="shared" si="347"/>
        <v>116.72016495897442</v>
      </c>
      <c r="R66" s="2888">
        <f t="shared" si="202"/>
        <v>112.15014496337002</v>
      </c>
      <c r="S66" s="2885">
        <f>+SUM(S67:S80)</f>
        <v>136.66279043330951</v>
      </c>
      <c r="T66" s="2886">
        <f t="shared" ref="T66:U66" si="348">T18/1000/24/T$3</f>
        <v>131.09940833333329</v>
      </c>
      <c r="U66" s="2887">
        <f t="shared" si="348"/>
        <v>121.78755339917433</v>
      </c>
      <c r="V66" s="2887">
        <f t="shared" si="203"/>
        <v>116.9651217213115</v>
      </c>
      <c r="W66" s="2885">
        <f>+SUM(W67:W80)</f>
        <v>137.4236335461658</v>
      </c>
      <c r="X66" s="2886">
        <f t="shared" ref="X66:Z66" si="349">X18/1000/24/X$3</f>
        <v>132.48045483870962</v>
      </c>
      <c r="Y66" s="2887">
        <f t="shared" si="349"/>
        <v>124.95564806947979</v>
      </c>
      <c r="Z66" s="2887">
        <f t="shared" si="349"/>
        <v>120.10875130718956</v>
      </c>
      <c r="AA66" s="2885">
        <f>+SUM(AA67:AA80)</f>
        <v>137.94394037380988</v>
      </c>
      <c r="AB66" s="2886">
        <f t="shared" ref="AB66" si="350">AB18/1000/24/AB$3</f>
        <v>132.39830166666675</v>
      </c>
      <c r="AC66" s="2888">
        <f t="shared" ref="AC66:AF66" si="351">AC18/1000/24/AC$3</f>
        <v>137.33692776715247</v>
      </c>
      <c r="AD66" s="2888">
        <f t="shared" si="351"/>
        <v>131.98831313405796</v>
      </c>
      <c r="AE66" s="2889">
        <f t="shared" si="351"/>
        <v>127.08487631609127</v>
      </c>
      <c r="AF66" s="2889">
        <f t="shared" si="351"/>
        <v>122.12343169398909</v>
      </c>
      <c r="AG66" s="791">
        <f>+SUM(AG67:AG80)</f>
        <v>137.76014607340545</v>
      </c>
      <c r="AH66" s="792">
        <f t="shared" ref="AH66:AJ66" si="352">AH18/1000/24/AH$3</f>
        <v>135.78811244623651</v>
      </c>
      <c r="AI66" s="804">
        <f t="shared" si="352"/>
        <v>128.63129389775827</v>
      </c>
      <c r="AJ66" s="804">
        <f t="shared" si="352"/>
        <v>124.10289479361373</v>
      </c>
      <c r="AK66" s="791">
        <f>+SUM(AK67:AK80)</f>
        <v>137.94394037380988</v>
      </c>
      <c r="AL66" s="792">
        <f t="shared" ref="AL66:AN66" si="353">AL18/1000/24/AL$3</f>
        <v>131.90984778703694</v>
      </c>
      <c r="AM66" s="804">
        <f t="shared" si="353"/>
        <v>129.77629141530559</v>
      </c>
      <c r="AN66" s="804">
        <f t="shared" si="353"/>
        <v>125.06276606329691</v>
      </c>
      <c r="AO66" s="791">
        <f>+SUM(AO67:AO80)</f>
        <v>137.76014607340545</v>
      </c>
      <c r="AP66" s="792">
        <f t="shared" ref="AP66:AT66" si="354">AP18/1000/24/AP$3</f>
        <v>135.56604637096788</v>
      </c>
      <c r="AQ66" s="911">
        <f t="shared" si="354"/>
        <v>137.82007899745031</v>
      </c>
      <c r="AR66" s="911">
        <f t="shared" si="354"/>
        <v>134.44863431461351</v>
      </c>
      <c r="AS66" s="804">
        <f t="shared" si="354"/>
        <v>130.67628957676413</v>
      </c>
      <c r="AT66" s="804">
        <f t="shared" si="354"/>
        <v>126.24677220707073</v>
      </c>
      <c r="AU66" s="791">
        <f>+SUM(AU67:AU80)</f>
        <v>137.76014607340545</v>
      </c>
      <c r="AV66" s="792">
        <f t="shared" ref="AV66:AX66" si="355">AV18/1000/24/AV$3</f>
        <v>133.92172540322579</v>
      </c>
      <c r="AW66" s="804">
        <f t="shared" si="355"/>
        <v>131.39393516956113</v>
      </c>
      <c r="AX66" s="804">
        <f t="shared" si="355"/>
        <v>127.0243001452433</v>
      </c>
      <c r="AY66" s="791">
        <f>+SUM(AY67:AY80)</f>
        <v>137.06841303509603</v>
      </c>
      <c r="AZ66" s="792">
        <f t="shared" ref="AZ66:BB66" si="356">AZ18/1000/24/AZ$3</f>
        <v>132.36246569940479</v>
      </c>
      <c r="BA66" s="804">
        <f t="shared" si="356"/>
        <v>131.86963990080358</v>
      </c>
      <c r="BB66" s="804">
        <f t="shared" si="356"/>
        <v>127.47181103002332</v>
      </c>
      <c r="BC66" s="791">
        <f>+SUM(BC67:BC80)</f>
        <v>137.76014607340545</v>
      </c>
      <c r="BD66" s="792">
        <f t="shared" ref="BD66:BJ66" si="357">BD18/1000/24/BD$3</f>
        <v>136.16291075268811</v>
      </c>
      <c r="BE66" s="911">
        <f t="shared" si="357"/>
        <v>137.54494023926469</v>
      </c>
      <c r="BF66" s="911">
        <f t="shared" si="357"/>
        <v>134.20858622685185</v>
      </c>
      <c r="BG66" s="2889">
        <f t="shared" si="357"/>
        <v>91.481368954996654</v>
      </c>
      <c r="BH66" s="2889">
        <f t="shared" si="357"/>
        <v>89.559466998626363</v>
      </c>
      <c r="BI66" s="804">
        <f t="shared" si="357"/>
        <v>132.36992946614785</v>
      </c>
      <c r="BJ66" s="804">
        <f t="shared" si="357"/>
        <v>128.20995922564691</v>
      </c>
    </row>
    <row r="67" spans="1:62" x14ac:dyDescent="0.25">
      <c r="A67" s="732"/>
      <c r="B67" s="44" t="s">
        <v>535</v>
      </c>
      <c r="C67" s="33" t="s">
        <v>424</v>
      </c>
      <c r="D67" s="770">
        <f t="shared" si="345"/>
        <v>5.1045138888889019</v>
      </c>
      <c r="E67" s="770">
        <f t="shared" si="345"/>
        <v>5.8832526881720257</v>
      </c>
      <c r="G67" s="2827" t="s">
        <v>919</v>
      </c>
      <c r="H67" s="700" t="s">
        <v>891</v>
      </c>
      <c r="I67" s="2874">
        <v>7.1188631249999998</v>
      </c>
      <c r="J67" s="2875">
        <f t="shared" si="200"/>
        <v>6.3748194444444577</v>
      </c>
      <c r="K67" s="2874">
        <v>7.1188631249999998</v>
      </c>
      <c r="L67" s="2876">
        <f t="shared" si="200"/>
        <v>6.5400134408602009</v>
      </c>
      <c r="M67" s="2877">
        <f t="shared" si="200"/>
        <v>7.1188631249999998</v>
      </c>
      <c r="N67" s="2877">
        <f t="shared" ref="N67" si="358">N19/1000/24/N$3</f>
        <v>6.4587704918032776</v>
      </c>
      <c r="O67" s="2874">
        <v>7.1188631250000007</v>
      </c>
      <c r="P67" s="2875">
        <f t="shared" ref="P67:Q67" si="359">P19/1000/24/P$3</f>
        <v>6.4977916666666671</v>
      </c>
      <c r="Q67" s="2878">
        <f t="shared" si="359"/>
        <v>7.1188631250000007</v>
      </c>
      <c r="R67" s="2878">
        <f t="shared" si="202"/>
        <v>6.4716346153846143</v>
      </c>
      <c r="S67" s="2875">
        <v>7.1188631249999998</v>
      </c>
      <c r="T67" s="2876">
        <f t="shared" ref="T67:U67" si="360">T19/1000/24/T$3</f>
        <v>6.4669354838709685</v>
      </c>
      <c r="U67" s="2877">
        <f t="shared" si="360"/>
        <v>7.1188631250000016</v>
      </c>
      <c r="V67" s="2877">
        <f t="shared" si="203"/>
        <v>6.4704405737704924</v>
      </c>
      <c r="W67" s="2875">
        <v>7.1188631249999998</v>
      </c>
      <c r="X67" s="2876">
        <f t="shared" ref="X67:Z67" si="361">X19/1000/24/X$3</f>
        <v>6.4746774193548395</v>
      </c>
      <c r="Y67" s="2877">
        <f t="shared" si="361"/>
        <v>7.1188631250000007</v>
      </c>
      <c r="Z67" s="2877">
        <f t="shared" si="361"/>
        <v>6.4712990196078435</v>
      </c>
      <c r="AA67" s="2875">
        <v>7.1188631250000007</v>
      </c>
      <c r="AB67" s="2876">
        <f t="shared" ref="AB67" si="362">AB19/1000/24/AB$3</f>
        <v>6.647694444444463</v>
      </c>
      <c r="AC67" s="2878">
        <f t="shared" ref="AC67:AF67" si="363">AC19/1000/24/AC$3</f>
        <v>7.1188631249999998</v>
      </c>
      <c r="AD67" s="2878">
        <f t="shared" si="363"/>
        <v>6.528487318840587</v>
      </c>
      <c r="AE67" s="2879">
        <f t="shared" si="363"/>
        <v>7.1188631249999998</v>
      </c>
      <c r="AF67" s="2879">
        <f t="shared" si="363"/>
        <v>6.5002163023679449</v>
      </c>
      <c r="AG67" s="787">
        <v>7.1188631249999998</v>
      </c>
      <c r="AH67" s="788">
        <f t="shared" ref="AH67:AJ67" si="364">AH19/1000/24/AH$3</f>
        <v>6.6487096774193271</v>
      </c>
      <c r="AI67" s="802">
        <f t="shared" si="364"/>
        <v>7.1188631250000007</v>
      </c>
      <c r="AJ67" s="802">
        <f t="shared" si="364"/>
        <v>6.5217270249221162</v>
      </c>
      <c r="AK67" s="787">
        <v>7.1188631250000007</v>
      </c>
      <c r="AL67" s="788">
        <f t="shared" ref="AL67:AN67" si="365">AL19/1000/24/AL$3</f>
        <v>6.6007222222222417</v>
      </c>
      <c r="AM67" s="802">
        <f t="shared" si="365"/>
        <v>7.1188631250000016</v>
      </c>
      <c r="AN67" s="802">
        <f t="shared" si="365"/>
        <v>6.5314395491803294</v>
      </c>
      <c r="AO67" s="787">
        <v>7.1188631249999998</v>
      </c>
      <c r="AP67" s="788">
        <f t="shared" ref="AP67:AT67" si="366">AP19/1000/24/AP$3</f>
        <v>6.7093145161290293</v>
      </c>
      <c r="AQ67" s="909">
        <f t="shared" si="366"/>
        <v>7.1188631250000016</v>
      </c>
      <c r="AR67" s="909">
        <f t="shared" si="366"/>
        <v>6.6534827898550688</v>
      </c>
      <c r="AS67" s="802">
        <f t="shared" si="366"/>
        <v>7.1188631250000016</v>
      </c>
      <c r="AT67" s="802">
        <f t="shared" si="366"/>
        <v>6.5514909090909113</v>
      </c>
      <c r="AU67" s="787">
        <v>7.1188631249999998</v>
      </c>
      <c r="AV67" s="788">
        <f t="shared" ref="AV67:AX67" si="367">AV19/1000/24/AV$3</f>
        <v>6.647298387096769</v>
      </c>
      <c r="AW67" s="802">
        <f t="shared" si="367"/>
        <v>7.1188631250000007</v>
      </c>
      <c r="AX67" s="802">
        <f t="shared" si="367"/>
        <v>6.5611968954248363</v>
      </c>
      <c r="AY67" s="787">
        <v>7.1188631249999998</v>
      </c>
      <c r="AZ67" s="788">
        <f t="shared" ref="AZ67:BB67" si="368">AZ19/1000/24/AZ$3</f>
        <v>6.570104166666682</v>
      </c>
      <c r="BA67" s="802">
        <f t="shared" si="368"/>
        <v>7.1188631249999998</v>
      </c>
      <c r="BB67" s="802">
        <f t="shared" si="368"/>
        <v>6.5619436127744519</v>
      </c>
      <c r="BC67" s="787">
        <v>7.1188631249999998</v>
      </c>
      <c r="BD67" s="788">
        <f t="shared" ref="BD67:BJ67" si="369">BD19/1000/24/BD$3</f>
        <v>6.6916397849462426</v>
      </c>
      <c r="BE67" s="909">
        <f t="shared" si="369"/>
        <v>7.1188631250000007</v>
      </c>
      <c r="BF67" s="909">
        <f t="shared" si="369"/>
        <v>6.6385555555555609</v>
      </c>
      <c r="BG67" s="2879">
        <f t="shared" si="369"/>
        <v>4.7328705391483519</v>
      </c>
      <c r="BH67" s="2879">
        <f t="shared" si="369"/>
        <v>4.4225869963369995</v>
      </c>
      <c r="BI67" s="802">
        <f t="shared" si="369"/>
        <v>7.1188631249999998</v>
      </c>
      <c r="BJ67" s="802">
        <f t="shared" si="369"/>
        <v>6.5729589041095906</v>
      </c>
    </row>
    <row r="68" spans="1:62" x14ac:dyDescent="0.25">
      <c r="A68" s="732"/>
      <c r="B68" s="44" t="s">
        <v>536</v>
      </c>
      <c r="C68" s="33" t="s">
        <v>424</v>
      </c>
      <c r="D68" s="770">
        <f t="shared" si="345"/>
        <v>2.9443194444444436</v>
      </c>
      <c r="E68" s="770">
        <f t="shared" si="345"/>
        <v>6.5376075268817191</v>
      </c>
      <c r="G68" s="2827" t="s">
        <v>920</v>
      </c>
      <c r="H68" s="700" t="s">
        <v>731</v>
      </c>
      <c r="I68" s="2874">
        <v>2.9</v>
      </c>
      <c r="J68" s="2875">
        <f t="shared" si="200"/>
        <v>2.197888888888889</v>
      </c>
      <c r="K68" s="2874">
        <v>2.9</v>
      </c>
      <c r="L68" s="2876">
        <f t="shared" si="200"/>
        <v>2.3381586021505378</v>
      </c>
      <c r="M68" s="2877">
        <f t="shared" si="200"/>
        <v>2.9</v>
      </c>
      <c r="N68" s="2877">
        <f t="shared" ref="N68" si="370">N20/1000/24/N$3</f>
        <v>2.2691734972677597</v>
      </c>
      <c r="O68" s="2874">
        <v>2.9</v>
      </c>
      <c r="P68" s="2875">
        <f t="shared" ref="P68:Q68" si="371">P20/1000/24/P$3</f>
        <v>2.9883333333333351</v>
      </c>
      <c r="Q68" s="2878">
        <f t="shared" si="371"/>
        <v>2.9000000000000004</v>
      </c>
      <c r="R68" s="2878">
        <f t="shared" si="202"/>
        <v>2.5062591575091582</v>
      </c>
      <c r="S68" s="2875">
        <v>2.9</v>
      </c>
      <c r="T68" s="2876">
        <f t="shared" ref="T68:U68" si="372">T20/1000/24/T$3</f>
        <v>3.1035215053763454</v>
      </c>
      <c r="U68" s="2877">
        <f t="shared" si="372"/>
        <v>2.9</v>
      </c>
      <c r="V68" s="2877">
        <f t="shared" si="203"/>
        <v>2.6580225409836076</v>
      </c>
      <c r="W68" s="2875">
        <v>2.9</v>
      </c>
      <c r="X68" s="2876">
        <f t="shared" ref="X68:Z68" si="373">X20/1000/24/X$3</f>
        <v>3.0776075268817147</v>
      </c>
      <c r="Y68" s="2877">
        <f t="shared" si="373"/>
        <v>2.9</v>
      </c>
      <c r="Z68" s="2877">
        <f t="shared" si="373"/>
        <v>2.7430364923747272</v>
      </c>
      <c r="AA68" s="2875">
        <v>2.9</v>
      </c>
      <c r="AB68" s="2876">
        <f t="shared" ref="AB68" si="374">AB20/1000/24/AB$3</f>
        <v>3.0892638888888895</v>
      </c>
      <c r="AC68" s="2878">
        <f t="shared" ref="AC68:AF68" si="375">AC20/1000/24/AC$3</f>
        <v>2.9</v>
      </c>
      <c r="AD68" s="2878">
        <f t="shared" si="375"/>
        <v>3.0901403985507225</v>
      </c>
      <c r="AE68" s="2879">
        <f t="shared" si="375"/>
        <v>2.8999999999999995</v>
      </c>
      <c r="AF68" s="2879">
        <f t="shared" si="375"/>
        <v>2.7997950819672131</v>
      </c>
      <c r="AG68" s="787">
        <v>2.9</v>
      </c>
      <c r="AH68" s="788">
        <f t="shared" ref="AH68:AJ68" si="376">AH20/1000/24/AH$3</f>
        <v>3.1226478494623691</v>
      </c>
      <c r="AI68" s="802">
        <f t="shared" si="376"/>
        <v>2.9</v>
      </c>
      <c r="AJ68" s="802">
        <f t="shared" si="376"/>
        <v>2.846563473520249</v>
      </c>
      <c r="AK68" s="787">
        <v>2.9</v>
      </c>
      <c r="AL68" s="788">
        <f t="shared" ref="AL68:AN68" si="377">AL20/1000/24/AL$3</f>
        <v>2.9152777777777765</v>
      </c>
      <c r="AM68" s="802">
        <f t="shared" si="377"/>
        <v>2.9</v>
      </c>
      <c r="AN68" s="802">
        <f t="shared" si="377"/>
        <v>2.8550119535519127</v>
      </c>
      <c r="AO68" s="787">
        <v>2.9</v>
      </c>
      <c r="AP68" s="788">
        <f t="shared" ref="AP68:AT68" si="378">AP20/1000/24/AP$3</f>
        <v>2.5883736559139785</v>
      </c>
      <c r="AQ68" s="909">
        <f t="shared" si="378"/>
        <v>2.9</v>
      </c>
      <c r="AR68" s="909">
        <f t="shared" si="378"/>
        <v>2.8750000000000004</v>
      </c>
      <c r="AS68" s="802">
        <f t="shared" si="378"/>
        <v>2.9</v>
      </c>
      <c r="AT68" s="802">
        <f t="shared" si="378"/>
        <v>2.8249545454545455</v>
      </c>
      <c r="AU68" s="787">
        <v>2.9</v>
      </c>
      <c r="AV68" s="788">
        <f t="shared" ref="AV68:AX68" si="379">AV20/1000/24/AV$3</f>
        <v>2.0914341397849463</v>
      </c>
      <c r="AW68" s="802">
        <f t="shared" si="379"/>
        <v>2.9</v>
      </c>
      <c r="AX68" s="802">
        <f t="shared" si="379"/>
        <v>2.750643654684096</v>
      </c>
      <c r="AY68" s="787">
        <v>2.9</v>
      </c>
      <c r="AZ68" s="788">
        <f t="shared" ref="AZ68:BB68" si="380">AZ20/1000/24/AZ$3</f>
        <v>2.4863998511904755</v>
      </c>
      <c r="BA68" s="802">
        <f t="shared" si="380"/>
        <v>2.9</v>
      </c>
      <c r="BB68" s="802">
        <f t="shared" si="380"/>
        <v>2.7284914795409181</v>
      </c>
      <c r="BC68" s="787">
        <v>2.9</v>
      </c>
      <c r="BD68" s="788">
        <f t="shared" ref="BD68:BJ68" si="381">BD20/1000/24/BD$3</f>
        <v>2.7152016129032241</v>
      </c>
      <c r="BE68" s="909">
        <f t="shared" si="381"/>
        <v>2.9</v>
      </c>
      <c r="BF68" s="909">
        <f t="shared" si="381"/>
        <v>2.4291656018518513</v>
      </c>
      <c r="BG68" s="2879">
        <f t="shared" si="381"/>
        <v>1.9280219780219783</v>
      </c>
      <c r="BH68" s="2879">
        <f t="shared" si="381"/>
        <v>1.6637151327838822</v>
      </c>
      <c r="BI68" s="802">
        <f t="shared" si="381"/>
        <v>2.9</v>
      </c>
      <c r="BJ68" s="802">
        <f t="shared" si="381"/>
        <v>2.7273627511415528</v>
      </c>
    </row>
    <row r="69" spans="1:62" x14ac:dyDescent="0.25">
      <c r="A69" s="732"/>
      <c r="B69" s="44" t="s">
        <v>537</v>
      </c>
      <c r="C69" s="33" t="s">
        <v>424</v>
      </c>
      <c r="D69" s="770">
        <f t="shared" si="345"/>
        <v>0.58881527777777698</v>
      </c>
      <c r="E69" s="770">
        <f t="shared" si="345"/>
        <v>0.73001344086021558</v>
      </c>
      <c r="G69" s="2827" t="s">
        <v>921</v>
      </c>
      <c r="H69" s="700" t="s">
        <v>534</v>
      </c>
      <c r="I69" s="2874">
        <v>10.5413874695481</v>
      </c>
      <c r="J69" s="2875">
        <f t="shared" si="200"/>
        <v>12.181750000000013</v>
      </c>
      <c r="K69" s="2874">
        <v>10.4185693266657</v>
      </c>
      <c r="L69" s="2876">
        <f t="shared" si="200"/>
        <v>12.016357526881722</v>
      </c>
      <c r="M69" s="2877">
        <f t="shared" si="200"/>
        <v>10.4789716920177</v>
      </c>
      <c r="N69" s="2877">
        <f t="shared" ref="N69" si="382">N21/1000/24/N$3</f>
        <v>12.097698087431699</v>
      </c>
      <c r="O69" s="2874">
        <v>15.652016693151495</v>
      </c>
      <c r="P69" s="2875">
        <f t="shared" ref="P69:Q69" si="383">P21/1000/24/P$3</f>
        <v>16.004638888888888</v>
      </c>
      <c r="Q69" s="2878">
        <f t="shared" si="383"/>
        <v>12.184371142940927</v>
      </c>
      <c r="R69" s="2878">
        <f t="shared" si="202"/>
        <v>13.385700549450553</v>
      </c>
      <c r="S69" s="2875">
        <v>15.660574384071754</v>
      </c>
      <c r="T69" s="2876">
        <f t="shared" ref="T69:U69" si="384">T21/1000/24/T$3</f>
        <v>14.983131720430103</v>
      </c>
      <c r="U69" s="2877">
        <f t="shared" si="384"/>
        <v>13.067668687818434</v>
      </c>
      <c r="V69" s="2877">
        <f t="shared" si="203"/>
        <v>13.791605191256831</v>
      </c>
      <c r="W69" s="2875">
        <v>15.660574384071754</v>
      </c>
      <c r="X69" s="2876">
        <f t="shared" ref="X69:Z69" si="385">X21/1000/24/X$3</f>
        <v>15.541344086021514</v>
      </c>
      <c r="Y69" s="2877">
        <f t="shared" si="385"/>
        <v>13.593028665490674</v>
      </c>
      <c r="Z69" s="2877">
        <f t="shared" si="385"/>
        <v>14.146127450980396</v>
      </c>
      <c r="AA69" s="2875">
        <v>15.739458127191448</v>
      </c>
      <c r="AB69" s="2876">
        <f t="shared" ref="AB69" si="386">AB21/1000/24/AB$3</f>
        <v>15.586250000000017</v>
      </c>
      <c r="AC69" s="2878">
        <f t="shared" ref="AC69:AF69" si="387">AC21/1000/24/AC$3</f>
        <v>15.686297343784696</v>
      </c>
      <c r="AD69" s="2878">
        <f t="shared" si="387"/>
        <v>15.367894021739136</v>
      </c>
      <c r="AE69" s="2879">
        <f t="shared" si="387"/>
        <v>13.944902347736704</v>
      </c>
      <c r="AF69" s="2879">
        <f t="shared" si="387"/>
        <v>14.382213114754105</v>
      </c>
      <c r="AG69" s="787">
        <v>15.748063626440867</v>
      </c>
      <c r="AH69" s="788">
        <f t="shared" ref="AH69:AJ69" si="388">AH21/1000/24/AH$3</f>
        <v>15.959327956989236</v>
      </c>
      <c r="AI69" s="802">
        <f t="shared" si="388"/>
        <v>14.206107953530299</v>
      </c>
      <c r="AJ69" s="802">
        <f t="shared" si="388"/>
        <v>14.610673676012464</v>
      </c>
      <c r="AK69" s="787">
        <v>15.739458127191448</v>
      </c>
      <c r="AL69" s="788">
        <f t="shared" ref="AL69:AN69" si="389">AL21/1000/24/AL$3</f>
        <v>15.317694444444419</v>
      </c>
      <c r="AM69" s="802">
        <f t="shared" si="389"/>
        <v>14.394634614226343</v>
      </c>
      <c r="AN69" s="802">
        <f t="shared" si="389"/>
        <v>14.697602459016395</v>
      </c>
      <c r="AO69" s="963">
        <v>15.748063626440867</v>
      </c>
      <c r="AP69" s="788">
        <f t="shared" ref="AP69:AT69" si="390">AP21/1000/24/AP$3</f>
        <v>15.84044354838711</v>
      </c>
      <c r="AQ69" s="909">
        <f t="shared" si="390"/>
        <v>15.745257485381273</v>
      </c>
      <c r="AR69" s="909">
        <f t="shared" si="390"/>
        <v>15.710040760869559</v>
      </c>
      <c r="AS69" s="802">
        <f t="shared" si="390"/>
        <v>14.547202975603252</v>
      </c>
      <c r="AT69" s="802">
        <f t="shared" si="390"/>
        <v>14.82643181818182</v>
      </c>
      <c r="AU69" s="787">
        <v>15.748063626440867</v>
      </c>
      <c r="AV69" s="788">
        <f t="shared" ref="AV69:AX69" si="391">AV21/1000/24/AV$3</f>
        <v>17.670685483870987</v>
      </c>
      <c r="AW69" s="802">
        <f t="shared" si="391"/>
        <v>14.668858793171768</v>
      </c>
      <c r="AX69" s="802">
        <f t="shared" si="391"/>
        <v>15.114575163398698</v>
      </c>
      <c r="AY69" s="787">
        <v>15.450313511771991</v>
      </c>
      <c r="AZ69" s="788">
        <f t="shared" ref="AZ69:BB69" si="392">AZ21/1000/24/AZ$3</f>
        <v>16.285133928571387</v>
      </c>
      <c r="BA69" s="802">
        <f t="shared" si="392"/>
        <v>14.73436996718616</v>
      </c>
      <c r="BB69" s="802">
        <f t="shared" si="392"/>
        <v>15.212705838323354</v>
      </c>
      <c r="BC69" s="787">
        <v>15.748063626440867</v>
      </c>
      <c r="BD69" s="788">
        <f t="shared" ref="BD69:BJ69" si="393">BD21/1000/24/BD$3</f>
        <v>16.245846774193566</v>
      </c>
      <c r="BE69" s="909">
        <f t="shared" si="393"/>
        <v>15.655430257432775</v>
      </c>
      <c r="BF69" s="909">
        <f t="shared" si="393"/>
        <v>16.748847222222221</v>
      </c>
      <c r="BG69" s="2879">
        <f t="shared" si="393"/>
        <v>10.42405876697042</v>
      </c>
      <c r="BH69" s="2879">
        <f t="shared" si="393"/>
        <v>11.049546703296707</v>
      </c>
      <c r="BI69" s="802">
        <f t="shared" si="393"/>
        <v>14.820464497150256</v>
      </c>
      <c r="BJ69" s="802">
        <f t="shared" si="393"/>
        <v>15.300452054794523</v>
      </c>
    </row>
    <row r="70" spans="1:62" x14ac:dyDescent="0.25">
      <c r="A70" s="732"/>
      <c r="B70" s="44" t="s">
        <v>926</v>
      </c>
      <c r="C70" s="33" t="s">
        <v>424</v>
      </c>
      <c r="D70" s="770">
        <f t="shared" si="345"/>
        <v>0.52588749999999995</v>
      </c>
      <c r="E70" s="770">
        <f t="shared" si="345"/>
        <v>0.51527553763440859</v>
      </c>
      <c r="G70" s="2827" t="s">
        <v>922</v>
      </c>
      <c r="H70" s="700" t="s">
        <v>892</v>
      </c>
      <c r="I70" s="2874">
        <v>9.7433333333333003</v>
      </c>
      <c r="J70" s="2875">
        <f t="shared" ref="J70:M80" si="394">J22/1000/24/J$3</f>
        <v>10.254416666666652</v>
      </c>
      <c r="K70" s="2874">
        <v>10.573118279569901</v>
      </c>
      <c r="L70" s="2876">
        <f t="shared" si="394"/>
        <v>10.426685483870981</v>
      </c>
      <c r="M70" s="2877">
        <f t="shared" si="394"/>
        <v>10.165027322404359</v>
      </c>
      <c r="N70" s="2877">
        <f t="shared" ref="N70" si="395">N22/1000/24/N$3</f>
        <v>10.341963114754098</v>
      </c>
      <c r="O70" s="2874">
        <v>15.7094875</v>
      </c>
      <c r="P70" s="2875">
        <f t="shared" ref="P70:R80" si="396">P22/1000/24/P$3</f>
        <v>14.686030555555545</v>
      </c>
      <c r="Q70" s="2878">
        <f t="shared" si="396"/>
        <v>11.992871336996329</v>
      </c>
      <c r="R70" s="2878">
        <f t="shared" si="396"/>
        <v>11.774073260073257</v>
      </c>
      <c r="S70" s="2875">
        <v>15.718076612903227</v>
      </c>
      <c r="T70" s="2876">
        <f t="shared" ref="T70:V80" si="397">T22/1000/24/T$3</f>
        <v>14.83982258064516</v>
      </c>
      <c r="U70" s="2877">
        <f t="shared" si="397"/>
        <v>12.939439890710377</v>
      </c>
      <c r="V70" s="2877">
        <f t="shared" si="397"/>
        <v>12.553075136612019</v>
      </c>
      <c r="W70" s="2875">
        <v>15.718076612903227</v>
      </c>
      <c r="X70" s="2876">
        <f t="shared" ref="X70:Z70" si="398">X22/1000/24/X$3</f>
        <v>15.311193548387102</v>
      </c>
      <c r="Y70" s="2877">
        <f t="shared" si="398"/>
        <v>13.50243164488017</v>
      </c>
      <c r="Z70" s="2877">
        <f t="shared" si="398"/>
        <v>13.111909586056646</v>
      </c>
      <c r="AA70" s="2875">
        <v>15.79725</v>
      </c>
      <c r="AB70" s="2876">
        <f t="shared" ref="AB70" si="399">AB22/1000/24/AB$3</f>
        <v>14.165924999999998</v>
      </c>
      <c r="AC70" s="2878">
        <f t="shared" ref="AC70:AF70" si="400">AC22/1000/24/AC$3</f>
        <v>15.743894021739129</v>
      </c>
      <c r="AD70" s="2878">
        <f t="shared" si="400"/>
        <v>14.778904891304347</v>
      </c>
      <c r="AE70" s="2879">
        <f t="shared" si="400"/>
        <v>13.878631375227684</v>
      </c>
      <c r="AF70" s="2879">
        <f t="shared" si="400"/>
        <v>13.284698998178506</v>
      </c>
      <c r="AG70" s="787">
        <v>15.805887096774194</v>
      </c>
      <c r="AH70" s="788">
        <f t="shared" ref="AH70:AJ70" si="401">AH22/1000/24/AH$3</f>
        <v>14.469051075268821</v>
      </c>
      <c r="AI70" s="802">
        <f t="shared" si="401"/>
        <v>14.157813278816194</v>
      </c>
      <c r="AJ70" s="802">
        <f t="shared" si="401"/>
        <v>13.456264018691588</v>
      </c>
      <c r="AK70" s="787">
        <v>15.79725</v>
      </c>
      <c r="AL70" s="788">
        <f t="shared" ref="AL70:AN70" si="402">AL22/1000/24/AL$3</f>
        <v>14.046011111111103</v>
      </c>
      <c r="AM70" s="802">
        <f t="shared" si="402"/>
        <v>14.359383367486338</v>
      </c>
      <c r="AN70" s="802">
        <f t="shared" si="402"/>
        <v>13.528773907103826</v>
      </c>
      <c r="AO70" s="787">
        <v>15.805887096774194</v>
      </c>
      <c r="AP70" s="788">
        <f t="shared" ref="AP70:AT70" si="403">AP22/1000/24/AP$3</f>
        <v>15.206516129032275</v>
      </c>
      <c r="AQ70" s="909">
        <f t="shared" si="403"/>
        <v>15.803070652173913</v>
      </c>
      <c r="AR70" s="909">
        <f t="shared" si="403"/>
        <v>14.579596920289859</v>
      </c>
      <c r="AS70" s="802">
        <f t="shared" si="403"/>
        <v>14.522443787878787</v>
      </c>
      <c r="AT70" s="802">
        <f t="shared" si="403"/>
        <v>13.717901212121214</v>
      </c>
      <c r="AU70" s="787">
        <v>15.805887096774194</v>
      </c>
      <c r="AV70" s="788">
        <f t="shared" ref="AV70:AX70" si="404">AV22/1000/24/AV$3</f>
        <v>15.0931451612903</v>
      </c>
      <c r="AW70" s="802">
        <f t="shared" si="404"/>
        <v>14.652465822440085</v>
      </c>
      <c r="AX70" s="802">
        <f t="shared" si="404"/>
        <v>13.857223311546843</v>
      </c>
      <c r="AY70" s="787">
        <v>15.507043708333331</v>
      </c>
      <c r="AZ70" s="788">
        <f t="shared" ref="AZ70:BB70" si="405">AZ22/1000/24/AZ$3</f>
        <v>14.968133928571465</v>
      </c>
      <c r="BA70" s="802">
        <f t="shared" si="405"/>
        <v>14.724107082335326</v>
      </c>
      <c r="BB70" s="802">
        <f t="shared" si="405"/>
        <v>13.950353542914176</v>
      </c>
      <c r="BC70" s="787">
        <v>15.805887096774194</v>
      </c>
      <c r="BD70" s="788">
        <f t="shared" ref="BD70:BJ70" si="406">BD22/1000/24/BD$3</f>
        <v>15.874927419354822</v>
      </c>
      <c r="BE70" s="909">
        <f t="shared" si="406"/>
        <v>15.712913598148146</v>
      </c>
      <c r="BF70" s="909">
        <f t="shared" si="406"/>
        <v>15.32353333333333</v>
      </c>
      <c r="BG70" s="2879">
        <f t="shared" si="406"/>
        <v>10.462333647435898</v>
      </c>
      <c r="BH70" s="2879">
        <f t="shared" si="406"/>
        <v>10.281542582417577</v>
      </c>
      <c r="BI70" s="802">
        <f t="shared" si="406"/>
        <v>14.815984289041092</v>
      </c>
      <c r="BJ70" s="802">
        <f t="shared" si="406"/>
        <v>14.113810502283105</v>
      </c>
    </row>
    <row r="71" spans="1:62" x14ac:dyDescent="0.25">
      <c r="A71" s="732"/>
      <c r="B71" s="44" t="s">
        <v>928</v>
      </c>
      <c r="C71" s="33" t="s">
        <v>424</v>
      </c>
      <c r="D71" s="770">
        <f t="shared" si="345"/>
        <v>7.5123108333333333</v>
      </c>
      <c r="E71" s="770">
        <f t="shared" si="345"/>
        <v>7.5122983870967737</v>
      </c>
      <c r="G71" s="2827" t="s">
        <v>923</v>
      </c>
      <c r="H71" s="700" t="s">
        <v>893</v>
      </c>
      <c r="I71" s="2874">
        <v>15.1374543557642</v>
      </c>
      <c r="J71" s="2875">
        <f t="shared" si="394"/>
        <v>15.344930555555555</v>
      </c>
      <c r="K71" s="2874">
        <v>15.157030895047701</v>
      </c>
      <c r="L71" s="2876">
        <f t="shared" si="394"/>
        <v>15.467231182795699</v>
      </c>
      <c r="M71" s="2877">
        <f t="shared" si="394"/>
        <v>15.147403088842703</v>
      </c>
      <c r="N71" s="2877">
        <f t="shared" ref="N71" si="407">N23/1000/24/N$3</f>
        <v>15.407083333333334</v>
      </c>
      <c r="O71" s="2874">
        <v>28.744222841679708</v>
      </c>
      <c r="P71" s="2875">
        <f t="shared" ref="P71:Q71" si="408">P23/1000/24/P$3</f>
        <v>28.752265277777788</v>
      </c>
      <c r="Q71" s="2878">
        <f t="shared" si="408"/>
        <v>19.629871139228527</v>
      </c>
      <c r="R71" s="2878">
        <f t="shared" si="396"/>
        <v>19.806593864468869</v>
      </c>
      <c r="S71" s="2875">
        <v>28.763123990357919</v>
      </c>
      <c r="T71" s="2876">
        <f t="shared" ref="T71:U71" si="409">T23/1000/24/T$3</f>
        <v>27.278009408602149</v>
      </c>
      <c r="U71" s="2877">
        <f t="shared" si="409"/>
        <v>21.950615716154847</v>
      </c>
      <c r="V71" s="2877">
        <f t="shared" si="397"/>
        <v>21.705068306010929</v>
      </c>
      <c r="W71" s="2875">
        <v>28.786615837498104</v>
      </c>
      <c r="X71" s="2876">
        <f t="shared" ref="X71:Z71" si="410">X23/1000/24/X$3</f>
        <v>27.222661290322574</v>
      </c>
      <c r="Y71" s="2877">
        <f t="shared" si="410"/>
        <v>23.335687636165577</v>
      </c>
      <c r="Z71" s="2877">
        <f t="shared" si="410"/>
        <v>22.823011982570808</v>
      </c>
      <c r="AA71" s="2875">
        <v>28.929622456964008</v>
      </c>
      <c r="AB71" s="2876">
        <f t="shared" ref="AB71" si="411">AB23/1000/24/AB$3</f>
        <v>29.06893055555555</v>
      </c>
      <c r="AC71" s="2878">
        <f t="shared" ref="AC71:AF71" si="412">AC23/1000/24/AC$3</f>
        <v>28.825332699700617</v>
      </c>
      <c r="AD71" s="2878">
        <f t="shared" si="412"/>
        <v>27.843355525362313</v>
      </c>
      <c r="AE71" s="2879">
        <f t="shared" si="412"/>
        <v>24.252726131378434</v>
      </c>
      <c r="AF71" s="2879">
        <f t="shared" si="412"/>
        <v>23.846933060109286</v>
      </c>
      <c r="AG71" s="787">
        <v>28.947828638497651</v>
      </c>
      <c r="AH71" s="788">
        <f t="shared" ref="AH71:AJ71" si="413">AH23/1000/24/AH$3</f>
        <v>28.758736559139773</v>
      </c>
      <c r="AI71" s="802">
        <f t="shared" si="413"/>
        <v>24.932857802970467</v>
      </c>
      <c r="AJ71" s="802">
        <f t="shared" si="413"/>
        <v>24.558455996884735</v>
      </c>
      <c r="AK71" s="787">
        <v>28.929622456964008</v>
      </c>
      <c r="AL71" s="788">
        <f t="shared" ref="AL71:AN71" si="414">AL23/1000/24/AL$3</f>
        <v>27.514777777777788</v>
      </c>
      <c r="AM71" s="802">
        <f t="shared" si="414"/>
        <v>25.424263293215578</v>
      </c>
      <c r="AN71" s="802">
        <f t="shared" si="414"/>
        <v>24.921938183060107</v>
      </c>
      <c r="AO71" s="787">
        <v>28.947828638497651</v>
      </c>
      <c r="AP71" s="788">
        <f t="shared" ref="AP71:AT71" si="415">AP23/1000/24/AP$3</f>
        <v>28.854892473118273</v>
      </c>
      <c r="AQ71" s="909">
        <f t="shared" si="415"/>
        <v>28.941891840171465</v>
      </c>
      <c r="AR71" s="909">
        <f t="shared" si="415"/>
        <v>28.385498188405794</v>
      </c>
      <c r="AS71" s="802">
        <f t="shared" si="415"/>
        <v>25.821465204865557</v>
      </c>
      <c r="AT71" s="802">
        <f t="shared" si="415"/>
        <v>25.365289393939392</v>
      </c>
      <c r="AU71" s="787">
        <v>28.947828638497651</v>
      </c>
      <c r="AV71" s="788">
        <f t="shared" ref="AV71:AX71" si="416">AV23/1000/24/AV$3</f>
        <v>28.357864247311838</v>
      </c>
      <c r="AW71" s="802">
        <f t="shared" si="416"/>
        <v>26.138188297815216</v>
      </c>
      <c r="AX71" s="802">
        <f t="shared" si="416"/>
        <v>25.668458741830065</v>
      </c>
      <c r="AY71" s="787">
        <v>28.391625891320139</v>
      </c>
      <c r="AZ71" s="788">
        <f t="shared" ref="AZ71:BB71" si="417">AZ23/1000/24/AZ$3</f>
        <v>27.196144345238086</v>
      </c>
      <c r="BA71" s="802">
        <f t="shared" si="417"/>
        <v>26.327099233797668</v>
      </c>
      <c r="BB71" s="802">
        <f t="shared" si="417"/>
        <v>25.796528193612776</v>
      </c>
      <c r="BC71" s="787">
        <v>28.947828638497651</v>
      </c>
      <c r="BD71" s="788">
        <f t="shared" ref="BD71:BJ71" si="418">BD23/1000/24/BD$3</f>
        <v>28.224569892473113</v>
      </c>
      <c r="BE71" s="909">
        <f t="shared" si="418"/>
        <v>28.774787783820198</v>
      </c>
      <c r="BF71" s="909">
        <f t="shared" si="418"/>
        <v>27.950527777777779</v>
      </c>
      <c r="BG71" s="2879">
        <f t="shared" si="418"/>
        <v>19.159964771083764</v>
      </c>
      <c r="BH71" s="2879">
        <f t="shared" si="418"/>
        <v>18.629171245421247</v>
      </c>
      <c r="BI71" s="802">
        <f t="shared" si="418"/>
        <v>26.549681731183142</v>
      </c>
      <c r="BJ71" s="802">
        <f t="shared" si="418"/>
        <v>26.002745433789954</v>
      </c>
    </row>
    <row r="72" spans="1:62" x14ac:dyDescent="0.25">
      <c r="A72" s="732"/>
      <c r="B72" s="44" t="s">
        <v>894</v>
      </c>
      <c r="C72" s="33" t="s">
        <v>424</v>
      </c>
      <c r="D72" s="770">
        <f t="shared" si="345"/>
        <v>34.170291666666692</v>
      </c>
      <c r="E72" s="770">
        <f t="shared" si="345"/>
        <v>33.882594086021491</v>
      </c>
      <c r="G72" s="2827" t="s">
        <v>924</v>
      </c>
      <c r="H72" s="700" t="s">
        <v>85</v>
      </c>
      <c r="I72" s="2874">
        <v>1.9</v>
      </c>
      <c r="J72" s="2875">
        <f t="shared" si="394"/>
        <v>0.86997222222222492</v>
      </c>
      <c r="K72" s="2874">
        <v>1.9</v>
      </c>
      <c r="L72" s="2876">
        <f t="shared" si="394"/>
        <v>0.73091397849462358</v>
      </c>
      <c r="M72" s="2877">
        <f t="shared" si="394"/>
        <v>1.9</v>
      </c>
      <c r="N72" s="2877">
        <f t="shared" ref="N72" si="419">N24/1000/24/N$3</f>
        <v>0.79930327868852591</v>
      </c>
      <c r="O72" s="2874">
        <v>1.9</v>
      </c>
      <c r="P72" s="2875">
        <f t="shared" ref="P72:Q72" si="420">P24/1000/24/P$3</f>
        <v>1.845055555555557</v>
      </c>
      <c r="Q72" s="2878">
        <f t="shared" si="420"/>
        <v>1.9000000000000001</v>
      </c>
      <c r="R72" s="2878">
        <f t="shared" si="396"/>
        <v>1.1440567765567777</v>
      </c>
      <c r="S72" s="2875">
        <v>1.9</v>
      </c>
      <c r="T72" s="2876">
        <f t="shared" ref="T72:U72" si="421">T24/1000/24/T$3</f>
        <v>1.6234005376344061</v>
      </c>
      <c r="U72" s="2877">
        <f t="shared" si="421"/>
        <v>1.9</v>
      </c>
      <c r="V72" s="2877">
        <f t="shared" si="397"/>
        <v>1.2658572404371586</v>
      </c>
      <c r="W72" s="2875">
        <v>1.9</v>
      </c>
      <c r="X72" s="2876">
        <f t="shared" ref="X72:Z72" si="422">X24/1000/24/X$3</f>
        <v>1.583991935483871</v>
      </c>
      <c r="Y72" s="2877">
        <f t="shared" si="422"/>
        <v>1.9</v>
      </c>
      <c r="Z72" s="2877">
        <f t="shared" si="422"/>
        <v>1.3303159041394339</v>
      </c>
      <c r="AA72" s="2875">
        <v>1.9</v>
      </c>
      <c r="AB72" s="2876">
        <f t="shared" ref="AB72" si="423">AB24/1000/24/AB$3</f>
        <v>1.6295555555555563</v>
      </c>
      <c r="AC72" s="2878">
        <f t="shared" ref="AC72:AF72" si="424">AC24/1000/24/AC$3</f>
        <v>1.9</v>
      </c>
      <c r="AD72" s="2878">
        <f t="shared" si="424"/>
        <v>1.6121286231884056</v>
      </c>
      <c r="AE72" s="2879">
        <f t="shared" si="424"/>
        <v>1.9</v>
      </c>
      <c r="AF72" s="2879">
        <f t="shared" si="424"/>
        <v>1.3793715846994539</v>
      </c>
      <c r="AG72" s="787">
        <v>1.9</v>
      </c>
      <c r="AH72" s="788">
        <f t="shared" ref="AH72:AJ72" si="425">AH24/1000/24/AH$3</f>
        <v>1.5137365591397844</v>
      </c>
      <c r="AI72" s="802">
        <f t="shared" si="425"/>
        <v>1.9</v>
      </c>
      <c r="AJ72" s="802">
        <f t="shared" si="425"/>
        <v>1.3988356697819317</v>
      </c>
      <c r="AK72" s="787">
        <v>1.9</v>
      </c>
      <c r="AL72" s="788">
        <f t="shared" ref="AL72:AN72" si="426">AL24/1000/24/AL$3</f>
        <v>1.407957870370371</v>
      </c>
      <c r="AM72" s="802">
        <f t="shared" si="426"/>
        <v>1.9</v>
      </c>
      <c r="AN72" s="802">
        <f t="shared" si="426"/>
        <v>1.399957251821494</v>
      </c>
      <c r="AO72" s="787">
        <v>1.9</v>
      </c>
      <c r="AP72" s="788">
        <f t="shared" ref="AP72:AT72" si="427">AP24/1000/24/AP$3</f>
        <v>1.3689704301075267</v>
      </c>
      <c r="AQ72" s="909">
        <f t="shared" si="427"/>
        <v>1.9</v>
      </c>
      <c r="AR72" s="909">
        <f t="shared" si="427"/>
        <v>1.4304636171497587</v>
      </c>
      <c r="AS72" s="802">
        <f t="shared" si="427"/>
        <v>1.9</v>
      </c>
      <c r="AT72" s="802">
        <f t="shared" si="427"/>
        <v>1.396464191919192</v>
      </c>
      <c r="AU72" s="787">
        <v>1.9</v>
      </c>
      <c r="AV72" s="788">
        <f t="shared" ref="AV72:AX72" si="428">AV24/1000/24/AV$3</f>
        <v>1.1437620967741935</v>
      </c>
      <c r="AW72" s="802">
        <f t="shared" si="428"/>
        <v>1.9</v>
      </c>
      <c r="AX72" s="802">
        <f t="shared" si="428"/>
        <v>1.3708636528685549</v>
      </c>
      <c r="AY72" s="787">
        <v>1.9</v>
      </c>
      <c r="AZ72" s="788">
        <f t="shared" ref="AZ72:BB72" si="429">AZ24/1000/24/AZ$3</f>
        <v>1.1825633928571424</v>
      </c>
      <c r="BA72" s="802">
        <f t="shared" si="429"/>
        <v>1.9000000000000001</v>
      </c>
      <c r="BB72" s="802">
        <f t="shared" si="429"/>
        <v>1.3550780023286761</v>
      </c>
      <c r="BC72" s="787">
        <v>1.9</v>
      </c>
      <c r="BD72" s="788">
        <f t="shared" ref="BD72:BJ72" si="430">BD24/1000/24/BD$3</f>
        <v>1.5736034946236563</v>
      </c>
      <c r="BE72" s="909">
        <f t="shared" si="430"/>
        <v>1.9</v>
      </c>
      <c r="BF72" s="909">
        <f t="shared" si="430"/>
        <v>1.3038900925925925</v>
      </c>
      <c r="BG72" s="2879">
        <f t="shared" si="430"/>
        <v>1.2631868131868131</v>
      </c>
      <c r="BH72" s="2879">
        <f t="shared" si="430"/>
        <v>0.91281217948717974</v>
      </c>
      <c r="BI72" s="802">
        <f t="shared" si="430"/>
        <v>1.9</v>
      </c>
      <c r="BJ72" s="802">
        <f t="shared" si="430"/>
        <v>1.3736377016742771</v>
      </c>
    </row>
    <row r="73" spans="1:62" x14ac:dyDescent="0.25">
      <c r="A73" s="732"/>
      <c r="B73" s="44" t="s">
        <v>538</v>
      </c>
      <c r="C73" s="33" t="s">
        <v>424</v>
      </c>
      <c r="D73" s="770">
        <f t="shared" si="345"/>
        <v>4.9680555555555559</v>
      </c>
      <c r="E73" s="770">
        <f t="shared" si="345"/>
        <v>4.4534946236559207</v>
      </c>
      <c r="G73" s="2827" t="s">
        <v>925</v>
      </c>
      <c r="H73" s="700" t="s">
        <v>535</v>
      </c>
      <c r="I73" s="2874">
        <v>8.9227430555555998</v>
      </c>
      <c r="J73" s="2875">
        <f t="shared" si="394"/>
        <v>8.4642986111111114</v>
      </c>
      <c r="K73" s="2874">
        <v>9.4250392025089607</v>
      </c>
      <c r="L73" s="2876">
        <f t="shared" si="394"/>
        <v>6.9053718637992869</v>
      </c>
      <c r="M73" s="2877">
        <f t="shared" si="394"/>
        <v>9.1780083105646835</v>
      </c>
      <c r="N73" s="2877">
        <f t="shared" ref="N73" si="431">N25/1000/24/N$3</f>
        <v>7.6720571493624794</v>
      </c>
      <c r="O73" s="2874">
        <v>8.7058738425925917</v>
      </c>
      <c r="P73" s="2875">
        <f t="shared" ref="P73:Q73" si="432">P25/1000/24/P$3</f>
        <v>9.075726851851849</v>
      </c>
      <c r="Q73" s="2878">
        <f t="shared" si="432"/>
        <v>9.0223595848595988</v>
      </c>
      <c r="R73" s="2878">
        <f t="shared" si="396"/>
        <v>8.1348054029304038</v>
      </c>
      <c r="S73" s="2875">
        <v>8.8310651881720421</v>
      </c>
      <c r="T73" s="2876">
        <f t="shared" ref="T73:U73" si="433">T25/1000/24/T$3</f>
        <v>9.2438754480286729</v>
      </c>
      <c r="U73" s="2877">
        <f t="shared" si="433"/>
        <v>8.9737519922586628</v>
      </c>
      <c r="V73" s="2877">
        <f t="shared" si="397"/>
        <v>8.4166182832422596</v>
      </c>
      <c r="W73" s="2875">
        <v>8.8310651881720421</v>
      </c>
      <c r="X73" s="2876">
        <f t="shared" ref="X73:Z73" si="434">X25/1000/24/X$3</f>
        <v>9.7738037634408599</v>
      </c>
      <c r="Y73" s="2877">
        <f t="shared" si="434"/>
        <v>8.9448415940450339</v>
      </c>
      <c r="Z73" s="2877">
        <f t="shared" si="434"/>
        <v>8.6916035766158313</v>
      </c>
      <c r="AA73" s="2875">
        <v>8.8107638888888893</v>
      </c>
      <c r="AB73" s="2876">
        <f t="shared" ref="AB73" si="435">AB25/1000/24/AB$3</f>
        <v>9.6859629629629644</v>
      </c>
      <c r="AC73" s="2878">
        <f t="shared" ref="AC73:AF73" si="436">AC25/1000/24/AC$3</f>
        <v>8.8244451992753632</v>
      </c>
      <c r="AD73" s="2878">
        <f t="shared" si="436"/>
        <v>9.5665972222222209</v>
      </c>
      <c r="AE73" s="2879">
        <f t="shared" si="436"/>
        <v>8.9228616423800915</v>
      </c>
      <c r="AF73" s="2879">
        <f t="shared" si="436"/>
        <v>8.8546133120825736</v>
      </c>
      <c r="AG73" s="787">
        <v>8.8310651881720421</v>
      </c>
      <c r="AH73" s="788">
        <f t="shared" ref="AH73:AJ73" si="437">AH25/1000/24/AH$3</f>
        <v>9.4386133512544692</v>
      </c>
      <c r="AI73" s="802">
        <f t="shared" si="437"/>
        <v>8.9095640251817301</v>
      </c>
      <c r="AJ73" s="802">
        <f t="shared" si="437"/>
        <v>8.9392114485981296</v>
      </c>
      <c r="AK73" s="787">
        <v>8.8107638888888893</v>
      </c>
      <c r="AL73" s="788">
        <f t="shared" ref="AL73:AN73" si="438">AL25/1000/24/AL$3</f>
        <v>9.4833356481481523</v>
      </c>
      <c r="AM73" s="802">
        <f t="shared" si="438"/>
        <v>8.8974164674408076</v>
      </c>
      <c r="AN73" s="802">
        <f t="shared" si="438"/>
        <v>9.0061119649362471</v>
      </c>
      <c r="AO73" s="787">
        <v>8.8310651881720421</v>
      </c>
      <c r="AP73" s="788">
        <f t="shared" ref="AP73:AT73" si="439">AP25/1000/24/AP$3</f>
        <v>9.2365681003584275</v>
      </c>
      <c r="AQ73" s="909">
        <f t="shared" si="439"/>
        <v>8.8244451992753632</v>
      </c>
      <c r="AR73" s="909">
        <f t="shared" si="439"/>
        <v>9.3851162439613507</v>
      </c>
      <c r="AS73" s="802">
        <f t="shared" si="439"/>
        <v>8.8899368686868723</v>
      </c>
      <c r="AT73" s="802">
        <f t="shared" si="439"/>
        <v>9.0320906565656571</v>
      </c>
      <c r="AU73" s="787">
        <v>8.8310651881720421</v>
      </c>
      <c r="AV73" s="788">
        <f t="shared" ref="AV73:AX73" si="440">AV25/1000/24/AV$3</f>
        <v>9.2283413978494639</v>
      </c>
      <c r="AW73" s="802">
        <f t="shared" si="440"/>
        <v>8.8839727441902738</v>
      </c>
      <c r="AX73" s="802">
        <f t="shared" si="440"/>
        <v>9.0519722676107488</v>
      </c>
      <c r="AY73" s="787">
        <v>8.7658110119047628</v>
      </c>
      <c r="AZ73" s="788">
        <f t="shared" ref="AZ73:BB73" si="441">AZ25/1000/24/AZ$3</f>
        <v>10.473635912698413</v>
      </c>
      <c r="BA73" s="802">
        <f t="shared" si="441"/>
        <v>8.8740669702262185</v>
      </c>
      <c r="BB73" s="802">
        <f t="shared" si="441"/>
        <v>9.1711536510312719</v>
      </c>
      <c r="BC73" s="787">
        <v>8.8310651881720421</v>
      </c>
      <c r="BD73" s="788">
        <f t="shared" ref="BD73:BJ73" si="442">BD25/1000/24/BD$3</f>
        <v>9.7293615591397877</v>
      </c>
      <c r="BE73" s="909">
        <f t="shared" si="442"/>
        <v>8.8107638888888893</v>
      </c>
      <c r="BF73" s="909">
        <f t="shared" si="442"/>
        <v>9.7883399691358033</v>
      </c>
      <c r="BG73" s="2879">
        <f t="shared" si="442"/>
        <v>5.8611635760073257</v>
      </c>
      <c r="BH73" s="2879">
        <f t="shared" si="442"/>
        <v>6.4975868437118436</v>
      </c>
      <c r="BI73" s="802">
        <f t="shared" si="442"/>
        <v>8.8704147640791522</v>
      </c>
      <c r="BJ73" s="802">
        <f t="shared" si="442"/>
        <v>9.2185630898021316</v>
      </c>
    </row>
    <row r="74" spans="1:62" x14ac:dyDescent="0.25">
      <c r="A74" s="732"/>
      <c r="B74" s="44" t="s">
        <v>932</v>
      </c>
      <c r="C74" s="33" t="s">
        <v>424</v>
      </c>
      <c r="D74" s="770">
        <f t="shared" si="345"/>
        <v>3.0618194444444473</v>
      </c>
      <c r="E74" s="770">
        <f t="shared" si="345"/>
        <v>3.1648387096774182</v>
      </c>
      <c r="G74" s="2827" t="s">
        <v>927</v>
      </c>
      <c r="H74" s="700" t="s">
        <v>536</v>
      </c>
      <c r="I74" s="2874">
        <v>6.0028785261945998</v>
      </c>
      <c r="J74" s="2875">
        <f t="shared" si="394"/>
        <v>4.3901874999999997</v>
      </c>
      <c r="K74" s="2874">
        <v>6.00169925901164</v>
      </c>
      <c r="L74" s="2876">
        <f t="shared" si="394"/>
        <v>6.5526030465949745</v>
      </c>
      <c r="M74" s="2877">
        <f t="shared" si="394"/>
        <v>6.0022792264786693</v>
      </c>
      <c r="N74" s="2877">
        <f t="shared" ref="N74" si="443">N26/1000/24/N$3</f>
        <v>5.4891199908925277</v>
      </c>
      <c r="O74" s="2874">
        <v>7.3906160046056426</v>
      </c>
      <c r="P74" s="2875">
        <f t="shared" ref="P74:Q74" si="444">P26/1000/24/P$3</f>
        <v>6.9682824074074086</v>
      </c>
      <c r="Q74" s="2878">
        <f t="shared" si="444"/>
        <v>6.4599726698172333</v>
      </c>
      <c r="R74" s="2878">
        <f t="shared" si="396"/>
        <v>5.9767559523809508</v>
      </c>
      <c r="S74" s="2875">
        <v>7.3722770070756045</v>
      </c>
      <c r="T74" s="2876">
        <f t="shared" ref="T74:U74" si="445">T26/1000/24/T$3</f>
        <v>6.5802329749104072</v>
      </c>
      <c r="U74" s="2877">
        <f t="shared" si="445"/>
        <v>6.6917877063337041</v>
      </c>
      <c r="V74" s="2877">
        <f t="shared" si="397"/>
        <v>6.1300984744990901</v>
      </c>
      <c r="W74" s="2875">
        <v>7.3722770070756045</v>
      </c>
      <c r="X74" s="2876">
        <f t="shared" ref="X74:Z74" si="446">X26/1000/24/X$3</f>
        <v>7.0378897849462279</v>
      </c>
      <c r="Y74" s="2877">
        <f t="shared" si="446"/>
        <v>6.8296646234774885</v>
      </c>
      <c r="Z74" s="2877">
        <f t="shared" si="446"/>
        <v>6.3140300472040654</v>
      </c>
      <c r="AA74" s="2875">
        <v>7.3906160046056426</v>
      </c>
      <c r="AB74" s="2876">
        <f t="shared" ref="AB74" si="447">AB26/1000/24/AB$3</f>
        <v>6.8216018518518569</v>
      </c>
      <c r="AC74" s="2878">
        <f t="shared" ref="AC74:AF74" si="448">AC26/1000/24/AC$3</f>
        <v>7.3782571149658347</v>
      </c>
      <c r="AD74" s="2878">
        <f t="shared" si="448"/>
        <v>6.8131506642512099</v>
      </c>
      <c r="AE74" s="2879">
        <f t="shared" si="448"/>
        <v>6.9216238662853824</v>
      </c>
      <c r="AF74" s="2879">
        <f t="shared" si="448"/>
        <v>6.397238539769277</v>
      </c>
      <c r="AG74" s="787">
        <v>7.3722770070756045</v>
      </c>
      <c r="AH74" s="788">
        <f t="shared" ref="AH74:AJ74" si="449">AH26/1000/24/AH$3</f>
        <v>7.3077262544802881</v>
      </c>
      <c r="AI74" s="802">
        <f t="shared" si="449"/>
        <v>6.9869053960260219</v>
      </c>
      <c r="AJ74" s="802">
        <f t="shared" si="449"/>
        <v>6.5291316199376954</v>
      </c>
      <c r="AK74" s="787">
        <v>7.3906160046056426</v>
      </c>
      <c r="AL74" s="788">
        <f t="shared" ref="AL74:AN74" si="450">AL26/1000/24/AL$3</f>
        <v>6.9169884259259282</v>
      </c>
      <c r="AM74" s="802">
        <f t="shared" si="450"/>
        <v>7.0365419462612211</v>
      </c>
      <c r="AN74" s="802">
        <f t="shared" si="450"/>
        <v>6.5768189321493633</v>
      </c>
      <c r="AO74" s="787">
        <v>7.3722770070756045</v>
      </c>
      <c r="AP74" s="788">
        <f t="shared" ref="AP74:AT74" si="451">AP26/1000/24/AP$3</f>
        <v>7.5836245519713161</v>
      </c>
      <c r="AQ74" s="909">
        <f t="shared" si="451"/>
        <v>7.3782571149658338</v>
      </c>
      <c r="AR74" s="909">
        <f t="shared" si="451"/>
        <v>7.2732774758454086</v>
      </c>
      <c r="AS74" s="802">
        <f t="shared" si="451"/>
        <v>7.074388444025753</v>
      </c>
      <c r="AT74" s="802">
        <f t="shared" si="451"/>
        <v>6.690313383838383</v>
      </c>
      <c r="AU74" s="787">
        <v>7.3722770070756045</v>
      </c>
      <c r="AV74" s="788">
        <f t="shared" ref="AV74:AX74" si="452">AV26/1000/24/AV$3</f>
        <v>7.5972244623655945</v>
      </c>
      <c r="AW74" s="802">
        <f t="shared" si="452"/>
        <v>7.1045666971451826</v>
      </c>
      <c r="AX74" s="802">
        <f t="shared" si="452"/>
        <v>6.782189996368917</v>
      </c>
      <c r="AY74" s="787">
        <v>7.1875771033802129</v>
      </c>
      <c r="AZ74" s="788">
        <f t="shared" ref="AZ74:BB74" si="453">AZ26/1000/24/AZ$3</f>
        <v>6.7037847222222213</v>
      </c>
      <c r="BA74" s="802">
        <f t="shared" si="453"/>
        <v>7.1115256533565017</v>
      </c>
      <c r="BB74" s="802">
        <f t="shared" si="453"/>
        <v>6.7756170991350633</v>
      </c>
      <c r="BC74" s="787">
        <v>7.3722770070756045</v>
      </c>
      <c r="BD74" s="788">
        <f t="shared" ref="BD74:BJ74" si="454">BD26/1000/24/BD$3</f>
        <v>7.4528293010752718</v>
      </c>
      <c r="BE74" s="909">
        <f t="shared" si="454"/>
        <v>7.3148148148148149</v>
      </c>
      <c r="BF74" s="909">
        <f t="shared" si="454"/>
        <v>7.2695293209876573</v>
      </c>
      <c r="BG74" s="2879">
        <f t="shared" si="454"/>
        <v>4.8729336294103138</v>
      </c>
      <c r="BH74" s="2879">
        <f t="shared" si="454"/>
        <v>4.8642601495726518</v>
      </c>
      <c r="BI74" s="802">
        <f t="shared" si="454"/>
        <v>7.1336716587408651</v>
      </c>
      <c r="BJ74" s="802">
        <f t="shared" si="454"/>
        <v>6.8331337519025874</v>
      </c>
    </row>
    <row r="75" spans="1:62" x14ac:dyDescent="0.25">
      <c r="A75" s="732"/>
      <c r="B75" s="44" t="s">
        <v>935</v>
      </c>
      <c r="C75" s="33" t="s">
        <v>424</v>
      </c>
      <c r="D75" s="770">
        <f>+((D32/1000)/D$3)/24</f>
        <v>1.5425277777777777</v>
      </c>
      <c r="E75" s="770">
        <f>+((E32/1000)/E$3)/24</f>
        <v>1.5533870967741941</v>
      </c>
      <c r="G75" s="2827" t="s">
        <v>929</v>
      </c>
      <c r="H75" s="700" t="s">
        <v>537</v>
      </c>
      <c r="I75" s="2874">
        <v>2.0238592824800001</v>
      </c>
      <c r="J75" s="2875">
        <f t="shared" si="394"/>
        <v>2.3532916666666663</v>
      </c>
      <c r="K75" s="2874">
        <v>0.5</v>
      </c>
      <c r="L75" s="2876">
        <f t="shared" si="394"/>
        <v>2.0358422939068146</v>
      </c>
      <c r="M75" s="2877">
        <f t="shared" si="394"/>
        <v>1.2494389913836068</v>
      </c>
      <c r="N75" s="2877">
        <f t="shared" ref="N75" si="455">N27/1000/24/N$3</f>
        <v>2.1919649362477251</v>
      </c>
      <c r="O75" s="2874">
        <v>6.5954371299198877</v>
      </c>
      <c r="P75" s="2875">
        <f t="shared" ref="P75:Q75" si="456">P27/1000/24/P$3</f>
        <v>2.6666157407407396</v>
      </c>
      <c r="Q75" s="2878">
        <f t="shared" si="456"/>
        <v>3.0118559601318315</v>
      </c>
      <c r="R75" s="2878">
        <f t="shared" si="396"/>
        <v>2.348443223443224</v>
      </c>
      <c r="S75" s="2875">
        <v>5.8988101257289234</v>
      </c>
      <c r="T75" s="2876">
        <f t="shared" ref="T75:U75" si="457">T27/1000/24/T$3</f>
        <v>3.8925985663082452</v>
      </c>
      <c r="U75" s="2877">
        <f t="shared" si="457"/>
        <v>3.7454262808983056</v>
      </c>
      <c r="V75" s="2877">
        <f t="shared" si="397"/>
        <v>2.7408105646630245</v>
      </c>
      <c r="W75" s="2875">
        <v>6.6361613914450404</v>
      </c>
      <c r="X75" s="2876">
        <f t="shared" ref="X75:Z75" si="458">X27/1000/24/X$3</f>
        <v>3.3898481182795717</v>
      </c>
      <c r="Y75" s="2877">
        <f t="shared" si="458"/>
        <v>4.331130780420847</v>
      </c>
      <c r="Z75" s="2877">
        <f t="shared" si="458"/>
        <v>2.8723149055918675</v>
      </c>
      <c r="AA75" s="2875">
        <v>6.8573667711598754</v>
      </c>
      <c r="AB75" s="2876">
        <f t="shared" ref="AB75" si="459">AB27/1000/24/AB$3</f>
        <v>2.6725504629629575</v>
      </c>
      <c r="AC75" s="2878">
        <f t="shared" ref="AC75:AF75" si="460">AC27/1000/24/AC$3</f>
        <v>6.459838262686838</v>
      </c>
      <c r="AD75" s="2878">
        <f t="shared" si="460"/>
        <v>3.3253517512077289</v>
      </c>
      <c r="AE75" s="2879">
        <f t="shared" si="460"/>
        <v>4.7452678280829819</v>
      </c>
      <c r="AF75" s="2879">
        <f t="shared" si="460"/>
        <v>2.8395666363084393</v>
      </c>
      <c r="AG75" s="787">
        <v>6.6361613914450404</v>
      </c>
      <c r="AH75" s="788">
        <f t="shared" ref="AH75:AJ75" si="461">AH27/1000/24/AH$3</f>
        <v>4.0687571684587862</v>
      </c>
      <c r="AI75" s="802">
        <f t="shared" si="461"/>
        <v>5.0191823162335609</v>
      </c>
      <c r="AJ75" s="802">
        <f t="shared" si="461"/>
        <v>3.0176269470404988</v>
      </c>
      <c r="AK75" s="787">
        <v>6.8573667711598754</v>
      </c>
      <c r="AL75" s="788">
        <f t="shared" ref="AL75:AN75" si="462">AL27/1000/24/AL$3</f>
        <v>3.968978703703705</v>
      </c>
      <c r="AM75" s="802">
        <f t="shared" si="462"/>
        <v>5.24518860167532</v>
      </c>
      <c r="AN75" s="802">
        <f t="shared" si="462"/>
        <v>3.1345964253187621</v>
      </c>
      <c r="AO75" s="787">
        <v>6.6361613914450404</v>
      </c>
      <c r="AP75" s="788">
        <f t="shared" ref="AP75:AT75" si="463">AP27/1000/24/AP$3</f>
        <v>4.35566756272401</v>
      </c>
      <c r="AQ75" s="909">
        <f t="shared" si="463"/>
        <v>6.7082935804824864</v>
      </c>
      <c r="AR75" s="909">
        <f t="shared" si="463"/>
        <v>4.1328970410628028</v>
      </c>
      <c r="AS75" s="802">
        <f t="shared" si="463"/>
        <v>5.4019891707039074</v>
      </c>
      <c r="AT75" s="802">
        <f t="shared" si="463"/>
        <v>3.2722444444444445</v>
      </c>
      <c r="AU75" s="787">
        <v>6.6361613914450404</v>
      </c>
      <c r="AV75" s="788">
        <f t="shared" ref="AV75:AX75" si="464">AV27/1000/24/AV$3</f>
        <v>3.7758198924731214</v>
      </c>
      <c r="AW75" s="802">
        <f t="shared" si="464"/>
        <v>5.5270196897985961</v>
      </c>
      <c r="AX75" s="802">
        <f t="shared" si="464"/>
        <v>3.3232602578068269</v>
      </c>
      <c r="AY75" s="787">
        <v>7.3471786833855806</v>
      </c>
      <c r="AZ75" s="788">
        <f t="shared" ref="AZ75:BB75" si="465">AZ27/1000/24/AZ$3</f>
        <v>3.9740972222222193</v>
      </c>
      <c r="BA75" s="802">
        <f t="shared" si="465"/>
        <v>5.679607868901698</v>
      </c>
      <c r="BB75" s="802">
        <f t="shared" si="465"/>
        <v>3.3778214404524292</v>
      </c>
      <c r="BC75" s="787">
        <v>6.6361613914450404</v>
      </c>
      <c r="BD75" s="788">
        <f t="shared" ref="BD75:BJ75" si="466">BD27/1000/24/BD$3</f>
        <v>3.9819516129032286</v>
      </c>
      <c r="BE75" s="909">
        <f t="shared" si="466"/>
        <v>6.8573667711598745</v>
      </c>
      <c r="BF75" s="909">
        <f t="shared" si="466"/>
        <v>3.9085070987654333</v>
      </c>
      <c r="BG75" s="2879">
        <f t="shared" si="466"/>
        <v>4.5213407282372797</v>
      </c>
      <c r="BH75" s="2879">
        <f t="shared" si="466"/>
        <v>2.611022741147742</v>
      </c>
      <c r="BI75" s="802">
        <f t="shared" si="466"/>
        <v>5.7608494009533242</v>
      </c>
      <c r="BJ75" s="802">
        <f t="shared" si="466"/>
        <v>3.4291311263318121</v>
      </c>
    </row>
    <row r="76" spans="1:62" x14ac:dyDescent="0.25">
      <c r="A76" s="732"/>
      <c r="B76" s="44" t="s">
        <v>895</v>
      </c>
      <c r="C76" s="33" t="s">
        <v>424</v>
      </c>
      <c r="D76" s="770">
        <f t="shared" ref="D76:E79" si="467">+((D34/1000)/D$3)/24</f>
        <v>0.6318055555555544</v>
      </c>
      <c r="E76" s="770">
        <f t="shared" si="467"/>
        <v>0.59745967741935579</v>
      </c>
      <c r="G76" s="2827" t="s">
        <v>930</v>
      </c>
      <c r="H76" s="700" t="s">
        <v>894</v>
      </c>
      <c r="I76" s="2874">
        <v>34.4</v>
      </c>
      <c r="J76" s="2875">
        <f t="shared" si="394"/>
        <v>29.706083333333332</v>
      </c>
      <c r="K76" s="2874">
        <v>34.4</v>
      </c>
      <c r="L76" s="2876">
        <f t="shared" si="394"/>
        <v>33.695443548387232</v>
      </c>
      <c r="M76" s="2877">
        <f t="shared" si="394"/>
        <v>34.4</v>
      </c>
      <c r="N76" s="2877">
        <f t="shared" ref="N76" si="468">N28/1000/24/N$3</f>
        <v>31.733463114754169</v>
      </c>
      <c r="O76" s="2874">
        <v>34.4</v>
      </c>
      <c r="P76" s="2875">
        <f t="shared" ref="P76:Q76" si="469">P28/1000/24/P$3</f>
        <v>34.843458333333388</v>
      </c>
      <c r="Q76" s="2878">
        <f t="shared" si="469"/>
        <v>34.4</v>
      </c>
      <c r="R76" s="2878">
        <f t="shared" si="396"/>
        <v>32.758736263736331</v>
      </c>
      <c r="S76" s="2874">
        <v>34.4</v>
      </c>
      <c r="T76" s="2876">
        <f t="shared" ref="T76:U76" si="470">T28/1000/24/T$3</f>
        <v>34.384153225806394</v>
      </c>
      <c r="U76" s="2877">
        <f t="shared" si="470"/>
        <v>34.4</v>
      </c>
      <c r="V76" s="2877">
        <f t="shared" si="397"/>
        <v>33.171752049180363</v>
      </c>
      <c r="W76" s="2874">
        <v>34.4</v>
      </c>
      <c r="X76" s="2876">
        <f t="shared" ref="X76:Z76" si="471">X28/1000/24/X$3</f>
        <v>34.868252688171999</v>
      </c>
      <c r="Y76" s="2877">
        <f t="shared" si="471"/>
        <v>34.4</v>
      </c>
      <c r="Z76" s="2877">
        <f t="shared" si="471"/>
        <v>33.5154874727669</v>
      </c>
      <c r="AA76" s="2874">
        <v>34.4</v>
      </c>
      <c r="AB76" s="2876">
        <f t="shared" ref="AB76" si="472">AB28/1000/24/AB$3</f>
        <v>34.994170833333392</v>
      </c>
      <c r="AC76" s="2878">
        <f t="shared" ref="AC76:AF76" si="473">AC28/1000/24/AC$3</f>
        <v>34.4</v>
      </c>
      <c r="AD76" s="2878">
        <f t="shared" si="473"/>
        <v>34.746192481884044</v>
      </c>
      <c r="AE76" s="2879">
        <f t="shared" si="473"/>
        <v>34.4</v>
      </c>
      <c r="AF76" s="2879">
        <f t="shared" si="473"/>
        <v>33.757894581056483</v>
      </c>
      <c r="AG76" s="963">
        <v>34.4</v>
      </c>
      <c r="AH76" s="788">
        <f t="shared" ref="AH76:AJ76" si="474">AH28/1000/24/AH$3</f>
        <v>35.429794354838705</v>
      </c>
      <c r="AI76" s="802">
        <f t="shared" si="474"/>
        <v>34.4</v>
      </c>
      <c r="AJ76" s="802">
        <f t="shared" si="474"/>
        <v>34.000085669781946</v>
      </c>
      <c r="AK76" s="963">
        <v>34.4</v>
      </c>
      <c r="AL76" s="788">
        <f t="shared" ref="AL76:AN76" si="475">AL28/1000/24/AL$3</f>
        <v>35.204166666666573</v>
      </c>
      <c r="AM76" s="802">
        <f t="shared" si="475"/>
        <v>34.4</v>
      </c>
      <c r="AN76" s="802">
        <f t="shared" si="475"/>
        <v>34.148128415300555</v>
      </c>
      <c r="AO76" s="963">
        <v>34.4</v>
      </c>
      <c r="AP76" s="788">
        <f t="shared" ref="AP76:AT76" si="476">AP28/1000/24/AP$3</f>
        <v>34.857016129032374</v>
      </c>
      <c r="AQ76" s="909">
        <f t="shared" si="476"/>
        <v>34.4</v>
      </c>
      <c r="AR76" s="909">
        <f t="shared" si="476"/>
        <v>35.163218749999999</v>
      </c>
      <c r="AS76" s="802">
        <f t="shared" si="476"/>
        <v>34.4</v>
      </c>
      <c r="AT76" s="802">
        <f t="shared" si="476"/>
        <v>34.228039393939412</v>
      </c>
      <c r="AU76" s="963">
        <v>34.4</v>
      </c>
      <c r="AV76" s="788">
        <f t="shared" ref="AV76:AX76" si="477">AV28/1000/24/AV$3</f>
        <v>34.738469086021496</v>
      </c>
      <c r="AW76" s="802">
        <f t="shared" si="477"/>
        <v>34.4</v>
      </c>
      <c r="AX76" s="802">
        <f t="shared" si="477"/>
        <v>34.279749591503283</v>
      </c>
      <c r="AY76" s="963">
        <v>34.4</v>
      </c>
      <c r="AZ76" s="788">
        <f t="shared" ref="AZ76:BB76" si="478">AZ28/1000/24/AZ$3</f>
        <v>34.833660714285756</v>
      </c>
      <c r="BA76" s="802">
        <f t="shared" si="478"/>
        <v>34.4</v>
      </c>
      <c r="BB76" s="802">
        <f t="shared" si="478"/>
        <v>34.32618525449103</v>
      </c>
      <c r="BC76" s="963">
        <v>34.4</v>
      </c>
      <c r="BD76" s="788">
        <f t="shared" ref="BD76:BJ76" si="479">BD28/1000/24/BD$3</f>
        <v>35.191505376344054</v>
      </c>
      <c r="BE76" s="909">
        <f t="shared" si="479"/>
        <v>34.4</v>
      </c>
      <c r="BF76" s="909">
        <f t="shared" si="479"/>
        <v>34.924130092592591</v>
      </c>
      <c r="BG76" s="2879">
        <f t="shared" si="479"/>
        <v>22.870329670329674</v>
      </c>
      <c r="BH76" s="2879">
        <f t="shared" si="479"/>
        <v>23.264331730769225</v>
      </c>
      <c r="BI76" s="802">
        <f t="shared" si="479"/>
        <v>34.4</v>
      </c>
      <c r="BJ76" s="802">
        <f t="shared" si="479"/>
        <v>34.399678196347047</v>
      </c>
    </row>
    <row r="77" spans="1:62" x14ac:dyDescent="0.25">
      <c r="A77" s="732"/>
      <c r="B77" s="2" t="s">
        <v>900</v>
      </c>
      <c r="C77" s="33" t="s">
        <v>424</v>
      </c>
      <c r="D77" s="770">
        <f t="shared" si="467"/>
        <v>0.89579548472222215</v>
      </c>
      <c r="E77" s="770">
        <f t="shared" si="467"/>
        <v>0.86948325672043014</v>
      </c>
      <c r="G77" s="2827" t="s">
        <v>931</v>
      </c>
      <c r="H77" s="700" t="s">
        <v>538</v>
      </c>
      <c r="I77" s="2874">
        <v>4.8</v>
      </c>
      <c r="J77" s="2875">
        <f t="shared" si="394"/>
        <v>4.8812499999999996</v>
      </c>
      <c r="K77" s="2874">
        <v>4.8</v>
      </c>
      <c r="L77" s="2876">
        <f t="shared" si="394"/>
        <v>4.8946236559139651</v>
      </c>
      <c r="M77" s="2877">
        <f t="shared" si="394"/>
        <v>4.8</v>
      </c>
      <c r="N77" s="2877">
        <f t="shared" ref="N77" si="480">N29/1000/24/N$3</f>
        <v>4.8880464480874251</v>
      </c>
      <c r="O77" s="2874">
        <v>4.8</v>
      </c>
      <c r="P77" s="2875">
        <f t="shared" ref="P77:Q77" si="481">P29/1000/24/P$3</f>
        <v>5.6708333333333334</v>
      </c>
      <c r="Q77" s="2878">
        <f t="shared" si="481"/>
        <v>4.8</v>
      </c>
      <c r="R77" s="2878">
        <f t="shared" si="396"/>
        <v>5.1461080586080543</v>
      </c>
      <c r="S77" s="2874">
        <v>4.8</v>
      </c>
      <c r="T77" s="2876">
        <f t="shared" ref="T77:U77" si="482">T29/1000/24/T$3</f>
        <v>5.7419354838709724</v>
      </c>
      <c r="U77" s="2877">
        <f t="shared" si="482"/>
        <v>4.8</v>
      </c>
      <c r="V77" s="2877">
        <f t="shared" si="397"/>
        <v>5.2975068306010913</v>
      </c>
      <c r="W77" s="2874">
        <v>4.8</v>
      </c>
      <c r="X77" s="2876">
        <f t="shared" ref="X77:Z77" si="483">X29/1000/24/X$3</f>
        <v>5.6934139784946254</v>
      </c>
      <c r="Y77" s="2877">
        <f t="shared" si="483"/>
        <v>4.8</v>
      </c>
      <c r="Z77" s="2877">
        <f t="shared" si="483"/>
        <v>5.3777233115468404</v>
      </c>
      <c r="AA77" s="2874">
        <v>4.8</v>
      </c>
      <c r="AB77" s="2876">
        <f t="shared" ref="AB77" si="484">AB29/1000/24/AB$3</f>
        <v>5.4016666666666735</v>
      </c>
      <c r="AC77" s="2878">
        <f t="shared" ref="AC77:AF77" si="485">AC29/1000/24/AC$3</f>
        <v>4.8</v>
      </c>
      <c r="AD77" s="2878">
        <f t="shared" si="485"/>
        <v>5.6146286231884108</v>
      </c>
      <c r="AE77" s="2879">
        <f t="shared" si="485"/>
        <v>4.8</v>
      </c>
      <c r="AF77" s="2879">
        <f t="shared" si="485"/>
        <v>5.3816484517304195</v>
      </c>
      <c r="AG77" s="963">
        <v>4.8</v>
      </c>
      <c r="AH77" s="788">
        <f t="shared" ref="AH77:AJ77" si="486">AH29/1000/24/AH$3</f>
        <v>5.9389784946236484</v>
      </c>
      <c r="AI77" s="802">
        <f t="shared" si="486"/>
        <v>4.8</v>
      </c>
      <c r="AJ77" s="802">
        <f t="shared" si="486"/>
        <v>5.462383177570092</v>
      </c>
      <c r="AK77" s="963">
        <v>4.8</v>
      </c>
      <c r="AL77" s="788">
        <f t="shared" ref="AL77:AN77" si="487">AL29/1000/24/AL$3</f>
        <v>5.7381944444444493</v>
      </c>
      <c r="AM77" s="802">
        <f t="shared" si="487"/>
        <v>4.8</v>
      </c>
      <c r="AN77" s="802">
        <f t="shared" si="487"/>
        <v>5.4962943989071027</v>
      </c>
      <c r="AO77" s="963">
        <v>4.8</v>
      </c>
      <c r="AP77" s="788">
        <f t="shared" ref="AP77:AT77" si="488">AP29/1000/24/AP$3</f>
        <v>6.1169354838709635</v>
      </c>
      <c r="AQ77" s="909">
        <f t="shared" si="488"/>
        <v>4.8</v>
      </c>
      <c r="AR77" s="909">
        <f t="shared" si="488"/>
        <v>5.9334692028985492</v>
      </c>
      <c r="AS77" s="802">
        <f t="shared" si="488"/>
        <v>4.8</v>
      </c>
      <c r="AT77" s="802">
        <f t="shared" si="488"/>
        <v>5.5662575757575752</v>
      </c>
      <c r="AU77" s="963">
        <v>4.8</v>
      </c>
      <c r="AV77" s="788">
        <f t="shared" ref="AV77:AX77" si="489">AV29/1000/24/AV$3</f>
        <v>4.7239247311827954</v>
      </c>
      <c r="AW77" s="802">
        <f t="shared" si="489"/>
        <v>4.8</v>
      </c>
      <c r="AX77" s="802">
        <f t="shared" si="489"/>
        <v>5.4809232026143784</v>
      </c>
      <c r="AY77" s="963">
        <v>4.8</v>
      </c>
      <c r="AZ77" s="788">
        <f t="shared" ref="AZ77:BB77" si="490">AZ29/1000/24/AZ$3</f>
        <v>5.0993080357142864</v>
      </c>
      <c r="BA77" s="802">
        <f t="shared" si="490"/>
        <v>4.8</v>
      </c>
      <c r="BB77" s="802">
        <f t="shared" si="490"/>
        <v>5.4489315119760473</v>
      </c>
      <c r="BC77" s="963">
        <v>4.8</v>
      </c>
      <c r="BD77" s="788">
        <f t="shared" ref="BD77:BJ77" si="491">BD29/1000/24/BD$3</f>
        <v>5.5418010752688174</v>
      </c>
      <c r="BE77" s="909">
        <f t="shared" si="491"/>
        <v>4.8</v>
      </c>
      <c r="BF77" s="909">
        <f t="shared" si="491"/>
        <v>5.1224236111111114</v>
      </c>
      <c r="BG77" s="2879">
        <f t="shared" si="491"/>
        <v>3.1912087912087914</v>
      </c>
      <c r="BH77" s="2879">
        <f t="shared" si="491"/>
        <v>3.4769997710622706</v>
      </c>
      <c r="BI77" s="802">
        <f t="shared" si="491"/>
        <v>4.8</v>
      </c>
      <c r="BJ77" s="802">
        <f t="shared" si="491"/>
        <v>5.4568190639269405</v>
      </c>
    </row>
    <row r="78" spans="1:62" x14ac:dyDescent="0.25">
      <c r="A78" s="732"/>
      <c r="B78" s="2" t="s">
        <v>901</v>
      </c>
      <c r="C78" s="33" t="s">
        <v>424</v>
      </c>
      <c r="D78" s="770">
        <f t="shared" si="467"/>
        <v>0.259755010555556</v>
      </c>
      <c r="E78" s="770">
        <f t="shared" si="467"/>
        <v>0.24748231639784987</v>
      </c>
      <c r="G78" s="2827" t="s">
        <v>933</v>
      </c>
      <c r="H78" s="700" t="s">
        <v>895</v>
      </c>
      <c r="I78" s="2874">
        <v>0.9</v>
      </c>
      <c r="J78" s="2875">
        <f t="shared" si="394"/>
        <v>0.64897222222222217</v>
      </c>
      <c r="K78" s="2874">
        <v>0.9</v>
      </c>
      <c r="L78" s="2876">
        <f t="shared" si="394"/>
        <v>0.69509408602150669</v>
      </c>
      <c r="M78" s="2877">
        <f t="shared" si="394"/>
        <v>0.9</v>
      </c>
      <c r="N78" s="2877">
        <f t="shared" ref="N78" si="492">N30/1000/24/N$3</f>
        <v>0.67241120218579287</v>
      </c>
      <c r="O78" s="2874">
        <v>0.9</v>
      </c>
      <c r="P78" s="2875">
        <f t="shared" ref="P78:Q78" si="493">P30/1000/24/P$3</f>
        <v>0.77377777777777845</v>
      </c>
      <c r="Q78" s="2878">
        <f t="shared" si="493"/>
        <v>0.89999999999999991</v>
      </c>
      <c r="R78" s="2878">
        <f t="shared" si="396"/>
        <v>0.70582875457875527</v>
      </c>
      <c r="S78" s="2874">
        <v>0.9</v>
      </c>
      <c r="T78" s="2876">
        <f t="shared" ref="T78:U78" si="494">T30/1000/24/T$3</f>
        <v>0.7626881720430102</v>
      </c>
      <c r="U78" s="2877">
        <f t="shared" si="494"/>
        <v>0.9</v>
      </c>
      <c r="V78" s="2877">
        <f t="shared" si="397"/>
        <v>0.72027663934426256</v>
      </c>
      <c r="W78" s="2874">
        <v>0.9</v>
      </c>
      <c r="X78" s="2876">
        <f t="shared" ref="X78:Z78" si="495">X30/1000/24/X$3</f>
        <v>0.7416666666666657</v>
      </c>
      <c r="Y78" s="2877">
        <f t="shared" si="495"/>
        <v>0.90000000000000013</v>
      </c>
      <c r="Z78" s="2877">
        <f t="shared" si="495"/>
        <v>0.72461056644880173</v>
      </c>
      <c r="AA78" s="2874">
        <v>0.9</v>
      </c>
      <c r="AB78" s="2876">
        <f t="shared" ref="AB78" si="496">AB30/1000/24/AB$3</f>
        <v>0.76838888888889167</v>
      </c>
      <c r="AC78" s="2878">
        <f t="shared" ref="AC78:AF78" si="497">AC30/1000/24/AC$3</f>
        <v>0.9</v>
      </c>
      <c r="AD78" s="2878">
        <f t="shared" si="497"/>
        <v>0.75746376811594252</v>
      </c>
      <c r="AE78" s="2879">
        <f t="shared" si="497"/>
        <v>0.90000000000000013</v>
      </c>
      <c r="AF78" s="2879">
        <f t="shared" si="497"/>
        <v>0.73178734061930828</v>
      </c>
      <c r="AG78" s="963">
        <v>0.9</v>
      </c>
      <c r="AH78" s="788">
        <f t="shared" ref="AH78:AJ78" si="498">AH30/1000/24/AH$3</f>
        <v>0.76731182795698871</v>
      </c>
      <c r="AI78" s="802">
        <f t="shared" si="498"/>
        <v>0.9</v>
      </c>
      <c r="AJ78" s="802">
        <f t="shared" si="498"/>
        <v>0.73693341121495348</v>
      </c>
      <c r="AK78" s="963">
        <v>0.9</v>
      </c>
      <c r="AL78" s="788">
        <f t="shared" ref="AL78:AN78" si="499">AL30/1000/24/AL$3</f>
        <v>0.72913888888888756</v>
      </c>
      <c r="AM78" s="802">
        <f t="shared" si="499"/>
        <v>0.9</v>
      </c>
      <c r="AN78" s="802">
        <f t="shared" si="499"/>
        <v>0.73597506830601089</v>
      </c>
      <c r="AO78" s="963">
        <v>0.9</v>
      </c>
      <c r="AP78" s="788">
        <f t="shared" ref="AP78:AT78" si="500">AP30/1000/24/AP$3</f>
        <v>0.72786290322580793</v>
      </c>
      <c r="AQ78" s="909">
        <f t="shared" si="500"/>
        <v>0.9</v>
      </c>
      <c r="AR78" s="909">
        <f t="shared" si="500"/>
        <v>0.74157155797101448</v>
      </c>
      <c r="AS78" s="802">
        <f t="shared" si="500"/>
        <v>0.9</v>
      </c>
      <c r="AT78" s="802">
        <f t="shared" si="500"/>
        <v>0.73506060606060608</v>
      </c>
      <c r="AU78" s="963">
        <v>0.9</v>
      </c>
      <c r="AV78" s="788">
        <f t="shared" ref="AV78:AX78" si="501">AV30/1000/24/AV$3</f>
        <v>0.7248655913978479</v>
      </c>
      <c r="AW78" s="802">
        <f t="shared" si="501"/>
        <v>0.90000000000000013</v>
      </c>
      <c r="AX78" s="802">
        <f t="shared" si="501"/>
        <v>0.73402777777777772</v>
      </c>
      <c r="AY78" s="963">
        <v>0.9</v>
      </c>
      <c r="AZ78" s="788">
        <f t="shared" ref="AZ78:BB78" si="502">AZ30/1000/24/AZ$3</f>
        <v>0.71449404761904811</v>
      </c>
      <c r="BA78" s="802">
        <f t="shared" si="502"/>
        <v>0.89999999999999991</v>
      </c>
      <c r="BB78" s="802">
        <f t="shared" si="502"/>
        <v>0.73239021956087824</v>
      </c>
      <c r="BC78" s="963">
        <v>0.9</v>
      </c>
      <c r="BD78" s="788">
        <f t="shared" ref="BD78:BJ78" si="503">BD30/1000/24/BD$3</f>
        <v>0.76220430107526738</v>
      </c>
      <c r="BE78" s="909">
        <f t="shared" si="503"/>
        <v>0.9</v>
      </c>
      <c r="BF78" s="909">
        <f t="shared" si="503"/>
        <v>0.73449999999999904</v>
      </c>
      <c r="BG78" s="2879">
        <f t="shared" si="503"/>
        <v>0.59835164835164834</v>
      </c>
      <c r="BH78" s="2879">
        <f t="shared" si="503"/>
        <v>0.4930402930402924</v>
      </c>
      <c r="BI78" s="802">
        <f t="shared" si="503"/>
        <v>0.9</v>
      </c>
      <c r="BJ78" s="802">
        <f t="shared" si="503"/>
        <v>0.73492237442922359</v>
      </c>
    </row>
    <row r="79" spans="1:62" ht="15.75" x14ac:dyDescent="0.25">
      <c r="A79" s="149"/>
      <c r="B79" s="2" t="s">
        <v>907</v>
      </c>
      <c r="C79" s="33" t="s">
        <v>424</v>
      </c>
      <c r="D79" s="770">
        <f t="shared" si="467"/>
        <v>0.47197477138888738</v>
      </c>
      <c r="E79" s="770">
        <f t="shared" si="467"/>
        <v>0.47029550080645333</v>
      </c>
      <c r="G79" s="2827" t="s">
        <v>934</v>
      </c>
      <c r="H79" s="700" t="s">
        <v>896</v>
      </c>
      <c r="I79" s="2874">
        <v>1</v>
      </c>
      <c r="J79" s="2875">
        <f t="shared" si="394"/>
        <v>0.71388888888888891</v>
      </c>
      <c r="K79" s="2874">
        <v>1</v>
      </c>
      <c r="L79" s="2876">
        <f t="shared" si="394"/>
        <v>1.2143817204301022</v>
      </c>
      <c r="M79" s="2877">
        <f t="shared" si="394"/>
        <v>1</v>
      </c>
      <c r="N79" s="2877">
        <f t="shared" ref="N79" si="504">N31/1000/24/N$3</f>
        <v>0.96823770491803007</v>
      </c>
      <c r="O79" s="2874">
        <v>1</v>
      </c>
      <c r="P79" s="2875">
        <f t="shared" ref="P79:Q79" si="505">P31/1000/24/P$3</f>
        <v>0.90763888888888888</v>
      </c>
      <c r="Q79" s="2878">
        <f t="shared" si="505"/>
        <v>1</v>
      </c>
      <c r="R79" s="2878">
        <f t="shared" si="396"/>
        <v>0.94826007326007145</v>
      </c>
      <c r="S79" s="2874">
        <v>1</v>
      </c>
      <c r="T79" s="2876">
        <f t="shared" ref="T79:U79" si="506">T31/1000/24/T$3</f>
        <v>1.1116935483870996</v>
      </c>
      <c r="U79" s="2877">
        <f t="shared" si="506"/>
        <v>1</v>
      </c>
      <c r="V79" s="2877">
        <f t="shared" si="397"/>
        <v>0.98978825136611959</v>
      </c>
      <c r="W79" s="2874">
        <v>1</v>
      </c>
      <c r="X79" s="2876">
        <f t="shared" ref="X79:Z79" si="507">X31/1000/24/X$3</f>
        <v>0.66263440860215062</v>
      </c>
      <c r="Y79" s="2877">
        <f t="shared" si="507"/>
        <v>1</v>
      </c>
      <c r="Z79" s="2877">
        <f t="shared" si="507"/>
        <v>0.923502178649237</v>
      </c>
      <c r="AA79" s="2874">
        <v>1</v>
      </c>
      <c r="AB79" s="2876">
        <f t="shared" ref="AB79" si="508">AB31/1000/24/AB$3</f>
        <v>0.68277777777777582</v>
      </c>
      <c r="AC79" s="2878">
        <f t="shared" ref="AC79:AF79" si="509">AC31/1000/24/AC$3</f>
        <v>1</v>
      </c>
      <c r="AD79" s="2878">
        <f t="shared" si="509"/>
        <v>0.82051630434782641</v>
      </c>
      <c r="AE79" s="2879">
        <f t="shared" si="509"/>
        <v>1</v>
      </c>
      <c r="AF79" s="2879">
        <f t="shared" si="509"/>
        <v>0.88403916211293188</v>
      </c>
      <c r="AG79" s="963">
        <v>1</v>
      </c>
      <c r="AH79" s="788">
        <f t="shared" ref="AH79:AJ79" si="510">AH31/1000/24/AH$3</f>
        <v>1.178763440860215</v>
      </c>
      <c r="AI79" s="802">
        <f t="shared" si="510"/>
        <v>1</v>
      </c>
      <c r="AJ79" s="802">
        <f t="shared" si="510"/>
        <v>0.92673286604361305</v>
      </c>
      <c r="AK79" s="963">
        <v>1</v>
      </c>
      <c r="AL79" s="788">
        <f t="shared" ref="AL79:AN79" si="511">AL31/1000/24/AL$3</f>
        <v>1.0337499999999991</v>
      </c>
      <c r="AM79" s="802">
        <f t="shared" si="511"/>
        <v>1</v>
      </c>
      <c r="AN79" s="802">
        <f t="shared" si="511"/>
        <v>0.93989071038251293</v>
      </c>
      <c r="AO79" s="963">
        <v>1</v>
      </c>
      <c r="AP79" s="788">
        <f t="shared" ref="AP79:AT79" si="512">AP31/1000/24/AP$3</f>
        <v>1.0135752688172073</v>
      </c>
      <c r="AQ79" s="909">
        <f t="shared" si="512"/>
        <v>1</v>
      </c>
      <c r="AR79" s="909">
        <f t="shared" si="512"/>
        <v>1.0758152173913051</v>
      </c>
      <c r="AS79" s="802">
        <f t="shared" si="512"/>
        <v>1</v>
      </c>
      <c r="AT79" s="802">
        <f t="shared" si="512"/>
        <v>0.94819696969696932</v>
      </c>
      <c r="AU79" s="963">
        <v>1</v>
      </c>
      <c r="AV79" s="788">
        <f t="shared" ref="AV79:AX79" si="513">AV31/1000/24/AV$3</f>
        <v>1.0513440860215064</v>
      </c>
      <c r="AW79" s="802">
        <f t="shared" si="513"/>
        <v>1</v>
      </c>
      <c r="AX79" s="802">
        <f t="shared" si="513"/>
        <v>0.95864651416121971</v>
      </c>
      <c r="AY79" s="963">
        <v>1</v>
      </c>
      <c r="AZ79" s="788">
        <f t="shared" ref="AZ79:BB79" si="514">AZ31/1000/24/AZ$3</f>
        <v>0.85773809523809719</v>
      </c>
      <c r="BA79" s="802">
        <f t="shared" si="514"/>
        <v>1</v>
      </c>
      <c r="BB79" s="802">
        <f t="shared" si="514"/>
        <v>0.95018712574850306</v>
      </c>
      <c r="BC79" s="963">
        <v>1</v>
      </c>
      <c r="BD79" s="788">
        <f t="shared" ref="BD79:BJ79" si="515">BD31/1000/24/BD$3</f>
        <v>1.0200268817204272</v>
      </c>
      <c r="BE79" s="909">
        <f t="shared" si="515"/>
        <v>1</v>
      </c>
      <c r="BF79" s="909">
        <f t="shared" si="515"/>
        <v>0.98032407407407418</v>
      </c>
      <c r="BG79" s="2879">
        <f t="shared" si="515"/>
        <v>0.6648351648351648</v>
      </c>
      <c r="BH79" s="2879">
        <f t="shared" si="515"/>
        <v>0.65851648351648306</v>
      </c>
      <c r="BI79" s="802">
        <f t="shared" si="515"/>
        <v>1</v>
      </c>
      <c r="BJ79" s="802">
        <f t="shared" si="515"/>
        <v>0.95611872146118715</v>
      </c>
    </row>
    <row r="80" spans="1:62" x14ac:dyDescent="0.25">
      <c r="B80" s="44" t="s">
        <v>897</v>
      </c>
      <c r="C80" s="33" t="s">
        <v>424</v>
      </c>
      <c r="D80" s="770">
        <f>+((D39/1000)/D$3)/24</f>
        <v>1.2024613888888884</v>
      </c>
      <c r="E80" s="770">
        <f>+((E39/1000)/E$3)/24</f>
        <v>1.0451474462365573</v>
      </c>
      <c r="G80" s="2827" t="s">
        <v>936</v>
      </c>
      <c r="H80" s="700" t="s">
        <v>897</v>
      </c>
      <c r="I80" s="2874">
        <v>1.4</v>
      </c>
      <c r="J80" s="2875">
        <f t="shared" si="394"/>
        <v>1.1092690277777777</v>
      </c>
      <c r="K80" s="2874">
        <v>1.4</v>
      </c>
      <c r="L80" s="2876">
        <f t="shared" si="394"/>
        <v>0.97487271505376205</v>
      </c>
      <c r="M80" s="2877">
        <f t="shared" si="394"/>
        <v>1.4</v>
      </c>
      <c r="N80" s="2877">
        <f t="shared" ref="N80" si="516">N32/1000/24/N$3</f>
        <v>1.0409692622950815</v>
      </c>
      <c r="O80" s="2874">
        <v>1.4</v>
      </c>
      <c r="P80" s="2875">
        <f t="shared" ref="P80:Q80" si="517">P32/1000/24/P$3</f>
        <v>1.0467925000000009</v>
      </c>
      <c r="Q80" s="2878">
        <f t="shared" si="517"/>
        <v>1.4</v>
      </c>
      <c r="R80" s="2878">
        <f t="shared" si="396"/>
        <v>1.0428890109890108</v>
      </c>
      <c r="S80" s="2874">
        <v>1.4</v>
      </c>
      <c r="T80" s="2876">
        <f t="shared" ref="T80:U80" si="518">T32/1000/24/T$3</f>
        <v>1.0874096774193549</v>
      </c>
      <c r="U80" s="2877">
        <f t="shared" si="518"/>
        <v>1.4</v>
      </c>
      <c r="V80" s="2877">
        <f t="shared" si="397"/>
        <v>1.0542016393442624</v>
      </c>
      <c r="W80" s="2874">
        <v>1.4</v>
      </c>
      <c r="X80" s="2876">
        <f t="shared" ref="X80:Z80" si="519">X32/1000/24/X$3</f>
        <v>1.1014696236559127</v>
      </c>
      <c r="Y80" s="2877">
        <f t="shared" si="519"/>
        <v>1.4000000000000001</v>
      </c>
      <c r="Z80" s="2877">
        <f t="shared" si="519"/>
        <v>1.0637788126361654</v>
      </c>
      <c r="AA80" s="2874">
        <v>1.4</v>
      </c>
      <c r="AB80" s="2876">
        <f t="shared" ref="AB80" si="520">AB32/1000/24/AB$3</f>
        <v>1.1835627777777782</v>
      </c>
      <c r="AC80" s="2878">
        <f t="shared" ref="AC80:AF80" si="521">AC32/1000/24/AC$3</f>
        <v>1.4</v>
      </c>
      <c r="AD80" s="2878">
        <f t="shared" si="521"/>
        <v>1.1235015398550721</v>
      </c>
      <c r="AE80" s="2879">
        <f t="shared" si="521"/>
        <v>1.4</v>
      </c>
      <c r="AF80" s="2879">
        <f t="shared" si="521"/>
        <v>1.083415528233151</v>
      </c>
      <c r="AG80" s="963">
        <v>1.4</v>
      </c>
      <c r="AH80" s="788">
        <f t="shared" ref="AH80:AJ80" si="522">AH32/1000/24/AH$3</f>
        <v>1.1859578763440854</v>
      </c>
      <c r="AI80" s="802">
        <f t="shared" si="522"/>
        <v>1.4</v>
      </c>
      <c r="AJ80" s="802">
        <f t="shared" si="522"/>
        <v>1.0982697936137069</v>
      </c>
      <c r="AK80" s="963">
        <v>1.4</v>
      </c>
      <c r="AL80" s="788">
        <f t="shared" ref="AL80:AN80" si="523">AL32/1000/24/AL$3</f>
        <v>1.0328538055555583</v>
      </c>
      <c r="AM80" s="802">
        <f t="shared" si="523"/>
        <v>1.4</v>
      </c>
      <c r="AN80" s="802">
        <f t="shared" si="523"/>
        <v>1.0902268442622951</v>
      </c>
      <c r="AO80" s="963">
        <v>1.4</v>
      </c>
      <c r="AP80" s="788">
        <f t="shared" ref="AP80:AT80" si="524">AP32/1000/24/AP$3</f>
        <v>1.1062856182795693</v>
      </c>
      <c r="AQ80" s="909">
        <f t="shared" si="524"/>
        <v>1.4</v>
      </c>
      <c r="AR80" s="909">
        <f t="shared" si="524"/>
        <v>1.1091865489130439</v>
      </c>
      <c r="AS80" s="802">
        <f t="shared" si="524"/>
        <v>1.4</v>
      </c>
      <c r="AT80" s="802">
        <f t="shared" si="524"/>
        <v>1.092037106060606</v>
      </c>
      <c r="AU80" s="963">
        <v>1.4</v>
      </c>
      <c r="AV80" s="788">
        <f t="shared" ref="AV80:AX80" si="525">AV32/1000/24/AV$3</f>
        <v>1.0775466397849469</v>
      </c>
      <c r="AW80" s="802">
        <f t="shared" si="525"/>
        <v>1.4000000000000001</v>
      </c>
      <c r="AX80" s="802">
        <f t="shared" si="525"/>
        <v>1.0905691176470589</v>
      </c>
      <c r="AY80" s="963">
        <v>1.4</v>
      </c>
      <c r="AZ80" s="788">
        <f t="shared" ref="AZ80:BB80" si="526">AZ32/1000/24/AZ$3</f>
        <v>1.0172673363095197</v>
      </c>
      <c r="BA80" s="802">
        <f t="shared" si="526"/>
        <v>1.4</v>
      </c>
      <c r="BB80" s="802">
        <f t="shared" si="526"/>
        <v>1.0844240581337323</v>
      </c>
      <c r="BC80" s="963">
        <v>1.4</v>
      </c>
      <c r="BD80" s="788">
        <f t="shared" ref="BD80:BJ80" si="527">BD32/1000/24/BD$3</f>
        <v>1.1574416666666683</v>
      </c>
      <c r="BE80" s="909">
        <f t="shared" si="527"/>
        <v>1.4</v>
      </c>
      <c r="BF80" s="909">
        <f t="shared" si="527"/>
        <v>1.0863124768518515</v>
      </c>
      <c r="BG80" s="2879">
        <f t="shared" si="527"/>
        <v>0.93076923076923079</v>
      </c>
      <c r="BH80" s="2879">
        <f t="shared" si="527"/>
        <v>0.73433414606227099</v>
      </c>
      <c r="BI80" s="802">
        <f t="shared" si="527"/>
        <v>1.4</v>
      </c>
      <c r="BJ80" s="802">
        <f t="shared" si="527"/>
        <v>1.0906255536529679</v>
      </c>
    </row>
    <row r="81" spans="1:62" s="334" customFormat="1" x14ac:dyDescent="0.25">
      <c r="B81" s="334" t="s">
        <v>941</v>
      </c>
      <c r="C81" s="334" t="s">
        <v>424</v>
      </c>
      <c r="D81" s="334">
        <f>+((D40/1000)/D$3)/24</f>
        <v>122.30793637777781</v>
      </c>
      <c r="E81" s="334">
        <f>+((E40/1000)/E$3)/24</f>
        <v>125.68636524059139</v>
      </c>
      <c r="G81" s="343"/>
      <c r="H81" s="343"/>
      <c r="I81" s="343"/>
      <c r="J81" s="343"/>
      <c r="K81" s="343"/>
      <c r="L81" s="343"/>
      <c r="M81" s="343"/>
      <c r="N81" s="343"/>
      <c r="O81" s="343"/>
      <c r="P81" s="343"/>
      <c r="Q81" s="343"/>
      <c r="R81" s="343"/>
      <c r="S81" s="343"/>
      <c r="T81" s="343"/>
      <c r="U81" s="343"/>
      <c r="V81" s="343"/>
      <c r="W81" s="343"/>
      <c r="X81" s="343"/>
      <c r="Y81" s="343"/>
      <c r="Z81" s="343"/>
      <c r="AA81" s="343"/>
      <c r="AB81" s="343"/>
      <c r="AC81" s="343"/>
      <c r="AD81" s="343"/>
      <c r="AE81" s="343"/>
      <c r="AF81" s="343"/>
      <c r="BG81" s="343"/>
      <c r="BH81" s="343"/>
    </row>
    <row r="82" spans="1:62" ht="15.75" thickBot="1" x14ac:dyDescent="0.3">
      <c r="D82" s="771"/>
      <c r="E82" s="771"/>
      <c r="G82" s="2852" t="s">
        <v>937</v>
      </c>
      <c r="H82" s="2553" t="s">
        <v>898</v>
      </c>
      <c r="I82" s="2885">
        <f>+SUM(I83:I86)</f>
        <v>3.6891949847221999</v>
      </c>
      <c r="J82" s="2885">
        <f t="shared" ref="J82:M94" si="528">J34/1000/24/J$3</f>
        <v>2.8611196079911454</v>
      </c>
      <c r="K82" s="2885">
        <v>3.6891949847222198</v>
      </c>
      <c r="L82" s="2886">
        <f t="shared" si="528"/>
        <v>2.7107356168561827</v>
      </c>
      <c r="M82" s="2887">
        <f t="shared" si="528"/>
        <v>3.689194984722211</v>
      </c>
      <c r="N82" s="2887">
        <f t="shared" ref="N82" si="529">N34/1000/24/N$3</f>
        <v>2.7846949567586234</v>
      </c>
      <c r="O82" s="2885">
        <f>+SUM(O83:O86)</f>
        <v>3.6891949847222221</v>
      </c>
      <c r="P82" s="2885">
        <f t="shared" ref="P82:R94" si="530">P34/1000/24/P$3</f>
        <v>2.7357129932950173</v>
      </c>
      <c r="Q82" s="2888">
        <f t="shared" si="530"/>
        <v>3.6891949847222145</v>
      </c>
      <c r="R82" s="2888">
        <f t="shared" si="530"/>
        <v>2.768547056715676</v>
      </c>
      <c r="S82" s="2890">
        <f>+SUM(S83:S86)</f>
        <v>3.6933994999999999</v>
      </c>
      <c r="T82" s="2886">
        <f t="shared" ref="T82:V94" si="531">T34/1000/24/T$3</f>
        <v>2.5836200597191339</v>
      </c>
      <c r="U82" s="2887">
        <f t="shared" si="531"/>
        <v>3.690263345161652</v>
      </c>
      <c r="V82" s="2887">
        <f t="shared" si="531"/>
        <v>2.7215574099378661</v>
      </c>
      <c r="W82" s="2890">
        <f>+SUM(W83:W86)</f>
        <v>3.6933994999999999</v>
      </c>
      <c r="X82" s="2886">
        <f t="shared" ref="X82:Z82" si="532">X34/1000/24/X$3</f>
        <v>2.7216350994623633</v>
      </c>
      <c r="Y82" s="2887">
        <f t="shared" si="532"/>
        <v>3.6908987752269384</v>
      </c>
      <c r="Z82" s="2887">
        <f t="shared" si="532"/>
        <v>2.7215731509526337</v>
      </c>
      <c r="AA82" s="2890">
        <f>+SUM(AA83:AA86)</f>
        <v>3.6933994999999999</v>
      </c>
      <c r="AB82" s="2886">
        <f t="shared" ref="AB82" si="533">AB34/1000/24/AB$3</f>
        <v>2.6348911666666686</v>
      </c>
      <c r="AC82" s="2888">
        <f t="shared" ref="AC82:AF82" si="534">AC34/1000/24/AC$3</f>
        <v>3.6933994999999999</v>
      </c>
      <c r="AD82" s="2888">
        <f t="shared" si="534"/>
        <v>2.6468439666807222</v>
      </c>
      <c r="AE82" s="2889">
        <f t="shared" si="534"/>
        <v>3.6913087301077678</v>
      </c>
      <c r="AF82" s="2889">
        <f t="shared" si="534"/>
        <v>2.7073629895942783</v>
      </c>
      <c r="AG82" s="964">
        <f>+SUM(AG83:AG86)</f>
        <v>3.6933994999999999</v>
      </c>
      <c r="AH82" s="792">
        <f t="shared" ref="AH82:AJ82" si="535">AH34/1000/24/AH$3</f>
        <v>2.5741056048387079</v>
      </c>
      <c r="AI82" s="804">
        <f t="shared" si="535"/>
        <v>3.6916115986435583</v>
      </c>
      <c r="AJ82" s="804">
        <f t="shared" si="535"/>
        <v>2.6880593497465086</v>
      </c>
      <c r="AK82" s="964">
        <f>+SUM(AK83:AK86)</f>
        <v>3.6933994999999999</v>
      </c>
      <c r="AL82" s="792">
        <f t="shared" ref="AL82:AN82" si="536">AL34/1000/24/AL$3</f>
        <v>2.5487814041666681</v>
      </c>
      <c r="AM82" s="804">
        <f t="shared" si="536"/>
        <v>3.691831422580826</v>
      </c>
      <c r="AN82" s="804">
        <f t="shared" si="536"/>
        <v>2.6709350121752173</v>
      </c>
      <c r="AO82" s="964">
        <f>+SUM(AO83:AO86)</f>
        <v>3.6933994999999999</v>
      </c>
      <c r="AP82" s="792">
        <f t="shared" ref="AP82:AT82" si="537">AP34/1000/24/AP$3</f>
        <v>2.5583913262768809</v>
      </c>
      <c r="AQ82" s="911">
        <f t="shared" si="537"/>
        <v>3.6933994999999999</v>
      </c>
      <c r="AR82" s="911">
        <f t="shared" si="537"/>
        <v>2.5605526846693833</v>
      </c>
      <c r="AS82" s="804">
        <f t="shared" si="537"/>
        <v>3.6920081876717146</v>
      </c>
      <c r="AT82" s="804">
        <f t="shared" si="537"/>
        <v>2.6582482694012235</v>
      </c>
      <c r="AU82" s="964">
        <f>+SUM(AU83:AU86)</f>
        <v>3.6933994999999999</v>
      </c>
      <c r="AV82" s="792">
        <f t="shared" ref="AV82:AX82" si="538">AV34/1000/24/AV$3</f>
        <v>2.4452402026881708</v>
      </c>
      <c r="AW82" s="804">
        <f t="shared" si="538"/>
        <v>3.6921491376134687</v>
      </c>
      <c r="AX82" s="804">
        <f t="shared" si="538"/>
        <v>2.6366690208126462</v>
      </c>
      <c r="AY82" s="964">
        <f>+SUM(AY83:AY86)</f>
        <v>3.6933994999999999</v>
      </c>
      <c r="AZ82" s="792">
        <f t="shared" ref="AZ82:BB82" si="539">AZ34/1000/24/AZ$3</f>
        <v>2.3904818115276076</v>
      </c>
      <c r="BA82" s="804">
        <f t="shared" si="539"/>
        <v>3.6922539584123402</v>
      </c>
      <c r="BB82" s="804">
        <f t="shared" si="539"/>
        <v>2.6160305721300681</v>
      </c>
      <c r="BC82" s="964">
        <f>+SUM(BC83:BC86)</f>
        <v>3.6933994999999999</v>
      </c>
      <c r="BD82" s="792">
        <f t="shared" ref="BD82:BJ82" si="540">BD34/1000/24/BD$3</f>
        <v>2.5423153357202439</v>
      </c>
      <c r="BE82" s="911">
        <f t="shared" si="540"/>
        <v>3.6933994999999999</v>
      </c>
      <c r="BF82" s="911">
        <f t="shared" si="540"/>
        <v>2.4616412490381547</v>
      </c>
      <c r="BG82" s="2889">
        <f t="shared" si="540"/>
        <v>2.4555018653846155</v>
      </c>
      <c r="BH82" s="2889">
        <f t="shared" si="540"/>
        <v>1.65032685615803</v>
      </c>
      <c r="BI82" s="804">
        <f t="shared" si="540"/>
        <v>3.6923512509855385</v>
      </c>
      <c r="BJ82" s="804">
        <f t="shared" si="540"/>
        <v>2.6097698260240279</v>
      </c>
    </row>
    <row r="83" spans="1:62" ht="21" thickBot="1" x14ac:dyDescent="0.3">
      <c r="A83" s="714"/>
      <c r="B83" s="761" t="s">
        <v>569</v>
      </c>
      <c r="C83" s="522" t="s">
        <v>424</v>
      </c>
      <c r="D83" s="771">
        <f>+((D42/1000)/D$3)/24</f>
        <v>110.28636605083337</v>
      </c>
      <c r="E83" s="771">
        <f>+((E42/1000)/E$3)/24</f>
        <v>113.44019473978493</v>
      </c>
      <c r="G83" s="2827" t="s">
        <v>938</v>
      </c>
      <c r="H83" s="700" t="s">
        <v>899</v>
      </c>
      <c r="I83" s="2874">
        <v>2.1433995000000001</v>
      </c>
      <c r="J83" s="2875">
        <f t="shared" si="528"/>
        <v>1.9197321597222223</v>
      </c>
      <c r="K83" s="2874">
        <v>2.1433995000000001</v>
      </c>
      <c r="L83" s="2876">
        <f t="shared" si="528"/>
        <v>1.8726908198924732</v>
      </c>
      <c r="M83" s="2877">
        <f t="shared" si="528"/>
        <v>2.1433995000000001</v>
      </c>
      <c r="N83" s="2877">
        <f t="shared" ref="N83" si="541">N35/1000/24/N$3</f>
        <v>1.8958259050546449</v>
      </c>
      <c r="O83" s="2874">
        <v>2.1433995000000001</v>
      </c>
      <c r="P83" s="2875">
        <f t="shared" ref="P83:Q83" si="542">P35/1000/24/P$3</f>
        <v>1.8883765134099615</v>
      </c>
      <c r="Q83" s="2878">
        <f t="shared" si="542"/>
        <v>2.1433995000000001</v>
      </c>
      <c r="R83" s="2878">
        <f t="shared" si="530"/>
        <v>1.8933700616552986</v>
      </c>
      <c r="S83" s="2874">
        <v>2.1433995000000001</v>
      </c>
      <c r="T83" s="2876">
        <f t="shared" ref="T83:U83" si="543">T35/1000/24/T$3</f>
        <v>1.8247654685761956</v>
      </c>
      <c r="U83" s="2877">
        <f t="shared" si="543"/>
        <v>2.1433995000000001</v>
      </c>
      <c r="V83" s="2877">
        <f t="shared" si="531"/>
        <v>1.8759377470204446</v>
      </c>
      <c r="W83" s="2874">
        <v>2.1433995000000001</v>
      </c>
      <c r="X83" s="2876">
        <f t="shared" ref="X83:Z83" si="544">X35/1000/24/X$3</f>
        <v>1.8960191935483868</v>
      </c>
      <c r="Y83" s="2877">
        <f t="shared" si="544"/>
        <v>2.1433995000000001</v>
      </c>
      <c r="Z83" s="2877">
        <f t="shared" si="544"/>
        <v>1.8800065368398318</v>
      </c>
      <c r="AA83" s="2874">
        <v>2.1433995000000001</v>
      </c>
      <c r="AB83" s="2876">
        <f t="shared" ref="AB83" si="545">AB35/1000/24/AB$3</f>
        <v>1.8165300972222223</v>
      </c>
      <c r="AC83" s="2878">
        <f t="shared" ref="AC83:AF83" si="546">AC35/1000/24/AC$3</f>
        <v>2.1433995000000006</v>
      </c>
      <c r="AD83" s="2878">
        <f t="shared" si="546"/>
        <v>1.8460894287231382</v>
      </c>
      <c r="AE83" s="2879">
        <f t="shared" si="546"/>
        <v>2.1433995000000001</v>
      </c>
      <c r="AF83" s="2879">
        <f t="shared" si="546"/>
        <v>1.8696005631320269</v>
      </c>
      <c r="AG83" s="963">
        <v>2.1433995000000001</v>
      </c>
      <c r="AH83" s="788">
        <f t="shared" ref="AH83:AJ83" si="547">AH35/1000/24/AH$3</f>
        <v>1.8242525672043011</v>
      </c>
      <c r="AI83" s="802">
        <f t="shared" si="547"/>
        <v>2.1433994999999997</v>
      </c>
      <c r="AJ83" s="802">
        <f t="shared" si="547"/>
        <v>1.8630314609181975</v>
      </c>
      <c r="AK83" s="963">
        <v>2.1433995000000001</v>
      </c>
      <c r="AL83" s="788">
        <f t="shared" ref="AL83:AN83" si="548">AL35/1000/24/AL$3</f>
        <v>1.7929825000000001</v>
      </c>
      <c r="AM83" s="802">
        <f t="shared" si="548"/>
        <v>2.1433995000000001</v>
      </c>
      <c r="AN83" s="802">
        <f t="shared" si="548"/>
        <v>1.8544188837561242</v>
      </c>
      <c r="AO83" s="963">
        <v>2.1433995000000001</v>
      </c>
      <c r="AP83" s="788">
        <f t="shared" ref="AP83:AT83" si="549">AP35/1000/24/AP$3</f>
        <v>1.7260910080645162</v>
      </c>
      <c r="AQ83" s="909">
        <f t="shared" si="549"/>
        <v>2.1433995000000006</v>
      </c>
      <c r="AR83" s="909">
        <f t="shared" si="549"/>
        <v>1.7809796286231883</v>
      </c>
      <c r="AS83" s="802">
        <f t="shared" si="549"/>
        <v>2.1433995000000006</v>
      </c>
      <c r="AT83" s="802">
        <f t="shared" si="549"/>
        <v>1.8399528323145244</v>
      </c>
      <c r="AU83" s="963">
        <v>2.1433995000000001</v>
      </c>
      <c r="AV83" s="788">
        <f t="shared" ref="AV83:AX83" si="550">AV35/1000/24/AV$3</f>
        <v>1.7732150940860212</v>
      </c>
      <c r="AW83" s="802">
        <f t="shared" si="550"/>
        <v>2.1433995000000001</v>
      </c>
      <c r="AX83" s="802">
        <f t="shared" si="550"/>
        <v>1.8331918196181727</v>
      </c>
      <c r="AY83" s="963">
        <v>2.1433995000000001</v>
      </c>
      <c r="AZ83" s="788">
        <f t="shared" ref="AZ83:BB83" si="551">AZ35/1000/24/AZ$3</f>
        <v>1.7125404017857142</v>
      </c>
      <c r="BA83" s="802">
        <f t="shared" si="551"/>
        <v>2.1433995000000001</v>
      </c>
      <c r="BB83" s="802">
        <f t="shared" si="551"/>
        <v>1.8230773295004816</v>
      </c>
      <c r="BC83" s="963">
        <v>2.1433995000000001</v>
      </c>
      <c r="BD83" s="788">
        <f t="shared" ref="BD83:BJ83" si="552">BD35/1000/24/BD$3</f>
        <v>1.7960883870967743</v>
      </c>
      <c r="BE83" s="909">
        <f t="shared" si="552"/>
        <v>2.1433994999999997</v>
      </c>
      <c r="BF83" s="909">
        <f t="shared" si="552"/>
        <v>1.7622171018518515</v>
      </c>
      <c r="BG83" s="2879">
        <f t="shared" si="552"/>
        <v>1.4250073598901098</v>
      </c>
      <c r="BH83" s="2879">
        <f t="shared" si="552"/>
        <v>1.1773531822344321</v>
      </c>
      <c r="BI83" s="802">
        <f t="shared" si="552"/>
        <v>2.1433995000000001</v>
      </c>
      <c r="BJ83" s="802">
        <f t="shared" si="552"/>
        <v>1.8207851179538657</v>
      </c>
    </row>
    <row r="84" spans="1:62" x14ac:dyDescent="0.25">
      <c r="G84" s="2827" t="s">
        <v>939</v>
      </c>
      <c r="H84" s="700" t="s">
        <v>900</v>
      </c>
      <c r="I84" s="2874">
        <v>0.89579548472220005</v>
      </c>
      <c r="J84" s="2875">
        <f t="shared" si="528"/>
        <v>0.56157544903381795</v>
      </c>
      <c r="K84" s="2874">
        <v>0.89579548472222204</v>
      </c>
      <c r="L84" s="2876">
        <f t="shared" si="528"/>
        <v>0.54313348991935484</v>
      </c>
      <c r="M84" s="2877">
        <f t="shared" si="528"/>
        <v>0.89579548472221127</v>
      </c>
      <c r="N84" s="2877">
        <f t="shared" ref="N84" si="553">N36/1000/24/N$3</f>
        <v>0.55220330587728761</v>
      </c>
      <c r="O84" s="2874">
        <v>0.89579548472222204</v>
      </c>
      <c r="P84" s="2875">
        <f t="shared" ref="P84:Q84" si="554">P36/1000/24/P$3</f>
        <v>0.46640032040229723</v>
      </c>
      <c r="Q84" s="2878">
        <f t="shared" si="554"/>
        <v>0.89579548472221482</v>
      </c>
      <c r="R84" s="2878">
        <f t="shared" si="530"/>
        <v>0.52391660736904899</v>
      </c>
      <c r="S84" s="2874">
        <v>0.9</v>
      </c>
      <c r="T84" s="2876">
        <f t="shared" ref="T84:U84" si="555">T36/1000/24/T$3</f>
        <v>0.49380352057842186</v>
      </c>
      <c r="U84" s="2877">
        <f t="shared" si="555"/>
        <v>0.89686384516165207</v>
      </c>
      <c r="V84" s="2877">
        <f t="shared" si="531"/>
        <v>0.51626492138126678</v>
      </c>
      <c r="W84" s="2874">
        <v>0.9</v>
      </c>
      <c r="X84" s="2876">
        <f t="shared" ref="X84:Z84" si="556">X36/1000/24/X$3</f>
        <v>0.47936239448924522</v>
      </c>
      <c r="Y84" s="2877">
        <f t="shared" si="556"/>
        <v>0.89749927522693818</v>
      </c>
      <c r="Z84" s="2877">
        <f t="shared" si="556"/>
        <v>0.50878793880837347</v>
      </c>
      <c r="AA84" s="2874">
        <v>0.9</v>
      </c>
      <c r="AB84" s="2876">
        <f t="shared" ref="AB84" si="557">AB36/1000/24/AB$3</f>
        <v>0.45077125000000184</v>
      </c>
      <c r="AC84" s="2878">
        <f t="shared" ref="AC84:AF84" si="558">AC36/1000/24/AC$3</f>
        <v>0.9</v>
      </c>
      <c r="AD84" s="2878">
        <f t="shared" si="558"/>
        <v>0.47490522681627978</v>
      </c>
      <c r="AE84" s="2879">
        <f t="shared" si="558"/>
        <v>0.89790923010776802</v>
      </c>
      <c r="AF84" s="2879">
        <f t="shared" si="558"/>
        <v>0.49927700621683718</v>
      </c>
      <c r="AG84" s="963">
        <v>0.9</v>
      </c>
      <c r="AH84" s="788">
        <f t="shared" ref="AH84:AJ84" si="559">AH36/1000/24/AH$3</f>
        <v>0.46511444892472981</v>
      </c>
      <c r="AI84" s="802">
        <f t="shared" si="559"/>
        <v>0.89821209864355878</v>
      </c>
      <c r="AJ84" s="802">
        <f t="shared" si="559"/>
        <v>0.49432822455302722</v>
      </c>
      <c r="AK84" s="963">
        <v>0.9</v>
      </c>
      <c r="AL84" s="788">
        <f t="shared" ref="AL84:AN84" si="560">AL36/1000/24/AL$3</f>
        <v>0.46193354166666845</v>
      </c>
      <c r="AM84" s="802">
        <f t="shared" si="560"/>
        <v>0.89843192258082616</v>
      </c>
      <c r="AN84" s="802">
        <f t="shared" si="560"/>
        <v>0.49034527173913062</v>
      </c>
      <c r="AO84" s="963">
        <v>0.9</v>
      </c>
      <c r="AP84" s="788">
        <f t="shared" ref="AP84:AT84" si="561">AP36/1000/24/AP$3</f>
        <v>0.51303487903225709</v>
      </c>
      <c r="AQ84" s="909">
        <f t="shared" si="561"/>
        <v>0.9</v>
      </c>
      <c r="AR84" s="909">
        <f t="shared" si="561"/>
        <v>0.48022429800724625</v>
      </c>
      <c r="AS84" s="802">
        <f t="shared" si="561"/>
        <v>0.89860868767171476</v>
      </c>
      <c r="AT84" s="802">
        <f t="shared" si="561"/>
        <v>0.49290300928853764</v>
      </c>
      <c r="AU84" s="963">
        <v>0.9</v>
      </c>
      <c r="AV84" s="788">
        <f t="shared" ref="AV84:AX84" si="562">AV36/1000/24/AV$3</f>
        <v>0.44744220430107462</v>
      </c>
      <c r="AW84" s="802">
        <f t="shared" si="562"/>
        <v>0.89874963761346927</v>
      </c>
      <c r="AX84" s="802">
        <f t="shared" si="562"/>
        <v>0.48829750290091883</v>
      </c>
      <c r="AY84" s="963">
        <v>0.9</v>
      </c>
      <c r="AZ84" s="788">
        <f t="shared" ref="AZ84:BB84" si="563">AZ36/1000/24/AZ$3</f>
        <v>0.38443698942939386</v>
      </c>
      <c r="BA84" s="802">
        <f t="shared" si="563"/>
        <v>0.89885445841234002</v>
      </c>
      <c r="BB84" s="802">
        <f t="shared" si="563"/>
        <v>0.47959063350809639</v>
      </c>
      <c r="BC84" s="963">
        <v>0.9</v>
      </c>
      <c r="BD84" s="788">
        <f t="shared" ref="BD84:BJ84" si="564">BD36/1000/24/BD$3</f>
        <v>0.41254804875787859</v>
      </c>
      <c r="BE84" s="909">
        <f t="shared" si="564"/>
        <v>0.9</v>
      </c>
      <c r="BF84" s="909">
        <f t="shared" si="564"/>
        <v>0.4158214838761175</v>
      </c>
      <c r="BG84" s="2879">
        <f t="shared" si="564"/>
        <v>0.59835164835164834</v>
      </c>
      <c r="BH84" s="2879">
        <f t="shared" si="564"/>
        <v>0.27589518165024624</v>
      </c>
      <c r="BI84" s="802">
        <f t="shared" si="564"/>
        <v>0.89895175098553848</v>
      </c>
      <c r="BJ84" s="802">
        <f t="shared" si="564"/>
        <v>0.47389660576218751</v>
      </c>
    </row>
    <row r="85" spans="1:62" x14ac:dyDescent="0.25">
      <c r="G85" s="2827" t="s">
        <v>940</v>
      </c>
      <c r="H85" s="700" t="s">
        <v>901</v>
      </c>
      <c r="I85" s="2874">
        <v>0.5</v>
      </c>
      <c r="J85" s="2875">
        <f t="shared" si="528"/>
        <v>0.21989255479066114</v>
      </c>
      <c r="K85" s="2874">
        <v>0.5</v>
      </c>
      <c r="L85" s="2876">
        <f t="shared" si="528"/>
        <v>0.21815324252822582</v>
      </c>
      <c r="M85" s="2877">
        <f t="shared" si="528"/>
        <v>0.5</v>
      </c>
      <c r="N85" s="2877">
        <f t="shared" ref="N85" si="565">N37/1000/24/N$3</f>
        <v>0.21900864200155465</v>
      </c>
      <c r="O85" s="2874">
        <v>0.5</v>
      </c>
      <c r="P85" s="2875">
        <f t="shared" ref="P85:Q85" si="566">P37/1000/24/P$3</f>
        <v>0.22315282614942522</v>
      </c>
      <c r="Q85" s="2878">
        <f t="shared" si="566"/>
        <v>0.5</v>
      </c>
      <c r="R85" s="2878">
        <f t="shared" si="530"/>
        <v>0.22037485655579767</v>
      </c>
      <c r="S85" s="2874">
        <v>0.5</v>
      </c>
      <c r="T85" s="2876">
        <f t="shared" ref="T85:U85" si="567">T37/1000/24/T$3</f>
        <v>0.1736056404569892</v>
      </c>
      <c r="U85" s="2877">
        <f t="shared" si="567"/>
        <v>0.5</v>
      </c>
      <c r="V85" s="2877">
        <f t="shared" si="531"/>
        <v>0.20849087541593653</v>
      </c>
      <c r="W85" s="2874">
        <v>0.5</v>
      </c>
      <c r="X85" s="2876">
        <f t="shared" ref="X85:Z85" si="568">X37/1000/24/X$3</f>
        <v>0.17062716733870956</v>
      </c>
      <c r="Y85" s="2877">
        <f t="shared" si="568"/>
        <v>0.5</v>
      </c>
      <c r="Z85" s="2877">
        <f t="shared" si="568"/>
        <v>0.20081914371401474</v>
      </c>
      <c r="AA85" s="2874">
        <v>0.5</v>
      </c>
      <c r="AB85" s="2876">
        <f t="shared" ref="AB85" si="569">AB37/1000/24/AB$3</f>
        <v>0.18097870833333371</v>
      </c>
      <c r="AC85" s="2878">
        <f t="shared" ref="AC85:AF85" si="570">AC37/1000/24/AC$3</f>
        <v>0.5</v>
      </c>
      <c r="AD85" s="2878">
        <f t="shared" si="570"/>
        <v>0.17500628577898561</v>
      </c>
      <c r="AE85" s="2879">
        <f t="shared" si="570"/>
        <v>0.5</v>
      </c>
      <c r="AF85" s="2879">
        <f t="shared" si="570"/>
        <v>0.19756661332373915</v>
      </c>
      <c r="AG85" s="963">
        <v>0.5</v>
      </c>
      <c r="AH85" s="788">
        <f t="shared" ref="AH85:AJ85" si="571">AH37/1000/24/AH$3</f>
        <v>0.19420901881720423</v>
      </c>
      <c r="AI85" s="802">
        <f t="shared" si="571"/>
        <v>0.5</v>
      </c>
      <c r="AJ85" s="802">
        <f t="shared" si="571"/>
        <v>0.19708023281111023</v>
      </c>
      <c r="AK85" s="963">
        <v>0.5</v>
      </c>
      <c r="AL85" s="788">
        <f t="shared" ref="AL85:AN85" si="572">AL37/1000/24/AL$3</f>
        <v>0.18150702916666669</v>
      </c>
      <c r="AM85" s="802">
        <f t="shared" si="572"/>
        <v>0.5</v>
      </c>
      <c r="AN85" s="802">
        <f t="shared" si="572"/>
        <v>0.19516549465810487</v>
      </c>
      <c r="AO85" s="963">
        <v>0.5</v>
      </c>
      <c r="AP85" s="788">
        <f t="shared" ref="AP85:AT85" si="573">AP37/1000/24/AP$3</f>
        <v>0.19442135315860226</v>
      </c>
      <c r="AQ85" s="909">
        <f t="shared" si="573"/>
        <v>0.5</v>
      </c>
      <c r="AR85" s="909">
        <f t="shared" si="573"/>
        <v>0.19013861311141306</v>
      </c>
      <c r="AS85" s="802">
        <f t="shared" si="573"/>
        <v>0.5</v>
      </c>
      <c r="AT85" s="802">
        <f t="shared" si="573"/>
        <v>0.1950816096163428</v>
      </c>
      <c r="AU85" s="963">
        <v>0.5</v>
      </c>
      <c r="AV85" s="788">
        <f t="shared" ref="AV85:AX85" si="574">AV37/1000/24/AV$3</f>
        <v>0.11625225913978454</v>
      </c>
      <c r="AW85" s="802">
        <f t="shared" si="574"/>
        <v>0.5</v>
      </c>
      <c r="AX85" s="802">
        <f t="shared" si="574"/>
        <v>0.18709562966610324</v>
      </c>
      <c r="AY85" s="963">
        <v>0.5</v>
      </c>
      <c r="AZ85" s="788">
        <f t="shared" ref="AZ85:BB85" si="575">AZ37/1000/24/AZ$3</f>
        <v>0.14166215840773819</v>
      </c>
      <c r="BA85" s="802">
        <f t="shared" si="575"/>
        <v>0.5</v>
      </c>
      <c r="BB85" s="802">
        <f t="shared" si="575"/>
        <v>0.18328683566839599</v>
      </c>
      <c r="BC85" s="963">
        <v>0.5</v>
      </c>
      <c r="BD85" s="788">
        <f t="shared" ref="BD85:BJ85" si="576">BD37/1000/24/BD$3</f>
        <v>0.17509287836021492</v>
      </c>
      <c r="BE85" s="909">
        <f t="shared" si="576"/>
        <v>0.5</v>
      </c>
      <c r="BF85" s="909">
        <f t="shared" si="576"/>
        <v>0.14442488553240726</v>
      </c>
      <c r="BG85" s="2879">
        <f t="shared" si="576"/>
        <v>0.3324175824175824</v>
      </c>
      <c r="BH85" s="2879">
        <f t="shared" si="576"/>
        <v>0.10124241168727094</v>
      </c>
      <c r="BI85" s="802">
        <f t="shared" si="576"/>
        <v>0.5</v>
      </c>
      <c r="BJ85" s="802">
        <f t="shared" si="576"/>
        <v>0.18259091052715321</v>
      </c>
    </row>
    <row r="86" spans="1:62" x14ac:dyDescent="0.25">
      <c r="G86" s="2827" t="s">
        <v>940</v>
      </c>
      <c r="H86" s="700" t="s">
        <v>902</v>
      </c>
      <c r="I86" s="2874">
        <v>0.15</v>
      </c>
      <c r="J86" s="2875">
        <f t="shared" si="528"/>
        <v>0.15991944444444442</v>
      </c>
      <c r="K86" s="2874">
        <v>0.15</v>
      </c>
      <c r="L86" s="2876">
        <f t="shared" si="528"/>
        <v>7.6758064516129029E-2</v>
      </c>
      <c r="M86" s="2877">
        <f t="shared" si="528"/>
        <v>0.15</v>
      </c>
      <c r="N86" s="2877">
        <f t="shared" ref="N86" si="577">N38/1000/24/N$3</f>
        <v>0.11765710382513661</v>
      </c>
      <c r="O86" s="2874">
        <v>0.15</v>
      </c>
      <c r="P86" s="2875">
        <f t="shared" ref="P86:Q86" si="578">P38/1000/24/P$3</f>
        <v>0.15778333333333333</v>
      </c>
      <c r="Q86" s="2878">
        <f t="shared" si="578"/>
        <v>0.15</v>
      </c>
      <c r="R86" s="2878">
        <f t="shared" si="530"/>
        <v>0.13088553113553114</v>
      </c>
      <c r="S86" s="2874">
        <v>0.15</v>
      </c>
      <c r="T86" s="2876">
        <f t="shared" ref="T86:U86" si="579">T38/1000/24/T$3</f>
        <v>9.1445430107526884E-2</v>
      </c>
      <c r="U86" s="2877">
        <f t="shared" si="579"/>
        <v>0.15</v>
      </c>
      <c r="V86" s="2877">
        <f t="shared" si="531"/>
        <v>0.12086386612021859</v>
      </c>
      <c r="W86" s="2874">
        <v>0.15</v>
      </c>
      <c r="X86" s="2876">
        <f t="shared" ref="X86:Z86" si="580">X38/1000/24/X$3</f>
        <v>0.17562634408602149</v>
      </c>
      <c r="Y86" s="2877">
        <f t="shared" si="580"/>
        <v>0.15</v>
      </c>
      <c r="Z86" s="2877">
        <f t="shared" si="580"/>
        <v>0.13195953159041396</v>
      </c>
      <c r="AA86" s="2874">
        <v>0.15</v>
      </c>
      <c r="AB86" s="2876">
        <f t="shared" ref="AB86" si="581">AB38/1000/24/AB$3</f>
        <v>0.18661111111111112</v>
      </c>
      <c r="AC86" s="2878">
        <f t="shared" ref="AC86:AF86" si="582">AC38/1000/24/AC$3</f>
        <v>0.15</v>
      </c>
      <c r="AD86" s="2878">
        <f t="shared" si="582"/>
        <v>0.15084302536231886</v>
      </c>
      <c r="AE86" s="2879">
        <f t="shared" si="582"/>
        <v>0.15</v>
      </c>
      <c r="AF86" s="2879">
        <f t="shared" si="582"/>
        <v>0.14091880692167577</v>
      </c>
      <c r="AG86" s="963">
        <v>0.15</v>
      </c>
      <c r="AH86" s="788">
        <f t="shared" ref="AH86:AJ86" si="583">AH38/1000/24/AH$3</f>
        <v>9.0529569892473127E-2</v>
      </c>
      <c r="AI86" s="802">
        <f t="shared" si="583"/>
        <v>0.15</v>
      </c>
      <c r="AJ86" s="802">
        <f t="shared" si="583"/>
        <v>0.13361943146417446</v>
      </c>
      <c r="AK86" s="963">
        <v>0.15</v>
      </c>
      <c r="AL86" s="788">
        <f t="shared" ref="AL86:AN86" si="584">AL38/1000/24/AL$3</f>
        <v>0.11235833333333332</v>
      </c>
      <c r="AM86" s="802">
        <f t="shared" si="584"/>
        <v>0.15</v>
      </c>
      <c r="AN86" s="802">
        <f t="shared" si="584"/>
        <v>0.13100536202185795</v>
      </c>
      <c r="AO86" s="963">
        <v>0.15</v>
      </c>
      <c r="AP86" s="788">
        <f t="shared" ref="AP86:AT86" si="585">AP38/1000/24/AP$3</f>
        <v>0.12484408602150537</v>
      </c>
      <c r="AQ86" s="909">
        <f t="shared" si="585"/>
        <v>0.15</v>
      </c>
      <c r="AR86" s="909">
        <f t="shared" si="585"/>
        <v>0.10921014492753622</v>
      </c>
      <c r="AS86" s="802">
        <f t="shared" si="585"/>
        <v>0.15</v>
      </c>
      <c r="AT86" s="802">
        <f t="shared" si="585"/>
        <v>0.13031081818181819</v>
      </c>
      <c r="AU86" s="963">
        <v>0.15</v>
      </c>
      <c r="AV86" s="788">
        <f t="shared" ref="AV86:AX86" si="586">AV38/1000/24/AV$3</f>
        <v>0.10833064516129032</v>
      </c>
      <c r="AW86" s="802">
        <f t="shared" si="586"/>
        <v>0.15</v>
      </c>
      <c r="AX86" s="802">
        <f t="shared" si="586"/>
        <v>0.12808406862745098</v>
      </c>
      <c r="AY86" s="963">
        <v>0.15</v>
      </c>
      <c r="AZ86" s="788">
        <f t="shared" ref="AZ86:BB86" si="587">AZ38/1000/24/AZ$3</f>
        <v>0.15184226190476191</v>
      </c>
      <c r="BA86" s="802">
        <f t="shared" si="587"/>
        <v>0.15</v>
      </c>
      <c r="BB86" s="802">
        <f t="shared" si="587"/>
        <v>0.13007577345309382</v>
      </c>
      <c r="BC86" s="963">
        <v>0.15</v>
      </c>
      <c r="BD86" s="788">
        <f t="shared" ref="BD86:BJ86" si="588">BD38/1000/24/BD$3</f>
        <v>0.15858602150537635</v>
      </c>
      <c r="BE86" s="909">
        <f t="shared" si="588"/>
        <v>0.15</v>
      </c>
      <c r="BF86" s="909">
        <f t="shared" si="588"/>
        <v>0.13917777777777779</v>
      </c>
      <c r="BG86" s="2879">
        <f t="shared" si="588"/>
        <v>9.9725274725274732E-2</v>
      </c>
      <c r="BH86" s="2879">
        <f t="shared" si="588"/>
        <v>9.5836080586080605E-2</v>
      </c>
      <c r="BI86" s="802">
        <f t="shared" si="588"/>
        <v>0.15</v>
      </c>
      <c r="BJ86" s="802">
        <f t="shared" si="588"/>
        <v>0.13249719178082189</v>
      </c>
    </row>
    <row r="87" spans="1:62" x14ac:dyDescent="0.25">
      <c r="G87" s="2852">
        <v>4.2</v>
      </c>
      <c r="H87" s="2553" t="s">
        <v>903</v>
      </c>
      <c r="I87" s="2885">
        <f>+I88+I90</f>
        <v>13.324999999999999</v>
      </c>
      <c r="J87" s="2885">
        <f t="shared" si="528"/>
        <v>11.957934336744239</v>
      </c>
      <c r="K87" s="2885">
        <v>13.324999999999999</v>
      </c>
      <c r="L87" s="2886">
        <f t="shared" si="528"/>
        <v>11.731617349059141</v>
      </c>
      <c r="M87" s="2887">
        <f t="shared" si="528"/>
        <v>13.324999999999999</v>
      </c>
      <c r="N87" s="2887">
        <f t="shared" ref="N87" si="589">N39/1000/24/N$3</f>
        <v>11.842920785625584</v>
      </c>
      <c r="O87" s="2885">
        <f>+O88+O90</f>
        <v>13.324999999999999</v>
      </c>
      <c r="P87" s="2885">
        <f t="shared" ref="P87:Q87" si="590">P39/1000/24/P$3</f>
        <v>13.634731238266278</v>
      </c>
      <c r="Q87" s="2888">
        <f t="shared" si="590"/>
        <v>13.325000000000001</v>
      </c>
      <c r="R87" s="2888">
        <f t="shared" si="530"/>
        <v>12.433627528254382</v>
      </c>
      <c r="S87" s="2890">
        <f>+S88+S90</f>
        <v>13.324999999999999</v>
      </c>
      <c r="T87" s="2886">
        <f t="shared" ref="T87:U87" si="591">T39/1000/24/T$3</f>
        <v>13.464895673053395</v>
      </c>
      <c r="U87" s="2887">
        <f t="shared" si="591"/>
        <v>13.324999999999999</v>
      </c>
      <c r="V87" s="2887">
        <f t="shared" si="531"/>
        <v>12.695671073244293</v>
      </c>
      <c r="W87" s="2890">
        <f>+W88+W90</f>
        <v>13.324999999999999</v>
      </c>
      <c r="X87" s="2886">
        <f t="shared" ref="X87:Z87" si="592">X39/1000/24/X$3</f>
        <v>13.781678503225802</v>
      </c>
      <c r="Y87" s="2887">
        <f t="shared" si="592"/>
        <v>13.325000000000001</v>
      </c>
      <c r="Z87" s="2887">
        <f t="shared" si="592"/>
        <v>12.91571179435166</v>
      </c>
      <c r="AA87" s="2890">
        <f>+AA88+AA90</f>
        <v>13.324999999999999</v>
      </c>
      <c r="AB87" s="2886">
        <f t="shared" ref="AB87" si="593">AB39/1000/24/AB$3</f>
        <v>14.458384308333338</v>
      </c>
      <c r="AC87" s="2888">
        <f t="shared" ref="AC87:AF87" si="594">AC39/1000/24/AC$3</f>
        <v>13.324999999999999</v>
      </c>
      <c r="AD87" s="2888">
        <f t="shared" si="594"/>
        <v>13.895601399072341</v>
      </c>
      <c r="AE87" s="2889">
        <f t="shared" si="594"/>
        <v>13.324999999999999</v>
      </c>
      <c r="AF87" s="2889">
        <f t="shared" si="594"/>
        <v>13.168608927791281</v>
      </c>
      <c r="AG87" s="964">
        <f>+AG88+AG90</f>
        <v>13.324999999999999</v>
      </c>
      <c r="AH87" s="792">
        <f t="shared" ref="AH87:AJ87" si="595">AH39/1000/24/AH$3</f>
        <v>13.014659201612895</v>
      </c>
      <c r="AI87" s="804">
        <f t="shared" si="595"/>
        <v>13.324999999999999</v>
      </c>
      <c r="AJ87" s="804">
        <f t="shared" si="595"/>
        <v>13.146307799232728</v>
      </c>
      <c r="AK87" s="964">
        <f>+AK88+AK90</f>
        <v>13.324999999999999</v>
      </c>
      <c r="AL87" s="792">
        <f t="shared" ref="AL87:AN87" si="596">AL39/1000/24/AL$3</f>
        <v>12.446229523611121</v>
      </c>
      <c r="AM87" s="804">
        <f t="shared" si="596"/>
        <v>13.324999999999999</v>
      </c>
      <c r="AN87" s="804">
        <f t="shared" si="596"/>
        <v>13.0602326014104</v>
      </c>
      <c r="AO87" s="964">
        <f>+AO88+AO90</f>
        <v>13.324999999999999</v>
      </c>
      <c r="AP87" s="792">
        <f t="shared" ref="AP87:AT87" si="597">AP39/1000/24/AP$3</f>
        <v>12.393805903561828</v>
      </c>
      <c r="AQ87" s="911">
        <f t="shared" si="597"/>
        <v>13.324999999999999</v>
      </c>
      <c r="AR87" s="911">
        <f t="shared" si="597"/>
        <v>12.62010113009511</v>
      </c>
      <c r="AS87" s="804">
        <f t="shared" si="597"/>
        <v>13.324999999999999</v>
      </c>
      <c r="AT87" s="804">
        <f t="shared" si="597"/>
        <v>12.985108137289288</v>
      </c>
      <c r="AU87" s="964">
        <f>+AU88+AU90</f>
        <v>13.324999999999999</v>
      </c>
      <c r="AV87" s="792">
        <f t="shared" ref="AV87:AX87" si="598">AV39/1000/24/AV$3</f>
        <v>12.630329380645156</v>
      </c>
      <c r="AW87" s="804">
        <f t="shared" si="598"/>
        <v>13.325000000000001</v>
      </c>
      <c r="AX87" s="804">
        <f t="shared" si="598"/>
        <v>12.949166498544296</v>
      </c>
      <c r="AY87" s="964">
        <f>+AY88+AY90</f>
        <v>13.324999999999999</v>
      </c>
      <c r="AZ87" s="792">
        <f t="shared" ref="AZ87:BB87" si="599">AZ39/1000/24/AZ$3</f>
        <v>11.215354588616071</v>
      </c>
      <c r="BA87" s="804">
        <f t="shared" si="599"/>
        <v>13.325000000000001</v>
      </c>
      <c r="BB87" s="804">
        <f t="shared" si="599"/>
        <v>12.803816997113188</v>
      </c>
      <c r="BC87" s="964">
        <f>+BC88+BC90</f>
        <v>13.324999999999999</v>
      </c>
      <c r="BD87" s="792">
        <f t="shared" ref="BD87:BJ87" si="600">BD39/1000/24/BD$3</f>
        <v>11.170687475134409</v>
      </c>
      <c r="BE87" s="911">
        <f t="shared" si="600"/>
        <v>13.324999999999999</v>
      </c>
      <c r="BF87" s="911">
        <f t="shared" si="600"/>
        <v>11.687349455671294</v>
      </c>
      <c r="BG87" s="2889">
        <f t="shared" si="600"/>
        <v>8.8589285714285708</v>
      </c>
      <c r="BH87" s="2889">
        <f t="shared" si="600"/>
        <v>7.6821580370306775</v>
      </c>
      <c r="BI87" s="804">
        <f t="shared" si="600"/>
        <v>13.324999999999999</v>
      </c>
      <c r="BJ87" s="804">
        <f t="shared" si="600"/>
        <v>12.665112845931427</v>
      </c>
    </row>
    <row r="88" spans="1:62" x14ac:dyDescent="0.25">
      <c r="G88" s="2852" t="s">
        <v>942</v>
      </c>
      <c r="H88" s="2553" t="s">
        <v>904</v>
      </c>
      <c r="I88" s="2885">
        <f>+I89</f>
        <v>7.8</v>
      </c>
      <c r="J88" s="2885">
        <f t="shared" si="528"/>
        <v>6.4086518055555555</v>
      </c>
      <c r="K88" s="2885">
        <v>7.8</v>
      </c>
      <c r="L88" s="2886">
        <f t="shared" si="528"/>
        <v>6.849638037634409</v>
      </c>
      <c r="M88" s="2887">
        <f t="shared" si="528"/>
        <v>7.8</v>
      </c>
      <c r="N88" s="2887">
        <f t="shared" ref="N88" si="601">N40/1000/24/N$3</f>
        <v>6.6327595628415308</v>
      </c>
      <c r="O88" s="2885">
        <f>+O89</f>
        <v>7.8</v>
      </c>
      <c r="P88" s="2885">
        <f t="shared" ref="P88:Q88" si="602">P40/1000/24/P$3</f>
        <v>8.1625477777777729</v>
      </c>
      <c r="Q88" s="2888">
        <f t="shared" si="602"/>
        <v>7.8000000000000007</v>
      </c>
      <c r="R88" s="2888">
        <f t="shared" si="530"/>
        <v>7.1370853479853471</v>
      </c>
      <c r="S88" s="2890">
        <f>+S89</f>
        <v>7.8</v>
      </c>
      <c r="T88" s="2886">
        <f t="shared" ref="T88:U88" si="603">T40/1000/24/T$3</f>
        <v>8.0658994623655946</v>
      </c>
      <c r="U88" s="2887">
        <f t="shared" si="603"/>
        <v>7.8</v>
      </c>
      <c r="V88" s="2887">
        <f t="shared" si="531"/>
        <v>7.3730954918032801</v>
      </c>
      <c r="W88" s="2890">
        <f>+W89</f>
        <v>7.8</v>
      </c>
      <c r="X88" s="2886">
        <f t="shared" ref="X88:Z88" si="604">X40/1000/24/X$3</f>
        <v>8.0813556451612829</v>
      </c>
      <c r="Y88" s="2887">
        <f t="shared" si="604"/>
        <v>7.7999999999999989</v>
      </c>
      <c r="Z88" s="2887">
        <f t="shared" si="604"/>
        <v>7.5165991830065346</v>
      </c>
      <c r="AA88" s="2890">
        <f>+AA89</f>
        <v>7.8</v>
      </c>
      <c r="AB88" s="2886">
        <f t="shared" ref="AB88" si="605">AB40/1000/24/AB$3</f>
        <v>8.3374150000000089</v>
      </c>
      <c r="AC88" s="2888">
        <f t="shared" ref="AC88:AF88" si="606">AC40/1000/24/AC$3</f>
        <v>7.8</v>
      </c>
      <c r="AD88" s="2888">
        <f t="shared" si="606"/>
        <v>8.1596451992753636</v>
      </c>
      <c r="AE88" s="2889">
        <f t="shared" si="606"/>
        <v>7.7999999999999989</v>
      </c>
      <c r="AF88" s="2889">
        <f t="shared" si="606"/>
        <v>7.651159153005465</v>
      </c>
      <c r="AG88" s="964">
        <f>+AG89</f>
        <v>7.8</v>
      </c>
      <c r="AH88" s="792">
        <f t="shared" ref="AH88:AJ88" si="607">AH40/1000/24/AH$3</f>
        <v>8.1259954301075226</v>
      </c>
      <c r="AI88" s="804">
        <f t="shared" si="607"/>
        <v>7.8</v>
      </c>
      <c r="AJ88" s="804">
        <f t="shared" si="607"/>
        <v>7.7199438473520239</v>
      </c>
      <c r="AK88" s="964">
        <f>+AK89</f>
        <v>7.8</v>
      </c>
      <c r="AL88" s="792">
        <f t="shared" ref="AL88:AN88" si="608">AL40/1000/24/AL$3</f>
        <v>8.1611805555555552</v>
      </c>
      <c r="AM88" s="804">
        <f t="shared" si="608"/>
        <v>7.8</v>
      </c>
      <c r="AN88" s="804">
        <f t="shared" si="608"/>
        <v>7.7741942622950813</v>
      </c>
      <c r="AO88" s="964">
        <f>+AO89</f>
        <v>7.8</v>
      </c>
      <c r="AP88" s="792">
        <f t="shared" ref="AP88:AT88" si="609">AP40/1000/24/AP$3</f>
        <v>7.9848192204301087</v>
      </c>
      <c r="AQ88" s="911">
        <f t="shared" si="609"/>
        <v>7.8</v>
      </c>
      <c r="AR88" s="911">
        <f t="shared" si="609"/>
        <v>8.0898985960144909</v>
      </c>
      <c r="AS88" s="804">
        <f t="shared" si="609"/>
        <v>7.8</v>
      </c>
      <c r="AT88" s="804">
        <f t="shared" si="609"/>
        <v>7.7979374393939374</v>
      </c>
      <c r="AU88" s="964">
        <f>+AU89</f>
        <v>7.8</v>
      </c>
      <c r="AV88" s="792">
        <f t="shared" ref="AV88:AX88" si="610">AV40/1000/24/AV$3</f>
        <v>8.0993538978494612</v>
      </c>
      <c r="AW88" s="804">
        <f t="shared" si="610"/>
        <v>7.7999999999999989</v>
      </c>
      <c r="AX88" s="804">
        <f t="shared" si="610"/>
        <v>7.8284730936819162</v>
      </c>
      <c r="AY88" s="964">
        <f>+AY89</f>
        <v>7.8</v>
      </c>
      <c r="AZ88" s="792">
        <f t="shared" ref="AZ88:BB88" si="611">AZ40/1000/24/AZ$3</f>
        <v>6.9222001488095248</v>
      </c>
      <c r="BA88" s="804">
        <f t="shared" si="611"/>
        <v>7.8000000000000007</v>
      </c>
      <c r="BB88" s="804">
        <f t="shared" si="611"/>
        <v>7.7524981162674633</v>
      </c>
      <c r="BC88" s="964">
        <f>+BC89</f>
        <v>7.8</v>
      </c>
      <c r="BD88" s="792">
        <f t="shared" ref="BD88:BJ88" si="612">BD40/1000/24/BD$3</f>
        <v>6.6347142473118277</v>
      </c>
      <c r="BE88" s="911">
        <f t="shared" si="612"/>
        <v>7.8</v>
      </c>
      <c r="BF88" s="911">
        <f t="shared" si="612"/>
        <v>7.2286412962962947</v>
      </c>
      <c r="BG88" s="2889">
        <f t="shared" si="612"/>
        <v>5.1857142857142859</v>
      </c>
      <c r="BH88" s="2889">
        <f t="shared" si="612"/>
        <v>4.7046915293040286</v>
      </c>
      <c r="BI88" s="804">
        <f t="shared" si="612"/>
        <v>7.8</v>
      </c>
      <c r="BJ88" s="804">
        <f t="shared" si="612"/>
        <v>7.6575630479452039</v>
      </c>
    </row>
    <row r="89" spans="1:62" x14ac:dyDescent="0.25">
      <c r="G89" s="2827" t="s">
        <v>943</v>
      </c>
      <c r="H89" s="700" t="s">
        <v>905</v>
      </c>
      <c r="I89" s="2875">
        <v>7.8</v>
      </c>
      <c r="J89" s="2875">
        <f t="shared" si="528"/>
        <v>6.4086518055555555</v>
      </c>
      <c r="K89" s="2875">
        <v>7.8</v>
      </c>
      <c r="L89" s="2876">
        <f t="shared" si="528"/>
        <v>6.849638037634409</v>
      </c>
      <c r="M89" s="2877">
        <f t="shared" si="528"/>
        <v>7.8</v>
      </c>
      <c r="N89" s="2877">
        <f t="shared" ref="N89" si="613">N41/1000/24/N$3</f>
        <v>6.6327595628415308</v>
      </c>
      <c r="O89" s="2875">
        <v>7.8</v>
      </c>
      <c r="P89" s="2875">
        <f t="shared" ref="P89:Q89" si="614">P41/1000/24/P$3</f>
        <v>8.1625477777777729</v>
      </c>
      <c r="Q89" s="2878">
        <f t="shared" si="614"/>
        <v>7.8000000000000007</v>
      </c>
      <c r="R89" s="2878">
        <f t="shared" si="530"/>
        <v>7.1370853479853471</v>
      </c>
      <c r="S89" s="2875">
        <v>7.8</v>
      </c>
      <c r="T89" s="2876">
        <f t="shared" ref="T89:U89" si="615">T41/1000/24/T$3</f>
        <v>8.0658994623655946</v>
      </c>
      <c r="U89" s="2877">
        <f t="shared" si="615"/>
        <v>7.8</v>
      </c>
      <c r="V89" s="2877">
        <f t="shared" si="531"/>
        <v>7.3730954918032801</v>
      </c>
      <c r="W89" s="2875">
        <v>7.8</v>
      </c>
      <c r="X89" s="2876">
        <f t="shared" ref="X89:Z89" si="616">X41/1000/24/X$3</f>
        <v>8.0813556451612829</v>
      </c>
      <c r="Y89" s="2877">
        <f t="shared" si="616"/>
        <v>7.7999999999999989</v>
      </c>
      <c r="Z89" s="2877">
        <f t="shared" si="616"/>
        <v>7.5165991830065346</v>
      </c>
      <c r="AA89" s="2875">
        <v>7.8</v>
      </c>
      <c r="AB89" s="2876">
        <f t="shared" ref="AB89" si="617">AB41/1000/24/AB$3</f>
        <v>8.3374150000000089</v>
      </c>
      <c r="AC89" s="2878">
        <f t="shared" ref="AC89:AF89" si="618">AC41/1000/24/AC$3</f>
        <v>7.8</v>
      </c>
      <c r="AD89" s="2878">
        <f t="shared" si="618"/>
        <v>8.1596451992753636</v>
      </c>
      <c r="AE89" s="2879">
        <f t="shared" si="618"/>
        <v>7.7999999999999989</v>
      </c>
      <c r="AF89" s="2879">
        <f t="shared" si="618"/>
        <v>7.651159153005465</v>
      </c>
      <c r="AG89" s="787">
        <v>7.8</v>
      </c>
      <c r="AH89" s="788">
        <f t="shared" ref="AH89:AJ89" si="619">AH41/1000/24/AH$3</f>
        <v>8.1259954301075226</v>
      </c>
      <c r="AI89" s="802">
        <f t="shared" si="619"/>
        <v>7.8</v>
      </c>
      <c r="AJ89" s="802">
        <f t="shared" si="619"/>
        <v>7.7199438473520239</v>
      </c>
      <c r="AK89" s="787">
        <v>7.8</v>
      </c>
      <c r="AL89" s="788">
        <f t="shared" ref="AL89:AN89" si="620">AL41/1000/24/AL$3</f>
        <v>8.1611805555555552</v>
      </c>
      <c r="AM89" s="802">
        <f t="shared" si="620"/>
        <v>7.8</v>
      </c>
      <c r="AN89" s="802">
        <f t="shared" si="620"/>
        <v>7.7741942622950813</v>
      </c>
      <c r="AO89" s="787">
        <v>7.8</v>
      </c>
      <c r="AP89" s="788">
        <f t="shared" ref="AP89:AT89" si="621">AP41/1000/24/AP$3</f>
        <v>7.9848192204301087</v>
      </c>
      <c r="AQ89" s="909">
        <f t="shared" si="621"/>
        <v>7.8</v>
      </c>
      <c r="AR89" s="909">
        <f t="shared" si="621"/>
        <v>8.0898985960144909</v>
      </c>
      <c r="AS89" s="802">
        <f t="shared" si="621"/>
        <v>7.8</v>
      </c>
      <c r="AT89" s="802">
        <f t="shared" si="621"/>
        <v>7.7979374393939374</v>
      </c>
      <c r="AU89" s="787">
        <v>7.8</v>
      </c>
      <c r="AV89" s="788">
        <f t="shared" ref="AV89:AX89" si="622">AV41/1000/24/AV$3</f>
        <v>8.0993538978494612</v>
      </c>
      <c r="AW89" s="802">
        <f t="shared" si="622"/>
        <v>7.7999999999999989</v>
      </c>
      <c r="AX89" s="802">
        <f t="shared" si="622"/>
        <v>7.8284730936819162</v>
      </c>
      <c r="AY89" s="787">
        <v>7.8</v>
      </c>
      <c r="AZ89" s="788">
        <f t="shared" ref="AZ89:BB89" si="623">AZ41/1000/24/AZ$3</f>
        <v>6.9222001488095248</v>
      </c>
      <c r="BA89" s="802">
        <f t="shared" si="623"/>
        <v>7.8000000000000007</v>
      </c>
      <c r="BB89" s="802">
        <f t="shared" si="623"/>
        <v>7.7524981162674633</v>
      </c>
      <c r="BC89" s="787">
        <v>7.8</v>
      </c>
      <c r="BD89" s="788">
        <f t="shared" ref="BD89:BJ89" si="624">BD41/1000/24/BD$3</f>
        <v>6.6347142473118277</v>
      </c>
      <c r="BE89" s="909">
        <f t="shared" si="624"/>
        <v>7.8</v>
      </c>
      <c r="BF89" s="909">
        <f t="shared" si="624"/>
        <v>7.2286412962962947</v>
      </c>
      <c r="BG89" s="2879">
        <f t="shared" si="624"/>
        <v>5.1857142857142859</v>
      </c>
      <c r="BH89" s="2879">
        <f t="shared" si="624"/>
        <v>4.7046915293040286</v>
      </c>
      <c r="BI89" s="802">
        <f t="shared" si="624"/>
        <v>7.8</v>
      </c>
      <c r="BJ89" s="802">
        <f t="shared" si="624"/>
        <v>7.6575630479452039</v>
      </c>
    </row>
    <row r="90" spans="1:62" x14ac:dyDescent="0.25">
      <c r="G90" s="2852" t="s">
        <v>944</v>
      </c>
      <c r="H90" s="2553" t="s">
        <v>906</v>
      </c>
      <c r="I90" s="2885">
        <f>+SUM(I91:I94)</f>
        <v>5.5250000000000004</v>
      </c>
      <c r="J90" s="2885">
        <f t="shared" si="528"/>
        <v>5.549282531188684</v>
      </c>
      <c r="K90" s="2885">
        <v>5.5250000000000004</v>
      </c>
      <c r="L90" s="2886">
        <f t="shared" si="528"/>
        <v>4.8819793114247307</v>
      </c>
      <c r="M90" s="2887">
        <f t="shared" si="528"/>
        <v>5.5250000000000004</v>
      </c>
      <c r="N90" s="2887">
        <f t="shared" ref="N90" si="625">N42/1000/24/N$3</f>
        <v>5.2101612227840519</v>
      </c>
      <c r="O90" s="2885">
        <f>+SUM(O91:O94)</f>
        <v>5.5250000000000004</v>
      </c>
      <c r="P90" s="2885">
        <f t="shared" ref="P90:Q90" si="626">P42/1000/24/P$3</f>
        <v>5.4721834604885053</v>
      </c>
      <c r="Q90" s="2888">
        <f t="shared" si="626"/>
        <v>5.5250000000000004</v>
      </c>
      <c r="R90" s="2888">
        <f t="shared" si="530"/>
        <v>5.2965421802690376</v>
      </c>
      <c r="S90" s="2885">
        <f>+SUM(S91:S94)</f>
        <v>5.5250000000000004</v>
      </c>
      <c r="T90" s="2886">
        <f t="shared" ref="T90:U90" si="627">T42/1000/24/T$3</f>
        <v>5.3989962106877991</v>
      </c>
      <c r="U90" s="2887">
        <f t="shared" si="627"/>
        <v>5.5250000000000004</v>
      </c>
      <c r="V90" s="2887">
        <f t="shared" si="531"/>
        <v>5.3225755814410176</v>
      </c>
      <c r="W90" s="2885">
        <f>+SUM(W91:W94)</f>
        <v>5.5250000000000004</v>
      </c>
      <c r="X90" s="2886">
        <f t="shared" ref="X90:Z90" si="628">X42/1000/24/X$3</f>
        <v>5.700322858064518</v>
      </c>
      <c r="Y90" s="2887">
        <f t="shared" si="628"/>
        <v>5.5249999999999995</v>
      </c>
      <c r="Z90" s="2887">
        <f t="shared" si="628"/>
        <v>5.3991126113451253</v>
      </c>
      <c r="AA90" s="2885">
        <f>+SUM(AA91:AA94)</f>
        <v>5.5250000000000004</v>
      </c>
      <c r="AB90" s="2886">
        <f t="shared" ref="AB90" si="629">AB42/1000/24/AB$3</f>
        <v>6.1209693083333301</v>
      </c>
      <c r="AC90" s="2888">
        <f t="shared" ref="AC90:AF90" si="630">AC42/1000/24/AC$3</f>
        <v>5.5250000000000004</v>
      </c>
      <c r="AD90" s="2888">
        <f t="shared" si="630"/>
        <v>5.7359561997969752</v>
      </c>
      <c r="AE90" s="2889">
        <f t="shared" si="630"/>
        <v>5.5249999999999995</v>
      </c>
      <c r="AF90" s="2889">
        <f t="shared" si="630"/>
        <v>5.5174497747858151</v>
      </c>
      <c r="AG90" s="791">
        <f>+SUM(AG91:AG94)</f>
        <v>5.5250000000000004</v>
      </c>
      <c r="AH90" s="792">
        <f t="shared" ref="AH90:AJ90" si="631">AH42/1000/24/AH$3</f>
        <v>4.8886637715053718</v>
      </c>
      <c r="AI90" s="804">
        <f t="shared" si="631"/>
        <v>5.5250000000000004</v>
      </c>
      <c r="AJ90" s="804">
        <f t="shared" si="631"/>
        <v>5.4263639518807043</v>
      </c>
      <c r="AK90" s="791">
        <f>+SUM(AK91:AK94)</f>
        <v>5.5250000000000004</v>
      </c>
      <c r="AL90" s="792">
        <f t="shared" ref="AL90:AN90" si="632">AL42/1000/24/AL$3</f>
        <v>4.2850489680555635</v>
      </c>
      <c r="AM90" s="804">
        <f t="shared" si="632"/>
        <v>5.5250000000000004</v>
      </c>
      <c r="AN90" s="804">
        <f t="shared" si="632"/>
        <v>5.2860383391153176</v>
      </c>
      <c r="AO90" s="791">
        <f>+SUM(AO91:AO94)</f>
        <v>5.5250000000000004</v>
      </c>
      <c r="AP90" s="792">
        <f t="shared" ref="AP90:AT90" si="633">AP42/1000/24/AP$3</f>
        <v>4.4089866831317206</v>
      </c>
      <c r="AQ90" s="911">
        <f t="shared" si="633"/>
        <v>5.5250000000000004</v>
      </c>
      <c r="AR90" s="911">
        <f t="shared" si="633"/>
        <v>4.5302025340806162</v>
      </c>
      <c r="AS90" s="804">
        <f t="shared" si="633"/>
        <v>5.5250000000000004</v>
      </c>
      <c r="AT90" s="804">
        <f t="shared" si="633"/>
        <v>5.1871706978953487</v>
      </c>
      <c r="AU90" s="791">
        <f>+SUM(AU91:AU94)</f>
        <v>5.5250000000000004</v>
      </c>
      <c r="AV90" s="792">
        <f t="shared" ref="AV90:AX90" si="634">AV42/1000/24/AV$3</f>
        <v>4.5309754827956947</v>
      </c>
      <c r="AW90" s="804">
        <f t="shared" si="634"/>
        <v>5.5249999999999995</v>
      </c>
      <c r="AX90" s="804">
        <f t="shared" si="634"/>
        <v>5.1206934048623767</v>
      </c>
      <c r="AY90" s="791">
        <f>+SUM(AY91:AY94)</f>
        <v>5.5250000000000004</v>
      </c>
      <c r="AZ90" s="792">
        <f t="shared" ref="AZ90:BB90" si="635">AZ42/1000/24/AZ$3</f>
        <v>4.2931544398065471</v>
      </c>
      <c r="BA90" s="804">
        <f t="shared" si="635"/>
        <v>5.5250000000000004</v>
      </c>
      <c r="BB90" s="804">
        <f t="shared" si="635"/>
        <v>5.051318880845721</v>
      </c>
      <c r="BC90" s="791">
        <f>+SUM(BC91:BC94)</f>
        <v>5.5250000000000004</v>
      </c>
      <c r="BD90" s="792">
        <f t="shared" ref="BD90:BJ90" si="636">BD42/1000/24/BD$3</f>
        <v>4.5359732278225824</v>
      </c>
      <c r="BE90" s="911">
        <f t="shared" si="636"/>
        <v>5.5250000000000004</v>
      </c>
      <c r="BF90" s="911">
        <f t="shared" si="636"/>
        <v>4.4587081593749991</v>
      </c>
      <c r="BG90" s="2889">
        <f t="shared" si="636"/>
        <v>3.6732142857142858</v>
      </c>
      <c r="BH90" s="2889">
        <f t="shared" si="636"/>
        <v>2.977466507726648</v>
      </c>
      <c r="BI90" s="804">
        <f t="shared" si="636"/>
        <v>5.5250000000000004</v>
      </c>
      <c r="BJ90" s="804">
        <f t="shared" si="636"/>
        <v>5.0075497979862211</v>
      </c>
    </row>
    <row r="91" spans="1:62" x14ac:dyDescent="0.25">
      <c r="G91" s="2827" t="s">
        <v>945</v>
      </c>
      <c r="H91" s="700" t="s">
        <v>907</v>
      </c>
      <c r="I91" s="2874">
        <v>0.52500000000000002</v>
      </c>
      <c r="J91" s="2875">
        <f t="shared" si="528"/>
        <v>0.60021097146647628</v>
      </c>
      <c r="K91" s="2874">
        <v>0.52500000000000002</v>
      </c>
      <c r="L91" s="2876">
        <f t="shared" si="528"/>
        <v>0.52981898481182799</v>
      </c>
      <c r="M91" s="2877">
        <f t="shared" si="528"/>
        <v>0.52500000000000002</v>
      </c>
      <c r="N91" s="2877">
        <f t="shared" ref="N91" si="637">N43/1000/24/N$3</f>
        <v>0.56443799464198297</v>
      </c>
      <c r="O91" s="2874">
        <v>0.52500000000000002</v>
      </c>
      <c r="P91" s="2875">
        <f t="shared" ref="P91:Q91" si="638">P43/1000/24/P$3</f>
        <v>0.55278715804597489</v>
      </c>
      <c r="Q91" s="2878">
        <f t="shared" si="638"/>
        <v>0.52500000000000002</v>
      </c>
      <c r="R91" s="2878">
        <f t="shared" si="530"/>
        <v>0.56059705950044181</v>
      </c>
      <c r="S91" s="2874">
        <v>0.52500000000000002</v>
      </c>
      <c r="T91" s="2876">
        <f t="shared" ref="T91:U91" si="639">T43/1000/24/T$3</f>
        <v>0.60119072792918193</v>
      </c>
      <c r="U91" s="2877">
        <f t="shared" si="639"/>
        <v>0.52500000000000002</v>
      </c>
      <c r="V91" s="2877">
        <f t="shared" si="531"/>
        <v>0.57091184410118734</v>
      </c>
      <c r="W91" s="2874">
        <v>0.52500000000000002</v>
      </c>
      <c r="X91" s="2876">
        <f t="shared" ref="X91:Z91" si="640">X43/1000/24/X$3</f>
        <v>0.601990536827955</v>
      </c>
      <c r="Y91" s="2877">
        <f t="shared" si="640"/>
        <v>0.52500000000000002</v>
      </c>
      <c r="Z91" s="2877">
        <f t="shared" si="640"/>
        <v>0.57720883413079382</v>
      </c>
      <c r="AA91" s="2874">
        <v>0.52500000000000002</v>
      </c>
      <c r="AB91" s="2876">
        <f t="shared" ref="AB91" si="641">AB43/1000/24/AB$3</f>
        <v>0.54953973888889118</v>
      </c>
      <c r="AC91" s="2878">
        <f t="shared" ref="AC91:AF91" si="642">AC43/1000/24/AC$3</f>
        <v>0.52500000000000002</v>
      </c>
      <c r="AD91" s="2878">
        <f t="shared" si="642"/>
        <v>0.58461751493628233</v>
      </c>
      <c r="AE91" s="2879">
        <f t="shared" si="642"/>
        <v>0.52500000000000002</v>
      </c>
      <c r="AF91" s="2879">
        <f t="shared" si="642"/>
        <v>0.5726729168780228</v>
      </c>
      <c r="AG91" s="963">
        <v>0.52500000000000002</v>
      </c>
      <c r="AH91" s="788">
        <f t="shared" ref="AH91:AJ91" si="643">AH43/1000/24/AH$3</f>
        <v>0.51640241263440656</v>
      </c>
      <c r="AI91" s="802">
        <f t="shared" si="643"/>
        <v>0.52500000000000002</v>
      </c>
      <c r="AJ91" s="802">
        <f t="shared" si="643"/>
        <v>0.5645215821511439</v>
      </c>
      <c r="AK91" s="963">
        <v>0.52500000000000002</v>
      </c>
      <c r="AL91" s="788">
        <f t="shared" ref="AL91:AN91" si="644">AL43/1000/24/AL$3</f>
        <v>0.43885500972222447</v>
      </c>
      <c r="AM91" s="802">
        <f t="shared" si="644"/>
        <v>0.52500000000000002</v>
      </c>
      <c r="AN91" s="802">
        <f t="shared" si="644"/>
        <v>0.54907077406562099</v>
      </c>
      <c r="AO91" s="963">
        <v>0.52500000000000002</v>
      </c>
      <c r="AP91" s="788">
        <f t="shared" ref="AP91:AT91" si="645">AP43/1000/24/AP$3</f>
        <v>0.44586033904569827</v>
      </c>
      <c r="AQ91" s="909">
        <f t="shared" si="645"/>
        <v>0.52500000000000002</v>
      </c>
      <c r="AR91" s="909">
        <f t="shared" si="645"/>
        <v>0.46734560427989108</v>
      </c>
      <c r="AS91" s="802">
        <f t="shared" si="645"/>
        <v>0.52500000000000002</v>
      </c>
      <c r="AT91" s="802">
        <f t="shared" si="645"/>
        <v>0.53743614320882971</v>
      </c>
      <c r="AU91" s="963">
        <v>0.52500000000000002</v>
      </c>
      <c r="AV91" s="788">
        <f t="shared" ref="AV91:AX91" si="646">AV43/1000/24/AV$3</f>
        <v>0.41636817768817147</v>
      </c>
      <c r="AW91" s="802">
        <f t="shared" si="646"/>
        <v>0.52500000000000002</v>
      </c>
      <c r="AX91" s="802">
        <f t="shared" si="646"/>
        <v>0.52517108787830558</v>
      </c>
      <c r="AY91" s="963">
        <v>0.52500000000000002</v>
      </c>
      <c r="AZ91" s="788">
        <f t="shared" ref="AZ91:BB91" si="647">AZ43/1000/24/AZ$3</f>
        <v>0.40409970022321579</v>
      </c>
      <c r="BA91" s="802">
        <f t="shared" si="647"/>
        <v>0.52500000000000002</v>
      </c>
      <c r="BB91" s="802">
        <f t="shared" si="647"/>
        <v>0.5150213907096155</v>
      </c>
      <c r="BC91" s="963">
        <v>0.52500000000000002</v>
      </c>
      <c r="BD91" s="788">
        <f t="shared" ref="BD91:BJ91" si="648">BD43/1000/24/BD$3</f>
        <v>0.46654007594085939</v>
      </c>
      <c r="BE91" s="909">
        <f t="shared" si="648"/>
        <v>0.52500000000000002</v>
      </c>
      <c r="BF91" s="909">
        <f t="shared" si="648"/>
        <v>0.42983274965277779</v>
      </c>
      <c r="BG91" s="2879">
        <f t="shared" si="648"/>
        <v>0.34903846153846152</v>
      </c>
      <c r="BH91" s="2879">
        <f t="shared" si="648"/>
        <v>0.29202027375228923</v>
      </c>
      <c r="BI91" s="802">
        <f t="shared" si="648"/>
        <v>0.52500000000000002</v>
      </c>
      <c r="BJ91" s="802">
        <f t="shared" si="648"/>
        <v>0.51090379959226906</v>
      </c>
    </row>
    <row r="92" spans="1:62" x14ac:dyDescent="0.25">
      <c r="G92" s="2827" t="s">
        <v>946</v>
      </c>
      <c r="H92" s="700" t="s">
        <v>908</v>
      </c>
      <c r="I92" s="2874">
        <v>3.5</v>
      </c>
      <c r="J92" s="2875">
        <f t="shared" si="528"/>
        <v>3.6363882263888745</v>
      </c>
      <c r="K92" s="2874">
        <v>3.5</v>
      </c>
      <c r="L92" s="2876">
        <f t="shared" si="528"/>
        <v>3.3808565631720429</v>
      </c>
      <c r="M92" s="2877">
        <f t="shared" si="528"/>
        <v>3.5</v>
      </c>
      <c r="N92" s="2877">
        <f t="shared" ref="N92" si="649">N44/1000/24/N$3</f>
        <v>3.5065278729508127</v>
      </c>
      <c r="O92" s="2874">
        <v>3.5</v>
      </c>
      <c r="P92" s="2875">
        <f t="shared" ref="P92:Q92" si="650">P44/1000/24/P$3</f>
        <v>3.6739074135536418</v>
      </c>
      <c r="Q92" s="2878">
        <f t="shared" si="650"/>
        <v>3.5</v>
      </c>
      <c r="R92" s="2878">
        <f t="shared" si="530"/>
        <v>3.5617079412814157</v>
      </c>
      <c r="S92" s="2874">
        <v>3.5</v>
      </c>
      <c r="T92" s="2876">
        <f t="shared" ref="T92:U92" si="651">T44/1000/24/T$3</f>
        <v>3.9249915042639931</v>
      </c>
      <c r="U92" s="2877">
        <f t="shared" si="651"/>
        <v>3.5</v>
      </c>
      <c r="V92" s="2877">
        <f t="shared" si="531"/>
        <v>3.6540176990884641</v>
      </c>
      <c r="W92" s="2874">
        <v>3.5</v>
      </c>
      <c r="X92" s="2876">
        <f t="shared" ref="X92:Z92" si="652">X44/1000/24/X$3</f>
        <v>3.7010218373655959</v>
      </c>
      <c r="Y92" s="2877">
        <f t="shared" si="652"/>
        <v>3.5</v>
      </c>
      <c r="Z92" s="2877">
        <f t="shared" si="652"/>
        <v>3.6635414133799089</v>
      </c>
      <c r="AA92" s="2874">
        <v>3.5</v>
      </c>
      <c r="AB92" s="2876">
        <f t="shared" ref="AB92" si="653">AB44/1000/24/AB$3</f>
        <v>3.687085124999995</v>
      </c>
      <c r="AC92" s="2878">
        <f t="shared" ref="AC92:AF92" si="654">AC44/1000/24/AC$3</f>
        <v>3.5</v>
      </c>
      <c r="AD92" s="2878">
        <f t="shared" si="654"/>
        <v>3.7719452971795335</v>
      </c>
      <c r="AE92" s="2879">
        <f t="shared" si="654"/>
        <v>3.5</v>
      </c>
      <c r="AF92" s="2879">
        <f t="shared" si="654"/>
        <v>3.6674010382356608</v>
      </c>
      <c r="AG92" s="963">
        <v>3.5</v>
      </c>
      <c r="AH92" s="788">
        <f t="shared" ref="AH92:AJ92" si="655">AH44/1000/24/AH$3</f>
        <v>3.319144423387093</v>
      </c>
      <c r="AI92" s="802">
        <f t="shared" si="655"/>
        <v>3.5</v>
      </c>
      <c r="AJ92" s="802">
        <f t="shared" si="655"/>
        <v>3.6169526501033915</v>
      </c>
      <c r="AK92" s="963">
        <v>3.5</v>
      </c>
      <c r="AL92" s="788">
        <f t="shared" ref="AL92:AN92" si="656">AL44/1000/24/AL$3</f>
        <v>2.6822120138888943</v>
      </c>
      <c r="AM92" s="802">
        <f t="shared" si="656"/>
        <v>3.5</v>
      </c>
      <c r="AN92" s="802">
        <f t="shared" si="656"/>
        <v>3.5020255226999697</v>
      </c>
      <c r="AO92" s="963">
        <v>3.5</v>
      </c>
      <c r="AP92" s="788">
        <f t="shared" ref="AP92:AT92" si="657">AP44/1000/24/AP$3</f>
        <v>2.8311895161290326</v>
      </c>
      <c r="AQ92" s="909">
        <f t="shared" si="657"/>
        <v>3.5</v>
      </c>
      <c r="AR92" s="909">
        <f t="shared" si="657"/>
        <v>2.9470294841485516</v>
      </c>
      <c r="AS92" s="802">
        <f t="shared" si="657"/>
        <v>3.5</v>
      </c>
      <c r="AT92" s="802">
        <f t="shared" si="657"/>
        <v>3.4264040092319736</v>
      </c>
      <c r="AU92" s="963">
        <v>3.5</v>
      </c>
      <c r="AV92" s="788">
        <f t="shared" ref="AV92:AX92" si="658">AV44/1000/24/AV$3</f>
        <v>3.1322255846774154</v>
      </c>
      <c r="AW92" s="802">
        <f t="shared" si="658"/>
        <v>3.5</v>
      </c>
      <c r="AX92" s="802">
        <f t="shared" si="658"/>
        <v>3.396601619816316</v>
      </c>
      <c r="AY92" s="963">
        <v>3.5</v>
      </c>
      <c r="AZ92" s="788">
        <f t="shared" ref="AZ92:BB92" si="659">AZ44/1000/24/AZ$3</f>
        <v>2.775120215773808</v>
      </c>
      <c r="BA92" s="802">
        <f t="shared" si="659"/>
        <v>3.5</v>
      </c>
      <c r="BB92" s="802">
        <f t="shared" si="659"/>
        <v>3.3445013823516745</v>
      </c>
      <c r="BC92" s="963">
        <v>3.5</v>
      </c>
      <c r="BD92" s="788">
        <f t="shared" ref="BD92:BJ92" si="660">BD44/1000/24/BD$3</f>
        <v>2.9593108400537655</v>
      </c>
      <c r="BE92" s="909">
        <f t="shared" si="660"/>
        <v>3.5</v>
      </c>
      <c r="BF92" s="909">
        <f t="shared" si="660"/>
        <v>2.9615666134259251</v>
      </c>
      <c r="BG92" s="2879">
        <f t="shared" si="660"/>
        <v>2.3269230769230771</v>
      </c>
      <c r="BH92" s="2879">
        <f t="shared" si="660"/>
        <v>1.9685694024725275</v>
      </c>
      <c r="BI92" s="802">
        <f t="shared" si="660"/>
        <v>3.5</v>
      </c>
      <c r="BJ92" s="802">
        <f t="shared" si="660"/>
        <v>3.3117865691702084</v>
      </c>
    </row>
    <row r="93" spans="1:62" x14ac:dyDescent="0.25">
      <c r="G93" s="2827" t="s">
        <v>947</v>
      </c>
      <c r="H93" s="700" t="s">
        <v>909</v>
      </c>
      <c r="I93" s="2874">
        <v>0.6</v>
      </c>
      <c r="J93" s="2875">
        <f t="shared" si="528"/>
        <v>0.63967777777777768</v>
      </c>
      <c r="K93" s="2874">
        <v>0.6</v>
      </c>
      <c r="L93" s="2876">
        <f t="shared" si="528"/>
        <v>0.30703225806451612</v>
      </c>
      <c r="M93" s="2877">
        <f t="shared" si="528"/>
        <v>0.6</v>
      </c>
      <c r="N93" s="2877">
        <f t="shared" ref="N93" si="661">N45/1000/24/N$3</f>
        <v>0.47062841530054644</v>
      </c>
      <c r="O93" s="2874">
        <v>0.6</v>
      </c>
      <c r="P93" s="2875">
        <f t="shared" ref="P93:Q93" si="662">P45/1000/24/P$3</f>
        <v>0.63113333333333332</v>
      </c>
      <c r="Q93" s="2878">
        <f t="shared" si="662"/>
        <v>0.6</v>
      </c>
      <c r="R93" s="2878">
        <f t="shared" si="530"/>
        <v>0.52354212454212457</v>
      </c>
      <c r="S93" s="2874">
        <v>0.6</v>
      </c>
      <c r="T93" s="2876">
        <f t="shared" ref="T93:U93" si="663">T45/1000/24/T$3</f>
        <v>0.36578172043010754</v>
      </c>
      <c r="U93" s="2877">
        <f t="shared" si="663"/>
        <v>0.6</v>
      </c>
      <c r="V93" s="2877">
        <f t="shared" si="531"/>
        <v>0.48345546448087434</v>
      </c>
      <c r="W93" s="2874">
        <v>0.6</v>
      </c>
      <c r="X93" s="2876">
        <f t="shared" ref="X93:Z93" si="664">X45/1000/24/X$3</f>
        <v>0.70250537634408594</v>
      </c>
      <c r="Y93" s="2877">
        <f t="shared" si="664"/>
        <v>0.6</v>
      </c>
      <c r="Z93" s="2877">
        <f t="shared" si="664"/>
        <v>0.52783812636165583</v>
      </c>
      <c r="AA93" s="2874">
        <v>0.6</v>
      </c>
      <c r="AB93" s="2876">
        <f t="shared" ref="AB93" si="665">AB45/1000/24/AB$3</f>
        <v>0.74644444444444447</v>
      </c>
      <c r="AC93" s="2878">
        <f t="shared" ref="AC93:AF93" si="666">AC45/1000/24/AC$3</f>
        <v>0.6</v>
      </c>
      <c r="AD93" s="2878">
        <f t="shared" si="666"/>
        <v>0.60337210144927544</v>
      </c>
      <c r="AE93" s="2879">
        <f t="shared" si="666"/>
        <v>0.6</v>
      </c>
      <c r="AF93" s="2879">
        <f t="shared" si="666"/>
        <v>0.56367522768670308</v>
      </c>
      <c r="AG93" s="963">
        <v>0.6</v>
      </c>
      <c r="AH93" s="788">
        <f t="shared" ref="AH93:AJ93" si="667">AH45/1000/24/AH$3</f>
        <v>0.36211827956989251</v>
      </c>
      <c r="AI93" s="802">
        <f t="shared" si="667"/>
        <v>0.6</v>
      </c>
      <c r="AJ93" s="802">
        <f t="shared" si="667"/>
        <v>0.53447772585669784</v>
      </c>
      <c r="AK93" s="963">
        <v>0.6</v>
      </c>
      <c r="AL93" s="788">
        <f t="shared" ref="AL93:AN93" si="668">AL45/1000/24/AL$3</f>
        <v>0.4494333333333333</v>
      </c>
      <c r="AM93" s="802">
        <f t="shared" si="668"/>
        <v>0.6</v>
      </c>
      <c r="AN93" s="802">
        <f t="shared" si="668"/>
        <v>0.52402144808743178</v>
      </c>
      <c r="AO93" s="963">
        <v>0.6</v>
      </c>
      <c r="AP93" s="788">
        <f t="shared" ref="AP93:AT93" si="669">AP45/1000/24/AP$3</f>
        <v>0.4993763440860215</v>
      </c>
      <c r="AQ93" s="909">
        <f t="shared" si="669"/>
        <v>0.6</v>
      </c>
      <c r="AR93" s="909">
        <f t="shared" si="669"/>
        <v>0.43684057971014489</v>
      </c>
      <c r="AS93" s="802">
        <f t="shared" si="669"/>
        <v>0.6</v>
      </c>
      <c r="AT93" s="802">
        <f t="shared" si="669"/>
        <v>0.52124327272727278</v>
      </c>
      <c r="AU93" s="963">
        <v>0.6</v>
      </c>
      <c r="AV93" s="788">
        <f t="shared" ref="AV93:AX93" si="670">AV45/1000/24/AV$3</f>
        <v>0.43332258064516127</v>
      </c>
      <c r="AW93" s="802">
        <f t="shared" si="670"/>
        <v>0.6</v>
      </c>
      <c r="AX93" s="802">
        <f t="shared" si="670"/>
        <v>0.5123362745098039</v>
      </c>
      <c r="AY93" s="963">
        <v>0.6</v>
      </c>
      <c r="AZ93" s="788">
        <f t="shared" ref="AZ93:BB93" si="671">AZ45/1000/24/AZ$3</f>
        <v>0.60736904761904764</v>
      </c>
      <c r="BA93" s="802">
        <f t="shared" si="671"/>
        <v>0.6</v>
      </c>
      <c r="BB93" s="802">
        <f t="shared" si="671"/>
        <v>0.52030309381237527</v>
      </c>
      <c r="BC93" s="963">
        <v>0.6</v>
      </c>
      <c r="BD93" s="788">
        <f t="shared" ref="BD93:BJ93" si="672">BD45/1000/24/BD$3</f>
        <v>0.63434408602150538</v>
      </c>
      <c r="BE93" s="909">
        <f t="shared" si="672"/>
        <v>0.6</v>
      </c>
      <c r="BF93" s="909">
        <f t="shared" si="672"/>
        <v>0.55671111111111116</v>
      </c>
      <c r="BG93" s="2879">
        <f t="shared" si="672"/>
        <v>0.39890109890109893</v>
      </c>
      <c r="BH93" s="2879">
        <f t="shared" si="672"/>
        <v>0.38334432234432242</v>
      </c>
      <c r="BI93" s="802">
        <f t="shared" si="672"/>
        <v>0.6</v>
      </c>
      <c r="BJ93" s="802">
        <f t="shared" si="672"/>
        <v>0.52998876712328757</v>
      </c>
    </row>
    <row r="94" spans="1:62" ht="15.75" thickBot="1" x14ac:dyDescent="0.3">
      <c r="G94" s="2827" t="s">
        <v>948</v>
      </c>
      <c r="H94" s="700" t="s">
        <v>910</v>
      </c>
      <c r="I94" s="2891">
        <v>0.9</v>
      </c>
      <c r="J94" s="2892">
        <f t="shared" si="528"/>
        <v>0.67300555555555552</v>
      </c>
      <c r="K94" s="2891">
        <v>0.9</v>
      </c>
      <c r="L94" s="2893">
        <f t="shared" si="528"/>
        <v>0.66427150537634416</v>
      </c>
      <c r="M94" s="2894">
        <f t="shared" si="528"/>
        <v>0.9</v>
      </c>
      <c r="N94" s="2894">
        <f t="shared" ref="N94" si="673">N46/1000/24/N$3</f>
        <v>0.66856693989071037</v>
      </c>
      <c r="O94" s="2891">
        <v>0.9</v>
      </c>
      <c r="P94" s="2892">
        <f t="shared" ref="P94:Q94" si="674">P46/1000/24/P$3</f>
        <v>0.61435555555555554</v>
      </c>
      <c r="Q94" s="2895">
        <f t="shared" si="674"/>
        <v>0.89999999999999991</v>
      </c>
      <c r="R94" s="2895">
        <f t="shared" si="530"/>
        <v>0.65069505494505486</v>
      </c>
      <c r="S94" s="2891">
        <v>0.9</v>
      </c>
      <c r="T94" s="2893">
        <f t="shared" ref="T94:U94" si="675">T46/1000/24/T$3</f>
        <v>0.50703225806451624</v>
      </c>
      <c r="U94" s="2894">
        <f t="shared" si="675"/>
        <v>0.9</v>
      </c>
      <c r="V94" s="2894">
        <f t="shared" si="531"/>
        <v>0.61419057377049169</v>
      </c>
      <c r="W94" s="2891">
        <v>0.9</v>
      </c>
      <c r="X94" s="2893">
        <f t="shared" ref="X94:Z94" si="676">X46/1000/24/X$3</f>
        <v>0.69480510752688163</v>
      </c>
      <c r="Y94" s="2894">
        <f t="shared" si="676"/>
        <v>0.90000000000000013</v>
      </c>
      <c r="Z94" s="2894">
        <f t="shared" si="676"/>
        <v>0.63052423747276687</v>
      </c>
      <c r="AA94" s="2891">
        <v>0.9</v>
      </c>
      <c r="AB94" s="2893">
        <f t="shared" ref="AB94" si="677">AB46/1000/24/AB$3</f>
        <v>1.1378999999999999</v>
      </c>
      <c r="AC94" s="2895">
        <f t="shared" ref="AC94:AF94" si="678">AC46/1000/24/AC$3</f>
        <v>0.9</v>
      </c>
      <c r="AD94" s="2895">
        <f t="shared" si="678"/>
        <v>0.77602128623188404</v>
      </c>
      <c r="AE94" s="2896">
        <f t="shared" si="678"/>
        <v>0.90000000000000013</v>
      </c>
      <c r="AF94" s="2896">
        <f t="shared" si="678"/>
        <v>0.71370059198542801</v>
      </c>
      <c r="AG94" s="966">
        <v>0.9</v>
      </c>
      <c r="AH94" s="793">
        <f t="shared" ref="AH94:AJ94" si="679">AH46/1000/24/AH$3</f>
        <v>0.69099865591397847</v>
      </c>
      <c r="AI94" s="805">
        <f t="shared" si="679"/>
        <v>0.9</v>
      </c>
      <c r="AJ94" s="805">
        <f t="shared" si="679"/>
        <v>0.7104119937694704</v>
      </c>
      <c r="AK94" s="966">
        <v>0.9</v>
      </c>
      <c r="AL94" s="793">
        <f t="shared" ref="AL94:AN94" si="680">AL46/1000/24/AL$3</f>
        <v>0.71454861111111112</v>
      </c>
      <c r="AM94" s="805">
        <f t="shared" si="680"/>
        <v>0.9</v>
      </c>
      <c r="AN94" s="805">
        <f t="shared" si="680"/>
        <v>0.71092059426229504</v>
      </c>
      <c r="AO94" s="966">
        <v>0.9</v>
      </c>
      <c r="AP94" s="793">
        <f t="shared" ref="AP94:AT94" si="681">AP46/1000/24/AP$3</f>
        <v>0.63256048387096775</v>
      </c>
      <c r="AQ94" s="912">
        <f t="shared" si="681"/>
        <v>0.9</v>
      </c>
      <c r="AR94" s="912">
        <f t="shared" si="681"/>
        <v>0.67898686594202895</v>
      </c>
      <c r="AS94" s="805">
        <f t="shared" si="681"/>
        <v>0.9</v>
      </c>
      <c r="AT94" s="805">
        <f t="shared" si="681"/>
        <v>0.70208727272727267</v>
      </c>
      <c r="AU94" s="966">
        <v>0.9</v>
      </c>
      <c r="AV94" s="793">
        <f t="shared" ref="AV94:AX94" si="682">AV46/1000/24/AV$3</f>
        <v>0.54905913978494625</v>
      </c>
      <c r="AW94" s="805">
        <f t="shared" si="682"/>
        <v>0.90000000000000013</v>
      </c>
      <c r="AX94" s="805">
        <f t="shared" si="682"/>
        <v>0.68658442265795205</v>
      </c>
      <c r="AY94" s="966">
        <v>0.9</v>
      </c>
      <c r="AZ94" s="793">
        <f t="shared" ref="AZ94:BB94" si="683">AZ46/1000/24/AZ$3</f>
        <v>0.5065654761904762</v>
      </c>
      <c r="BA94" s="805">
        <f t="shared" si="683"/>
        <v>0.89999999999999991</v>
      </c>
      <c r="BB94" s="805">
        <f t="shared" si="683"/>
        <v>0.67149301397205596</v>
      </c>
      <c r="BC94" s="966">
        <v>0.9</v>
      </c>
      <c r="BD94" s="793">
        <f t="shared" ref="BD94:BJ94" si="684">BD46/1000/24/BD$3</f>
        <v>0.47577822580645157</v>
      </c>
      <c r="BE94" s="912">
        <f t="shared" si="684"/>
        <v>0.9</v>
      </c>
      <c r="BF94" s="912">
        <f t="shared" si="684"/>
        <v>0.51059768518518522</v>
      </c>
      <c r="BG94" s="2896">
        <f t="shared" si="684"/>
        <v>0.59835164835164834</v>
      </c>
      <c r="BH94" s="2896">
        <f t="shared" si="684"/>
        <v>0.33353250915750909</v>
      </c>
      <c r="BI94" s="805">
        <f t="shared" si="684"/>
        <v>0.9</v>
      </c>
      <c r="BJ94" s="805">
        <f t="shared" si="684"/>
        <v>0.65487066210045664</v>
      </c>
    </row>
    <row r="95" spans="1:62" x14ac:dyDescent="0.25">
      <c r="AK95" s="1338"/>
      <c r="AL95" s="1338"/>
      <c r="AM95" s="1338"/>
      <c r="AN95" s="1338"/>
      <c r="AO95" s="1359"/>
      <c r="AP95" s="1359"/>
      <c r="AQ95" s="1359"/>
      <c r="AR95" s="1359"/>
      <c r="AS95" s="1359"/>
      <c r="AT95" s="1359"/>
      <c r="AU95" s="1482"/>
      <c r="AV95" s="1482"/>
      <c r="AW95" s="1482"/>
      <c r="AX95" s="1482"/>
      <c r="AY95" s="1726"/>
      <c r="AZ95" s="1726"/>
      <c r="BA95" s="1726"/>
      <c r="BB95" s="1726"/>
      <c r="BC95" s="4390"/>
      <c r="BD95" s="4390"/>
      <c r="BI95" s="4390"/>
      <c r="BJ95" s="4390"/>
    </row>
    <row r="96" spans="1:62" x14ac:dyDescent="0.25">
      <c r="AK96" s="1338"/>
      <c r="AL96" s="1338"/>
      <c r="AM96" s="1338"/>
      <c r="AN96" s="1338"/>
      <c r="AO96" s="1359"/>
      <c r="AP96" s="1359"/>
      <c r="AQ96" s="1359"/>
      <c r="AR96" s="1359"/>
      <c r="AS96" s="1359"/>
      <c r="AT96" s="1359"/>
      <c r="AU96" s="1482"/>
      <c r="AV96" s="1482"/>
      <c r="AW96" s="1482"/>
      <c r="AX96" s="1482"/>
      <c r="AY96" s="1726"/>
      <c r="AZ96" s="1726"/>
      <c r="BA96" s="1726"/>
      <c r="BB96" s="1726"/>
      <c r="BC96" s="4390"/>
      <c r="BD96" s="4390"/>
      <c r="BI96" s="4390"/>
      <c r="BJ96" s="4390"/>
    </row>
    <row r="97" spans="37:62" x14ac:dyDescent="0.25">
      <c r="AK97" s="1338"/>
      <c r="AL97" s="1338"/>
      <c r="AM97" s="1338"/>
      <c r="AN97" s="1338"/>
      <c r="AO97" s="1359"/>
      <c r="AP97" s="1359"/>
      <c r="AQ97" s="1359"/>
      <c r="AR97" s="1359"/>
      <c r="AS97" s="1359"/>
      <c r="AT97" s="1359"/>
      <c r="AU97" s="1482"/>
      <c r="AV97" s="1482"/>
      <c r="AW97" s="1482"/>
      <c r="AX97" s="1482"/>
      <c r="AY97" s="1726"/>
      <c r="AZ97" s="1726"/>
      <c r="BA97" s="1726"/>
      <c r="BB97" s="1726"/>
      <c r="BC97" s="4390"/>
      <c r="BD97" s="4390"/>
      <c r="BI97" s="4390"/>
      <c r="BJ97" s="4390"/>
    </row>
    <row r="98" spans="37:62" x14ac:dyDescent="0.25">
      <c r="AK98" s="1338"/>
      <c r="AL98" s="1338"/>
      <c r="AM98" s="1338"/>
      <c r="AN98" s="1338"/>
      <c r="AO98" s="1359"/>
      <c r="AP98" s="1359"/>
      <c r="AQ98" s="1359"/>
      <c r="AR98" s="1359"/>
      <c r="AS98" s="1359"/>
      <c r="AT98" s="1359"/>
      <c r="AU98" s="1482"/>
      <c r="AV98" s="1482"/>
      <c r="AW98" s="1482"/>
      <c r="AX98" s="1482"/>
      <c r="AY98" s="1726"/>
      <c r="AZ98" s="1726"/>
      <c r="BC98" s="4390"/>
      <c r="BD98" s="4390"/>
      <c r="BI98" s="4390"/>
      <c r="BJ98" s="4390"/>
    </row>
    <row r="99" spans="37:62" x14ac:dyDescent="0.25">
      <c r="AK99" s="1338"/>
      <c r="AL99" s="1338"/>
      <c r="AM99" s="1338"/>
      <c r="AN99" s="1338"/>
      <c r="AO99" s="1359"/>
      <c r="AP99" s="1359"/>
      <c r="AQ99" s="1359"/>
      <c r="AR99" s="1359"/>
      <c r="AS99" s="1359"/>
      <c r="AT99" s="1359"/>
      <c r="AU99" s="1482"/>
      <c r="AV99" s="1482"/>
      <c r="AW99" s="1482"/>
      <c r="AX99" s="1482"/>
      <c r="AY99" s="1726"/>
      <c r="AZ99" s="1726"/>
      <c r="BC99" s="4390"/>
      <c r="BD99" s="4390"/>
      <c r="BI99" s="4390"/>
      <c r="BJ99" s="4390"/>
    </row>
    <row r="100" spans="37:62" x14ac:dyDescent="0.25">
      <c r="AK100" s="1338"/>
      <c r="AL100" s="1338"/>
      <c r="AM100" s="1338"/>
      <c r="AN100" s="1338"/>
      <c r="AO100" s="1359"/>
      <c r="AP100" s="1359"/>
      <c r="AQ100" s="1359"/>
      <c r="AR100" s="1359"/>
      <c r="AS100" s="1359"/>
      <c r="AT100" s="1359"/>
      <c r="AU100" s="1482"/>
      <c r="AV100" s="1482"/>
      <c r="AY100" s="1726"/>
      <c r="AZ100" s="1726"/>
      <c r="BC100" s="4390"/>
      <c r="BD100" s="4390"/>
      <c r="BI100" s="4390"/>
      <c r="BJ100" s="4390"/>
    </row>
    <row r="101" spans="37:62" x14ac:dyDescent="0.25">
      <c r="AK101" s="1338"/>
      <c r="AL101" s="1338"/>
      <c r="AM101" s="1338"/>
      <c r="AN101" s="1338"/>
      <c r="AO101" s="1359"/>
      <c r="AP101" s="1359"/>
      <c r="AQ101" s="1359"/>
      <c r="AR101" s="1359"/>
      <c r="AS101" s="1359"/>
      <c r="AT101" s="1359"/>
      <c r="AU101" s="1482"/>
      <c r="AV101" s="1482"/>
      <c r="AY101" s="1726"/>
      <c r="AZ101" s="1726"/>
      <c r="BC101" s="4390"/>
      <c r="BD101" s="4390"/>
      <c r="BI101" s="4390"/>
      <c r="BJ101" s="4390"/>
    </row>
    <row r="102" spans="37:62" x14ac:dyDescent="0.25">
      <c r="AK102" s="1338"/>
      <c r="AL102" s="1338"/>
      <c r="AM102" s="1338"/>
      <c r="AN102" s="1338"/>
      <c r="AO102" s="1359"/>
      <c r="AP102" s="1359"/>
      <c r="AQ102" s="1359"/>
      <c r="AR102" s="1359"/>
      <c r="AS102" s="1359"/>
      <c r="AT102" s="1359"/>
      <c r="AU102" s="1482"/>
      <c r="AV102" s="1482"/>
      <c r="AY102" s="1726"/>
      <c r="AZ102" s="1726"/>
      <c r="BC102" s="4390"/>
      <c r="BD102" s="4390"/>
      <c r="BI102" s="4390"/>
      <c r="BJ102" s="4390"/>
    </row>
    <row r="103" spans="37:62" x14ac:dyDescent="0.25">
      <c r="AK103" s="1338"/>
      <c r="AL103" s="1338"/>
      <c r="AM103" s="1338"/>
      <c r="AN103" s="1338"/>
      <c r="AO103" s="1359"/>
      <c r="AP103" s="1359"/>
      <c r="AQ103" s="1359"/>
      <c r="AR103" s="1359"/>
      <c r="AS103" s="1359"/>
      <c r="AT103" s="1359"/>
      <c r="AU103" s="1482"/>
      <c r="AV103" s="1482"/>
      <c r="AY103" s="1726"/>
      <c r="AZ103" s="1726"/>
    </row>
    <row r="104" spans="37:62" x14ac:dyDescent="0.25">
      <c r="AK104" s="1338"/>
      <c r="AL104" s="1338"/>
      <c r="AM104" s="1338"/>
      <c r="AN104" s="1338"/>
      <c r="AO104" s="1359"/>
      <c r="AP104" s="1359"/>
      <c r="AQ104" s="1359"/>
      <c r="AR104" s="1359"/>
      <c r="AS104" s="1359"/>
      <c r="AT104" s="1359"/>
      <c r="AU104" s="1482"/>
      <c r="AV104" s="1482"/>
      <c r="AY104" s="1726"/>
      <c r="AZ104" s="1726"/>
    </row>
    <row r="105" spans="37:62" x14ac:dyDescent="0.25">
      <c r="AK105" s="1338"/>
      <c r="AL105" s="1338"/>
      <c r="AM105" s="1338"/>
      <c r="AN105" s="1338"/>
      <c r="AO105" s="1359"/>
      <c r="AP105" s="1359"/>
      <c r="AQ105" s="1359"/>
      <c r="AR105" s="1359"/>
      <c r="AS105" s="1359"/>
      <c r="AT105" s="1359"/>
      <c r="AU105" s="1482"/>
      <c r="AV105" s="1482"/>
      <c r="AY105" s="1726"/>
      <c r="AZ105" s="1726"/>
    </row>
    <row r="106" spans="37:62" x14ac:dyDescent="0.25">
      <c r="AK106" s="1338"/>
      <c r="AL106" s="1338"/>
      <c r="AM106" s="1338"/>
      <c r="AN106" s="1338"/>
      <c r="AO106" s="1359"/>
      <c r="AP106" s="1359"/>
      <c r="AQ106" s="1359"/>
      <c r="AR106" s="1359"/>
      <c r="AS106" s="1359"/>
      <c r="AT106" s="1359"/>
      <c r="AU106" s="1482"/>
      <c r="AV106" s="1482"/>
      <c r="AY106" s="1726"/>
      <c r="AZ106" s="1726"/>
    </row>
    <row r="107" spans="37:62" x14ac:dyDescent="0.25">
      <c r="AK107" s="1338"/>
      <c r="AL107" s="1338"/>
      <c r="AM107" s="1338"/>
      <c r="AN107" s="1338"/>
      <c r="AO107" s="1359"/>
      <c r="AP107" s="1359"/>
      <c r="AQ107" s="1359"/>
      <c r="AR107" s="1359"/>
      <c r="AS107" s="1359"/>
      <c r="AT107" s="1359"/>
      <c r="AU107" s="1482"/>
      <c r="AV107" s="1482"/>
      <c r="AY107" s="1726"/>
      <c r="AZ107" s="1726"/>
    </row>
    <row r="108" spans="37:62" x14ac:dyDescent="0.25">
      <c r="AK108" s="1338"/>
      <c r="AL108" s="1338"/>
      <c r="AM108" s="1338"/>
      <c r="AN108" s="1338"/>
      <c r="AO108" s="1359"/>
      <c r="AP108" s="1359"/>
      <c r="AQ108" s="1359"/>
      <c r="AR108" s="1359"/>
      <c r="AS108" s="1359"/>
      <c r="AT108" s="1359"/>
      <c r="AU108" s="1482"/>
      <c r="AV108" s="1482"/>
      <c r="AY108" s="1726"/>
      <c r="AZ108" s="1726"/>
    </row>
    <row r="109" spans="37:62" x14ac:dyDescent="0.25">
      <c r="AK109" s="1338"/>
      <c r="AL109" s="1338"/>
      <c r="AM109" s="1338"/>
      <c r="AN109" s="1338"/>
      <c r="AO109" s="1359"/>
      <c r="AP109" s="1359"/>
      <c r="AQ109" s="1359"/>
      <c r="AR109" s="1359"/>
      <c r="AS109" s="1359"/>
      <c r="AT109" s="1359"/>
      <c r="AU109" s="1482"/>
      <c r="AV109" s="1482"/>
      <c r="AY109" s="1726"/>
      <c r="AZ109" s="1726"/>
    </row>
    <row r="110" spans="37:62" x14ac:dyDescent="0.25">
      <c r="AK110" s="1338"/>
      <c r="AL110" s="1338"/>
      <c r="AM110" s="1338"/>
      <c r="AN110" s="1338"/>
      <c r="AO110" s="1359"/>
      <c r="AP110" s="1359"/>
      <c r="AQ110" s="1359"/>
      <c r="AR110" s="1359"/>
      <c r="AS110" s="1359"/>
      <c r="AT110" s="1359"/>
      <c r="AU110" s="1482"/>
      <c r="AV110" s="1482"/>
      <c r="AY110" s="1726"/>
      <c r="AZ110" s="1726"/>
    </row>
    <row r="111" spans="37:62" x14ac:dyDescent="0.25">
      <c r="AK111" s="1338"/>
      <c r="AL111" s="1338"/>
      <c r="AM111" s="1338"/>
      <c r="AN111" s="1338"/>
      <c r="AO111" s="1359"/>
      <c r="AP111" s="1359"/>
      <c r="AQ111" s="1359"/>
      <c r="AR111" s="1359"/>
      <c r="AS111" s="1359"/>
      <c r="AT111" s="1359"/>
      <c r="AU111" s="1482"/>
      <c r="AV111" s="1482"/>
      <c r="AY111" s="1726"/>
      <c r="AZ111" s="1726"/>
    </row>
    <row r="112" spans="37:62" x14ac:dyDescent="0.25">
      <c r="AK112" s="1338"/>
      <c r="AL112" s="1338"/>
      <c r="AM112" s="1338"/>
      <c r="AN112" s="1338"/>
      <c r="AO112" s="1359"/>
      <c r="AP112" s="1359"/>
      <c r="AQ112" s="1359"/>
      <c r="AR112" s="1359"/>
      <c r="AS112" s="1359"/>
      <c r="AT112" s="1359"/>
      <c r="AU112" s="1482"/>
      <c r="AV112" s="1482"/>
      <c r="AY112" s="1726"/>
      <c r="AZ112" s="1726"/>
    </row>
    <row r="113" spans="37:52" x14ac:dyDescent="0.25">
      <c r="AK113" s="1338"/>
      <c r="AL113" s="1338"/>
      <c r="AM113" s="1338"/>
      <c r="AN113" s="1338"/>
      <c r="AO113" s="1359"/>
      <c r="AP113" s="1359"/>
      <c r="AQ113" s="1359"/>
      <c r="AR113" s="1359"/>
      <c r="AS113" s="1359"/>
      <c r="AT113" s="1359"/>
      <c r="AU113" s="1482"/>
      <c r="AV113" s="1482"/>
      <c r="AY113" s="1726"/>
      <c r="AZ113" s="1726"/>
    </row>
    <row r="114" spans="37:52" x14ac:dyDescent="0.25">
      <c r="AK114" s="1338"/>
      <c r="AL114" s="1338"/>
      <c r="AM114" s="1338"/>
      <c r="AN114" s="1338"/>
      <c r="AO114" s="1359"/>
      <c r="AP114" s="1359"/>
      <c r="AQ114" s="1359"/>
      <c r="AR114" s="1359"/>
      <c r="AS114" s="1359"/>
      <c r="AT114" s="1359"/>
      <c r="AU114" s="1482"/>
      <c r="AV114" s="1482"/>
      <c r="AY114" s="1726"/>
      <c r="AZ114" s="1726"/>
    </row>
    <row r="115" spans="37:52" x14ac:dyDescent="0.25">
      <c r="AK115" s="1338"/>
      <c r="AL115" s="1338"/>
      <c r="AM115" s="1338"/>
      <c r="AN115" s="1338"/>
      <c r="AO115" s="1359"/>
      <c r="AP115" s="1359"/>
      <c r="AQ115" s="1359"/>
      <c r="AR115" s="1359"/>
      <c r="AS115" s="1359"/>
      <c r="AT115" s="1359"/>
      <c r="AU115" s="1482"/>
      <c r="AV115" s="1482"/>
      <c r="AY115" s="1726"/>
      <c r="AZ115" s="1726"/>
    </row>
    <row r="116" spans="37:52" x14ac:dyDescent="0.25">
      <c r="AK116" s="1338"/>
      <c r="AL116" s="1338"/>
      <c r="AM116" s="1338"/>
      <c r="AN116" s="1338"/>
      <c r="AO116" s="1359"/>
      <c r="AP116" s="1359"/>
      <c r="AQ116" s="1359"/>
      <c r="AR116" s="1359"/>
      <c r="AS116" s="1359"/>
      <c r="AT116" s="1359"/>
      <c r="AU116" s="1482"/>
      <c r="AV116" s="1482"/>
      <c r="AY116" s="1726"/>
      <c r="AZ116" s="1726"/>
    </row>
    <row r="117" spans="37:52" x14ac:dyDescent="0.25">
      <c r="AK117" s="1338"/>
      <c r="AL117" s="1338"/>
      <c r="AM117" s="1338"/>
      <c r="AN117" s="1338"/>
      <c r="AU117" s="1482"/>
      <c r="AV117" s="1482"/>
      <c r="AY117" s="1726"/>
      <c r="AZ117" s="1726"/>
    </row>
    <row r="118" spans="37:52" x14ac:dyDescent="0.25">
      <c r="AK118" s="1338"/>
      <c r="AL118" s="1338"/>
      <c r="AM118" s="1338"/>
      <c r="AN118" s="1338"/>
      <c r="AY118" s="1726"/>
      <c r="AZ118" s="1726"/>
    </row>
    <row r="119" spans="37:52" x14ac:dyDescent="0.25">
      <c r="AK119" s="1338"/>
      <c r="AL119" s="1338"/>
      <c r="AM119" s="1338"/>
      <c r="AN119" s="1338"/>
    </row>
    <row r="120" spans="37:52" x14ac:dyDescent="0.25">
      <c r="AK120" s="1338"/>
      <c r="AL120" s="1338"/>
      <c r="AM120" s="1338"/>
      <c r="AN120" s="1338"/>
    </row>
    <row r="121" spans="37:52" x14ac:dyDescent="0.25">
      <c r="AK121" s="1338"/>
      <c r="AL121" s="1338"/>
      <c r="AM121" s="1338"/>
      <c r="AN121" s="1338"/>
    </row>
    <row r="122" spans="37:52" x14ac:dyDescent="0.25">
      <c r="AK122" s="1338"/>
      <c r="AL122" s="1338"/>
      <c r="AM122" s="1338"/>
      <c r="AN122" s="1338"/>
    </row>
    <row r="123" spans="37:52" x14ac:dyDescent="0.25">
      <c r="AK123" s="1338"/>
      <c r="AL123" s="1338"/>
      <c r="AM123" s="1338"/>
      <c r="AN123" s="1338"/>
    </row>
    <row r="124" spans="37:52" x14ac:dyDescent="0.25">
      <c r="AK124" s="1338"/>
      <c r="AL124" s="1338"/>
      <c r="AM124" s="1338"/>
      <c r="AN124" s="1338"/>
    </row>
    <row r="125" spans="37:52" x14ac:dyDescent="0.25">
      <c r="AK125" s="1338"/>
      <c r="AL125" s="1338"/>
      <c r="AM125" s="1338"/>
      <c r="AN125" s="1338"/>
    </row>
    <row r="126" spans="37:52" x14ac:dyDescent="0.25">
      <c r="AK126" s="1338"/>
      <c r="AL126" s="1338"/>
      <c r="AM126" s="1338"/>
      <c r="AN126" s="1338"/>
    </row>
  </sheetData>
  <mergeCells count="56">
    <mergeCell ref="BC4:BD4"/>
    <mergeCell ref="BC52:BD52"/>
    <mergeCell ref="BI4:BJ4"/>
    <mergeCell ref="BI52:BJ52"/>
    <mergeCell ref="BE4:BF4"/>
    <mergeCell ref="BE52:BF52"/>
    <mergeCell ref="BG4:BH4"/>
    <mergeCell ref="BG52:BH52"/>
    <mergeCell ref="AC4:AD4"/>
    <mergeCell ref="AC52:AD52"/>
    <mergeCell ref="AU4:AV4"/>
    <mergeCell ref="AU52:AV52"/>
    <mergeCell ref="AW4:AX4"/>
    <mergeCell ref="AW52:AX52"/>
    <mergeCell ref="AK4:AL4"/>
    <mergeCell ref="AM4:AN4"/>
    <mergeCell ref="AK52:AL52"/>
    <mergeCell ref="AM52:AN52"/>
    <mergeCell ref="AO4:AP4"/>
    <mergeCell ref="AQ4:AR4"/>
    <mergeCell ref="AS4:AT4"/>
    <mergeCell ref="AO52:AP52"/>
    <mergeCell ref="AQ52:AR52"/>
    <mergeCell ref="AS52:AT52"/>
    <mergeCell ref="O4:P4"/>
    <mergeCell ref="O52:P52"/>
    <mergeCell ref="M52:N52"/>
    <mergeCell ref="I52:J52"/>
    <mergeCell ref="K52:L52"/>
    <mergeCell ref="C4:C5"/>
    <mergeCell ref="C48:C49"/>
    <mergeCell ref="I4:J4"/>
    <mergeCell ref="K4:L4"/>
    <mergeCell ref="M4:N4"/>
    <mergeCell ref="S4:T4"/>
    <mergeCell ref="U4:V4"/>
    <mergeCell ref="S52:T52"/>
    <mergeCell ref="U52:V52"/>
    <mergeCell ref="Q4:R4"/>
    <mergeCell ref="Q52:R52"/>
    <mergeCell ref="AY4:AZ4"/>
    <mergeCell ref="BA4:BB4"/>
    <mergeCell ref="AY52:AZ52"/>
    <mergeCell ref="BA52:BB52"/>
    <mergeCell ref="W4:X4"/>
    <mergeCell ref="Y4:Z4"/>
    <mergeCell ref="W52:X52"/>
    <mergeCell ref="Y52:Z52"/>
    <mergeCell ref="AG4:AH4"/>
    <mergeCell ref="AI4:AJ4"/>
    <mergeCell ref="AG52:AH52"/>
    <mergeCell ref="AI52:AJ52"/>
    <mergeCell ref="AA4:AB4"/>
    <mergeCell ref="AE4:AF4"/>
    <mergeCell ref="AA52:AB52"/>
    <mergeCell ref="AE52:AF52"/>
  </mergeCells>
  <pageMargins left="0.45" right="0.45" top="0.5" bottom="0.5" header="0.3" footer="0.3"/>
  <pageSetup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00"/>
    <pageSetUpPr fitToPage="1"/>
  </sheetPr>
  <dimension ref="A1:BF143"/>
  <sheetViews>
    <sheetView zoomScale="93" zoomScaleNormal="93" workbookViewId="0">
      <pane xSplit="3" topLeftCell="D1" activePane="topRight" state="frozen"/>
      <selection pane="topRight" activeCell="G8" sqref="G8"/>
    </sheetView>
  </sheetViews>
  <sheetFormatPr defaultColWidth="8.85546875" defaultRowHeight="15" x14ac:dyDescent="0.25"/>
  <cols>
    <col min="2" max="2" width="48.5703125" customWidth="1"/>
    <col min="3" max="3" width="22" customWidth="1"/>
    <col min="4" max="4" width="9.85546875" style="477" customWidth="1"/>
    <col min="5" max="5" width="9.85546875" style="1564" customWidth="1"/>
    <col min="6" max="6" width="9.85546875" style="477" customWidth="1"/>
    <col min="7" max="7" width="9.85546875" style="1564" customWidth="1"/>
    <col min="8" max="8" width="9.85546875" style="189" hidden="1" customWidth="1"/>
    <col min="9" max="9" width="9.85546875" style="200" hidden="1" customWidth="1"/>
    <col min="10" max="10" width="9.85546875" style="477" customWidth="1"/>
    <col min="11" max="11" width="9.85546875" style="1564" customWidth="1"/>
    <col min="12" max="12" width="9.85546875" style="189" customWidth="1"/>
    <col min="13" max="13" width="9.85546875" style="1564" customWidth="1"/>
    <col min="14" max="14" width="9.85546875" style="334" customWidth="1"/>
    <col min="15" max="15" width="9.85546875" customWidth="1"/>
    <col min="16" max="16" width="11.28515625" style="189" hidden="1" customWidth="1"/>
    <col min="17" max="17" width="11.28515625" hidden="1" customWidth="1"/>
    <col min="18" max="18" width="9.85546875" customWidth="1"/>
    <col min="19" max="19" width="12.85546875" bestFit="1" customWidth="1"/>
    <col min="20" max="21" width="11.28515625" hidden="1" customWidth="1"/>
    <col min="22" max="23" width="9.85546875" customWidth="1"/>
    <col min="24" max="24" width="12" style="1224" customWidth="1"/>
    <col min="25" max="25" width="11.28515625" style="1224" customWidth="1"/>
    <col min="26" max="27" width="11.28515625" customWidth="1"/>
    <col min="28" max="28" width="9.85546875" style="334" bestFit="1" customWidth="1"/>
    <col min="29" max="29" width="9.85546875" customWidth="1"/>
    <col min="30" max="31" width="11.28515625" hidden="1" customWidth="1"/>
    <col min="32" max="32" width="9.85546875" bestFit="1" customWidth="1"/>
    <col min="33" max="33" width="9.85546875" customWidth="1"/>
    <col min="34" max="35" width="11.28515625" hidden="1" customWidth="1"/>
    <col min="36" max="36" width="9.85546875" bestFit="1" customWidth="1"/>
    <col min="37" max="37" width="9.85546875" customWidth="1"/>
    <col min="38" max="39" width="11.28515625" style="1726" bestFit="1" customWidth="1"/>
    <col min="40" max="40" width="12.85546875" hidden="1" customWidth="1"/>
    <col min="41" max="41" width="11.28515625" hidden="1" customWidth="1"/>
    <col min="42" max="42" width="9.85546875" bestFit="1" customWidth="1"/>
    <col min="43" max="43" width="9.85546875" customWidth="1"/>
    <col min="44" max="45" width="11.28515625" hidden="1" customWidth="1"/>
    <col min="46" max="46" width="9.85546875" bestFit="1" customWidth="1"/>
    <col min="47" max="47" width="13" customWidth="1"/>
    <col min="48" max="48" width="11.28515625" hidden="1" customWidth="1"/>
    <col min="49" max="49" width="15.28515625" hidden="1" customWidth="1"/>
    <col min="50" max="51" width="9.85546875" bestFit="1" customWidth="1"/>
    <col min="52" max="55" width="11.28515625" style="4390" bestFit="1" customWidth="1"/>
    <col min="56" max="57" width="11.28515625" bestFit="1" customWidth="1"/>
  </cols>
  <sheetData>
    <row r="1" spans="1:57" ht="22.5" x14ac:dyDescent="0.3">
      <c r="B1" s="3056" t="s">
        <v>361</v>
      </c>
      <c r="C1" s="3057"/>
      <c r="D1" s="3058"/>
      <c r="E1" s="3057"/>
      <c r="F1" s="3058"/>
      <c r="G1" s="3057"/>
      <c r="H1" s="3057"/>
      <c r="I1" s="3057"/>
      <c r="J1" s="1791"/>
      <c r="K1" s="700"/>
      <c r="L1" s="700"/>
      <c r="M1" s="700"/>
      <c r="N1" s="1791"/>
      <c r="O1" s="700"/>
      <c r="P1" s="700"/>
      <c r="Q1" s="700"/>
      <c r="R1" s="700"/>
      <c r="S1" s="700"/>
      <c r="T1" s="700"/>
      <c r="U1" s="700"/>
      <c r="V1" s="700"/>
      <c r="W1" s="700"/>
      <c r="X1" s="700"/>
      <c r="Y1" s="700"/>
      <c r="Z1" s="700"/>
      <c r="AA1" s="700"/>
    </row>
    <row r="2" spans="1:57" ht="15.75" thickBot="1" x14ac:dyDescent="0.3">
      <c r="A2" s="200"/>
      <c r="B2" s="3057"/>
      <c r="C2" s="3059" t="s">
        <v>547</v>
      </c>
      <c r="D2" s="3060">
        <v>30</v>
      </c>
      <c r="E2" s="3061">
        <v>30</v>
      </c>
      <c r="F2" s="3060">
        <v>31</v>
      </c>
      <c r="G2" s="3061">
        <v>31</v>
      </c>
      <c r="H2" s="3061">
        <f>+D2+F2</f>
        <v>61</v>
      </c>
      <c r="I2" s="3061">
        <f>+E2+G2</f>
        <v>61</v>
      </c>
      <c r="J2" s="3060">
        <v>30</v>
      </c>
      <c r="K2" s="3061">
        <v>30</v>
      </c>
      <c r="L2" s="3061">
        <f>+H2+J2</f>
        <v>91</v>
      </c>
      <c r="M2" s="3061">
        <f>+I2+K2</f>
        <v>91</v>
      </c>
      <c r="N2" s="3060">
        <v>31</v>
      </c>
      <c r="O2" s="3061">
        <v>31</v>
      </c>
      <c r="P2" s="3061">
        <f>+L2+N2</f>
        <v>122</v>
      </c>
      <c r="Q2" s="3061">
        <f>+M2+O2</f>
        <v>122</v>
      </c>
      <c r="R2" s="3060">
        <v>31</v>
      </c>
      <c r="S2" s="3061">
        <v>31</v>
      </c>
      <c r="T2" s="3061">
        <f>+P2+R2</f>
        <v>153</v>
      </c>
      <c r="U2" s="3061">
        <f>+Q2+S2</f>
        <v>153</v>
      </c>
      <c r="V2" s="3060">
        <v>30</v>
      </c>
      <c r="W2" s="3061">
        <v>30</v>
      </c>
      <c r="X2" s="3061">
        <f>+N2+R2+V2</f>
        <v>92</v>
      </c>
      <c r="Y2" s="3061">
        <f>+O2+S2+W2</f>
        <v>92</v>
      </c>
      <c r="Z2" s="3061">
        <f>+T2+V2</f>
        <v>183</v>
      </c>
      <c r="AA2" s="3061">
        <f>+U2+W2</f>
        <v>183</v>
      </c>
      <c r="AB2" s="1091">
        <v>31</v>
      </c>
      <c r="AC2" s="69">
        <v>31</v>
      </c>
      <c r="AD2" s="69">
        <f>+Z2+AB2</f>
        <v>214</v>
      </c>
      <c r="AE2" s="69">
        <f>+AA2+AC2</f>
        <v>214</v>
      </c>
      <c r="AF2" s="1091">
        <v>30</v>
      </c>
      <c r="AG2" s="69">
        <v>30</v>
      </c>
      <c r="AH2" s="69">
        <f>+AD2+AF2</f>
        <v>244</v>
      </c>
      <c r="AI2" s="69">
        <f>+AE2+AG2</f>
        <v>244</v>
      </c>
      <c r="AJ2" s="1091">
        <v>31</v>
      </c>
      <c r="AK2" s="69">
        <v>31</v>
      </c>
      <c r="AL2" s="3805">
        <f>+AB2+AF2+AJ2</f>
        <v>92</v>
      </c>
      <c r="AM2" s="3805">
        <f>+AC2+AG2+AK2</f>
        <v>92</v>
      </c>
      <c r="AN2" s="69">
        <f>+AH2+AJ2</f>
        <v>275</v>
      </c>
      <c r="AO2" s="69">
        <f>+AI2+AK2</f>
        <v>275</v>
      </c>
      <c r="AP2" s="1091">
        <v>31</v>
      </c>
      <c r="AQ2" s="69">
        <v>31</v>
      </c>
      <c r="AR2" s="69">
        <f>+AN2+AP2</f>
        <v>306</v>
      </c>
      <c r="AS2" s="69">
        <f>+AO2+AQ2</f>
        <v>306</v>
      </c>
      <c r="AT2" s="1091">
        <v>28</v>
      </c>
      <c r="AU2" s="69">
        <v>28</v>
      </c>
      <c r="AV2" s="69">
        <f>+AR2+AT2</f>
        <v>334</v>
      </c>
      <c r="AW2" s="69">
        <f>+AS2+AU2</f>
        <v>334</v>
      </c>
      <c r="AX2" s="1091">
        <v>31</v>
      </c>
      <c r="AY2" s="69">
        <v>31</v>
      </c>
      <c r="AZ2" s="3805">
        <f>+AP2+AT2+AX2</f>
        <v>90</v>
      </c>
      <c r="BA2" s="3805">
        <f>+AQ2+AU2+AY2</f>
        <v>90</v>
      </c>
      <c r="BB2" s="3061">
        <f>+AL2+AZ2</f>
        <v>182</v>
      </c>
      <c r="BC2" s="3061">
        <f>+AM2+BA2</f>
        <v>182</v>
      </c>
      <c r="BD2" s="69">
        <f>+AV2+AX2</f>
        <v>365</v>
      </c>
      <c r="BE2" s="69">
        <f>+AW2+AY2</f>
        <v>365</v>
      </c>
    </row>
    <row r="3" spans="1:57" s="200" customFormat="1" ht="15.75" thickBot="1" x14ac:dyDescent="0.3">
      <c r="B3" s="5351" t="s">
        <v>197</v>
      </c>
      <c r="C3" s="4849" t="s">
        <v>198</v>
      </c>
      <c r="D3" s="4849" t="s">
        <v>1323</v>
      </c>
      <c r="E3" s="4849"/>
      <c r="F3" s="4849" t="s">
        <v>1384</v>
      </c>
      <c r="G3" s="4849"/>
      <c r="H3" s="5352" t="s">
        <v>15</v>
      </c>
      <c r="I3" s="5352"/>
      <c r="J3" s="4849" t="s">
        <v>1397</v>
      </c>
      <c r="K3" s="4849"/>
      <c r="L3" s="5353" t="s">
        <v>741</v>
      </c>
      <c r="M3" s="5353"/>
      <c r="N3" s="4849" t="s">
        <v>1424</v>
      </c>
      <c r="O3" s="4849"/>
      <c r="P3" s="5352" t="s">
        <v>18</v>
      </c>
      <c r="Q3" s="5352"/>
      <c r="R3" s="4849" t="s">
        <v>1496</v>
      </c>
      <c r="S3" s="4849"/>
      <c r="T3" s="5352" t="s">
        <v>19</v>
      </c>
      <c r="U3" s="5352"/>
      <c r="V3" s="4849" t="s">
        <v>1573</v>
      </c>
      <c r="W3" s="4849"/>
      <c r="X3" s="5353" t="s">
        <v>788</v>
      </c>
      <c r="Y3" s="5353"/>
      <c r="Z3" s="5356" t="s">
        <v>784</v>
      </c>
      <c r="AA3" s="5356"/>
      <c r="AB3" s="5261" t="s">
        <v>1634</v>
      </c>
      <c r="AC3" s="5261"/>
      <c r="AD3" s="5359" t="s">
        <v>26</v>
      </c>
      <c r="AE3" s="5360"/>
      <c r="AF3" s="5261" t="s">
        <v>1671</v>
      </c>
      <c r="AG3" s="5261"/>
      <c r="AH3" s="5359" t="s">
        <v>29</v>
      </c>
      <c r="AI3" s="5360"/>
      <c r="AJ3" s="5261" t="s">
        <v>1696</v>
      </c>
      <c r="AK3" s="5261"/>
      <c r="AL3" s="4903" t="s">
        <v>799</v>
      </c>
      <c r="AM3" s="4904"/>
      <c r="AN3" s="5359" t="s">
        <v>30</v>
      </c>
      <c r="AO3" s="5360"/>
      <c r="AP3" s="5361" t="s">
        <v>1760</v>
      </c>
      <c r="AQ3" s="5362"/>
      <c r="AR3" s="5363" t="s">
        <v>31</v>
      </c>
      <c r="AS3" s="5364"/>
      <c r="AT3" s="5361" t="s">
        <v>1812</v>
      </c>
      <c r="AU3" s="5362"/>
      <c r="AV3" s="5363" t="s">
        <v>33</v>
      </c>
      <c r="AW3" s="5364"/>
      <c r="AX3" s="5361" t="s">
        <v>1844</v>
      </c>
      <c r="AY3" s="5362"/>
      <c r="AZ3" s="4903" t="s">
        <v>800</v>
      </c>
      <c r="BA3" s="4904"/>
      <c r="BB3" s="5356" t="s">
        <v>817</v>
      </c>
      <c r="BC3" s="5356"/>
      <c r="BD3" s="5363" t="s">
        <v>1314</v>
      </c>
      <c r="BE3" s="5364"/>
    </row>
    <row r="4" spans="1:57" s="200" customFormat="1" ht="15.75" thickBot="1" x14ac:dyDescent="0.3">
      <c r="B4" s="5351"/>
      <c r="C4" s="4849"/>
      <c r="D4" s="2454" t="s">
        <v>199</v>
      </c>
      <c r="E4" s="1989" t="s">
        <v>200</v>
      </c>
      <c r="F4" s="2454" t="s">
        <v>199</v>
      </c>
      <c r="G4" s="1989" t="s">
        <v>200</v>
      </c>
      <c r="H4" s="1990" t="s">
        <v>199</v>
      </c>
      <c r="I4" s="1990" t="s">
        <v>200</v>
      </c>
      <c r="J4" s="2454" t="s">
        <v>199</v>
      </c>
      <c r="K4" s="1989" t="s">
        <v>200</v>
      </c>
      <c r="L4" s="1991" t="s">
        <v>199</v>
      </c>
      <c r="M4" s="1991" t="s">
        <v>200</v>
      </c>
      <c r="N4" s="2454" t="s">
        <v>199</v>
      </c>
      <c r="O4" s="1989" t="s">
        <v>200</v>
      </c>
      <c r="P4" s="1990" t="s">
        <v>199</v>
      </c>
      <c r="Q4" s="1990" t="s">
        <v>200</v>
      </c>
      <c r="R4" s="2454" t="s">
        <v>199</v>
      </c>
      <c r="S4" s="1989" t="s">
        <v>200</v>
      </c>
      <c r="T4" s="1990" t="s">
        <v>199</v>
      </c>
      <c r="U4" s="1990" t="s">
        <v>200</v>
      </c>
      <c r="V4" s="2454" t="s">
        <v>199</v>
      </c>
      <c r="W4" s="1989" t="s">
        <v>200</v>
      </c>
      <c r="X4" s="1991" t="s">
        <v>199</v>
      </c>
      <c r="Y4" s="1991" t="s">
        <v>200</v>
      </c>
      <c r="Z4" s="2421" t="s">
        <v>199</v>
      </c>
      <c r="AA4" s="2421" t="s">
        <v>200</v>
      </c>
      <c r="AB4" s="3626" t="s">
        <v>199</v>
      </c>
      <c r="AC4" s="667" t="s">
        <v>200</v>
      </c>
      <c r="AD4" s="1557" t="s">
        <v>199</v>
      </c>
      <c r="AE4" s="61" t="s">
        <v>200</v>
      </c>
      <c r="AF4" s="1558" t="s">
        <v>199</v>
      </c>
      <c r="AG4" s="667" t="s">
        <v>200</v>
      </c>
      <c r="AH4" s="1557" t="s">
        <v>199</v>
      </c>
      <c r="AI4" s="61" t="s">
        <v>200</v>
      </c>
      <c r="AJ4" s="3626" t="s">
        <v>199</v>
      </c>
      <c r="AK4" s="7" t="s">
        <v>200</v>
      </c>
      <c r="AL4" s="3673" t="s">
        <v>199</v>
      </c>
      <c r="AM4" s="3674" t="s">
        <v>200</v>
      </c>
      <c r="AN4" s="3599" t="s">
        <v>199</v>
      </c>
      <c r="AO4" s="61" t="s">
        <v>200</v>
      </c>
      <c r="AP4" s="1558" t="s">
        <v>199</v>
      </c>
      <c r="AQ4" s="667" t="s">
        <v>200</v>
      </c>
      <c r="AR4" s="1557" t="s">
        <v>199</v>
      </c>
      <c r="AS4" s="61" t="s">
        <v>200</v>
      </c>
      <c r="AT4" s="3626" t="s">
        <v>199</v>
      </c>
      <c r="AU4" s="667" t="s">
        <v>200</v>
      </c>
      <c r="AV4" s="1557" t="s">
        <v>199</v>
      </c>
      <c r="AW4" s="61" t="s">
        <v>200</v>
      </c>
      <c r="AX4" s="3626" t="s">
        <v>199</v>
      </c>
      <c r="AY4" s="667" t="s">
        <v>200</v>
      </c>
      <c r="AZ4" s="3673" t="s">
        <v>199</v>
      </c>
      <c r="BA4" s="3674" t="s">
        <v>200</v>
      </c>
      <c r="BB4" s="4397" t="s">
        <v>199</v>
      </c>
      <c r="BC4" s="4397" t="s">
        <v>200</v>
      </c>
      <c r="BD4" s="4412" t="s">
        <v>199</v>
      </c>
      <c r="BE4" s="61" t="s">
        <v>200</v>
      </c>
    </row>
    <row r="5" spans="1:57" s="334" customFormat="1" ht="20.25" x14ac:dyDescent="0.25">
      <c r="A5" s="343"/>
      <c r="B5" s="3062" t="s">
        <v>362</v>
      </c>
      <c r="C5" s="3063" t="s">
        <v>548</v>
      </c>
      <c r="D5" s="3064"/>
      <c r="E5" s="3064">
        <f>+'B-FCE'!F46</f>
        <v>15.990223124878232</v>
      </c>
      <c r="F5" s="3064"/>
      <c r="G5" s="3064">
        <f>+'B-FCE'!H46</f>
        <v>20.347285916784791</v>
      </c>
      <c r="H5" s="3064"/>
      <c r="I5" s="3064">
        <f>+'B-FCE'!J46</f>
        <v>36.337509041663026</v>
      </c>
      <c r="J5" s="3064"/>
      <c r="K5" s="3064">
        <f>+'B-FCE'!L46</f>
        <v>29.992638696224546</v>
      </c>
      <c r="L5" s="3064"/>
      <c r="M5" s="3064">
        <f>+'B-FCE'!N46</f>
        <v>66.330147737887572</v>
      </c>
      <c r="N5" s="3064"/>
      <c r="O5" s="3064">
        <f>+'B-FCE'!P46</f>
        <v>30.020792415042159</v>
      </c>
      <c r="P5" s="3060"/>
      <c r="Q5" s="3064">
        <f>+M5+O5</f>
        <v>96.350940152929724</v>
      </c>
      <c r="R5" s="3064"/>
      <c r="S5" s="3064">
        <f>+'B-FCE'!T46</f>
        <v>30.12770462008676</v>
      </c>
      <c r="T5" s="3060"/>
      <c r="U5" s="3064">
        <f>+Q5+S5</f>
        <v>126.47864477301648</v>
      </c>
      <c r="V5" s="3064"/>
      <c r="W5" s="3064">
        <f>+'B-FCE'!X46</f>
        <v>29.091817416768439</v>
      </c>
      <c r="X5" s="3064"/>
      <c r="Y5" s="3064">
        <f>+'B-FCE'!Z46</f>
        <v>89.240314451897348</v>
      </c>
      <c r="Z5" s="3064"/>
      <c r="AA5" s="3064">
        <f>+U5+W5</f>
        <v>155.57046218978493</v>
      </c>
      <c r="AB5" s="3064"/>
      <c r="AC5" s="3064">
        <f>+'B-FCE'!AD46</f>
        <v>31.006776651704733</v>
      </c>
      <c r="AD5" s="3060"/>
      <c r="AE5" s="3064">
        <f>+AA5+AC5</f>
        <v>186.57723884148967</v>
      </c>
      <c r="AF5" s="3064"/>
      <c r="AG5" s="3064">
        <f>+'B-FCE'!AH46</f>
        <v>30.004523455224099</v>
      </c>
      <c r="AH5" s="3060"/>
      <c r="AI5" s="3064">
        <f>+AE5+AG5</f>
        <v>216.58176229671378</v>
      </c>
      <c r="AJ5" s="3064"/>
      <c r="AK5" s="3064">
        <f>+'B-FCE'!AL46</f>
        <v>30.75</v>
      </c>
      <c r="AL5" s="3806"/>
      <c r="AM5" s="3806">
        <f>+'B-FCE'!AN46</f>
        <v>91.761300106928843</v>
      </c>
      <c r="AN5" s="3060"/>
      <c r="AO5" s="3064">
        <f>+'B-FCE'!AP46</f>
        <v>247.33176229671378</v>
      </c>
      <c r="AP5" s="3064"/>
      <c r="AQ5" s="3064">
        <f>+'B-FCE'!AR46</f>
        <v>30.520833333333332</v>
      </c>
      <c r="AR5" s="3060"/>
      <c r="AS5" s="3064">
        <f>+AO5+AQ5</f>
        <v>277.85259563004712</v>
      </c>
      <c r="AT5" s="3064"/>
      <c r="AU5" s="3064">
        <f>+'B-FCE'!AV46</f>
        <v>27.097222222222229</v>
      </c>
      <c r="AV5" s="3060"/>
      <c r="AW5" s="3064">
        <f>+AS5+AU5</f>
        <v>304.94981785226935</v>
      </c>
      <c r="AX5" s="3064"/>
      <c r="AY5" s="3064">
        <f>+'B-FCE'!AZ46</f>
        <v>30.711860747648952</v>
      </c>
      <c r="AZ5" s="3806"/>
      <c r="BA5" s="3806">
        <f>+'B-FCE'!BB46</f>
        <v>88.329916303204513</v>
      </c>
      <c r="BB5" s="3064"/>
      <c r="BC5" s="3064">
        <f>+'B-FCE'!BD46</f>
        <v>180.09121641013337</v>
      </c>
      <c r="BD5" s="3060"/>
      <c r="BE5" s="3806">
        <f>+'B-FCE'!BF46</f>
        <v>335.66167859991828</v>
      </c>
    </row>
    <row r="6" spans="1:57" x14ac:dyDescent="0.25">
      <c r="A6" s="343"/>
      <c r="B6" s="3065" t="s">
        <v>369</v>
      </c>
      <c r="C6" s="355" t="s">
        <v>368</v>
      </c>
      <c r="D6" s="483">
        <v>4225</v>
      </c>
      <c r="E6" s="238">
        <v>4267.7955904246555</v>
      </c>
      <c r="F6" s="475">
        <v>4225</v>
      </c>
      <c r="G6" s="238">
        <v>4263.1000000000004</v>
      </c>
      <c r="H6" s="2418">
        <v>4225</v>
      </c>
      <c r="I6" s="2418">
        <f>+((E6*E$2*E12)+(G$2*G6*G12))/(I$2*I12)</f>
        <v>4265.4155236329398</v>
      </c>
      <c r="J6" s="483">
        <v>4225</v>
      </c>
      <c r="K6" s="238">
        <v>4268.4399999999996</v>
      </c>
      <c r="L6" s="2415">
        <v>4225</v>
      </c>
      <c r="M6" s="2415">
        <f>+((I6*I$2*I12)+(K$2*K6*K12))/(M$2*M12)</f>
        <v>4266.4297450997865</v>
      </c>
      <c r="N6" s="483">
        <v>4225</v>
      </c>
      <c r="O6" s="238">
        <v>4270.12</v>
      </c>
      <c r="P6" s="2418">
        <v>4225</v>
      </c>
      <c r="Q6" s="2418">
        <f>+((M6*M$2*M12)+(O$2*O6*O12))/(Q$2*Q12)</f>
        <v>4267.3682735657676</v>
      </c>
      <c r="R6" s="483">
        <v>4225</v>
      </c>
      <c r="S6" s="238">
        <v>4267.4799999999996</v>
      </c>
      <c r="T6" s="2418">
        <v>4225</v>
      </c>
      <c r="U6" s="2418">
        <f>+((Q6*Q$2*Q12)+(S$2*S6*S12))/(U$2*U12)</f>
        <v>4267.391707437615</v>
      </c>
      <c r="V6" s="483">
        <v>4225</v>
      </c>
      <c r="W6" s="238">
        <v>4264.84</v>
      </c>
      <c r="X6" s="2415">
        <v>4225</v>
      </c>
      <c r="Y6" s="2415">
        <f>+((O6*O$2*O12)+(S6*S$2*S12)+(W$2*W6*W12))/(Y$2*Y12)</f>
        <v>4267.4725720580391</v>
      </c>
      <c r="Z6" s="1134">
        <v>4225</v>
      </c>
      <c r="AA6" s="1134">
        <f>+((L6*L$2*L12)+(X$2*X6*X12))/(AA$2*AA12)</f>
        <v>4334.1023227447004</v>
      </c>
      <c r="AB6" s="483">
        <v>4225</v>
      </c>
      <c r="AC6" s="238">
        <v>4267.51</v>
      </c>
      <c r="AD6" s="3163">
        <v>4225</v>
      </c>
      <c r="AE6" s="3163">
        <f>+((AA6*AA$2*AA12)+(AC$2*AC6*AC12))/(AE$2*AE12)</f>
        <v>4324.2716089531104</v>
      </c>
      <c r="AF6" s="483">
        <v>4225</v>
      </c>
      <c r="AG6" s="238">
        <v>4271.0200000000004</v>
      </c>
      <c r="AH6" s="3347">
        <v>4225</v>
      </c>
      <c r="AI6" s="3347">
        <f>+((AE6*AE$2*AE12)+(AG$2*AG6*AG12))/(AI$2*AI12)</f>
        <v>4317.5603057044646</v>
      </c>
      <c r="AJ6" s="483">
        <v>4225</v>
      </c>
      <c r="AK6" s="3640">
        <v>4267.7700000000004</v>
      </c>
      <c r="AL6" s="3600">
        <v>4225</v>
      </c>
      <c r="AM6" s="3600">
        <f>+((AC6*AC$2*AC12)+(AG6*AG$2*AG12)+(AK$2*AK6*AK12))/(AM$2*AM12)</f>
        <v>4268.7442421420092</v>
      </c>
      <c r="AN6" s="3597">
        <v>4225</v>
      </c>
      <c r="AO6" s="3597">
        <f>+((AI6*AI$2*AI12)+(AK$2*AK6*AK12))/(AO$2*AO12)</f>
        <v>4311.795411584445</v>
      </c>
      <c r="AP6" s="483">
        <v>4225</v>
      </c>
      <c r="AQ6" s="3907">
        <v>4270.3900000000003</v>
      </c>
      <c r="AR6" s="3909">
        <v>4225</v>
      </c>
      <c r="AS6" s="3909">
        <f>+((AO6*AO$2*AO12)+(AQ$2*AQ6*AQ12))/(AS$2*AS12)</f>
        <v>4307.4977181319937</v>
      </c>
      <c r="AT6" s="483">
        <v>4225</v>
      </c>
      <c r="AU6" s="4060">
        <v>4263.1000000000004</v>
      </c>
      <c r="AV6" s="4062">
        <v>4225</v>
      </c>
      <c r="AW6" s="4062">
        <f>+((AS6*AS$2*AS12)+(AU$2*AU6*AU12))/(AW$2*AW12)</f>
        <v>4303.7216972462375</v>
      </c>
      <c r="AX6" s="483">
        <v>4225</v>
      </c>
      <c r="AY6" s="4378">
        <v>4265.6499999999996</v>
      </c>
      <c r="AZ6" s="4380">
        <v>4225</v>
      </c>
      <c r="BA6" s="4380">
        <f>+((AQ6*AQ$2*AQ12)+(AU6*AU$2*AU12)+(AY$2*AY6*AY12))/(BA$2*BA12)</f>
        <v>4266.5007559897376</v>
      </c>
      <c r="BB6" s="4382">
        <v>4225</v>
      </c>
      <c r="BC6" s="4382">
        <f>+((AM6*AM$2*AM12)+(BA$2*BA6*BA12))/(BC$2*BC12)</f>
        <v>4267.6339819597224</v>
      </c>
      <c r="BD6" s="4381">
        <v>4225</v>
      </c>
      <c r="BE6" s="4381">
        <v>4267.2972996623057</v>
      </c>
    </row>
    <row r="7" spans="1:57" s="1556" customFormat="1" ht="15" customHeight="1" x14ac:dyDescent="0.25">
      <c r="A7" s="343"/>
      <c r="B7" s="3065" t="s">
        <v>370</v>
      </c>
      <c r="C7" s="355" t="s">
        <v>1404</v>
      </c>
      <c r="D7" s="475">
        <v>21.994500000000002</v>
      </c>
      <c r="E7" s="238"/>
      <c r="F7" s="475">
        <v>21.994499999999999</v>
      </c>
      <c r="G7" s="238"/>
      <c r="H7" s="2418"/>
      <c r="I7" s="2418"/>
      <c r="J7" s="475">
        <v>21.994500000000002</v>
      </c>
      <c r="K7" s="238"/>
      <c r="L7" s="2415"/>
      <c r="M7" s="2415"/>
      <c r="N7" s="475">
        <v>21.994499999999999</v>
      </c>
      <c r="O7" s="238"/>
      <c r="P7" s="2418"/>
      <c r="Q7" s="2418"/>
      <c r="R7" s="475">
        <v>21.994499999999999</v>
      </c>
      <c r="S7" s="238"/>
      <c r="T7" s="2418"/>
      <c r="U7" s="2418"/>
      <c r="V7" s="475">
        <v>21.994500000000002</v>
      </c>
      <c r="W7" s="238"/>
      <c r="X7" s="2415"/>
      <c r="Y7" s="2415"/>
      <c r="Z7" s="1134"/>
      <c r="AA7" s="1134"/>
      <c r="AB7" s="4556">
        <v>21.994499999999999</v>
      </c>
      <c r="AC7" s="238"/>
      <c r="AD7" s="3163"/>
      <c r="AE7" s="3163"/>
      <c r="AF7" s="3346">
        <v>21.994500000000002</v>
      </c>
      <c r="AG7" s="238"/>
      <c r="AH7" s="3347"/>
      <c r="AI7" s="3347"/>
      <c r="AJ7" s="3601">
        <v>21.994499999999999</v>
      </c>
      <c r="AK7" s="3640"/>
      <c r="AL7" s="3600"/>
      <c r="AM7" s="3600"/>
      <c r="AN7" s="3597"/>
      <c r="AO7" s="3597"/>
      <c r="AP7" s="3908">
        <v>21.994499999999999</v>
      </c>
      <c r="AQ7" s="3907"/>
      <c r="AR7" s="3909"/>
      <c r="AS7" s="3909"/>
      <c r="AT7" s="4061">
        <v>21.994499999999999</v>
      </c>
      <c r="AU7" s="4060"/>
      <c r="AV7" s="4062"/>
      <c r="AW7" s="4062"/>
      <c r="AX7" s="4379">
        <v>21.994499999999999</v>
      </c>
      <c r="AY7" s="4378"/>
      <c r="AZ7" s="4380"/>
      <c r="BA7" s="4380"/>
      <c r="BB7" s="4382"/>
      <c r="BC7" s="4382"/>
      <c r="BD7" s="4381"/>
      <c r="BE7" s="4381"/>
    </row>
    <row r="8" spans="1:57" x14ac:dyDescent="0.25">
      <c r="A8" s="343"/>
      <c r="B8" s="3065" t="s">
        <v>370</v>
      </c>
      <c r="C8" s="355" t="s">
        <v>365</v>
      </c>
      <c r="D8" s="475">
        <f>+D7*24*D2</f>
        <v>15836.04</v>
      </c>
      <c r="E8" s="238">
        <v>15803.19</v>
      </c>
      <c r="F8" s="475">
        <f>+F7*24*F2</f>
        <v>16363.907999999998</v>
      </c>
      <c r="G8" s="238">
        <v>16396.900000000001</v>
      </c>
      <c r="H8" s="2418">
        <f>+D8+F8</f>
        <v>32199.947999999997</v>
      </c>
      <c r="I8" s="2418">
        <f t="shared" ref="I8:I10" si="0">+E8+G8</f>
        <v>32200.090000000004</v>
      </c>
      <c r="J8" s="475">
        <f>+J7*24*J2</f>
        <v>15836.04</v>
      </c>
      <c r="K8" s="238">
        <v>15568.96</v>
      </c>
      <c r="L8" s="2415">
        <f t="shared" ref="L8:M10" si="1">+H8+J8</f>
        <v>48035.987999999998</v>
      </c>
      <c r="M8" s="2415">
        <f t="shared" si="1"/>
        <v>47769.05</v>
      </c>
      <c r="N8" s="475">
        <f>+N7*24*N2</f>
        <v>16363.907999999998</v>
      </c>
      <c r="O8" s="238">
        <v>16301.4</v>
      </c>
      <c r="P8" s="2418">
        <f>+L8+N8</f>
        <v>64399.895999999993</v>
      </c>
      <c r="Q8" s="2418">
        <f t="shared" ref="Q8" si="2">+M8+O8</f>
        <v>64070.450000000004</v>
      </c>
      <c r="R8" s="475">
        <f>+R7*24*R2</f>
        <v>16363.907999999998</v>
      </c>
      <c r="S8" s="238">
        <v>16601.650000000001</v>
      </c>
      <c r="T8" s="2418">
        <f>+P8+R8</f>
        <v>80763.803999999989</v>
      </c>
      <c r="U8" s="2418">
        <f t="shared" ref="U8" si="3">+Q8+S8</f>
        <v>80672.100000000006</v>
      </c>
      <c r="V8" s="475">
        <f>+V7*24*V2</f>
        <v>15836.04</v>
      </c>
      <c r="W8" s="238">
        <v>15845.8</v>
      </c>
      <c r="X8" s="2415">
        <f>+V8+R8+N8</f>
        <v>48563.855999999992</v>
      </c>
      <c r="Y8" s="2415">
        <f>+W8+S8+O8</f>
        <v>48748.85</v>
      </c>
      <c r="Z8" s="1134">
        <f>+L8+X8</f>
        <v>96599.843999999983</v>
      </c>
      <c r="AA8" s="1134">
        <f>+Y8+M8</f>
        <v>96517.9</v>
      </c>
      <c r="AB8" s="4556">
        <f>+AB7*24*AB2</f>
        <v>16363.907999999998</v>
      </c>
      <c r="AC8" s="238">
        <v>16037.22</v>
      </c>
      <c r="AD8" s="3163">
        <f>+Z8+AB8</f>
        <v>112963.75199999998</v>
      </c>
      <c r="AE8" s="3163">
        <f t="shared" ref="AE8" si="4">+AA8+AC8</f>
        <v>112555.12</v>
      </c>
      <c r="AF8" s="3346">
        <f>+AF7*24*AF2</f>
        <v>15836.04</v>
      </c>
      <c r="AG8" s="238">
        <v>15934.52</v>
      </c>
      <c r="AH8" s="3347">
        <f>+AD8+AF8</f>
        <v>128799.79199999999</v>
      </c>
      <c r="AI8" s="3347">
        <f t="shared" ref="AI8" si="5">+AE8+AG8</f>
        <v>128489.64</v>
      </c>
      <c r="AJ8" s="3601">
        <f>+AJ7*24*AJ2</f>
        <v>16363.907999999998</v>
      </c>
      <c r="AK8" s="3640">
        <v>16511.87</v>
      </c>
      <c r="AL8" s="3600">
        <f>+AJ8+AF8+AB8</f>
        <v>48563.855999999992</v>
      </c>
      <c r="AM8" s="3600">
        <f>+AK8+AG8+AC8</f>
        <v>48483.61</v>
      </c>
      <c r="AN8" s="3597">
        <f>+AH8+AJ8</f>
        <v>145163.69999999998</v>
      </c>
      <c r="AO8" s="3597">
        <f t="shared" ref="AO8" si="6">+AI8+AK8</f>
        <v>145001.51</v>
      </c>
      <c r="AP8" s="3908">
        <f>+AP7*24*AP2</f>
        <v>16363.907999999998</v>
      </c>
      <c r="AQ8" s="3907">
        <v>16495.830000000002</v>
      </c>
      <c r="AR8" s="3909">
        <f>+AN8+AP8</f>
        <v>161527.60799999998</v>
      </c>
      <c r="AS8" s="3909">
        <f t="shared" ref="AS8" si="7">+AO8+AQ8</f>
        <v>161497.34000000003</v>
      </c>
      <c r="AT8" s="4061">
        <f>+AT7*24*AT2</f>
        <v>14780.303999999998</v>
      </c>
      <c r="AU8" s="4060">
        <v>14909.275169999999</v>
      </c>
      <c r="AV8" s="4062">
        <f>+AR8+AT8</f>
        <v>176307.91199999998</v>
      </c>
      <c r="AW8" s="4062">
        <f t="shared" ref="AW8" si="8">+AS8+AU8</f>
        <v>176406.61517000003</v>
      </c>
      <c r="AX8" s="4379">
        <f>+AX7*24*AX2</f>
        <v>16363.907999999998</v>
      </c>
      <c r="AY8" s="4378">
        <v>16296.57</v>
      </c>
      <c r="AZ8" s="4380">
        <f>+AX8+AT8+AP8</f>
        <v>47508.119999999995</v>
      </c>
      <c r="BA8" s="4380">
        <f>+AY8+AU8+AQ8</f>
        <v>47701.675170000002</v>
      </c>
      <c r="BB8" s="4382">
        <f>+AL8+AZ8</f>
        <v>96071.975999999995</v>
      </c>
      <c r="BC8" s="4382">
        <f>+AM8+BA8</f>
        <v>96185.285170000003</v>
      </c>
      <c r="BD8" s="4381">
        <f>+AV8+AX8</f>
        <v>192671.81999999998</v>
      </c>
      <c r="BE8" s="4381">
        <f t="shared" ref="BE8" si="9">+AW8+AY8</f>
        <v>192703.18517000004</v>
      </c>
    </row>
    <row r="9" spans="1:57" s="1556" customFormat="1" ht="15" customHeight="1" x14ac:dyDescent="0.25">
      <c r="A9" s="343"/>
      <c r="B9" s="3065" t="s">
        <v>371</v>
      </c>
      <c r="C9" s="355" t="s">
        <v>1404</v>
      </c>
      <c r="D9" s="475">
        <v>44.248874999999998</v>
      </c>
      <c r="E9" s="238"/>
      <c r="F9" s="475">
        <v>44.248874999999998</v>
      </c>
      <c r="G9" s="238"/>
      <c r="H9" s="2418"/>
      <c r="I9" s="2418"/>
      <c r="J9" s="475">
        <v>44.248874999999998</v>
      </c>
      <c r="K9" s="238"/>
      <c r="L9" s="2415"/>
      <c r="M9" s="2415"/>
      <c r="N9" s="475">
        <v>44.248874999999998</v>
      </c>
      <c r="O9" s="238"/>
      <c r="P9" s="2418"/>
      <c r="Q9" s="2418"/>
      <c r="R9" s="475">
        <v>44.248874999999998</v>
      </c>
      <c r="S9" s="238"/>
      <c r="T9" s="2418"/>
      <c r="U9" s="2418"/>
      <c r="V9" s="475">
        <v>44.248874999999998</v>
      </c>
      <c r="W9" s="238"/>
      <c r="X9" s="2415"/>
      <c r="Y9" s="2415"/>
      <c r="Z9" s="1134"/>
      <c r="AA9" s="1134"/>
      <c r="AB9" s="4556">
        <v>44.248874999999998</v>
      </c>
      <c r="AC9" s="238"/>
      <c r="AD9" s="3163"/>
      <c r="AE9" s="3163"/>
      <c r="AF9" s="3346">
        <v>44.248874999999998</v>
      </c>
      <c r="AG9" s="238"/>
      <c r="AH9" s="3347"/>
      <c r="AI9" s="3347"/>
      <c r="AJ9" s="3601">
        <v>44.248874999999998</v>
      </c>
      <c r="AK9" s="3640"/>
      <c r="AL9" s="3600"/>
      <c r="AM9" s="3600"/>
      <c r="AN9" s="3597"/>
      <c r="AO9" s="3597"/>
      <c r="AP9" s="3908">
        <v>44.248874999999998</v>
      </c>
      <c r="AQ9" s="3907"/>
      <c r="AR9" s="3909"/>
      <c r="AS9" s="3909"/>
      <c r="AT9" s="4061">
        <v>44.248875000000005</v>
      </c>
      <c r="AU9" s="4060"/>
      <c r="AV9" s="4062"/>
      <c r="AW9" s="4062"/>
      <c r="AX9" s="4379">
        <v>44.248874999999998</v>
      </c>
      <c r="AY9" s="4378"/>
      <c r="AZ9" s="4380"/>
      <c r="BA9" s="4380"/>
      <c r="BB9" s="4382"/>
      <c r="BC9" s="4382"/>
      <c r="BD9" s="4381"/>
      <c r="BE9" s="4381"/>
    </row>
    <row r="10" spans="1:57" x14ac:dyDescent="0.25">
      <c r="A10" s="343"/>
      <c r="B10" s="3065" t="s">
        <v>371</v>
      </c>
      <c r="C10" s="355" t="s">
        <v>365</v>
      </c>
      <c r="D10" s="475">
        <f>+D9*D2*24</f>
        <v>31859.19</v>
      </c>
      <c r="E10" s="238">
        <v>29742.66</v>
      </c>
      <c r="F10" s="475">
        <f>+F9*F2*24</f>
        <v>32921.163</v>
      </c>
      <c r="G10" s="238">
        <v>30418.5</v>
      </c>
      <c r="H10" s="2418">
        <f>+D10+F10</f>
        <v>64780.353000000003</v>
      </c>
      <c r="I10" s="2418">
        <f t="shared" si="0"/>
        <v>60161.16</v>
      </c>
      <c r="J10" s="475">
        <f>+J9*J2*24</f>
        <v>31859.19</v>
      </c>
      <c r="K10" s="238">
        <v>31029.49</v>
      </c>
      <c r="L10" s="2415">
        <f t="shared" si="1"/>
        <v>96639.543000000005</v>
      </c>
      <c r="M10" s="2415">
        <f t="shared" si="1"/>
        <v>91190.650000000009</v>
      </c>
      <c r="N10" s="475">
        <f>+N9*N2*24</f>
        <v>32921.163</v>
      </c>
      <c r="O10" s="238">
        <v>31093.439999999999</v>
      </c>
      <c r="P10" s="2418">
        <f t="shared" ref="P10" si="10">+L10+N10</f>
        <v>129560.70600000001</v>
      </c>
      <c r="Q10" s="2418">
        <f t="shared" ref="Q10" si="11">+M10+O10</f>
        <v>122284.09000000001</v>
      </c>
      <c r="R10" s="475">
        <f>+R9*R2*24</f>
        <v>32921.163</v>
      </c>
      <c r="S10" s="238">
        <v>32859.01</v>
      </c>
      <c r="T10" s="2418">
        <f t="shared" ref="T10" si="12">+P10+R10</f>
        <v>162481.86900000001</v>
      </c>
      <c r="U10" s="2418">
        <f t="shared" ref="U10" si="13">+Q10+S10</f>
        <v>155143.1</v>
      </c>
      <c r="V10" s="475">
        <f>+V9*V2*24</f>
        <v>31859.19</v>
      </c>
      <c r="W10" s="238">
        <v>31956.05</v>
      </c>
      <c r="X10" s="2415">
        <f>+V10+R10+N10</f>
        <v>97701.516000000003</v>
      </c>
      <c r="Y10" s="2415">
        <f>+W10+S10+O10</f>
        <v>95908.5</v>
      </c>
      <c r="Z10" s="1134">
        <f>+L10+X10</f>
        <v>194341.05900000001</v>
      </c>
      <c r="AA10" s="1134">
        <f>+Y10+M10</f>
        <v>187099.15000000002</v>
      </c>
      <c r="AB10" s="4556">
        <f>+AB9*AB2*24</f>
        <v>32921.163</v>
      </c>
      <c r="AC10" s="238">
        <v>33083.269999999997</v>
      </c>
      <c r="AD10" s="3163">
        <f t="shared" ref="AD10" si="14">+Z10+AB10</f>
        <v>227262.22200000001</v>
      </c>
      <c r="AE10" s="3163">
        <f t="shared" ref="AE10" si="15">+AA10+AC10</f>
        <v>220182.42</v>
      </c>
      <c r="AF10" s="3346">
        <f>+AF9*AF2*24</f>
        <v>31859.19</v>
      </c>
      <c r="AG10" s="238">
        <v>32047.599999999999</v>
      </c>
      <c r="AH10" s="3347">
        <f t="shared" ref="AH10" si="16">+AD10+AF10</f>
        <v>259121.41200000001</v>
      </c>
      <c r="AI10" s="3347">
        <f t="shared" ref="AI10" si="17">+AE10+AG10</f>
        <v>252230.02000000002</v>
      </c>
      <c r="AJ10" s="3601">
        <f>+AJ9*AJ2*24</f>
        <v>32921.163</v>
      </c>
      <c r="AK10" s="3640">
        <v>33341.35</v>
      </c>
      <c r="AL10" s="3600">
        <f>+AJ10+AF10+AB10</f>
        <v>97701.516000000003</v>
      </c>
      <c r="AM10" s="3600">
        <f>+AK10+AG10+AC10</f>
        <v>98472.22</v>
      </c>
      <c r="AN10" s="3597">
        <f t="shared" ref="AN10" si="18">+AH10+AJ10</f>
        <v>292042.57500000001</v>
      </c>
      <c r="AO10" s="3597">
        <f t="shared" ref="AO10" si="19">+AI10+AK10</f>
        <v>285571.37</v>
      </c>
      <c r="AP10" s="3908">
        <f>+AP9*AP2*24</f>
        <v>32921.163</v>
      </c>
      <c r="AQ10" s="3907">
        <v>33371.699999999997</v>
      </c>
      <c r="AR10" s="3909">
        <f t="shared" ref="AR10" si="20">+AN10+AP10</f>
        <v>324963.73800000001</v>
      </c>
      <c r="AS10" s="3909">
        <f t="shared" ref="AS10" si="21">+AO10+AQ10</f>
        <v>318943.07</v>
      </c>
      <c r="AT10" s="4061">
        <f>+AT9*AT2*24</f>
        <v>29735.244000000006</v>
      </c>
      <c r="AU10" s="4060">
        <v>29750.429999999997</v>
      </c>
      <c r="AV10" s="4062">
        <f t="shared" ref="AV10" si="22">+AR10+AT10</f>
        <v>354698.98200000002</v>
      </c>
      <c r="AW10" s="4062">
        <f t="shared" ref="AW10" si="23">+AS10+AU10</f>
        <v>348693.5</v>
      </c>
      <c r="AX10" s="4379">
        <f>+AX9*AX2*24</f>
        <v>32921.163</v>
      </c>
      <c r="AY10" s="4378">
        <v>33153.839999999997</v>
      </c>
      <c r="AZ10" s="4380">
        <f>+AX10+AT10+AP10</f>
        <v>95577.57</v>
      </c>
      <c r="BA10" s="4380">
        <f>+AY10+AU10+AQ10</f>
        <v>96275.969999999987</v>
      </c>
      <c r="BB10" s="4382">
        <f>+AL10+AZ10</f>
        <v>193279.08600000001</v>
      </c>
      <c r="BC10" s="4382">
        <f>+AM10+BA10</f>
        <v>194748.19</v>
      </c>
      <c r="BD10" s="4381">
        <f t="shared" ref="BD10" si="24">+AV10+AX10</f>
        <v>387620.14500000002</v>
      </c>
      <c r="BE10" s="4381">
        <f t="shared" ref="BE10" si="25">+AW10+AY10</f>
        <v>381847.33999999997</v>
      </c>
    </row>
    <row r="11" spans="1:57" s="334" customFormat="1" ht="18.75" x14ac:dyDescent="0.25">
      <c r="A11" s="343"/>
      <c r="B11" s="698" t="s">
        <v>372</v>
      </c>
      <c r="C11" s="699" t="s">
        <v>365</v>
      </c>
      <c r="D11" s="1730">
        <f>+D8+D10</f>
        <v>47695.229999999996</v>
      </c>
      <c r="E11" s="1730">
        <f t="shared" ref="E11:M11" si="26">+E8+E10</f>
        <v>45545.85</v>
      </c>
      <c r="F11" s="1730">
        <f t="shared" si="26"/>
        <v>49285.070999999996</v>
      </c>
      <c r="G11" s="1730">
        <f t="shared" si="26"/>
        <v>46815.4</v>
      </c>
      <c r="H11" s="1831">
        <f t="shared" si="26"/>
        <v>96980.301000000007</v>
      </c>
      <c r="I11" s="1831">
        <f t="shared" si="26"/>
        <v>92361.25</v>
      </c>
      <c r="J11" s="1730">
        <f t="shared" si="26"/>
        <v>47695.229999999996</v>
      </c>
      <c r="K11" s="1730">
        <f t="shared" si="26"/>
        <v>46598.45</v>
      </c>
      <c r="L11" s="1832">
        <f t="shared" si="26"/>
        <v>144675.53100000002</v>
      </c>
      <c r="M11" s="1832">
        <f t="shared" si="26"/>
        <v>138959.70000000001</v>
      </c>
      <c r="N11" s="1730">
        <f t="shared" ref="N11:Q11" si="27">+N8+N10</f>
        <v>49285.070999999996</v>
      </c>
      <c r="O11" s="1730">
        <f t="shared" si="27"/>
        <v>47394.84</v>
      </c>
      <c r="P11" s="1831">
        <f t="shared" si="27"/>
        <v>193960.60200000001</v>
      </c>
      <c r="Q11" s="1831">
        <f t="shared" si="27"/>
        <v>186354.54</v>
      </c>
      <c r="R11" s="1730">
        <f t="shared" ref="R11:AA11" si="28">+R8+R10</f>
        <v>49285.070999999996</v>
      </c>
      <c r="S11" s="1730">
        <f t="shared" si="28"/>
        <v>49460.66</v>
      </c>
      <c r="T11" s="1730">
        <f t="shared" si="28"/>
        <v>243245.67300000001</v>
      </c>
      <c r="U11" s="1730">
        <f t="shared" si="28"/>
        <v>235815.2</v>
      </c>
      <c r="V11" s="1730">
        <f t="shared" si="28"/>
        <v>47695.229999999996</v>
      </c>
      <c r="W11" s="1730">
        <f t="shared" si="28"/>
        <v>47801.85</v>
      </c>
      <c r="X11" s="1730">
        <f t="shared" si="28"/>
        <v>146265.372</v>
      </c>
      <c r="Y11" s="1730">
        <f t="shared" si="28"/>
        <v>144657.35</v>
      </c>
      <c r="Z11" s="1730">
        <f t="shared" si="28"/>
        <v>290940.90299999999</v>
      </c>
      <c r="AA11" s="1730">
        <f t="shared" si="28"/>
        <v>283617.05000000005</v>
      </c>
      <c r="AB11" s="1730">
        <f t="shared" ref="AB11:AE11" si="29">+AB8+AB10</f>
        <v>49285.070999999996</v>
      </c>
      <c r="AC11" s="1730">
        <f t="shared" si="29"/>
        <v>49120.49</v>
      </c>
      <c r="AD11" s="1730">
        <f t="shared" si="29"/>
        <v>340225.97399999999</v>
      </c>
      <c r="AE11" s="1730">
        <f t="shared" si="29"/>
        <v>332737.54000000004</v>
      </c>
      <c r="AF11" s="1730">
        <f t="shared" ref="AF11:AI11" si="30">+AF8+AF10</f>
        <v>47695.229999999996</v>
      </c>
      <c r="AG11" s="1730">
        <f t="shared" si="30"/>
        <v>47982.119999999995</v>
      </c>
      <c r="AH11" s="1730">
        <f t="shared" si="30"/>
        <v>387921.20400000003</v>
      </c>
      <c r="AI11" s="1730">
        <f t="shared" si="30"/>
        <v>380719.66000000003</v>
      </c>
      <c r="AJ11" s="1730">
        <f t="shared" ref="AJ11:AO11" si="31">+AJ8+AJ10</f>
        <v>49285.070999999996</v>
      </c>
      <c r="AK11" s="1730">
        <f t="shared" si="31"/>
        <v>49853.22</v>
      </c>
      <c r="AL11" s="1730">
        <f t="shared" si="31"/>
        <v>146265.372</v>
      </c>
      <c r="AM11" s="1730">
        <f t="shared" si="31"/>
        <v>146955.83000000002</v>
      </c>
      <c r="AN11" s="1730">
        <f t="shared" si="31"/>
        <v>437206.27500000002</v>
      </c>
      <c r="AO11" s="1730">
        <f t="shared" si="31"/>
        <v>430572.88</v>
      </c>
      <c r="AP11" s="1730">
        <f t="shared" ref="AP11:AS11" si="32">+AP8+AP10</f>
        <v>49285.070999999996</v>
      </c>
      <c r="AQ11" s="1730">
        <f t="shared" si="32"/>
        <v>49867.53</v>
      </c>
      <c r="AR11" s="1730">
        <f t="shared" si="32"/>
        <v>486491.34600000002</v>
      </c>
      <c r="AS11" s="1730">
        <f t="shared" si="32"/>
        <v>480440.41000000003</v>
      </c>
      <c r="AT11" s="1730">
        <f t="shared" ref="AT11:AW11" si="33">+AT8+AT10</f>
        <v>44515.548000000003</v>
      </c>
      <c r="AU11" s="1730">
        <f t="shared" si="33"/>
        <v>44659.705169999994</v>
      </c>
      <c r="AV11" s="1730">
        <f t="shared" si="33"/>
        <v>531006.89399999997</v>
      </c>
      <c r="AW11" s="1730">
        <f t="shared" si="33"/>
        <v>525100.11517</v>
      </c>
      <c r="AX11" s="1730">
        <f t="shared" ref="AX11:BE11" si="34">+AX8+AX10</f>
        <v>49285.070999999996</v>
      </c>
      <c r="AY11" s="1730">
        <f t="shared" si="34"/>
        <v>49450.409999999996</v>
      </c>
      <c r="AZ11" s="1730">
        <f t="shared" si="34"/>
        <v>143085.69</v>
      </c>
      <c r="BA11" s="1730">
        <f t="shared" si="34"/>
        <v>143977.64516999997</v>
      </c>
      <c r="BB11" s="1730">
        <f t="shared" ref="BB11:BC11" si="35">+BB8+BB10</f>
        <v>289351.06200000003</v>
      </c>
      <c r="BC11" s="1730">
        <f t="shared" si="35"/>
        <v>290933.47516999999</v>
      </c>
      <c r="BD11" s="1730">
        <f t="shared" si="34"/>
        <v>580291.96499999997</v>
      </c>
      <c r="BE11" s="1730">
        <f t="shared" si="34"/>
        <v>574550.52517000004</v>
      </c>
    </row>
    <row r="12" spans="1:57" s="334" customFormat="1" ht="15.75" x14ac:dyDescent="0.25">
      <c r="A12" s="343"/>
      <c r="B12" s="2900" t="s">
        <v>373</v>
      </c>
      <c r="C12" s="2453" t="s">
        <v>367</v>
      </c>
      <c r="D12" s="2455">
        <f t="shared" ref="D12" si="36">+D11/(D2*24)</f>
        <v>66.243375</v>
      </c>
      <c r="E12" s="2455">
        <f t="shared" ref="E12:M12" si="37">+E11/(E2*24)</f>
        <v>63.258125</v>
      </c>
      <c r="F12" s="2455">
        <f t="shared" si="37"/>
        <v>66.243375</v>
      </c>
      <c r="G12" s="2455">
        <f t="shared" si="37"/>
        <v>62.923924731182801</v>
      </c>
      <c r="H12" s="2456">
        <f t="shared" ref="H12:I12" si="38">+H11/(H2*24)</f>
        <v>66.243375</v>
      </c>
      <c r="I12" s="2456">
        <f t="shared" si="38"/>
        <v>63.088285519125684</v>
      </c>
      <c r="J12" s="2455">
        <f t="shared" si="37"/>
        <v>66.243375</v>
      </c>
      <c r="K12" s="2455">
        <f t="shared" si="37"/>
        <v>64.720069444444434</v>
      </c>
      <c r="L12" s="2457">
        <f t="shared" si="37"/>
        <v>66.243375000000015</v>
      </c>
      <c r="M12" s="2457">
        <f t="shared" si="37"/>
        <v>63.626236263736267</v>
      </c>
      <c r="N12" s="2458">
        <f t="shared" ref="N12:Q12" si="39">+N11/(N2*24)</f>
        <v>66.243375</v>
      </c>
      <c r="O12" s="2458">
        <f t="shared" si="39"/>
        <v>63.702741935483864</v>
      </c>
      <c r="P12" s="2456">
        <f t="shared" si="39"/>
        <v>66.243375</v>
      </c>
      <c r="Q12" s="2456">
        <f t="shared" si="39"/>
        <v>63.645676229508197</v>
      </c>
      <c r="R12" s="2458">
        <f t="shared" ref="R12:U12" si="40">+R11/(R2*24)</f>
        <v>66.243375</v>
      </c>
      <c r="S12" s="2458">
        <f t="shared" si="40"/>
        <v>66.479381720430112</v>
      </c>
      <c r="T12" s="2456">
        <f t="shared" si="40"/>
        <v>66.243375</v>
      </c>
      <c r="U12" s="2456">
        <f t="shared" si="40"/>
        <v>64.219825708061009</v>
      </c>
      <c r="V12" s="2458">
        <f t="shared" ref="V12:W12" si="41">+V11/(V2*24)</f>
        <v>66.243375</v>
      </c>
      <c r="W12" s="2458">
        <f t="shared" si="41"/>
        <v>66.391458333333333</v>
      </c>
      <c r="X12" s="2457">
        <f t="shared" ref="X12:AE12" si="42">+X11/(X2*24)</f>
        <v>66.243375</v>
      </c>
      <c r="Y12" s="2457">
        <f t="shared" si="42"/>
        <v>65.515104166666674</v>
      </c>
      <c r="Z12" s="2455">
        <f t="shared" si="42"/>
        <v>66.243375</v>
      </c>
      <c r="AA12" s="2455">
        <f t="shared" si="42"/>
        <v>64.575831056466313</v>
      </c>
      <c r="AB12" s="3628">
        <f t="shared" si="42"/>
        <v>66.243375</v>
      </c>
      <c r="AC12" s="3176">
        <f t="shared" si="42"/>
        <v>66.022163978494618</v>
      </c>
      <c r="AD12" s="3178">
        <f t="shared" si="42"/>
        <v>66.243375</v>
      </c>
      <c r="AE12" s="3178">
        <f t="shared" si="42"/>
        <v>64.785346573208727</v>
      </c>
      <c r="AF12" s="3353">
        <f t="shared" ref="AF12:AI12" si="43">+AF11/(AF2*24)</f>
        <v>66.243375</v>
      </c>
      <c r="AG12" s="3353">
        <f t="shared" si="43"/>
        <v>66.641833333333324</v>
      </c>
      <c r="AH12" s="3352">
        <f t="shared" si="43"/>
        <v>66.243375</v>
      </c>
      <c r="AI12" s="3352">
        <f t="shared" si="43"/>
        <v>65.013603142076505</v>
      </c>
      <c r="AJ12" s="3628">
        <f t="shared" ref="AJ12:AO12" si="44">+AJ11/(AJ2*24)</f>
        <v>66.243375</v>
      </c>
      <c r="AK12" s="3628">
        <f t="shared" si="44"/>
        <v>67.007016129032266</v>
      </c>
      <c r="AL12" s="3629">
        <f t="shared" si="44"/>
        <v>66.243375</v>
      </c>
      <c r="AM12" s="3629">
        <f t="shared" si="44"/>
        <v>66.556082427536239</v>
      </c>
      <c r="AN12" s="3631">
        <f t="shared" si="44"/>
        <v>66.243375</v>
      </c>
      <c r="AO12" s="3631">
        <f t="shared" si="44"/>
        <v>65.238315151515152</v>
      </c>
      <c r="AP12" s="3628">
        <f t="shared" ref="AP12:AS12" si="45">+AP11/(AP2*24)</f>
        <v>66.243375</v>
      </c>
      <c r="AQ12" s="3628">
        <f t="shared" si="45"/>
        <v>67.026250000000005</v>
      </c>
      <c r="AR12" s="3631">
        <f t="shared" si="45"/>
        <v>66.243375</v>
      </c>
      <c r="AS12" s="3631">
        <f t="shared" si="45"/>
        <v>65.419445806100228</v>
      </c>
      <c r="AT12" s="3628">
        <f t="shared" ref="AT12:AW12" si="46">+AT11/(AT2*24)</f>
        <v>66.243375</v>
      </c>
      <c r="AU12" s="3628">
        <f t="shared" si="46"/>
        <v>66.457894598214281</v>
      </c>
      <c r="AV12" s="3631">
        <f t="shared" si="46"/>
        <v>66.243375</v>
      </c>
      <c r="AW12" s="3631">
        <f t="shared" si="46"/>
        <v>65.506501393463068</v>
      </c>
      <c r="AX12" s="3628">
        <f t="shared" ref="AX12:BE12" si="47">+AX11/(AX2*24)</f>
        <v>66.243375</v>
      </c>
      <c r="AY12" s="3628">
        <f t="shared" si="47"/>
        <v>66.465604838709666</v>
      </c>
      <c r="AZ12" s="3629">
        <f t="shared" si="47"/>
        <v>66.243375</v>
      </c>
      <c r="BA12" s="3629">
        <f t="shared" si="47"/>
        <v>66.65631720833332</v>
      </c>
      <c r="BB12" s="3588">
        <f t="shared" ref="BB12:BC12" si="48">+BB11/(BB2*24)</f>
        <v>66.243375000000015</v>
      </c>
      <c r="BC12" s="3588">
        <f t="shared" si="48"/>
        <v>66.605649077380946</v>
      </c>
      <c r="BD12" s="3631">
        <f t="shared" si="47"/>
        <v>66.243375</v>
      </c>
      <c r="BE12" s="3631">
        <f t="shared" si="47"/>
        <v>65.587959494292235</v>
      </c>
    </row>
    <row r="13" spans="1:57" s="334" customFormat="1" ht="16.5" customHeight="1" x14ac:dyDescent="0.25">
      <c r="A13" s="343"/>
      <c r="B13" s="3066" t="s">
        <v>57</v>
      </c>
      <c r="C13" s="2453" t="s">
        <v>1405</v>
      </c>
      <c r="D13" s="2455">
        <v>3.6705733999999999</v>
      </c>
      <c r="E13" s="2455"/>
      <c r="F13" s="2455">
        <v>3.3965274999999999</v>
      </c>
      <c r="G13" s="2455"/>
      <c r="H13" s="2456"/>
      <c r="I13" s="2456"/>
      <c r="J13" s="2455">
        <v>1.0932138</v>
      </c>
      <c r="K13" s="2455"/>
      <c r="L13" s="2457"/>
      <c r="M13" s="2457"/>
      <c r="N13" s="2455">
        <v>1.0932138</v>
      </c>
      <c r="O13" s="2455"/>
      <c r="P13" s="2456"/>
      <c r="Q13" s="2456"/>
      <c r="R13" s="2455">
        <v>1.0932138</v>
      </c>
      <c r="S13" s="2455"/>
      <c r="T13" s="2456"/>
      <c r="U13" s="2456"/>
      <c r="V13" s="2455">
        <v>1.0932138</v>
      </c>
      <c r="W13" s="2455"/>
      <c r="X13" s="2457"/>
      <c r="Y13" s="2457"/>
      <c r="Z13" s="2455"/>
      <c r="AA13" s="2455"/>
      <c r="AB13" s="3630">
        <v>1.0932138</v>
      </c>
      <c r="AC13" s="3177"/>
      <c r="AD13" s="3178"/>
      <c r="AE13" s="3178"/>
      <c r="AF13" s="3351">
        <v>1.0932138</v>
      </c>
      <c r="AG13" s="3351"/>
      <c r="AH13" s="3352"/>
      <c r="AI13" s="3352"/>
      <c r="AJ13" s="3630">
        <v>1.0932138</v>
      </c>
      <c r="AK13" s="3630"/>
      <c r="AL13" s="3629"/>
      <c r="AM13" s="3629"/>
      <c r="AN13" s="3631"/>
      <c r="AO13" s="3631"/>
      <c r="AP13" s="3630">
        <v>1.0932138</v>
      </c>
      <c r="AQ13" s="3630"/>
      <c r="AR13" s="3631"/>
      <c r="AS13" s="3631"/>
      <c r="AT13" s="3630">
        <v>1.0932138</v>
      </c>
      <c r="AU13" s="3630"/>
      <c r="AV13" s="3631"/>
      <c r="AW13" s="3631"/>
      <c r="AX13" s="3630">
        <v>1.0932138</v>
      </c>
      <c r="AY13" s="3630"/>
      <c r="AZ13" s="3629"/>
      <c r="BA13" s="3629"/>
      <c r="BB13" s="3588"/>
      <c r="BC13" s="3588"/>
      <c r="BD13" s="3631"/>
      <c r="BE13" s="3631"/>
    </row>
    <row r="14" spans="1:57" x14ac:dyDescent="0.25">
      <c r="A14" s="200"/>
      <c r="B14" s="3066" t="s">
        <v>57</v>
      </c>
      <c r="C14" s="355" t="s">
        <v>365</v>
      </c>
      <c r="D14" s="238">
        <f>+D13*D2*24</f>
        <v>2642.8128479999996</v>
      </c>
      <c r="E14" s="475">
        <v>598.89674889599996</v>
      </c>
      <c r="F14" s="238">
        <f>+F13*F2*24</f>
        <v>2527.0164599999998</v>
      </c>
      <c r="G14" s="238">
        <f>247.8+325.6</f>
        <v>573.40000000000009</v>
      </c>
      <c r="H14" s="2418">
        <f>+D14+F14</f>
        <v>5169.8293079999994</v>
      </c>
      <c r="I14" s="2418">
        <f>+E14+G14</f>
        <v>1172.2967488960001</v>
      </c>
      <c r="J14" s="238">
        <f>+J13*J2*24</f>
        <v>787.11393599999997</v>
      </c>
      <c r="K14" s="238">
        <v>380.01</v>
      </c>
      <c r="L14" s="2415">
        <f>+H14+J14</f>
        <v>5956.9432439999991</v>
      </c>
      <c r="M14" s="2415">
        <f>+I14+K14</f>
        <v>1552.306748896</v>
      </c>
      <c r="N14" s="238">
        <f>+N13*N2*24</f>
        <v>813.35106719999999</v>
      </c>
      <c r="O14" s="238">
        <v>401.24</v>
      </c>
      <c r="P14" s="2418">
        <f>+L14+N14</f>
        <v>6770.2943111999994</v>
      </c>
      <c r="Q14" s="2418">
        <f>+M14+O14</f>
        <v>1953.5467488960001</v>
      </c>
      <c r="R14" s="238">
        <f>+R13*R2*24</f>
        <v>813.35106719999999</v>
      </c>
      <c r="S14" s="238">
        <v>393.18</v>
      </c>
      <c r="T14" s="2418">
        <f>+P14+R14</f>
        <v>7583.6453783999996</v>
      </c>
      <c r="U14" s="2418">
        <f>+Q14+S14</f>
        <v>2346.7267488960001</v>
      </c>
      <c r="V14" s="238">
        <f>+V13*V2*24</f>
        <v>787.11393599999997</v>
      </c>
      <c r="W14" s="238">
        <v>342.18</v>
      </c>
      <c r="X14" s="2415">
        <f t="shared" ref="X14:Y14" si="49">+V14+R14+N14</f>
        <v>2413.8160704000002</v>
      </c>
      <c r="Y14" s="2415">
        <f t="shared" si="49"/>
        <v>1136.5999999999999</v>
      </c>
      <c r="Z14" s="1134">
        <f>+L14+X14</f>
        <v>8370.7593143999984</v>
      </c>
      <c r="AA14" s="1134">
        <f>+Y14+M14</f>
        <v>2688.906748896</v>
      </c>
      <c r="AB14" s="4556">
        <f>+AB13*AB2*24</f>
        <v>813.35106719999999</v>
      </c>
      <c r="AC14" s="238">
        <v>329.1</v>
      </c>
      <c r="AD14" s="3163">
        <f>+Z14+AB14</f>
        <v>9184.1103815999977</v>
      </c>
      <c r="AE14" s="3163">
        <f>+AA14+AC14</f>
        <v>3018.0067488959999</v>
      </c>
      <c r="AF14" s="238">
        <f>+AF13*AF2*24</f>
        <v>787.11393599999997</v>
      </c>
      <c r="AG14" s="238">
        <v>224.67</v>
      </c>
      <c r="AH14" s="3347">
        <f>+AD14+AF14</f>
        <v>9971.2243175999974</v>
      </c>
      <c r="AI14" s="3347">
        <f>+AE14+AG14</f>
        <v>3242.6767488959999</v>
      </c>
      <c r="AJ14" s="3640">
        <f>+AJ13*AJ2*24</f>
        <v>813.35106719999999</v>
      </c>
      <c r="AK14" s="3640">
        <v>162.82</v>
      </c>
      <c r="AL14" s="3600">
        <f t="shared" ref="AL14" si="50">+AJ14+AF14+AB14</f>
        <v>2413.8160704000002</v>
      </c>
      <c r="AM14" s="3600">
        <f t="shared" ref="AM14" si="51">+AK14+AG14+AC14</f>
        <v>716.59</v>
      </c>
      <c r="AN14" s="3597">
        <f>+AH14+AJ14</f>
        <v>10784.575384799997</v>
      </c>
      <c r="AO14" s="3597">
        <f>+AI14+AK14</f>
        <v>3405.4967488960001</v>
      </c>
      <c r="AP14" s="3907">
        <f>+AP13*AP2*24</f>
        <v>813.35106719999999</v>
      </c>
      <c r="AQ14" s="3907">
        <v>186.73</v>
      </c>
      <c r="AR14" s="3909">
        <f>+AN14+AP14</f>
        <v>11597.926451999996</v>
      </c>
      <c r="AS14" s="3909">
        <f>+AO14+AQ14</f>
        <v>3592.2267488960001</v>
      </c>
      <c r="AT14" s="4060">
        <f>+AT13*AT2*24</f>
        <v>734.63967360000004</v>
      </c>
      <c r="AU14" s="4060">
        <v>903.92344481521638</v>
      </c>
      <c r="AV14" s="4062">
        <f>+AR14+AT14</f>
        <v>12332.566125599997</v>
      </c>
      <c r="AW14" s="4062">
        <f>+AS14+AU14</f>
        <v>4496.1501937112162</v>
      </c>
      <c r="AX14" s="4378">
        <f>+AX13*AX2*24</f>
        <v>813.35106719999999</v>
      </c>
      <c r="AY14" s="4378">
        <v>1150.28</v>
      </c>
      <c r="AZ14" s="4380">
        <f t="shared" ref="AZ14" si="52">+AX14+AT14+AP14</f>
        <v>2361.3418080000001</v>
      </c>
      <c r="BA14" s="4380">
        <f t="shared" ref="BA14" si="53">+AY14+AU14+AQ14</f>
        <v>2240.9334448152163</v>
      </c>
      <c r="BB14" s="4382">
        <f>+AL14+AZ14</f>
        <v>4775.1578784000003</v>
      </c>
      <c r="BC14" s="4382">
        <f>+AM14+BA14</f>
        <v>2957.5234448152164</v>
      </c>
      <c r="BD14" s="4381">
        <f>+AV14+AX14</f>
        <v>13145.917192799996</v>
      </c>
      <c r="BE14" s="4381">
        <f>+AW14+AY14</f>
        <v>5646.4301937112159</v>
      </c>
    </row>
    <row r="15" spans="1:57" s="1556" customFormat="1" ht="15" customHeight="1" x14ac:dyDescent="0.25">
      <c r="A15" s="200"/>
      <c r="B15" s="3066" t="s">
        <v>551</v>
      </c>
      <c r="C15" s="355" t="s">
        <v>1404</v>
      </c>
      <c r="D15" s="230">
        <v>1.5731029000000001</v>
      </c>
      <c r="E15" s="475"/>
      <c r="F15" s="230">
        <v>1.4556546000000001</v>
      </c>
      <c r="G15" s="238"/>
      <c r="H15" s="2418"/>
      <c r="I15" s="2418"/>
      <c r="J15" s="230">
        <v>0.46852019999999994</v>
      </c>
      <c r="K15" s="238"/>
      <c r="L15" s="2415"/>
      <c r="M15" s="2415"/>
      <c r="N15" s="230">
        <v>0.46852019999999994</v>
      </c>
      <c r="O15" s="238"/>
      <c r="P15" s="2418"/>
      <c r="Q15" s="2418"/>
      <c r="R15" s="230">
        <v>0.46852019999999994</v>
      </c>
      <c r="S15" s="238"/>
      <c r="T15" s="2418"/>
      <c r="U15" s="2418"/>
      <c r="V15" s="230">
        <v>0.46852019999999994</v>
      </c>
      <c r="W15" s="238"/>
      <c r="X15" s="2415"/>
      <c r="Y15" s="2415"/>
      <c r="Z15" s="1134"/>
      <c r="AA15" s="1134"/>
      <c r="AB15" s="449">
        <v>0.46852019999999994</v>
      </c>
      <c r="AC15" s="238"/>
      <c r="AD15" s="3163"/>
      <c r="AE15" s="3163"/>
      <c r="AF15" s="230">
        <v>0.46852019999999994</v>
      </c>
      <c r="AG15" s="238"/>
      <c r="AH15" s="3347"/>
      <c r="AI15" s="3347"/>
      <c r="AJ15" s="230">
        <v>0.46852019999999994</v>
      </c>
      <c r="AK15" s="3640"/>
      <c r="AL15" s="3600"/>
      <c r="AM15" s="3600"/>
      <c r="AN15" s="3597"/>
      <c r="AO15" s="3597"/>
      <c r="AP15" s="230">
        <v>0.46852019999999994</v>
      </c>
      <c r="AQ15" s="3907"/>
      <c r="AR15" s="3909"/>
      <c r="AS15" s="3909"/>
      <c r="AT15" s="230">
        <v>0.46852019999999994</v>
      </c>
      <c r="AU15" s="4060"/>
      <c r="AV15" s="4062"/>
      <c r="AW15" s="4062"/>
      <c r="AX15" s="230">
        <f>0.15+0.3185202</f>
        <v>0.46852019999999994</v>
      </c>
      <c r="AY15" s="4378"/>
      <c r="AZ15" s="4380"/>
      <c r="BA15" s="4380"/>
      <c r="BB15" s="4382"/>
      <c r="BC15" s="4382"/>
      <c r="BD15" s="4381"/>
      <c r="BE15" s="4381"/>
    </row>
    <row r="16" spans="1:57" x14ac:dyDescent="0.25">
      <c r="A16" s="200"/>
      <c r="B16" s="3066" t="s">
        <v>1415</v>
      </c>
      <c r="C16" s="355" t="s">
        <v>365</v>
      </c>
      <c r="D16" s="238">
        <f>+D15*D2*24</f>
        <v>1132.6340880000002</v>
      </c>
      <c r="E16" s="475">
        <v>5894.7555551040005</v>
      </c>
      <c r="F16" s="238">
        <f>+F15*F2*24</f>
        <v>1083.0070224000001</v>
      </c>
      <c r="G16" s="238">
        <f>2800.82+2243.96</f>
        <v>5044.7800000000007</v>
      </c>
      <c r="H16" s="2418">
        <f>+D16+F16</f>
        <v>2215.6411104000003</v>
      </c>
      <c r="I16" s="2418">
        <f>+E16+G16</f>
        <v>10939.535555104001</v>
      </c>
      <c r="J16" s="238">
        <f>+J15*J2*24</f>
        <v>337.33454399999994</v>
      </c>
      <c r="K16" s="238">
        <v>3378.44</v>
      </c>
      <c r="L16" s="2415">
        <f>+H16+J16</f>
        <v>2552.9756544000002</v>
      </c>
      <c r="M16" s="2415">
        <f>+I16+K16</f>
        <v>14317.975555104002</v>
      </c>
      <c r="N16" s="238">
        <f>+N15*N2*24</f>
        <v>348.57902879999995</v>
      </c>
      <c r="O16" s="238">
        <v>1426.13</v>
      </c>
      <c r="P16" s="2418">
        <f>+L16+N16</f>
        <v>2901.5546832</v>
      </c>
      <c r="Q16" s="2418">
        <f>+M16+O16</f>
        <v>15744.105555104001</v>
      </c>
      <c r="R16" s="238">
        <f>+R15*R2*24</f>
        <v>348.57902879999995</v>
      </c>
      <c r="S16" s="238">
        <v>1355.19</v>
      </c>
      <c r="T16" s="2418">
        <f>+P16+R16</f>
        <v>3250.1337119999998</v>
      </c>
      <c r="U16" s="2418">
        <f>+Q16+S16</f>
        <v>17099.295555104</v>
      </c>
      <c r="V16" s="238">
        <f>+V15*V2*24</f>
        <v>337.33454399999994</v>
      </c>
      <c r="W16" s="238">
        <v>1245.6600000000001</v>
      </c>
      <c r="X16" s="2415">
        <f t="shared" ref="X16" si="54">+V16+R16+N16</f>
        <v>1034.4926015999999</v>
      </c>
      <c r="Y16" s="2415">
        <f t="shared" ref="Y16" si="55">+W16+S16+O16</f>
        <v>4026.9800000000005</v>
      </c>
      <c r="Z16" s="1134">
        <f>+L16+X16</f>
        <v>3587.4682560000001</v>
      </c>
      <c r="AA16" s="1134">
        <f>+Y16+M16</f>
        <v>18344.955555104003</v>
      </c>
      <c r="AB16" s="4556">
        <f>+AB15*AB2*24</f>
        <v>348.57902879999995</v>
      </c>
      <c r="AC16" s="238">
        <v>1030.3499999999999</v>
      </c>
      <c r="AD16" s="3163">
        <f>+Z16+AB16</f>
        <v>3936.0472847999999</v>
      </c>
      <c r="AE16" s="3163">
        <f>+AA16+AC16</f>
        <v>19375.305555104002</v>
      </c>
      <c r="AF16" s="238">
        <f>+AF15*AF2*24</f>
        <v>337.33454399999994</v>
      </c>
      <c r="AG16" s="238">
        <v>801.58</v>
      </c>
      <c r="AH16" s="3347">
        <f>+AD16+AF16</f>
        <v>4273.3818288000002</v>
      </c>
      <c r="AI16" s="3347">
        <f>+AE16+AG16</f>
        <v>20176.885555104003</v>
      </c>
      <c r="AJ16" s="3640">
        <f>+AJ15*AJ2*24</f>
        <v>348.57902879999995</v>
      </c>
      <c r="AK16" s="3640">
        <v>645.97</v>
      </c>
      <c r="AL16" s="3600">
        <f t="shared" ref="AL16" si="56">+AJ16+AF16+AB16</f>
        <v>1034.4926015999999</v>
      </c>
      <c r="AM16" s="3600">
        <f t="shared" ref="AM16" si="57">+AK16+AG16+AC16</f>
        <v>2477.9</v>
      </c>
      <c r="AN16" s="3597">
        <f>+AH16+AJ16</f>
        <v>4621.9608576000001</v>
      </c>
      <c r="AO16" s="3597">
        <f>+AI16+AK16</f>
        <v>20822.855555104004</v>
      </c>
      <c r="AP16" s="3907">
        <f>+AP15*AP2*24</f>
        <v>348.57902879999995</v>
      </c>
      <c r="AQ16" s="3907">
        <v>846.67</v>
      </c>
      <c r="AR16" s="3909">
        <f>+AN16+AP16</f>
        <v>4970.5398863999999</v>
      </c>
      <c r="AS16" s="3909">
        <f>+AO16+AQ16</f>
        <v>21669.525555104003</v>
      </c>
      <c r="AT16" s="4060">
        <f>+AT15*AT2*24</f>
        <v>314.84557439999998</v>
      </c>
      <c r="AU16" s="4060">
        <v>2362.8827745688386</v>
      </c>
      <c r="AV16" s="4062">
        <f>+AR16+AT16</f>
        <v>5285.3854608000001</v>
      </c>
      <c r="AW16" s="4062">
        <f>+AS16+AU16</f>
        <v>24032.408329672842</v>
      </c>
      <c r="AX16" s="4378">
        <f>+AX15*AX2*24</f>
        <v>348.57902879999995</v>
      </c>
      <c r="AY16" s="4378">
        <v>2900.32</v>
      </c>
      <c r="AZ16" s="4380">
        <f t="shared" ref="AZ16" si="58">+AX16+AT16+AP16</f>
        <v>1012.0036319999998</v>
      </c>
      <c r="BA16" s="4380">
        <f t="shared" ref="BA16" si="59">+AY16+AU16+AQ16</f>
        <v>6109.8727745688393</v>
      </c>
      <c r="BB16" s="4382">
        <f>+AL16+AZ16</f>
        <v>2046.4962335999999</v>
      </c>
      <c r="BC16" s="4382">
        <f>+AM16+BA16</f>
        <v>8587.7727745688389</v>
      </c>
      <c r="BD16" s="4381">
        <f>+AV16+AX16</f>
        <v>5633.9644896</v>
      </c>
      <c r="BE16" s="4381">
        <f>+AW16+AY16</f>
        <v>26932.728329672842</v>
      </c>
    </row>
    <row r="17" spans="1:58" x14ac:dyDescent="0.25">
      <c r="A17" s="200"/>
      <c r="B17" s="3067" t="s">
        <v>76</v>
      </c>
      <c r="C17" s="355" t="s">
        <v>52</v>
      </c>
      <c r="D17" s="3054">
        <f>+(+D16)*100/D11</f>
        <v>2.3747324166378907</v>
      </c>
      <c r="E17" s="369">
        <f>+(E16)/E11*100</f>
        <v>12.942464692401176</v>
      </c>
      <c r="F17" s="3054">
        <f>+(+F16)*100/F11</f>
        <v>2.197434233989437</v>
      </c>
      <c r="G17" s="365">
        <f>+G16/G11*100</f>
        <v>10.775898529116489</v>
      </c>
      <c r="H17" s="949">
        <f t="shared" ref="H17:I17" si="60">+H16/H11*100</f>
        <v>2.2846300615214634</v>
      </c>
      <c r="I17" s="949">
        <f t="shared" si="60"/>
        <v>11.844291361478977</v>
      </c>
      <c r="J17" s="3054">
        <f>+(+J16)*100/J11</f>
        <v>0.70727102898969141</v>
      </c>
      <c r="K17" s="365">
        <f>+K16/K11*100</f>
        <v>7.250112396442371</v>
      </c>
      <c r="L17" s="951">
        <f t="shared" ref="L17:M17" si="61">+L16/L11*100</f>
        <v>1.7646215892582413</v>
      </c>
      <c r="M17" s="951">
        <f t="shared" si="61"/>
        <v>10.303689166790084</v>
      </c>
      <c r="N17" s="3054">
        <f>+(+N16)*100/N11</f>
        <v>0.70727102898969141</v>
      </c>
      <c r="O17" s="365">
        <f>+O16/O11*100</f>
        <v>3.009040646618915</v>
      </c>
      <c r="P17" s="949">
        <f t="shared" ref="P17:Q17" si="62">+P16/P11*100</f>
        <v>1.495950545255577</v>
      </c>
      <c r="Q17" s="949">
        <f t="shared" si="62"/>
        <v>8.4484690070357296</v>
      </c>
      <c r="R17" s="3055">
        <f>+(+R16)*100/R11</f>
        <v>0.70727102898969141</v>
      </c>
      <c r="S17" s="365">
        <f>+S16/S11*100</f>
        <v>2.739935132284931</v>
      </c>
      <c r="T17" s="949">
        <f t="shared" ref="T17:U17" si="63">+T16/T11*100</f>
        <v>1.3361527347703324</v>
      </c>
      <c r="U17" s="949">
        <f t="shared" si="63"/>
        <v>7.251142231333688</v>
      </c>
      <c r="V17" s="3055">
        <f>+(+V16)*100/V11</f>
        <v>0.70727102898969141</v>
      </c>
      <c r="W17" s="365">
        <f>+W16/W11*100</f>
        <v>2.605882408316833</v>
      </c>
      <c r="X17" s="951">
        <f>+X16/X11*100</f>
        <v>0.70727102898969141</v>
      </c>
      <c r="Y17" s="951">
        <f>+Y16/Y11*100</f>
        <v>2.7838060077832205</v>
      </c>
      <c r="Z17" s="1188">
        <f>+Z16/Z11*100</f>
        <v>1.2330573731669485</v>
      </c>
      <c r="AA17" s="1188">
        <f>+AA16/AA11*100</f>
        <v>6.468213231575465</v>
      </c>
      <c r="AB17" s="3055">
        <f>+(+AB16)*100/AB11</f>
        <v>0.70727102898969141</v>
      </c>
      <c r="AC17" s="3171">
        <f>+AC16/AC11*100</f>
        <v>2.0975971534485915</v>
      </c>
      <c r="AD17" s="3172">
        <f t="shared" ref="AD17:AE17" si="64">+AD16/AD11*100</f>
        <v>1.1568920616272524</v>
      </c>
      <c r="AE17" s="3172">
        <f t="shared" si="64"/>
        <v>5.8229995795196414</v>
      </c>
      <c r="AF17" s="3055">
        <f>+(+AF16)*100/AF11</f>
        <v>0.70727102898969141</v>
      </c>
      <c r="AG17" s="3349">
        <f>+AG16/AG11*100</f>
        <v>1.6705806246160031</v>
      </c>
      <c r="AH17" s="3350">
        <f t="shared" ref="AH17:AI17" si="65">+AH16/AH11*100</f>
        <v>1.1016107871226344</v>
      </c>
      <c r="AI17" s="3350">
        <f t="shared" si="65"/>
        <v>5.2996699868622494</v>
      </c>
      <c r="AJ17" s="3055">
        <f>+(+AJ16)*100/AJ11</f>
        <v>0.70727102898969141</v>
      </c>
      <c r="AK17" s="3618">
        <f>+AK16/AK11*100</f>
        <v>1.2957437854565863</v>
      </c>
      <c r="AL17" s="3619">
        <f>+AL16/AL11*100</f>
        <v>0.70727102898969141</v>
      </c>
      <c r="AM17" s="3619">
        <f>+AM16/AM11*100</f>
        <v>1.6861529073055488</v>
      </c>
      <c r="AN17" s="3617">
        <f t="shared" ref="AN17:AO17" si="66">+AN16/AN11*100</f>
        <v>1.0571579416603754</v>
      </c>
      <c r="AO17" s="3617">
        <f t="shared" si="66"/>
        <v>4.8360815374865238</v>
      </c>
      <c r="AP17" s="3055">
        <f>+(+AP16)*100/AP11</f>
        <v>0.70727102898969141</v>
      </c>
      <c r="AQ17" s="3911">
        <f>+AQ16/AQ11*100</f>
        <v>1.6978382526666149</v>
      </c>
      <c r="AR17" s="3910">
        <f t="shared" ref="AR17:AS17" si="67">+AR16/AR11*100</f>
        <v>1.0217118818800119</v>
      </c>
      <c r="AS17" s="3910">
        <f t="shared" si="67"/>
        <v>4.5103461540847496</v>
      </c>
      <c r="AT17" s="3055">
        <f>+(+AT16)*100/AT11</f>
        <v>0.7072710289896913</v>
      </c>
      <c r="AU17" s="4085">
        <f>+AU16/AU11*100</f>
        <v>5.2908606663979887</v>
      </c>
      <c r="AV17" s="4084">
        <f t="shared" ref="AV17:AW17" si="68">+AV16/AV11*100</f>
        <v>0.99535157085926651</v>
      </c>
      <c r="AW17" s="4084">
        <f t="shared" si="68"/>
        <v>4.5767288247294333</v>
      </c>
      <c r="AX17" s="3055">
        <f>+(+AX16)*100/AX11</f>
        <v>0.70727102898969141</v>
      </c>
      <c r="AY17" s="4413">
        <f>+AY16/AY11*100</f>
        <v>5.8651080951603847</v>
      </c>
      <c r="AZ17" s="4416">
        <f>+AZ16/AZ11*100</f>
        <v>0.7072710289896913</v>
      </c>
      <c r="BA17" s="4416">
        <f>+BA16/BA11*100</f>
        <v>4.2436259930176492</v>
      </c>
      <c r="BB17" s="4415">
        <f t="shared" ref="BB17:BC17" si="69">+BB16/BB11*100</f>
        <v>0.7072710289896913</v>
      </c>
      <c r="BC17" s="4415">
        <f t="shared" si="69"/>
        <v>2.9517994687791704</v>
      </c>
      <c r="BD17" s="4414">
        <f t="shared" ref="BD17:BE17" si="70">+BD16/BD11*100</f>
        <v>0.9708844563443163</v>
      </c>
      <c r="BE17" s="4414">
        <f t="shared" si="70"/>
        <v>4.687617041461043</v>
      </c>
    </row>
    <row r="18" spans="1:58" ht="18.75" x14ac:dyDescent="0.25">
      <c r="A18" s="200"/>
      <c r="B18" s="1582" t="s">
        <v>58</v>
      </c>
      <c r="C18" s="3068" t="s">
        <v>365</v>
      </c>
      <c r="D18" s="1730">
        <f>+D11-D14-D16</f>
        <v>43919.783063999996</v>
      </c>
      <c r="E18" s="1730">
        <f t="shared" ref="E18:M18" si="71">+E11-E14-E16</f>
        <v>39052.197696000003</v>
      </c>
      <c r="F18" s="1730">
        <f t="shared" si="71"/>
        <v>45675.047517599996</v>
      </c>
      <c r="G18" s="1730">
        <f t="shared" si="71"/>
        <v>41197.22</v>
      </c>
      <c r="H18" s="1831">
        <f t="shared" ref="H18:I18" si="72">+H11-H14-H16</f>
        <v>89594.830581600007</v>
      </c>
      <c r="I18" s="1831">
        <f t="shared" si="72"/>
        <v>80249.417696000004</v>
      </c>
      <c r="J18" s="1730">
        <f t="shared" si="71"/>
        <v>46570.781519999997</v>
      </c>
      <c r="K18" s="1730">
        <f t="shared" si="71"/>
        <v>42839.999999999993</v>
      </c>
      <c r="L18" s="1832">
        <f t="shared" si="71"/>
        <v>136165.61210160001</v>
      </c>
      <c r="M18" s="1832">
        <f t="shared" si="71"/>
        <v>123089.41769600002</v>
      </c>
      <c r="N18" s="1730">
        <f t="shared" ref="N18:Q18" si="73">+N11-N14-N16</f>
        <v>48123.140904</v>
      </c>
      <c r="O18" s="1730">
        <f t="shared" si="73"/>
        <v>45567.47</v>
      </c>
      <c r="P18" s="1831">
        <f t="shared" si="73"/>
        <v>184288.75300560001</v>
      </c>
      <c r="Q18" s="1831">
        <f t="shared" si="73"/>
        <v>168656.88769599999</v>
      </c>
      <c r="R18" s="1730">
        <f t="shared" ref="R18:AA18" si="74">+R11-R14-R16</f>
        <v>48123.140904</v>
      </c>
      <c r="S18" s="1730">
        <f t="shared" si="74"/>
        <v>47712.29</v>
      </c>
      <c r="T18" s="1730">
        <f t="shared" si="74"/>
        <v>232411.89390960001</v>
      </c>
      <c r="U18" s="1730">
        <f t="shared" si="74"/>
        <v>216369.177696</v>
      </c>
      <c r="V18" s="1730">
        <f t="shared" si="74"/>
        <v>46570.781519999997</v>
      </c>
      <c r="W18" s="1730">
        <f>+W11-W14-W16</f>
        <v>46214.009999999995</v>
      </c>
      <c r="X18" s="1730">
        <f t="shared" si="74"/>
        <v>142817.06332799999</v>
      </c>
      <c r="Y18" s="1730">
        <f t="shared" si="74"/>
        <v>139493.76999999999</v>
      </c>
      <c r="Z18" s="1730">
        <f t="shared" si="74"/>
        <v>278982.6754296</v>
      </c>
      <c r="AA18" s="1730">
        <f t="shared" si="74"/>
        <v>262583.18769600004</v>
      </c>
      <c r="AB18" s="1730">
        <f t="shared" ref="AB18:AE18" si="75">+AB11-AB14-AB16</f>
        <v>48123.140904</v>
      </c>
      <c r="AC18" s="1730">
        <f t="shared" si="75"/>
        <v>47761.04</v>
      </c>
      <c r="AD18" s="1730">
        <f t="shared" si="75"/>
        <v>327105.81633360003</v>
      </c>
      <c r="AE18" s="1730">
        <f t="shared" si="75"/>
        <v>310344.22769600007</v>
      </c>
      <c r="AF18" s="1730">
        <f t="shared" ref="AF18:AI18" si="76">+AF11-AF14-AF16</f>
        <v>46570.781519999997</v>
      </c>
      <c r="AG18" s="1730">
        <f t="shared" si="76"/>
        <v>46955.869999999995</v>
      </c>
      <c r="AH18" s="1730">
        <f t="shared" si="76"/>
        <v>373676.59785359999</v>
      </c>
      <c r="AI18" s="1730">
        <f t="shared" si="76"/>
        <v>357300.09769600001</v>
      </c>
      <c r="AJ18" s="1730">
        <f t="shared" ref="AJ18:AO18" si="77">+AJ11-AJ14-AJ16</f>
        <v>48123.140904</v>
      </c>
      <c r="AK18" s="1730">
        <f t="shared" si="77"/>
        <v>49044.43</v>
      </c>
      <c r="AL18" s="1730">
        <f t="shared" si="77"/>
        <v>142817.06332799999</v>
      </c>
      <c r="AM18" s="1730">
        <f t="shared" si="77"/>
        <v>143761.34000000003</v>
      </c>
      <c r="AN18" s="1730">
        <f t="shared" si="77"/>
        <v>421799.73875760008</v>
      </c>
      <c r="AO18" s="1730">
        <f t="shared" si="77"/>
        <v>406344.52769599995</v>
      </c>
      <c r="AP18" s="1730">
        <f t="shared" ref="AP18:AS18" si="78">+AP11-AP14-AP16</f>
        <v>48123.140904</v>
      </c>
      <c r="AQ18" s="1730">
        <f t="shared" si="78"/>
        <v>48834.13</v>
      </c>
      <c r="AR18" s="1730">
        <f t="shared" si="78"/>
        <v>469922.87966160005</v>
      </c>
      <c r="AS18" s="1730">
        <f t="shared" si="78"/>
        <v>455178.65769600001</v>
      </c>
      <c r="AT18" s="1730">
        <f t="shared" ref="AT18:AW18" si="79">+AT11-AT14-AT16</f>
        <v>43466.062751999998</v>
      </c>
      <c r="AU18" s="1730">
        <f t="shared" si="79"/>
        <v>41392.898950615941</v>
      </c>
      <c r="AV18" s="1730">
        <f t="shared" si="79"/>
        <v>513388.94241359993</v>
      </c>
      <c r="AW18" s="1730">
        <f t="shared" si="79"/>
        <v>496571.55664661597</v>
      </c>
      <c r="AX18" s="1730">
        <f t="shared" ref="AX18:BE18" si="80">+AX11-AX14-AX16</f>
        <v>48123.140904</v>
      </c>
      <c r="AY18" s="1730">
        <f t="shared" si="80"/>
        <v>45399.81</v>
      </c>
      <c r="AZ18" s="1730">
        <f t="shared" si="80"/>
        <v>139712.34456</v>
      </c>
      <c r="BA18" s="1730">
        <f t="shared" si="80"/>
        <v>135626.8389506159</v>
      </c>
      <c r="BB18" s="1730">
        <f t="shared" ref="BB18:BC18" si="81">+BB11-BB14-BB16</f>
        <v>282529.40788800002</v>
      </c>
      <c r="BC18" s="1730">
        <f t="shared" si="81"/>
        <v>279388.17895061598</v>
      </c>
      <c r="BD18" s="1730">
        <f t="shared" si="80"/>
        <v>561512.08331759996</v>
      </c>
      <c r="BE18" s="1730">
        <f t="shared" si="80"/>
        <v>541971.36664661602</v>
      </c>
    </row>
    <row r="19" spans="1:58" ht="15.75" x14ac:dyDescent="0.25">
      <c r="A19" s="200"/>
      <c r="B19" s="2452" t="s">
        <v>374</v>
      </c>
      <c r="C19" s="2452"/>
      <c r="D19" s="2697"/>
      <c r="E19" s="2697"/>
      <c r="F19" s="2697"/>
      <c r="G19" s="2452"/>
      <c r="H19" s="2452"/>
      <c r="I19" s="2452"/>
      <c r="J19" s="2697"/>
      <c r="K19" s="2452"/>
      <c r="L19" s="2452"/>
      <c r="M19" s="2452"/>
      <c r="N19" s="2697"/>
      <c r="O19" s="2452"/>
      <c r="P19" s="2452"/>
      <c r="Q19" s="2452"/>
      <c r="R19" s="2697"/>
      <c r="S19" s="2452"/>
      <c r="T19" s="2452"/>
      <c r="U19" s="2452"/>
      <c r="V19" s="2697"/>
      <c r="W19" s="2716"/>
      <c r="X19" s="2452"/>
      <c r="Y19" s="2452"/>
      <c r="Z19" s="2452"/>
      <c r="AA19" s="2452"/>
      <c r="AB19" s="2697"/>
      <c r="AC19" s="2452"/>
      <c r="AD19" s="2452"/>
      <c r="AE19" s="2452"/>
      <c r="AF19" s="2697"/>
      <c r="AG19" s="2452"/>
      <c r="AH19" s="2452"/>
      <c r="AI19" s="2452"/>
      <c r="AJ19" s="2697"/>
      <c r="AK19" s="2452"/>
      <c r="AL19" s="2452"/>
      <c r="AM19" s="2452"/>
      <c r="AN19" s="2452"/>
      <c r="AO19" s="2452"/>
      <c r="AP19" s="2697"/>
      <c r="AQ19" s="2452"/>
      <c r="AR19" s="2452"/>
      <c r="AS19" s="2452"/>
      <c r="AT19" s="2697"/>
      <c r="AU19" s="2452"/>
      <c r="AV19" s="2452"/>
      <c r="AW19" s="2452"/>
      <c r="AX19" s="2697"/>
      <c r="AY19" s="2452"/>
      <c r="AZ19" s="2452"/>
      <c r="BA19" s="2452"/>
      <c r="BB19" s="2452"/>
      <c r="BC19" s="2452"/>
      <c r="BD19" s="2452"/>
      <c r="BE19" s="2452"/>
    </row>
    <row r="20" spans="1:58" x14ac:dyDescent="0.25">
      <c r="A20" s="270"/>
      <c r="B20" s="3069" t="s">
        <v>112</v>
      </c>
      <c r="C20" s="355" t="s">
        <v>365</v>
      </c>
      <c r="D20" s="475">
        <v>9311.5915199999999</v>
      </c>
      <c r="E20" s="475">
        <v>9403.9</v>
      </c>
      <c r="F20" s="475">
        <v>9621.9779039999994</v>
      </c>
      <c r="G20" s="238">
        <v>9773.6</v>
      </c>
      <c r="H20" s="2418">
        <f t="shared" ref="H20:I31" si="82">+D20+F20</f>
        <v>18933.569424000001</v>
      </c>
      <c r="I20" s="2418">
        <f t="shared" si="82"/>
        <v>19177.5</v>
      </c>
      <c r="J20" s="475">
        <v>9311.5915199999999</v>
      </c>
      <c r="K20" s="238">
        <v>9457.16</v>
      </c>
      <c r="L20" s="2415">
        <f t="shared" ref="L20:M31" si="83">+H20+J20</f>
        <v>28245.160944000003</v>
      </c>
      <c r="M20" s="2415">
        <f t="shared" si="83"/>
        <v>28634.66</v>
      </c>
      <c r="N20" s="475">
        <v>9621.9779040000012</v>
      </c>
      <c r="O20" s="238">
        <v>9638.5</v>
      </c>
      <c r="P20" s="2418">
        <f t="shared" ref="P20:Q31" si="84">+L20+N20</f>
        <v>37867.138848000002</v>
      </c>
      <c r="Q20" s="2418">
        <f t="shared" si="84"/>
        <v>38273.160000000003</v>
      </c>
      <c r="R20" s="475">
        <v>9621.9779040000012</v>
      </c>
      <c r="S20" s="238">
        <v>9772.16</v>
      </c>
      <c r="T20" s="2418">
        <f t="shared" ref="T20:T31" si="85">+P20+R20</f>
        <v>47489.116752000002</v>
      </c>
      <c r="U20" s="2418">
        <f t="shared" ref="U20:U31" si="86">+Q20+S20</f>
        <v>48045.320000000007</v>
      </c>
      <c r="V20" s="475">
        <v>9311.5915199999999</v>
      </c>
      <c r="W20" s="238">
        <v>9444.11</v>
      </c>
      <c r="X20" s="2415">
        <f t="shared" ref="X20:Y20" si="87">+V20+R20+N20</f>
        <v>28555.547328000001</v>
      </c>
      <c r="Y20" s="2415">
        <f t="shared" si="87"/>
        <v>28854.77</v>
      </c>
      <c r="Z20" s="1134">
        <f t="shared" ref="Z20:Z31" si="88">+L20+X20</f>
        <v>56800.708272000003</v>
      </c>
      <c r="AA20" s="1134">
        <f t="shared" ref="AA20:AA31" si="89">+Y20+M20</f>
        <v>57489.43</v>
      </c>
      <c r="AB20" s="4556">
        <v>9621.9779039999994</v>
      </c>
      <c r="AC20" s="238">
        <v>9677.7999999999993</v>
      </c>
      <c r="AD20" s="3163">
        <f t="shared" ref="AD20:AD21" si="90">+Z20+AB20</f>
        <v>66422.686176000003</v>
      </c>
      <c r="AE20" s="3163">
        <f t="shared" ref="AE20:AE23" si="91">+AA20+AC20</f>
        <v>67167.23</v>
      </c>
      <c r="AF20" s="3346">
        <v>9311.5915199999999</v>
      </c>
      <c r="AG20" s="238">
        <v>9429.4699999999993</v>
      </c>
      <c r="AH20" s="3347">
        <f t="shared" ref="AH20:AH21" si="92">+AD20+AF20</f>
        <v>75734.277696000005</v>
      </c>
      <c r="AI20" s="3347">
        <f t="shared" ref="AI20:AI23" si="93">+AE20+AG20</f>
        <v>76596.7</v>
      </c>
      <c r="AJ20" s="3601">
        <v>9621.9779039999994</v>
      </c>
      <c r="AK20" s="3640">
        <v>9795.4</v>
      </c>
      <c r="AL20" s="3600">
        <f t="shared" ref="AL20:AL22" si="94">+AJ20+AF20+AB20</f>
        <v>28555.547328000001</v>
      </c>
      <c r="AM20" s="3600">
        <f t="shared" ref="AM20:AM31" si="95">+AK20+AG20+AC20</f>
        <v>28902.67</v>
      </c>
      <c r="AN20" s="3597">
        <f t="shared" ref="AN20:AN21" si="96">+AH20+AJ20</f>
        <v>85356.255600000004</v>
      </c>
      <c r="AO20" s="3597">
        <f t="shared" ref="AO20:AO23" si="97">+AI20+AK20</f>
        <v>86392.099999999991</v>
      </c>
      <c r="AP20" s="3908">
        <v>9621.9779039999994</v>
      </c>
      <c r="AQ20" s="3907">
        <v>9807.2800000000007</v>
      </c>
      <c r="AR20" s="3909">
        <f t="shared" ref="AR20:AR21" si="98">+AN20+AP20</f>
        <v>94978.233504000003</v>
      </c>
      <c r="AS20" s="3909">
        <f t="shared" ref="AS20:AS23" si="99">+AO20+AQ20</f>
        <v>96199.37999999999</v>
      </c>
      <c r="AT20" s="4061">
        <v>8690.818752000001</v>
      </c>
      <c r="AU20" s="4060">
        <v>8793.6999999999989</v>
      </c>
      <c r="AV20" s="4062">
        <f t="shared" ref="AV20:AV21" si="100">+AR20+AT20</f>
        <v>103669.05225600001</v>
      </c>
      <c r="AW20" s="4062">
        <f t="shared" ref="AW20:AW23" si="101">+AS20+AU20</f>
        <v>104993.07999999999</v>
      </c>
      <c r="AX20" s="4379">
        <v>9621.9779039999994</v>
      </c>
      <c r="AY20" s="4378">
        <v>9651.3799999999992</v>
      </c>
      <c r="AZ20" s="4380">
        <f t="shared" ref="AZ20:AZ22" si="102">+AX20+AT20+AP20</f>
        <v>27934.774559999998</v>
      </c>
      <c r="BA20" s="4380">
        <f t="shared" ref="BA20:BA31" si="103">+AY20+AU20+AQ20</f>
        <v>28252.36</v>
      </c>
      <c r="BB20" s="4382">
        <f t="shared" ref="BB20:BB31" si="104">+AL20+AZ20</f>
        <v>56490.321887999999</v>
      </c>
      <c r="BC20" s="4382">
        <f t="shared" ref="BC20:BC31" si="105">+AM20+BA20</f>
        <v>57155.03</v>
      </c>
      <c r="BD20" s="4381">
        <f t="shared" ref="BD20:BD21" si="106">+AV20+AX20</f>
        <v>113291.03016000001</v>
      </c>
      <c r="BE20" s="4381">
        <f t="shared" ref="BE20:BE23" si="107">+AW20+AY20</f>
        <v>114644.45999999999</v>
      </c>
    </row>
    <row r="21" spans="1:58" x14ac:dyDescent="0.25">
      <c r="A21" s="270"/>
      <c r="B21" s="3069" t="s">
        <v>113</v>
      </c>
      <c r="C21" s="355" t="s">
        <v>365</v>
      </c>
      <c r="D21" s="475">
        <v>7509.90672</v>
      </c>
      <c r="E21" s="475">
        <v>10333.44</v>
      </c>
      <c r="F21" s="475">
        <v>7914.142272</v>
      </c>
      <c r="G21" s="238">
        <v>9466.6</v>
      </c>
      <c r="H21" s="2418">
        <f t="shared" si="82"/>
        <v>15424.048992</v>
      </c>
      <c r="I21" s="2418">
        <f t="shared" si="82"/>
        <v>19800.04</v>
      </c>
      <c r="J21" s="475">
        <v>7513.7618880000009</v>
      </c>
      <c r="K21" s="238">
        <v>7266.24</v>
      </c>
      <c r="L21" s="2415">
        <f t="shared" si="83"/>
        <v>22937.810880000001</v>
      </c>
      <c r="M21" s="2415">
        <f t="shared" si="83"/>
        <v>27066.28</v>
      </c>
      <c r="N21" s="475">
        <v>7914.142272</v>
      </c>
      <c r="O21" s="238">
        <v>7153.8</v>
      </c>
      <c r="P21" s="2418">
        <f t="shared" si="84"/>
        <v>30851.953152000002</v>
      </c>
      <c r="Q21" s="2418">
        <f t="shared" si="84"/>
        <v>34220.080000000002</v>
      </c>
      <c r="R21" s="475">
        <v>7914.142272</v>
      </c>
      <c r="S21" s="238">
        <v>7802.4</v>
      </c>
      <c r="T21" s="2418">
        <f t="shared" si="85"/>
        <v>38766.095423999999</v>
      </c>
      <c r="U21" s="2418">
        <f t="shared" si="86"/>
        <v>42022.48</v>
      </c>
      <c r="V21" s="475">
        <v>7513.7618880000009</v>
      </c>
      <c r="W21" s="238">
        <v>7619.2</v>
      </c>
      <c r="X21" s="2415">
        <f t="shared" ref="X21:X31" si="108">+V21+R21+N21</f>
        <v>23342.046432000003</v>
      </c>
      <c r="Y21" s="2415">
        <f t="shared" ref="Y21:Y31" si="109">+W21+S21+O21</f>
        <v>22575.399999999998</v>
      </c>
      <c r="Z21" s="1134">
        <f t="shared" si="88"/>
        <v>46279.857312000007</v>
      </c>
      <c r="AA21" s="1134">
        <f t="shared" si="89"/>
        <v>49641.679999999993</v>
      </c>
      <c r="AB21" s="4556">
        <v>7914.1422719999991</v>
      </c>
      <c r="AC21" s="238">
        <v>7871</v>
      </c>
      <c r="AD21" s="3163">
        <f t="shared" si="90"/>
        <v>54193.999584000005</v>
      </c>
      <c r="AE21" s="3163">
        <f t="shared" si="91"/>
        <v>57512.679999999993</v>
      </c>
      <c r="AF21" s="3346">
        <v>7513.7618880000009</v>
      </c>
      <c r="AG21" s="238">
        <v>7814.44</v>
      </c>
      <c r="AH21" s="3347">
        <f t="shared" si="92"/>
        <v>61707.761472000006</v>
      </c>
      <c r="AI21" s="3347">
        <f t="shared" si="93"/>
        <v>65327.119999999995</v>
      </c>
      <c r="AJ21" s="3601">
        <v>7914.1422719999991</v>
      </c>
      <c r="AK21" s="3640">
        <v>8005.86</v>
      </c>
      <c r="AL21" s="3600">
        <f t="shared" si="94"/>
        <v>23342.046431999999</v>
      </c>
      <c r="AM21" s="3600">
        <f t="shared" si="95"/>
        <v>23691.3</v>
      </c>
      <c r="AN21" s="3597">
        <f t="shared" si="96"/>
        <v>69621.90374400001</v>
      </c>
      <c r="AO21" s="3597">
        <f t="shared" si="97"/>
        <v>73332.98</v>
      </c>
      <c r="AP21" s="3908">
        <v>7914.1422719999991</v>
      </c>
      <c r="AQ21" s="3907">
        <v>8038.67</v>
      </c>
      <c r="AR21" s="3909">
        <f t="shared" si="98"/>
        <v>77536.046016000008</v>
      </c>
      <c r="AS21" s="3909">
        <f t="shared" si="99"/>
        <v>81371.649999999994</v>
      </c>
      <c r="AT21" s="4061">
        <v>6736.6209791999991</v>
      </c>
      <c r="AU21" s="4060">
        <v>7354.2299999999968</v>
      </c>
      <c r="AV21" s="4062">
        <f t="shared" si="100"/>
        <v>84272.666995200008</v>
      </c>
      <c r="AW21" s="4062">
        <f t="shared" si="101"/>
        <v>88725.87999999999</v>
      </c>
      <c r="AX21" s="4379">
        <v>7914.1422719999991</v>
      </c>
      <c r="AY21" s="4378">
        <v>8470.17</v>
      </c>
      <c r="AZ21" s="4380">
        <f t="shared" si="102"/>
        <v>22564.905523199996</v>
      </c>
      <c r="BA21" s="4380">
        <f t="shared" si="103"/>
        <v>23863.07</v>
      </c>
      <c r="BB21" s="4382">
        <f t="shared" si="104"/>
        <v>45906.951955199998</v>
      </c>
      <c r="BC21" s="4382">
        <f t="shared" si="105"/>
        <v>47554.369999999995</v>
      </c>
      <c r="BD21" s="4381">
        <f t="shared" si="106"/>
        <v>92186.809267200006</v>
      </c>
      <c r="BE21" s="4381">
        <f t="shared" si="107"/>
        <v>97196.049999999988</v>
      </c>
      <c r="BF21" s="4560"/>
    </row>
    <row r="22" spans="1:58" x14ac:dyDescent="0.25">
      <c r="A22" s="270"/>
      <c r="B22" s="3069" t="s">
        <v>83</v>
      </c>
      <c r="C22" s="355" t="s">
        <v>365</v>
      </c>
      <c r="D22" s="475">
        <v>4346.2721519999996</v>
      </c>
      <c r="E22" s="475">
        <v>2320.3200000000002</v>
      </c>
      <c r="F22" s="475">
        <v>4599.4556160000002</v>
      </c>
      <c r="G22" s="238">
        <v>2978.4</v>
      </c>
      <c r="H22" s="2418">
        <f t="shared" si="82"/>
        <v>8945.7277680000007</v>
      </c>
      <c r="I22" s="2418">
        <f t="shared" si="82"/>
        <v>5298.72</v>
      </c>
      <c r="J22" s="475">
        <v>4859.8721999999998</v>
      </c>
      <c r="K22" s="238">
        <v>4063.2</v>
      </c>
      <c r="L22" s="2415">
        <f t="shared" si="83"/>
        <v>13805.599968</v>
      </c>
      <c r="M22" s="2415">
        <f t="shared" si="83"/>
        <v>9361.92</v>
      </c>
      <c r="N22" s="475">
        <v>5022.3763152000001</v>
      </c>
      <c r="O22" s="238">
        <v>4122.63</v>
      </c>
      <c r="P22" s="2418">
        <f t="shared" si="84"/>
        <v>18827.976283200001</v>
      </c>
      <c r="Q22" s="2418">
        <f t="shared" si="84"/>
        <v>13484.55</v>
      </c>
      <c r="R22" s="475">
        <v>5022.3763152000001</v>
      </c>
      <c r="S22" s="238">
        <v>4026.8</v>
      </c>
      <c r="T22" s="2418">
        <f>+P22+R22</f>
        <v>23850.352598400001</v>
      </c>
      <c r="U22" s="2418">
        <f t="shared" si="86"/>
        <v>17511.349999999999</v>
      </c>
      <c r="V22" s="475">
        <v>4864.8993840000003</v>
      </c>
      <c r="W22" s="238">
        <v>3750.4</v>
      </c>
      <c r="X22" s="2415">
        <f t="shared" si="108"/>
        <v>14909.652014399999</v>
      </c>
      <c r="Y22" s="2415">
        <f t="shared" si="109"/>
        <v>11899.830000000002</v>
      </c>
      <c r="Z22" s="1134">
        <f t="shared" si="88"/>
        <v>28715.251982399997</v>
      </c>
      <c r="AA22" s="1134">
        <f t="shared" si="89"/>
        <v>21261.75</v>
      </c>
      <c r="AB22" s="4556">
        <v>5027.5739735999996</v>
      </c>
      <c r="AC22" s="238">
        <v>3508.25</v>
      </c>
      <c r="AD22" s="3163">
        <f>+Z22+AB22</f>
        <v>33742.825956000001</v>
      </c>
      <c r="AE22" s="3163">
        <f t="shared" si="91"/>
        <v>24770</v>
      </c>
      <c r="AF22" s="3346">
        <v>4864.8993840000003</v>
      </c>
      <c r="AG22" s="238">
        <v>4220.7</v>
      </c>
      <c r="AH22" s="3347">
        <f>+AD22+AF22</f>
        <v>38607.725340000005</v>
      </c>
      <c r="AI22" s="3347">
        <f t="shared" si="93"/>
        <v>28990.7</v>
      </c>
      <c r="AJ22" s="3601">
        <v>5027.5739735999996</v>
      </c>
      <c r="AK22" s="3640">
        <v>4411.2</v>
      </c>
      <c r="AL22" s="3600">
        <f t="shared" si="94"/>
        <v>14920.047331199999</v>
      </c>
      <c r="AM22" s="3600">
        <f t="shared" si="95"/>
        <v>12140.15</v>
      </c>
      <c r="AN22" s="3597">
        <f>+AH22+AJ22</f>
        <v>43635.2993136</v>
      </c>
      <c r="AO22" s="3597">
        <f t="shared" si="97"/>
        <v>33401.9</v>
      </c>
      <c r="AP22" s="3908">
        <v>5027.5739735999996</v>
      </c>
      <c r="AQ22" s="3907">
        <v>4413.1000000000004</v>
      </c>
      <c r="AR22" s="3909">
        <f>+AN22+AP22</f>
        <v>48662.873287199996</v>
      </c>
      <c r="AS22" s="3909">
        <f t="shared" si="99"/>
        <v>37815</v>
      </c>
      <c r="AT22" s="4061">
        <v>4525.0574207999998</v>
      </c>
      <c r="AU22" s="4060">
        <v>4124.4500000000007</v>
      </c>
      <c r="AV22" s="4062">
        <f>+AR22+AT22</f>
        <v>53187.930708</v>
      </c>
      <c r="AW22" s="4062">
        <f t="shared" si="101"/>
        <v>41939.449999999997</v>
      </c>
      <c r="AX22" s="4379">
        <v>5027.5739735999996</v>
      </c>
      <c r="AY22" s="4378">
        <v>4881.0200000000004</v>
      </c>
      <c r="AZ22" s="4380">
        <f t="shared" si="102"/>
        <v>14580.205367999999</v>
      </c>
      <c r="BA22" s="4380">
        <f t="shared" si="103"/>
        <v>13418.570000000002</v>
      </c>
      <c r="BB22" s="4382">
        <f t="shared" si="104"/>
        <v>29500.252699199998</v>
      </c>
      <c r="BC22" s="4382">
        <f t="shared" si="105"/>
        <v>25558.720000000001</v>
      </c>
      <c r="BD22" s="4381">
        <f>+AV22+AX22</f>
        <v>58215.504681599996</v>
      </c>
      <c r="BE22" s="4381">
        <f t="shared" si="107"/>
        <v>46820.47</v>
      </c>
      <c r="BF22" s="4560"/>
    </row>
    <row r="23" spans="1:58" x14ac:dyDescent="0.25">
      <c r="A23" s="270"/>
      <c r="B23" s="3069" t="s">
        <v>114</v>
      </c>
      <c r="C23" s="355" t="s">
        <v>365</v>
      </c>
      <c r="D23" s="475">
        <v>2520</v>
      </c>
      <c r="E23" s="238">
        <v>2295.8000000000002</v>
      </c>
      <c r="F23" s="475">
        <v>2604</v>
      </c>
      <c r="G23" s="238">
        <v>1687.3</v>
      </c>
      <c r="H23" s="2418">
        <f t="shared" si="82"/>
        <v>5124</v>
      </c>
      <c r="I23" s="2418">
        <f t="shared" si="82"/>
        <v>3983.1000000000004</v>
      </c>
      <c r="J23" s="475">
        <v>2520</v>
      </c>
      <c r="K23" s="238">
        <v>0</v>
      </c>
      <c r="L23" s="2415">
        <f t="shared" si="83"/>
        <v>7644</v>
      </c>
      <c r="M23" s="2415">
        <f t="shared" si="83"/>
        <v>3983.1000000000004</v>
      </c>
      <c r="N23" s="475">
        <v>2604</v>
      </c>
      <c r="O23" s="238">
        <v>990.8</v>
      </c>
      <c r="P23" s="2418">
        <f t="shared" si="84"/>
        <v>10248</v>
      </c>
      <c r="Q23" s="2418">
        <f t="shared" si="84"/>
        <v>4973.9000000000005</v>
      </c>
      <c r="R23" s="475">
        <v>2604</v>
      </c>
      <c r="S23" s="238">
        <v>2612.4</v>
      </c>
      <c r="T23" s="2418">
        <f t="shared" si="85"/>
        <v>12852</v>
      </c>
      <c r="U23" s="2418">
        <f t="shared" si="86"/>
        <v>7586.3000000000011</v>
      </c>
      <c r="V23" s="475">
        <v>2520</v>
      </c>
      <c r="W23" s="238">
        <v>2511.9499999999998</v>
      </c>
      <c r="X23" s="2415">
        <f>+V23+R23+N23</f>
        <v>7728</v>
      </c>
      <c r="Y23" s="2415">
        <f t="shared" si="109"/>
        <v>6115.1500000000005</v>
      </c>
      <c r="Z23" s="1134">
        <f t="shared" si="88"/>
        <v>15372</v>
      </c>
      <c r="AA23" s="1134">
        <f t="shared" si="89"/>
        <v>10098.25</v>
      </c>
      <c r="AB23" s="4556">
        <v>2604</v>
      </c>
      <c r="AC23" s="238">
        <v>2385.67</v>
      </c>
      <c r="AD23" s="3163">
        <f t="shared" ref="AD23:AD31" si="110">+Z23+AB23</f>
        <v>17976</v>
      </c>
      <c r="AE23" s="3163">
        <f t="shared" si="91"/>
        <v>12483.92</v>
      </c>
      <c r="AF23" s="3346">
        <v>2520</v>
      </c>
      <c r="AG23" s="238">
        <v>2521.2600000000002</v>
      </c>
      <c r="AH23" s="3347">
        <f t="shared" ref="AH23:AH31" si="111">+AD23+AF23</f>
        <v>20496</v>
      </c>
      <c r="AI23" s="3347">
        <f t="shared" si="93"/>
        <v>15005.18</v>
      </c>
      <c r="AJ23" s="3601">
        <v>2604</v>
      </c>
      <c r="AK23" s="3640">
        <v>2567.5700000000002</v>
      </c>
      <c r="AL23" s="3600">
        <f>+AJ23+AF23+AB23</f>
        <v>7728</v>
      </c>
      <c r="AM23" s="3600">
        <f t="shared" si="95"/>
        <v>7474.5</v>
      </c>
      <c r="AN23" s="3597">
        <f t="shared" ref="AN23:AN31" si="112">+AH23+AJ23</f>
        <v>23100</v>
      </c>
      <c r="AO23" s="3597">
        <f t="shared" si="97"/>
        <v>17572.75</v>
      </c>
      <c r="AP23" s="3908">
        <v>2604</v>
      </c>
      <c r="AQ23" s="3907">
        <v>2731.5</v>
      </c>
      <c r="AR23" s="3909">
        <f t="shared" ref="AR23:AR31" si="113">+AN23+AP23</f>
        <v>25704</v>
      </c>
      <c r="AS23" s="3909">
        <f t="shared" si="99"/>
        <v>20304.25</v>
      </c>
      <c r="AT23" s="4061">
        <v>2352</v>
      </c>
      <c r="AU23" s="4060">
        <v>2606.8699999999994</v>
      </c>
      <c r="AV23" s="4062">
        <f t="shared" ref="AV23:AV31" si="114">+AR23+AT23</f>
        <v>28056</v>
      </c>
      <c r="AW23" s="4062">
        <f t="shared" si="101"/>
        <v>22911.119999999999</v>
      </c>
      <c r="AX23" s="4379">
        <v>2604</v>
      </c>
      <c r="AY23" s="4378">
        <v>2654.17</v>
      </c>
      <c r="AZ23" s="4380">
        <f>+AX23+AT23+AP23</f>
        <v>7560</v>
      </c>
      <c r="BA23" s="4380">
        <f t="shared" si="103"/>
        <v>7992.5399999999991</v>
      </c>
      <c r="BB23" s="4382">
        <f t="shared" si="104"/>
        <v>15288</v>
      </c>
      <c r="BC23" s="4382">
        <f t="shared" si="105"/>
        <v>15467.039999999999</v>
      </c>
      <c r="BD23" s="4381">
        <f t="shared" ref="BD23:BD31" si="115">+AV23+AX23</f>
        <v>30660</v>
      </c>
      <c r="BE23" s="4381">
        <f t="shared" si="107"/>
        <v>25565.29</v>
      </c>
      <c r="BF23" s="4560"/>
    </row>
    <row r="24" spans="1:58" x14ac:dyDescent="0.25">
      <c r="A24" s="270"/>
      <c r="B24" s="3069" t="s">
        <v>84</v>
      </c>
      <c r="C24" s="355" t="s">
        <v>365</v>
      </c>
      <c r="D24" s="475">
        <v>12816</v>
      </c>
      <c r="E24" s="238">
        <v>7685.1739440000001</v>
      </c>
      <c r="F24" s="475">
        <v>13243.2</v>
      </c>
      <c r="G24" s="238">
        <v>10195</v>
      </c>
      <c r="H24" s="2418">
        <f t="shared" si="82"/>
        <v>26059.200000000001</v>
      </c>
      <c r="I24" s="2418">
        <f t="shared" si="82"/>
        <v>17880.173944000002</v>
      </c>
      <c r="J24" s="475">
        <v>8833.751784</v>
      </c>
      <c r="K24" s="238">
        <v>10985.27</v>
      </c>
      <c r="L24" s="2415">
        <f t="shared" si="83"/>
        <v>34892.951784000004</v>
      </c>
      <c r="M24" s="2415">
        <f t="shared" si="83"/>
        <v>28865.443944000002</v>
      </c>
      <c r="N24" s="475">
        <v>8970.3837456000001</v>
      </c>
      <c r="O24" s="238">
        <v>11448.23</v>
      </c>
      <c r="P24" s="2418">
        <f t="shared" si="84"/>
        <v>43863.335529600008</v>
      </c>
      <c r="Q24" s="2418">
        <f t="shared" si="84"/>
        <v>40313.673944000002</v>
      </c>
      <c r="R24" s="475">
        <v>8962.1266104000006</v>
      </c>
      <c r="S24" s="238">
        <v>12187.1</v>
      </c>
      <c r="T24" s="2418">
        <f t="shared" si="85"/>
        <v>52825.462140000011</v>
      </c>
      <c r="U24" s="2418">
        <f>+Q24+S24</f>
        <v>52500.773944</v>
      </c>
      <c r="V24" s="475">
        <v>8758.2170159999987</v>
      </c>
      <c r="W24" s="238">
        <v>12070.18</v>
      </c>
      <c r="X24" s="2415">
        <f t="shared" si="108"/>
        <v>26690.727371999998</v>
      </c>
      <c r="Y24" s="2415">
        <f t="shared" si="109"/>
        <v>35705.509999999995</v>
      </c>
      <c r="Z24" s="1134">
        <f t="shared" si="88"/>
        <v>61583.679155999998</v>
      </c>
      <c r="AA24" s="1134">
        <f t="shared" si="89"/>
        <v>64570.953943999993</v>
      </c>
      <c r="AB24" s="4556">
        <v>8892.5683391999992</v>
      </c>
      <c r="AC24" s="238">
        <v>12151.89</v>
      </c>
      <c r="AD24" s="3163">
        <f t="shared" si="110"/>
        <v>70476.24749519999</v>
      </c>
      <c r="AE24" s="3163">
        <f>+AA24+AC24</f>
        <v>76722.843943999993</v>
      </c>
      <c r="AF24" s="3346">
        <v>8758.2170159999987</v>
      </c>
      <c r="AG24" s="238">
        <v>11432.69</v>
      </c>
      <c r="AH24" s="3347">
        <f t="shared" si="111"/>
        <v>79234.464511199985</v>
      </c>
      <c r="AI24" s="3347">
        <f>+AE24+AG24</f>
        <v>88155.533943999995</v>
      </c>
      <c r="AJ24" s="3601">
        <v>8892.5683391999992</v>
      </c>
      <c r="AK24" s="3640">
        <v>11976.3</v>
      </c>
      <c r="AL24" s="3600">
        <f t="shared" ref="AL24:AL31" si="116">+AJ24+AF24+AB24</f>
        <v>26543.353694399997</v>
      </c>
      <c r="AM24" s="3600">
        <f t="shared" si="95"/>
        <v>35560.879999999997</v>
      </c>
      <c r="AN24" s="3597">
        <f t="shared" si="112"/>
        <v>88127.032850399992</v>
      </c>
      <c r="AO24" s="3597">
        <f>+AI24+AK24</f>
        <v>100131.833944</v>
      </c>
      <c r="AP24" s="3908">
        <v>8892.5683391999992</v>
      </c>
      <c r="AQ24" s="3907">
        <v>11908.57</v>
      </c>
      <c r="AR24" s="3909">
        <f t="shared" si="113"/>
        <v>97019.601189599984</v>
      </c>
      <c r="AS24" s="3909">
        <f>+AO24+AQ24</f>
        <v>112040.40394399999</v>
      </c>
      <c r="AT24" s="4061">
        <v>8659.8479520000001</v>
      </c>
      <c r="AU24" s="4060">
        <v>7623.6999999999962</v>
      </c>
      <c r="AV24" s="4062">
        <f t="shared" si="114"/>
        <v>105679.44914159998</v>
      </c>
      <c r="AW24" s="4062">
        <f>+AS24+AU24</f>
        <v>119664.10394399999</v>
      </c>
      <c r="AX24" s="4379">
        <v>8892.5683391999992</v>
      </c>
      <c r="AY24" s="4378">
        <v>7215.45</v>
      </c>
      <c r="AZ24" s="4380">
        <f t="shared" ref="AZ24:AZ31" si="117">+AX24+AT24+AP24</f>
        <v>26444.984630399998</v>
      </c>
      <c r="BA24" s="4380">
        <f t="shared" si="103"/>
        <v>26747.719999999994</v>
      </c>
      <c r="BB24" s="4382">
        <f t="shared" si="104"/>
        <v>52988.338324799995</v>
      </c>
      <c r="BC24" s="4382">
        <f t="shared" si="105"/>
        <v>62308.599999999991</v>
      </c>
      <c r="BD24" s="4381">
        <f t="shared" si="115"/>
        <v>114572.01748079999</v>
      </c>
      <c r="BE24" s="4381">
        <f>+AW24+AY24</f>
        <v>126879.55394399998</v>
      </c>
      <c r="BF24" s="4560"/>
    </row>
    <row r="25" spans="1:58" x14ac:dyDescent="0.25">
      <c r="A25" s="270"/>
      <c r="B25" s="3069" t="s">
        <v>60</v>
      </c>
      <c r="C25" s="355" t="s">
        <v>365</v>
      </c>
      <c r="D25" s="475">
        <v>893.54527199999995</v>
      </c>
      <c r="E25" s="238">
        <v>1528.32</v>
      </c>
      <c r="F25" s="475">
        <v>924.81930480000005</v>
      </c>
      <c r="G25" s="238">
        <v>1648.1</v>
      </c>
      <c r="H25" s="2418">
        <f t="shared" si="82"/>
        <v>1818.3645768000001</v>
      </c>
      <c r="I25" s="2418">
        <f t="shared" si="82"/>
        <v>3176.42</v>
      </c>
      <c r="J25" s="475">
        <v>2116.1162159999999</v>
      </c>
      <c r="K25" s="238">
        <v>2249.04</v>
      </c>
      <c r="L25" s="2415">
        <f t="shared" si="83"/>
        <v>3934.4807928</v>
      </c>
      <c r="M25" s="2415">
        <f t="shared" si="83"/>
        <v>5425.46</v>
      </c>
      <c r="N25" s="475">
        <v>2188.0912776</v>
      </c>
      <c r="O25" s="238">
        <v>2154.1</v>
      </c>
      <c r="P25" s="2418">
        <f t="shared" si="84"/>
        <v>6122.5720703999996</v>
      </c>
      <c r="Q25" s="2418">
        <f t="shared" si="84"/>
        <v>7579.5599999999995</v>
      </c>
      <c r="R25" s="475">
        <v>2189.8783656000001</v>
      </c>
      <c r="S25" s="238">
        <v>2406.5</v>
      </c>
      <c r="T25" s="2418">
        <f t="shared" si="85"/>
        <v>8312.4504359999992</v>
      </c>
      <c r="U25" s="2418">
        <f t="shared" si="86"/>
        <v>9986.06</v>
      </c>
      <c r="V25" s="475">
        <v>2129.765112</v>
      </c>
      <c r="W25" s="238">
        <v>2163.5</v>
      </c>
      <c r="X25" s="2415">
        <f t="shared" si="108"/>
        <v>6507.734755200001</v>
      </c>
      <c r="Y25" s="2415">
        <f t="shared" si="109"/>
        <v>6724.1</v>
      </c>
      <c r="Z25" s="1134">
        <f t="shared" si="88"/>
        <v>10442.215548</v>
      </c>
      <c r="AA25" s="1134">
        <f t="shared" si="89"/>
        <v>12149.560000000001</v>
      </c>
      <c r="AB25" s="4556">
        <v>2202.1422384000002</v>
      </c>
      <c r="AC25" s="238">
        <v>2245</v>
      </c>
      <c r="AD25" s="3163">
        <f t="shared" si="110"/>
        <v>12644.3577864</v>
      </c>
      <c r="AE25" s="3163">
        <f t="shared" ref="AE25:AE31" si="118">+AA25+AC25</f>
        <v>14394.560000000001</v>
      </c>
      <c r="AF25" s="3346">
        <v>2129.765112</v>
      </c>
      <c r="AG25" s="238">
        <v>2160.5</v>
      </c>
      <c r="AH25" s="3347">
        <f t="shared" si="111"/>
        <v>14774.122898400001</v>
      </c>
      <c r="AI25" s="3347">
        <f t="shared" ref="AI25:AI31" si="119">+AE25+AG25</f>
        <v>16555.060000000001</v>
      </c>
      <c r="AJ25" s="3601">
        <v>2202.1422384000002</v>
      </c>
      <c r="AK25" s="3640">
        <v>2242.5</v>
      </c>
      <c r="AL25" s="3600">
        <f t="shared" si="116"/>
        <v>6534.0495888000005</v>
      </c>
      <c r="AM25" s="3600">
        <f t="shared" si="95"/>
        <v>6648</v>
      </c>
      <c r="AN25" s="3597">
        <f t="shared" si="112"/>
        <v>16976.265136800001</v>
      </c>
      <c r="AO25" s="3597">
        <f t="shared" ref="AO25:AO31" si="120">+AI25+AK25</f>
        <v>18797.560000000001</v>
      </c>
      <c r="AP25" s="3908">
        <v>2202.1422384000002</v>
      </c>
      <c r="AQ25" s="3907">
        <v>2232</v>
      </c>
      <c r="AR25" s="3909">
        <f t="shared" si="113"/>
        <v>19178.4073752</v>
      </c>
      <c r="AS25" s="3909">
        <f t="shared" ref="AS25:AS31" si="121">+AO25+AQ25</f>
        <v>21029.56</v>
      </c>
      <c r="AT25" s="4061">
        <v>1950.8145215999998</v>
      </c>
      <c r="AU25" s="4060">
        <v>2016</v>
      </c>
      <c r="AV25" s="4062">
        <f t="shared" si="114"/>
        <v>21129.221896800002</v>
      </c>
      <c r="AW25" s="4062">
        <f t="shared" ref="AW25:AW31" si="122">+AS25+AU25</f>
        <v>23045.56</v>
      </c>
      <c r="AX25" s="4379">
        <v>2202.1422384000002</v>
      </c>
      <c r="AY25" s="4378">
        <v>2244</v>
      </c>
      <c r="AZ25" s="4380">
        <f t="shared" si="117"/>
        <v>6355.0989984000007</v>
      </c>
      <c r="BA25" s="4380">
        <f t="shared" si="103"/>
        <v>6492</v>
      </c>
      <c r="BB25" s="4382">
        <f t="shared" si="104"/>
        <v>12889.148587200001</v>
      </c>
      <c r="BC25" s="4382">
        <f t="shared" si="105"/>
        <v>13140</v>
      </c>
      <c r="BD25" s="4381">
        <f t="shared" si="115"/>
        <v>23331.364135200001</v>
      </c>
      <c r="BE25" s="4381">
        <f t="shared" ref="BE25:BE31" si="123">+AW25+AY25</f>
        <v>25289.56</v>
      </c>
      <c r="BF25" s="4560"/>
    </row>
    <row r="26" spans="1:58" x14ac:dyDescent="0.25">
      <c r="A26" s="270"/>
      <c r="B26" s="3069" t="s">
        <v>61</v>
      </c>
      <c r="C26" s="355" t="s">
        <v>365</v>
      </c>
      <c r="D26" s="475">
        <v>234.97941599999999</v>
      </c>
      <c r="E26" s="238">
        <v>647.28</v>
      </c>
      <c r="F26" s="475">
        <v>244.56701039999999</v>
      </c>
      <c r="G26" s="238">
        <v>520.1</v>
      </c>
      <c r="H26" s="2418">
        <f t="shared" si="82"/>
        <v>479.54642639999997</v>
      </c>
      <c r="I26" s="2418">
        <f t="shared" si="82"/>
        <v>1167.3800000000001</v>
      </c>
      <c r="J26" s="475">
        <v>1675.6760159999999</v>
      </c>
      <c r="K26" s="238">
        <v>1064.8800000000001</v>
      </c>
      <c r="L26" s="2415">
        <f t="shared" si="83"/>
        <v>2155.2224423999996</v>
      </c>
      <c r="M26" s="2415">
        <f t="shared" si="83"/>
        <v>2232.2600000000002</v>
      </c>
      <c r="N26" s="475">
        <v>1733.2262688000001</v>
      </c>
      <c r="O26" s="238">
        <v>1056.96</v>
      </c>
      <c r="P26" s="2418">
        <f t="shared" si="84"/>
        <v>3888.4487111999997</v>
      </c>
      <c r="Q26" s="2418">
        <f t="shared" si="84"/>
        <v>3289.2200000000003</v>
      </c>
      <c r="R26" s="475">
        <v>1735.3322351999998</v>
      </c>
      <c r="S26" s="238">
        <v>1086</v>
      </c>
      <c r="T26" s="2418">
        <f t="shared" si="85"/>
        <v>5623.7809463999993</v>
      </c>
      <c r="U26" s="2418">
        <f t="shared" si="86"/>
        <v>4375.22</v>
      </c>
      <c r="V26" s="475">
        <v>1691.760096</v>
      </c>
      <c r="W26" s="238">
        <v>1069.51</v>
      </c>
      <c r="X26" s="2415">
        <f t="shared" si="108"/>
        <v>5160.3185999999996</v>
      </c>
      <c r="Y26" s="2415">
        <f t="shared" si="109"/>
        <v>3212.4700000000003</v>
      </c>
      <c r="Z26" s="1134">
        <f t="shared" si="88"/>
        <v>7315.5410423999992</v>
      </c>
      <c r="AA26" s="1134">
        <f t="shared" si="89"/>
        <v>5444.7300000000005</v>
      </c>
      <c r="AB26" s="4556">
        <v>1749.784212</v>
      </c>
      <c r="AC26" s="238">
        <v>1122.51</v>
      </c>
      <c r="AD26" s="3163">
        <f t="shared" si="110"/>
        <v>9065.3252543999988</v>
      </c>
      <c r="AE26" s="3163">
        <f t="shared" si="118"/>
        <v>6567.2400000000007</v>
      </c>
      <c r="AF26" s="3346">
        <v>1691.760096</v>
      </c>
      <c r="AG26" s="238">
        <v>1076.1600000000001</v>
      </c>
      <c r="AH26" s="3347">
        <f t="shared" si="111"/>
        <v>10757.085350399999</v>
      </c>
      <c r="AI26" s="3347">
        <f t="shared" si="119"/>
        <v>7643.4000000000005</v>
      </c>
      <c r="AJ26" s="3601">
        <v>1749.784212</v>
      </c>
      <c r="AK26" s="3640">
        <v>1118.42</v>
      </c>
      <c r="AL26" s="3600">
        <f t="shared" si="116"/>
        <v>5191.32852</v>
      </c>
      <c r="AM26" s="3600">
        <f t="shared" si="95"/>
        <v>3317.09</v>
      </c>
      <c r="AN26" s="3597">
        <f t="shared" si="112"/>
        <v>12506.869562399999</v>
      </c>
      <c r="AO26" s="3597">
        <f t="shared" si="120"/>
        <v>8761.82</v>
      </c>
      <c r="AP26" s="3908">
        <v>1749.784212</v>
      </c>
      <c r="AQ26" s="3907">
        <v>1116.01</v>
      </c>
      <c r="AR26" s="3909">
        <f t="shared" si="113"/>
        <v>14256.6537744</v>
      </c>
      <c r="AS26" s="3909">
        <f t="shared" si="121"/>
        <v>9877.83</v>
      </c>
      <c r="AT26" s="4061">
        <v>1535.4144959999999</v>
      </c>
      <c r="AU26" s="4060">
        <v>1008</v>
      </c>
      <c r="AV26" s="4062">
        <f t="shared" si="114"/>
        <v>15792.068270399999</v>
      </c>
      <c r="AW26" s="4062">
        <f t="shared" si="122"/>
        <v>10885.83</v>
      </c>
      <c r="AX26" s="4379">
        <v>1749.784212</v>
      </c>
      <c r="AY26" s="4378">
        <v>1116</v>
      </c>
      <c r="AZ26" s="4380">
        <f t="shared" si="117"/>
        <v>5034.9829200000004</v>
      </c>
      <c r="BA26" s="4380">
        <f t="shared" si="103"/>
        <v>3240.01</v>
      </c>
      <c r="BB26" s="4382">
        <f t="shared" si="104"/>
        <v>10226.311440000001</v>
      </c>
      <c r="BC26" s="4382">
        <f t="shared" si="105"/>
        <v>6557.1</v>
      </c>
      <c r="BD26" s="4381">
        <f t="shared" si="115"/>
        <v>17541.852482399998</v>
      </c>
      <c r="BE26" s="4381">
        <f t="shared" si="123"/>
        <v>12001.83</v>
      </c>
      <c r="BF26" s="4560"/>
    </row>
    <row r="27" spans="1:58" ht="15" customHeight="1" x14ac:dyDescent="0.25">
      <c r="A27" s="270"/>
      <c r="B27" s="3069" t="s">
        <v>62</v>
      </c>
      <c r="C27" s="355" t="s">
        <v>365</v>
      </c>
      <c r="D27" s="475">
        <v>1233.729648</v>
      </c>
      <c r="E27" s="238">
        <v>825.44121059010399</v>
      </c>
      <c r="F27" s="475">
        <v>1522.8033528000001</v>
      </c>
      <c r="G27" s="238">
        <v>717.8</v>
      </c>
      <c r="H27" s="2418">
        <f t="shared" si="82"/>
        <v>2756.5330008000001</v>
      </c>
      <c r="I27" s="2418">
        <f t="shared" si="82"/>
        <v>1543.2412105901039</v>
      </c>
      <c r="J27" s="475">
        <v>922.65696000000003</v>
      </c>
      <c r="K27" s="238">
        <v>869.69</v>
      </c>
      <c r="L27" s="2415">
        <f t="shared" si="83"/>
        <v>3679.1899608000003</v>
      </c>
      <c r="M27" s="2415">
        <f t="shared" si="83"/>
        <v>2412.931210590104</v>
      </c>
      <c r="N27" s="475">
        <v>972.72963119999997</v>
      </c>
      <c r="O27" s="238">
        <v>1113.5</v>
      </c>
      <c r="P27" s="2418">
        <f t="shared" si="84"/>
        <v>4651.9195920000002</v>
      </c>
      <c r="Q27" s="2418">
        <f t="shared" si="84"/>
        <v>3526.431210590104</v>
      </c>
      <c r="R27" s="475">
        <v>941.62321439999994</v>
      </c>
      <c r="S27" s="238">
        <v>844.75</v>
      </c>
      <c r="T27" s="2418">
        <f t="shared" si="85"/>
        <v>5593.5428063999998</v>
      </c>
      <c r="U27" s="2418">
        <f t="shared" si="86"/>
        <v>4371.1812105901045</v>
      </c>
      <c r="V27" s="475">
        <v>900.13499999999999</v>
      </c>
      <c r="W27" s="238">
        <v>874.9</v>
      </c>
      <c r="X27" s="2415">
        <f t="shared" si="108"/>
        <v>2814.4878455999997</v>
      </c>
      <c r="Y27" s="2415">
        <f t="shared" si="109"/>
        <v>2833.15</v>
      </c>
      <c r="Z27" s="1134">
        <f t="shared" si="88"/>
        <v>6493.6778064</v>
      </c>
      <c r="AA27" s="1134">
        <f t="shared" si="89"/>
        <v>5246.0812105901041</v>
      </c>
      <c r="AB27" s="4556">
        <v>941.62321439999994</v>
      </c>
      <c r="AC27" s="238">
        <v>965.07</v>
      </c>
      <c r="AD27" s="3163">
        <f t="shared" si="110"/>
        <v>7435.3010207999996</v>
      </c>
      <c r="AE27" s="3163">
        <f t="shared" si="118"/>
        <v>6211.1512105901038</v>
      </c>
      <c r="AF27" s="3346">
        <v>900.13499999999999</v>
      </c>
      <c r="AG27" s="238">
        <v>839.72</v>
      </c>
      <c r="AH27" s="3347">
        <f t="shared" si="111"/>
        <v>8335.4360207999998</v>
      </c>
      <c r="AI27" s="3347">
        <f t="shared" si="119"/>
        <v>7050.8712105901041</v>
      </c>
      <c r="AJ27" s="3601">
        <v>941.62321439999994</v>
      </c>
      <c r="AK27" s="3640">
        <v>921.15</v>
      </c>
      <c r="AL27" s="3600">
        <f t="shared" si="116"/>
        <v>2783.3814287999999</v>
      </c>
      <c r="AM27" s="3600">
        <f t="shared" si="95"/>
        <v>2725.94</v>
      </c>
      <c r="AN27" s="3597">
        <f t="shared" si="112"/>
        <v>9277.0592352000003</v>
      </c>
      <c r="AO27" s="3597">
        <f t="shared" si="120"/>
        <v>7972.0212105901037</v>
      </c>
      <c r="AP27" s="3908">
        <v>941.62321439999994</v>
      </c>
      <c r="AQ27" s="3907">
        <v>875.85</v>
      </c>
      <c r="AR27" s="3909">
        <f t="shared" si="113"/>
        <v>10218.682449600001</v>
      </c>
      <c r="AS27" s="3909">
        <f t="shared" si="121"/>
        <v>8847.8712105901031</v>
      </c>
      <c r="AT27" s="4061">
        <v>829.31808960000001</v>
      </c>
      <c r="AU27" s="4060">
        <v>924.91412437362783</v>
      </c>
      <c r="AV27" s="4062">
        <f t="shared" si="114"/>
        <v>11048.0005392</v>
      </c>
      <c r="AW27" s="4062">
        <f t="shared" si="122"/>
        <v>9772.7853349637317</v>
      </c>
      <c r="AX27" s="4379">
        <v>941.62321439999994</v>
      </c>
      <c r="AY27" s="4378">
        <v>987.9</v>
      </c>
      <c r="AZ27" s="4380">
        <f t="shared" si="117"/>
        <v>2712.5645184</v>
      </c>
      <c r="BA27" s="4380">
        <f t="shared" si="103"/>
        <v>2788.6641243736276</v>
      </c>
      <c r="BB27" s="4382">
        <f t="shared" si="104"/>
        <v>5495.9459471999999</v>
      </c>
      <c r="BC27" s="4382">
        <f t="shared" si="105"/>
        <v>5514.6041243736272</v>
      </c>
      <c r="BD27" s="4381">
        <f t="shared" si="115"/>
        <v>11989.623753600001</v>
      </c>
      <c r="BE27" s="4381">
        <f t="shared" si="123"/>
        <v>10760.685334963731</v>
      </c>
      <c r="BF27" s="4560"/>
    </row>
    <row r="28" spans="1:58" ht="15" customHeight="1" x14ac:dyDescent="0.25">
      <c r="A28" s="270"/>
      <c r="B28" s="3069" t="s">
        <v>95</v>
      </c>
      <c r="C28" s="355" t="s">
        <v>365</v>
      </c>
      <c r="D28" s="475">
        <v>1636.4496959999999</v>
      </c>
      <c r="E28" s="238">
        <v>660.58416672205203</v>
      </c>
      <c r="F28" s="475">
        <v>1825.1966471999999</v>
      </c>
      <c r="G28" s="238">
        <v>1421.2</v>
      </c>
      <c r="H28" s="2418">
        <f t="shared" si="82"/>
        <v>3461.6463432</v>
      </c>
      <c r="I28" s="2418">
        <f t="shared" si="82"/>
        <v>2081.7841667220519</v>
      </c>
      <c r="J28" s="475">
        <v>1437.637608</v>
      </c>
      <c r="K28" s="238">
        <v>1079.45</v>
      </c>
      <c r="L28" s="2415">
        <f t="shared" si="83"/>
        <v>4899.2839512</v>
      </c>
      <c r="M28" s="2415">
        <f t="shared" si="83"/>
        <v>3161.2341667220517</v>
      </c>
      <c r="N28" s="475">
        <v>1490.4644255999999</v>
      </c>
      <c r="O28" s="238">
        <v>1354.48</v>
      </c>
      <c r="P28" s="2418">
        <f t="shared" si="84"/>
        <v>6389.7483768000002</v>
      </c>
      <c r="Q28" s="2418">
        <f t="shared" si="84"/>
        <v>4515.7141667220512</v>
      </c>
      <c r="R28" s="475">
        <v>1442.8016280000002</v>
      </c>
      <c r="S28" s="238">
        <v>1124.77</v>
      </c>
      <c r="T28" s="2418">
        <f t="shared" si="85"/>
        <v>7832.5500048000004</v>
      </c>
      <c r="U28" s="2418">
        <f t="shared" si="86"/>
        <v>5640.4841667220517</v>
      </c>
      <c r="V28" s="475">
        <v>1385.848152</v>
      </c>
      <c r="W28" s="238">
        <v>1283.33</v>
      </c>
      <c r="X28" s="2415">
        <f t="shared" si="108"/>
        <v>4319.1142055999999</v>
      </c>
      <c r="Y28" s="2415">
        <f t="shared" si="109"/>
        <v>3762.58</v>
      </c>
      <c r="Z28" s="1134">
        <f t="shared" si="88"/>
        <v>9218.3981567999999</v>
      </c>
      <c r="AA28" s="1134">
        <f t="shared" si="89"/>
        <v>6923.8141667220516</v>
      </c>
      <c r="AB28" s="4556">
        <v>1442.8016279999999</v>
      </c>
      <c r="AC28" s="238">
        <v>1391.34</v>
      </c>
      <c r="AD28" s="3163">
        <f t="shared" si="110"/>
        <v>10661.199784799999</v>
      </c>
      <c r="AE28" s="3163">
        <f t="shared" si="118"/>
        <v>8315.1541667220517</v>
      </c>
      <c r="AF28" s="3346">
        <v>1385.848152</v>
      </c>
      <c r="AG28" s="238">
        <v>1362.34</v>
      </c>
      <c r="AH28" s="3347">
        <f t="shared" si="111"/>
        <v>12047.0479368</v>
      </c>
      <c r="AI28" s="3347">
        <f t="shared" si="119"/>
        <v>9677.4941667220519</v>
      </c>
      <c r="AJ28" s="3601">
        <v>1442.8016279999999</v>
      </c>
      <c r="AK28" s="3640">
        <v>1520.49</v>
      </c>
      <c r="AL28" s="3600">
        <f t="shared" si="116"/>
        <v>4271.4514079999999</v>
      </c>
      <c r="AM28" s="3600">
        <f t="shared" si="95"/>
        <v>4274.17</v>
      </c>
      <c r="AN28" s="3597">
        <f t="shared" si="112"/>
        <v>13489.849564799999</v>
      </c>
      <c r="AO28" s="3597">
        <f t="shared" si="120"/>
        <v>11197.984166722052</v>
      </c>
      <c r="AP28" s="3908">
        <v>1442.8016279999999</v>
      </c>
      <c r="AQ28" s="3907">
        <v>1490.82</v>
      </c>
      <c r="AR28" s="3909">
        <f t="shared" si="113"/>
        <v>14932.651192799998</v>
      </c>
      <c r="AS28" s="3909">
        <f t="shared" si="121"/>
        <v>12688.804166722051</v>
      </c>
      <c r="AT28" s="4061">
        <v>1248.1088256</v>
      </c>
      <c r="AU28" s="4060">
        <v>1126.3665607960904</v>
      </c>
      <c r="AV28" s="4062">
        <f t="shared" si="114"/>
        <v>16180.760018399998</v>
      </c>
      <c r="AW28" s="4062">
        <f t="shared" si="122"/>
        <v>13815.170727518142</v>
      </c>
      <c r="AX28" s="4379">
        <v>1442.8016279999999</v>
      </c>
      <c r="AY28" s="4378">
        <v>1499.33</v>
      </c>
      <c r="AZ28" s="4380">
        <f t="shared" si="117"/>
        <v>4133.7120815999997</v>
      </c>
      <c r="BA28" s="4380">
        <f t="shared" si="103"/>
        <v>4116.5165607960898</v>
      </c>
      <c r="BB28" s="4382">
        <f t="shared" si="104"/>
        <v>8405.1634895999996</v>
      </c>
      <c r="BC28" s="4382">
        <f t="shared" si="105"/>
        <v>8390.6865607960899</v>
      </c>
      <c r="BD28" s="4381">
        <f t="shared" si="115"/>
        <v>17623.561646399998</v>
      </c>
      <c r="BE28" s="4381">
        <f t="shared" si="123"/>
        <v>15314.500727518142</v>
      </c>
      <c r="BF28" s="4560"/>
    </row>
    <row r="29" spans="1:58" ht="15" customHeight="1" x14ac:dyDescent="0.25">
      <c r="A29" s="270"/>
      <c r="B29" s="3069" t="s">
        <v>115</v>
      </c>
      <c r="C29" s="355" t="s">
        <v>365</v>
      </c>
      <c r="D29" s="475">
        <v>369.82065599999999</v>
      </c>
      <c r="E29" s="238">
        <v>479.37462268784401</v>
      </c>
      <c r="F29" s="475">
        <v>0</v>
      </c>
      <c r="G29" s="238">
        <v>227.4</v>
      </c>
      <c r="H29" s="2418">
        <f t="shared" si="82"/>
        <v>369.82065599999999</v>
      </c>
      <c r="I29" s="2418">
        <f t="shared" si="82"/>
        <v>706.77462268784404</v>
      </c>
      <c r="J29" s="475">
        <v>879.70543199999997</v>
      </c>
      <c r="K29" s="238">
        <v>644.83000000000004</v>
      </c>
      <c r="L29" s="2415">
        <f t="shared" si="83"/>
        <v>1249.5260880000001</v>
      </c>
      <c r="M29" s="2415">
        <f t="shared" si="83"/>
        <v>1351.6046226878441</v>
      </c>
      <c r="N29" s="475">
        <v>884.80594319999989</v>
      </c>
      <c r="O29" s="238">
        <v>1369.7</v>
      </c>
      <c r="P29" s="2418">
        <f t="shared" si="84"/>
        <v>2134.3320312000001</v>
      </c>
      <c r="Q29" s="2418">
        <f t="shared" si="84"/>
        <v>2721.3046226878441</v>
      </c>
      <c r="R29" s="475">
        <v>963.57508319999999</v>
      </c>
      <c r="S29" s="238">
        <v>822.78</v>
      </c>
      <c r="T29" s="2418">
        <f t="shared" si="85"/>
        <v>3097.9071144</v>
      </c>
      <c r="U29" s="2418">
        <f t="shared" si="86"/>
        <v>3544.0846226878439</v>
      </c>
      <c r="V29" s="475">
        <v>954.0168480000001</v>
      </c>
      <c r="W29" s="238">
        <v>459.38</v>
      </c>
      <c r="X29" s="2415">
        <f t="shared" si="108"/>
        <v>2802.3978744000001</v>
      </c>
      <c r="Y29" s="2415">
        <f t="shared" si="109"/>
        <v>2651.8599999999997</v>
      </c>
      <c r="Z29" s="1134">
        <f t="shared" si="88"/>
        <v>4051.9239624000002</v>
      </c>
      <c r="AA29" s="1134">
        <f t="shared" si="89"/>
        <v>4003.464622687844</v>
      </c>
      <c r="AB29" s="4556">
        <v>963.57508319999988</v>
      </c>
      <c r="AC29" s="238">
        <v>1028.6600000000001</v>
      </c>
      <c r="AD29" s="3163">
        <f t="shared" si="110"/>
        <v>5015.4990455999996</v>
      </c>
      <c r="AE29" s="3163">
        <f t="shared" si="118"/>
        <v>5032.1246226878438</v>
      </c>
      <c r="AF29" s="3346">
        <v>954.0168480000001</v>
      </c>
      <c r="AG29" s="238">
        <v>1068.69</v>
      </c>
      <c r="AH29" s="3347">
        <f t="shared" si="111"/>
        <v>5969.5158935999998</v>
      </c>
      <c r="AI29" s="3347">
        <f t="shared" si="119"/>
        <v>6100.8146226878434</v>
      </c>
      <c r="AJ29" s="3601">
        <v>963.57508319999988</v>
      </c>
      <c r="AK29" s="3640">
        <v>1218.9000000000001</v>
      </c>
      <c r="AL29" s="3600">
        <f t="shared" si="116"/>
        <v>2881.1670144</v>
      </c>
      <c r="AM29" s="3600">
        <f t="shared" si="95"/>
        <v>3316.25</v>
      </c>
      <c r="AN29" s="3597">
        <f t="shared" si="112"/>
        <v>6933.0909768000001</v>
      </c>
      <c r="AO29" s="3597">
        <f t="shared" si="120"/>
        <v>7319.7146226878431</v>
      </c>
      <c r="AP29" s="3908">
        <v>963.57508319999988</v>
      </c>
      <c r="AQ29" s="3907">
        <v>947.33</v>
      </c>
      <c r="AR29" s="3909">
        <f t="shared" si="113"/>
        <v>7896.6660599999996</v>
      </c>
      <c r="AS29" s="3909">
        <f t="shared" si="121"/>
        <v>8267.044622687843</v>
      </c>
      <c r="AT29" s="4061">
        <v>946.57315199999994</v>
      </c>
      <c r="AU29" s="4060">
        <v>981.86931483028116</v>
      </c>
      <c r="AV29" s="4062">
        <f t="shared" si="114"/>
        <v>8843.2392120000004</v>
      </c>
      <c r="AW29" s="4062">
        <f t="shared" si="122"/>
        <v>9248.9139375181239</v>
      </c>
      <c r="AX29" s="4379">
        <v>963.57508319999988</v>
      </c>
      <c r="AY29" s="4378">
        <v>1053.71</v>
      </c>
      <c r="AZ29" s="4380">
        <f t="shared" si="117"/>
        <v>2873.7233183999997</v>
      </c>
      <c r="BA29" s="4380">
        <f t="shared" si="103"/>
        <v>2982.9093148302813</v>
      </c>
      <c r="BB29" s="4382">
        <f t="shared" si="104"/>
        <v>5754.8903327999997</v>
      </c>
      <c r="BC29" s="4382">
        <f t="shared" si="105"/>
        <v>6299.1593148302818</v>
      </c>
      <c r="BD29" s="4381">
        <f t="shared" si="115"/>
        <v>9806.8142951999998</v>
      </c>
      <c r="BE29" s="4381">
        <f t="shared" si="123"/>
        <v>10302.623937518125</v>
      </c>
      <c r="BF29" s="4560"/>
    </row>
    <row r="30" spans="1:58" x14ac:dyDescent="0.25">
      <c r="A30" s="270"/>
      <c r="B30" s="3069" t="s">
        <v>85</v>
      </c>
      <c r="C30" s="355" t="s">
        <v>365</v>
      </c>
      <c r="D30" s="475">
        <v>2181.0720000000001</v>
      </c>
      <c r="E30" s="238">
        <v>2022.24</v>
      </c>
      <c r="F30" s="475">
        <v>2258.4</v>
      </c>
      <c r="G30" s="238">
        <v>1615.7</v>
      </c>
      <c r="H30" s="2418">
        <f t="shared" si="82"/>
        <v>4439.4719999999998</v>
      </c>
      <c r="I30" s="2418">
        <f t="shared" si="82"/>
        <v>3637.94</v>
      </c>
      <c r="J30" s="475">
        <v>5168</v>
      </c>
      <c r="K30" s="238">
        <v>4064.88</v>
      </c>
      <c r="L30" s="2415">
        <f t="shared" si="83"/>
        <v>9607.4719999999998</v>
      </c>
      <c r="M30" s="2415">
        <f t="shared" si="83"/>
        <v>7702.82</v>
      </c>
      <c r="N30" s="475">
        <v>5343.4042800000007</v>
      </c>
      <c r="O30" s="238">
        <v>4055.13</v>
      </c>
      <c r="P30" s="2418">
        <f t="shared" si="84"/>
        <v>14950.87628</v>
      </c>
      <c r="Q30" s="2418">
        <f t="shared" si="84"/>
        <v>11757.95</v>
      </c>
      <c r="R30" s="475">
        <v>5347.7684352000006</v>
      </c>
      <c r="S30" s="238">
        <v>3918.92</v>
      </c>
      <c r="T30" s="2418">
        <f t="shared" si="85"/>
        <v>20298.6447152</v>
      </c>
      <c r="U30" s="2418">
        <f t="shared" si="86"/>
        <v>15676.87</v>
      </c>
      <c r="V30" s="475">
        <v>5200.9695359999996</v>
      </c>
      <c r="W30" s="238">
        <v>3915.81</v>
      </c>
      <c r="X30" s="2415">
        <f t="shared" si="108"/>
        <v>15892.142251200001</v>
      </c>
      <c r="Y30" s="2415">
        <f t="shared" si="109"/>
        <v>11889.86</v>
      </c>
      <c r="Z30" s="1134">
        <f t="shared" si="88"/>
        <v>25499.614251200001</v>
      </c>
      <c r="AA30" s="1134">
        <f t="shared" si="89"/>
        <v>19592.68</v>
      </c>
      <c r="AB30" s="4556">
        <v>5377.7174111999993</v>
      </c>
      <c r="AC30" s="238">
        <v>4267</v>
      </c>
      <c r="AD30" s="3163">
        <f t="shared" si="110"/>
        <v>30877.3316624</v>
      </c>
      <c r="AE30" s="3163">
        <f t="shared" si="118"/>
        <v>23859.68</v>
      </c>
      <c r="AF30" s="3346">
        <v>5200.9695359999996</v>
      </c>
      <c r="AG30" s="238">
        <v>3947.06</v>
      </c>
      <c r="AH30" s="3347">
        <f t="shared" si="111"/>
        <v>36078.301198399997</v>
      </c>
      <c r="AI30" s="3347">
        <f t="shared" si="119"/>
        <v>27806.74</v>
      </c>
      <c r="AJ30" s="3601">
        <v>5377.7174111999993</v>
      </c>
      <c r="AK30" s="3640">
        <v>4150.2700000000004</v>
      </c>
      <c r="AL30" s="3600">
        <f t="shared" si="116"/>
        <v>15956.404358399999</v>
      </c>
      <c r="AM30" s="3600">
        <f t="shared" si="95"/>
        <v>12364.33</v>
      </c>
      <c r="AN30" s="3597">
        <f t="shared" si="112"/>
        <v>41456.018609599996</v>
      </c>
      <c r="AO30" s="3597">
        <f t="shared" si="120"/>
        <v>31957.010000000002</v>
      </c>
      <c r="AP30" s="3908">
        <v>5377.7174111999993</v>
      </c>
      <c r="AQ30" s="3907">
        <v>4134.08</v>
      </c>
      <c r="AR30" s="3909">
        <f t="shared" si="113"/>
        <v>46833.736020799995</v>
      </c>
      <c r="AS30" s="3909">
        <f t="shared" si="121"/>
        <v>36091.090000000004</v>
      </c>
      <c r="AT30" s="4061">
        <v>4763.9652480000004</v>
      </c>
      <c r="AU30" s="4060">
        <v>3789.9889506159448</v>
      </c>
      <c r="AV30" s="4062">
        <f t="shared" si="114"/>
        <v>51597.701268799996</v>
      </c>
      <c r="AW30" s="4062">
        <f t="shared" si="122"/>
        <v>39881.078950615949</v>
      </c>
      <c r="AX30" s="4379">
        <v>5377.7174111999993</v>
      </c>
      <c r="AY30" s="4378">
        <v>4447.68</v>
      </c>
      <c r="AZ30" s="4380">
        <f t="shared" si="117"/>
        <v>15519.400070399999</v>
      </c>
      <c r="BA30" s="4380">
        <f t="shared" si="103"/>
        <v>12371.748950615945</v>
      </c>
      <c r="BB30" s="4382">
        <f t="shared" si="104"/>
        <v>31475.804428799998</v>
      </c>
      <c r="BC30" s="4382">
        <f t="shared" si="105"/>
        <v>24736.078950615945</v>
      </c>
      <c r="BD30" s="4381">
        <f t="shared" si="115"/>
        <v>56975.418679999995</v>
      </c>
      <c r="BE30" s="4381">
        <f t="shared" si="123"/>
        <v>44328.758950615949</v>
      </c>
      <c r="BF30" s="4560"/>
    </row>
    <row r="31" spans="1:58" x14ac:dyDescent="0.25">
      <c r="A31" s="270"/>
      <c r="B31" s="3069" t="s">
        <v>63</v>
      </c>
      <c r="C31" s="355" t="s">
        <v>365</v>
      </c>
      <c r="D31" s="475">
        <v>865.41552000000001</v>
      </c>
      <c r="E31" s="238">
        <v>850.32</v>
      </c>
      <c r="F31" s="475">
        <v>916.44037679999997</v>
      </c>
      <c r="G31" s="238">
        <v>946.1</v>
      </c>
      <c r="H31" s="2418">
        <f t="shared" si="82"/>
        <v>1781.8558968</v>
      </c>
      <c r="I31" s="2418">
        <f t="shared" si="82"/>
        <v>1796.42</v>
      </c>
      <c r="J31" s="475">
        <v>1332.3735360000001</v>
      </c>
      <c r="K31" s="238">
        <v>1095.3599999999999</v>
      </c>
      <c r="L31" s="2415">
        <f t="shared" si="83"/>
        <v>3114.2294327999998</v>
      </c>
      <c r="M31" s="2415">
        <f t="shared" si="83"/>
        <v>2891.7799999999997</v>
      </c>
      <c r="N31" s="475">
        <v>1377.5387664</v>
      </c>
      <c r="O31" s="238">
        <v>1109.6500000000001</v>
      </c>
      <c r="P31" s="2418">
        <f t="shared" si="84"/>
        <v>4491.7681991999998</v>
      </c>
      <c r="Q31" s="2418">
        <f t="shared" si="84"/>
        <v>4001.43</v>
      </c>
      <c r="R31" s="475">
        <v>1377.5387664</v>
      </c>
      <c r="S31" s="238">
        <v>1107.7</v>
      </c>
      <c r="T31" s="2418">
        <f t="shared" si="85"/>
        <v>5869.3069655999998</v>
      </c>
      <c r="U31" s="2418">
        <f t="shared" si="86"/>
        <v>5109.13</v>
      </c>
      <c r="V31" s="475">
        <v>1339.8169679999999</v>
      </c>
      <c r="W31" s="238">
        <v>1051.74</v>
      </c>
      <c r="X31" s="2415">
        <f t="shared" si="108"/>
        <v>4094.8945008000001</v>
      </c>
      <c r="Y31" s="2415">
        <f t="shared" si="109"/>
        <v>3269.09</v>
      </c>
      <c r="Z31" s="1134">
        <f t="shared" si="88"/>
        <v>7209.1239335999999</v>
      </c>
      <c r="AA31" s="1134">
        <f t="shared" si="89"/>
        <v>6160.87</v>
      </c>
      <c r="AB31" s="4556">
        <v>1385.2345536</v>
      </c>
      <c r="AC31" s="238">
        <v>1146.8499999999999</v>
      </c>
      <c r="AD31" s="3163">
        <f t="shared" si="110"/>
        <v>8594.3584871999992</v>
      </c>
      <c r="AE31" s="3163">
        <f t="shared" si="118"/>
        <v>7307.7199999999993</v>
      </c>
      <c r="AF31" s="3346">
        <v>1339.8169679999999</v>
      </c>
      <c r="AG31" s="238">
        <v>1082.83</v>
      </c>
      <c r="AH31" s="3347">
        <f t="shared" si="111"/>
        <v>9934.1754551999984</v>
      </c>
      <c r="AI31" s="3347">
        <f t="shared" si="119"/>
        <v>8390.5499999999993</v>
      </c>
      <c r="AJ31" s="3601">
        <v>1385.2345536</v>
      </c>
      <c r="AK31" s="3640">
        <v>1116.3599999999999</v>
      </c>
      <c r="AL31" s="3600">
        <f t="shared" si="116"/>
        <v>4110.2860751999997</v>
      </c>
      <c r="AM31" s="3600">
        <f t="shared" si="95"/>
        <v>3346.0399999999995</v>
      </c>
      <c r="AN31" s="3597">
        <f t="shared" si="112"/>
        <v>11319.410008799998</v>
      </c>
      <c r="AO31" s="3597">
        <f t="shared" si="120"/>
        <v>9506.91</v>
      </c>
      <c r="AP31" s="3908">
        <v>1385.2345536</v>
      </c>
      <c r="AQ31" s="3907">
        <v>1138.93</v>
      </c>
      <c r="AR31" s="3909">
        <f t="shared" si="113"/>
        <v>12704.644562399997</v>
      </c>
      <c r="AS31" s="3909">
        <f t="shared" si="121"/>
        <v>10645.84</v>
      </c>
      <c r="AT31" s="4061">
        <v>1227.5233823999999</v>
      </c>
      <c r="AU31" s="4060">
        <v>1042.8100000000002</v>
      </c>
      <c r="AV31" s="4062">
        <f t="shared" si="114"/>
        <v>13932.167944799998</v>
      </c>
      <c r="AW31" s="4062">
        <f t="shared" si="122"/>
        <v>11688.65</v>
      </c>
      <c r="AX31" s="4379">
        <v>1385.2345536</v>
      </c>
      <c r="AY31" s="4378">
        <v>1179</v>
      </c>
      <c r="AZ31" s="4380">
        <f t="shared" si="117"/>
        <v>3997.9924896000002</v>
      </c>
      <c r="BA31" s="4380">
        <f t="shared" si="103"/>
        <v>3360.7400000000007</v>
      </c>
      <c r="BB31" s="4382">
        <f t="shared" si="104"/>
        <v>8108.2785647999999</v>
      </c>
      <c r="BC31" s="4382">
        <f t="shared" si="105"/>
        <v>6706.7800000000007</v>
      </c>
      <c r="BD31" s="4381">
        <f t="shared" si="115"/>
        <v>15317.402498399997</v>
      </c>
      <c r="BE31" s="4381">
        <f t="shared" si="123"/>
        <v>12867.65</v>
      </c>
      <c r="BF31" s="4560"/>
    </row>
    <row r="32" spans="1:58" ht="15.75" x14ac:dyDescent="0.25">
      <c r="A32" s="200"/>
      <c r="B32" s="3070" t="s">
        <v>64</v>
      </c>
      <c r="C32" s="2427" t="s">
        <v>365</v>
      </c>
      <c r="D32" s="2458">
        <f t="shared" ref="D32:AA32" si="124">SUM(D20:D31)</f>
        <v>43918.782600000013</v>
      </c>
      <c r="E32" s="470">
        <f t="shared" si="124"/>
        <v>39052.193943999999</v>
      </c>
      <c r="F32" s="2458">
        <f t="shared" si="124"/>
        <v>45675.002484000004</v>
      </c>
      <c r="G32" s="470">
        <f t="shared" si="124"/>
        <v>41197.299999999996</v>
      </c>
      <c r="H32" s="644">
        <f t="shared" si="124"/>
        <v>89593.785083999988</v>
      </c>
      <c r="I32" s="644">
        <f t="shared" si="124"/>
        <v>80249.493943999987</v>
      </c>
      <c r="J32" s="2458">
        <f t="shared" si="124"/>
        <v>46571.14316</v>
      </c>
      <c r="K32" s="470">
        <f t="shared" si="124"/>
        <v>42840</v>
      </c>
      <c r="L32" s="2422">
        <f t="shared" si="124"/>
        <v>136164.92824400001</v>
      </c>
      <c r="M32" s="2422">
        <f t="shared" si="124"/>
        <v>123089.49394399999</v>
      </c>
      <c r="N32" s="2458">
        <f t="shared" si="124"/>
        <v>48123.140829600008</v>
      </c>
      <c r="O32" s="470">
        <f t="shared" si="124"/>
        <v>45567.479999999996</v>
      </c>
      <c r="P32" s="644">
        <f t="shared" si="124"/>
        <v>184288.0690736</v>
      </c>
      <c r="Q32" s="644">
        <f t="shared" si="124"/>
        <v>168656.973944</v>
      </c>
      <c r="R32" s="2458">
        <f t="shared" ref="R32:U32" si="125">SUM(R20:R31)</f>
        <v>48123.140829600008</v>
      </c>
      <c r="S32" s="470">
        <f t="shared" si="125"/>
        <v>47712.279999999992</v>
      </c>
      <c r="T32" s="644">
        <f t="shared" si="125"/>
        <v>232411.20990319998</v>
      </c>
      <c r="U32" s="644">
        <f t="shared" si="125"/>
        <v>216369.253944</v>
      </c>
      <c r="V32" s="2458">
        <f t="shared" ref="V32:W32" si="126">SUM(V20:V31)</f>
        <v>46570.781519999997</v>
      </c>
      <c r="W32" s="470">
        <f t="shared" si="126"/>
        <v>46214.01</v>
      </c>
      <c r="X32" s="2422">
        <f t="shared" si="124"/>
        <v>142817.06317919999</v>
      </c>
      <c r="Y32" s="2422">
        <f t="shared" si="124"/>
        <v>139493.76999999999</v>
      </c>
      <c r="Z32" s="1282">
        <f t="shared" si="124"/>
        <v>278981.9914232</v>
      </c>
      <c r="AA32" s="1282">
        <f t="shared" si="124"/>
        <v>262583.26394400001</v>
      </c>
      <c r="AB32" s="3628">
        <f t="shared" ref="AB32:AE32" si="127">SUM(AB20:AB31)</f>
        <v>48123.140829600001</v>
      </c>
      <c r="AC32" s="470">
        <f t="shared" si="127"/>
        <v>47761.04</v>
      </c>
      <c r="AD32" s="644">
        <f t="shared" si="127"/>
        <v>327105.13225279999</v>
      </c>
      <c r="AE32" s="644">
        <f t="shared" si="127"/>
        <v>310344.30394399993</v>
      </c>
      <c r="AF32" s="3353">
        <f t="shared" ref="AF32:AI32" si="128">SUM(AF20:AF31)</f>
        <v>46570.781519999997</v>
      </c>
      <c r="AG32" s="470">
        <f t="shared" si="128"/>
        <v>46955.860000000008</v>
      </c>
      <c r="AH32" s="644">
        <f t="shared" si="128"/>
        <v>373675.91377280001</v>
      </c>
      <c r="AI32" s="644">
        <f t="shared" si="128"/>
        <v>357300.16394399997</v>
      </c>
      <c r="AJ32" s="3628">
        <f t="shared" ref="AJ32:AO32" si="129">SUM(AJ20:AJ31)</f>
        <v>48123.140829600001</v>
      </c>
      <c r="AK32" s="470">
        <f t="shared" si="129"/>
        <v>49044.42</v>
      </c>
      <c r="AL32" s="2422">
        <f t="shared" ref="AL32:AM32" si="130">SUM(AL20:AL31)</f>
        <v>142817.06317919999</v>
      </c>
      <c r="AM32" s="2422">
        <f t="shared" si="130"/>
        <v>143761.32</v>
      </c>
      <c r="AN32" s="644">
        <f t="shared" si="129"/>
        <v>421799.05460239993</v>
      </c>
      <c r="AO32" s="644">
        <f t="shared" si="129"/>
        <v>406344.58394399995</v>
      </c>
      <c r="AP32" s="3628">
        <f t="shared" ref="AP32:AS32" si="131">SUM(AP20:AP31)</f>
        <v>48123.140829600001</v>
      </c>
      <c r="AQ32" s="470">
        <f t="shared" si="131"/>
        <v>48834.140000000007</v>
      </c>
      <c r="AR32" s="644">
        <f t="shared" si="131"/>
        <v>469922.1954320001</v>
      </c>
      <c r="AS32" s="644">
        <f t="shared" si="131"/>
        <v>455178.72394400003</v>
      </c>
      <c r="AT32" s="3628">
        <f t="shared" ref="AT32:AW32" si="132">SUM(AT20:AT31)</f>
        <v>43466.062819199993</v>
      </c>
      <c r="AU32" s="470">
        <f t="shared" si="132"/>
        <v>41392.898950615949</v>
      </c>
      <c r="AV32" s="644">
        <f t="shared" si="132"/>
        <v>513388.25825119996</v>
      </c>
      <c r="AW32" s="644">
        <f t="shared" si="132"/>
        <v>496571.62289461598</v>
      </c>
      <c r="AX32" s="3628">
        <f t="shared" ref="AX32:BE32" si="133">SUM(AX20:AX31)</f>
        <v>48123.140829600001</v>
      </c>
      <c r="AY32" s="470">
        <f t="shared" si="133"/>
        <v>45399.81</v>
      </c>
      <c r="AZ32" s="2422">
        <f t="shared" si="133"/>
        <v>139712.34447839999</v>
      </c>
      <c r="BA32" s="2422">
        <f t="shared" si="133"/>
        <v>135626.84895061591</v>
      </c>
      <c r="BB32" s="1282">
        <f t="shared" ref="BB32:BC32" si="134">SUM(BB20:BB31)</f>
        <v>282529.40765759995</v>
      </c>
      <c r="BC32" s="1282">
        <f t="shared" si="134"/>
        <v>279388.16895061597</v>
      </c>
      <c r="BD32" s="644">
        <f t="shared" si="133"/>
        <v>561511.39908080001</v>
      </c>
      <c r="BE32" s="644">
        <f t="shared" si="133"/>
        <v>541971.43289461592</v>
      </c>
      <c r="BF32" s="4560"/>
    </row>
    <row r="33" spans="1:58" ht="20.25" x14ac:dyDescent="0.25">
      <c r="A33" s="200"/>
      <c r="B33" s="3071" t="s">
        <v>142</v>
      </c>
      <c r="C33" s="3071"/>
      <c r="D33" s="3062"/>
      <c r="E33" s="3071"/>
      <c r="F33" s="3062"/>
      <c r="G33" s="3071"/>
      <c r="H33" s="3071"/>
      <c r="I33" s="3071"/>
      <c r="J33" s="3062"/>
      <c r="K33" s="3071"/>
      <c r="L33" s="3071"/>
      <c r="M33" s="3071"/>
      <c r="N33" s="3062"/>
      <c r="O33" s="3071"/>
      <c r="P33" s="3071"/>
      <c r="Q33" s="3071"/>
      <c r="R33" s="3062"/>
      <c r="S33" s="3071"/>
      <c r="T33" s="3071"/>
      <c r="U33" s="3071"/>
      <c r="V33" s="3062"/>
      <c r="W33" s="3071"/>
      <c r="X33" s="3071"/>
      <c r="Y33" s="3071"/>
      <c r="Z33" s="3071"/>
      <c r="AA33" s="3071"/>
      <c r="AB33" s="3062"/>
      <c r="AC33" s="3071"/>
      <c r="AD33" s="3071"/>
      <c r="AE33" s="3071"/>
      <c r="AF33" s="3062"/>
      <c r="AG33" s="3071"/>
      <c r="AH33" s="3071"/>
      <c r="AI33" s="3071"/>
      <c r="AJ33" s="3062"/>
      <c r="AK33" s="3071"/>
      <c r="AL33" s="3071"/>
      <c r="AM33" s="3071"/>
      <c r="AN33" s="3071"/>
      <c r="AO33" s="3071"/>
      <c r="AP33" s="3062"/>
      <c r="AQ33" s="3071"/>
      <c r="AR33" s="3071"/>
      <c r="AS33" s="3071"/>
      <c r="AT33" s="3062"/>
      <c r="AU33" s="3071"/>
      <c r="AV33" s="3071"/>
      <c r="AW33" s="3071"/>
      <c r="AX33" s="3062"/>
      <c r="AY33" s="3071"/>
      <c r="AZ33" s="3071"/>
      <c r="BA33" s="3071"/>
      <c r="BB33" s="3071"/>
      <c r="BC33" s="3071"/>
      <c r="BD33" s="3071"/>
      <c r="BE33" s="3071"/>
    </row>
    <row r="34" spans="1:58" x14ac:dyDescent="0.25">
      <c r="A34" s="200"/>
      <c r="B34" s="3065" t="s">
        <v>369</v>
      </c>
      <c r="C34" s="355" t="s">
        <v>368</v>
      </c>
      <c r="D34" s="483">
        <v>880</v>
      </c>
      <c r="E34" s="238">
        <v>910.27833328105805</v>
      </c>
      <c r="F34" s="483">
        <v>880</v>
      </c>
      <c r="G34" s="238">
        <v>929.4</v>
      </c>
      <c r="H34" s="1599">
        <v>880</v>
      </c>
      <c r="I34" s="2418">
        <f>+((E34*E37*E2)+(G2*G37*G34))/(I37*I2)</f>
        <v>920.06463655330981</v>
      </c>
      <c r="J34" s="483">
        <v>880</v>
      </c>
      <c r="K34" s="238">
        <v>918.28</v>
      </c>
      <c r="L34" s="2901">
        <v>880</v>
      </c>
      <c r="M34" s="2415">
        <f>+((I34*I37*I2)+(K2*K37*K34))/(M37*M2)</f>
        <v>919.21122437691531</v>
      </c>
      <c r="N34" s="483">
        <v>880</v>
      </c>
      <c r="O34" s="238">
        <v>926.75</v>
      </c>
      <c r="P34" s="1599">
        <v>880</v>
      </c>
      <c r="Q34" s="2418">
        <f>+((M34*M37*M2)+(O2*O37*O34))/(Q37*Q2)</f>
        <v>921.64290227611411</v>
      </c>
      <c r="R34" s="483">
        <v>880</v>
      </c>
      <c r="S34" s="238">
        <v>915.62</v>
      </c>
      <c r="T34" s="1599">
        <v>880</v>
      </c>
      <c r="U34" s="2418">
        <f>+((Q34*Q37*Q2)+(S2*S37*S34))/(U37*U2)</f>
        <v>920.15878694682635</v>
      </c>
      <c r="V34" s="483">
        <v>880</v>
      </c>
      <c r="W34" s="238">
        <v>914.77</v>
      </c>
      <c r="X34" s="2901">
        <v>880</v>
      </c>
      <c r="Y34" s="2415">
        <f>+((O34*O37*O2)+(S34*S37*S2)+(W2*W37*W34))/(Y37*Y2)</f>
        <v>919.05727409195231</v>
      </c>
      <c r="Z34" s="1134">
        <v>880</v>
      </c>
      <c r="AA34" s="1134">
        <f>+((M34*M37*M2)+(Y2*Y37*Y34))/(AA37*AA2)</f>
        <v>919.12072805524815</v>
      </c>
      <c r="AB34" s="483">
        <v>880</v>
      </c>
      <c r="AC34" s="238">
        <v>918.15</v>
      </c>
      <c r="AD34" s="3173">
        <v>880</v>
      </c>
      <c r="AE34" s="3163">
        <f>+((AA34*AA37*AA2)+(AC2*AC37*AC34))/(AE37*AE2)</f>
        <v>918.95241805519788</v>
      </c>
      <c r="AF34" s="483">
        <v>880</v>
      </c>
      <c r="AG34" s="238">
        <v>936.38</v>
      </c>
      <c r="AH34" s="3348">
        <v>880</v>
      </c>
      <c r="AI34" s="3347">
        <f>+((AE34*AE37*AE2)+(AG2*AG37*AG34))/(AI37*AI2)</f>
        <v>921.36708886256849</v>
      </c>
      <c r="AJ34" s="483">
        <v>880</v>
      </c>
      <c r="AK34" s="3640">
        <v>943.43</v>
      </c>
      <c r="AL34" s="3622">
        <v>880</v>
      </c>
      <c r="AM34" s="3600">
        <f>+((AC34*AC37*AC2)+(AG34*AG37*AG2)+(AK2*AK37*AK34))/(AM37*AM2)</f>
        <v>932.53343507753038</v>
      </c>
      <c r="AN34" s="3623">
        <v>880</v>
      </c>
      <c r="AO34" s="3597">
        <f>+((AI34*AI37*AI2)+(AK2*AK37*AK34))/(AO37*AO2)</f>
        <v>924.21556500877648</v>
      </c>
      <c r="AP34" s="483">
        <v>880</v>
      </c>
      <c r="AQ34" s="3907">
        <v>934.32</v>
      </c>
      <c r="AR34" s="3623">
        <v>880</v>
      </c>
      <c r="AS34" s="3909">
        <f>+((AO34*AO37*AO2)+(AQ2*AQ37*AQ34))/(AS37*AS2)</f>
        <v>925.36939164477951</v>
      </c>
      <c r="AT34" s="483">
        <v>880</v>
      </c>
      <c r="AU34" s="4060">
        <v>934.64045255069584</v>
      </c>
      <c r="AV34" s="3623">
        <v>880</v>
      </c>
      <c r="AW34" s="4062">
        <f>+((AS34*AS37*AS2)+(AU2*AU37*AU34))/(AW37*AW2)</f>
        <v>926.22513915262687</v>
      </c>
      <c r="AX34" s="483">
        <v>880</v>
      </c>
      <c r="AY34" s="4378">
        <v>933.71</v>
      </c>
      <c r="AZ34" s="3622">
        <v>880</v>
      </c>
      <c r="BA34" s="4380">
        <f>+((AQ34*AQ37*AQ2)+(AU34*AU37*AU2)+(AY2*AY37*AY34))/(BA37*BA2)</f>
        <v>934.20603158034692</v>
      </c>
      <c r="BB34" s="4382">
        <v>880</v>
      </c>
      <c r="BC34" s="4382">
        <f>+((AM34*AM37*AM2)+(BA2*BA37*BA34))/(BC37*BC2)</f>
        <v>933.36309253528862</v>
      </c>
      <c r="BD34" s="3623">
        <v>880</v>
      </c>
      <c r="BE34" s="4381">
        <f>+((AW34*AW37*AW2)+(AY2*AY37*AY34))/(BE37*BE2)</f>
        <v>926.93424288471851</v>
      </c>
    </row>
    <row r="35" spans="1:58" x14ac:dyDescent="0.25">
      <c r="A35" s="200"/>
      <c r="B35" s="3065" t="s">
        <v>375</v>
      </c>
      <c r="C35" s="355" t="s">
        <v>365</v>
      </c>
      <c r="D35" s="475">
        <v>188700</v>
      </c>
      <c r="E35" s="238">
        <v>181639.88099999999</v>
      </c>
      <c r="F35" s="475">
        <v>227799.99999998201</v>
      </c>
      <c r="G35" s="238">
        <v>190413.9</v>
      </c>
      <c r="H35" s="2418">
        <f>+D35+F35</f>
        <v>416499.99999998201</v>
      </c>
      <c r="I35" s="2418">
        <f>+E35+G35</f>
        <v>372053.78099999996</v>
      </c>
      <c r="J35" s="475">
        <v>368314.87499999994</v>
      </c>
      <c r="K35" s="238">
        <v>340965.33</v>
      </c>
      <c r="L35" s="2415">
        <f>+D35+F35+J35</f>
        <v>784814.87499998196</v>
      </c>
      <c r="M35" s="4558">
        <f>+E35+G35+K35</f>
        <v>713019.11100000003</v>
      </c>
      <c r="N35" s="475">
        <v>380800.125</v>
      </c>
      <c r="O35" s="238">
        <v>339494.74</v>
      </c>
      <c r="P35" s="2418">
        <f>+L35+N35</f>
        <v>1165614.9999999818</v>
      </c>
      <c r="Q35" s="2418">
        <f>+M35+O35</f>
        <v>1052513.851</v>
      </c>
      <c r="R35" s="475">
        <f>511.828125*31*24</f>
        <v>380800.125</v>
      </c>
      <c r="S35" s="238">
        <v>344156.26</v>
      </c>
      <c r="T35" s="2418">
        <f>+P35+R35</f>
        <v>1546415.1249999818</v>
      </c>
      <c r="U35" s="2418">
        <f>+Q35+S35</f>
        <v>1396670.111</v>
      </c>
      <c r="V35" s="475">
        <v>370372.5</v>
      </c>
      <c r="W35" s="238">
        <v>333237.52</v>
      </c>
      <c r="X35" s="2415">
        <f t="shared" ref="X35" si="135">+V35+R35+N35</f>
        <v>1131972.75</v>
      </c>
      <c r="Y35" s="2415">
        <f t="shared" ref="Y35" si="136">+W35+S35+O35</f>
        <v>1016888.52</v>
      </c>
      <c r="Z35" s="1134">
        <f t="shared" ref="Z35" si="137">+L35+X35</f>
        <v>1916787.6249999818</v>
      </c>
      <c r="AA35" s="1134">
        <f t="shared" ref="AA35" si="138">+Y35+M35</f>
        <v>1729907.6310000001</v>
      </c>
      <c r="AB35" s="4556">
        <f>514.6875*31*24</f>
        <v>382927.5</v>
      </c>
      <c r="AC35" s="238">
        <v>362854.19</v>
      </c>
      <c r="AD35" s="3163">
        <f>+Z35+AB35</f>
        <v>2299715.1249999818</v>
      </c>
      <c r="AE35" s="3163">
        <f>+AA35+AC35</f>
        <v>2092761.821</v>
      </c>
      <c r="AF35" s="3346">
        <v>370372.5</v>
      </c>
      <c r="AG35" s="238">
        <v>336599</v>
      </c>
      <c r="AH35" s="3347">
        <f>+AD35+AF35</f>
        <v>2670087.6249999818</v>
      </c>
      <c r="AI35" s="3347">
        <f>+AE35+AG35</f>
        <v>2429360.821</v>
      </c>
      <c r="AJ35" s="3601">
        <v>382927.5</v>
      </c>
      <c r="AK35" s="3640">
        <v>360144.67</v>
      </c>
      <c r="AL35" s="3600">
        <f t="shared" ref="AL35" si="139">+AJ35+AF35+AB35</f>
        <v>1136227.5</v>
      </c>
      <c r="AM35" s="3600">
        <f t="shared" ref="AM35" si="140">+AK35+AG35+AC35</f>
        <v>1059597.8599999999</v>
      </c>
      <c r="AN35" s="3597">
        <f>+AH35+AJ35</f>
        <v>3053015.1249999818</v>
      </c>
      <c r="AO35" s="3597">
        <f>+AI35+AK35</f>
        <v>2789505.4909999999</v>
      </c>
      <c r="AP35" s="3908">
        <v>382927.5</v>
      </c>
      <c r="AQ35" s="3907">
        <v>359596.31</v>
      </c>
      <c r="AR35" s="3909">
        <f>+AN35+AP35</f>
        <v>3435942.6249999818</v>
      </c>
      <c r="AS35" s="3909">
        <f>+AO35+AQ35</f>
        <v>3149101.801</v>
      </c>
      <c r="AT35" s="4556">
        <f>504.9562552083*28*24</f>
        <v>339330.60349997762</v>
      </c>
      <c r="AU35" s="4060">
        <v>320230.02480000001</v>
      </c>
      <c r="AV35" s="4062">
        <f>+AR35+AT35</f>
        <v>3775273.2284999592</v>
      </c>
      <c r="AW35" s="4062">
        <f>+AS35+AU35</f>
        <v>3469331.8257999998</v>
      </c>
      <c r="AX35" s="4379">
        <v>382927.5</v>
      </c>
      <c r="AY35" s="4378">
        <v>363076.2</v>
      </c>
      <c r="AZ35" s="4380">
        <f t="shared" ref="AZ35" si="141">+AX35+AT35+AP35</f>
        <v>1105185.6034999776</v>
      </c>
      <c r="BA35" s="4380">
        <f t="shared" ref="BA35" si="142">+AY35+AU35+AQ35</f>
        <v>1042902.5348</v>
      </c>
      <c r="BB35" s="4382">
        <f>+AL35+AZ35</f>
        <v>2241413.1034999778</v>
      </c>
      <c r="BC35" s="4382">
        <f>+AM35+BA35</f>
        <v>2102500.3947999999</v>
      </c>
      <c r="BD35" s="4381">
        <f>+AV35+AX35</f>
        <v>4158200.7284999592</v>
      </c>
      <c r="BE35" s="4381">
        <f>+AW35+AY35</f>
        <v>3832408.0257999999</v>
      </c>
    </row>
    <row r="36" spans="1:58" ht="18.75" x14ac:dyDescent="0.25">
      <c r="A36" s="200"/>
      <c r="B36" s="3072" t="s">
        <v>372</v>
      </c>
      <c r="C36" s="3068" t="s">
        <v>365</v>
      </c>
      <c r="D36" s="1730">
        <f t="shared" ref="D36" si="143">SUM(D35)</f>
        <v>188700</v>
      </c>
      <c r="E36" s="1830">
        <f t="shared" ref="E36:I36" si="144">SUM(E35)</f>
        <v>181639.88099999999</v>
      </c>
      <c r="F36" s="1730">
        <f t="shared" si="144"/>
        <v>227799.99999998201</v>
      </c>
      <c r="G36" s="1830">
        <f t="shared" si="144"/>
        <v>190413.9</v>
      </c>
      <c r="H36" s="1831">
        <f t="shared" si="144"/>
        <v>416499.99999998201</v>
      </c>
      <c r="I36" s="1831">
        <f t="shared" si="144"/>
        <v>372053.78099999996</v>
      </c>
      <c r="J36" s="1730">
        <f t="shared" ref="J36:Q36" si="145">SUM(J35)</f>
        <v>368314.87499999994</v>
      </c>
      <c r="K36" s="1830">
        <f t="shared" si="145"/>
        <v>340965.33</v>
      </c>
      <c r="L36" s="1832">
        <f t="shared" si="145"/>
        <v>784814.87499998196</v>
      </c>
      <c r="M36" s="1832">
        <f t="shared" si="145"/>
        <v>713019.11100000003</v>
      </c>
      <c r="N36" s="1730">
        <f t="shared" si="145"/>
        <v>380800.125</v>
      </c>
      <c r="O36" s="1830">
        <f t="shared" si="145"/>
        <v>339494.74</v>
      </c>
      <c r="P36" s="1831">
        <f t="shared" si="145"/>
        <v>1165614.9999999818</v>
      </c>
      <c r="Q36" s="1831">
        <f t="shared" si="145"/>
        <v>1052513.851</v>
      </c>
      <c r="R36" s="1730">
        <f t="shared" ref="R36:U36" si="146">SUM(R35)</f>
        <v>380800.125</v>
      </c>
      <c r="S36" s="1830">
        <f t="shared" si="146"/>
        <v>344156.26</v>
      </c>
      <c r="T36" s="1831">
        <f t="shared" si="146"/>
        <v>1546415.1249999818</v>
      </c>
      <c r="U36" s="1831">
        <f t="shared" si="146"/>
        <v>1396670.111</v>
      </c>
      <c r="V36" s="1730">
        <f t="shared" ref="V36:W36" si="147">SUM(V35)</f>
        <v>370372.5</v>
      </c>
      <c r="W36" s="1830">
        <f t="shared" si="147"/>
        <v>333237.52</v>
      </c>
      <c r="X36" s="1832">
        <f t="shared" ref="X36:AE36" si="148">SUM(X35)</f>
        <v>1131972.75</v>
      </c>
      <c r="Y36" s="1832">
        <f t="shared" si="148"/>
        <v>1016888.52</v>
      </c>
      <c r="Z36" s="1833">
        <f t="shared" si="148"/>
        <v>1916787.6249999818</v>
      </c>
      <c r="AA36" s="1833">
        <f t="shared" si="148"/>
        <v>1729907.6310000001</v>
      </c>
      <c r="AB36" s="1730">
        <f t="shared" si="148"/>
        <v>382927.5</v>
      </c>
      <c r="AC36" s="1830">
        <f t="shared" si="148"/>
        <v>362854.19</v>
      </c>
      <c r="AD36" s="1831">
        <f t="shared" si="148"/>
        <v>2299715.1249999818</v>
      </c>
      <c r="AE36" s="1831">
        <f t="shared" si="148"/>
        <v>2092761.821</v>
      </c>
      <c r="AF36" s="1730">
        <f t="shared" ref="AF36:AI36" si="149">SUM(AF35)</f>
        <v>370372.5</v>
      </c>
      <c r="AG36" s="1830">
        <f t="shared" si="149"/>
        <v>336599</v>
      </c>
      <c r="AH36" s="1831">
        <f t="shared" si="149"/>
        <v>2670087.6249999818</v>
      </c>
      <c r="AI36" s="1831">
        <f t="shared" si="149"/>
        <v>2429360.821</v>
      </c>
      <c r="AJ36" s="1730">
        <f t="shared" ref="AJ36:AO36" si="150">SUM(AJ35)</f>
        <v>382927.5</v>
      </c>
      <c r="AK36" s="1830">
        <f t="shared" si="150"/>
        <v>360144.67</v>
      </c>
      <c r="AL36" s="1832">
        <f t="shared" si="150"/>
        <v>1136227.5</v>
      </c>
      <c r="AM36" s="1832">
        <f t="shared" si="150"/>
        <v>1059597.8599999999</v>
      </c>
      <c r="AN36" s="1831">
        <f t="shared" si="150"/>
        <v>3053015.1249999818</v>
      </c>
      <c r="AO36" s="1831">
        <f t="shared" si="150"/>
        <v>2789505.4909999999</v>
      </c>
      <c r="AP36" s="1730">
        <f t="shared" ref="AP36:AS36" si="151">SUM(AP35)</f>
        <v>382927.5</v>
      </c>
      <c r="AQ36" s="1830">
        <f t="shared" si="151"/>
        <v>359596.31</v>
      </c>
      <c r="AR36" s="1831">
        <f t="shared" si="151"/>
        <v>3435942.6249999818</v>
      </c>
      <c r="AS36" s="1831">
        <f t="shared" si="151"/>
        <v>3149101.801</v>
      </c>
      <c r="AT36" s="1730">
        <f t="shared" ref="AT36:AW36" si="152">SUM(AT35)</f>
        <v>339330.60349997762</v>
      </c>
      <c r="AU36" s="1830">
        <f t="shared" si="152"/>
        <v>320230.02480000001</v>
      </c>
      <c r="AV36" s="1831">
        <f t="shared" si="152"/>
        <v>3775273.2284999592</v>
      </c>
      <c r="AW36" s="1831">
        <f t="shared" si="152"/>
        <v>3469331.8257999998</v>
      </c>
      <c r="AX36" s="1730">
        <f t="shared" ref="AX36:BE36" si="153">SUM(AX35)</f>
        <v>382927.5</v>
      </c>
      <c r="AY36" s="1830">
        <f t="shared" si="153"/>
        <v>363076.2</v>
      </c>
      <c r="AZ36" s="1832">
        <f t="shared" si="153"/>
        <v>1105185.6034999776</v>
      </c>
      <c r="BA36" s="1832">
        <f t="shared" si="153"/>
        <v>1042902.5348</v>
      </c>
      <c r="BB36" s="1833">
        <f t="shared" ref="BB36:BC36" si="154">SUM(BB35)</f>
        <v>2241413.1034999778</v>
      </c>
      <c r="BC36" s="1833">
        <f t="shared" si="154"/>
        <v>2102500.3947999999</v>
      </c>
      <c r="BD36" s="1831">
        <f t="shared" si="153"/>
        <v>4158200.7284999592</v>
      </c>
      <c r="BE36" s="1831">
        <f t="shared" si="153"/>
        <v>3832408.0257999999</v>
      </c>
    </row>
    <row r="37" spans="1:58" ht="15.75" x14ac:dyDescent="0.25">
      <c r="A37" s="200"/>
      <c r="B37" s="3073" t="s">
        <v>373</v>
      </c>
      <c r="C37" s="2427" t="s">
        <v>367</v>
      </c>
      <c r="D37" s="2455">
        <f t="shared" ref="D37:AE37" si="155">+D36/(D2*24)</f>
        <v>262.08333333333331</v>
      </c>
      <c r="E37" s="2460">
        <f t="shared" si="155"/>
        <v>252.2776125</v>
      </c>
      <c r="F37" s="2455">
        <f t="shared" si="155"/>
        <v>306.18279569890058</v>
      </c>
      <c r="G37" s="2460">
        <f t="shared" si="155"/>
        <v>255.93266129032259</v>
      </c>
      <c r="H37" s="2456">
        <f t="shared" si="155"/>
        <v>284.49453551911341</v>
      </c>
      <c r="I37" s="2456">
        <f t="shared" si="155"/>
        <v>254.13509631147539</v>
      </c>
      <c r="J37" s="2455">
        <f t="shared" si="155"/>
        <v>511.54843749999992</v>
      </c>
      <c r="K37" s="2460">
        <f t="shared" si="155"/>
        <v>473.56295833333337</v>
      </c>
      <c r="L37" s="2457">
        <f t="shared" si="155"/>
        <v>359.347470238087</v>
      </c>
      <c r="M37" s="2457">
        <f t="shared" si="155"/>
        <v>326.47395192307692</v>
      </c>
      <c r="N37" s="2455">
        <f t="shared" si="155"/>
        <v>511.828125</v>
      </c>
      <c r="O37" s="2460">
        <f t="shared" si="155"/>
        <v>456.31013440860215</v>
      </c>
      <c r="P37" s="2456">
        <f t="shared" si="155"/>
        <v>398.09255464480253</v>
      </c>
      <c r="Q37" s="2456">
        <f t="shared" si="155"/>
        <v>359.4651130464481</v>
      </c>
      <c r="R37" s="2455">
        <f t="shared" ref="R37:U37" si="156">+R36/(R2*24)</f>
        <v>511.828125</v>
      </c>
      <c r="S37" s="2460">
        <f t="shared" si="156"/>
        <v>462.57561827956988</v>
      </c>
      <c r="T37" s="2456">
        <f t="shared" si="156"/>
        <v>421.13701661219551</v>
      </c>
      <c r="U37" s="2456">
        <f t="shared" si="156"/>
        <v>380.35678404139435</v>
      </c>
      <c r="V37" s="2455">
        <f t="shared" ref="V37:W37" si="157">+V36/(V2*24)</f>
        <v>514.40625</v>
      </c>
      <c r="W37" s="2460">
        <f t="shared" si="157"/>
        <v>462.82988888888889</v>
      </c>
      <c r="X37" s="2457">
        <f t="shared" si="155"/>
        <v>512.66881793478262</v>
      </c>
      <c r="Y37" s="2457">
        <f t="shared" si="155"/>
        <v>460.54733695652175</v>
      </c>
      <c r="Z37" s="2459">
        <f t="shared" si="155"/>
        <v>436.42705487249134</v>
      </c>
      <c r="AA37" s="2459">
        <f t="shared" si="155"/>
        <v>393.87696516393441</v>
      </c>
      <c r="AB37" s="3630">
        <f t="shared" si="155"/>
        <v>514.6875</v>
      </c>
      <c r="AC37" s="2460">
        <f t="shared" si="155"/>
        <v>487.70724462365592</v>
      </c>
      <c r="AD37" s="3178">
        <f t="shared" si="155"/>
        <v>447.76384832554163</v>
      </c>
      <c r="AE37" s="3178">
        <f t="shared" si="155"/>
        <v>407.46920190809971</v>
      </c>
      <c r="AF37" s="3351">
        <f t="shared" ref="AF37:AI37" si="158">+AF36/(AF2*24)</f>
        <v>514.40625</v>
      </c>
      <c r="AG37" s="2460">
        <f t="shared" si="158"/>
        <v>467.49861111111113</v>
      </c>
      <c r="AH37" s="3352">
        <f t="shared" si="158"/>
        <v>455.95758623633571</v>
      </c>
      <c r="AI37" s="3352">
        <f t="shared" si="158"/>
        <v>414.84986697404372</v>
      </c>
      <c r="AJ37" s="3630">
        <f t="shared" ref="AJ37:AO37" si="159">+AJ36/(AJ2*24)</f>
        <v>514.6875</v>
      </c>
      <c r="AK37" s="2460">
        <f t="shared" si="159"/>
        <v>484.06541666666664</v>
      </c>
      <c r="AL37" s="3629">
        <f t="shared" si="159"/>
        <v>514.59578804347825</v>
      </c>
      <c r="AM37" s="3629">
        <f t="shared" si="159"/>
        <v>479.89033514492746</v>
      </c>
      <c r="AN37" s="3631">
        <f t="shared" si="159"/>
        <v>462.57804924242151</v>
      </c>
      <c r="AO37" s="3631">
        <f t="shared" si="159"/>
        <v>422.65234712121213</v>
      </c>
      <c r="AP37" s="3630">
        <f t="shared" ref="AP37:AS37" si="160">+AP36/(AP2*24)</f>
        <v>514.6875</v>
      </c>
      <c r="AQ37" s="2460">
        <f t="shared" si="160"/>
        <v>483.32837365591399</v>
      </c>
      <c r="AR37" s="3631">
        <f t="shared" si="160"/>
        <v>467.85711124727419</v>
      </c>
      <c r="AS37" s="3631">
        <f t="shared" si="160"/>
        <v>428.79926484204793</v>
      </c>
      <c r="AT37" s="3630">
        <f t="shared" ref="AT37" si="161">+AT36/(AT2*24)</f>
        <v>504.95625520830004</v>
      </c>
      <c r="AU37" s="2460">
        <f t="shared" ref="AU37:AW37" si="162">+AU36/(AU2*24)</f>
        <v>476.53277500000002</v>
      </c>
      <c r="AV37" s="3631">
        <f t="shared" si="162"/>
        <v>470.96721912424641</v>
      </c>
      <c r="AW37" s="3631">
        <f t="shared" si="162"/>
        <v>432.80087647205585</v>
      </c>
      <c r="AX37" s="3630">
        <f t="shared" ref="AX37:BE37" si="163">+AX36/(AX2*24)</f>
        <v>514.6875</v>
      </c>
      <c r="AY37" s="2460">
        <f t="shared" si="163"/>
        <v>488.00564516129032</v>
      </c>
      <c r="AZ37" s="3629">
        <f t="shared" si="163"/>
        <v>511.66000162035999</v>
      </c>
      <c r="BA37" s="3629">
        <f t="shared" si="163"/>
        <v>482.82524759259258</v>
      </c>
      <c r="BB37" s="3588">
        <f t="shared" ref="BB37:BC37" si="164">+BB36/(BB2*24)</f>
        <v>513.14402552655167</v>
      </c>
      <c r="BC37" s="3588">
        <f t="shared" si="164"/>
        <v>481.34166547619043</v>
      </c>
      <c r="BD37" s="3631">
        <f t="shared" si="163"/>
        <v>474.68044845889943</v>
      </c>
      <c r="BE37" s="3631">
        <f t="shared" si="163"/>
        <v>437.48950066210045</v>
      </c>
    </row>
    <row r="38" spans="1:58" ht="15.75" x14ac:dyDescent="0.25">
      <c r="A38" s="200"/>
      <c r="B38" s="2425" t="s">
        <v>57</v>
      </c>
      <c r="C38" s="672" t="s">
        <v>365</v>
      </c>
      <c r="D38" s="4835">
        <v>14400</v>
      </c>
      <c r="E38" s="238">
        <v>1634.7589290000001</v>
      </c>
      <c r="F38" s="4835">
        <v>14880</v>
      </c>
      <c r="G38" s="238">
        <v>1972.9</v>
      </c>
      <c r="H38" s="5354">
        <f>+D38+F38</f>
        <v>29280</v>
      </c>
      <c r="I38" s="2418">
        <f>+E38+G38</f>
        <v>3607.6589290000002</v>
      </c>
      <c r="J38" s="4835">
        <v>14400</v>
      </c>
      <c r="K38" s="238">
        <v>3068.69</v>
      </c>
      <c r="L38" s="5355">
        <f>+H38+J38</f>
        <v>43680</v>
      </c>
      <c r="M38" s="2415">
        <f>+I38+K38</f>
        <v>6676.3489289999998</v>
      </c>
      <c r="N38" s="4835">
        <v>14880</v>
      </c>
      <c r="O38" s="1615">
        <v>4371.92</v>
      </c>
      <c r="P38" s="5354">
        <f>+L38+N38</f>
        <v>58560</v>
      </c>
      <c r="Q38" s="2418">
        <f>+M38+O38</f>
        <v>11048.268929</v>
      </c>
      <c r="R38" s="4835">
        <v>14880</v>
      </c>
      <c r="S38" s="1615">
        <v>3097.41</v>
      </c>
      <c r="T38" s="5354">
        <f>+P38+R38</f>
        <v>73440</v>
      </c>
      <c r="U38" s="2418">
        <f>+Q38+S38</f>
        <v>14145.678929</v>
      </c>
      <c r="V38" s="4835">
        <v>14400</v>
      </c>
      <c r="W38" s="1615">
        <v>2999.14</v>
      </c>
      <c r="X38" s="5355">
        <f>+N38+R38+V38</f>
        <v>44160</v>
      </c>
      <c r="Y38" s="2415">
        <f t="shared" ref="Y38:Y39" si="165">+W38+S38+O38</f>
        <v>10468.469999999999</v>
      </c>
      <c r="Z38" s="5357">
        <f>+X38+L38</f>
        <v>87840</v>
      </c>
      <c r="AA38" s="1134">
        <f t="shared" ref="AA38:AA39" si="166">+Y38+M38</f>
        <v>17144.818929000001</v>
      </c>
      <c r="AB38" s="4835">
        <v>14880</v>
      </c>
      <c r="AC38" s="1615">
        <v>3265.69</v>
      </c>
      <c r="AD38" s="5354">
        <f>+Z38+AB38</f>
        <v>102720</v>
      </c>
      <c r="AE38" s="3163">
        <f>+AA38+AC38</f>
        <v>20410.508929</v>
      </c>
      <c r="AF38" s="4835">
        <v>14400</v>
      </c>
      <c r="AG38" s="1615">
        <v>3029.39</v>
      </c>
      <c r="AH38" s="5354">
        <f>+AD38+AF38</f>
        <v>117120</v>
      </c>
      <c r="AI38" s="3347">
        <f>+AE38+AG38</f>
        <v>23439.898928999999</v>
      </c>
      <c r="AJ38" s="4835">
        <v>14880</v>
      </c>
      <c r="AK38" s="1615">
        <v>3241.3</v>
      </c>
      <c r="AL38" s="5355">
        <f>+AB38+AF38+AJ38</f>
        <v>44160</v>
      </c>
      <c r="AM38" s="3600">
        <f t="shared" ref="AM38:AM39" si="167">+AK38+AG38+AC38</f>
        <v>9536.380000000001</v>
      </c>
      <c r="AN38" s="5354">
        <f>+AH38+AJ38</f>
        <v>132000</v>
      </c>
      <c r="AO38" s="3597">
        <f>+AI38+AK38</f>
        <v>26681.198928999998</v>
      </c>
      <c r="AP38" s="4835">
        <v>14880</v>
      </c>
      <c r="AQ38" s="1615">
        <v>3236.37</v>
      </c>
      <c r="AR38" s="5354">
        <f>+AN38+AP38</f>
        <v>146880</v>
      </c>
      <c r="AS38" s="3909">
        <f>+AO38+AQ38</f>
        <v>29917.568928999997</v>
      </c>
      <c r="AT38" s="4835">
        <v>13440</v>
      </c>
      <c r="AU38" s="1615">
        <v>2882.0702232000003</v>
      </c>
      <c r="AV38" s="5354">
        <f>+AR38+AT38</f>
        <v>160320</v>
      </c>
      <c r="AW38" s="4062">
        <f>+AS38+AU38</f>
        <v>32799.639152199998</v>
      </c>
      <c r="AX38" s="4835">
        <v>14880</v>
      </c>
      <c r="AY38" s="1615">
        <v>3267.69</v>
      </c>
      <c r="AZ38" s="5355">
        <f>+AP38+AT38+AX38</f>
        <v>43200</v>
      </c>
      <c r="BA38" s="4380">
        <f t="shared" ref="BA38:BA39" si="168">+AY38+AU38+AQ38</f>
        <v>9386.1302232000016</v>
      </c>
      <c r="BB38" s="5357">
        <f>+AL38+AZ38</f>
        <v>87360</v>
      </c>
      <c r="BC38" s="4382">
        <f>+AM38+BA38</f>
        <v>18922.510223200003</v>
      </c>
      <c r="BD38" s="5354">
        <f>+AV38+AX38</f>
        <v>175200</v>
      </c>
      <c r="BE38" s="4381">
        <f>+AW38+AY38</f>
        <v>36067.3291522</v>
      </c>
    </row>
    <row r="39" spans="1:58" ht="15" customHeight="1" x14ac:dyDescent="0.25">
      <c r="A39" s="200"/>
      <c r="B39" s="3066" t="s">
        <v>551</v>
      </c>
      <c r="C39" s="355" t="s">
        <v>365</v>
      </c>
      <c r="D39" s="4835"/>
      <c r="E39" s="238">
        <v>7755.4147684204299</v>
      </c>
      <c r="F39" s="4835"/>
      <c r="G39" s="238">
        <v>12172.8</v>
      </c>
      <c r="H39" s="5354"/>
      <c r="I39" s="2418">
        <f>+E39+G39</f>
        <v>19928.214768420428</v>
      </c>
      <c r="J39" s="4835"/>
      <c r="K39" s="238">
        <v>13488.49</v>
      </c>
      <c r="L39" s="5355"/>
      <c r="M39" s="2415">
        <f>+I39+K39</f>
        <v>33416.70476842043</v>
      </c>
      <c r="N39" s="4835"/>
      <c r="O39" s="238">
        <v>13069.61</v>
      </c>
      <c r="P39" s="5354"/>
      <c r="Q39" s="2418">
        <f>+M39+O39</f>
        <v>46486.31476842043</v>
      </c>
      <c r="R39" s="4835"/>
      <c r="S39" s="238">
        <v>14712.49</v>
      </c>
      <c r="T39" s="5354"/>
      <c r="U39" s="2418">
        <f>+Q39+S39</f>
        <v>61198.804768420428</v>
      </c>
      <c r="V39" s="4835"/>
      <c r="W39" s="238">
        <v>13604.22</v>
      </c>
      <c r="X39" s="5355"/>
      <c r="Y39" s="2415">
        <f t="shared" si="165"/>
        <v>41386.32</v>
      </c>
      <c r="Z39" s="5358"/>
      <c r="AA39" s="1134">
        <f t="shared" si="166"/>
        <v>74803.024768420437</v>
      </c>
      <c r="AB39" s="4835"/>
      <c r="AC39" s="238">
        <v>14601.15</v>
      </c>
      <c r="AD39" s="5354"/>
      <c r="AE39" s="3163">
        <f>+AA39+AC39</f>
        <v>89404.174768420431</v>
      </c>
      <c r="AF39" s="4835"/>
      <c r="AG39" s="238">
        <v>13289.51</v>
      </c>
      <c r="AH39" s="5354"/>
      <c r="AI39" s="3347">
        <f>+AE39+AG39</f>
        <v>102693.68476842043</v>
      </c>
      <c r="AJ39" s="4835"/>
      <c r="AK39" s="3640">
        <v>13553.6</v>
      </c>
      <c r="AL39" s="5355"/>
      <c r="AM39" s="3600">
        <f t="shared" si="167"/>
        <v>41444.26</v>
      </c>
      <c r="AN39" s="5354"/>
      <c r="AO39" s="3597">
        <f>+AI39+AK39</f>
        <v>116247.28476842043</v>
      </c>
      <c r="AP39" s="4835"/>
      <c r="AQ39" s="3907">
        <v>12558.31</v>
      </c>
      <c r="AR39" s="5354"/>
      <c r="AS39" s="3909">
        <f>+AO39+AQ39</f>
        <v>128805.59476842043</v>
      </c>
      <c r="AT39" s="4835"/>
      <c r="AU39" s="4060">
        <v>50455.886186781267</v>
      </c>
      <c r="AV39" s="5354"/>
      <c r="AW39" s="4062">
        <f>+AS39+AU39</f>
        <v>179261.4809552017</v>
      </c>
      <c r="AX39" s="4835"/>
      <c r="AY39" s="4378">
        <v>74219.95</v>
      </c>
      <c r="AZ39" s="5355"/>
      <c r="BA39" s="4380">
        <f t="shared" si="168"/>
        <v>137234.14618678126</v>
      </c>
      <c r="BB39" s="5358"/>
      <c r="BC39" s="4382">
        <f>+AM39+BA39</f>
        <v>178678.40618678127</v>
      </c>
      <c r="BD39" s="5354"/>
      <c r="BE39" s="4381">
        <f>+AW39+AY39</f>
        <v>253481.43095520168</v>
      </c>
    </row>
    <row r="40" spans="1:58" x14ac:dyDescent="0.25">
      <c r="A40" s="200"/>
      <c r="B40" s="3066" t="s">
        <v>76</v>
      </c>
      <c r="C40" s="355" t="s">
        <v>52</v>
      </c>
      <c r="D40" s="3055">
        <f>+D38*100/D36</f>
        <v>7.631160572337043</v>
      </c>
      <c r="E40" s="3055">
        <f>+E39/E36*100</f>
        <v>4.2696651890123354</v>
      </c>
      <c r="F40" s="3055">
        <f>+F38*100/F36</f>
        <v>6.5320456540830447</v>
      </c>
      <c r="G40" s="3055">
        <f>+G39/G36*100</f>
        <v>6.3928106088893726</v>
      </c>
      <c r="H40" s="3074">
        <f>+H38*100/H36</f>
        <v>7.0300120048022245</v>
      </c>
      <c r="I40" s="2418">
        <f>+I39/I36*100</f>
        <v>5.3562726106042264</v>
      </c>
      <c r="J40" s="3055">
        <f>+J38*100/J36</f>
        <v>3.9096981896264715</v>
      </c>
      <c r="K40" s="3055">
        <f>+K39/K36*100</f>
        <v>3.9559711246888356</v>
      </c>
      <c r="L40" s="951">
        <f>+L38*100/L36</f>
        <v>5.5656437449660983</v>
      </c>
      <c r="M40" s="2415">
        <f>+M39/M36*100</f>
        <v>4.6866492430411775</v>
      </c>
      <c r="N40" s="3055">
        <f>+N38*100/N36</f>
        <v>3.9075617425283147</v>
      </c>
      <c r="O40" s="3055">
        <f>+O39/O36*100</f>
        <v>3.8497238572827377</v>
      </c>
      <c r="P40" s="2418">
        <f>+P38*100/P36</f>
        <v>5.0239573100896022</v>
      </c>
      <c r="Q40" s="2418">
        <f>+Q39/Q36*100</f>
        <v>4.4166938728885601</v>
      </c>
      <c r="R40" s="3055">
        <f>+R38*100/R36</f>
        <v>3.9075617425283147</v>
      </c>
      <c r="S40" s="3055">
        <f>+S39/S36*100</f>
        <v>4.2749447591044838</v>
      </c>
      <c r="T40" s="2418">
        <f>+T38*100/T36</f>
        <v>4.7490482220937187</v>
      </c>
      <c r="U40" s="2418">
        <f>+U39/U36*100</f>
        <v>4.3817651918249174</v>
      </c>
      <c r="V40" s="3055">
        <f>+V38*100/V36</f>
        <v>3.8879776441285463</v>
      </c>
      <c r="W40" s="3055">
        <f>+W39/W36*100</f>
        <v>4.0824394563973465</v>
      </c>
      <c r="X40" s="2415">
        <f>+X39/X36*100</f>
        <v>0</v>
      </c>
      <c r="Y40" s="2415">
        <f>+Y39/Y36*100</f>
        <v>4.0698974554260872</v>
      </c>
      <c r="Z40" s="1188">
        <f>+Z39/Z36*100</f>
        <v>0</v>
      </c>
      <c r="AA40" s="1188">
        <f>+AA39/AA36*100</f>
        <v>4.3241051387916816</v>
      </c>
      <c r="AB40" s="3055">
        <f>+AB38*100/AB36</f>
        <v>3.885853066180935</v>
      </c>
      <c r="AC40" s="3055">
        <f>+AC39/AC36*100</f>
        <v>4.0239717226360261</v>
      </c>
      <c r="AD40" s="3163">
        <f>+AD38*100/AD36</f>
        <v>4.4666401887495004</v>
      </c>
      <c r="AE40" s="3163">
        <f>+AE39/AE36*100</f>
        <v>4.2720664086704225</v>
      </c>
      <c r="AF40" s="3055">
        <f>+AF38*100/AF36</f>
        <v>3.8879776441285463</v>
      </c>
      <c r="AG40" s="3055">
        <f>+AG39/AG36*100</f>
        <v>3.9481727515530349</v>
      </c>
      <c r="AH40" s="3347">
        <f>+AH38*100/AH36</f>
        <v>4.3863729004025025</v>
      </c>
      <c r="AI40" s="3347">
        <f>+AI39/AI36*100</f>
        <v>4.2271894681395468</v>
      </c>
      <c r="AJ40" s="3055">
        <f>+AJ38*100/AJ36</f>
        <v>3.885853066180935</v>
      </c>
      <c r="AK40" s="3055">
        <f>+AK39/AK36*100</f>
        <v>3.7633765342133212</v>
      </c>
      <c r="AL40" s="3600">
        <f>+AL39/AL36*100</f>
        <v>0</v>
      </c>
      <c r="AM40" s="3600">
        <f>+AM39/AM36*100</f>
        <v>3.9113197151983683</v>
      </c>
      <c r="AN40" s="3597">
        <f>+AN38*100/AN36</f>
        <v>4.3235946955880467</v>
      </c>
      <c r="AO40" s="3597">
        <f>+AO39/AO36*100</f>
        <v>4.1673079742441148</v>
      </c>
      <c r="AP40" s="3055">
        <f>+AP38*100/AP36</f>
        <v>3.885853066180935</v>
      </c>
      <c r="AQ40" s="3055">
        <f>+AQ39/AQ36*100</f>
        <v>3.4923356137886956</v>
      </c>
      <c r="AR40" s="3909">
        <f>+AR38*100/AR36</f>
        <v>4.2748094491246276</v>
      </c>
      <c r="AS40" s="3909">
        <f>+AS39/AS36*100</f>
        <v>4.0902327999532471</v>
      </c>
      <c r="AT40" s="3055">
        <f>+AT38*100/AT36</f>
        <v>3.9607391320956662</v>
      </c>
      <c r="AU40" s="3055">
        <f>+AU39/AU36*100</f>
        <v>15.756138487730356</v>
      </c>
      <c r="AV40" s="4062">
        <f>+AV38*100/AV36</f>
        <v>4.24658005650363</v>
      </c>
      <c r="AW40" s="4062">
        <f>+AW39/AW36*100</f>
        <v>5.1670318653899718</v>
      </c>
      <c r="AX40" s="3055">
        <f>+AX38*100/AX36</f>
        <v>3.885853066180935</v>
      </c>
      <c r="AY40" s="3055">
        <f>+AY39/AY36*100</f>
        <v>20.44197609207103</v>
      </c>
      <c r="AZ40" s="4380">
        <f>+AZ39/AZ36*100</f>
        <v>0</v>
      </c>
      <c r="BA40" s="4380">
        <f>+BA39/BA36*100</f>
        <v>13.158865915797108</v>
      </c>
      <c r="BB40" s="4415">
        <f>+BB38*100/BB36</f>
        <v>3.8975412369806763</v>
      </c>
      <c r="BC40" s="4415">
        <f>+BC39/BC36*100</f>
        <v>8.4983768197474241</v>
      </c>
      <c r="BD40" s="4381">
        <f>+BD38*100/BD36</f>
        <v>4.2133608125070507</v>
      </c>
      <c r="BE40" s="4381">
        <f>+BE39/BE36*100</f>
        <v>6.6141556235335468</v>
      </c>
    </row>
    <row r="41" spans="1:58" ht="18.75" x14ac:dyDescent="0.25">
      <c r="A41" s="200"/>
      <c r="B41" s="1582" t="s">
        <v>58</v>
      </c>
      <c r="C41" s="3068" t="s">
        <v>365</v>
      </c>
      <c r="D41" s="1730">
        <f>+D36-D38</f>
        <v>174300</v>
      </c>
      <c r="E41" s="1830">
        <f>+E36-E38-E39</f>
        <v>172249.70730257957</v>
      </c>
      <c r="F41" s="1730">
        <f>+F36-F38</f>
        <v>212919.99999998201</v>
      </c>
      <c r="G41" s="1830">
        <f>+G36-G38-G39</f>
        <v>176268.2</v>
      </c>
      <c r="H41" s="1831">
        <f>+D41+F41</f>
        <v>387219.99999998201</v>
      </c>
      <c r="I41" s="1831">
        <f>+I36-I38-I39</f>
        <v>348517.90730257949</v>
      </c>
      <c r="J41" s="1730">
        <f>+J36-J38</f>
        <v>353914.87499999994</v>
      </c>
      <c r="K41" s="1830">
        <f>+K36-K38-K39</f>
        <v>324408.15000000002</v>
      </c>
      <c r="L41" s="1832">
        <f>+H41+J41</f>
        <v>741134.87499998196</v>
      </c>
      <c r="M41" s="1832">
        <f>+M36-M38-M39</f>
        <v>672926.05730257963</v>
      </c>
      <c r="N41" s="1730">
        <f>+N36-N38</f>
        <v>365920.125</v>
      </c>
      <c r="O41" s="1830">
        <f>+O36-O38-O39</f>
        <v>322053.21000000002</v>
      </c>
      <c r="P41" s="1831">
        <f>+L41+N41</f>
        <v>1107054.9999999818</v>
      </c>
      <c r="Q41" s="1831">
        <f>+Q36-Q38-Q39</f>
        <v>994979.2673025796</v>
      </c>
      <c r="R41" s="1730">
        <f>+R36-R38</f>
        <v>365920.125</v>
      </c>
      <c r="S41" s="1830">
        <f>+S36-S38-S39</f>
        <v>326346.36000000004</v>
      </c>
      <c r="T41" s="1831">
        <f>+P41+R41</f>
        <v>1472975.1249999818</v>
      </c>
      <c r="U41" s="1831">
        <f>+U36-U38-U39</f>
        <v>1321325.6273025796</v>
      </c>
      <c r="V41" s="1730">
        <f>+V36-V38</f>
        <v>355972.5</v>
      </c>
      <c r="W41" s="1830">
        <f>+W36-W38-W39</f>
        <v>316634.16000000003</v>
      </c>
      <c r="X41" s="1832">
        <f t="shared" ref="X41" si="169">+V41+R41+N41</f>
        <v>1087812.75</v>
      </c>
      <c r="Y41" s="1832">
        <f t="shared" ref="Y41" si="170">+W41+S41+O41</f>
        <v>965033.73</v>
      </c>
      <c r="Z41" s="1833">
        <f t="shared" ref="Z41" si="171">+L41+X41</f>
        <v>1828947.6249999818</v>
      </c>
      <c r="AA41" s="1833">
        <f t="shared" ref="AA41" si="172">+Y41+M41</f>
        <v>1637959.7873025797</v>
      </c>
      <c r="AB41" s="1730">
        <f>+AB36-AB38</f>
        <v>368047.5</v>
      </c>
      <c r="AC41" s="1830">
        <f>+AC36-AC38-AC39</f>
        <v>344987.35</v>
      </c>
      <c r="AD41" s="1831">
        <f>+Z41+AB41</f>
        <v>2196995.1249999818</v>
      </c>
      <c r="AE41" s="1831">
        <f>+AE36-AE38-AE39</f>
        <v>1982947.1373025796</v>
      </c>
      <c r="AF41" s="1730">
        <f>+AF36-AF38</f>
        <v>355972.5</v>
      </c>
      <c r="AG41" s="1830">
        <f>+AG36-AG38-AG39</f>
        <v>320280.09999999998</v>
      </c>
      <c r="AH41" s="1831">
        <f>+AD41+AF41</f>
        <v>2552967.6249999818</v>
      </c>
      <c r="AI41" s="1831">
        <f>+AI36-AI38-AI39</f>
        <v>2303227.2373025795</v>
      </c>
      <c r="AJ41" s="1730">
        <f>+AJ36-AJ38</f>
        <v>368047.5</v>
      </c>
      <c r="AK41" s="1830">
        <f>+AK36-AK38-AK39</f>
        <v>343349.77</v>
      </c>
      <c r="AL41" s="1832">
        <f t="shared" ref="AL41" si="173">+AJ41+AF41+AB41</f>
        <v>1092067.5</v>
      </c>
      <c r="AM41" s="1832">
        <f t="shared" ref="AM41" si="174">+AK41+AG41+AC41</f>
        <v>1008617.22</v>
      </c>
      <c r="AN41" s="1831">
        <f>+AH41+AJ41</f>
        <v>2921015.1249999818</v>
      </c>
      <c r="AO41" s="1831">
        <f>+AO36-AO38-AO39</f>
        <v>2646577.0073025795</v>
      </c>
      <c r="AP41" s="1730">
        <f>+AP36-AP38</f>
        <v>368047.5</v>
      </c>
      <c r="AQ41" s="1830">
        <f>+AQ36-AQ38-AQ39</f>
        <v>343801.63</v>
      </c>
      <c r="AR41" s="1831">
        <f>+AN41+AP41</f>
        <v>3289062.6249999818</v>
      </c>
      <c r="AS41" s="1831">
        <f>+AS36-AS38-AS39</f>
        <v>2990378.6373025798</v>
      </c>
      <c r="AT41" s="1730">
        <f>+AT36-AT38</f>
        <v>325890.60349997762</v>
      </c>
      <c r="AU41" s="1830">
        <f>+AU36-AU38-AU39</f>
        <v>266892.06839001871</v>
      </c>
      <c r="AV41" s="1831">
        <f>+AR41+AT41</f>
        <v>3614953.2284999592</v>
      </c>
      <c r="AW41" s="1831">
        <f>+AW36-AW38-AW39</f>
        <v>3257270.7056925981</v>
      </c>
      <c r="AX41" s="1730">
        <f>+AX36-AX38</f>
        <v>368047.5</v>
      </c>
      <c r="AY41" s="1830">
        <f>+AY36-AY38-AY39</f>
        <v>285588.56</v>
      </c>
      <c r="AZ41" s="1832">
        <f t="shared" ref="AZ41" si="175">+AX41+AT41+AP41</f>
        <v>1061985.6034999776</v>
      </c>
      <c r="BA41" s="1832">
        <f t="shared" ref="BA41" si="176">+AY41+AU41+AQ41</f>
        <v>896282.25839001872</v>
      </c>
      <c r="BB41" s="1833">
        <f>+AL41+AZ41</f>
        <v>2154053.1034999778</v>
      </c>
      <c r="BC41" s="1833">
        <f>+BC36-BC38-BC39</f>
        <v>1904899.4783900185</v>
      </c>
      <c r="BD41" s="1831">
        <f>+AV41+AX41</f>
        <v>3983000.7284999592</v>
      </c>
      <c r="BE41" s="1831">
        <f>+BE36-BE38-BE39</f>
        <v>3542859.2656925982</v>
      </c>
    </row>
    <row r="42" spans="1:58" ht="15.75" x14ac:dyDescent="0.25">
      <c r="A42" s="200"/>
      <c r="B42" s="2452" t="s">
        <v>376</v>
      </c>
      <c r="C42" s="2452"/>
      <c r="D42" s="2697"/>
      <c r="E42" s="2452"/>
      <c r="F42" s="2697"/>
      <c r="G42" s="2452"/>
      <c r="H42" s="2452"/>
      <c r="I42" s="2452"/>
      <c r="J42" s="2697"/>
      <c r="K42" s="2452"/>
      <c r="L42" s="2452"/>
      <c r="M42" s="2452"/>
      <c r="N42" s="2697"/>
      <c r="O42" s="2452"/>
      <c r="P42" s="2452"/>
      <c r="Q42" s="2452"/>
      <c r="R42" s="2697"/>
      <c r="S42" s="2452"/>
      <c r="T42" s="2452"/>
      <c r="U42" s="2452"/>
      <c r="V42" s="2697"/>
      <c r="W42" s="2452"/>
      <c r="X42" s="2452"/>
      <c r="Y42" s="2452"/>
      <c r="Z42" s="2452"/>
      <c r="AA42" s="2452"/>
      <c r="AB42" s="2697"/>
      <c r="AC42" s="2452"/>
      <c r="AD42" s="2452"/>
      <c r="AE42" s="2452"/>
      <c r="AF42" s="2697"/>
      <c r="AG42" s="2452"/>
      <c r="AH42" s="2452"/>
      <c r="AI42" s="2452"/>
      <c r="AJ42" s="2697"/>
      <c r="AK42" s="2452"/>
      <c r="AL42" s="2452"/>
      <c r="AM42" s="2452"/>
      <c r="AN42" s="2452"/>
      <c r="AO42" s="2452"/>
      <c r="AP42" s="2697"/>
      <c r="AQ42" s="2452"/>
      <c r="AR42" s="2452"/>
      <c r="AS42" s="2452"/>
      <c r="AT42" s="2697"/>
      <c r="AU42" s="2452"/>
      <c r="AV42" s="2452"/>
      <c r="AW42" s="2452"/>
      <c r="AX42" s="2697"/>
      <c r="AY42" s="2452"/>
      <c r="AZ42" s="2452"/>
      <c r="BA42" s="2452"/>
      <c r="BB42" s="2452"/>
      <c r="BC42" s="2452"/>
      <c r="BD42" s="2452"/>
      <c r="BE42" s="2452"/>
    </row>
    <row r="43" spans="1:58" x14ac:dyDescent="0.25">
      <c r="A43" s="200"/>
      <c r="B43" s="3069" t="s">
        <v>83</v>
      </c>
      <c r="C43" s="355" t="s">
        <v>365</v>
      </c>
      <c r="D43" s="475">
        <v>62440.909090000001</v>
      </c>
      <c r="E43" s="238">
        <v>78458</v>
      </c>
      <c r="F43" s="475">
        <v>87379.522727273797</v>
      </c>
      <c r="G43" s="238">
        <v>81513</v>
      </c>
      <c r="H43" s="2418">
        <f t="shared" ref="H43:I50" si="177">+D43+F43</f>
        <v>149820.43181727378</v>
      </c>
      <c r="I43" s="2418">
        <f t="shared" si="177"/>
        <v>159971</v>
      </c>
      <c r="J43" s="475">
        <v>170831.0275568208</v>
      </c>
      <c r="K43" s="238">
        <v>145967</v>
      </c>
      <c r="L43" s="2415">
        <f t="shared" ref="L43:M50" si="178">+H43+J43</f>
        <v>320651.45937409461</v>
      </c>
      <c r="M43" s="2415">
        <f t="shared" si="178"/>
        <v>305938</v>
      </c>
      <c r="N43" s="475">
        <v>176632.68835227622</v>
      </c>
      <c r="O43" s="238">
        <v>144796</v>
      </c>
      <c r="P43" s="2418">
        <f t="shared" ref="P43:Q50" si="179">+L43+N43</f>
        <v>497284.14772637084</v>
      </c>
      <c r="Q43" s="2418">
        <f t="shared" si="179"/>
        <v>450734</v>
      </c>
      <c r="R43" s="475">
        <v>176632.68835227622</v>
      </c>
      <c r="S43" s="238">
        <v>146593.32999999999</v>
      </c>
      <c r="T43" s="2418">
        <f t="shared" ref="T43:T50" si="180">+P43+R43</f>
        <v>673916.83607864706</v>
      </c>
      <c r="U43" s="2418">
        <f t="shared" ref="U43:U50" si="181">+Q43+S43</f>
        <v>597327.32999999996</v>
      </c>
      <c r="V43" s="475">
        <v>171891.9715909104</v>
      </c>
      <c r="W43" s="238">
        <v>143429.5</v>
      </c>
      <c r="X43" s="2415">
        <f t="shared" ref="X43:X50" si="182">+V43+R43+N43</f>
        <v>525157.34829546278</v>
      </c>
      <c r="Y43" s="2415">
        <f t="shared" ref="Y43:Y50" si="183">+W43+S43+O43</f>
        <v>434818.82999999996</v>
      </c>
      <c r="Z43" s="1134">
        <f t="shared" ref="Z43:Z50" si="184">+L43+X43</f>
        <v>845808.8076695574</v>
      </c>
      <c r="AA43" s="1134">
        <f t="shared" ref="AA43:AA50" si="185">+Y43+M43</f>
        <v>740756.83</v>
      </c>
      <c r="AB43" s="4556">
        <v>177729.59659090871</v>
      </c>
      <c r="AC43" s="238">
        <v>155756</v>
      </c>
      <c r="AD43" s="3163">
        <f t="shared" ref="AD43:AD50" si="186">+Z43+AB43</f>
        <v>1023538.4042604661</v>
      </c>
      <c r="AE43" s="3163">
        <f t="shared" ref="AE43:AE50" si="187">+AA43+AC43</f>
        <v>896512.83</v>
      </c>
      <c r="AF43" s="3346">
        <v>171891.9715909104</v>
      </c>
      <c r="AG43" s="238">
        <v>144519</v>
      </c>
      <c r="AH43" s="3347">
        <f t="shared" ref="AH43:AH50" si="188">+AD43+AF43</f>
        <v>1195430.3758513764</v>
      </c>
      <c r="AI43" s="3347">
        <f t="shared" ref="AI43:AI50" si="189">+AE43+AG43</f>
        <v>1041031.83</v>
      </c>
      <c r="AJ43" s="3601">
        <v>177729.59659090871</v>
      </c>
      <c r="AK43" s="3640">
        <v>154585</v>
      </c>
      <c r="AL43" s="3600">
        <f t="shared" ref="AL43:AL50" si="190">+AJ43+AF43+AB43</f>
        <v>527351.16477272776</v>
      </c>
      <c r="AM43" s="3600">
        <f t="shared" ref="AM43:AM50" si="191">+AK43+AG43+AC43</f>
        <v>454860</v>
      </c>
      <c r="AN43" s="3597">
        <f t="shared" ref="AN43:AN50" si="192">+AH43+AJ43</f>
        <v>1373159.9724422852</v>
      </c>
      <c r="AO43" s="3597">
        <f t="shared" ref="AO43:AO50" si="193">+AI43+AK43</f>
        <v>1195616.83</v>
      </c>
      <c r="AP43" s="3908">
        <v>177729.59659090871</v>
      </c>
      <c r="AQ43" s="3907">
        <v>153818</v>
      </c>
      <c r="AR43" s="3909">
        <f t="shared" ref="AR43:AR50" si="194">+AN43+AP43</f>
        <v>1550889.5690331939</v>
      </c>
      <c r="AS43" s="3909">
        <f t="shared" ref="AS43:AS50" si="195">+AO43+AQ43</f>
        <v>1349434.83</v>
      </c>
      <c r="AT43" s="4061">
        <v>157158.14181932257</v>
      </c>
      <c r="AU43" s="4060">
        <v>137323</v>
      </c>
      <c r="AV43" s="4062">
        <f t="shared" ref="AV43:AV50" si="196">+AR43+AT43</f>
        <v>1708047.7108525163</v>
      </c>
      <c r="AW43" s="4062">
        <f t="shared" ref="AW43:AW50" si="197">+AS43+AU43</f>
        <v>1486757.83</v>
      </c>
      <c r="AX43" s="4379">
        <v>177729.59659090871</v>
      </c>
      <c r="AY43" s="4378">
        <v>155526</v>
      </c>
      <c r="AZ43" s="4380">
        <f t="shared" ref="AZ43:AZ50" si="198">+AX43+AT43+AP43</f>
        <v>512617.33500114002</v>
      </c>
      <c r="BA43" s="4380">
        <f t="shared" ref="BA43:BA50" si="199">+AY43+AU43+AQ43</f>
        <v>446667</v>
      </c>
      <c r="BB43" s="4382">
        <f t="shared" ref="BB43:BC50" si="200">+AL43+AZ43</f>
        <v>1039968.4997738678</v>
      </c>
      <c r="BC43" s="4382">
        <f t="shared" si="200"/>
        <v>901527</v>
      </c>
      <c r="BD43" s="4381">
        <f t="shared" ref="BD43:BD50" si="201">+AV43+AX43</f>
        <v>1885777.3074434251</v>
      </c>
      <c r="BE43" s="4381">
        <f t="shared" ref="BE43:BE50" si="202">+AW43+AY43</f>
        <v>1642283.83</v>
      </c>
    </row>
    <row r="44" spans="1:58" x14ac:dyDescent="0.25">
      <c r="A44" s="200"/>
      <c r="B44" s="3069" t="s">
        <v>113</v>
      </c>
      <c r="C44" s="355" t="s">
        <v>365</v>
      </c>
      <c r="D44" s="475">
        <v>37368</v>
      </c>
      <c r="E44" s="238">
        <v>16468.32</v>
      </c>
      <c r="F44" s="475">
        <v>37944</v>
      </c>
      <c r="G44" s="238">
        <v>20928.7</v>
      </c>
      <c r="H44" s="2418">
        <f t="shared" si="177"/>
        <v>75312</v>
      </c>
      <c r="I44" s="2418">
        <f t="shared" si="177"/>
        <v>37397.020000000004</v>
      </c>
      <c r="J44" s="475">
        <v>37440</v>
      </c>
      <c r="K44" s="238">
        <v>34186.800000000003</v>
      </c>
      <c r="L44" s="2415">
        <f t="shared" si="178"/>
        <v>112752</v>
      </c>
      <c r="M44" s="2415">
        <f t="shared" si="178"/>
        <v>71583.820000000007</v>
      </c>
      <c r="N44" s="475">
        <v>37944</v>
      </c>
      <c r="O44" s="238">
        <v>31242</v>
      </c>
      <c r="P44" s="2418">
        <f t="shared" si="179"/>
        <v>150696</v>
      </c>
      <c r="Q44" s="2418">
        <f t="shared" si="179"/>
        <v>102825.82</v>
      </c>
      <c r="R44" s="475">
        <v>37944</v>
      </c>
      <c r="S44" s="238">
        <v>32205</v>
      </c>
      <c r="T44" s="2418">
        <f t="shared" si="180"/>
        <v>188640</v>
      </c>
      <c r="U44" s="2418">
        <f t="shared" si="181"/>
        <v>135030.82</v>
      </c>
      <c r="V44" s="475">
        <v>37440</v>
      </c>
      <c r="W44" s="238">
        <v>31336</v>
      </c>
      <c r="X44" s="2415">
        <f t="shared" si="182"/>
        <v>113328</v>
      </c>
      <c r="Y44" s="2415">
        <f t="shared" si="183"/>
        <v>94783</v>
      </c>
      <c r="Z44" s="1134">
        <f t="shared" si="184"/>
        <v>226080</v>
      </c>
      <c r="AA44" s="1134">
        <f t="shared" si="185"/>
        <v>166366.82</v>
      </c>
      <c r="AB44" s="4556">
        <v>37944</v>
      </c>
      <c r="AC44" s="238">
        <v>33810</v>
      </c>
      <c r="AD44" s="3163">
        <f t="shared" si="186"/>
        <v>264024</v>
      </c>
      <c r="AE44" s="3163">
        <f t="shared" si="187"/>
        <v>200176.82</v>
      </c>
      <c r="AF44" s="3346">
        <v>37440</v>
      </c>
      <c r="AG44" s="238">
        <v>31831</v>
      </c>
      <c r="AH44" s="3347">
        <f t="shared" si="188"/>
        <v>301464</v>
      </c>
      <c r="AI44" s="3347">
        <f t="shared" si="189"/>
        <v>232007.82</v>
      </c>
      <c r="AJ44" s="3601">
        <v>37944</v>
      </c>
      <c r="AK44" s="3640">
        <v>34132</v>
      </c>
      <c r="AL44" s="3600">
        <f t="shared" si="190"/>
        <v>113328</v>
      </c>
      <c r="AM44" s="3600">
        <f t="shared" si="191"/>
        <v>99773</v>
      </c>
      <c r="AN44" s="3597">
        <f t="shared" si="192"/>
        <v>339408</v>
      </c>
      <c r="AO44" s="3597">
        <f t="shared" si="193"/>
        <v>266139.82</v>
      </c>
      <c r="AP44" s="3908">
        <v>37944</v>
      </c>
      <c r="AQ44" s="3907">
        <v>34052</v>
      </c>
      <c r="AR44" s="3909">
        <f t="shared" si="194"/>
        <v>377352</v>
      </c>
      <c r="AS44" s="3909">
        <f t="shared" si="195"/>
        <v>300191.82</v>
      </c>
      <c r="AT44" s="4061">
        <v>36187.199999999997</v>
      </c>
      <c r="AU44" s="4060">
        <v>29965.8</v>
      </c>
      <c r="AV44" s="4062">
        <f t="shared" si="196"/>
        <v>413539.2</v>
      </c>
      <c r="AW44" s="4062">
        <f t="shared" si="197"/>
        <v>330157.62</v>
      </c>
      <c r="AX44" s="4379">
        <v>37944</v>
      </c>
      <c r="AY44" s="4378">
        <v>35002</v>
      </c>
      <c r="AZ44" s="4380">
        <f t="shared" si="198"/>
        <v>112075.2</v>
      </c>
      <c r="BA44" s="4380">
        <f t="shared" si="199"/>
        <v>99019.8</v>
      </c>
      <c r="BB44" s="4382">
        <f t="shared" si="200"/>
        <v>225403.2</v>
      </c>
      <c r="BC44" s="4382">
        <f t="shared" si="200"/>
        <v>198792.8</v>
      </c>
      <c r="BD44" s="4381">
        <f t="shared" si="201"/>
        <v>451483.2</v>
      </c>
      <c r="BE44" s="4381">
        <f t="shared" si="202"/>
        <v>365159.62</v>
      </c>
      <c r="BF44" s="4560"/>
    </row>
    <row r="45" spans="1:58" x14ac:dyDescent="0.25">
      <c r="A45" s="200"/>
      <c r="B45" s="3069" t="s">
        <v>94</v>
      </c>
      <c r="C45" s="355" t="s">
        <v>365</v>
      </c>
      <c r="D45" s="475">
        <v>66427.719200000007</v>
      </c>
      <c r="E45" s="238">
        <v>66539.12</v>
      </c>
      <c r="F45" s="475">
        <v>79096.261520032305</v>
      </c>
      <c r="G45" s="238">
        <v>65096</v>
      </c>
      <c r="H45" s="2418">
        <f t="shared" si="177"/>
        <v>145523.9807200323</v>
      </c>
      <c r="I45" s="2418">
        <f t="shared" si="177"/>
        <v>131635.12</v>
      </c>
      <c r="J45" s="475">
        <v>130048.15090463783</v>
      </c>
      <c r="K45" s="238">
        <v>127466.32</v>
      </c>
      <c r="L45" s="2415">
        <f t="shared" si="178"/>
        <v>275572.13162467012</v>
      </c>
      <c r="M45" s="2415">
        <f t="shared" si="178"/>
        <v>259101.44</v>
      </c>
      <c r="N45" s="475">
        <v>135311.19886134722</v>
      </c>
      <c r="O45" s="238">
        <v>126625</v>
      </c>
      <c r="P45" s="2418">
        <f t="shared" si="179"/>
        <v>410883.33048601734</v>
      </c>
      <c r="Q45" s="2418">
        <f t="shared" si="179"/>
        <v>385726.44</v>
      </c>
      <c r="R45" s="475">
        <v>134822.41191750549</v>
      </c>
      <c r="S45" s="238">
        <v>128886</v>
      </c>
      <c r="T45" s="2418">
        <f t="shared" si="180"/>
        <v>545705.74240352283</v>
      </c>
      <c r="U45" s="2418">
        <f t="shared" si="181"/>
        <v>514612.44</v>
      </c>
      <c r="V45" s="475">
        <v>130490.14960992313</v>
      </c>
      <c r="W45" s="238">
        <v>124665</v>
      </c>
      <c r="X45" s="2415">
        <f t="shared" si="182"/>
        <v>400623.76038877585</v>
      </c>
      <c r="Y45" s="2415">
        <f t="shared" si="183"/>
        <v>380176</v>
      </c>
      <c r="Z45" s="1134">
        <f t="shared" si="184"/>
        <v>676195.89201344596</v>
      </c>
      <c r="AA45" s="1134">
        <f t="shared" si="185"/>
        <v>639277.43999999994</v>
      </c>
      <c r="AB45" s="4556">
        <v>135835.57327517279</v>
      </c>
      <c r="AC45" s="238">
        <v>133836</v>
      </c>
      <c r="AD45" s="3163">
        <f t="shared" si="186"/>
        <v>812031.46528861881</v>
      </c>
      <c r="AE45" s="3163">
        <f t="shared" si="187"/>
        <v>773113.44</v>
      </c>
      <c r="AF45" s="3346">
        <v>130490.14960992313</v>
      </c>
      <c r="AG45" s="238">
        <v>125414</v>
      </c>
      <c r="AH45" s="3347">
        <f t="shared" si="188"/>
        <v>942521.61489854194</v>
      </c>
      <c r="AI45" s="3347">
        <f t="shared" si="189"/>
        <v>898527.44</v>
      </c>
      <c r="AJ45" s="3601">
        <v>135835.57327517279</v>
      </c>
      <c r="AK45" s="3640">
        <v>133044</v>
      </c>
      <c r="AL45" s="3600">
        <f t="shared" si="190"/>
        <v>402161.29616026871</v>
      </c>
      <c r="AM45" s="3600">
        <f t="shared" si="191"/>
        <v>392294</v>
      </c>
      <c r="AN45" s="3597">
        <f t="shared" si="192"/>
        <v>1078357.1881737148</v>
      </c>
      <c r="AO45" s="3597">
        <f t="shared" si="193"/>
        <v>1031571.44</v>
      </c>
      <c r="AP45" s="3908">
        <v>135835.57327517279</v>
      </c>
      <c r="AQ45" s="3907">
        <v>134319</v>
      </c>
      <c r="AR45" s="3909">
        <f t="shared" si="194"/>
        <v>1214192.7614488876</v>
      </c>
      <c r="AS45" s="3909">
        <f t="shared" si="195"/>
        <v>1165890.44</v>
      </c>
      <c r="AT45" s="4061">
        <v>117414.6497301268</v>
      </c>
      <c r="AU45" s="4060">
        <v>79013</v>
      </c>
      <c r="AV45" s="4062">
        <f t="shared" si="196"/>
        <v>1331607.4111790145</v>
      </c>
      <c r="AW45" s="4062">
        <f t="shared" si="197"/>
        <v>1244903.44</v>
      </c>
      <c r="AX45" s="4379">
        <v>135835.57327517279</v>
      </c>
      <c r="AY45" s="4378">
        <v>70964.7</v>
      </c>
      <c r="AZ45" s="4380">
        <f t="shared" si="198"/>
        <v>389085.79628047236</v>
      </c>
      <c r="BA45" s="4380">
        <f t="shared" si="199"/>
        <v>284296.7</v>
      </c>
      <c r="BB45" s="4382">
        <f t="shared" si="200"/>
        <v>791247.09244074114</v>
      </c>
      <c r="BC45" s="4382">
        <f t="shared" si="200"/>
        <v>676590.7</v>
      </c>
      <c r="BD45" s="4381">
        <f t="shared" si="201"/>
        <v>1467442.9844541873</v>
      </c>
      <c r="BE45" s="4381">
        <f t="shared" si="202"/>
        <v>1315868.1399999999</v>
      </c>
      <c r="BF45" s="4560"/>
    </row>
    <row r="46" spans="1:58" x14ac:dyDescent="0.25">
      <c r="A46" s="200"/>
      <c r="B46" s="3069" t="s">
        <v>62</v>
      </c>
      <c r="C46" s="355" t="s">
        <v>365</v>
      </c>
      <c r="D46" s="475">
        <v>2590.2627000000002</v>
      </c>
      <c r="E46" s="238">
        <v>1995.8284419909601</v>
      </c>
      <c r="F46" s="475">
        <v>3272.6709643607501</v>
      </c>
      <c r="G46" s="238">
        <v>2507.1999999999998</v>
      </c>
      <c r="H46" s="2418">
        <f t="shared" si="177"/>
        <v>5862.9336643607503</v>
      </c>
      <c r="I46" s="2418">
        <f t="shared" si="177"/>
        <v>4503.0284419909603</v>
      </c>
      <c r="J46" s="475">
        <v>3590.8665873284881</v>
      </c>
      <c r="K46" s="238">
        <v>4245.45</v>
      </c>
      <c r="L46" s="2415">
        <f t="shared" si="178"/>
        <v>9453.8002516892375</v>
      </c>
      <c r="M46" s="2415">
        <f t="shared" si="178"/>
        <v>8748.4784419909593</v>
      </c>
      <c r="N46" s="475">
        <v>3760.9474185025447</v>
      </c>
      <c r="O46" s="238">
        <v>4496.3</v>
      </c>
      <c r="P46" s="2418">
        <f t="shared" si="179"/>
        <v>13214.747670191782</v>
      </c>
      <c r="Q46" s="2418">
        <f t="shared" si="179"/>
        <v>13244.778441990959</v>
      </c>
      <c r="R46" s="475">
        <v>3777.4399272544561</v>
      </c>
      <c r="S46" s="238">
        <v>4943.0600000000004</v>
      </c>
      <c r="T46" s="2418">
        <f t="shared" si="180"/>
        <v>16992.187597446238</v>
      </c>
      <c r="U46" s="2418">
        <f t="shared" si="181"/>
        <v>18187.83844199096</v>
      </c>
      <c r="V46" s="475">
        <v>3651.9649264717918</v>
      </c>
      <c r="W46" s="238">
        <v>4452.2700000000004</v>
      </c>
      <c r="X46" s="2415">
        <f t="shared" si="182"/>
        <v>11190.352272228793</v>
      </c>
      <c r="Y46" s="2415">
        <f t="shared" si="183"/>
        <v>13891.630000000001</v>
      </c>
      <c r="Z46" s="1134">
        <f t="shared" si="184"/>
        <v>20644.15252391803</v>
      </c>
      <c r="AA46" s="1134">
        <f t="shared" si="185"/>
        <v>22640.10844199096</v>
      </c>
      <c r="AB46" s="4556">
        <v>3777.4399272544561</v>
      </c>
      <c r="AC46" s="238">
        <v>4919.7</v>
      </c>
      <c r="AD46" s="3163">
        <f t="shared" si="186"/>
        <v>24421.592451172488</v>
      </c>
      <c r="AE46" s="3163">
        <f t="shared" si="187"/>
        <v>27559.808441990961</v>
      </c>
      <c r="AF46" s="3346">
        <v>3651.9649264717918</v>
      </c>
      <c r="AG46" s="238">
        <v>3617.79</v>
      </c>
      <c r="AH46" s="3347">
        <f t="shared" si="188"/>
        <v>28073.55737764428</v>
      </c>
      <c r="AI46" s="3347">
        <f t="shared" si="189"/>
        <v>31177.598441990962</v>
      </c>
      <c r="AJ46" s="3601">
        <v>3777.4399272544561</v>
      </c>
      <c r="AK46" s="3640">
        <v>4272.82</v>
      </c>
      <c r="AL46" s="3600">
        <f t="shared" si="190"/>
        <v>11206.844780980704</v>
      </c>
      <c r="AM46" s="3600">
        <f t="shared" si="191"/>
        <v>12810.31</v>
      </c>
      <c r="AN46" s="3597">
        <f t="shared" si="192"/>
        <v>31850.997304898738</v>
      </c>
      <c r="AO46" s="3597">
        <f t="shared" si="193"/>
        <v>35450.418441990958</v>
      </c>
      <c r="AP46" s="3908">
        <v>3777.4399272544561</v>
      </c>
      <c r="AQ46" s="3907">
        <v>4467.34</v>
      </c>
      <c r="AR46" s="3909">
        <f t="shared" si="194"/>
        <v>35628.437232153192</v>
      </c>
      <c r="AS46" s="3909">
        <f t="shared" si="195"/>
        <v>39917.758441990954</v>
      </c>
      <c r="AT46" s="4061">
        <v>3394.5680240553979</v>
      </c>
      <c r="AU46" s="4060">
        <v>4928.4889434632732</v>
      </c>
      <c r="AV46" s="4062">
        <f t="shared" si="196"/>
        <v>39023.005256208591</v>
      </c>
      <c r="AW46" s="4062">
        <f t="shared" si="197"/>
        <v>44846.247385454226</v>
      </c>
      <c r="AX46" s="4379">
        <v>3777.4399272544561</v>
      </c>
      <c r="AY46" s="4378">
        <v>5452.28</v>
      </c>
      <c r="AZ46" s="4380">
        <f t="shared" si="198"/>
        <v>10949.44787856431</v>
      </c>
      <c r="BA46" s="4380">
        <f t="shared" si="199"/>
        <v>14848.108943463274</v>
      </c>
      <c r="BB46" s="4382">
        <f t="shared" si="200"/>
        <v>22156.292659545012</v>
      </c>
      <c r="BC46" s="4382">
        <f t="shared" si="200"/>
        <v>27658.418943463272</v>
      </c>
      <c r="BD46" s="4381">
        <f t="shared" si="201"/>
        <v>42800.445183463045</v>
      </c>
      <c r="BE46" s="4381">
        <f t="shared" si="202"/>
        <v>50298.527385454225</v>
      </c>
      <c r="BF46" s="4560"/>
    </row>
    <row r="47" spans="1:58" x14ac:dyDescent="0.25">
      <c r="A47" s="200"/>
      <c r="B47" s="3069" t="s">
        <v>95</v>
      </c>
      <c r="C47" s="355" t="s">
        <v>365</v>
      </c>
      <c r="D47" s="475">
        <v>3435.7889</v>
      </c>
      <c r="E47" s="238">
        <v>3133.8009192080399</v>
      </c>
      <c r="F47" s="475">
        <v>3922.5471325129802</v>
      </c>
      <c r="G47" s="238">
        <v>3343.9</v>
      </c>
      <c r="H47" s="2418">
        <f t="shared" si="177"/>
        <v>7358.3360325129797</v>
      </c>
      <c r="I47" s="2418">
        <f t="shared" si="177"/>
        <v>6477.7009192080404</v>
      </c>
      <c r="J47" s="475">
        <v>5595.1076858554079</v>
      </c>
      <c r="K47" s="238">
        <v>5775.65</v>
      </c>
      <c r="L47" s="2415">
        <f t="shared" si="178"/>
        <v>12953.443718368388</v>
      </c>
      <c r="M47" s="2415">
        <f t="shared" si="178"/>
        <v>12253.35091920804</v>
      </c>
      <c r="N47" s="475">
        <v>5762.7094981379641</v>
      </c>
      <c r="O47" s="238">
        <v>5464.98</v>
      </c>
      <c r="P47" s="2418">
        <f t="shared" si="179"/>
        <v>18716.153216506351</v>
      </c>
      <c r="Q47" s="2418">
        <f t="shared" si="179"/>
        <v>17718.330919208041</v>
      </c>
      <c r="R47" s="475">
        <v>5787.9801350963471</v>
      </c>
      <c r="S47" s="238">
        <v>5792.42</v>
      </c>
      <c r="T47" s="2418">
        <f t="shared" si="180"/>
        <v>24504.133351602697</v>
      </c>
      <c r="U47" s="2418">
        <f t="shared" si="181"/>
        <v>23510.75091920804</v>
      </c>
      <c r="V47" s="475">
        <v>5622.566282058744</v>
      </c>
      <c r="W47" s="238">
        <v>6446.69</v>
      </c>
      <c r="X47" s="2415">
        <f t="shared" si="182"/>
        <v>17173.255915293055</v>
      </c>
      <c r="Y47" s="2415">
        <f t="shared" si="183"/>
        <v>17704.09</v>
      </c>
      <c r="Z47" s="1134">
        <f t="shared" si="184"/>
        <v>30126.699633661443</v>
      </c>
      <c r="AA47" s="1134">
        <f t="shared" si="185"/>
        <v>29957.440919208042</v>
      </c>
      <c r="AB47" s="4556">
        <v>5787.9801350963471</v>
      </c>
      <c r="AC47" s="238">
        <v>7091.26</v>
      </c>
      <c r="AD47" s="3163">
        <f t="shared" si="186"/>
        <v>35914.679768757793</v>
      </c>
      <c r="AE47" s="3163">
        <f t="shared" si="187"/>
        <v>37048.700919208044</v>
      </c>
      <c r="AF47" s="3346">
        <v>5622.566282058744</v>
      </c>
      <c r="AG47" s="238">
        <v>6199.16</v>
      </c>
      <c r="AH47" s="3347">
        <f t="shared" si="188"/>
        <v>41537.246050816539</v>
      </c>
      <c r="AI47" s="3347">
        <f t="shared" si="189"/>
        <v>43247.860919208048</v>
      </c>
      <c r="AJ47" s="3601">
        <v>5787.9801350963471</v>
      </c>
      <c r="AK47" s="3640">
        <v>7333.4</v>
      </c>
      <c r="AL47" s="3600">
        <f t="shared" si="190"/>
        <v>17198.526552251438</v>
      </c>
      <c r="AM47" s="3600">
        <f t="shared" si="191"/>
        <v>20623.82</v>
      </c>
      <c r="AN47" s="3597">
        <f t="shared" si="192"/>
        <v>47325.226185912885</v>
      </c>
      <c r="AO47" s="3597">
        <f t="shared" si="193"/>
        <v>50581.260919208049</v>
      </c>
      <c r="AP47" s="3908">
        <v>5787.9801350963471</v>
      </c>
      <c r="AQ47" s="3907">
        <v>7969.73</v>
      </c>
      <c r="AR47" s="3909">
        <f t="shared" si="194"/>
        <v>53113.206321009231</v>
      </c>
      <c r="AS47" s="3909">
        <f t="shared" si="195"/>
        <v>58550.990919208052</v>
      </c>
      <c r="AT47" s="4061">
        <v>5108.7639931578433</v>
      </c>
      <c r="AU47" s="4060">
        <v>6453.2523530236094</v>
      </c>
      <c r="AV47" s="4062">
        <f t="shared" si="196"/>
        <v>58221.970314167076</v>
      </c>
      <c r="AW47" s="4062">
        <f t="shared" si="197"/>
        <v>65004.243272231659</v>
      </c>
      <c r="AX47" s="4379">
        <v>5787.9801350963471</v>
      </c>
      <c r="AY47" s="4378">
        <v>8565.41</v>
      </c>
      <c r="AZ47" s="4380">
        <f t="shared" si="198"/>
        <v>16684.724263350538</v>
      </c>
      <c r="BA47" s="4380">
        <f t="shared" si="199"/>
        <v>22988.39235302361</v>
      </c>
      <c r="BB47" s="4382">
        <f t="shared" si="200"/>
        <v>33883.250815601976</v>
      </c>
      <c r="BC47" s="4382">
        <f t="shared" si="200"/>
        <v>43612.212353023613</v>
      </c>
      <c r="BD47" s="4381">
        <f t="shared" si="201"/>
        <v>64009.950449263422</v>
      </c>
      <c r="BE47" s="4381">
        <f t="shared" si="202"/>
        <v>73569.653272231662</v>
      </c>
      <c r="BF47" s="4560"/>
    </row>
    <row r="48" spans="1:58" x14ac:dyDescent="0.25">
      <c r="A48" s="200"/>
      <c r="B48" s="3069" t="s">
        <v>115</v>
      </c>
      <c r="C48" s="355" t="s">
        <v>365</v>
      </c>
      <c r="D48" s="475">
        <v>776.45270000000005</v>
      </c>
      <c r="E48" s="238">
        <v>3691.6779413805998</v>
      </c>
      <c r="F48" s="475">
        <v>0</v>
      </c>
      <c r="G48" s="238">
        <v>1327.8</v>
      </c>
      <c r="H48" s="2418">
        <f t="shared" si="177"/>
        <v>776.45270000000005</v>
      </c>
      <c r="I48" s="2418">
        <f t="shared" si="177"/>
        <v>5019.4779413806</v>
      </c>
      <c r="J48" s="475">
        <v>3423.704803082856</v>
      </c>
      <c r="K48" s="238">
        <v>2664.13</v>
      </c>
      <c r="L48" s="2415">
        <f t="shared" si="178"/>
        <v>4200.1575030828562</v>
      </c>
      <c r="M48" s="2415">
        <f t="shared" si="178"/>
        <v>7683.6079413806001</v>
      </c>
      <c r="N48" s="475">
        <v>3421.0005464225469</v>
      </c>
      <c r="O48" s="238">
        <v>5329.78</v>
      </c>
      <c r="P48" s="2418">
        <f t="shared" si="179"/>
        <v>7621.1580495054031</v>
      </c>
      <c r="Q48" s="2418">
        <f t="shared" si="179"/>
        <v>13013.387941380599</v>
      </c>
      <c r="R48" s="475">
        <v>3865.5026099530169</v>
      </c>
      <c r="S48" s="238">
        <v>4004.38</v>
      </c>
      <c r="T48" s="2418">
        <f t="shared" si="180"/>
        <v>11486.660659458419</v>
      </c>
      <c r="U48" s="2418">
        <f t="shared" si="181"/>
        <v>17017.7679413806</v>
      </c>
      <c r="V48" s="475">
        <v>3870.5703803478</v>
      </c>
      <c r="W48" s="238">
        <v>2372.7199999999998</v>
      </c>
      <c r="X48" s="2415">
        <f t="shared" si="182"/>
        <v>11157.073536723365</v>
      </c>
      <c r="Y48" s="2415">
        <f t="shared" si="183"/>
        <v>11706.880000000001</v>
      </c>
      <c r="Z48" s="1134">
        <f t="shared" si="184"/>
        <v>15357.231039806222</v>
      </c>
      <c r="AA48" s="1134">
        <f t="shared" si="185"/>
        <v>19390.487941380601</v>
      </c>
      <c r="AB48" s="4556">
        <v>3865.5026099530169</v>
      </c>
      <c r="AC48" s="238">
        <v>5367.3</v>
      </c>
      <c r="AD48" s="3163">
        <f t="shared" si="186"/>
        <v>19222.733649759241</v>
      </c>
      <c r="AE48" s="3163">
        <f t="shared" si="187"/>
        <v>24757.7879413806</v>
      </c>
      <c r="AF48" s="3346">
        <v>3870.5703803478</v>
      </c>
      <c r="AG48" s="238">
        <v>4741.22</v>
      </c>
      <c r="AH48" s="3347">
        <f t="shared" si="188"/>
        <v>23093.30403010704</v>
      </c>
      <c r="AI48" s="3347">
        <f t="shared" si="189"/>
        <v>29499.007941380602</v>
      </c>
      <c r="AJ48" s="3601">
        <v>3865.5026099530169</v>
      </c>
      <c r="AK48" s="3640">
        <v>5846.62</v>
      </c>
      <c r="AL48" s="3600">
        <f t="shared" si="190"/>
        <v>11601.575600253833</v>
      </c>
      <c r="AM48" s="3600">
        <f t="shared" si="191"/>
        <v>15955.14</v>
      </c>
      <c r="AN48" s="3597">
        <f t="shared" si="192"/>
        <v>26958.806640060058</v>
      </c>
      <c r="AO48" s="3597">
        <f t="shared" si="193"/>
        <v>35345.627941380604</v>
      </c>
      <c r="AP48" s="3908">
        <v>3865.5026099530169</v>
      </c>
      <c r="AQ48" s="3907">
        <v>5077.22</v>
      </c>
      <c r="AR48" s="3909">
        <f t="shared" si="194"/>
        <v>30824.309250013073</v>
      </c>
      <c r="AS48" s="3909">
        <f t="shared" si="195"/>
        <v>40422.847941380605</v>
      </c>
      <c r="AT48" s="4061">
        <v>3874.516995545885</v>
      </c>
      <c r="AU48" s="4060">
        <v>5584.8160441478085</v>
      </c>
      <c r="AV48" s="4062">
        <f t="shared" si="196"/>
        <v>34698.826245558957</v>
      </c>
      <c r="AW48" s="4062">
        <f t="shared" si="197"/>
        <v>46007.663985528416</v>
      </c>
      <c r="AX48" s="4379">
        <v>3865.5026099530169</v>
      </c>
      <c r="AY48" s="4378">
        <v>5943.16</v>
      </c>
      <c r="AZ48" s="4380">
        <f t="shared" si="198"/>
        <v>11605.522215451918</v>
      </c>
      <c r="BA48" s="4380">
        <f t="shared" si="199"/>
        <v>16605.196044147808</v>
      </c>
      <c r="BB48" s="4382">
        <f t="shared" si="200"/>
        <v>23207.097815705751</v>
      </c>
      <c r="BC48" s="4382">
        <f t="shared" si="200"/>
        <v>32560.336044147807</v>
      </c>
      <c r="BD48" s="4381">
        <f t="shared" si="201"/>
        <v>38564.328855511973</v>
      </c>
      <c r="BE48" s="4381">
        <f t="shared" si="202"/>
        <v>51950.823985528419</v>
      </c>
      <c r="BF48" s="4560"/>
    </row>
    <row r="49" spans="1:58" x14ac:dyDescent="0.25">
      <c r="A49" s="200"/>
      <c r="B49" s="3069" t="s">
        <v>85</v>
      </c>
      <c r="C49" s="355" t="s">
        <v>365</v>
      </c>
      <c r="D49" s="475">
        <v>1260.8672999999999</v>
      </c>
      <c r="E49" s="238">
        <v>1962.96</v>
      </c>
      <c r="F49" s="475">
        <v>1304.9976558210799</v>
      </c>
      <c r="G49" s="238">
        <v>1551.7</v>
      </c>
      <c r="H49" s="2418">
        <f t="shared" si="177"/>
        <v>2565.86495582108</v>
      </c>
      <c r="I49" s="2418">
        <f t="shared" si="177"/>
        <v>3514.66</v>
      </c>
      <c r="J49" s="475">
        <v>2986</v>
      </c>
      <c r="K49" s="238">
        <v>4102.8</v>
      </c>
      <c r="L49" s="2415">
        <f t="shared" si="178"/>
        <v>5551.86495582108</v>
      </c>
      <c r="M49" s="2415">
        <f t="shared" si="178"/>
        <v>7617.46</v>
      </c>
      <c r="N49" s="475">
        <v>3087.580323317201</v>
      </c>
      <c r="O49" s="238">
        <v>4099.1499999999996</v>
      </c>
      <c r="P49" s="2418">
        <f t="shared" si="179"/>
        <v>8639.445279138281</v>
      </c>
      <c r="Q49" s="2418">
        <f t="shared" si="179"/>
        <v>11716.61</v>
      </c>
      <c r="R49" s="475">
        <v>3090.1020579178653</v>
      </c>
      <c r="S49" s="238">
        <v>3922.18</v>
      </c>
      <c r="T49" s="2418">
        <f t="shared" si="180"/>
        <v>11729.547337056147</v>
      </c>
      <c r="U49" s="2418">
        <f t="shared" si="181"/>
        <v>15638.79</v>
      </c>
      <c r="V49" s="475">
        <v>3005.2772102894396</v>
      </c>
      <c r="W49" s="238">
        <v>3931.99</v>
      </c>
      <c r="X49" s="2415">
        <f t="shared" si="182"/>
        <v>9182.9595915245063</v>
      </c>
      <c r="Y49" s="2415">
        <f t="shared" si="183"/>
        <v>11953.32</v>
      </c>
      <c r="Z49" s="1134">
        <f t="shared" si="184"/>
        <v>14734.824547345586</v>
      </c>
      <c r="AA49" s="1134">
        <f t="shared" si="185"/>
        <v>19570.78</v>
      </c>
      <c r="AB49" s="4556">
        <v>3107.407461614609</v>
      </c>
      <c r="AC49" s="238">
        <v>4207.1000000000004</v>
      </c>
      <c r="AD49" s="3163">
        <f t="shared" si="186"/>
        <v>17842.232008960196</v>
      </c>
      <c r="AE49" s="3163">
        <f t="shared" si="187"/>
        <v>23777.879999999997</v>
      </c>
      <c r="AF49" s="3346">
        <v>3005.2772102894396</v>
      </c>
      <c r="AG49" s="238">
        <v>3957.94</v>
      </c>
      <c r="AH49" s="3347">
        <f t="shared" si="188"/>
        <v>20847.509219249638</v>
      </c>
      <c r="AI49" s="3347">
        <f t="shared" si="189"/>
        <v>27735.819999999996</v>
      </c>
      <c r="AJ49" s="3601">
        <v>3107.4074616146086</v>
      </c>
      <c r="AK49" s="3640">
        <v>4135.93</v>
      </c>
      <c r="AL49" s="3600">
        <f t="shared" si="190"/>
        <v>9220.0921335186576</v>
      </c>
      <c r="AM49" s="3600">
        <f t="shared" si="191"/>
        <v>12300.970000000001</v>
      </c>
      <c r="AN49" s="3597">
        <f t="shared" si="192"/>
        <v>23954.916680864248</v>
      </c>
      <c r="AO49" s="3597">
        <f t="shared" si="193"/>
        <v>31871.749999999996</v>
      </c>
      <c r="AP49" s="3908">
        <v>3107.4074616146086</v>
      </c>
      <c r="AQ49" s="3907">
        <v>4098.33</v>
      </c>
      <c r="AR49" s="3909">
        <f t="shared" si="194"/>
        <v>27062.324142478858</v>
      </c>
      <c r="AS49" s="3909">
        <f t="shared" si="195"/>
        <v>35970.079999999994</v>
      </c>
      <c r="AT49" s="4061">
        <v>2752.762937796077</v>
      </c>
      <c r="AU49" s="4060">
        <v>3623.7110493840551</v>
      </c>
      <c r="AV49" s="4062">
        <f t="shared" si="196"/>
        <v>29815.087080274934</v>
      </c>
      <c r="AW49" s="4062">
        <f t="shared" si="197"/>
        <v>39593.791049384046</v>
      </c>
      <c r="AX49" s="4379">
        <v>3107.407461614609</v>
      </c>
      <c r="AY49" s="4378">
        <v>4135.0200000000004</v>
      </c>
      <c r="AZ49" s="4380">
        <f t="shared" si="198"/>
        <v>8967.5778610252946</v>
      </c>
      <c r="BA49" s="4380">
        <f t="shared" si="199"/>
        <v>11857.061049384056</v>
      </c>
      <c r="BB49" s="4382">
        <f t="shared" si="200"/>
        <v>18187.669994543954</v>
      </c>
      <c r="BC49" s="4382">
        <f t="shared" si="200"/>
        <v>24158.031049384059</v>
      </c>
      <c r="BD49" s="4381">
        <f t="shared" si="201"/>
        <v>32922.494541889544</v>
      </c>
      <c r="BE49" s="4381">
        <f t="shared" si="202"/>
        <v>43728.81104938405</v>
      </c>
      <c r="BF49" s="4560"/>
    </row>
    <row r="50" spans="1:58" ht="15.75" customHeight="1" x14ac:dyDescent="0.25">
      <c r="A50" s="200"/>
      <c r="B50" s="3069" t="s">
        <v>511</v>
      </c>
      <c r="C50" s="355" t="s">
        <v>365</v>
      </c>
      <c r="D50" s="475"/>
      <c r="E50" s="238"/>
      <c r="F50" s="475"/>
      <c r="G50" s="238"/>
      <c r="H50" s="2418">
        <f t="shared" si="177"/>
        <v>0</v>
      </c>
      <c r="I50" s="2418">
        <f t="shared" si="177"/>
        <v>0</v>
      </c>
      <c r="J50" s="475"/>
      <c r="K50" s="238"/>
      <c r="L50" s="2415">
        <f t="shared" si="178"/>
        <v>0</v>
      </c>
      <c r="M50" s="2415">
        <f t="shared" si="178"/>
        <v>0</v>
      </c>
      <c r="N50" s="475">
        <v>0</v>
      </c>
      <c r="O50" s="238">
        <v>0</v>
      </c>
      <c r="P50" s="2418">
        <f t="shared" si="179"/>
        <v>0</v>
      </c>
      <c r="Q50" s="2418">
        <f t="shared" si="179"/>
        <v>0</v>
      </c>
      <c r="R50" s="475">
        <v>0</v>
      </c>
      <c r="S50" s="238">
        <v>0</v>
      </c>
      <c r="T50" s="2418">
        <f t="shared" si="180"/>
        <v>0</v>
      </c>
      <c r="U50" s="2418">
        <f t="shared" si="181"/>
        <v>0</v>
      </c>
      <c r="V50" s="475">
        <v>0</v>
      </c>
      <c r="W50" s="238">
        <v>0</v>
      </c>
      <c r="X50" s="2415">
        <f t="shared" si="182"/>
        <v>0</v>
      </c>
      <c r="Y50" s="2415">
        <f t="shared" si="183"/>
        <v>0</v>
      </c>
      <c r="Z50" s="1134">
        <f t="shared" si="184"/>
        <v>0</v>
      </c>
      <c r="AA50" s="1134">
        <f t="shared" si="185"/>
        <v>0</v>
      </c>
      <c r="AB50" s="4556">
        <v>0</v>
      </c>
      <c r="AC50" s="238">
        <v>0</v>
      </c>
      <c r="AD50" s="3163">
        <f t="shared" si="186"/>
        <v>0</v>
      </c>
      <c r="AE50" s="3163">
        <f t="shared" si="187"/>
        <v>0</v>
      </c>
      <c r="AF50" s="3346">
        <v>0</v>
      </c>
      <c r="AG50" s="238">
        <v>0</v>
      </c>
      <c r="AH50" s="3347">
        <f t="shared" si="188"/>
        <v>0</v>
      </c>
      <c r="AI50" s="3347">
        <f t="shared" si="189"/>
        <v>0</v>
      </c>
      <c r="AJ50" s="3601">
        <v>0</v>
      </c>
      <c r="AK50" s="3640">
        <v>0</v>
      </c>
      <c r="AL50" s="3600">
        <f t="shared" si="190"/>
        <v>0</v>
      </c>
      <c r="AM50" s="3600">
        <f t="shared" si="191"/>
        <v>0</v>
      </c>
      <c r="AN50" s="3597">
        <f t="shared" si="192"/>
        <v>0</v>
      </c>
      <c r="AO50" s="3597">
        <f t="shared" si="193"/>
        <v>0</v>
      </c>
      <c r="AP50" s="3908">
        <v>0</v>
      </c>
      <c r="AQ50" s="3907">
        <v>0</v>
      </c>
      <c r="AR50" s="3909">
        <f t="shared" si="194"/>
        <v>0</v>
      </c>
      <c r="AS50" s="3909">
        <f t="shared" si="195"/>
        <v>0</v>
      </c>
      <c r="AT50" s="4061">
        <v>0</v>
      </c>
      <c r="AU50" s="4060">
        <v>0</v>
      </c>
      <c r="AV50" s="4062">
        <f t="shared" si="196"/>
        <v>0</v>
      </c>
      <c r="AW50" s="4062">
        <f t="shared" si="197"/>
        <v>0</v>
      </c>
      <c r="AX50" s="4379">
        <v>0</v>
      </c>
      <c r="AY50" s="4378">
        <v>0</v>
      </c>
      <c r="AZ50" s="4380">
        <f t="shared" si="198"/>
        <v>0</v>
      </c>
      <c r="BA50" s="4380">
        <f t="shared" si="199"/>
        <v>0</v>
      </c>
      <c r="BB50" s="4382">
        <f t="shared" si="200"/>
        <v>0</v>
      </c>
      <c r="BC50" s="4382">
        <f t="shared" si="200"/>
        <v>0</v>
      </c>
      <c r="BD50" s="4381">
        <f t="shared" si="201"/>
        <v>0</v>
      </c>
      <c r="BE50" s="4381">
        <f t="shared" si="202"/>
        <v>0</v>
      </c>
      <c r="BF50" s="4560"/>
    </row>
    <row r="51" spans="1:58" ht="15.75" x14ac:dyDescent="0.25">
      <c r="A51" s="200"/>
      <c r="B51" s="3070" t="s">
        <v>64</v>
      </c>
      <c r="C51" s="2427" t="s">
        <v>365</v>
      </c>
      <c r="D51" s="2458">
        <f t="shared" ref="D51:AA51" si="203">SUM(D43:D50)</f>
        <v>174299.99989000004</v>
      </c>
      <c r="E51" s="470">
        <f t="shared" si="203"/>
        <v>172249.70730257957</v>
      </c>
      <c r="F51" s="2458">
        <f t="shared" si="203"/>
        <v>212920.00000000096</v>
      </c>
      <c r="G51" s="470">
        <f t="shared" si="203"/>
        <v>176268.30000000002</v>
      </c>
      <c r="H51" s="644">
        <f t="shared" si="203"/>
        <v>387219.99989000091</v>
      </c>
      <c r="I51" s="644">
        <f t="shared" si="203"/>
        <v>348518.00730257959</v>
      </c>
      <c r="J51" s="2458">
        <f t="shared" si="203"/>
        <v>353914.85753772542</v>
      </c>
      <c r="K51" s="470">
        <f t="shared" si="203"/>
        <v>324408.15000000002</v>
      </c>
      <c r="L51" s="2422">
        <f t="shared" si="203"/>
        <v>741134.85742772638</v>
      </c>
      <c r="M51" s="2422">
        <f t="shared" si="203"/>
        <v>672926.15730257949</v>
      </c>
      <c r="N51" s="2458">
        <f t="shared" si="203"/>
        <v>365920.12500000373</v>
      </c>
      <c r="O51" s="470">
        <f t="shared" si="203"/>
        <v>322053.21000000002</v>
      </c>
      <c r="P51" s="644">
        <f t="shared" si="203"/>
        <v>1107054.9824277302</v>
      </c>
      <c r="Q51" s="644">
        <f t="shared" si="203"/>
        <v>994979.36730257957</v>
      </c>
      <c r="R51" s="3628">
        <f t="shared" ref="R51:U51" si="204">SUM(R43:R50)</f>
        <v>365920.12500000338</v>
      </c>
      <c r="S51" s="470">
        <f t="shared" si="204"/>
        <v>326346.36999999994</v>
      </c>
      <c r="T51" s="644">
        <f t="shared" si="204"/>
        <v>1472975.1074277333</v>
      </c>
      <c r="U51" s="644">
        <f t="shared" si="204"/>
        <v>1321325.7373025795</v>
      </c>
      <c r="V51" s="2458">
        <f t="shared" ref="V51:W51" si="205">SUM(V43:V50)</f>
        <v>355972.50000000128</v>
      </c>
      <c r="W51" s="470">
        <f t="shared" si="205"/>
        <v>316634.17</v>
      </c>
      <c r="X51" s="2422">
        <f t="shared" si="203"/>
        <v>1087812.7500000081</v>
      </c>
      <c r="Y51" s="2422">
        <f t="shared" si="203"/>
        <v>965033.74999999988</v>
      </c>
      <c r="Z51" s="1282">
        <f t="shared" si="203"/>
        <v>1828947.6074277346</v>
      </c>
      <c r="AA51" s="1282">
        <f t="shared" si="203"/>
        <v>1637959.9073025796</v>
      </c>
      <c r="AB51" s="3628">
        <f t="shared" ref="AB51:AE51" si="206">SUM(AB43:AB50)</f>
        <v>368047.49999999988</v>
      </c>
      <c r="AC51" s="470">
        <f t="shared" si="206"/>
        <v>344987.36</v>
      </c>
      <c r="AD51" s="644">
        <f t="shared" si="206"/>
        <v>2196995.1074277344</v>
      </c>
      <c r="AE51" s="644">
        <f t="shared" si="206"/>
        <v>1982947.2673025795</v>
      </c>
      <c r="AF51" s="3353">
        <f t="shared" ref="AF51:AI51" si="207">SUM(AF43:AF50)</f>
        <v>355972.50000000128</v>
      </c>
      <c r="AG51" s="470">
        <f t="shared" si="207"/>
        <v>320280.10999999993</v>
      </c>
      <c r="AH51" s="644">
        <f t="shared" si="207"/>
        <v>2552967.6074277358</v>
      </c>
      <c r="AI51" s="644">
        <f t="shared" si="207"/>
        <v>2303227.3773025796</v>
      </c>
      <c r="AJ51" s="3628">
        <f t="shared" ref="AJ51:AO51" si="208">SUM(AJ43:AJ50)</f>
        <v>368047.49999999988</v>
      </c>
      <c r="AK51" s="470">
        <f t="shared" si="208"/>
        <v>343349.77</v>
      </c>
      <c r="AL51" s="2422">
        <f t="shared" ref="AL51:AM51" si="209">SUM(AL43:AL50)</f>
        <v>1092067.5000000014</v>
      </c>
      <c r="AM51" s="2422">
        <f t="shared" si="209"/>
        <v>1008617.24</v>
      </c>
      <c r="AN51" s="644">
        <f t="shared" si="208"/>
        <v>2921015.1074277358</v>
      </c>
      <c r="AO51" s="644">
        <f t="shared" si="208"/>
        <v>2646577.1473025796</v>
      </c>
      <c r="AP51" s="3628">
        <f t="shared" ref="AP51:AS51" si="210">SUM(AP43:AP50)</f>
        <v>368047.49999999988</v>
      </c>
      <c r="AQ51" s="470">
        <f t="shared" si="210"/>
        <v>343801.62</v>
      </c>
      <c r="AR51" s="644">
        <f t="shared" si="210"/>
        <v>3289062.6074277358</v>
      </c>
      <c r="AS51" s="644">
        <f t="shared" si="210"/>
        <v>2990378.7673025797</v>
      </c>
      <c r="AT51" s="3628">
        <f t="shared" ref="AT51:AW51" si="211">SUM(AT43:AT50)</f>
        <v>325890.60350000451</v>
      </c>
      <c r="AU51" s="470">
        <f t="shared" si="211"/>
        <v>266892.06839001871</v>
      </c>
      <c r="AV51" s="644">
        <f t="shared" si="211"/>
        <v>3614953.2109277402</v>
      </c>
      <c r="AW51" s="644">
        <f t="shared" si="211"/>
        <v>3257270.8356925985</v>
      </c>
      <c r="AX51" s="3628">
        <f t="shared" ref="AX51:BE51" si="212">SUM(AX43:AX50)</f>
        <v>368047.49999999988</v>
      </c>
      <c r="AY51" s="470">
        <f t="shared" si="212"/>
        <v>285588.57</v>
      </c>
      <c r="AZ51" s="2422">
        <f t="shared" si="212"/>
        <v>1061985.6035000044</v>
      </c>
      <c r="BA51" s="2422">
        <f t="shared" si="212"/>
        <v>896282.25839001883</v>
      </c>
      <c r="BB51" s="1282">
        <f t="shared" ref="BB51:BC51" si="213">SUM(BB43:BB50)</f>
        <v>2154053.1035000058</v>
      </c>
      <c r="BC51" s="1282">
        <f t="shared" si="213"/>
        <v>1904899.4983900189</v>
      </c>
      <c r="BD51" s="644">
        <f t="shared" si="212"/>
        <v>3983000.7109277407</v>
      </c>
      <c r="BE51" s="644">
        <f t="shared" si="212"/>
        <v>3542859.4056925979</v>
      </c>
    </row>
    <row r="52" spans="1:58" ht="20.25" x14ac:dyDescent="0.25">
      <c r="A52" s="200"/>
      <c r="B52" s="3071" t="s">
        <v>510</v>
      </c>
      <c r="C52" s="3071"/>
      <c r="D52" s="3062"/>
      <c r="E52" s="3071"/>
      <c r="F52" s="3062"/>
      <c r="G52" s="3071"/>
      <c r="H52" s="3071"/>
      <c r="I52" s="3071"/>
      <c r="J52" s="3062"/>
      <c r="K52" s="3071"/>
      <c r="L52" s="3071"/>
      <c r="M52" s="3071"/>
      <c r="N52" s="3062"/>
      <c r="O52" s="3071"/>
      <c r="P52" s="3071"/>
      <c r="Q52" s="3071"/>
      <c r="R52" s="3062"/>
      <c r="S52" s="3071"/>
      <c r="T52" s="3071"/>
      <c r="U52" s="3071"/>
      <c r="V52" s="3062"/>
      <c r="W52" s="3071"/>
      <c r="X52" s="3071"/>
      <c r="Y52" s="3071"/>
      <c r="Z52" s="3071"/>
      <c r="AA52" s="3071"/>
      <c r="AB52" s="3062"/>
      <c r="AC52" s="3071"/>
      <c r="AD52" s="3071"/>
      <c r="AE52" s="3071"/>
      <c r="AF52" s="3062"/>
      <c r="AG52" s="3071"/>
      <c r="AH52" s="3071"/>
      <c r="AI52" s="3071"/>
      <c r="AJ52" s="3062"/>
      <c r="AK52" s="3071"/>
      <c r="AL52" s="3071"/>
      <c r="AM52" s="3071"/>
      <c r="AN52" s="3071"/>
      <c r="AO52" s="3071"/>
      <c r="AP52" s="3062"/>
      <c r="AQ52" s="3071"/>
      <c r="AR52" s="3071"/>
      <c r="AS52" s="3071"/>
      <c r="AT52" s="3062"/>
      <c r="AU52" s="3071"/>
      <c r="AV52" s="3071"/>
      <c r="AW52" s="3071"/>
      <c r="AX52" s="3062"/>
      <c r="AY52" s="3071"/>
      <c r="AZ52" s="3071"/>
      <c r="BA52" s="3071"/>
      <c r="BB52" s="3071"/>
      <c r="BC52" s="3071"/>
      <c r="BD52" s="3071"/>
      <c r="BE52" s="3071"/>
    </row>
    <row r="53" spans="1:58" ht="15.75" x14ac:dyDescent="0.25">
      <c r="A53" s="200"/>
      <c r="B53" s="3065" t="s">
        <v>369</v>
      </c>
      <c r="C53" s="355" t="s">
        <v>368</v>
      </c>
      <c r="D53" s="475">
        <v>1850</v>
      </c>
      <c r="E53" s="3075">
        <v>1953.75679927632</v>
      </c>
      <c r="F53" s="475">
        <v>1850</v>
      </c>
      <c r="G53" s="3075">
        <v>0</v>
      </c>
      <c r="H53" s="2418">
        <v>1850</v>
      </c>
      <c r="I53" s="3076">
        <f>+((E53*E54)+(G54*G53))/I54</f>
        <v>1953.75679927632</v>
      </c>
      <c r="J53" s="475">
        <v>1850</v>
      </c>
      <c r="K53" s="3075">
        <v>0</v>
      </c>
      <c r="L53" s="2415">
        <v>1850</v>
      </c>
      <c r="M53" s="3077">
        <f>+((I53*I54)+(K54*K53))/M54</f>
        <v>1953.75679927632</v>
      </c>
      <c r="N53" s="475">
        <v>1850</v>
      </c>
      <c r="O53" s="3075">
        <v>1941.5</v>
      </c>
      <c r="P53" s="2418">
        <v>1850</v>
      </c>
      <c r="Q53" s="3076">
        <f>+((M53*M54)+(O54*O53))/Q54</f>
        <v>1944.3952065179801</v>
      </c>
      <c r="R53" s="475">
        <v>1850</v>
      </c>
      <c r="S53" s="3075">
        <v>1929.85</v>
      </c>
      <c r="T53" s="2418">
        <v>1850</v>
      </c>
      <c r="U53" s="3076">
        <f>+((Q53*Q54)+(S54*S53))/U54</f>
        <v>1936.8053427265504</v>
      </c>
      <c r="V53" s="475">
        <v>1850</v>
      </c>
      <c r="W53" s="3075">
        <v>1915.3</v>
      </c>
      <c r="X53" s="2415">
        <v>1850</v>
      </c>
      <c r="Y53" s="3077">
        <f>+((O53*O54)+(S53*S54)+(W54*W53))/Y54</f>
        <v>1925.9509094586165</v>
      </c>
      <c r="Z53" s="3078">
        <v>1850</v>
      </c>
      <c r="AA53" s="3078">
        <f>+((M53*M54)+(Y54*Y53))/AA54</f>
        <v>1927.772471984943</v>
      </c>
      <c r="AB53" s="4556">
        <v>1850</v>
      </c>
      <c r="AC53" s="3075">
        <v>1920.45</v>
      </c>
      <c r="AD53" s="3163">
        <v>1850</v>
      </c>
      <c r="AE53" s="3076">
        <f>+((AA53*AA54)+(AC54*AC53))/AE54</f>
        <v>1925.4774439380985</v>
      </c>
      <c r="AF53" s="3346">
        <v>1850</v>
      </c>
      <c r="AG53" s="3075">
        <v>1931.41</v>
      </c>
      <c r="AH53" s="3347">
        <v>1850</v>
      </c>
      <c r="AI53" s="3076">
        <f>+((AE53*AE54)+(AG54*AG53))/AI54</f>
        <v>1926.8092789489508</v>
      </c>
      <c r="AJ53" s="3601">
        <v>1850</v>
      </c>
      <c r="AK53" s="3075">
        <v>1909.96</v>
      </c>
      <c r="AL53" s="3600">
        <v>1850</v>
      </c>
      <c r="AM53" s="3077">
        <f>+((AC53*AC54)+(AG53*AG54)+(AK54*AK53))/AM54</f>
        <v>1920.5141595191972</v>
      </c>
      <c r="AN53" s="3597">
        <v>1850</v>
      </c>
      <c r="AO53" s="3076">
        <f>+((AI53*AI54)+(AK54*AK53))/AO54</f>
        <v>1923.6554135574211</v>
      </c>
      <c r="AP53" s="3908">
        <v>1850</v>
      </c>
      <c r="AQ53" s="3075">
        <v>1905.39</v>
      </c>
      <c r="AR53" s="3909">
        <v>1850</v>
      </c>
      <c r="AS53" s="3076">
        <f>+((AO53*AO54)+(AQ54*AQ53))/AS54</f>
        <v>1920.1391899184468</v>
      </c>
      <c r="AT53" s="4061">
        <v>1850</v>
      </c>
      <c r="AU53" s="3075">
        <v>1914.7853172256077</v>
      </c>
      <c r="AV53" s="4062">
        <v>1850</v>
      </c>
      <c r="AW53" s="3076">
        <f>+((AS53*AS54)+(AU54*AU53))/AW54</f>
        <v>1919.40168687912</v>
      </c>
      <c r="AX53" s="4379">
        <v>1850</v>
      </c>
      <c r="AY53" s="3075">
        <v>1913.96</v>
      </c>
      <c r="AZ53" s="4380">
        <v>1850</v>
      </c>
      <c r="BA53" s="3077">
        <f>+((AQ53*AQ54)+(AU53*AU54)+(AY54*AY53))/BA54</f>
        <v>1911.0610507614199</v>
      </c>
      <c r="BB53" s="3078">
        <v>1850</v>
      </c>
      <c r="BC53" s="3078">
        <f>+((AM53*AM54)+(BA54*BA53))/BC54</f>
        <v>1915.471793294907</v>
      </c>
      <c r="BD53" s="4381">
        <v>1850</v>
      </c>
      <c r="BE53" s="3076">
        <f>+((AW53*AW54)+(AY54*AY53))/BE54</f>
        <v>1918.7011919316751</v>
      </c>
    </row>
    <row r="54" spans="1:58" ht="15.75" x14ac:dyDescent="0.25">
      <c r="A54" s="200"/>
      <c r="B54" s="3079" t="s">
        <v>512</v>
      </c>
      <c r="C54" s="2427" t="s">
        <v>365</v>
      </c>
      <c r="D54" s="2458">
        <v>5336.4632235120007</v>
      </c>
      <c r="E54" s="3080">
        <v>2270.433</v>
      </c>
      <c r="F54" s="2458">
        <v>5345.0704225341597</v>
      </c>
      <c r="G54" s="3080">
        <v>0</v>
      </c>
      <c r="H54" s="644">
        <f>+D54+F54</f>
        <v>10681.53364604616</v>
      </c>
      <c r="I54" s="3081">
        <f>+E54+G54</f>
        <v>2270.433</v>
      </c>
      <c r="J54" s="2458">
        <v>12551.361502350481</v>
      </c>
      <c r="K54" s="3080">
        <v>0</v>
      </c>
      <c r="L54" s="2422">
        <f>+H54+J54</f>
        <v>23232.895148396641</v>
      </c>
      <c r="M54" s="3077">
        <f>+I54+K54</f>
        <v>2270.433</v>
      </c>
      <c r="N54" s="2458">
        <v>12559.624413148082</v>
      </c>
      <c r="O54" s="3080">
        <v>7341.4</v>
      </c>
      <c r="P54" s="644">
        <f>+L54+N54</f>
        <v>35792.519561544723</v>
      </c>
      <c r="Q54" s="3081">
        <f>+M54+O54</f>
        <v>9611.8329999999987</v>
      </c>
      <c r="R54" s="2458">
        <f>16.89509818769*31*24</f>
        <v>12569.95305164136</v>
      </c>
      <c r="S54" s="3080">
        <v>10488.7</v>
      </c>
      <c r="T54" s="644">
        <f>+P54+R54</f>
        <v>48362.472613186081</v>
      </c>
      <c r="U54" s="3081">
        <f>+Q54+S54</f>
        <v>20100.532999999999</v>
      </c>
      <c r="V54" s="2458">
        <v>12156.8075117352</v>
      </c>
      <c r="W54" s="3080">
        <v>14557.3</v>
      </c>
      <c r="X54" s="2422">
        <f t="shared" ref="X54:X55" si="214">+V54+R54+N54</f>
        <v>37286.384976524641</v>
      </c>
      <c r="Y54" s="2422">
        <f t="shared" ref="Y54:Y55" si="215">+W54+S54+O54</f>
        <v>32387.4</v>
      </c>
      <c r="Z54" s="1282">
        <f t="shared" ref="Z54:Z55" si="216">+L54+X54</f>
        <v>60519.280124921279</v>
      </c>
      <c r="AA54" s="1282">
        <f t="shared" ref="AA54:AA55" si="217">+Y54+M54</f>
        <v>34657.832999999999</v>
      </c>
      <c r="AB54" s="3628">
        <v>12316.901408452803</v>
      </c>
      <c r="AC54" s="3080">
        <v>15821.3</v>
      </c>
      <c r="AD54" s="644">
        <f>+Z54+AB54</f>
        <v>72836.181533374081</v>
      </c>
      <c r="AE54" s="3081">
        <f>+AA54+AC54</f>
        <v>50479.133000000002</v>
      </c>
      <c r="AF54" s="3353">
        <v>12385.328638499999</v>
      </c>
      <c r="AG54" s="3080">
        <v>14612.9</v>
      </c>
      <c r="AH54" s="644">
        <f>+AD54+AF54</f>
        <v>85221.510171874077</v>
      </c>
      <c r="AI54" s="3081">
        <f>+AE54+AG54</f>
        <v>65092.033000000003</v>
      </c>
      <c r="AJ54" s="3628">
        <v>12806.220657277438</v>
      </c>
      <c r="AK54" s="3080">
        <v>14989.8</v>
      </c>
      <c r="AL54" s="2422">
        <f t="shared" ref="AL54:AL55" si="218">+AJ54+AF54+AB54</f>
        <v>37508.450704230243</v>
      </c>
      <c r="AM54" s="2422">
        <f t="shared" ref="AM54:AM55" si="219">+AK54+AG54+AC54</f>
        <v>45424</v>
      </c>
      <c r="AN54" s="644">
        <f>+AH54+AJ54</f>
        <v>98027.730829151522</v>
      </c>
      <c r="AO54" s="3081">
        <f>+AI54+AK54</f>
        <v>80081.832999999999</v>
      </c>
      <c r="AP54" s="3628">
        <v>12884.976525820319</v>
      </c>
      <c r="AQ54" s="3080">
        <v>19091.599999999999</v>
      </c>
      <c r="AR54" s="644">
        <f>+AN54+AP54</f>
        <v>110912.70735497185</v>
      </c>
      <c r="AS54" s="3081">
        <f>+AO54+AQ54</f>
        <v>99173.43299999999</v>
      </c>
      <c r="AT54" s="3628">
        <v>11214.31924882752</v>
      </c>
      <c r="AU54" s="3080">
        <v>15843.772000000001</v>
      </c>
      <c r="AV54" s="644">
        <f>+AR54+AT54</f>
        <v>122127.02660379937</v>
      </c>
      <c r="AW54" s="3081">
        <f>+AS54+AU54</f>
        <v>115017.20499999999</v>
      </c>
      <c r="AX54" s="3628">
        <v>12884.976525820319</v>
      </c>
      <c r="AY54" s="3080">
        <v>16993.400000000001</v>
      </c>
      <c r="AZ54" s="2422">
        <f t="shared" ref="AZ54:AZ55" si="220">+AX54+AT54+AP54</f>
        <v>36984.272300468161</v>
      </c>
      <c r="BA54" s="2422">
        <f t="shared" ref="BA54:BA55" si="221">+AY54+AU54+AQ54</f>
        <v>51928.772000000004</v>
      </c>
      <c r="BB54" s="1282">
        <f>+AL54+AZ54</f>
        <v>74492.723004698404</v>
      </c>
      <c r="BC54" s="1282">
        <f>+AM54+BA54</f>
        <v>97352.771999999997</v>
      </c>
      <c r="BD54" s="644">
        <f>+AV54+AX54</f>
        <v>135012.0031296197</v>
      </c>
      <c r="BE54" s="3081">
        <f>+AW54+AY54</f>
        <v>132010.60499999998</v>
      </c>
    </row>
    <row r="55" spans="1:58" ht="16.5" customHeight="1" x14ac:dyDescent="0.25">
      <c r="A55" s="200"/>
      <c r="B55" s="2328" t="s">
        <v>551</v>
      </c>
      <c r="C55" s="355" t="s">
        <v>365</v>
      </c>
      <c r="D55" s="1614">
        <v>0</v>
      </c>
      <c r="E55" s="3075">
        <v>0</v>
      </c>
      <c r="F55" s="475">
        <v>0</v>
      </c>
      <c r="G55" s="3075">
        <v>0</v>
      </c>
      <c r="H55" s="2418">
        <f>+D55+F55</f>
        <v>0</v>
      </c>
      <c r="I55" s="3076">
        <f>+E55+G55</f>
        <v>0</v>
      </c>
      <c r="J55" s="475">
        <v>0</v>
      </c>
      <c r="K55" s="3075">
        <v>0</v>
      </c>
      <c r="L55" s="2415">
        <f>+H55+J55</f>
        <v>0</v>
      </c>
      <c r="M55" s="3083">
        <f>+I55+K55</f>
        <v>0</v>
      </c>
      <c r="N55" s="475">
        <v>0</v>
      </c>
      <c r="O55" s="3075">
        <v>0</v>
      </c>
      <c r="P55" s="2418">
        <f>+L55+N55</f>
        <v>0</v>
      </c>
      <c r="Q55" s="3076">
        <f>+M55+O55</f>
        <v>0</v>
      </c>
      <c r="R55" s="475">
        <v>0</v>
      </c>
      <c r="S55" s="3075">
        <v>0</v>
      </c>
      <c r="T55" s="2418">
        <f>+P55+R55</f>
        <v>0</v>
      </c>
      <c r="U55" s="3076">
        <f>+Q55+S55</f>
        <v>0</v>
      </c>
      <c r="V55" s="475">
        <v>0</v>
      </c>
      <c r="W55" s="3075">
        <v>0</v>
      </c>
      <c r="X55" s="2415">
        <f t="shared" si="214"/>
        <v>0</v>
      </c>
      <c r="Y55" s="2415">
        <f t="shared" si="215"/>
        <v>0</v>
      </c>
      <c r="Z55" s="1134">
        <f t="shared" si="216"/>
        <v>0</v>
      </c>
      <c r="AA55" s="1134">
        <f t="shared" si="217"/>
        <v>0</v>
      </c>
      <c r="AB55" s="4556">
        <v>0</v>
      </c>
      <c r="AC55" s="3075">
        <v>0</v>
      </c>
      <c r="AD55" s="3163">
        <f>+Z55+AB55</f>
        <v>0</v>
      </c>
      <c r="AE55" s="3076">
        <f>+AA55+AC55</f>
        <v>0</v>
      </c>
      <c r="AF55" s="3346">
        <v>0</v>
      </c>
      <c r="AG55" s="3075">
        <v>0</v>
      </c>
      <c r="AH55" s="3347">
        <f>+AD55+AF55</f>
        <v>0</v>
      </c>
      <c r="AI55" s="3076">
        <f>+AE55+AG55</f>
        <v>0</v>
      </c>
      <c r="AJ55" s="3601">
        <v>0</v>
      </c>
      <c r="AK55" s="3075">
        <v>0</v>
      </c>
      <c r="AL55" s="3600">
        <f t="shared" si="218"/>
        <v>0</v>
      </c>
      <c r="AM55" s="3600">
        <f t="shared" si="219"/>
        <v>0</v>
      </c>
      <c r="AN55" s="3597">
        <f>+AH55+AJ55</f>
        <v>0</v>
      </c>
      <c r="AO55" s="3076">
        <f>+AI55+AK55</f>
        <v>0</v>
      </c>
      <c r="AP55" s="3908">
        <v>0</v>
      </c>
      <c r="AQ55" s="3075">
        <v>0</v>
      </c>
      <c r="AR55" s="3909">
        <f>+AN55+AP55</f>
        <v>0</v>
      </c>
      <c r="AS55" s="3076">
        <f>+AO55+AQ55</f>
        <v>0</v>
      </c>
      <c r="AT55" s="4061">
        <v>0</v>
      </c>
      <c r="AU55" s="3075">
        <v>0</v>
      </c>
      <c r="AV55" s="4062">
        <f>+AR55+AT55</f>
        <v>0</v>
      </c>
      <c r="AW55" s="3076">
        <f>+AS55+AU55</f>
        <v>0</v>
      </c>
      <c r="AX55" s="4379">
        <v>0</v>
      </c>
      <c r="AY55" s="3075">
        <v>0</v>
      </c>
      <c r="AZ55" s="4380">
        <f t="shared" si="220"/>
        <v>0</v>
      </c>
      <c r="BA55" s="4380">
        <f t="shared" si="221"/>
        <v>0</v>
      </c>
      <c r="BB55" s="4382">
        <f>+AL55+AZ55</f>
        <v>0</v>
      </c>
      <c r="BC55" s="4382">
        <f>+AM55+BA55</f>
        <v>0</v>
      </c>
      <c r="BD55" s="4381">
        <f>+AV55+AX55</f>
        <v>0</v>
      </c>
      <c r="BE55" s="3076">
        <f>+AW55+AY55</f>
        <v>0</v>
      </c>
    </row>
    <row r="56" spans="1:58" ht="16.5" customHeight="1" x14ac:dyDescent="0.25">
      <c r="A56" s="200"/>
      <c r="B56" s="2328" t="s">
        <v>76</v>
      </c>
      <c r="C56" s="355" t="s">
        <v>52</v>
      </c>
      <c r="D56" s="1614">
        <f t="shared" ref="D56" si="222">+D55/D54*100</f>
        <v>0</v>
      </c>
      <c r="E56" s="3084">
        <f>+E55/E54*100</f>
        <v>0</v>
      </c>
      <c r="F56" s="475">
        <f t="shared" ref="F56:Q56" si="223">+F55/F54*100</f>
        <v>0</v>
      </c>
      <c r="G56" s="3084" t="e">
        <f t="shared" si="223"/>
        <v>#DIV/0!</v>
      </c>
      <c r="H56" s="2418">
        <f t="shared" si="223"/>
        <v>0</v>
      </c>
      <c r="I56" s="3074">
        <f t="shared" si="223"/>
        <v>0</v>
      </c>
      <c r="J56" s="475">
        <f t="shared" si="223"/>
        <v>0</v>
      </c>
      <c r="K56" s="3084" t="e">
        <f t="shared" si="223"/>
        <v>#DIV/0!</v>
      </c>
      <c r="L56" s="2415">
        <f t="shared" si="223"/>
        <v>0</v>
      </c>
      <c r="M56" s="3085">
        <f t="shared" si="223"/>
        <v>0</v>
      </c>
      <c r="N56" s="475">
        <f t="shared" si="223"/>
        <v>0</v>
      </c>
      <c r="O56" s="3075">
        <f t="shared" si="223"/>
        <v>0</v>
      </c>
      <c r="P56" s="2418">
        <f t="shared" si="223"/>
        <v>0</v>
      </c>
      <c r="Q56" s="3074">
        <f t="shared" si="223"/>
        <v>0</v>
      </c>
      <c r="R56" s="475">
        <f t="shared" ref="R56:U56" si="224">+R55/R54*100</f>
        <v>0</v>
      </c>
      <c r="S56" s="3075">
        <f t="shared" si="224"/>
        <v>0</v>
      </c>
      <c r="T56" s="2418">
        <f t="shared" si="224"/>
        <v>0</v>
      </c>
      <c r="U56" s="3074">
        <f t="shared" si="224"/>
        <v>0</v>
      </c>
      <c r="V56" s="475">
        <f t="shared" ref="V56:AE56" si="225">+V55/V54*100</f>
        <v>0</v>
      </c>
      <c r="W56" s="3075">
        <f t="shared" si="225"/>
        <v>0</v>
      </c>
      <c r="X56" s="2415">
        <f t="shared" si="225"/>
        <v>0</v>
      </c>
      <c r="Y56" s="3085">
        <f t="shared" si="225"/>
        <v>0</v>
      </c>
      <c r="Z56" s="1134">
        <f t="shared" si="225"/>
        <v>0</v>
      </c>
      <c r="AA56" s="3086">
        <f t="shared" si="225"/>
        <v>0</v>
      </c>
      <c r="AB56" s="4556">
        <f t="shared" si="225"/>
        <v>0</v>
      </c>
      <c r="AC56" s="3075">
        <f t="shared" si="225"/>
        <v>0</v>
      </c>
      <c r="AD56" s="3163">
        <f t="shared" si="225"/>
        <v>0</v>
      </c>
      <c r="AE56" s="3074">
        <f t="shared" si="225"/>
        <v>0</v>
      </c>
      <c r="AF56" s="3346">
        <f t="shared" ref="AF56:AI56" si="226">+AF55/AF54*100</f>
        <v>0</v>
      </c>
      <c r="AG56" s="3075">
        <f t="shared" si="226"/>
        <v>0</v>
      </c>
      <c r="AH56" s="3347">
        <f t="shared" si="226"/>
        <v>0</v>
      </c>
      <c r="AI56" s="3074">
        <f t="shared" si="226"/>
        <v>0</v>
      </c>
      <c r="AJ56" s="3601">
        <f t="shared" ref="AJ56:AO56" si="227">+AJ55/AJ54*100</f>
        <v>0</v>
      </c>
      <c r="AK56" s="3075">
        <f t="shared" si="227"/>
        <v>0</v>
      </c>
      <c r="AL56" s="3600">
        <f t="shared" si="227"/>
        <v>0</v>
      </c>
      <c r="AM56" s="3085">
        <f t="shared" si="227"/>
        <v>0</v>
      </c>
      <c r="AN56" s="3597">
        <f t="shared" si="227"/>
        <v>0</v>
      </c>
      <c r="AO56" s="3074">
        <f t="shared" si="227"/>
        <v>0</v>
      </c>
      <c r="AP56" s="3908">
        <f t="shared" ref="AP56:AS56" si="228">+AP55/AP54*100</f>
        <v>0</v>
      </c>
      <c r="AQ56" s="3075">
        <f t="shared" si="228"/>
        <v>0</v>
      </c>
      <c r="AR56" s="3909">
        <f t="shared" si="228"/>
        <v>0</v>
      </c>
      <c r="AS56" s="3074">
        <f t="shared" si="228"/>
        <v>0</v>
      </c>
      <c r="AT56" s="4061">
        <f t="shared" ref="AT56:AW56" si="229">+AT55/AT54*100</f>
        <v>0</v>
      </c>
      <c r="AU56" s="3075">
        <f t="shared" si="229"/>
        <v>0</v>
      </c>
      <c r="AV56" s="4062">
        <f t="shared" si="229"/>
        <v>0</v>
      </c>
      <c r="AW56" s="3074">
        <f t="shared" si="229"/>
        <v>0</v>
      </c>
      <c r="AX56" s="4379">
        <f t="shared" ref="AX56:BE56" si="230">+AX55/AX54*100</f>
        <v>0</v>
      </c>
      <c r="AY56" s="3075">
        <f t="shared" si="230"/>
        <v>0</v>
      </c>
      <c r="AZ56" s="4380">
        <f t="shared" si="230"/>
        <v>0</v>
      </c>
      <c r="BA56" s="3085">
        <f t="shared" si="230"/>
        <v>0</v>
      </c>
      <c r="BB56" s="4382">
        <f t="shared" ref="BB56:BC56" si="231">+BB55/BB54*100</f>
        <v>0</v>
      </c>
      <c r="BC56" s="3086">
        <f t="shared" si="231"/>
        <v>0</v>
      </c>
      <c r="BD56" s="4381">
        <f t="shared" si="230"/>
        <v>0</v>
      </c>
      <c r="BE56" s="3074">
        <f t="shared" si="230"/>
        <v>0</v>
      </c>
    </row>
    <row r="57" spans="1:58" ht="18.75" x14ac:dyDescent="0.25">
      <c r="A57" s="200"/>
      <c r="B57" s="1582" t="s">
        <v>58</v>
      </c>
      <c r="C57" s="3068" t="s">
        <v>365</v>
      </c>
      <c r="D57" s="2458">
        <f t="shared" ref="D57" si="232">+D54-D55</f>
        <v>5336.4632235120007</v>
      </c>
      <c r="E57" s="3080">
        <f t="shared" ref="E57:Q57" si="233">+E54-E55</f>
        <v>2270.433</v>
      </c>
      <c r="F57" s="2458">
        <f t="shared" si="233"/>
        <v>5345.0704225341597</v>
      </c>
      <c r="G57" s="3080">
        <f t="shared" si="233"/>
        <v>0</v>
      </c>
      <c r="H57" s="644">
        <f t="shared" si="233"/>
        <v>10681.53364604616</v>
      </c>
      <c r="I57" s="3081">
        <f t="shared" si="233"/>
        <v>2270.433</v>
      </c>
      <c r="J57" s="2458">
        <f t="shared" si="233"/>
        <v>12551.361502350481</v>
      </c>
      <c r="K57" s="3080">
        <f t="shared" si="233"/>
        <v>0</v>
      </c>
      <c r="L57" s="2422">
        <f t="shared" si="233"/>
        <v>23232.895148396641</v>
      </c>
      <c r="M57" s="3077">
        <f t="shared" si="233"/>
        <v>2270.433</v>
      </c>
      <c r="N57" s="2458">
        <f t="shared" si="233"/>
        <v>12559.624413148082</v>
      </c>
      <c r="O57" s="3080">
        <f t="shared" si="233"/>
        <v>7341.4</v>
      </c>
      <c r="P57" s="644">
        <f t="shared" si="233"/>
        <v>35792.519561544723</v>
      </c>
      <c r="Q57" s="3081">
        <f t="shared" si="233"/>
        <v>9611.8329999999987</v>
      </c>
      <c r="R57" s="2458">
        <f t="shared" ref="R57:U57" si="234">+R54-R55</f>
        <v>12569.95305164136</v>
      </c>
      <c r="S57" s="3080">
        <f t="shared" si="234"/>
        <v>10488.7</v>
      </c>
      <c r="T57" s="644">
        <f>+T54-T55</f>
        <v>48362.472613186081</v>
      </c>
      <c r="U57" s="3081">
        <f t="shared" si="234"/>
        <v>20100.532999999999</v>
      </c>
      <c r="V57" s="2458">
        <f t="shared" ref="V57:W57" si="235">+V54-V55</f>
        <v>12156.8075117352</v>
      </c>
      <c r="W57" s="3080">
        <f t="shared" si="235"/>
        <v>14557.3</v>
      </c>
      <c r="X57" s="2422">
        <f t="shared" ref="X57:AC57" si="236">+X54-X55</f>
        <v>37286.384976524641</v>
      </c>
      <c r="Y57" s="3077">
        <f t="shared" si="236"/>
        <v>32387.4</v>
      </c>
      <c r="Z57" s="3082">
        <f t="shared" si="236"/>
        <v>60519.280124921279</v>
      </c>
      <c r="AA57" s="3082">
        <f t="shared" si="236"/>
        <v>34657.832999999999</v>
      </c>
      <c r="AB57" s="3628">
        <f t="shared" si="236"/>
        <v>12316.901408452803</v>
      </c>
      <c r="AC57" s="3080">
        <f t="shared" si="236"/>
        <v>15821.3</v>
      </c>
      <c r="AD57" s="644">
        <f>+AD54-AD55</f>
        <v>72836.181533374081</v>
      </c>
      <c r="AE57" s="3081">
        <f t="shared" ref="AE57:AG57" si="237">+AE54-AE55</f>
        <v>50479.133000000002</v>
      </c>
      <c r="AF57" s="3353">
        <f t="shared" si="237"/>
        <v>12385.328638499999</v>
      </c>
      <c r="AG57" s="3080">
        <f t="shared" si="237"/>
        <v>14612.9</v>
      </c>
      <c r="AH57" s="644">
        <f>+AH54-AH55</f>
        <v>85221.510171874077</v>
      </c>
      <c r="AI57" s="3081">
        <f t="shared" ref="AI57:AM57" si="238">+AI54-AI55</f>
        <v>65092.033000000003</v>
      </c>
      <c r="AJ57" s="3628">
        <f t="shared" si="238"/>
        <v>12806.220657277438</v>
      </c>
      <c r="AK57" s="3080">
        <f t="shared" si="238"/>
        <v>14989.8</v>
      </c>
      <c r="AL57" s="2422">
        <f t="shared" si="238"/>
        <v>37508.450704230243</v>
      </c>
      <c r="AM57" s="3077">
        <f t="shared" si="238"/>
        <v>45424</v>
      </c>
      <c r="AN57" s="644">
        <f>+AN54-AN55</f>
        <v>98027.730829151522</v>
      </c>
      <c r="AO57" s="3081">
        <f t="shared" ref="AO57:AQ57" si="239">+AO54-AO55</f>
        <v>80081.832999999999</v>
      </c>
      <c r="AP57" s="3628">
        <f t="shared" si="239"/>
        <v>12884.976525820319</v>
      </c>
      <c r="AQ57" s="3080">
        <f t="shared" si="239"/>
        <v>19091.599999999999</v>
      </c>
      <c r="AR57" s="644">
        <f>+AR54-AR55</f>
        <v>110912.70735497185</v>
      </c>
      <c r="AS57" s="3081">
        <f t="shared" ref="AS57:AU57" si="240">+AS54-AS55</f>
        <v>99173.43299999999</v>
      </c>
      <c r="AT57" s="3628">
        <f t="shared" si="240"/>
        <v>11214.31924882752</v>
      </c>
      <c r="AU57" s="3080">
        <f t="shared" si="240"/>
        <v>15843.772000000001</v>
      </c>
      <c r="AV57" s="644">
        <f>+AV54-AV55</f>
        <v>122127.02660379937</v>
      </c>
      <c r="AW57" s="3081">
        <f t="shared" ref="AW57:BA57" si="241">+AW54-AW55</f>
        <v>115017.20499999999</v>
      </c>
      <c r="AX57" s="3628">
        <f t="shared" si="241"/>
        <v>12884.976525820319</v>
      </c>
      <c r="AY57" s="3080">
        <f t="shared" si="241"/>
        <v>16993.400000000001</v>
      </c>
      <c r="AZ57" s="2422">
        <f t="shared" si="241"/>
        <v>36984.272300468161</v>
      </c>
      <c r="BA57" s="3077">
        <f t="shared" si="241"/>
        <v>51928.772000000004</v>
      </c>
      <c r="BB57" s="3082">
        <f>+BB54-BB55</f>
        <v>74492.723004698404</v>
      </c>
      <c r="BC57" s="3082">
        <f t="shared" ref="BC57:BE57" si="242">+BC54-BC55</f>
        <v>97352.771999999997</v>
      </c>
      <c r="BD57" s="644">
        <f>+BD54-BD55</f>
        <v>135012.0031296197</v>
      </c>
      <c r="BE57" s="3081">
        <f t="shared" si="242"/>
        <v>132010.60499999998</v>
      </c>
    </row>
    <row r="58" spans="1:58" ht="15.75" x14ac:dyDescent="0.25">
      <c r="A58" s="200"/>
      <c r="B58" s="3079" t="s">
        <v>513</v>
      </c>
      <c r="C58" s="3079"/>
      <c r="D58" s="2697"/>
      <c r="E58" s="3079"/>
      <c r="F58" s="2697"/>
      <c r="G58" s="3079"/>
      <c r="H58" s="3079"/>
      <c r="I58" s="3079"/>
      <c r="J58" s="2697"/>
      <c r="K58" s="3079"/>
      <c r="L58" s="3079"/>
      <c r="M58" s="3079"/>
      <c r="N58" s="2697"/>
      <c r="O58" s="3079"/>
      <c r="P58" s="3079"/>
      <c r="Q58" s="3079"/>
      <c r="R58" s="2697"/>
      <c r="S58" s="3079"/>
      <c r="T58" s="3079"/>
      <c r="U58" s="3079"/>
      <c r="V58" s="2697"/>
      <c r="W58" s="3079"/>
      <c r="X58" s="3079"/>
      <c r="Y58" s="3079"/>
      <c r="Z58" s="3079"/>
      <c r="AA58" s="3079"/>
      <c r="AB58" s="2697"/>
      <c r="AC58" s="3079"/>
      <c r="AD58" s="3079"/>
      <c r="AE58" s="3079"/>
      <c r="AF58" s="2697"/>
      <c r="AG58" s="3079"/>
      <c r="AH58" s="3079"/>
      <c r="AI58" s="3079"/>
      <c r="AJ58" s="2697"/>
      <c r="AK58" s="3079"/>
      <c r="AL58" s="3079"/>
      <c r="AM58" s="3079"/>
      <c r="AN58" s="3079"/>
      <c r="AO58" s="3079"/>
      <c r="AP58" s="2697"/>
      <c r="AQ58" s="3079"/>
      <c r="AR58" s="3079"/>
      <c r="AS58" s="3079"/>
      <c r="AT58" s="2697"/>
      <c r="AU58" s="3079"/>
      <c r="AV58" s="3079"/>
      <c r="AW58" s="3079"/>
      <c r="AX58" s="2697"/>
      <c r="AY58" s="3079"/>
      <c r="AZ58" s="3079"/>
      <c r="BA58" s="3079"/>
      <c r="BB58" s="3079"/>
      <c r="BC58" s="3079"/>
      <c r="BD58" s="3079"/>
      <c r="BE58" s="3079"/>
    </row>
    <row r="59" spans="1:58" ht="15.75" x14ac:dyDescent="0.25">
      <c r="A59" s="200"/>
      <c r="B59" s="3069" t="s">
        <v>136</v>
      </c>
      <c r="C59" s="355" t="s">
        <v>365</v>
      </c>
      <c r="D59" s="2458">
        <f>+D54</f>
        <v>5336.4632235120007</v>
      </c>
      <c r="E59" s="238">
        <v>2270.433</v>
      </c>
      <c r="F59" s="2458">
        <f>+F54</f>
        <v>5345.0704225341597</v>
      </c>
      <c r="G59" s="238">
        <v>0</v>
      </c>
      <c r="H59" s="2418">
        <f>+D59+F59</f>
        <v>10681.53364604616</v>
      </c>
      <c r="I59" s="2418">
        <f>+E59+G59</f>
        <v>2270.433</v>
      </c>
      <c r="J59" s="2458">
        <f>+J54</f>
        <v>12551.361502350481</v>
      </c>
      <c r="K59" s="238">
        <v>0</v>
      </c>
      <c r="L59" s="2415">
        <f>+H59+J59</f>
        <v>23232.895148396641</v>
      </c>
      <c r="M59" s="2415">
        <f>+I59+K59</f>
        <v>2270.433</v>
      </c>
      <c r="N59" s="2458">
        <f>+N54</f>
        <v>12559.624413148082</v>
      </c>
      <c r="O59" s="238">
        <v>7341.4</v>
      </c>
      <c r="P59" s="2418">
        <f>+L59+N59</f>
        <v>35792.519561544723</v>
      </c>
      <c r="Q59" s="2418">
        <f>+M59+O59</f>
        <v>9611.8329999999987</v>
      </c>
      <c r="R59" s="2458">
        <f>+R54</f>
        <v>12569.95305164136</v>
      </c>
      <c r="S59" s="238">
        <v>10488.7</v>
      </c>
      <c r="T59" s="2418">
        <f>+P59+R59</f>
        <v>48362.472613186081</v>
      </c>
      <c r="U59" s="2418">
        <f>+Q59+S59</f>
        <v>20100.532999999999</v>
      </c>
      <c r="V59" s="2458">
        <f>+V54</f>
        <v>12156.8075117352</v>
      </c>
      <c r="W59" s="238">
        <v>14557.3</v>
      </c>
      <c r="X59" s="2415">
        <f t="shared" ref="X59:X60" si="243">+V59+R59+N59</f>
        <v>37286.384976524641</v>
      </c>
      <c r="Y59" s="2415">
        <f t="shared" ref="Y59:Y60" si="244">+W59+S59+O59</f>
        <v>32387.4</v>
      </c>
      <c r="Z59" s="1134">
        <f t="shared" ref="Z59:Z60" si="245">+L59+X59</f>
        <v>60519.280124921279</v>
      </c>
      <c r="AA59" s="1134">
        <f t="shared" ref="AA59:AA60" si="246">+Y59+M59</f>
        <v>34657.832999999999</v>
      </c>
      <c r="AB59" s="3628">
        <f>+AB54</f>
        <v>12316.901408452803</v>
      </c>
      <c r="AC59" s="238">
        <v>15821.3</v>
      </c>
      <c r="AD59" s="3163">
        <f>+Z59+AB59</f>
        <v>72836.181533374081</v>
      </c>
      <c r="AE59" s="3163">
        <f>+AA59+AC59</f>
        <v>50479.133000000002</v>
      </c>
      <c r="AF59" s="3353">
        <f>+AF54</f>
        <v>12385.328638499999</v>
      </c>
      <c r="AG59" s="238">
        <v>14612.9</v>
      </c>
      <c r="AH59" s="3347">
        <f>+AD59+AF59</f>
        <v>85221.510171874077</v>
      </c>
      <c r="AI59" s="3347">
        <f>+AE59+AG59</f>
        <v>65092.033000000003</v>
      </c>
      <c r="AJ59" s="3628">
        <f>+AJ54</f>
        <v>12806.220657277438</v>
      </c>
      <c r="AK59" s="3640">
        <v>14989.8</v>
      </c>
      <c r="AL59" s="3600">
        <f t="shared" ref="AL59:AL60" si="247">+AJ59+AF59+AB59</f>
        <v>37508.450704230243</v>
      </c>
      <c r="AM59" s="3600">
        <f t="shared" ref="AM59:AM60" si="248">+AK59+AG59+AC59</f>
        <v>45424</v>
      </c>
      <c r="AN59" s="3597">
        <f>+AH59+AJ59</f>
        <v>98027.730829151522</v>
      </c>
      <c r="AO59" s="3597">
        <f>+AI59+AK59</f>
        <v>80081.832999999999</v>
      </c>
      <c r="AP59" s="3628">
        <f>+AP54</f>
        <v>12884.976525820319</v>
      </c>
      <c r="AQ59" s="3907">
        <v>19091.599999999999</v>
      </c>
      <c r="AR59" s="3909">
        <f>+AN59+AP59</f>
        <v>110912.70735497185</v>
      </c>
      <c r="AS59" s="3909">
        <f>+AO59+AQ59</f>
        <v>99173.43299999999</v>
      </c>
      <c r="AT59" s="3628">
        <f>+AT54</f>
        <v>11214.31924882752</v>
      </c>
      <c r="AU59" s="4060">
        <v>15843.772000000001</v>
      </c>
      <c r="AV59" s="4062">
        <f>+AR59+AT59</f>
        <v>122127.02660379937</v>
      </c>
      <c r="AW59" s="4062">
        <f>+AS59+AU59</f>
        <v>115017.20499999999</v>
      </c>
      <c r="AX59" s="3628">
        <f>+AX54</f>
        <v>12884.976525820319</v>
      </c>
      <c r="AY59" s="4378">
        <v>16993.400000000001</v>
      </c>
      <c r="AZ59" s="4380">
        <f t="shared" ref="AZ59:AZ60" si="249">+AX59+AT59+AP59</f>
        <v>36984.272300468161</v>
      </c>
      <c r="BA59" s="4380">
        <f t="shared" ref="BA59:BA60" si="250">+AY59+AU59+AQ59</f>
        <v>51928.772000000004</v>
      </c>
      <c r="BB59" s="4382">
        <f>+AL59+AZ59</f>
        <v>74492.723004698404</v>
      </c>
      <c r="BC59" s="4382">
        <f>+AM59+BA59</f>
        <v>97352.771999999997</v>
      </c>
      <c r="BD59" s="4381">
        <f>+AV59+AX59</f>
        <v>135012.0031296197</v>
      </c>
      <c r="BE59" s="4381">
        <f>+AW59+AY59</f>
        <v>132010.60499999998</v>
      </c>
    </row>
    <row r="60" spans="1:58" ht="15.75" x14ac:dyDescent="0.25">
      <c r="A60" s="200"/>
      <c r="B60" s="3069" t="s">
        <v>57</v>
      </c>
      <c r="C60" s="355" t="s">
        <v>365</v>
      </c>
      <c r="D60" s="2458">
        <f>0*24*D2</f>
        <v>0</v>
      </c>
      <c r="E60" s="238">
        <v>0</v>
      </c>
      <c r="F60" s="475">
        <v>0</v>
      </c>
      <c r="G60" s="238">
        <v>0</v>
      </c>
      <c r="H60" s="2418">
        <f>+D60+F60</f>
        <v>0</v>
      </c>
      <c r="I60" s="1599">
        <f>+E60+G60</f>
        <v>0</v>
      </c>
      <c r="J60" s="475">
        <v>0</v>
      </c>
      <c r="K60" s="238">
        <v>0</v>
      </c>
      <c r="L60" s="2415">
        <f>+H60+J60</f>
        <v>0</v>
      </c>
      <c r="M60" s="2415">
        <f>+I60+K60</f>
        <v>0</v>
      </c>
      <c r="N60" s="475">
        <v>0</v>
      </c>
      <c r="O60" s="238">
        <v>0</v>
      </c>
      <c r="P60" s="2418">
        <f>+L60+N60</f>
        <v>0</v>
      </c>
      <c r="Q60" s="2418">
        <f>+M60+O60</f>
        <v>0</v>
      </c>
      <c r="R60" s="475">
        <v>0</v>
      </c>
      <c r="S60" s="238">
        <v>0</v>
      </c>
      <c r="T60" s="2418">
        <f>+P60+R60</f>
        <v>0</v>
      </c>
      <c r="U60" s="2418">
        <f>+Q60+S60</f>
        <v>0</v>
      </c>
      <c r="V60" s="475">
        <v>0</v>
      </c>
      <c r="W60" s="238">
        <v>0</v>
      </c>
      <c r="X60" s="2415">
        <f t="shared" si="243"/>
        <v>0</v>
      </c>
      <c r="Y60" s="2415">
        <f t="shared" si="244"/>
        <v>0</v>
      </c>
      <c r="Z60" s="1134">
        <f t="shared" si="245"/>
        <v>0</v>
      </c>
      <c r="AA60" s="1134">
        <f t="shared" si="246"/>
        <v>0</v>
      </c>
      <c r="AB60" s="4556">
        <v>0</v>
      </c>
      <c r="AC60" s="238">
        <v>0</v>
      </c>
      <c r="AD60" s="3163">
        <f>+Z60+AB60</f>
        <v>0</v>
      </c>
      <c r="AE60" s="3163">
        <f>+AA60+AC60</f>
        <v>0</v>
      </c>
      <c r="AF60" s="3346">
        <v>0</v>
      </c>
      <c r="AG60" s="238">
        <v>0</v>
      </c>
      <c r="AH60" s="3347">
        <f>+AD60+AF60</f>
        <v>0</v>
      </c>
      <c r="AI60" s="3347">
        <f>+AE60+AG60</f>
        <v>0</v>
      </c>
      <c r="AJ60" s="3601">
        <v>0</v>
      </c>
      <c r="AK60" s="3640">
        <v>0</v>
      </c>
      <c r="AL60" s="3600">
        <f t="shared" si="247"/>
        <v>0</v>
      </c>
      <c r="AM60" s="3600">
        <f t="shared" si="248"/>
        <v>0</v>
      </c>
      <c r="AN60" s="3597">
        <f>+AH60+AJ60</f>
        <v>0</v>
      </c>
      <c r="AO60" s="3597">
        <f>+AI60+AK60</f>
        <v>0</v>
      </c>
      <c r="AP60" s="3908">
        <v>0</v>
      </c>
      <c r="AQ60" s="3907">
        <v>0</v>
      </c>
      <c r="AR60" s="3909">
        <f>+AN60+AP60</f>
        <v>0</v>
      </c>
      <c r="AS60" s="3909">
        <f>+AO60+AQ60</f>
        <v>0</v>
      </c>
      <c r="AT60" s="4061">
        <v>0</v>
      </c>
      <c r="AU60" s="4060">
        <v>0</v>
      </c>
      <c r="AV60" s="4062">
        <f>+AR60+AT60</f>
        <v>0</v>
      </c>
      <c r="AW60" s="4062">
        <f>+AS60+AU60</f>
        <v>0</v>
      </c>
      <c r="AX60" s="4379">
        <v>0</v>
      </c>
      <c r="AY60" s="4378">
        <v>0</v>
      </c>
      <c r="AZ60" s="4380">
        <f t="shared" si="249"/>
        <v>0</v>
      </c>
      <c r="BA60" s="4380">
        <f t="shared" si="250"/>
        <v>0</v>
      </c>
      <c r="BB60" s="4382">
        <f>+AL60+AZ60</f>
        <v>0</v>
      </c>
      <c r="BC60" s="4382">
        <f>+AM60+BA60</f>
        <v>0</v>
      </c>
      <c r="BD60" s="4381">
        <f>+AV60+AX60</f>
        <v>0</v>
      </c>
      <c r="BE60" s="4381">
        <f>+AW60+AY60</f>
        <v>0</v>
      </c>
    </row>
    <row r="61" spans="1:58" ht="18.75" x14ac:dyDescent="0.25">
      <c r="A61" s="200"/>
      <c r="B61" s="3087" t="s">
        <v>64</v>
      </c>
      <c r="C61" s="3068" t="s">
        <v>365</v>
      </c>
      <c r="D61" s="1730">
        <f>SUM(D59:D60)</f>
        <v>5336.4632235120007</v>
      </c>
      <c r="E61" s="1830">
        <f t="shared" ref="E61:Q61" si="251">SUM(E59:E60)</f>
        <v>2270.433</v>
      </c>
      <c r="F61" s="1730">
        <f t="shared" si="251"/>
        <v>5345.0704225341597</v>
      </c>
      <c r="G61" s="1830">
        <f t="shared" si="251"/>
        <v>0</v>
      </c>
      <c r="H61" s="1831">
        <f t="shared" si="251"/>
        <v>10681.53364604616</v>
      </c>
      <c r="I61" s="1831">
        <f t="shared" si="251"/>
        <v>2270.433</v>
      </c>
      <c r="J61" s="1730">
        <f t="shared" si="251"/>
        <v>12551.361502350481</v>
      </c>
      <c r="K61" s="1830">
        <f t="shared" si="251"/>
        <v>0</v>
      </c>
      <c r="L61" s="1832">
        <f t="shared" si="251"/>
        <v>23232.895148396641</v>
      </c>
      <c r="M61" s="1832">
        <f t="shared" si="251"/>
        <v>2270.433</v>
      </c>
      <c r="N61" s="1730">
        <f t="shared" si="251"/>
        <v>12559.624413148082</v>
      </c>
      <c r="O61" s="1830">
        <f t="shared" si="251"/>
        <v>7341.4</v>
      </c>
      <c r="P61" s="1831">
        <f t="shared" si="251"/>
        <v>35792.519561544723</v>
      </c>
      <c r="Q61" s="1831">
        <f t="shared" si="251"/>
        <v>9611.8329999999987</v>
      </c>
      <c r="R61" s="1730">
        <f t="shared" ref="R61:U61" si="252">SUM(R59:R60)</f>
        <v>12569.95305164136</v>
      </c>
      <c r="S61" s="1830">
        <f t="shared" si="252"/>
        <v>10488.7</v>
      </c>
      <c r="T61" s="1831">
        <f t="shared" si="252"/>
        <v>48362.472613186081</v>
      </c>
      <c r="U61" s="1831">
        <f t="shared" si="252"/>
        <v>20100.532999999999</v>
      </c>
      <c r="V61" s="1730">
        <f t="shared" ref="V61:W61" si="253">SUM(V59:V60)</f>
        <v>12156.8075117352</v>
      </c>
      <c r="W61" s="1830">
        <f t="shared" si="253"/>
        <v>14557.3</v>
      </c>
      <c r="X61" s="1832">
        <f t="shared" ref="X61:AE61" si="254">SUM(X59:X60)</f>
        <v>37286.384976524641</v>
      </c>
      <c r="Y61" s="1832">
        <f t="shared" si="254"/>
        <v>32387.4</v>
      </c>
      <c r="Z61" s="1833">
        <f t="shared" si="254"/>
        <v>60519.280124921279</v>
      </c>
      <c r="AA61" s="1833">
        <f t="shared" si="254"/>
        <v>34657.832999999999</v>
      </c>
      <c r="AB61" s="1730">
        <f t="shared" si="254"/>
        <v>12316.901408452803</v>
      </c>
      <c r="AC61" s="1830">
        <f t="shared" si="254"/>
        <v>15821.3</v>
      </c>
      <c r="AD61" s="1831">
        <f t="shared" si="254"/>
        <v>72836.181533374081</v>
      </c>
      <c r="AE61" s="1831">
        <f t="shared" si="254"/>
        <v>50479.133000000002</v>
      </c>
      <c r="AF61" s="1730">
        <f t="shared" ref="AF61:AI61" si="255">SUM(AF59:AF60)</f>
        <v>12385.328638499999</v>
      </c>
      <c r="AG61" s="1830">
        <f t="shared" si="255"/>
        <v>14612.9</v>
      </c>
      <c r="AH61" s="1831">
        <f t="shared" si="255"/>
        <v>85221.510171874077</v>
      </c>
      <c r="AI61" s="1831">
        <f t="shared" si="255"/>
        <v>65092.033000000003</v>
      </c>
      <c r="AJ61" s="1730">
        <f t="shared" ref="AJ61:AO61" si="256">SUM(AJ59:AJ60)</f>
        <v>12806.220657277438</v>
      </c>
      <c r="AK61" s="1830">
        <f t="shared" si="256"/>
        <v>14989.8</v>
      </c>
      <c r="AL61" s="1832">
        <f t="shared" si="256"/>
        <v>37508.450704230243</v>
      </c>
      <c r="AM61" s="1832">
        <f t="shared" si="256"/>
        <v>45424</v>
      </c>
      <c r="AN61" s="1831">
        <f t="shared" si="256"/>
        <v>98027.730829151522</v>
      </c>
      <c r="AO61" s="1831">
        <f t="shared" si="256"/>
        <v>80081.832999999999</v>
      </c>
      <c r="AP61" s="1730">
        <f t="shared" ref="AP61:AS61" si="257">SUM(AP59:AP60)</f>
        <v>12884.976525820319</v>
      </c>
      <c r="AQ61" s="1830">
        <f t="shared" si="257"/>
        <v>19091.599999999999</v>
      </c>
      <c r="AR61" s="1831">
        <f t="shared" si="257"/>
        <v>110912.70735497185</v>
      </c>
      <c r="AS61" s="1831">
        <f t="shared" si="257"/>
        <v>99173.43299999999</v>
      </c>
      <c r="AT61" s="1730">
        <f t="shared" ref="AT61:AW61" si="258">SUM(AT59:AT60)</f>
        <v>11214.31924882752</v>
      </c>
      <c r="AU61" s="1830">
        <f t="shared" si="258"/>
        <v>15843.772000000001</v>
      </c>
      <c r="AV61" s="1831">
        <f t="shared" si="258"/>
        <v>122127.02660379937</v>
      </c>
      <c r="AW61" s="1831">
        <f t="shared" si="258"/>
        <v>115017.20499999999</v>
      </c>
      <c r="AX61" s="1730">
        <f t="shared" ref="AX61:BE61" si="259">SUM(AX59:AX60)</f>
        <v>12884.976525820319</v>
      </c>
      <c r="AY61" s="1830">
        <f t="shared" si="259"/>
        <v>16993.400000000001</v>
      </c>
      <c r="AZ61" s="1832">
        <f t="shared" si="259"/>
        <v>36984.272300468161</v>
      </c>
      <c r="BA61" s="1832">
        <f t="shared" si="259"/>
        <v>51928.772000000004</v>
      </c>
      <c r="BB61" s="1833">
        <f t="shared" ref="BB61:BC61" si="260">SUM(BB59:BB60)</f>
        <v>74492.723004698404</v>
      </c>
      <c r="BC61" s="1833">
        <f t="shared" si="260"/>
        <v>97352.771999999997</v>
      </c>
      <c r="BD61" s="1831">
        <f t="shared" si="259"/>
        <v>135012.0031296197</v>
      </c>
      <c r="BE61" s="1831">
        <f t="shared" si="259"/>
        <v>132010.60499999998</v>
      </c>
    </row>
    <row r="62" spans="1:58" ht="20.25" x14ac:dyDescent="0.25">
      <c r="A62" s="200"/>
      <c r="B62" s="3071" t="s">
        <v>143</v>
      </c>
      <c r="C62" s="3071"/>
      <c r="D62" s="3062"/>
      <c r="E62" s="3071"/>
      <c r="F62" s="3062"/>
      <c r="G62" s="3071"/>
      <c r="H62" s="3071"/>
      <c r="I62" s="3071"/>
      <c r="J62" s="3062"/>
      <c r="K62" s="3071"/>
      <c r="L62" s="3071"/>
      <c r="M62" s="3071"/>
      <c r="N62" s="3062"/>
      <c r="O62" s="3071"/>
      <c r="P62" s="3071"/>
      <c r="Q62" s="3071"/>
      <c r="R62" s="3062"/>
      <c r="S62" s="3071"/>
      <c r="T62" s="3071"/>
      <c r="U62" s="3071"/>
      <c r="V62" s="3062"/>
      <c r="W62" s="3071"/>
      <c r="X62" s="3071"/>
      <c r="Y62" s="3071"/>
      <c r="Z62" s="3071"/>
      <c r="AA62" s="3071"/>
      <c r="AB62" s="3062"/>
      <c r="AC62" s="3071"/>
      <c r="AD62" s="3071"/>
      <c r="AE62" s="3071"/>
      <c r="AF62" s="3062"/>
      <c r="AG62" s="3071"/>
      <c r="AH62" s="3071"/>
      <c r="AI62" s="3071"/>
      <c r="AJ62" s="3062"/>
      <c r="AK62" s="3071"/>
      <c r="AL62" s="3071"/>
      <c r="AM62" s="3071"/>
      <c r="AN62" s="3071"/>
      <c r="AO62" s="3071"/>
      <c r="AP62" s="3062"/>
      <c r="AQ62" s="3071"/>
      <c r="AR62" s="3071"/>
      <c r="AS62" s="3071"/>
      <c r="AT62" s="3062"/>
      <c r="AU62" s="3071"/>
      <c r="AV62" s="3071"/>
      <c r="AW62" s="3071"/>
      <c r="AX62" s="3062"/>
      <c r="AY62" s="3071"/>
      <c r="AZ62" s="3071"/>
      <c r="BA62" s="3071"/>
      <c r="BB62" s="3071"/>
      <c r="BC62" s="3071"/>
      <c r="BD62" s="3071"/>
      <c r="BE62" s="3071"/>
    </row>
    <row r="63" spans="1:58" x14ac:dyDescent="0.25">
      <c r="A63" s="200"/>
      <c r="B63" s="3065" t="s">
        <v>369</v>
      </c>
      <c r="C63" s="355" t="s">
        <v>368</v>
      </c>
      <c r="D63" s="483">
        <v>8000</v>
      </c>
      <c r="E63" s="238">
        <v>8027.9803849519103</v>
      </c>
      <c r="F63" s="483">
        <v>8000</v>
      </c>
      <c r="G63" s="238">
        <v>8028</v>
      </c>
      <c r="H63" s="1599">
        <v>8000</v>
      </c>
      <c r="I63" s="2418">
        <f>+((E63*E74)+(G63*G74))/I74</f>
        <v>8027.9902602120192</v>
      </c>
      <c r="J63" s="483">
        <v>8000</v>
      </c>
      <c r="K63" s="238">
        <v>8027.98</v>
      </c>
      <c r="L63" s="2901">
        <v>8000</v>
      </c>
      <c r="M63" s="2415">
        <f>+((I63*I74)+(K63*K74))/M74</f>
        <v>8027.9869290094939</v>
      </c>
      <c r="N63" s="483">
        <v>8000</v>
      </c>
      <c r="O63" s="238">
        <v>8027.98</v>
      </c>
      <c r="P63" s="1599">
        <v>8000</v>
      </c>
      <c r="Q63" s="2418">
        <f>+((M63*M74)+(O63*O74))/Q74</f>
        <v>8027.9851478470782</v>
      </c>
      <c r="R63" s="483">
        <v>8000</v>
      </c>
      <c r="S63" s="238">
        <v>8027.98</v>
      </c>
      <c r="T63" s="1599">
        <v>8000</v>
      </c>
      <c r="U63" s="2418">
        <f>+((Q63*Q74)+(S63*S74))/U74</f>
        <v>8027.9841062836094</v>
      </c>
      <c r="V63" s="483">
        <v>8000</v>
      </c>
      <c r="W63" s="238">
        <v>8027.98</v>
      </c>
      <c r="X63" s="2901">
        <v>8000</v>
      </c>
      <c r="Y63" s="2415">
        <f>+((O63*O74)+(S63*S74)+(W63*W74))/Y74</f>
        <v>8027.98</v>
      </c>
      <c r="Z63" s="1134">
        <v>8000</v>
      </c>
      <c r="AA63" s="1134">
        <f>+((M63*M74)+(Y63*Y74))/AA74</f>
        <v>8027.983439938539</v>
      </c>
      <c r="AB63" s="483">
        <v>8000</v>
      </c>
      <c r="AC63" s="238">
        <v>8027.98</v>
      </c>
      <c r="AD63" s="3173">
        <v>8000</v>
      </c>
      <c r="AE63" s="3163">
        <f>+((AA63*AA74)+(AC63*AC74))/AE74</f>
        <v>8027.9829208201054</v>
      </c>
      <c r="AF63" s="483">
        <v>8000</v>
      </c>
      <c r="AG63" s="238">
        <v>8027.98</v>
      </c>
      <c r="AH63" s="3348">
        <v>8000</v>
      </c>
      <c r="AI63" s="3347">
        <f>+((AE63*AE74)+(AG63*AG74))/AI74</f>
        <v>8027.9825682128658</v>
      </c>
      <c r="AJ63" s="483">
        <v>8000</v>
      </c>
      <c r="AK63" s="3640">
        <v>8027.98</v>
      </c>
      <c r="AL63" s="3622">
        <v>8000</v>
      </c>
      <c r="AM63" s="3600">
        <f>+((AC63*AC74)+(AG63*AG74)+(AK63*AK74))/AM74</f>
        <v>8027.9799999999987</v>
      </c>
      <c r="AN63" s="3623">
        <v>8000</v>
      </c>
      <c r="AO63" s="3597">
        <f>+((AI63*AI74)+(AK63*AK74))/AO74</f>
        <v>8027.9822699756833</v>
      </c>
      <c r="AP63" s="483">
        <v>8000</v>
      </c>
      <c r="AQ63" s="3907">
        <v>8027.98</v>
      </c>
      <c r="AR63" s="3623">
        <v>8000</v>
      </c>
      <c r="AS63" s="3909">
        <f>+((AO63*AO74)+(AQ63*AQ74))/AS74</f>
        <v>8027.9820413614625</v>
      </c>
      <c r="AT63" s="483">
        <v>8000</v>
      </c>
      <c r="AU63" s="4060">
        <v>8027.9787055013412</v>
      </c>
      <c r="AV63" s="3623">
        <v>8000</v>
      </c>
      <c r="AW63" s="4062">
        <f>+((AS63*AS74)+(AU63*AU74))/AW74</f>
        <v>8027.9817628850396</v>
      </c>
      <c r="AX63" s="483">
        <v>8000</v>
      </c>
      <c r="AY63" s="4378">
        <v>8027.98</v>
      </c>
      <c r="AZ63" s="3622">
        <v>8000</v>
      </c>
      <c r="BA63" s="4380">
        <f>+((AQ63*AQ74)+(AU63*AU74)+(AY63*AY74))/BA74</f>
        <v>8027.979593082242</v>
      </c>
      <c r="BB63" s="4382">
        <v>8000</v>
      </c>
      <c r="BC63" s="4382">
        <f>+((AM63*AM74)+(BA63*BA74))/BC74</f>
        <v>8027.9798020413091</v>
      </c>
      <c r="BD63" s="3623">
        <v>8000</v>
      </c>
      <c r="BE63" s="4381">
        <f>+((AW63*AW74)+(AY63*AY74))/BE74</f>
        <v>8027.9816176470686</v>
      </c>
    </row>
    <row r="64" spans="1:58" ht="18.75" x14ac:dyDescent="0.25">
      <c r="A64" s="200"/>
      <c r="B64" s="1582" t="s">
        <v>377</v>
      </c>
      <c r="C64" s="1582"/>
      <c r="D64" s="698"/>
      <c r="E64" s="1582"/>
      <c r="F64" s="698"/>
      <c r="G64" s="1582"/>
      <c r="H64" s="1582"/>
      <c r="I64" s="1582"/>
      <c r="J64" s="698"/>
      <c r="K64" s="1582"/>
      <c r="L64" s="1582"/>
      <c r="M64" s="1582"/>
      <c r="N64" s="698"/>
      <c r="O64" s="1582"/>
      <c r="P64" s="1582"/>
      <c r="Q64" s="1582"/>
      <c r="R64" s="698"/>
      <c r="S64" s="1582"/>
      <c r="T64" s="1582"/>
      <c r="U64" s="1582"/>
      <c r="V64" s="698"/>
      <c r="W64" s="1582"/>
      <c r="X64" s="1582"/>
      <c r="Y64" s="1582"/>
      <c r="Z64" s="1582"/>
      <c r="AA64" s="1582"/>
      <c r="AB64" s="698"/>
      <c r="AC64" s="1582"/>
      <c r="AD64" s="1582"/>
      <c r="AE64" s="1582"/>
      <c r="AF64" s="698"/>
      <c r="AG64" s="1582"/>
      <c r="AH64" s="1582"/>
      <c r="AI64" s="1582"/>
      <c r="AJ64" s="698"/>
      <c r="AK64" s="1582"/>
      <c r="AL64" s="1582"/>
      <c r="AM64" s="1582"/>
      <c r="AN64" s="1582"/>
      <c r="AO64" s="1582"/>
      <c r="AP64" s="698"/>
      <c r="AQ64" s="1582"/>
      <c r="AR64" s="1582"/>
      <c r="AS64" s="1582"/>
      <c r="AT64" s="698"/>
      <c r="AU64" s="1582"/>
      <c r="AV64" s="1582"/>
      <c r="AW64" s="1582"/>
      <c r="AX64" s="698"/>
      <c r="AY64" s="1582"/>
      <c r="AZ64" s="1582"/>
      <c r="BA64" s="1582"/>
      <c r="BB64" s="1582"/>
      <c r="BC64" s="1582"/>
      <c r="BD64" s="1582"/>
      <c r="BE64" s="1582"/>
    </row>
    <row r="65" spans="1:57" x14ac:dyDescent="0.25">
      <c r="A65" s="200"/>
      <c r="B65" s="3069" t="s">
        <v>136</v>
      </c>
      <c r="C65" s="355" t="s">
        <v>366</v>
      </c>
      <c r="D65" s="475">
        <v>3361.4988119999998</v>
      </c>
      <c r="E65" s="238">
        <v>1242.4012688963301</v>
      </c>
      <c r="F65" s="475">
        <v>3428.5015142399998</v>
      </c>
      <c r="G65" s="238">
        <v>2136.471</v>
      </c>
      <c r="H65" s="2418">
        <f>+D65+F65</f>
        <v>6790.0003262399996</v>
      </c>
      <c r="I65" s="2418">
        <f>+E65+G65</f>
        <v>3378.8722688963298</v>
      </c>
      <c r="J65" s="475">
        <v>1785.2656824000001</v>
      </c>
      <c r="K65" s="238">
        <v>721.14499999999998</v>
      </c>
      <c r="L65" s="2415">
        <f>+H65+J65</f>
        <v>8575.2660086399992</v>
      </c>
      <c r="M65" s="2415">
        <f>+I65+K65</f>
        <v>4100.0172688963303</v>
      </c>
      <c r="N65" s="475">
        <v>1867.9394025600004</v>
      </c>
      <c r="O65" s="238">
        <v>397.12400000000002</v>
      </c>
      <c r="P65" s="2418">
        <f>+L65+N65</f>
        <v>10443.205411200001</v>
      </c>
      <c r="Q65" s="2418">
        <f>+M65+O65</f>
        <v>4497.1412688963301</v>
      </c>
      <c r="R65" s="475">
        <v>1735.9531329599999</v>
      </c>
      <c r="S65" s="238">
        <v>423.82600000000002</v>
      </c>
      <c r="T65" s="2418">
        <f>+P65+R65</f>
        <v>12179.15854416</v>
      </c>
      <c r="U65" s="2418">
        <f>+Q65+S65</f>
        <v>4920.9672688963301</v>
      </c>
      <c r="V65" s="475">
        <v>1639.9367136000001</v>
      </c>
      <c r="W65" s="238">
        <v>452.53500000000003</v>
      </c>
      <c r="X65" s="2415">
        <f t="shared" ref="X65:X73" si="261">+V65+R65+N65</f>
        <v>5243.8292491200009</v>
      </c>
      <c r="Y65" s="2415">
        <f t="shared" ref="Y65:Y73" si="262">+W65+S65+O65</f>
        <v>1273.4850000000001</v>
      </c>
      <c r="Z65" s="1134">
        <f t="shared" ref="Z65:Z73" si="263">+L65+X65</f>
        <v>13819.09525776</v>
      </c>
      <c r="AA65" s="1134">
        <f t="shared" ref="AA65:AA73" si="264">+Y65+M65</f>
        <v>5373.5022688963309</v>
      </c>
      <c r="AB65" s="4556">
        <v>1679.9546448000001</v>
      </c>
      <c r="AC65" s="238">
        <v>57.505000000000003</v>
      </c>
      <c r="AD65" s="3163">
        <f>+Z65+AB65</f>
        <v>15499.04990256</v>
      </c>
      <c r="AE65" s="3163">
        <f>+AA65+AC65</f>
        <v>5431.007268896331</v>
      </c>
      <c r="AF65" s="3346">
        <v>1639.9367136000001</v>
      </c>
      <c r="AG65" s="238">
        <v>491.464</v>
      </c>
      <c r="AH65" s="3347">
        <f>+AD65+AF65</f>
        <v>17138.98661616</v>
      </c>
      <c r="AI65" s="3347">
        <f>+AE65+AG65</f>
        <v>5922.4712688963309</v>
      </c>
      <c r="AJ65" s="3601">
        <v>1735.9531329599999</v>
      </c>
      <c r="AK65" s="3640">
        <v>131.66900000000001</v>
      </c>
      <c r="AL65" s="3600">
        <f t="shared" ref="AL65:AL73" si="265">+AJ65+AF65+AB65</f>
        <v>5055.8444913599997</v>
      </c>
      <c r="AM65" s="3600">
        <f t="shared" ref="AM65:AM73" si="266">+AK65+AG65+AC65</f>
        <v>680.63800000000003</v>
      </c>
      <c r="AN65" s="3597">
        <f>+AH65+AJ65</f>
        <v>18874.93974912</v>
      </c>
      <c r="AO65" s="3597">
        <f>+AI65+AK65</f>
        <v>6054.1402688963308</v>
      </c>
      <c r="AP65" s="3908">
        <v>1735.9531329599999</v>
      </c>
      <c r="AQ65" s="3907">
        <v>139.892</v>
      </c>
      <c r="AR65" s="3909">
        <f>+AN65+AP65</f>
        <v>20610.892882079999</v>
      </c>
      <c r="AS65" s="3909">
        <f>+AO65+AQ65</f>
        <v>6194.0322688963306</v>
      </c>
      <c r="AT65" s="4061">
        <v>1500.9981235199998</v>
      </c>
      <c r="AU65" s="4060">
        <v>139.26014587737831</v>
      </c>
      <c r="AV65" s="4062">
        <f>+AR65+AT65</f>
        <v>22111.891005599999</v>
      </c>
      <c r="AW65" s="4062">
        <f>+AS65+AU65</f>
        <v>6333.2924147737085</v>
      </c>
      <c r="AX65" s="4379">
        <v>1735.9531329599999</v>
      </c>
      <c r="AY65" s="4378">
        <v>68.356999999999999</v>
      </c>
      <c r="AZ65" s="4380">
        <f t="shared" ref="AZ65:AZ73" si="267">+AX65+AT65+AP65</f>
        <v>4972.9043894400002</v>
      </c>
      <c r="BA65" s="4380">
        <f t="shared" ref="BA65:BA73" si="268">+AY65+AU65+AQ65</f>
        <v>347.50914587737827</v>
      </c>
      <c r="BB65" s="4382">
        <f t="shared" ref="BB65:BB73" si="269">+AL65+AZ65</f>
        <v>10028.7488808</v>
      </c>
      <c r="BC65" s="4382">
        <f t="shared" ref="BC65:BC73" si="270">+AM65+BA65</f>
        <v>1028.1471458773783</v>
      </c>
      <c r="BD65" s="4381">
        <f>+AV65+AX65</f>
        <v>23847.844138559998</v>
      </c>
      <c r="BE65" s="4381">
        <f>+AW65+AY65</f>
        <v>6401.6494147737085</v>
      </c>
    </row>
    <row r="66" spans="1:57" x14ac:dyDescent="0.25">
      <c r="A66" s="200"/>
      <c r="B66" s="3069" t="s">
        <v>564</v>
      </c>
      <c r="C66" s="355" t="s">
        <v>1631</v>
      </c>
      <c r="D66" s="475">
        <v>72</v>
      </c>
      <c r="E66" s="238">
        <v>38.160676532769997</v>
      </c>
      <c r="F66" s="475">
        <v>74.400000000000006</v>
      </c>
      <c r="G66" s="238">
        <v>35.307000000000002</v>
      </c>
      <c r="H66" s="2418">
        <f>+D66+F66</f>
        <v>146.4</v>
      </c>
      <c r="I66" s="2418">
        <f>+E66+G66</f>
        <v>73.46767653277</v>
      </c>
      <c r="J66" s="475">
        <v>72.000000000000014</v>
      </c>
      <c r="K66" s="238">
        <v>76.11</v>
      </c>
      <c r="L66" s="2415">
        <f>+H66+J66</f>
        <v>218.40000000000003</v>
      </c>
      <c r="M66" s="2415">
        <f>+I66+K66</f>
        <v>149.57767653277</v>
      </c>
      <c r="N66" s="475">
        <v>74.400000000000006</v>
      </c>
      <c r="O66" s="238">
        <v>73.679000000000002</v>
      </c>
      <c r="P66" s="2418">
        <f>+L66+N66</f>
        <v>292.80000000000007</v>
      </c>
      <c r="Q66" s="2418">
        <f>+M66+O66</f>
        <v>223.25667653277</v>
      </c>
      <c r="R66" s="475">
        <v>74.400000000000006</v>
      </c>
      <c r="S66" s="238">
        <v>74.736000000000004</v>
      </c>
      <c r="T66" s="2418">
        <f>+P66+R66</f>
        <v>367.20000000000005</v>
      </c>
      <c r="U66" s="2418">
        <f>+Q66+S66</f>
        <v>297.99267653277002</v>
      </c>
      <c r="V66" s="475">
        <v>72</v>
      </c>
      <c r="W66" s="238">
        <v>72.093000000000004</v>
      </c>
      <c r="X66" s="2415">
        <f t="shared" si="261"/>
        <v>220.8</v>
      </c>
      <c r="Y66" s="2415">
        <f t="shared" si="262"/>
        <v>220.50800000000001</v>
      </c>
      <c r="Z66" s="1134">
        <f t="shared" si="263"/>
        <v>439.20000000000005</v>
      </c>
      <c r="AA66" s="1134">
        <f t="shared" si="264"/>
        <v>370.08567653276998</v>
      </c>
      <c r="AB66" s="4556">
        <v>72</v>
      </c>
      <c r="AC66" s="238">
        <v>78.11</v>
      </c>
      <c r="AD66" s="3163">
        <f>+Z66+AB66</f>
        <v>511.20000000000005</v>
      </c>
      <c r="AE66" s="3163">
        <f>+AA66+AC66</f>
        <v>448.19567653276999</v>
      </c>
      <c r="AF66" s="3346">
        <v>72</v>
      </c>
      <c r="AG66" s="238">
        <v>73.572999999999993</v>
      </c>
      <c r="AH66" s="3347">
        <f>+AD66+AF66</f>
        <v>583.20000000000005</v>
      </c>
      <c r="AI66" s="3347">
        <f>+AE66+AG66</f>
        <v>521.76867653276997</v>
      </c>
      <c r="AJ66" s="3601">
        <v>74.400000000000006</v>
      </c>
      <c r="AK66" s="3640">
        <v>77.167000000000002</v>
      </c>
      <c r="AL66" s="3600">
        <f t="shared" si="265"/>
        <v>218.4</v>
      </c>
      <c r="AM66" s="3600">
        <f t="shared" si="266"/>
        <v>228.85000000000002</v>
      </c>
      <c r="AN66" s="3597">
        <f>+AH66+AJ66</f>
        <v>657.6</v>
      </c>
      <c r="AO66" s="3597">
        <f>+AI66+AK66</f>
        <v>598.93567653277</v>
      </c>
      <c r="AP66" s="3908">
        <v>74.400000000000006</v>
      </c>
      <c r="AQ66" s="3907">
        <v>76.849999999999994</v>
      </c>
      <c r="AR66" s="3909">
        <f>+AN66+AP66</f>
        <v>732</v>
      </c>
      <c r="AS66" s="3909">
        <f>+AO66+AQ66</f>
        <v>675.78567653277003</v>
      </c>
      <c r="AT66" s="4061">
        <v>67.2</v>
      </c>
      <c r="AU66" s="4060">
        <v>68.287526427061266</v>
      </c>
      <c r="AV66" s="4062">
        <f>+AR66+AT66</f>
        <v>799.2</v>
      </c>
      <c r="AW66" s="4062">
        <f>+AS66+AU66</f>
        <v>744.07320295983129</v>
      </c>
      <c r="AX66" s="4379">
        <v>74.400000000000006</v>
      </c>
      <c r="AY66" s="4555">
        <v>71.411000000000001</v>
      </c>
      <c r="AZ66" s="4380">
        <f t="shared" si="267"/>
        <v>216.00000000000003</v>
      </c>
      <c r="BA66" s="4380">
        <f t="shared" si="268"/>
        <v>216.54852642706126</v>
      </c>
      <c r="BB66" s="4382">
        <f t="shared" si="269"/>
        <v>434.40000000000003</v>
      </c>
      <c r="BC66" s="4382">
        <f t="shared" si="270"/>
        <v>445.39852642706126</v>
      </c>
      <c r="BD66" s="4381">
        <f>+AV66+AX66</f>
        <v>873.6</v>
      </c>
      <c r="BE66" s="4381">
        <f>+AW66+AY66</f>
        <v>815.48420295983124</v>
      </c>
    </row>
    <row r="67" spans="1:57" ht="15" hidden="1" customHeight="1" x14ac:dyDescent="0.25">
      <c r="A67" s="200"/>
      <c r="B67" s="3069" t="s">
        <v>60</v>
      </c>
      <c r="C67" s="355" t="s">
        <v>366</v>
      </c>
      <c r="D67" s="475">
        <v>0</v>
      </c>
      <c r="E67" s="238">
        <v>0</v>
      </c>
      <c r="F67" s="475">
        <v>0</v>
      </c>
      <c r="G67" s="238">
        <v>0</v>
      </c>
      <c r="H67" s="2418">
        <f t="shared" ref="H67:I73" si="271">+D67+F67</f>
        <v>0</v>
      </c>
      <c r="I67" s="2418">
        <f>+E67+G67</f>
        <v>0</v>
      </c>
      <c r="J67" s="475">
        <v>0</v>
      </c>
      <c r="K67" s="238">
        <v>0</v>
      </c>
      <c r="L67" s="2415">
        <f t="shared" ref="L67:M73" si="272">+H67+J67</f>
        <v>0</v>
      </c>
      <c r="M67" s="2415">
        <f>+I67+K67</f>
        <v>0</v>
      </c>
      <c r="N67" s="475">
        <v>0</v>
      </c>
      <c r="O67" s="238">
        <v>0</v>
      </c>
      <c r="P67" s="2418">
        <f t="shared" ref="P67:Q73" si="273">+L67+N67</f>
        <v>0</v>
      </c>
      <c r="Q67" s="2418">
        <f>+M67+O67</f>
        <v>0</v>
      </c>
      <c r="R67" s="475">
        <v>0</v>
      </c>
      <c r="S67" s="238">
        <v>0</v>
      </c>
      <c r="T67" s="2418">
        <f t="shared" ref="T67:T73" si="274">+P67+R67</f>
        <v>0</v>
      </c>
      <c r="U67" s="2418">
        <f>+Q67+S67</f>
        <v>0</v>
      </c>
      <c r="V67" s="475">
        <v>0</v>
      </c>
      <c r="W67" s="238">
        <v>0</v>
      </c>
      <c r="X67" s="2415">
        <f t="shared" si="261"/>
        <v>0</v>
      </c>
      <c r="Y67" s="2415">
        <f t="shared" si="262"/>
        <v>0</v>
      </c>
      <c r="Z67" s="1134">
        <f t="shared" si="263"/>
        <v>0</v>
      </c>
      <c r="AA67" s="1134">
        <f t="shared" si="264"/>
        <v>0</v>
      </c>
      <c r="AB67" s="4556">
        <v>0</v>
      </c>
      <c r="AC67" s="238">
        <v>0</v>
      </c>
      <c r="AD67" s="3163">
        <f t="shared" ref="AD67:AD73" si="275">+Z67+AB67</f>
        <v>0</v>
      </c>
      <c r="AE67" s="3163">
        <f>+AA67+AC67</f>
        <v>0</v>
      </c>
      <c r="AF67" s="3346">
        <v>0</v>
      </c>
      <c r="AG67" s="238">
        <v>0</v>
      </c>
      <c r="AH67" s="3347">
        <f t="shared" ref="AH67:AH73" si="276">+AD67+AF67</f>
        <v>0</v>
      </c>
      <c r="AI67" s="3347">
        <f>+AE67+AG67</f>
        <v>0</v>
      </c>
      <c r="AJ67" s="3601">
        <v>0</v>
      </c>
      <c r="AK67" s="3640">
        <v>0</v>
      </c>
      <c r="AL67" s="3600">
        <f t="shared" si="265"/>
        <v>0</v>
      </c>
      <c r="AM67" s="3600">
        <f t="shared" si="266"/>
        <v>0</v>
      </c>
      <c r="AN67" s="3597">
        <f t="shared" ref="AN67:AN73" si="277">+AH67+AJ67</f>
        <v>0</v>
      </c>
      <c r="AO67" s="3597">
        <f>+AI67+AK67</f>
        <v>0</v>
      </c>
      <c r="AP67" s="3908"/>
      <c r="AQ67" s="3907"/>
      <c r="AR67" s="3909">
        <f t="shared" ref="AR67:AR73" si="278">+AN67+AP67</f>
        <v>0</v>
      </c>
      <c r="AS67" s="3909">
        <f>+AO67+AQ67</f>
        <v>0</v>
      </c>
      <c r="AT67" s="4061"/>
      <c r="AU67" s="4060"/>
      <c r="AV67" s="4062">
        <f t="shared" ref="AV67:AV73" si="279">+AR67+AT67</f>
        <v>0</v>
      </c>
      <c r="AW67" s="4062">
        <f>+AS67+AU67</f>
        <v>0</v>
      </c>
      <c r="AX67" s="4379">
        <v>0</v>
      </c>
      <c r="AY67" s="4555"/>
      <c r="AZ67" s="4380">
        <f t="shared" si="267"/>
        <v>0</v>
      </c>
      <c r="BA67" s="4380">
        <f t="shared" si="268"/>
        <v>0</v>
      </c>
      <c r="BB67" s="4382">
        <f t="shared" si="269"/>
        <v>0</v>
      </c>
      <c r="BC67" s="4382">
        <f t="shared" si="270"/>
        <v>0</v>
      </c>
      <c r="BD67" s="4381">
        <f t="shared" ref="BD67:BD73" si="280">+AV67+AX67</f>
        <v>0</v>
      </c>
      <c r="BE67" s="4381">
        <f>+AW67+AY67</f>
        <v>0</v>
      </c>
    </row>
    <row r="68" spans="1:57" x14ac:dyDescent="0.25">
      <c r="A68" s="200"/>
      <c r="B68" s="3069" t="s">
        <v>137</v>
      </c>
      <c r="C68" s="355" t="s">
        <v>366</v>
      </c>
      <c r="D68" s="475">
        <v>432</v>
      </c>
      <c r="E68" s="238">
        <v>355.554109936575</v>
      </c>
      <c r="F68" s="475">
        <v>446.4</v>
      </c>
      <c r="G68" s="238">
        <v>330.75099999999998</v>
      </c>
      <c r="H68" s="2418">
        <f t="shared" si="271"/>
        <v>878.4</v>
      </c>
      <c r="I68" s="2418">
        <f t="shared" si="271"/>
        <v>686.30510993657504</v>
      </c>
      <c r="J68" s="475">
        <v>431.99999999999994</v>
      </c>
      <c r="K68" s="238">
        <v>665.80899999999997</v>
      </c>
      <c r="L68" s="2415">
        <f t="shared" si="272"/>
        <v>1310.3999999999999</v>
      </c>
      <c r="M68" s="2415">
        <f t="shared" si="272"/>
        <v>1352.114109936575</v>
      </c>
      <c r="N68" s="475">
        <v>446.4</v>
      </c>
      <c r="O68" s="238">
        <v>959.28700000000003</v>
      </c>
      <c r="P68" s="2418">
        <f t="shared" si="273"/>
        <v>1756.7999999999997</v>
      </c>
      <c r="Q68" s="2418">
        <f t="shared" si="273"/>
        <v>2311.4011099365753</v>
      </c>
      <c r="R68" s="475">
        <v>446.4</v>
      </c>
      <c r="S68" s="238">
        <v>534.04</v>
      </c>
      <c r="T68" s="2418">
        <f t="shared" si="274"/>
        <v>2203.1999999999998</v>
      </c>
      <c r="U68" s="2418">
        <f t="shared" ref="U68:U73" si="281">+Q68+S68</f>
        <v>2845.4411099365752</v>
      </c>
      <c r="V68" s="475">
        <v>432</v>
      </c>
      <c r="W68" s="238">
        <v>881.226</v>
      </c>
      <c r="X68" s="2415">
        <f t="shared" si="261"/>
        <v>1324.8</v>
      </c>
      <c r="Y68" s="2415">
        <f t="shared" si="262"/>
        <v>2374.5529999999999</v>
      </c>
      <c r="Z68" s="1134">
        <f t="shared" si="263"/>
        <v>2635.2</v>
      </c>
      <c r="AA68" s="1134">
        <f t="shared" si="264"/>
        <v>3726.6671099365749</v>
      </c>
      <c r="AB68" s="4556">
        <v>432</v>
      </c>
      <c r="AC68" s="238">
        <v>933.67</v>
      </c>
      <c r="AD68" s="3163">
        <f t="shared" si="275"/>
        <v>3067.2</v>
      </c>
      <c r="AE68" s="3163">
        <f t="shared" ref="AE68:AE73" si="282">+AA68+AC68</f>
        <v>4660.337109936575</v>
      </c>
      <c r="AF68" s="3346">
        <v>432</v>
      </c>
      <c r="AG68" s="238">
        <v>810.399</v>
      </c>
      <c r="AH68" s="3347">
        <f t="shared" si="276"/>
        <v>3499.2</v>
      </c>
      <c r="AI68" s="3347">
        <f t="shared" ref="AI68:AI73" si="283">+AE68+AG68</f>
        <v>5470.7361099365753</v>
      </c>
      <c r="AJ68" s="3601">
        <v>446.4</v>
      </c>
      <c r="AK68" s="3640">
        <v>983.72</v>
      </c>
      <c r="AL68" s="3600">
        <f t="shared" si="265"/>
        <v>1310.4000000000001</v>
      </c>
      <c r="AM68" s="3600">
        <f t="shared" si="266"/>
        <v>2727.7890000000002</v>
      </c>
      <c r="AN68" s="3597">
        <f t="shared" si="277"/>
        <v>3945.6</v>
      </c>
      <c r="AO68" s="3597">
        <f t="shared" ref="AO68:AO73" si="284">+AI68+AK68</f>
        <v>6454.4561099365756</v>
      </c>
      <c r="AP68" s="3908">
        <v>446.4</v>
      </c>
      <c r="AQ68" s="3907">
        <v>990.63</v>
      </c>
      <c r="AR68" s="3909">
        <f t="shared" si="278"/>
        <v>4392</v>
      </c>
      <c r="AS68" s="3909">
        <f t="shared" ref="AS68:AS73" si="285">+AO68+AQ68</f>
        <v>7445.0861099365757</v>
      </c>
      <c r="AT68" s="4061">
        <v>403.20000000000005</v>
      </c>
      <c r="AU68" s="4060">
        <v>1073.1753405320771</v>
      </c>
      <c r="AV68" s="4062">
        <f t="shared" si="279"/>
        <v>4795.2</v>
      </c>
      <c r="AW68" s="4062">
        <f t="shared" ref="AW68:AW73" si="286">+AS68+AU68</f>
        <v>8518.2614504686535</v>
      </c>
      <c r="AX68" s="4379">
        <v>446.4</v>
      </c>
      <c r="AY68" s="4555">
        <v>501.07299999999998</v>
      </c>
      <c r="AZ68" s="4380">
        <f t="shared" si="267"/>
        <v>1296</v>
      </c>
      <c r="BA68" s="4380">
        <f t="shared" si="268"/>
        <v>2564.8783405320773</v>
      </c>
      <c r="BB68" s="4382">
        <f t="shared" si="269"/>
        <v>2606.4</v>
      </c>
      <c r="BC68" s="4382">
        <f t="shared" si="270"/>
        <v>5292.667340532078</v>
      </c>
      <c r="BD68" s="4381">
        <f t="shared" si="280"/>
        <v>5241.5999999999995</v>
      </c>
      <c r="BE68" s="4381">
        <f t="shared" ref="BE68:BE73" si="287">+AW68+AY68</f>
        <v>9019.3344504686538</v>
      </c>
    </row>
    <row r="69" spans="1:57" x14ac:dyDescent="0.25">
      <c r="A69" s="200"/>
      <c r="B69" s="3069" t="s">
        <v>115</v>
      </c>
      <c r="C69" s="355" t="s">
        <v>366</v>
      </c>
      <c r="D69" s="475">
        <v>90.229535999999996</v>
      </c>
      <c r="E69" s="238">
        <v>851.05738126700498</v>
      </c>
      <c r="F69" s="475">
        <v>0</v>
      </c>
      <c r="G69" s="238">
        <v>323.87299999999999</v>
      </c>
      <c r="H69" s="2418">
        <f t="shared" si="271"/>
        <v>90.229535999999996</v>
      </c>
      <c r="I69" s="2418">
        <f t="shared" si="271"/>
        <v>1174.930381267005</v>
      </c>
      <c r="J69" s="475">
        <v>642.60157679999998</v>
      </c>
      <c r="K69" s="238">
        <v>602.42100000000005</v>
      </c>
      <c r="L69" s="2415">
        <f t="shared" si="272"/>
        <v>732.83111280000003</v>
      </c>
      <c r="M69" s="2415">
        <f t="shared" si="272"/>
        <v>1777.3513812670051</v>
      </c>
      <c r="N69" s="475">
        <v>640.20535608</v>
      </c>
      <c r="O69" s="238">
        <v>1189.0889999999999</v>
      </c>
      <c r="P69" s="2418">
        <f t="shared" si="273"/>
        <v>1373.03646888</v>
      </c>
      <c r="Q69" s="2418">
        <f t="shared" si="273"/>
        <v>2966.4403812670053</v>
      </c>
      <c r="R69" s="475">
        <v>735.18560879999995</v>
      </c>
      <c r="S69" s="238">
        <v>983.61500000000001</v>
      </c>
      <c r="T69" s="2418">
        <f t="shared" si="274"/>
        <v>2108.22207768</v>
      </c>
      <c r="U69" s="2418">
        <f t="shared" si="281"/>
        <v>3950.055381267005</v>
      </c>
      <c r="V69" s="475">
        <v>739.67612400000007</v>
      </c>
      <c r="W69" s="238">
        <v>577.24199999999996</v>
      </c>
      <c r="X69" s="2415">
        <f t="shared" si="261"/>
        <v>2115.06708888</v>
      </c>
      <c r="Y69" s="2415">
        <f t="shared" si="262"/>
        <v>2749.9459999999999</v>
      </c>
      <c r="Z69" s="1134">
        <f t="shared" si="263"/>
        <v>2847.8982016800001</v>
      </c>
      <c r="AA69" s="1134">
        <f t="shared" si="264"/>
        <v>4527.2973812670052</v>
      </c>
      <c r="AB69" s="4556">
        <v>711.46994399999994</v>
      </c>
      <c r="AC69" s="238">
        <v>1244.1279999999999</v>
      </c>
      <c r="AD69" s="3163">
        <f t="shared" si="275"/>
        <v>3559.36814568</v>
      </c>
      <c r="AE69" s="3163">
        <f t="shared" si="282"/>
        <v>5771.4253812670049</v>
      </c>
      <c r="AF69" s="3346">
        <v>739.67612400000007</v>
      </c>
      <c r="AG69" s="238">
        <v>1059.3979999999999</v>
      </c>
      <c r="AH69" s="3347">
        <f t="shared" si="276"/>
        <v>4299.0442696800001</v>
      </c>
      <c r="AI69" s="3347">
        <f t="shared" si="283"/>
        <v>6830.8233812670051</v>
      </c>
      <c r="AJ69" s="3601">
        <v>735.18560879999995</v>
      </c>
      <c r="AK69" s="3640">
        <v>1293.6120000000001</v>
      </c>
      <c r="AL69" s="3600">
        <f t="shared" si="265"/>
        <v>2186.3316768</v>
      </c>
      <c r="AM69" s="3600">
        <f t="shared" si="266"/>
        <v>3597.1379999999999</v>
      </c>
      <c r="AN69" s="3597">
        <f t="shared" si="277"/>
        <v>5034.2298784800005</v>
      </c>
      <c r="AO69" s="3597">
        <f t="shared" si="284"/>
        <v>8124.4353812670051</v>
      </c>
      <c r="AP69" s="3908">
        <v>735.18560879999995</v>
      </c>
      <c r="AQ69" s="3907">
        <v>1063.7080000000001</v>
      </c>
      <c r="AR69" s="3909">
        <f t="shared" si="278"/>
        <v>5769.4154872800009</v>
      </c>
      <c r="AS69" s="3909">
        <f t="shared" si="285"/>
        <v>9188.1433812670057</v>
      </c>
      <c r="AT69" s="4061">
        <v>743.17318655999998</v>
      </c>
      <c r="AU69" s="4060">
        <v>1014.4885129939742</v>
      </c>
      <c r="AV69" s="4062">
        <f t="shared" si="279"/>
        <v>6512.5886738400004</v>
      </c>
      <c r="AW69" s="4062">
        <f t="shared" si="286"/>
        <v>10202.63189426098</v>
      </c>
      <c r="AX69" s="4379">
        <v>735.18560879999995</v>
      </c>
      <c r="AY69" s="4555">
        <v>1218.6579999999999</v>
      </c>
      <c r="AZ69" s="4380">
        <f t="shared" si="267"/>
        <v>2213.5444041599999</v>
      </c>
      <c r="BA69" s="4380">
        <f t="shared" si="268"/>
        <v>3296.8545129939744</v>
      </c>
      <c r="BB69" s="4382">
        <f t="shared" si="269"/>
        <v>4399.8760809599999</v>
      </c>
      <c r="BC69" s="4382">
        <f t="shared" si="270"/>
        <v>6893.9925129939747</v>
      </c>
      <c r="BD69" s="4381">
        <f t="shared" si="280"/>
        <v>7247.7742826400008</v>
      </c>
      <c r="BE69" s="4381">
        <f t="shared" si="287"/>
        <v>11421.289894260979</v>
      </c>
    </row>
    <row r="70" spans="1:57" x14ac:dyDescent="0.25">
      <c r="A70" s="200"/>
      <c r="B70" s="3069" t="s">
        <v>95</v>
      </c>
      <c r="C70" s="355" t="s">
        <v>366</v>
      </c>
      <c r="D70" s="475">
        <v>399.26401199999998</v>
      </c>
      <c r="E70" s="238">
        <v>721.54873291524098</v>
      </c>
      <c r="F70" s="475">
        <v>469.87282055999998</v>
      </c>
      <c r="G70" s="238">
        <v>1053.55</v>
      </c>
      <c r="H70" s="2418">
        <f t="shared" si="271"/>
        <v>869.1368325599999</v>
      </c>
      <c r="I70" s="2418">
        <f t="shared" si="271"/>
        <v>1775.0987329152408</v>
      </c>
      <c r="J70" s="475">
        <v>1050.1562592</v>
      </c>
      <c r="K70" s="238">
        <v>1463.8409999999999</v>
      </c>
      <c r="L70" s="2415">
        <f t="shared" si="272"/>
        <v>1919.2930917599999</v>
      </c>
      <c r="M70" s="2415">
        <f t="shared" si="272"/>
        <v>3238.9397329152407</v>
      </c>
      <c r="N70" s="475">
        <v>1078.43230032</v>
      </c>
      <c r="O70" s="238">
        <v>1259.9770000000001</v>
      </c>
      <c r="P70" s="2418">
        <f t="shared" si="273"/>
        <v>2997.7253920799999</v>
      </c>
      <c r="Q70" s="2418">
        <f t="shared" si="273"/>
        <v>4498.9167329152406</v>
      </c>
      <c r="R70" s="475">
        <v>1100.8244236799999</v>
      </c>
      <c r="S70" s="238">
        <v>1517.635</v>
      </c>
      <c r="T70" s="2418">
        <f t="shared" si="274"/>
        <v>4098.5498157599995</v>
      </c>
      <c r="U70" s="2418">
        <f t="shared" si="281"/>
        <v>6016.5517329152408</v>
      </c>
      <c r="V70" s="475">
        <v>1074.4871184000001</v>
      </c>
      <c r="W70" s="238">
        <v>1567.125</v>
      </c>
      <c r="X70" s="2415">
        <f t="shared" si="261"/>
        <v>3253.7438424000002</v>
      </c>
      <c r="Y70" s="2415">
        <f t="shared" si="262"/>
        <v>4344.7370000000001</v>
      </c>
      <c r="Z70" s="1134">
        <f t="shared" si="263"/>
        <v>5173.0369341599999</v>
      </c>
      <c r="AA70" s="1134">
        <f t="shared" si="264"/>
        <v>7583.6767329152408</v>
      </c>
      <c r="AB70" s="4556">
        <v>1065.3139584</v>
      </c>
      <c r="AC70" s="238">
        <v>1646.6859999999999</v>
      </c>
      <c r="AD70" s="3163">
        <f t="shared" si="275"/>
        <v>6238.3508925599999</v>
      </c>
      <c r="AE70" s="3163">
        <f t="shared" si="282"/>
        <v>9230.3627329152405</v>
      </c>
      <c r="AF70" s="3346">
        <v>1074.4871184000001</v>
      </c>
      <c r="AG70" s="238">
        <v>1391.6610000000001</v>
      </c>
      <c r="AH70" s="3347">
        <f t="shared" si="276"/>
        <v>7312.8380109600002</v>
      </c>
      <c r="AI70" s="3347">
        <f t="shared" si="283"/>
        <v>10622.023732915241</v>
      </c>
      <c r="AJ70" s="3601">
        <v>1100.8244236799999</v>
      </c>
      <c r="AK70" s="3640">
        <v>1617.165</v>
      </c>
      <c r="AL70" s="3600">
        <f t="shared" si="265"/>
        <v>3240.62550048</v>
      </c>
      <c r="AM70" s="3600">
        <f t="shared" si="266"/>
        <v>4655.5119999999997</v>
      </c>
      <c r="AN70" s="3597">
        <f t="shared" si="277"/>
        <v>8413.6624346400004</v>
      </c>
      <c r="AO70" s="3597">
        <f t="shared" si="284"/>
        <v>12239.188732915241</v>
      </c>
      <c r="AP70" s="3908">
        <v>1100.8244236799999</v>
      </c>
      <c r="AQ70" s="3907">
        <v>1664.559</v>
      </c>
      <c r="AR70" s="3909">
        <f t="shared" si="278"/>
        <v>9514.4868583200005</v>
      </c>
      <c r="AS70" s="3909">
        <f t="shared" si="285"/>
        <v>13903.747732915241</v>
      </c>
      <c r="AT70" s="4061">
        <v>979.91476800000009</v>
      </c>
      <c r="AU70" s="4060">
        <v>1178.3191581321173</v>
      </c>
      <c r="AV70" s="4062">
        <f t="shared" si="279"/>
        <v>10494.401626320001</v>
      </c>
      <c r="AW70" s="4062">
        <f t="shared" si="286"/>
        <v>15082.066891047358</v>
      </c>
      <c r="AX70" s="4379">
        <v>1100.8244236799999</v>
      </c>
      <c r="AY70" s="4555">
        <v>1759.63</v>
      </c>
      <c r="AZ70" s="4380">
        <f t="shared" si="267"/>
        <v>3181.5636153599999</v>
      </c>
      <c r="BA70" s="4380">
        <f t="shared" si="268"/>
        <v>4602.5081581321174</v>
      </c>
      <c r="BB70" s="4382">
        <f t="shared" si="269"/>
        <v>6422.1891158399994</v>
      </c>
      <c r="BC70" s="4382">
        <f t="shared" si="270"/>
        <v>9258.0201581321162</v>
      </c>
      <c r="BD70" s="4381">
        <f t="shared" si="280"/>
        <v>11595.226050000001</v>
      </c>
      <c r="BE70" s="4381">
        <f t="shared" si="287"/>
        <v>16841.696891047359</v>
      </c>
    </row>
    <row r="71" spans="1:57" x14ac:dyDescent="0.25">
      <c r="A71" s="200"/>
      <c r="B71" s="3069" t="s">
        <v>17</v>
      </c>
      <c r="C71" s="355" t="s">
        <v>366</v>
      </c>
      <c r="D71" s="475">
        <v>301.00763519999998</v>
      </c>
      <c r="E71" s="238">
        <v>965.87587484953701</v>
      </c>
      <c r="F71" s="475">
        <v>392.02566023999998</v>
      </c>
      <c r="G71" s="238">
        <v>693.36500000000001</v>
      </c>
      <c r="H71" s="2418">
        <f t="shared" si="271"/>
        <v>693.03329543999996</v>
      </c>
      <c r="I71" s="2418">
        <f t="shared" si="271"/>
        <v>1659.240874849537</v>
      </c>
      <c r="J71" s="475">
        <v>673.97648400000003</v>
      </c>
      <c r="K71" s="238">
        <v>1042.297</v>
      </c>
      <c r="L71" s="2415">
        <f t="shared" si="272"/>
        <v>1367.0097794399999</v>
      </c>
      <c r="M71" s="2415">
        <f t="shared" si="272"/>
        <v>2701.5378748495368</v>
      </c>
      <c r="N71" s="475">
        <v>703.82294351999997</v>
      </c>
      <c r="O71" s="238">
        <v>1033.625</v>
      </c>
      <c r="P71" s="2418">
        <f t="shared" si="273"/>
        <v>2070.83272296</v>
      </c>
      <c r="Q71" s="2418">
        <f t="shared" si="273"/>
        <v>3735.1628748495368</v>
      </c>
      <c r="R71" s="475">
        <v>718.43683704</v>
      </c>
      <c r="S71" s="238">
        <v>1313.5809999999999</v>
      </c>
      <c r="T71" s="2418">
        <f t="shared" si="274"/>
        <v>2789.2695599999997</v>
      </c>
      <c r="U71" s="2418">
        <f t="shared" si="281"/>
        <v>5048.743874849537</v>
      </c>
      <c r="V71" s="475">
        <v>697.90004639999995</v>
      </c>
      <c r="W71" s="238">
        <v>1094.8989999999999</v>
      </c>
      <c r="X71" s="2415">
        <f t="shared" si="261"/>
        <v>2120.1598269599999</v>
      </c>
      <c r="Y71" s="2415">
        <f t="shared" si="262"/>
        <v>3442.1049999999996</v>
      </c>
      <c r="Z71" s="1134">
        <f t="shared" si="263"/>
        <v>3487.1696063999998</v>
      </c>
      <c r="AA71" s="1134">
        <f t="shared" si="264"/>
        <v>6143.6428748495364</v>
      </c>
      <c r="AB71" s="4556">
        <v>695.2614552</v>
      </c>
      <c r="AC71" s="238">
        <v>1139.752</v>
      </c>
      <c r="AD71" s="3163">
        <f t="shared" si="275"/>
        <v>4182.4310616000002</v>
      </c>
      <c r="AE71" s="3163">
        <f t="shared" si="282"/>
        <v>7283.3948748495368</v>
      </c>
      <c r="AF71" s="3346">
        <v>697.90004639999995</v>
      </c>
      <c r="AG71" s="238">
        <v>801.59799999999996</v>
      </c>
      <c r="AH71" s="3347">
        <f t="shared" si="276"/>
        <v>4880.3311080000003</v>
      </c>
      <c r="AI71" s="3347">
        <f t="shared" si="283"/>
        <v>8084.9928748495367</v>
      </c>
      <c r="AJ71" s="3601">
        <v>718.43683704</v>
      </c>
      <c r="AK71" s="3640">
        <v>941.85400000000004</v>
      </c>
      <c r="AL71" s="3600">
        <f t="shared" si="265"/>
        <v>2111.5983386399998</v>
      </c>
      <c r="AM71" s="3600">
        <f t="shared" si="266"/>
        <v>2883.2039999999997</v>
      </c>
      <c r="AN71" s="3597">
        <f t="shared" si="277"/>
        <v>5598.7679450400001</v>
      </c>
      <c r="AO71" s="3597">
        <f t="shared" si="284"/>
        <v>9026.8468748495361</v>
      </c>
      <c r="AP71" s="3908">
        <v>718.43683704</v>
      </c>
      <c r="AQ71" s="3907">
        <v>924.28599999999994</v>
      </c>
      <c r="AR71" s="3909">
        <f t="shared" si="278"/>
        <v>6317.2047820799999</v>
      </c>
      <c r="AS71" s="3909">
        <f t="shared" si="285"/>
        <v>9951.1328748495362</v>
      </c>
      <c r="AT71" s="4061">
        <v>651.11391744000002</v>
      </c>
      <c r="AU71" s="4060">
        <v>921.92743443062682</v>
      </c>
      <c r="AV71" s="4062">
        <f t="shared" si="279"/>
        <v>6968.3186995199994</v>
      </c>
      <c r="AW71" s="4062">
        <f t="shared" si="286"/>
        <v>10873.060309280163</v>
      </c>
      <c r="AX71" s="4379">
        <v>718.43683704</v>
      </c>
      <c r="AY71" s="4555">
        <v>1122.057</v>
      </c>
      <c r="AZ71" s="4380">
        <f t="shared" si="267"/>
        <v>2087.98759152</v>
      </c>
      <c r="BA71" s="4380">
        <f t="shared" si="268"/>
        <v>2968.2704344306267</v>
      </c>
      <c r="BB71" s="4382">
        <f t="shared" si="269"/>
        <v>4199.5859301599994</v>
      </c>
      <c r="BC71" s="4382">
        <f t="shared" si="270"/>
        <v>5851.4744344306264</v>
      </c>
      <c r="BD71" s="4381">
        <f t="shared" si="280"/>
        <v>7686.7555365599992</v>
      </c>
      <c r="BE71" s="4381">
        <f t="shared" si="287"/>
        <v>11995.117309280164</v>
      </c>
    </row>
    <row r="72" spans="1:57" x14ac:dyDescent="0.25">
      <c r="A72" s="200"/>
      <c r="B72" s="3069" t="s">
        <v>85</v>
      </c>
      <c r="C72" s="355" t="s">
        <v>366</v>
      </c>
      <c r="D72" s="475">
        <v>0</v>
      </c>
      <c r="E72" s="238">
        <v>291.19640380549703</v>
      </c>
      <c r="F72" s="475">
        <v>0</v>
      </c>
      <c r="G72" s="238">
        <v>255.93799999999999</v>
      </c>
      <c r="H72" s="2418">
        <f t="shared" si="271"/>
        <v>0</v>
      </c>
      <c r="I72" s="2418">
        <f t="shared" si="271"/>
        <v>547.13440380549696</v>
      </c>
      <c r="J72" s="475">
        <v>0</v>
      </c>
      <c r="K72" s="238">
        <v>0</v>
      </c>
      <c r="L72" s="2415">
        <f t="shared" si="272"/>
        <v>0</v>
      </c>
      <c r="M72" s="2415">
        <f t="shared" si="272"/>
        <v>547.13440380549696</v>
      </c>
      <c r="N72" s="475">
        <v>0</v>
      </c>
      <c r="O72" s="238">
        <v>8.1</v>
      </c>
      <c r="P72" s="2418">
        <f t="shared" si="273"/>
        <v>0</v>
      </c>
      <c r="Q72" s="2418">
        <f t="shared" si="273"/>
        <v>555.23440380549698</v>
      </c>
      <c r="R72" s="475">
        <v>0</v>
      </c>
      <c r="S72" s="238">
        <v>6.1310000000000002</v>
      </c>
      <c r="T72" s="2418">
        <f t="shared" si="274"/>
        <v>0</v>
      </c>
      <c r="U72" s="2418">
        <f t="shared" si="281"/>
        <v>561.36540380549695</v>
      </c>
      <c r="V72" s="475">
        <v>0</v>
      </c>
      <c r="W72" s="238">
        <v>0</v>
      </c>
      <c r="X72" s="2415">
        <f t="shared" si="261"/>
        <v>0</v>
      </c>
      <c r="Y72" s="2415">
        <f t="shared" si="262"/>
        <v>14.231</v>
      </c>
      <c r="Z72" s="1134">
        <f t="shared" si="263"/>
        <v>0</v>
      </c>
      <c r="AA72" s="1134">
        <f t="shared" si="264"/>
        <v>561.36540380549695</v>
      </c>
      <c r="AB72" s="4556">
        <v>0</v>
      </c>
      <c r="AC72" s="238">
        <v>0</v>
      </c>
      <c r="AD72" s="3163">
        <f t="shared" si="275"/>
        <v>0</v>
      </c>
      <c r="AE72" s="3163">
        <f t="shared" si="282"/>
        <v>561.36540380549695</v>
      </c>
      <c r="AF72" s="3346">
        <v>0</v>
      </c>
      <c r="AG72" s="238">
        <v>0</v>
      </c>
      <c r="AH72" s="3347">
        <f t="shared" si="276"/>
        <v>0</v>
      </c>
      <c r="AI72" s="3347">
        <f t="shared" si="283"/>
        <v>561.36540380549695</v>
      </c>
      <c r="AJ72" s="3601">
        <v>0</v>
      </c>
      <c r="AK72" s="3640">
        <v>0</v>
      </c>
      <c r="AL72" s="3600">
        <f t="shared" si="265"/>
        <v>0</v>
      </c>
      <c r="AM72" s="3600">
        <f t="shared" si="266"/>
        <v>0</v>
      </c>
      <c r="AN72" s="3597">
        <f t="shared" si="277"/>
        <v>0</v>
      </c>
      <c r="AO72" s="3597">
        <f t="shared" si="284"/>
        <v>561.36540380549695</v>
      </c>
      <c r="AP72" s="3908">
        <v>0</v>
      </c>
      <c r="AQ72" s="3907">
        <v>0</v>
      </c>
      <c r="AR72" s="3909">
        <f t="shared" si="278"/>
        <v>0</v>
      </c>
      <c r="AS72" s="3909">
        <f t="shared" si="285"/>
        <v>561.36540380549695</v>
      </c>
      <c r="AT72" s="4061">
        <v>0</v>
      </c>
      <c r="AU72" s="4060">
        <v>0</v>
      </c>
      <c r="AV72" s="4062">
        <f t="shared" si="279"/>
        <v>0</v>
      </c>
      <c r="AW72" s="4062">
        <f t="shared" si="286"/>
        <v>561.36540380549695</v>
      </c>
      <c r="AX72" s="4379">
        <v>0</v>
      </c>
      <c r="AY72" s="4555">
        <v>0</v>
      </c>
      <c r="AZ72" s="4380">
        <f t="shared" si="267"/>
        <v>0</v>
      </c>
      <c r="BA72" s="4380">
        <f t="shared" si="268"/>
        <v>0</v>
      </c>
      <c r="BB72" s="4382">
        <f t="shared" si="269"/>
        <v>0</v>
      </c>
      <c r="BC72" s="4382">
        <f t="shared" si="270"/>
        <v>0</v>
      </c>
      <c r="BD72" s="4381">
        <f t="shared" si="280"/>
        <v>0</v>
      </c>
      <c r="BE72" s="4381">
        <f t="shared" si="287"/>
        <v>561.36540380549695</v>
      </c>
    </row>
    <row r="73" spans="1:57" x14ac:dyDescent="0.25">
      <c r="A73" s="200"/>
      <c r="B73" s="3069" t="s">
        <v>622</v>
      </c>
      <c r="C73" s="355" t="s">
        <v>366</v>
      </c>
      <c r="D73" s="475">
        <v>144</v>
      </c>
      <c r="E73" s="238">
        <v>455.78755179704001</v>
      </c>
      <c r="F73" s="475">
        <v>148.80000000000001</v>
      </c>
      <c r="G73" s="238">
        <v>160.78200000000001</v>
      </c>
      <c r="H73" s="2418">
        <f t="shared" si="271"/>
        <v>292.8</v>
      </c>
      <c r="I73" s="2418">
        <f t="shared" si="271"/>
        <v>616.56955179704005</v>
      </c>
      <c r="J73" s="475">
        <v>144.00000000000003</v>
      </c>
      <c r="K73" s="238">
        <v>193.50399999999999</v>
      </c>
      <c r="L73" s="2415">
        <f t="shared" si="272"/>
        <v>436.80000000000007</v>
      </c>
      <c r="M73" s="2415">
        <f t="shared" si="272"/>
        <v>810.07355179704007</v>
      </c>
      <c r="N73" s="475">
        <v>148.80000000000001</v>
      </c>
      <c r="O73" s="238">
        <v>157.29400000000001</v>
      </c>
      <c r="P73" s="2418">
        <f t="shared" si="273"/>
        <v>585.60000000000014</v>
      </c>
      <c r="Q73" s="2418">
        <f t="shared" si="273"/>
        <v>967.36755179704005</v>
      </c>
      <c r="R73" s="475">
        <v>148.80000000000001</v>
      </c>
      <c r="S73" s="238">
        <v>157.29400000000001</v>
      </c>
      <c r="T73" s="2418">
        <f t="shared" si="274"/>
        <v>734.40000000000009</v>
      </c>
      <c r="U73" s="2418">
        <f t="shared" si="281"/>
        <v>1124.6615517970401</v>
      </c>
      <c r="V73" s="475">
        <v>144</v>
      </c>
      <c r="W73" s="238">
        <v>152.22</v>
      </c>
      <c r="X73" s="2415">
        <f t="shared" si="261"/>
        <v>441.6</v>
      </c>
      <c r="Y73" s="2415">
        <f t="shared" si="262"/>
        <v>466.80799999999999</v>
      </c>
      <c r="Z73" s="1134">
        <f t="shared" si="263"/>
        <v>878.40000000000009</v>
      </c>
      <c r="AA73" s="1134">
        <f t="shared" si="264"/>
        <v>1276.8815517970402</v>
      </c>
      <c r="AB73" s="4556">
        <v>144</v>
      </c>
      <c r="AC73" s="238">
        <v>154.41300000000001</v>
      </c>
      <c r="AD73" s="3163">
        <f t="shared" si="275"/>
        <v>1022.4000000000001</v>
      </c>
      <c r="AE73" s="3163">
        <f t="shared" si="282"/>
        <v>1431.2945517970402</v>
      </c>
      <c r="AF73" s="3346">
        <v>144</v>
      </c>
      <c r="AG73" s="238">
        <v>152.22</v>
      </c>
      <c r="AH73" s="3347">
        <f t="shared" si="276"/>
        <v>1166.4000000000001</v>
      </c>
      <c r="AI73" s="3347">
        <f t="shared" si="283"/>
        <v>1583.5145517970402</v>
      </c>
      <c r="AJ73" s="3601">
        <v>148.80000000000001</v>
      </c>
      <c r="AK73" s="3640">
        <v>157.29400000000001</v>
      </c>
      <c r="AL73" s="3600">
        <f t="shared" si="265"/>
        <v>436.8</v>
      </c>
      <c r="AM73" s="3600">
        <f t="shared" si="266"/>
        <v>463.92700000000002</v>
      </c>
      <c r="AN73" s="3597">
        <f t="shared" si="277"/>
        <v>1315.2</v>
      </c>
      <c r="AO73" s="3597">
        <f t="shared" si="284"/>
        <v>1740.8085517970403</v>
      </c>
      <c r="AP73" s="3908">
        <v>148.80000000000001</v>
      </c>
      <c r="AQ73" s="3907">
        <v>157.29400000000001</v>
      </c>
      <c r="AR73" s="3909">
        <f t="shared" si="278"/>
        <v>1464</v>
      </c>
      <c r="AS73" s="3909">
        <f t="shared" si="285"/>
        <v>1898.1025517970404</v>
      </c>
      <c r="AT73" s="4061">
        <v>134.4</v>
      </c>
      <c r="AU73" s="4060">
        <v>142.07188160676523</v>
      </c>
      <c r="AV73" s="4062">
        <f t="shared" si="279"/>
        <v>1598.4</v>
      </c>
      <c r="AW73" s="4062">
        <f t="shared" si="286"/>
        <v>2040.1744334038056</v>
      </c>
      <c r="AX73" s="4379">
        <v>148.80000000000001</v>
      </c>
      <c r="AY73" s="4555">
        <v>138.988</v>
      </c>
      <c r="AZ73" s="4380">
        <f t="shared" si="267"/>
        <v>432.00000000000006</v>
      </c>
      <c r="BA73" s="4380">
        <f t="shared" si="268"/>
        <v>438.35388160676519</v>
      </c>
      <c r="BB73" s="4382">
        <f t="shared" si="269"/>
        <v>868.80000000000007</v>
      </c>
      <c r="BC73" s="4382">
        <f t="shared" si="270"/>
        <v>902.28088160676521</v>
      </c>
      <c r="BD73" s="4381">
        <f t="shared" si="280"/>
        <v>1747.2</v>
      </c>
      <c r="BE73" s="4381">
        <f t="shared" si="287"/>
        <v>2179.1624334038056</v>
      </c>
    </row>
    <row r="74" spans="1:57" ht="15.75" x14ac:dyDescent="0.25">
      <c r="A74" s="200"/>
      <c r="B74" s="2452" t="s">
        <v>64</v>
      </c>
      <c r="C74" s="2427" t="s">
        <v>366</v>
      </c>
      <c r="D74" s="2458">
        <f t="shared" ref="D74" si="288">SUM(D65:D73)</f>
        <v>4799.9999951999989</v>
      </c>
      <c r="E74" s="470">
        <f t="shared" ref="E74:I74" si="289">SUM(E65:E73)</f>
        <v>4921.5819999999949</v>
      </c>
      <c r="F74" s="2458">
        <f t="shared" si="289"/>
        <v>4959.9999950400006</v>
      </c>
      <c r="G74" s="470">
        <f t="shared" si="289"/>
        <v>4990.0369999999994</v>
      </c>
      <c r="H74" s="644">
        <f t="shared" si="289"/>
        <v>9759.9999902399977</v>
      </c>
      <c r="I74" s="644">
        <f t="shared" si="289"/>
        <v>9911.6189999999951</v>
      </c>
      <c r="J74" s="2458">
        <f t="shared" ref="J74:Q74" si="290">SUM(J65:J73)</f>
        <v>4800.0000024000001</v>
      </c>
      <c r="K74" s="470">
        <f t="shared" si="290"/>
        <v>4765.1269999999995</v>
      </c>
      <c r="L74" s="2422">
        <f t="shared" si="290"/>
        <v>14559.999992639998</v>
      </c>
      <c r="M74" s="2422">
        <f t="shared" si="290"/>
        <v>14676.745999999997</v>
      </c>
      <c r="N74" s="2458">
        <f t="shared" si="290"/>
        <v>4960.0000024800011</v>
      </c>
      <c r="O74" s="470">
        <f t="shared" si="290"/>
        <v>5078.1750000000002</v>
      </c>
      <c r="P74" s="644">
        <f t="shared" si="290"/>
        <v>19519.999995119997</v>
      </c>
      <c r="Q74" s="644">
        <f t="shared" si="290"/>
        <v>19754.920999999998</v>
      </c>
      <c r="R74" s="2458">
        <f t="shared" ref="R74:U74" si="291">SUM(R65:R73)</f>
        <v>4960.0000024800001</v>
      </c>
      <c r="S74" s="470">
        <f t="shared" si="291"/>
        <v>5010.8580000000002</v>
      </c>
      <c r="T74" s="644">
        <f t="shared" si="291"/>
        <v>24479.999997600004</v>
      </c>
      <c r="U74" s="644">
        <f t="shared" si="291"/>
        <v>24765.778999999995</v>
      </c>
      <c r="V74" s="2458">
        <f t="shared" ref="V74:W74" si="292">SUM(V65:V73)</f>
        <v>4800.0000024000001</v>
      </c>
      <c r="W74" s="470">
        <f t="shared" si="292"/>
        <v>4797.34</v>
      </c>
      <c r="X74" s="2422">
        <f t="shared" ref="X74:AE74" si="293">SUM(X65:X73)</f>
        <v>14720.00000736</v>
      </c>
      <c r="Y74" s="2422">
        <f t="shared" si="293"/>
        <v>14886.373</v>
      </c>
      <c r="Z74" s="1282">
        <f t="shared" si="293"/>
        <v>29280</v>
      </c>
      <c r="AA74" s="1282">
        <f t="shared" si="293"/>
        <v>29563.118999999995</v>
      </c>
      <c r="AB74" s="3628">
        <f t="shared" si="293"/>
        <v>4800.0000024000001</v>
      </c>
      <c r="AC74" s="470">
        <f t="shared" si="293"/>
        <v>5254.2639999999992</v>
      </c>
      <c r="AD74" s="644">
        <f t="shared" si="293"/>
        <v>34080.000002400004</v>
      </c>
      <c r="AE74" s="644">
        <f t="shared" si="293"/>
        <v>34817.383000000002</v>
      </c>
      <c r="AF74" s="3353">
        <f t="shared" ref="AF74:AI74" si="294">SUM(AF65:AF73)</f>
        <v>4800.0000024000001</v>
      </c>
      <c r="AG74" s="470">
        <f t="shared" si="294"/>
        <v>4780.3130000000001</v>
      </c>
      <c r="AH74" s="644">
        <f t="shared" si="294"/>
        <v>38880.0000048</v>
      </c>
      <c r="AI74" s="644">
        <f t="shared" si="294"/>
        <v>39597.695999999996</v>
      </c>
      <c r="AJ74" s="3628">
        <f t="shared" ref="AJ74:AO74" si="295">SUM(AJ65:AJ73)</f>
        <v>4960.0000024800001</v>
      </c>
      <c r="AK74" s="470">
        <f t="shared" si="295"/>
        <v>5202.4810000000007</v>
      </c>
      <c r="AL74" s="2422">
        <f t="shared" si="295"/>
        <v>14560.000007279999</v>
      </c>
      <c r="AM74" s="2422">
        <f t="shared" si="295"/>
        <v>15237.057999999999</v>
      </c>
      <c r="AN74" s="644">
        <f t="shared" si="295"/>
        <v>43840.000007279996</v>
      </c>
      <c r="AO74" s="644">
        <f t="shared" si="295"/>
        <v>44800.176999999989</v>
      </c>
      <c r="AP74" s="3628">
        <f t="shared" ref="AP74:AS74" si="296">SUM(AP65:AP73)</f>
        <v>4960.0000024800001</v>
      </c>
      <c r="AQ74" s="470">
        <f t="shared" si="296"/>
        <v>5017.2190000000001</v>
      </c>
      <c r="AR74" s="644">
        <f t="shared" si="296"/>
        <v>48800.000009759999</v>
      </c>
      <c r="AS74" s="644">
        <f t="shared" si="296"/>
        <v>49817.395999999993</v>
      </c>
      <c r="AT74" s="3628">
        <f t="shared" ref="AT74:AW74" si="297">SUM(AT65:AT73)</f>
        <v>4479.9999955200001</v>
      </c>
      <c r="AU74" s="470">
        <f t="shared" si="297"/>
        <v>4537.5300000000007</v>
      </c>
      <c r="AV74" s="644">
        <f t="shared" si="297"/>
        <v>53280.000005280002</v>
      </c>
      <c r="AW74" s="644">
        <f t="shared" si="297"/>
        <v>54354.925999999992</v>
      </c>
      <c r="AX74" s="3628">
        <f t="shared" ref="AX74:BE74" si="298">SUM(AX65:AX73)</f>
        <v>4960.0000024800001</v>
      </c>
      <c r="AY74" s="470">
        <f t="shared" si="298"/>
        <v>4880.174</v>
      </c>
      <c r="AZ74" s="2422">
        <f t="shared" si="298"/>
        <v>14400.000000479999</v>
      </c>
      <c r="BA74" s="2422">
        <f t="shared" si="298"/>
        <v>14434.923000000001</v>
      </c>
      <c r="BB74" s="1282">
        <f t="shared" ref="BB74:BC74" si="299">SUM(BB65:BB73)</f>
        <v>28960.000007759998</v>
      </c>
      <c r="BC74" s="1282">
        <f t="shared" si="299"/>
        <v>29671.981</v>
      </c>
      <c r="BD74" s="644">
        <f t="shared" si="298"/>
        <v>58240.000007759998</v>
      </c>
      <c r="BE74" s="644">
        <f t="shared" si="298"/>
        <v>59235.099999999991</v>
      </c>
    </row>
    <row r="75" spans="1:57" ht="20.25" x14ac:dyDescent="0.25">
      <c r="A75" s="200"/>
      <c r="B75" s="3088" t="s">
        <v>364</v>
      </c>
      <c r="C75" s="3088"/>
      <c r="D75" s="3089"/>
      <c r="E75" s="3088"/>
      <c r="F75" s="3089"/>
      <c r="G75" s="3088"/>
      <c r="H75" s="3088"/>
      <c r="I75" s="3088"/>
      <c r="J75" s="3089"/>
      <c r="K75" s="3088"/>
      <c r="L75" s="3088"/>
      <c r="M75" s="3088"/>
      <c r="N75" s="3089"/>
      <c r="O75" s="3088"/>
      <c r="P75" s="3088"/>
      <c r="Q75" s="3088"/>
      <c r="R75" s="3089"/>
      <c r="S75" s="3088"/>
      <c r="T75" s="3088"/>
      <c r="U75" s="3088"/>
      <c r="V75" s="3089"/>
      <c r="W75" s="3088"/>
      <c r="X75" s="3088"/>
      <c r="Y75" s="3088"/>
      <c r="Z75" s="3088"/>
      <c r="AA75" s="3088"/>
      <c r="AB75" s="3089"/>
      <c r="AC75" s="3088"/>
      <c r="AD75" s="3088"/>
      <c r="AE75" s="3088"/>
      <c r="AF75" s="3089"/>
      <c r="AG75" s="3088"/>
      <c r="AH75" s="3088"/>
      <c r="AI75" s="3088"/>
      <c r="AJ75" s="3089"/>
      <c r="AK75" s="3088"/>
      <c r="AL75" s="3088"/>
      <c r="AM75" s="3088"/>
      <c r="AN75" s="3088"/>
      <c r="AO75" s="3088"/>
      <c r="AP75" s="3089"/>
      <c r="AQ75" s="3088"/>
      <c r="AR75" s="3088"/>
      <c r="AS75" s="3088"/>
      <c r="AT75" s="3089"/>
      <c r="AU75" s="3088"/>
      <c r="AV75" s="3088"/>
      <c r="AW75" s="3088"/>
      <c r="AX75" s="3089"/>
      <c r="AY75" s="3088"/>
      <c r="AZ75" s="3088"/>
      <c r="BA75" s="3088"/>
      <c r="BB75" s="3088"/>
      <c r="BC75" s="3088"/>
      <c r="BD75" s="3088"/>
      <c r="BE75" s="3088"/>
    </row>
    <row r="76" spans="1:57" x14ac:dyDescent="0.25">
      <c r="A76" s="200"/>
      <c r="B76" s="3090" t="s">
        <v>116</v>
      </c>
      <c r="C76" s="355" t="s">
        <v>363</v>
      </c>
      <c r="D76" s="677">
        <v>0.222552931871115</v>
      </c>
      <c r="E76" s="413">
        <v>0.30374182482300405</v>
      </c>
      <c r="F76" s="677">
        <v>0.29839717965981</v>
      </c>
      <c r="G76" s="413">
        <v>0.41781898497631303</v>
      </c>
      <c r="H76" s="957">
        <f>+((D76*D$90)+(F76*F$90))/H$90</f>
        <v>0.26112720198231842</v>
      </c>
      <c r="I76" s="957">
        <v>0.35646014227310202</v>
      </c>
      <c r="J76" s="677">
        <v>0.23297630094447</v>
      </c>
      <c r="K76" s="413">
        <v>0.35840187988742633</v>
      </c>
      <c r="L76" s="958">
        <f>+((H76*H$90)+(J76*J$90))/L$90</f>
        <v>0.24598654929508176</v>
      </c>
      <c r="M76" s="958">
        <f>+((I76*I$90)+(K76*K$90))/M$90</f>
        <v>0.35747077837854285</v>
      </c>
      <c r="N76" s="677">
        <v>0.23570479592003901</v>
      </c>
      <c r="O76" s="413">
        <v>0.27880225275733728</v>
      </c>
      <c r="P76" s="957">
        <f>+((L76*L$90)+(N76*N$90))/P$90</f>
        <v>0.24231204908337073</v>
      </c>
      <c r="Q76" s="957">
        <f>+((M76*M$90)+(O76*O$90))/Q$90</f>
        <v>0.33119196757208924</v>
      </c>
      <c r="R76" s="677">
        <v>0.23572772261352401</v>
      </c>
      <c r="S76" s="413">
        <v>0.22217606530677114</v>
      </c>
      <c r="T76" s="957">
        <f>+((P76*P$90)+(R76*R$90))/T$90</f>
        <v>0.24057743862336745</v>
      </c>
      <c r="U76" s="957">
        <f>+((Q76*Q$90)+(S76*S$90))/U$90</f>
        <v>0.30218023351792456</v>
      </c>
      <c r="V76" s="677">
        <v>0.23300012550653501</v>
      </c>
      <c r="W76" s="413">
        <v>0.22115796647659114</v>
      </c>
      <c r="X76" s="958">
        <f>+((N76*N$90)+(R76*R$90)+(V76*V$90))/X$90</f>
        <v>0.23482736218508443</v>
      </c>
      <c r="Y76" s="958">
        <f>+((O76*O$90)+(S76*S$90)+(W76*W$90))/Y$90</f>
        <v>0.23986604174656539</v>
      </c>
      <c r="Z76" s="1855">
        <f>+((L76*L$90)+(X76*X$90))/Z$90</f>
        <v>0.23903199191535651</v>
      </c>
      <c r="AA76" s="1855">
        <f>+((M76*M$90)+(Y76*Y$90))/AA$90</f>
        <v>0.28553429896992083</v>
      </c>
      <c r="AB76" s="677">
        <v>0.224336372550238</v>
      </c>
      <c r="AC76" s="413">
        <v>0.20889242425273979</v>
      </c>
      <c r="AD76" s="957">
        <f>+((Z76*Z$90)+(AB76*AB$90))/AD$90</f>
        <v>0.23647260302015322</v>
      </c>
      <c r="AE76" s="957">
        <f>+((AA76*AA$90)+(AC76*AC$90))/AE$90</f>
        <v>0.27177546736459984</v>
      </c>
      <c r="AF76" s="677">
        <v>0.22444334499582599</v>
      </c>
      <c r="AG76" s="413">
        <v>0.22986944857810629</v>
      </c>
      <c r="AH76" s="957">
        <f>+((AD76*AD$90)+(AF76*AF$90))/AH$90</f>
        <v>0.23473852489319885</v>
      </c>
      <c r="AI76" s="957">
        <f>+((AE76*AE$90)+(AG76*AG$90))/AI$90</f>
        <v>0.2658254867130328</v>
      </c>
      <c r="AJ76" s="677">
        <v>0.22149667163188</v>
      </c>
      <c r="AK76" s="413">
        <v>0.24670564629709893</v>
      </c>
      <c r="AL76" s="958">
        <f>+((AB76*AB$90)+(AF76*AF$90)+(AJ76*AJ$90))/AL$90</f>
        <v>0.22341418931808082</v>
      </c>
      <c r="AM76" s="958">
        <f>+((AC76*AC$90)+(AG76*AG$90)+(AK76*AK$90))/AM$90</f>
        <v>0.22860934789844534</v>
      </c>
      <c r="AN76" s="957">
        <f>+((AH76*AH$90)+(AJ76*AJ$90))/AN$90</f>
        <v>0.23302080992050672</v>
      </c>
      <c r="AO76" s="957">
        <f>+((AI76*AI$90)+(AK76*AK$90))/AO$90</f>
        <v>0.26321759567085679</v>
      </c>
      <c r="AP76" s="677">
        <v>0.21581726979516599</v>
      </c>
      <c r="AQ76" s="413">
        <v>0.26176798597146278</v>
      </c>
      <c r="AR76" s="957">
        <f>+((AN76*AN$90)+(AP76*AP$90))/AR$90</f>
        <v>0.23104543008730913</v>
      </c>
      <c r="AS76" s="957">
        <f>+((AO76*AO$90)+(AQ76*AQ$90))/AS$90</f>
        <v>0.26304010134894573</v>
      </c>
      <c r="AT76" s="677">
        <v>0.21558807809749</v>
      </c>
      <c r="AU76" s="677">
        <v>0.29966077261427776</v>
      </c>
      <c r="AV76" s="957">
        <f>+((AR76*AR$90)+(AT76*AT$90))/AV$90</f>
        <v>0.22961828694501274</v>
      </c>
      <c r="AW76" s="957">
        <f>+((AS76*AS$90)+(AU76*AU$90))/AW$90</f>
        <v>0.26664406549680569</v>
      </c>
      <c r="AX76" s="677">
        <v>0.21581726979516599</v>
      </c>
      <c r="AY76" s="677">
        <v>0.30545779931917055</v>
      </c>
      <c r="AZ76" s="958">
        <f>+((AP76*AP$90)+(AT76*AT$90)+(AX76*AX$90))/AZ$90</f>
        <v>0.21574691518873934</v>
      </c>
      <c r="BA76" s="958">
        <f>+((AQ76*AQ$90)+(AU76*AU$90)+(AY76*AY$90))/BA$90</f>
        <v>0.28851724328066009</v>
      </c>
      <c r="BB76" s="1855">
        <f t="shared" ref="BB76:BB87" si="300">+((AL76*AL$90)+(AZ76*AZ$90))/BB$90</f>
        <v>0.21963377650890867</v>
      </c>
      <c r="BC76" s="1855">
        <f t="shared" ref="BC76:BC87" si="301">+((AM76*AM$90)+(BA76*BA$90))/BC$90</f>
        <v>0.25895422266675633</v>
      </c>
      <c r="BD76" s="957">
        <f>+((AV76*AV$90)+(AX76*AX$90))/BD$90</f>
        <v>0.22831567126682573</v>
      </c>
      <c r="BE76" s="957">
        <v>0.27451095032104866</v>
      </c>
    </row>
    <row r="77" spans="1:57" x14ac:dyDescent="0.25">
      <c r="A77" s="200"/>
      <c r="B77" s="3090" t="s">
        <v>117</v>
      </c>
      <c r="C77" s="355" t="s">
        <v>363</v>
      </c>
      <c r="D77" s="677">
        <v>3.35777995687938</v>
      </c>
      <c r="E77" s="413">
        <v>3.1953026066767092</v>
      </c>
      <c r="F77" s="677">
        <v>4.0339093964531196</v>
      </c>
      <c r="G77" s="413">
        <v>3.373780634360708</v>
      </c>
      <c r="H77" s="957">
        <f t="shared" ref="H77:H87" si="302">+((D77*D$90)+(F77*F$90))/H$90</f>
        <v>3.701658370769346</v>
      </c>
      <c r="I77" s="957">
        <v>3.2760247728707301</v>
      </c>
      <c r="J77" s="677">
        <v>3.2709176832464899</v>
      </c>
      <c r="K77" s="413">
        <v>3.2398088289042715</v>
      </c>
      <c r="L77" s="958">
        <f t="shared" ref="L77:L87" si="303">+((H77*H$90)+(J77*J$90))/L$90</f>
        <v>3.4699892267061845</v>
      </c>
      <c r="M77" s="958">
        <f t="shared" ref="M77:M83" si="304">+((I77*I$90)+(K77*K$90))/M$90</f>
        <v>3.2571750888067683</v>
      </c>
      <c r="N77" s="677">
        <v>3.3535535668277001</v>
      </c>
      <c r="O77" s="413">
        <v>3.2158443510576653</v>
      </c>
      <c r="P77" s="957">
        <f t="shared" ref="P77:P87" si="305">+((L77*L$90)+(N77*N$90))/P$90</f>
        <v>3.4283773691496009</v>
      </c>
      <c r="Q77" s="957">
        <f t="shared" ref="Q77:Q83" si="306">+((M77*M$90)+(O77*O$90))/Q$90</f>
        <v>3.2433687713599464</v>
      </c>
      <c r="R77" s="677">
        <v>3.35906175629203</v>
      </c>
      <c r="S77" s="413">
        <v>3.2181985008156158</v>
      </c>
      <c r="T77" s="957">
        <f t="shared" ref="T77:T87" si="307">+((P77*P$90)+(R77*R$90))/T$90</f>
        <v>3.4101164904317995</v>
      </c>
      <c r="U77" s="957">
        <f t="shared" ref="U77" si="308">+((Q77*Q$90)+(S77*S$90))/U$90</f>
        <v>3.2366703614956105</v>
      </c>
      <c r="V77" s="677">
        <v>3.3590154333104301</v>
      </c>
      <c r="W77" s="413">
        <v>3.2430425710604407</v>
      </c>
      <c r="X77" s="958">
        <f t="shared" ref="X77:X87" si="309">+((N77*N$90)+(R77*R$90)+(V77*V$90))/X$90</f>
        <v>3.3571945814844759</v>
      </c>
      <c r="Y77" s="958">
        <f t="shared" ref="Y77:Y87" si="310">+((O77*O$90)+(S77*S$90)+(W77*W$90))/Y$90</f>
        <v>3.2257933856492804</v>
      </c>
      <c r="Z77" s="1855">
        <f t="shared" ref="Z77:Z87" si="311">+((L77*L$90)+(X77*X$90))/Z$90</f>
        <v>3.3996940676961382</v>
      </c>
      <c r="AA77" s="1855">
        <f t="shared" ref="AA77:AA87" si="312">+((M77*M$90)+(Y77*Y$90))/AA$90</f>
        <v>3.2379795248554579</v>
      </c>
      <c r="AB77" s="677">
        <v>3.3170111275618699</v>
      </c>
      <c r="AC77" s="413">
        <v>3.2867620454450193</v>
      </c>
      <c r="AD77" s="957">
        <f t="shared" ref="AD77:AD87" si="313">+((Z77*Z$90)+(AB77*AB$90))/AD$90</f>
        <v>3.3852940078181106</v>
      </c>
      <c r="AE77" s="957">
        <f t="shared" ref="AE77" si="314">+((AA77*AA$90)+(AC77*AC$90))/AE$90</f>
        <v>3.246737015307664</v>
      </c>
      <c r="AF77" s="677">
        <v>3.3281853200731302</v>
      </c>
      <c r="AG77" s="413">
        <v>3.2500911647079684</v>
      </c>
      <c r="AH77" s="957">
        <f t="shared" ref="AH77:AH87" si="315">+((AD77*AD$90)+(AF77*AF$90))/AH$90</f>
        <v>3.3770615028641586</v>
      </c>
      <c r="AI77" s="957">
        <f t="shared" ref="AI77" si="316">+((AE77*AE$90)+(AG77*AG$90))/AI$90</f>
        <v>3.2472132505743914</v>
      </c>
      <c r="AJ77" s="677">
        <v>3.3359292680678401</v>
      </c>
      <c r="AK77" s="413">
        <v>3.2551045626298527</v>
      </c>
      <c r="AL77" s="958">
        <f t="shared" ref="AL77:AL87" si="317">+((AB77*AB$90)+(AF77*AF$90)+(AJ77*AJ$90))/AL$90</f>
        <v>3.3270292338739913</v>
      </c>
      <c r="AM77" s="958">
        <f t="shared" ref="AM77:AM87" si="318">+((AC77*AC$90)+(AG77*AG$90)+(AK77*AK$90))/AM$90</f>
        <v>3.2642782425645649</v>
      </c>
      <c r="AN77" s="957">
        <f t="shared" ref="AN77:AN87" si="319">+((AH77*AH$90)+(AJ77*AJ$90))/AN$90</f>
        <v>3.3717258860002932</v>
      </c>
      <c r="AO77" s="957">
        <f t="shared" ref="AO77" si="320">+((AI77*AI$90)+(AK77*AK$90))/AO$90</f>
        <v>3.2482896027600141</v>
      </c>
      <c r="AP77" s="677">
        <v>3.26044618566584</v>
      </c>
      <c r="AQ77" s="413">
        <v>3.3944507393173065</v>
      </c>
      <c r="AR77" s="957">
        <f t="shared" ref="AR77:AR87" si="321">+((AN77*AN$90)+(AP77*AP$90))/AR$90</f>
        <v>3.3589483021842064</v>
      </c>
      <c r="AS77" s="957">
        <f t="shared" ref="AS77" si="322">+((AO77*AO$90)+(AQ77*AQ$90))/AS$90</f>
        <v>3.2661859867548468</v>
      </c>
      <c r="AT77" s="677">
        <v>3.2687143548331901</v>
      </c>
      <c r="AU77" s="677">
        <v>3.2917294885257475</v>
      </c>
      <c r="AV77" s="957">
        <f t="shared" ref="AV77:AV87" si="323">+((AR77*AR$90)+(AT77*AT$90))/AV$90</f>
        <v>3.3506172012783622</v>
      </c>
      <c r="AW77" s="957">
        <f t="shared" ref="AW77" si="324">+((AS77*AS$90)+(AU77*AU$90))/AW$90</f>
        <v>3.2686998091784205</v>
      </c>
      <c r="AX77" s="677">
        <v>3.26044618566584</v>
      </c>
      <c r="AY77" s="677">
        <v>3.2959072667795195</v>
      </c>
      <c r="AZ77" s="958">
        <f t="shared" ref="AZ77:AZ87" si="325">+((AP77*AP$90)+(AT77*AT$90)+(AX77*AX$90))/AZ$90</f>
        <v>3.2629842522430184</v>
      </c>
      <c r="BA77" s="958">
        <f t="shared" ref="BA77:BA87" si="326">+((AQ77*AQ$90)+(AU77*AU$90)+(AY77*AY$90))/BA$90</f>
        <v>3.3287840754411699</v>
      </c>
      <c r="BB77" s="1855">
        <f t="shared" si="300"/>
        <v>3.2954513269364547</v>
      </c>
      <c r="BC77" s="1855">
        <f t="shared" si="301"/>
        <v>3.2969520897758176</v>
      </c>
      <c r="BD77" s="957">
        <f t="shared" ref="BD77:BD87" si="327">+((AV77*AV$90)+(AX77*AX$90))/BD$90</f>
        <v>3.3421063663609352</v>
      </c>
      <c r="BE77" s="957">
        <v>3.2724164482372831</v>
      </c>
    </row>
    <row r="78" spans="1:57" x14ac:dyDescent="0.25">
      <c r="A78" s="200"/>
      <c r="B78" s="3090" t="s">
        <v>118</v>
      </c>
      <c r="C78" s="355" t="s">
        <v>363</v>
      </c>
      <c r="D78" s="677">
        <v>0.82155955219156895</v>
      </c>
      <c r="E78" s="413">
        <v>0.72883397739888445</v>
      </c>
      <c r="F78" s="677">
        <v>0.95256811169185895</v>
      </c>
      <c r="G78" s="413">
        <v>0.8453881381102103</v>
      </c>
      <c r="H78" s="957">
        <f t="shared" si="302"/>
        <v>0.88819030809441957</v>
      </c>
      <c r="I78" s="957">
        <v>0.78180728640777897</v>
      </c>
      <c r="J78" s="677">
        <v>0.798621818825763</v>
      </c>
      <c r="K78" s="413">
        <v>0.78851706429134605</v>
      </c>
      <c r="L78" s="958">
        <f t="shared" si="303"/>
        <v>0.84001688068213443</v>
      </c>
      <c r="M78" s="958">
        <f t="shared" si="304"/>
        <v>0.78529959336964461</v>
      </c>
      <c r="N78" s="677">
        <v>0.79861210297038698</v>
      </c>
      <c r="O78" s="413">
        <v>0.76172395991026809</v>
      </c>
      <c r="P78" s="957">
        <f t="shared" si="305"/>
        <v>0.82521961226710294</v>
      </c>
      <c r="Q78" s="957">
        <f>+((M78*M$90)+(O78*O$90))/Q$90</f>
        <v>0.77742427593577812</v>
      </c>
      <c r="R78" s="677">
        <v>0.79868978291248005</v>
      </c>
      <c r="S78" s="413">
        <v>0.78203942210465227</v>
      </c>
      <c r="T78" s="957">
        <f t="shared" si="307"/>
        <v>0.81823045100491809</v>
      </c>
      <c r="U78" s="957">
        <f>+((Q78*Q$90)+(S78*S$90))/U$90</f>
        <v>0.7786524765055135</v>
      </c>
      <c r="V78" s="677">
        <v>0.79849750481483595</v>
      </c>
      <c r="W78" s="413">
        <v>0.79385746886606723</v>
      </c>
      <c r="X78" s="958">
        <f t="shared" si="309"/>
        <v>0.79860073841245138</v>
      </c>
      <c r="Y78" s="958">
        <f t="shared" si="310"/>
        <v>0.77953960869945704</v>
      </c>
      <c r="Z78" s="1855">
        <f t="shared" si="311"/>
        <v>0.81420577678879336</v>
      </c>
      <c r="AA78" s="1855">
        <f t="shared" si="312"/>
        <v>0.78177632525572871</v>
      </c>
      <c r="AB78" s="677">
        <v>0.79848520457116201</v>
      </c>
      <c r="AC78" s="413">
        <v>0.8209937110452199</v>
      </c>
      <c r="AD78" s="957">
        <f t="shared" si="313"/>
        <v>0.81146788211689214</v>
      </c>
      <c r="AE78" s="957">
        <f>+((AA78*AA$90)+(AC78*AC$90))/AE$90</f>
        <v>0.78881667244282005</v>
      </c>
      <c r="AF78" s="677">
        <v>0.79849750481483595</v>
      </c>
      <c r="AG78" s="413">
        <v>0.82950548863396623</v>
      </c>
      <c r="AH78" s="957">
        <f t="shared" si="315"/>
        <v>0.80959813690631011</v>
      </c>
      <c r="AI78" s="957">
        <f>+((AE78*AE$90)+(AG78*AG$90))/AI$90</f>
        <v>0.79459382990332594</v>
      </c>
      <c r="AJ78" s="677">
        <v>0.79848520457116201</v>
      </c>
      <c r="AK78" s="413">
        <v>0.85681656474397472</v>
      </c>
      <c r="AL78" s="958">
        <f t="shared" si="317"/>
        <v>0.79848921382244964</v>
      </c>
      <c r="AM78" s="958">
        <f t="shared" si="318"/>
        <v>0.83611938611906378</v>
      </c>
      <c r="AN78" s="957">
        <f t="shared" si="319"/>
        <v>0.80815658262490453</v>
      </c>
      <c r="AO78" s="957">
        <f>+((AI78*AI$90)+(AK78*AK$90))/AO$90</f>
        <v>0.80308083132596275</v>
      </c>
      <c r="AP78" s="677">
        <v>0.79848520457116201</v>
      </c>
      <c r="AQ78" s="413">
        <v>0.83699189029680288</v>
      </c>
      <c r="AR78" s="957">
        <f t="shared" si="321"/>
        <v>0.80704607600665035</v>
      </c>
      <c r="AS78" s="957">
        <f>+((AO78*AO$90)+(AQ78*AQ$90))/AS$90</f>
        <v>0.80723299753996647</v>
      </c>
      <c r="AT78" s="677">
        <v>0.79916560124111502</v>
      </c>
      <c r="AU78" s="677">
        <v>0.84352292860227607</v>
      </c>
      <c r="AV78" s="957">
        <f t="shared" si="323"/>
        <v>0.80631848919054616</v>
      </c>
      <c r="AW78" s="957">
        <f>+((AS78*AS$90)+(AU78*AU$90))/AW$90</f>
        <v>0.81080441242554468</v>
      </c>
      <c r="AX78" s="677">
        <v>0.79848520457116201</v>
      </c>
      <c r="AY78" s="677">
        <v>0.8325604984592867</v>
      </c>
      <c r="AZ78" s="958">
        <f t="shared" si="325"/>
        <v>0.79869406484146832</v>
      </c>
      <c r="BA78" s="958">
        <f t="shared" si="326"/>
        <v>0.83748555667666469</v>
      </c>
      <c r="BB78" s="1855">
        <f t="shared" si="300"/>
        <v>0.79859021730859159</v>
      </c>
      <c r="BC78" s="1855">
        <f t="shared" si="301"/>
        <v>0.83681138630064356</v>
      </c>
      <c r="BD78" s="957">
        <f t="shared" si="327"/>
        <v>0.80557914083338367</v>
      </c>
      <c r="BE78" s="957">
        <v>0.81256485998899264</v>
      </c>
    </row>
    <row r="79" spans="1:57" x14ac:dyDescent="0.25">
      <c r="A79" s="200"/>
      <c r="B79" s="3090" t="s">
        <v>154</v>
      </c>
      <c r="C79" s="355" t="s">
        <v>363</v>
      </c>
      <c r="D79" s="677">
        <v>0.571588420643933</v>
      </c>
      <c r="E79" s="413">
        <v>0.61236839273653842</v>
      </c>
      <c r="F79" s="677">
        <v>0.57725170168741202</v>
      </c>
      <c r="G79" s="413">
        <v>0.76688142903859546</v>
      </c>
      <c r="H79" s="957">
        <f t="shared" si="302"/>
        <v>0.57446875684682408</v>
      </c>
      <c r="I79" s="957">
        <v>0.68110541297233695</v>
      </c>
      <c r="J79" s="677">
        <v>0.461028667522418</v>
      </c>
      <c r="K79" s="413">
        <v>0.59448533837038675</v>
      </c>
      <c r="L79" s="958">
        <f t="shared" si="303"/>
        <v>0.51345625174225529</v>
      </c>
      <c r="M79" s="958">
        <f t="shared" si="304"/>
        <v>0.63602137370621226</v>
      </c>
      <c r="N79" s="677">
        <v>0.460993998711416</v>
      </c>
      <c r="O79" s="413">
        <v>0.54394574433670029</v>
      </c>
      <c r="P79" s="957">
        <f t="shared" si="305"/>
        <v>0.4947072550646478</v>
      </c>
      <c r="Q79" s="957">
        <f t="shared" si="306"/>
        <v>0.60526398979721063</v>
      </c>
      <c r="R79" s="677">
        <v>0.46095137718143703</v>
      </c>
      <c r="S79" s="413">
        <v>0.46608871971121141</v>
      </c>
      <c r="T79" s="957">
        <f t="shared" si="307"/>
        <v>0.48581442462390972</v>
      </c>
      <c r="U79" s="957">
        <f t="shared" ref="U79:U83" si="328">+((Q79*Q$90)+(S79*S$90))/U$90</f>
        <v>0.56822612799219863</v>
      </c>
      <c r="V79" s="677">
        <v>0.46020951959421602</v>
      </c>
      <c r="W79" s="413">
        <v>0.45303100283970654</v>
      </c>
      <c r="X79" s="958">
        <f t="shared" si="309"/>
        <v>0.46072292247879637</v>
      </c>
      <c r="Y79" s="958">
        <f t="shared" si="310"/>
        <v>0.48649557921171332</v>
      </c>
      <c r="Z79" s="1855">
        <f t="shared" si="311"/>
        <v>0.48059212278987729</v>
      </c>
      <c r="AA79" s="1855">
        <f t="shared" si="312"/>
        <v>0.54455941779561456</v>
      </c>
      <c r="AB79" s="677">
        <v>0.46125252373827302</v>
      </c>
      <c r="AC79" s="413">
        <v>0.44206827690475103</v>
      </c>
      <c r="AD79" s="957">
        <f t="shared" si="313"/>
        <v>0.47722393844728006</v>
      </c>
      <c r="AE79" s="957">
        <f t="shared" ref="AE79:AE83" si="329">+((AA79*AA$90)+(AC79*AC$90))/AE$90</f>
        <v>0.52616009818400156</v>
      </c>
      <c r="AF79" s="677">
        <v>0.46182357245765299</v>
      </c>
      <c r="AG79" s="413">
        <v>0.44568940493161735</v>
      </c>
      <c r="AH79" s="957">
        <f t="shared" si="315"/>
        <v>0.47500389812927402</v>
      </c>
      <c r="AI79" s="957">
        <f t="shared" ref="AI79:AI83" si="330">+((AE79*AE$90)+(AG79*AG$90))/AI$90</f>
        <v>0.51473455403223423</v>
      </c>
      <c r="AJ79" s="677">
        <v>0.46179049695799301</v>
      </c>
      <c r="AK79" s="413">
        <v>0.44144618592421969</v>
      </c>
      <c r="AL79" s="958">
        <f t="shared" si="317"/>
        <v>0.4616199669935343</v>
      </c>
      <c r="AM79" s="958">
        <f t="shared" si="318"/>
        <v>0.44298442202820926</v>
      </c>
      <c r="AN79" s="957">
        <f t="shared" si="319"/>
        <v>0.47328987392252664</v>
      </c>
      <c r="AO79" s="957">
        <f t="shared" ref="AO79:AO83" si="331">+((AI79*AI$90)+(AK79*AK$90))/AO$90</f>
        <v>0.50473823217353775</v>
      </c>
      <c r="AP79" s="677">
        <v>0.462328470177713</v>
      </c>
      <c r="AQ79" s="413">
        <v>0.39213093460086734</v>
      </c>
      <c r="AR79" s="957">
        <f t="shared" si="321"/>
        <v>0.47203124135369007</v>
      </c>
      <c r="AS79" s="957">
        <f t="shared" ref="AS79:AS83" si="332">+((AO79*AO$90)+(AQ79*AQ$90))/AS$90</f>
        <v>0.49095027536471164</v>
      </c>
      <c r="AT79" s="677">
        <v>0.46181365553375398</v>
      </c>
      <c r="AU79" s="677">
        <v>0.39919842536059746</v>
      </c>
      <c r="AV79" s="957">
        <f t="shared" si="323"/>
        <v>0.47108787423988224</v>
      </c>
      <c r="AW79" s="957">
        <f t="shared" ref="AW79:AW83" si="333">+((AS79*AS$90)+(AU79*AU$90))/AW$90</f>
        <v>0.48192066540702394</v>
      </c>
      <c r="AX79" s="677">
        <v>0.462328470177713</v>
      </c>
      <c r="AY79" s="677">
        <v>0.39846369830614203</v>
      </c>
      <c r="AZ79" s="958">
        <f t="shared" si="325"/>
        <v>0.46217043835533161</v>
      </c>
      <c r="BA79" s="958">
        <f t="shared" si="326"/>
        <v>0.39649503437970668</v>
      </c>
      <c r="BB79" s="1855">
        <f t="shared" si="300"/>
        <v>0.46189138144306557</v>
      </c>
      <c r="BC79" s="1855">
        <f t="shared" si="301"/>
        <v>0.41943636317471661</v>
      </c>
      <c r="BD79" s="957">
        <f t="shared" si="327"/>
        <v>0.4702611136512192</v>
      </c>
      <c r="BE79" s="957">
        <v>0.47367305963771106</v>
      </c>
    </row>
    <row r="80" spans="1:57" x14ac:dyDescent="0.25">
      <c r="A80" s="200"/>
      <c r="B80" s="3090" t="s">
        <v>119</v>
      </c>
      <c r="C80" s="355" t="s">
        <v>363</v>
      </c>
      <c r="D80" s="677">
        <v>6.8850502821316606E-2</v>
      </c>
      <c r="E80" s="413">
        <v>0.16328078706551388</v>
      </c>
      <c r="F80" s="677">
        <v>0</v>
      </c>
      <c r="G80" s="413">
        <v>0.10550834207796059</v>
      </c>
      <c r="H80" s="957">
        <f t="shared" si="302"/>
        <v>3.3833240859394841E-2</v>
      </c>
      <c r="I80" s="957">
        <v>0.13771586431045901</v>
      </c>
      <c r="J80" s="677">
        <v>0.10463415059179999</v>
      </c>
      <c r="K80" s="413">
        <v>7.5014096413591538E-2</v>
      </c>
      <c r="L80" s="958">
        <f t="shared" si="303"/>
        <v>7.1912731912185404E-2</v>
      </c>
      <c r="M80" s="958">
        <f t="shared" si="304"/>
        <v>0.10508083162423494</v>
      </c>
      <c r="N80" s="677">
        <v>9.7434681130469894E-2</v>
      </c>
      <c r="O80" s="413">
        <v>0.14503656339079235</v>
      </c>
      <c r="P80" s="957">
        <f t="shared" si="305"/>
        <v>8.103378397257624E-2</v>
      </c>
      <c r="Q80" s="957">
        <f t="shared" si="306"/>
        <v>0.11842783549186227</v>
      </c>
      <c r="R80" s="677">
        <v>0.109524563738379</v>
      </c>
      <c r="S80" s="413">
        <v>0.10345218356786975</v>
      </c>
      <c r="T80" s="957">
        <f t="shared" si="307"/>
        <v>8.8539548582173666E-2</v>
      </c>
      <c r="U80" s="957">
        <f t="shared" si="328"/>
        <v>0.1144424570114896</v>
      </c>
      <c r="V80" s="677">
        <v>0.112615927290088</v>
      </c>
      <c r="W80" s="413">
        <v>6.7440645813252209E-2</v>
      </c>
      <c r="X80" s="958">
        <f t="shared" si="309"/>
        <v>0.10647129110429243</v>
      </c>
      <c r="Y80" s="958">
        <f t="shared" si="310"/>
        <v>0.10459880780355564</v>
      </c>
      <c r="Z80" s="1855">
        <f t="shared" si="311"/>
        <v>9.3450096640734628E-2</v>
      </c>
      <c r="AA80" s="1855">
        <f t="shared" si="312"/>
        <v>0.10478598723578764</v>
      </c>
      <c r="AB80" s="677">
        <v>0.108914612576963</v>
      </c>
      <c r="AC80" s="413">
        <v>0.12573759463758191</v>
      </c>
      <c r="AD80" s="957">
        <f t="shared" si="313"/>
        <v>9.6143396553688545E-2</v>
      </c>
      <c r="AE80" s="957">
        <f t="shared" si="329"/>
        <v>0.10854724228292523</v>
      </c>
      <c r="AF80" s="677">
        <v>0.112615927290088</v>
      </c>
      <c r="AG80" s="413">
        <v>0.12509434166941558</v>
      </c>
      <c r="AH80" s="957">
        <f t="shared" si="315"/>
        <v>9.8517994819666957E-2</v>
      </c>
      <c r="AI80" s="957">
        <f t="shared" si="330"/>
        <v>0.11089666425237528</v>
      </c>
      <c r="AJ80" s="677">
        <v>0.108914612576963</v>
      </c>
      <c r="AK80" s="413">
        <v>0.13328535882205811</v>
      </c>
      <c r="AL80" s="958">
        <f t="shared" si="317"/>
        <v>0.11012105215435013</v>
      </c>
      <c r="AM80" s="958">
        <f t="shared" si="318"/>
        <v>0.12816241255806646</v>
      </c>
      <c r="AN80" s="957">
        <f t="shared" si="319"/>
        <v>9.9866629760308606E-2</v>
      </c>
      <c r="AO80" s="957">
        <f t="shared" si="331"/>
        <v>0.11395041756538057</v>
      </c>
      <c r="AP80" s="677">
        <v>0.108914612576963</v>
      </c>
      <c r="AQ80" s="413">
        <v>0.10859646637972088</v>
      </c>
      <c r="AR80" s="957">
        <f t="shared" si="321"/>
        <v>0.10090555562422485</v>
      </c>
      <c r="AS80" s="957">
        <f t="shared" si="332"/>
        <v>0.11329486460126828</v>
      </c>
      <c r="AT80" s="677">
        <v>0.122946322457928</v>
      </c>
      <c r="AU80" s="677">
        <v>0.12125140352869199</v>
      </c>
      <c r="AV80" s="957">
        <f t="shared" si="323"/>
        <v>0.10294053090707991</v>
      </c>
      <c r="AW80" s="957">
        <f t="shared" si="333"/>
        <v>0.11407789451428446</v>
      </c>
      <c r="AX80" s="677">
        <v>0.108914612576963</v>
      </c>
      <c r="AY80" s="677">
        <v>0.1224376914435176</v>
      </c>
      <c r="AZ80" s="958">
        <f t="shared" si="325"/>
        <v>0.11322190396744021</v>
      </c>
      <c r="BA80" s="958">
        <f t="shared" si="326"/>
        <v>0.11727180580484418</v>
      </c>
      <c r="BB80" s="1855">
        <f t="shared" si="300"/>
        <v>0.11164995274089498</v>
      </c>
      <c r="BC80" s="1855">
        <f t="shared" si="301"/>
        <v>0.12264604287141641</v>
      </c>
      <c r="BD80" s="957">
        <f t="shared" si="327"/>
        <v>0.1035043974946992</v>
      </c>
      <c r="BE80" s="957">
        <v>0.11486473053557432</v>
      </c>
    </row>
    <row r="81" spans="1:57" x14ac:dyDescent="0.25">
      <c r="A81" s="200"/>
      <c r="B81" s="3090" t="s">
        <v>101</v>
      </c>
      <c r="C81" s="355" t="s">
        <v>363</v>
      </c>
      <c r="D81" s="677">
        <v>0.26964202500000001</v>
      </c>
      <c r="E81" s="413">
        <v>0.19088247689060495</v>
      </c>
      <c r="F81" s="677">
        <v>0.301280268115942</v>
      </c>
      <c r="G81" s="413">
        <v>0.36664138889041209</v>
      </c>
      <c r="H81" s="957">
        <f t="shared" si="302"/>
        <v>0.28573318776290868</v>
      </c>
      <c r="I81" s="957">
        <v>0.26905553917476499</v>
      </c>
      <c r="J81" s="677">
        <v>0.123640463849508</v>
      </c>
      <c r="K81" s="413">
        <v>0.17271823287703406</v>
      </c>
      <c r="L81" s="958">
        <f t="shared" si="303"/>
        <v>0.1985533979365964</v>
      </c>
      <c r="M81" s="958">
        <f t="shared" si="304"/>
        <v>0.21891387259368125</v>
      </c>
      <c r="N81" s="677">
        <v>0.12533600984165499</v>
      </c>
      <c r="O81" s="413">
        <v>0.17395437768220312</v>
      </c>
      <c r="P81" s="957">
        <f t="shared" si="305"/>
        <v>0.17238691657468849</v>
      </c>
      <c r="Q81" s="957">
        <f t="shared" si="306"/>
        <v>0.20389538773708987</v>
      </c>
      <c r="R81" s="677">
        <v>0.12523372708632999</v>
      </c>
      <c r="S81" s="413">
        <v>0.17072239512988371</v>
      </c>
      <c r="T81" s="957">
        <f t="shared" si="307"/>
        <v>0.15996462614246346</v>
      </c>
      <c r="U81" s="957">
        <f t="shared" si="328"/>
        <v>0.19506726248836448</v>
      </c>
      <c r="V81" s="677">
        <v>0.12432819383259899</v>
      </c>
      <c r="W81" s="413">
        <v>0.18016887054547759</v>
      </c>
      <c r="X81" s="958">
        <f t="shared" si="309"/>
        <v>0.12497176663623052</v>
      </c>
      <c r="Y81" s="958">
        <f t="shared" si="310"/>
        <v>0.17492442898755575</v>
      </c>
      <c r="Z81" s="1855">
        <f t="shared" si="311"/>
        <v>0.15269632322962878</v>
      </c>
      <c r="AA81" s="1855">
        <f t="shared" si="312"/>
        <v>0.19200640445256936</v>
      </c>
      <c r="AB81" s="677">
        <v>0.124536290322581</v>
      </c>
      <c r="AC81" s="413">
        <v>0.18326521700449591</v>
      </c>
      <c r="AD81" s="957">
        <f t="shared" si="313"/>
        <v>0.1477919722308591</v>
      </c>
      <c r="AE81" s="957">
        <f t="shared" si="329"/>
        <v>0.1904371771003889</v>
      </c>
      <c r="AF81" s="677">
        <v>0.12432819383259899</v>
      </c>
      <c r="AG81" s="413">
        <v>0.17844334903754205</v>
      </c>
      <c r="AH81" s="957">
        <f t="shared" si="315"/>
        <v>0.14440955040452177</v>
      </c>
      <c r="AI81" s="957">
        <f t="shared" si="330"/>
        <v>0.18873424642411191</v>
      </c>
      <c r="AJ81" s="677">
        <v>0.124536290322581</v>
      </c>
      <c r="AK81" s="413">
        <v>0.18433567419184038</v>
      </c>
      <c r="AL81" s="958">
        <f t="shared" si="317"/>
        <v>0.1244684614939382</v>
      </c>
      <c r="AM81" s="958">
        <f t="shared" si="318"/>
        <v>0.18212951078261136</v>
      </c>
      <c r="AN81" s="957">
        <f t="shared" si="319"/>
        <v>0.14183161846967154</v>
      </c>
      <c r="AO81" s="957">
        <f t="shared" si="331"/>
        <v>0.18813429386837063</v>
      </c>
      <c r="AP81" s="677">
        <v>0.124536290322581</v>
      </c>
      <c r="AQ81" s="413">
        <v>0.18385449321168212</v>
      </c>
      <c r="AR81" s="957">
        <f t="shared" si="321"/>
        <v>0.13984569916577358</v>
      </c>
      <c r="AS81" s="957">
        <f t="shared" si="332"/>
        <v>0.1876102629407416</v>
      </c>
      <c r="AT81" s="677">
        <v>0.12603775727309</v>
      </c>
      <c r="AU81" s="677">
        <v>0.15745454450705884</v>
      </c>
      <c r="AV81" s="957">
        <f t="shared" si="323"/>
        <v>0.13857084241189044</v>
      </c>
      <c r="AW81" s="957">
        <f t="shared" si="333"/>
        <v>0.18464253667213992</v>
      </c>
      <c r="AX81" s="677">
        <v>0.124536290322581</v>
      </c>
      <c r="AY81" s="677">
        <v>0.19015144170337894</v>
      </c>
      <c r="AZ81" s="958">
        <f t="shared" si="325"/>
        <v>0.12499719321494958</v>
      </c>
      <c r="BA81" s="958">
        <f t="shared" si="326"/>
        <v>0.17786128192559902</v>
      </c>
      <c r="BB81" s="1855">
        <f t="shared" si="300"/>
        <v>0.12472915703410126</v>
      </c>
      <c r="BC81" s="1855">
        <f t="shared" si="301"/>
        <v>0.1799675441616477</v>
      </c>
      <c r="BD81" s="957">
        <f t="shared" si="327"/>
        <v>0.13724618442549918</v>
      </c>
      <c r="BE81" s="957">
        <v>0.18516591433513349</v>
      </c>
    </row>
    <row r="82" spans="1:57" x14ac:dyDescent="0.25">
      <c r="A82" s="200"/>
      <c r="B82" s="3090" t="s">
        <v>120</v>
      </c>
      <c r="C82" s="355" t="s">
        <v>363</v>
      </c>
      <c r="D82" s="677">
        <v>0.25032378031088098</v>
      </c>
      <c r="E82" s="413">
        <v>0.27759002506751446</v>
      </c>
      <c r="F82" s="677">
        <v>0.26382070916873201</v>
      </c>
      <c r="G82" s="413">
        <v>0.29115046364502567</v>
      </c>
      <c r="H82" s="957">
        <f t="shared" si="302"/>
        <v>0.25718829798511444</v>
      </c>
      <c r="I82" s="957">
        <v>0.28359759230875697</v>
      </c>
      <c r="J82" s="677">
        <v>0.14466950909923201</v>
      </c>
      <c r="K82" s="413">
        <v>0.16219585956451768</v>
      </c>
      <c r="L82" s="958">
        <f t="shared" si="303"/>
        <v>0.19667130419442977</v>
      </c>
      <c r="M82" s="958">
        <f t="shared" si="304"/>
        <v>0.22041038644258196</v>
      </c>
      <c r="N82" s="677">
        <v>0.14421569672432699</v>
      </c>
      <c r="O82" s="413">
        <v>0.17927339866728081</v>
      </c>
      <c r="P82" s="957">
        <f t="shared" si="305"/>
        <v>0.17792468251196589</v>
      </c>
      <c r="Q82" s="957">
        <f t="shared" si="306"/>
        <v>0.20666879016429685</v>
      </c>
      <c r="R82" s="677">
        <v>0.144098006853389</v>
      </c>
      <c r="S82" s="413">
        <v>0.176909204274001</v>
      </c>
      <c r="T82" s="957">
        <f t="shared" si="307"/>
        <v>0.16901320072362869</v>
      </c>
      <c r="U82" s="957">
        <f t="shared" si="328"/>
        <v>0.19874905392884298</v>
      </c>
      <c r="V82" s="677">
        <v>0.14374237389827099</v>
      </c>
      <c r="W82" s="413">
        <v>0.16797935112729587</v>
      </c>
      <c r="X82" s="958">
        <f t="shared" si="309"/>
        <v>0.14402119080313291</v>
      </c>
      <c r="Y82" s="958">
        <f t="shared" si="310"/>
        <v>0.17466272719875661</v>
      </c>
      <c r="Z82" s="1855">
        <f t="shared" si="311"/>
        <v>0.16385903650686887</v>
      </c>
      <c r="AA82" s="1855">
        <f t="shared" si="312"/>
        <v>0.19242745274932052</v>
      </c>
      <c r="AB82" s="677">
        <v>0.143295513388563</v>
      </c>
      <c r="AC82" s="413">
        <v>0.16391740656454246</v>
      </c>
      <c r="AD82" s="957">
        <f t="shared" si="313"/>
        <v>0.16027769356325866</v>
      </c>
      <c r="AE82" s="957">
        <f t="shared" si="329"/>
        <v>0.18730929865974746</v>
      </c>
      <c r="AF82" s="677">
        <v>0.14374237389827099</v>
      </c>
      <c r="AG82" s="413">
        <v>0.15296674746610975</v>
      </c>
      <c r="AH82" s="957">
        <f t="shared" si="315"/>
        <v>0.15789404395700149</v>
      </c>
      <c r="AI82" s="957">
        <f t="shared" si="330"/>
        <v>0.1824332087556057</v>
      </c>
      <c r="AJ82" s="677">
        <v>0.143295513388563</v>
      </c>
      <c r="AK82" s="413">
        <v>0.1477579583705389</v>
      </c>
      <c r="AL82" s="958">
        <f t="shared" si="317"/>
        <v>0.14344116709441282</v>
      </c>
      <c r="AM82" s="958">
        <f t="shared" si="318"/>
        <v>0.1548701881825342</v>
      </c>
      <c r="AN82" s="957">
        <f t="shared" si="319"/>
        <v>0.15600034267200377</v>
      </c>
      <c r="AO82" s="957">
        <f t="shared" si="331"/>
        <v>0.1777036046952567</v>
      </c>
      <c r="AP82" s="677">
        <v>0.143295513388563</v>
      </c>
      <c r="AQ82" s="413">
        <v>0.14352344428850114</v>
      </c>
      <c r="AR82" s="957">
        <f t="shared" si="321"/>
        <v>0.15454152295420864</v>
      </c>
      <c r="AS82" s="957">
        <f t="shared" si="332"/>
        <v>0.1735184889384119</v>
      </c>
      <c r="AT82" s="677">
        <v>0.142442370817772</v>
      </c>
      <c r="AU82" s="677">
        <v>0.1662065249734315</v>
      </c>
      <c r="AV82" s="957">
        <f t="shared" si="323"/>
        <v>0.1534244349814117</v>
      </c>
      <c r="AW82" s="957">
        <f t="shared" si="333"/>
        <v>0.17279889382806288</v>
      </c>
      <c r="AX82" s="677">
        <v>0.143295513388563</v>
      </c>
      <c r="AY82" s="677">
        <v>0.16219933536718406</v>
      </c>
      <c r="AZ82" s="958">
        <f t="shared" si="325"/>
        <v>0.14303362558720512</v>
      </c>
      <c r="BA82" s="958">
        <f t="shared" si="326"/>
        <v>0.15696245067486053</v>
      </c>
      <c r="BB82" s="1855">
        <f t="shared" si="300"/>
        <v>0.14324022538969125</v>
      </c>
      <c r="BC82" s="1855">
        <f t="shared" si="301"/>
        <v>0.15592997242143983</v>
      </c>
      <c r="BD82" s="957">
        <f t="shared" si="327"/>
        <v>0.1524684118182843</v>
      </c>
      <c r="BE82" s="957">
        <v>0.17175624565086695</v>
      </c>
    </row>
    <row r="83" spans="1:57" x14ac:dyDescent="0.25">
      <c r="A83" s="200"/>
      <c r="B83" s="3090" t="s">
        <v>121</v>
      </c>
      <c r="C83" s="355" t="s">
        <v>363</v>
      </c>
      <c r="D83" s="677">
        <v>0.31379800827096799</v>
      </c>
      <c r="E83" s="413">
        <v>0.36919119275768592</v>
      </c>
      <c r="F83" s="677">
        <v>0.43627632903417302</v>
      </c>
      <c r="G83" s="413">
        <v>0.47447358568052422</v>
      </c>
      <c r="H83" s="957">
        <f t="shared" si="302"/>
        <v>0.37609029760910145</v>
      </c>
      <c r="I83" s="957">
        <v>0.41627719513883499</v>
      </c>
      <c r="J83" s="677">
        <v>0.204379606693112</v>
      </c>
      <c r="K83" s="413">
        <v>0.21219835645584309</v>
      </c>
      <c r="L83" s="958">
        <f t="shared" si="303"/>
        <v>0.28373758995157261</v>
      </c>
      <c r="M83" s="958">
        <f t="shared" si="304"/>
        <v>0.31005818737591634</v>
      </c>
      <c r="N83" s="677">
        <v>0.204429305953027</v>
      </c>
      <c r="O83" s="413">
        <v>0.29267364136144713</v>
      </c>
      <c r="P83" s="957">
        <f t="shared" si="305"/>
        <v>0.25539433995197008</v>
      </c>
      <c r="Q83" s="957">
        <f t="shared" si="306"/>
        <v>0.30425097042272131</v>
      </c>
      <c r="R83" s="677">
        <v>0.203835380827907</v>
      </c>
      <c r="S83" s="413">
        <v>0.30610819011447571</v>
      </c>
      <c r="T83" s="957">
        <f t="shared" si="307"/>
        <v>0.24181136981629225</v>
      </c>
      <c r="U83" s="957">
        <f t="shared" si="328"/>
        <v>0.30474522091882056</v>
      </c>
      <c r="V83" s="677">
        <v>0.203431828448739</v>
      </c>
      <c r="W83" s="413">
        <v>0.3844623880432772</v>
      </c>
      <c r="X83" s="958">
        <f t="shared" si="309"/>
        <v>0.20390300660316857</v>
      </c>
      <c r="Y83" s="958">
        <f t="shared" si="310"/>
        <v>0.32814744090151299</v>
      </c>
      <c r="Z83" s="1855">
        <f t="shared" si="311"/>
        <v>0.23398359037166397</v>
      </c>
      <c r="AA83" s="1855">
        <f t="shared" si="312"/>
        <v>0.32112302414208793</v>
      </c>
      <c r="AB83" s="677">
        <v>0.20234004743602799</v>
      </c>
      <c r="AC83" s="413">
        <v>0.34561362943148299</v>
      </c>
      <c r="AD83" s="957">
        <f t="shared" si="313"/>
        <v>0.22847255130742489</v>
      </c>
      <c r="AE83" s="957">
        <f t="shared" si="329"/>
        <v>0.3255196038882463</v>
      </c>
      <c r="AF83" s="677">
        <v>0.201632308206492</v>
      </c>
      <c r="AG83" s="413">
        <v>0.36746653479919489</v>
      </c>
      <c r="AH83" s="957">
        <f t="shared" si="315"/>
        <v>0.22460339508936553</v>
      </c>
      <c r="AI83" s="957">
        <f t="shared" si="330"/>
        <v>0.33147539340345566</v>
      </c>
      <c r="AJ83" s="677">
        <v>0.20174575179154799</v>
      </c>
      <c r="AK83" s="413">
        <v>0.32262736174028805</v>
      </c>
      <c r="AL83" s="958">
        <f t="shared" si="317"/>
        <v>0.20190906797818151</v>
      </c>
      <c r="AM83" s="958">
        <f t="shared" si="318"/>
        <v>0.34445122178958354</v>
      </c>
      <c r="AN83" s="957">
        <f t="shared" si="319"/>
        <v>0.22163833307287201</v>
      </c>
      <c r="AO83" s="957">
        <f t="shared" si="331"/>
        <v>0.33026854742496969</v>
      </c>
      <c r="AP83" s="677">
        <v>0.201151456147067</v>
      </c>
      <c r="AQ83" s="413">
        <v>0.35014255253766952</v>
      </c>
      <c r="AR83" s="957">
        <f t="shared" si="321"/>
        <v>0.21928594727148545</v>
      </c>
      <c r="AS83" s="957">
        <f t="shared" si="332"/>
        <v>0.33270197696301052</v>
      </c>
      <c r="AT83" s="677">
        <v>0.20536059048631899</v>
      </c>
      <c r="AU83" s="677">
        <v>0.33909923003818926</v>
      </c>
      <c r="AV83" s="957">
        <f t="shared" si="323"/>
        <v>0.21800024986011318</v>
      </c>
      <c r="AW83" s="957">
        <f t="shared" si="333"/>
        <v>0.33333155228020456</v>
      </c>
      <c r="AX83" s="677">
        <v>0.201151456147067</v>
      </c>
      <c r="AY83" s="677">
        <v>0.30852877178165949</v>
      </c>
      <c r="AZ83" s="958">
        <f t="shared" si="325"/>
        <v>0.20244352733829205</v>
      </c>
      <c r="BA83" s="958">
        <f t="shared" si="326"/>
        <v>0.33240711590200145</v>
      </c>
      <c r="BB83" s="1855">
        <f t="shared" si="300"/>
        <v>0.20217258757808881</v>
      </c>
      <c r="BC83" s="1855">
        <f t="shared" si="301"/>
        <v>0.33835057541362257</v>
      </c>
      <c r="BD83" s="957">
        <f t="shared" si="327"/>
        <v>0.21640996831703166</v>
      </c>
      <c r="BE83" s="957">
        <v>0.33119609478600109</v>
      </c>
    </row>
    <row r="84" spans="1:57" x14ac:dyDescent="0.25">
      <c r="A84" s="200"/>
      <c r="B84" s="3090" t="s">
        <v>9</v>
      </c>
      <c r="C84" s="355" t="s">
        <v>363</v>
      </c>
      <c r="D84" s="677">
        <v>0.39274007807553302</v>
      </c>
      <c r="E84" s="413">
        <v>0.2779495902129378</v>
      </c>
      <c r="F84" s="677">
        <v>0.354055957704908</v>
      </c>
      <c r="G84" s="413">
        <v>0.39894162886649548</v>
      </c>
      <c r="H84" s="957">
        <f t="shared" si="302"/>
        <v>0.37306539276059453</v>
      </c>
      <c r="I84" s="957">
        <v>0.33175920843046097</v>
      </c>
      <c r="J84" s="677">
        <v>0.17259331837166</v>
      </c>
      <c r="K84" s="413">
        <v>0.18510748625789561</v>
      </c>
      <c r="L84" s="958">
        <f t="shared" si="303"/>
        <v>0.26524369114856261</v>
      </c>
      <c r="M84" s="958">
        <f>+((I84*I$90)+(K84*K$90))/M$90</f>
        <v>0.25542988140949474</v>
      </c>
      <c r="N84" s="677">
        <v>0.17382075284411</v>
      </c>
      <c r="O84" s="413">
        <v>0.17923739881496864</v>
      </c>
      <c r="P84" s="957">
        <f t="shared" si="305"/>
        <v>0.23257089752073867</v>
      </c>
      <c r="Q84" s="957">
        <f>+((M84*M$90)+(O84*O$90))/Q$90</f>
        <v>0.22997817986602712</v>
      </c>
      <c r="R84" s="677">
        <v>0.168342670041356</v>
      </c>
      <c r="S84" s="413">
        <v>0.15517960335371167</v>
      </c>
      <c r="T84" s="957">
        <f t="shared" si="307"/>
        <v>0.21565026703204415</v>
      </c>
      <c r="U84" s="957">
        <f>+((Q84*Q$90)+(S84*S$90))/U$90</f>
        <v>0.21007249304132844</v>
      </c>
      <c r="V84" s="677">
        <v>0.16766218049734299</v>
      </c>
      <c r="W84" s="413">
        <v>0.16505401964661476</v>
      </c>
      <c r="X84" s="958">
        <f t="shared" si="309"/>
        <v>0.16996186054357129</v>
      </c>
      <c r="Y84" s="958">
        <f t="shared" si="310"/>
        <v>0.16615710333420711</v>
      </c>
      <c r="Z84" s="1855">
        <f t="shared" si="311"/>
        <v>0.20586275670809454</v>
      </c>
      <c r="AA84" s="1855">
        <f t="shared" si="312"/>
        <v>0.20082349780897879</v>
      </c>
      <c r="AB84" s="677">
        <v>0.17015624501867699</v>
      </c>
      <c r="AC84" s="413">
        <v>0.16913014864267442</v>
      </c>
      <c r="AD84" s="957">
        <f t="shared" si="313"/>
        <v>0.19964411105364477</v>
      </c>
      <c r="AE84" s="957">
        <f>+((AA84*AA$90)+(AC84*AC$90))/AE$90</f>
        <v>0.1951338737516739</v>
      </c>
      <c r="AF84" s="677">
        <v>0.16869390887383601</v>
      </c>
      <c r="AG84" s="413">
        <v>0.18639026688895646</v>
      </c>
      <c r="AH84" s="957">
        <f t="shared" si="315"/>
        <v>0.19518248353544845</v>
      </c>
      <c r="AI84" s="957">
        <f>+((AE84*AE$90)+(AG84*AG$90))/AI$90</f>
        <v>0.19389242220928007</v>
      </c>
      <c r="AJ84" s="677">
        <v>0.17075054066315701</v>
      </c>
      <c r="AK84" s="413">
        <v>0.18119521865280508</v>
      </c>
      <c r="AL84" s="958">
        <f t="shared" si="317"/>
        <v>0.16987989072609205</v>
      </c>
      <c r="AM84" s="958">
        <f t="shared" si="318"/>
        <v>0.17872626922254164</v>
      </c>
      <c r="AN84" s="957">
        <f t="shared" si="319"/>
        <v>0.19201320554576665</v>
      </c>
      <c r="AO84" s="957">
        <f>+((AI84*AI$90)+(AK84*AK$90))/AO$90</f>
        <v>0.1921605602954107</v>
      </c>
      <c r="AP84" s="677">
        <v>0.171344836307637</v>
      </c>
      <c r="AQ84" s="413">
        <v>0.18440996639391202</v>
      </c>
      <c r="AR84" s="957">
        <f t="shared" si="321"/>
        <v>0.18963998006539337</v>
      </c>
      <c r="AS84" s="957">
        <f>+((AO84*AO$90)+(AQ84*AQ$90))/AS$90</f>
        <v>0.19121155560157502</v>
      </c>
      <c r="AT84" s="677">
        <v>0.16728517634423501</v>
      </c>
      <c r="AU84" s="677">
        <v>0.11327365634778587</v>
      </c>
      <c r="AV84" s="957">
        <f t="shared" si="323"/>
        <v>0.18757601045086655</v>
      </c>
      <c r="AW84" s="957">
        <f>+((AS84*AS$90)+(AU84*AU$90))/AW$90</f>
        <v>0.18354142327016457</v>
      </c>
      <c r="AX84" s="677">
        <v>0.171344836307637</v>
      </c>
      <c r="AY84" s="677">
        <v>7.9742861142675342E-2</v>
      </c>
      <c r="AZ84" s="958">
        <f t="shared" si="325"/>
        <v>0.17009864902490623</v>
      </c>
      <c r="BA84" s="958">
        <f t="shared" si="326"/>
        <v>0.12639887441543196</v>
      </c>
      <c r="BB84" s="1855">
        <f t="shared" si="300"/>
        <v>0.16998775131135335</v>
      </c>
      <c r="BC84" s="1855">
        <f t="shared" si="301"/>
        <v>0.15222111105861269</v>
      </c>
      <c r="BD84" s="957">
        <f t="shared" si="327"/>
        <v>0.18604402322957761</v>
      </c>
      <c r="BE84" s="957">
        <v>0.17329094258620759</v>
      </c>
    </row>
    <row r="85" spans="1:57" x14ac:dyDescent="0.25">
      <c r="A85" s="200"/>
      <c r="B85" s="3090" t="s">
        <v>105</v>
      </c>
      <c r="C85" s="355" t="s">
        <v>363</v>
      </c>
      <c r="D85" s="677">
        <v>0.2005256124</v>
      </c>
      <c r="E85" s="413">
        <v>0.12125342222918319</v>
      </c>
      <c r="F85" s="677">
        <v>0.161335979478261</v>
      </c>
      <c r="G85" s="413">
        <v>0.19248822950163921</v>
      </c>
      <c r="H85" s="957">
        <f t="shared" si="302"/>
        <v>0.18059382416348463</v>
      </c>
      <c r="I85" s="957">
        <v>0.15293416606808399</v>
      </c>
      <c r="J85" s="677">
        <v>5.0771713329603403E-2</v>
      </c>
      <c r="K85" s="413">
        <v>5.7600517395948736E-2</v>
      </c>
      <c r="L85" s="958">
        <f t="shared" si="303"/>
        <v>0.11077042886196174</v>
      </c>
      <c r="M85" s="958">
        <f t="shared" ref="M85:M87" si="334">+((I85*I$90)+(K85*K$90))/M$90</f>
        <v>0.10331488347258368</v>
      </c>
      <c r="N85" s="677">
        <v>5.0738349648293497E-2</v>
      </c>
      <c r="O85" s="413">
        <v>6.2756014543237038E-2</v>
      </c>
      <c r="P85" s="957">
        <f t="shared" si="305"/>
        <v>8.9316122409181339E-2</v>
      </c>
      <c r="Q85" s="957">
        <f t="shared" ref="Q85:Q87" si="335">+((M85*M$90)+(O85*O$90))/Q$90</f>
        <v>8.9766404780480841E-2</v>
      </c>
      <c r="R85" s="677">
        <v>5.0696943685160797E-2</v>
      </c>
      <c r="S85" s="413">
        <v>5.6590370337435233E-2</v>
      </c>
      <c r="T85" s="957">
        <f t="shared" si="307"/>
        <v>7.9142077777858352E-2</v>
      </c>
      <c r="U85" s="957">
        <f t="shared" ref="U85:U87" si="336">+((Q85*Q$90)+(S85*S$90))/U$90</f>
        <v>8.093747002662291E-2</v>
      </c>
      <c r="V85" s="677">
        <v>5.0446335556953999E-2</v>
      </c>
      <c r="W85" s="413">
        <v>5.7141173510217413E-2</v>
      </c>
      <c r="X85" s="958">
        <f t="shared" si="309"/>
        <v>5.0628849880201256E-2</v>
      </c>
      <c r="Y85" s="958">
        <f t="shared" si="310"/>
        <v>5.8738747711442219E-2</v>
      </c>
      <c r="Z85" s="1855">
        <f t="shared" si="311"/>
        <v>7.3289377794969829E-2</v>
      </c>
      <c r="AA85" s="1855">
        <f t="shared" si="312"/>
        <v>7.6048547403723465E-2</v>
      </c>
      <c r="AB85" s="677">
        <v>4.6066514716981102E-2</v>
      </c>
      <c r="AC85" s="413">
        <v>5.7450280056935553E-2</v>
      </c>
      <c r="AD85" s="957">
        <f t="shared" si="313"/>
        <v>6.8548244282569365E-2</v>
      </c>
      <c r="AE85" s="957">
        <f t="shared" ref="AE85:AE87" si="337">+((AA85*AA$90)+(AC85*AC$90))/AE$90</f>
        <v>7.2709766488988997E-2</v>
      </c>
      <c r="AF85" s="677">
        <v>4.6095505601006899E-2</v>
      </c>
      <c r="AG85" s="413">
        <v>5.82649318820316E-2</v>
      </c>
      <c r="AH85" s="957">
        <f t="shared" si="315"/>
        <v>6.5311568923276137E-2</v>
      </c>
      <c r="AI85" s="957">
        <f t="shared" ref="AI85:AI87" si="338">+((AE85*AE$90)+(AG85*AG$90))/AI$90</f>
        <v>7.0658832305420499E-2</v>
      </c>
      <c r="AJ85" s="677">
        <v>4.6066514716981102E-2</v>
      </c>
      <c r="AK85" s="413">
        <v>5.1940487349179706E-2</v>
      </c>
      <c r="AL85" s="958">
        <f t="shared" si="317"/>
        <v>4.6075964264664288E-2</v>
      </c>
      <c r="AM85" s="958">
        <f t="shared" si="318"/>
        <v>5.5788119094612718E-2</v>
      </c>
      <c r="AN85" s="957">
        <f t="shared" si="319"/>
        <v>6.2815126989654205E-2</v>
      </c>
      <c r="AO85" s="957">
        <f t="shared" ref="AO85:AO87" si="339">+((AI85*AI$90)+(AK85*AK$90))/AO$90</f>
        <v>6.8105704085006089E-2</v>
      </c>
      <c r="AP85" s="677">
        <v>4.6066514716981102E-2</v>
      </c>
      <c r="AQ85" s="413">
        <v>4.8822313789973412E-2</v>
      </c>
      <c r="AR85" s="957">
        <f t="shared" si="321"/>
        <v>6.0891983806539825E-2</v>
      </c>
      <c r="AS85" s="957">
        <f t="shared" ref="AS85:AS87" si="340">+((AO85*AO$90)+(AQ85*AQ$90))/AS$90</f>
        <v>6.5744591099907906E-2</v>
      </c>
      <c r="AT85" s="677">
        <v>5.0293931050864597E-2</v>
      </c>
      <c r="AU85" s="677">
        <v>4.8880047134760934E-2</v>
      </c>
      <c r="AV85" s="957">
        <f t="shared" si="323"/>
        <v>5.9913489021539201E-2</v>
      </c>
      <c r="AW85" s="957">
        <f t="shared" ref="AW85:AW87" si="341">+((AS85*AS$90)+(AU85*AU$90))/AW$90</f>
        <v>6.4084894275127535E-2</v>
      </c>
      <c r="AX85" s="677">
        <v>4.6066514716981102E-2</v>
      </c>
      <c r="AY85" s="677">
        <v>5.4778981046315761E-2</v>
      </c>
      <c r="AZ85" s="958">
        <f t="shared" si="325"/>
        <v>4.7364197902663302E-2</v>
      </c>
      <c r="BA85" s="958">
        <f t="shared" si="326"/>
        <v>5.0890217723093101E-2</v>
      </c>
      <c r="BB85" s="1855">
        <f t="shared" si="300"/>
        <v>4.6711138495315691E-2</v>
      </c>
      <c r="BC85" s="1855">
        <f t="shared" si="301"/>
        <v>5.3307207308310414E-2</v>
      </c>
      <c r="BD85" s="957">
        <f t="shared" si="327"/>
        <v>5.8606535655078777E-2</v>
      </c>
      <c r="BE85" s="957">
        <v>6.316590519125298E-2</v>
      </c>
    </row>
    <row r="86" spans="1:57" x14ac:dyDescent="0.25">
      <c r="A86" s="200"/>
      <c r="B86" s="3090" t="s">
        <v>155</v>
      </c>
      <c r="C86" s="355" t="s">
        <v>363</v>
      </c>
      <c r="D86" s="677">
        <v>0.66504001826254</v>
      </c>
      <c r="E86" s="413">
        <v>0.28426034572910586</v>
      </c>
      <c r="F86" s="677">
        <v>0.69144719330035098</v>
      </c>
      <c r="G86" s="413">
        <v>0.33776737684960478</v>
      </c>
      <c r="H86" s="957">
        <f t="shared" si="302"/>
        <v>0.67847066768529274</v>
      </c>
      <c r="I86" s="957">
        <v>0.308042878908663</v>
      </c>
      <c r="J86" s="677">
        <v>0.18972221377072701</v>
      </c>
      <c r="K86" s="413">
        <v>0.15149582812458215</v>
      </c>
      <c r="L86" s="958">
        <f t="shared" si="303"/>
        <v>0.41560268409232709</v>
      </c>
      <c r="M86" s="958">
        <f t="shared" si="334"/>
        <v>0.22656322864308101</v>
      </c>
      <c r="N86" s="677">
        <v>0.179154303322068</v>
      </c>
      <c r="O86" s="413">
        <v>0.16805239354968274</v>
      </c>
      <c r="P86" s="957">
        <f t="shared" si="305"/>
        <v>0.33110059641261447</v>
      </c>
      <c r="Q86" s="957">
        <f t="shared" si="335"/>
        <v>0.20701798925534101</v>
      </c>
      <c r="R86" s="677">
        <v>0.17373186160194101</v>
      </c>
      <c r="S86" s="413">
        <v>0.14748005455017557</v>
      </c>
      <c r="T86" s="957">
        <f t="shared" si="307"/>
        <v>0.2896425285707217</v>
      </c>
      <c r="U86" s="957">
        <f t="shared" si="336"/>
        <v>0.19117352352228989</v>
      </c>
      <c r="V86" s="677">
        <v>0.16774762586227801</v>
      </c>
      <c r="W86" s="413">
        <v>0.14450733419246337</v>
      </c>
      <c r="X86" s="958">
        <f t="shared" si="309"/>
        <v>0.17359660423555157</v>
      </c>
      <c r="Y86" s="958">
        <f t="shared" si="310"/>
        <v>0.15303260325393955</v>
      </c>
      <c r="Z86" s="1855">
        <f t="shared" si="311"/>
        <v>0.26478119933574562</v>
      </c>
      <c r="AA86" s="1855">
        <f t="shared" si="312"/>
        <v>0.181586006885749</v>
      </c>
      <c r="AB86" s="677">
        <v>0.168272029116453</v>
      </c>
      <c r="AC86" s="413">
        <v>0.14491837362742382</v>
      </c>
      <c r="AD86" s="957">
        <f t="shared" si="313"/>
        <v>0.24797316338927625</v>
      </c>
      <c r="AE86" s="957">
        <f t="shared" si="337"/>
        <v>0.17500339400958109</v>
      </c>
      <c r="AF86" s="677">
        <v>0.167894623219106</v>
      </c>
      <c r="AG86" s="413">
        <v>0.14273708940504931</v>
      </c>
      <c r="AH86" s="957">
        <f t="shared" si="315"/>
        <v>0.23642943852555617</v>
      </c>
      <c r="AI86" s="957">
        <f t="shared" si="338"/>
        <v>0.17042209772675668</v>
      </c>
      <c r="AJ86" s="677">
        <v>0.16773405589673299</v>
      </c>
      <c r="AK86" s="413">
        <v>0.1338031379597083</v>
      </c>
      <c r="AL86" s="958">
        <f t="shared" si="317"/>
        <v>0.16796770353220442</v>
      </c>
      <c r="AM86" s="958">
        <f t="shared" si="318"/>
        <v>0.14036893350186533</v>
      </c>
      <c r="AN86" s="957">
        <f t="shared" si="319"/>
        <v>0.22751836807584541</v>
      </c>
      <c r="AO86" s="957">
        <f t="shared" si="339"/>
        <v>0.16542737731733823</v>
      </c>
      <c r="AP86" s="677">
        <v>0.167196082677013</v>
      </c>
      <c r="AQ86" s="413">
        <v>0.11424219470383294</v>
      </c>
      <c r="AR86" s="957">
        <f t="shared" si="321"/>
        <v>0.22059192007728956</v>
      </c>
      <c r="AS86" s="957">
        <f t="shared" si="340"/>
        <v>0.15916011842435715</v>
      </c>
      <c r="AT86" s="677">
        <v>0.17041387105224201</v>
      </c>
      <c r="AU86" s="677">
        <v>0.13697611718251357</v>
      </c>
      <c r="AV86" s="957">
        <f t="shared" si="323"/>
        <v>0.21595909172434305</v>
      </c>
      <c r="AW86" s="957">
        <f t="shared" si="341"/>
        <v>0.15697691581312123</v>
      </c>
      <c r="AX86" s="677">
        <v>0.167196082677013</v>
      </c>
      <c r="AY86" s="677">
        <v>0.14864132565353827</v>
      </c>
      <c r="AZ86" s="958">
        <f t="shared" si="325"/>
        <v>0.16818384199377337</v>
      </c>
      <c r="BA86" s="958">
        <f t="shared" si="326"/>
        <v>0.13310825746991195</v>
      </c>
      <c r="BB86" s="1855">
        <f t="shared" si="300"/>
        <v>0.16807427238508305</v>
      </c>
      <c r="BC86" s="1855">
        <f t="shared" si="301"/>
        <v>0.13669121617400354</v>
      </c>
      <c r="BD86" s="957">
        <f t="shared" si="327"/>
        <v>0.21135657153246479</v>
      </c>
      <c r="BE86" s="957">
        <v>0.15615716750364922</v>
      </c>
    </row>
    <row r="87" spans="1:57" x14ac:dyDescent="0.25">
      <c r="A87" s="200"/>
      <c r="B87" s="3090" t="s">
        <v>67</v>
      </c>
      <c r="C87" s="355" t="s">
        <v>363</v>
      </c>
      <c r="D87" s="677">
        <v>0.186594848341089</v>
      </c>
      <c r="E87" s="413">
        <v>0.57862821597136249</v>
      </c>
      <c r="F87" s="677">
        <v>0.18150663906388201</v>
      </c>
      <c r="G87" s="413">
        <v>0.81463875639719951</v>
      </c>
      <c r="H87" s="957">
        <f t="shared" si="302"/>
        <v>0.18400699277176305</v>
      </c>
      <c r="I87" s="957">
        <v>0.683367605791388</v>
      </c>
      <c r="J87" s="677">
        <v>6.3262106039527505E-2</v>
      </c>
      <c r="K87" s="413">
        <v>0.23490135237980209</v>
      </c>
      <c r="L87" s="958">
        <f t="shared" si="303"/>
        <v>0.11906568267605479</v>
      </c>
      <c r="M87" s="958">
        <f t="shared" si="334"/>
        <v>0.44994977197801728</v>
      </c>
      <c r="N87" s="677">
        <v>6.3220534530384398E-2</v>
      </c>
      <c r="O87" s="413">
        <v>0.25522808671376634</v>
      </c>
      <c r="P87" s="957">
        <f t="shared" si="305"/>
        <v>9.9107704576483255E-2</v>
      </c>
      <c r="Q87" s="957">
        <f t="shared" si="335"/>
        <v>0.38490400829341453</v>
      </c>
      <c r="R87" s="677">
        <v>6.3168942250774601E-2</v>
      </c>
      <c r="S87" s="413">
        <v>0.2360613637139545</v>
      </c>
      <c r="T87" s="957">
        <f t="shared" si="307"/>
        <v>8.963980329072016E-2</v>
      </c>
      <c r="U87" s="957">
        <f t="shared" si="336"/>
        <v>0.34529342735313628</v>
      </c>
      <c r="V87" s="677">
        <v>6.2856681802164902E-2</v>
      </c>
      <c r="W87" s="413">
        <v>0.20462604829600184</v>
      </c>
      <c r="X87" s="958">
        <f t="shared" si="309"/>
        <v>6.3084096630497424E-2</v>
      </c>
      <c r="Y87" s="958">
        <f t="shared" si="310"/>
        <v>0.23160639826065701</v>
      </c>
      <c r="Z87" s="1855">
        <f t="shared" si="311"/>
        <v>8.417719586028484E-2</v>
      </c>
      <c r="AA87" s="1855">
        <f t="shared" si="312"/>
        <v>0.3163934709543631</v>
      </c>
      <c r="AB87" s="677">
        <v>6.2817149297886801E-2</v>
      </c>
      <c r="AC87" s="413">
        <v>0.16160333400762819</v>
      </c>
      <c r="AD87" s="957">
        <f t="shared" si="313"/>
        <v>8.0457130403051469E-2</v>
      </c>
      <c r="AE87" s="957">
        <f t="shared" si="337"/>
        <v>0.28860537944076564</v>
      </c>
      <c r="AF87" s="677">
        <v>6.2856681802164902E-2</v>
      </c>
      <c r="AG87" s="413">
        <v>0.20490726396012648</v>
      </c>
      <c r="AH87" s="957">
        <f t="shared" si="315"/>
        <v>7.7919937096393693E-2</v>
      </c>
      <c r="AI87" s="957">
        <f t="shared" si="338"/>
        <v>0.27672159324242274</v>
      </c>
      <c r="AJ87" s="677">
        <v>6.2817149297886801E-2</v>
      </c>
      <c r="AK87" s="413">
        <v>0.15159747448935618</v>
      </c>
      <c r="AL87" s="958">
        <f t="shared" si="317"/>
        <v>6.2830034875431776E-2</v>
      </c>
      <c r="AM87" s="958">
        <f t="shared" si="318"/>
        <v>0.17166630233910707</v>
      </c>
      <c r="AN87" s="957">
        <f t="shared" si="319"/>
        <v>7.5960824257810283E-2</v>
      </c>
      <c r="AO87" s="957">
        <f t="shared" si="339"/>
        <v>0.25965502462272066</v>
      </c>
      <c r="AP87" s="677">
        <v>6.2817149297886801E-2</v>
      </c>
      <c r="AQ87" s="413">
        <v>0.14088469984747748</v>
      </c>
      <c r="AR87" s="957">
        <f t="shared" si="321"/>
        <v>7.4451614510236755E-2</v>
      </c>
      <c r="AS87" s="957">
        <f t="shared" si="340"/>
        <v>0.24511244928816484</v>
      </c>
      <c r="AT87" s="677">
        <v>6.4047761138965806E-2</v>
      </c>
      <c r="AU87" s="677">
        <v>0.3556200932865875</v>
      </c>
      <c r="AV87" s="957">
        <f t="shared" si="323"/>
        <v>7.3491049725139937E-2</v>
      </c>
      <c r="AW87" s="957">
        <f t="shared" si="341"/>
        <v>0.25598788038414844</v>
      </c>
      <c r="AX87" s="677">
        <v>6.2817149297886801E-2</v>
      </c>
      <c r="AY87" s="677">
        <v>0.41955635075816855</v>
      </c>
      <c r="AZ87" s="958">
        <f t="shared" si="325"/>
        <v>6.3194908233402541E-2</v>
      </c>
      <c r="BA87" s="958">
        <f t="shared" si="326"/>
        <v>0.30316886717834018</v>
      </c>
      <c r="BB87" s="1855">
        <f t="shared" si="300"/>
        <v>6.3009938696911127E-2</v>
      </c>
      <c r="BC87" s="1855">
        <f t="shared" si="301"/>
        <v>0.2382757005878543</v>
      </c>
      <c r="BD87" s="957">
        <f t="shared" si="327"/>
        <v>7.2483588471162624E-2</v>
      </c>
      <c r="BE87" s="957">
        <v>0.2718747184747789</v>
      </c>
    </row>
    <row r="88" spans="1:57" ht="15.75" x14ac:dyDescent="0.25">
      <c r="A88" s="200"/>
      <c r="B88" s="3091" t="s">
        <v>156</v>
      </c>
      <c r="C88" s="2427" t="s">
        <v>363</v>
      </c>
      <c r="D88" s="3092">
        <f t="shared" ref="D88:I88" si="342">SUM(D76:D87)</f>
        <v>7.3209957350683252</v>
      </c>
      <c r="E88" s="3093">
        <f t="shared" si="342"/>
        <v>7.1032828575590443</v>
      </c>
      <c r="F88" s="3093">
        <f t="shared" si="342"/>
        <v>8.2518494653584487</v>
      </c>
      <c r="G88" s="3093">
        <f t="shared" si="342"/>
        <v>8.3854789583946889</v>
      </c>
      <c r="H88" s="3094">
        <f t="shared" si="342"/>
        <v>7.7944265392905621</v>
      </c>
      <c r="I88" s="3094">
        <f t="shared" si="342"/>
        <v>7.6781476646553593</v>
      </c>
      <c r="J88" s="3092">
        <f t="shared" ref="J88:Q88" si="343">SUM(J76:J87)</f>
        <v>5.817217552284311</v>
      </c>
      <c r="K88" s="3093">
        <f t="shared" si="343"/>
        <v>6.2324448409226454</v>
      </c>
      <c r="L88" s="3095">
        <f t="shared" si="343"/>
        <v>6.7310064191993462</v>
      </c>
      <c r="M88" s="3095">
        <f t="shared" si="343"/>
        <v>6.9256878778007609</v>
      </c>
      <c r="N88" s="3092">
        <f t="shared" si="343"/>
        <v>5.8872140984238772</v>
      </c>
      <c r="O88" s="3093">
        <f t="shared" si="343"/>
        <v>6.2565281827853498</v>
      </c>
      <c r="P88" s="3094">
        <f t="shared" si="343"/>
        <v>6.4294513294949418</v>
      </c>
      <c r="Q88" s="3094">
        <f t="shared" si="343"/>
        <v>6.7021585706762581</v>
      </c>
      <c r="R88" s="3092">
        <f t="shared" ref="R88:U88" si="344">SUM(R76:R87)</f>
        <v>5.8930627350847073</v>
      </c>
      <c r="S88" s="3093">
        <f t="shared" si="344"/>
        <v>6.0410060729797577</v>
      </c>
      <c r="T88" s="3094">
        <f t="shared" si="344"/>
        <v>6.2881422266198976</v>
      </c>
      <c r="U88" s="3094">
        <f t="shared" si="344"/>
        <v>6.5262101078021413</v>
      </c>
      <c r="V88" s="3092">
        <f t="shared" ref="V88:W88" si="345">SUM(V76:V87)</f>
        <v>5.8835537304144543</v>
      </c>
      <c r="W88" s="3093">
        <f t="shared" si="345"/>
        <v>6.0824688404174054</v>
      </c>
      <c r="X88" s="3095">
        <f t="shared" ref="X88:AE88" si="346">SUM(X76:X87)</f>
        <v>5.8879842709974533</v>
      </c>
      <c r="Y88" s="3095">
        <f t="shared" si="346"/>
        <v>6.1235628727586429</v>
      </c>
      <c r="Z88" s="3096">
        <f t="shared" si="346"/>
        <v>6.2056235356381553</v>
      </c>
      <c r="AA88" s="3096">
        <f t="shared" si="346"/>
        <v>6.4350439585093016</v>
      </c>
      <c r="AB88" s="3092">
        <f t="shared" si="346"/>
        <v>5.8274836302956752</v>
      </c>
      <c r="AC88" s="3093">
        <f t="shared" si="346"/>
        <v>6.1103524416204937</v>
      </c>
      <c r="AD88" s="3094">
        <f t="shared" si="346"/>
        <v>6.1397666941862088</v>
      </c>
      <c r="AE88" s="3094">
        <f t="shared" si="346"/>
        <v>6.3767549889214017</v>
      </c>
      <c r="AF88" s="3092">
        <f t="shared" ref="AF88:AI88" si="347">SUM(AF76:AF87)</f>
        <v>5.8408092650650092</v>
      </c>
      <c r="AG88" s="3093">
        <f t="shared" si="347"/>
        <v>6.171426031960082</v>
      </c>
      <c r="AH88" s="3094">
        <f t="shared" si="347"/>
        <v>6.0966704751441716</v>
      </c>
      <c r="AI88" s="3094">
        <f t="shared" si="347"/>
        <v>6.3476015795424123</v>
      </c>
      <c r="AJ88" s="3092">
        <f t="shared" ref="AJ88:AO88" si="348">SUM(AJ76:AJ87)</f>
        <v>5.8435620698832871</v>
      </c>
      <c r="AK88" s="3093">
        <f t="shared" si="348"/>
        <v>6.1066156311709205</v>
      </c>
      <c r="AL88" s="3095">
        <f t="shared" si="348"/>
        <v>5.8372459461273314</v>
      </c>
      <c r="AM88" s="3095">
        <f t="shared" si="348"/>
        <v>6.1281543560812048</v>
      </c>
      <c r="AN88" s="3094">
        <f t="shared" si="348"/>
        <v>6.0638376013121631</v>
      </c>
      <c r="AO88" s="3094">
        <f t="shared" si="348"/>
        <v>6.3147317918048245</v>
      </c>
      <c r="AP88" s="3092">
        <f t="shared" ref="AP88:AS88" si="349">SUM(AP76:AP87)</f>
        <v>5.7623995856445731</v>
      </c>
      <c r="AQ88" s="3093">
        <f t="shared" si="349"/>
        <v>6.1598176813392094</v>
      </c>
      <c r="AR88" s="3094">
        <f t="shared" si="349"/>
        <v>6.0292252731070084</v>
      </c>
      <c r="AS88" s="3094">
        <f t="shared" si="349"/>
        <v>6.2957636688659084</v>
      </c>
      <c r="AT88" s="3092">
        <f t="shared" ref="AT88:AW88" si="350">SUM(AT76:AT87)</f>
        <v>5.7941094703269647</v>
      </c>
      <c r="AU88" s="3093">
        <f t="shared" si="350"/>
        <v>6.2728732321019187</v>
      </c>
      <c r="AV88" s="3094">
        <f t="shared" si="350"/>
        <v>6.0075175507361882</v>
      </c>
      <c r="AW88" s="3094">
        <f t="shared" si="350"/>
        <v>6.2935109435450496</v>
      </c>
      <c r="AX88" s="3092">
        <f t="shared" ref="AX88:BE88" si="351">SUM(AX76:AX87)</f>
        <v>5.7623995856445731</v>
      </c>
      <c r="AY88" s="3093">
        <f t="shared" si="351"/>
        <v>6.3184260217605566</v>
      </c>
      <c r="AZ88" s="3095">
        <f t="shared" si="351"/>
        <v>5.7721335178911888</v>
      </c>
      <c r="BA88" s="3095">
        <f t="shared" si="351"/>
        <v>6.249350780872283</v>
      </c>
      <c r="BB88" s="3096">
        <f t="shared" ref="BB88:BC88" si="352">SUM(BB76:BB87)</f>
        <v>5.8051417258284603</v>
      </c>
      <c r="BC88" s="3096">
        <f t="shared" si="352"/>
        <v>6.1895434319148412</v>
      </c>
      <c r="BD88" s="3094">
        <f t="shared" si="351"/>
        <v>5.9843819730561618</v>
      </c>
      <c r="BE88" s="3094">
        <f t="shared" si="351"/>
        <v>6.3006370372485003</v>
      </c>
    </row>
    <row r="89" spans="1:57" x14ac:dyDescent="0.25">
      <c r="A89" s="200"/>
      <c r="B89" s="700"/>
      <c r="C89" s="700"/>
      <c r="D89" s="1791"/>
      <c r="E89" s="700"/>
      <c r="F89" s="1791"/>
      <c r="G89" s="700"/>
      <c r="H89" s="700"/>
      <c r="I89" s="700"/>
      <c r="J89" s="1791"/>
      <c r="K89" s="700"/>
      <c r="L89" s="700"/>
      <c r="M89" s="700"/>
      <c r="N89" s="1791"/>
      <c r="O89" s="700"/>
      <c r="P89" s="700"/>
      <c r="Q89" s="700"/>
      <c r="R89" s="1791"/>
      <c r="S89" s="700"/>
      <c r="T89" s="700"/>
      <c r="U89" s="700"/>
      <c r="V89" s="1791"/>
      <c r="W89" s="700"/>
      <c r="X89" s="700"/>
      <c r="Y89" s="700"/>
      <c r="Z89" s="700"/>
      <c r="AA89" s="700"/>
      <c r="AB89" s="1791"/>
      <c r="AC89" s="700"/>
      <c r="AD89" s="700"/>
      <c r="AE89" s="700"/>
      <c r="AF89" s="1791"/>
      <c r="AG89" s="700"/>
      <c r="AH89" s="700"/>
      <c r="AI89" s="700"/>
      <c r="AJ89" s="1791"/>
      <c r="AK89" s="700"/>
      <c r="AL89" s="700"/>
      <c r="AM89" s="700"/>
      <c r="AN89" s="700"/>
      <c r="AO89" s="700"/>
      <c r="AP89" s="1791"/>
      <c r="AQ89" s="700"/>
      <c r="AR89" s="700"/>
      <c r="AS89" s="700"/>
      <c r="AT89" s="1791"/>
      <c r="AU89" s="700"/>
      <c r="AV89" s="700"/>
      <c r="AW89" s="700"/>
      <c r="AX89" s="1791"/>
      <c r="AY89" s="700"/>
      <c r="AZ89" s="700"/>
      <c r="BA89" s="700"/>
      <c r="BB89" s="700"/>
      <c r="BC89" s="700"/>
      <c r="BD89" s="700"/>
      <c r="BE89" s="700"/>
    </row>
    <row r="90" spans="1:57" s="200" customFormat="1" x14ac:dyDescent="0.25">
      <c r="B90" s="700" t="s">
        <v>300</v>
      </c>
      <c r="C90" s="2799" t="s">
        <v>53</v>
      </c>
      <c r="D90" s="980">
        <f>+SMS!E5</f>
        <v>93897</v>
      </c>
      <c r="E90" s="929">
        <f>+SMS!F5</f>
        <v>99859</v>
      </c>
      <c r="F90" s="980">
        <f>+SMS!G5</f>
        <v>97183</v>
      </c>
      <c r="G90" s="929">
        <f>+SMS!H5</f>
        <v>79982</v>
      </c>
      <c r="H90" s="929">
        <f>+SMS!I5</f>
        <v>191080</v>
      </c>
      <c r="I90" s="929">
        <f>+SMS!J5</f>
        <v>179841</v>
      </c>
      <c r="J90" s="980">
        <f>+SMS!K5</f>
        <v>222369</v>
      </c>
      <c r="K90" s="929">
        <f>+SMS!L5</f>
        <v>195203</v>
      </c>
      <c r="L90" s="929">
        <f>+SMS!M5</f>
        <v>413449</v>
      </c>
      <c r="M90" s="929">
        <f>+SMS!N5</f>
        <v>375044</v>
      </c>
      <c r="N90" s="980">
        <f>+SMS!O5</f>
        <v>229931.92488262913</v>
      </c>
      <c r="O90" s="929">
        <f>+SMS!P5</f>
        <v>188123</v>
      </c>
      <c r="P90" s="929">
        <f>+SMS!Q5</f>
        <v>643380.92488262919</v>
      </c>
      <c r="Q90" s="929">
        <f>+SMS!R5</f>
        <v>563167</v>
      </c>
      <c r="R90" s="980">
        <f>+SMS!S5</f>
        <v>230119.71830985916</v>
      </c>
      <c r="S90" s="929">
        <f>+SMS!T5</f>
        <v>204220</v>
      </c>
      <c r="T90" s="929">
        <f>+SMS!U5</f>
        <v>873500.64319248835</v>
      </c>
      <c r="U90" s="929">
        <f>+SMS!V5</f>
        <v>767387</v>
      </c>
      <c r="V90" s="980">
        <f>+SMS!W5</f>
        <v>223802.81690140846</v>
      </c>
      <c r="W90" s="929">
        <f>+SMS!X5</f>
        <v>198425</v>
      </c>
      <c r="X90" s="929">
        <f>+SMS!Y5</f>
        <v>683854.46009389672</v>
      </c>
      <c r="Y90" s="929">
        <f>+SMS!Z5</f>
        <v>590768</v>
      </c>
      <c r="Z90" s="929">
        <f>+SMS!AA5</f>
        <v>1097303.4600938968</v>
      </c>
      <c r="AA90" s="929">
        <f>+SMS!AB5</f>
        <v>965812</v>
      </c>
      <c r="AB90" s="980">
        <f>+SMS!AC5</f>
        <v>231408.45070422534</v>
      </c>
      <c r="AC90" s="929">
        <f>+SMS!AD5</f>
        <v>211320</v>
      </c>
      <c r="AD90" s="929">
        <f>+SMS!AE5</f>
        <v>1328711.9107981222</v>
      </c>
      <c r="AE90" s="929">
        <f>+SMS!AF5</f>
        <v>1177132</v>
      </c>
      <c r="AF90" s="980">
        <f>+SMS!AG5</f>
        <v>223802.81690140846</v>
      </c>
      <c r="AG90" s="929">
        <f>+SMS!AH5</f>
        <v>194791</v>
      </c>
      <c r="AH90" s="929">
        <f>+SMS!AI5</f>
        <v>1552514.7276995305</v>
      </c>
      <c r="AI90" s="929">
        <f>+SMS!AJ5</f>
        <v>1371923</v>
      </c>
      <c r="AJ90" s="980">
        <f>+SMS!AK5</f>
        <v>231408</v>
      </c>
      <c r="AK90" s="929">
        <f>+SMS!AL5</f>
        <v>216681</v>
      </c>
      <c r="AL90" s="980">
        <f>+SMS!AM5</f>
        <v>686619.26760563382</v>
      </c>
      <c r="AM90" s="929">
        <f>+SMS!AN5</f>
        <v>622792</v>
      </c>
      <c r="AN90" s="980">
        <f>+SMS!AO5</f>
        <v>1783922.7276995305</v>
      </c>
      <c r="AO90" s="929">
        <f>+SMS!AP5</f>
        <v>1588604</v>
      </c>
      <c r="AP90" s="980">
        <f>+SMS!AQ5</f>
        <v>231408.45070422534</v>
      </c>
      <c r="AQ90" s="929">
        <f>+SMS!AR5</f>
        <v>221653</v>
      </c>
      <c r="AR90" s="929">
        <f>+SMS!AS5</f>
        <v>2015331.1784037559</v>
      </c>
      <c r="AS90" s="929">
        <f>+SMS!AT5</f>
        <v>1810257</v>
      </c>
      <c r="AT90" s="980">
        <f>+SMS!AU5</f>
        <v>204998.0938967136</v>
      </c>
      <c r="AU90" s="929">
        <f>+SMS!AV5</f>
        <v>197600</v>
      </c>
      <c r="AV90" s="929">
        <f>+SMS!AW5</f>
        <v>2220329.2723004697</v>
      </c>
      <c r="AW90" s="929">
        <f>+SMS!AX5</f>
        <v>2007857</v>
      </c>
      <c r="AX90" s="980">
        <f>+SMS!AY5</f>
        <v>231408.45070422534</v>
      </c>
      <c r="AY90" s="929">
        <f>+SMS!AZ5</f>
        <v>220010</v>
      </c>
      <c r="AZ90" s="980">
        <f>+SMS!BA5</f>
        <v>667814.99530516425</v>
      </c>
      <c r="BA90" s="929">
        <f>+SMS!BB5</f>
        <v>639263</v>
      </c>
      <c r="BB90" s="929">
        <f>+SMS!BC5</f>
        <v>1354434.2629107982</v>
      </c>
      <c r="BC90" s="929">
        <f>+SMS!BD5</f>
        <v>1262055</v>
      </c>
      <c r="BD90" s="929">
        <f>+SMS!BE5</f>
        <v>2451737.723004695</v>
      </c>
      <c r="BE90" s="929">
        <f>+SMS!BF5</f>
        <v>2227867</v>
      </c>
    </row>
    <row r="91" spans="1:57" ht="15" hidden="1" customHeight="1" x14ac:dyDescent="0.25">
      <c r="A91" s="200"/>
      <c r="R91" s="334"/>
      <c r="S91" s="1721"/>
      <c r="T91" s="189"/>
      <c r="U91" s="1721"/>
      <c r="V91" s="334"/>
      <c r="W91" s="1726"/>
      <c r="X91" s="189"/>
      <c r="Z91" s="1224"/>
      <c r="AA91" s="1224"/>
      <c r="AC91" s="1726"/>
      <c r="AD91" s="189"/>
      <c r="AE91" s="1726"/>
      <c r="AF91" s="334"/>
      <c r="AG91" s="1726"/>
      <c r="AH91" s="189"/>
      <c r="AI91" s="1726"/>
      <c r="AJ91" s="334"/>
      <c r="AK91" s="1726"/>
      <c r="AL91" s="189"/>
      <c r="AN91" s="1359"/>
      <c r="AO91" s="1359"/>
      <c r="AP91" s="334"/>
      <c r="AQ91" s="1726"/>
      <c r="AR91" s="189"/>
      <c r="AS91" s="1726"/>
      <c r="AT91" s="334"/>
      <c r="AU91" s="1726"/>
      <c r="AV91" s="189"/>
      <c r="AW91" s="1726"/>
      <c r="AX91" s="334"/>
      <c r="AY91" s="4390"/>
      <c r="AZ91" s="189"/>
      <c r="BD91" s="189"/>
      <c r="BE91" s="4390"/>
    </row>
    <row r="92" spans="1:57" ht="15.75" hidden="1" customHeight="1" thickBot="1" x14ac:dyDescent="0.25">
      <c r="A92" s="200"/>
      <c r="R92" s="334"/>
      <c r="S92" s="1721"/>
      <c r="T92" s="189"/>
      <c r="U92" s="1721"/>
      <c r="V92" s="334"/>
      <c r="W92" s="1726"/>
      <c r="X92" s="189"/>
      <c r="Z92" s="1224"/>
      <c r="AA92" s="1224"/>
      <c r="AC92" s="1726"/>
      <c r="AD92" s="189"/>
      <c r="AE92" s="1726"/>
      <c r="AF92" s="334"/>
      <c r="AG92" s="1726"/>
      <c r="AH92" s="189"/>
      <c r="AI92" s="1726"/>
      <c r="AJ92" s="334"/>
      <c r="AK92" s="1726"/>
      <c r="AL92" s="189"/>
      <c r="AN92" s="1359"/>
      <c r="AO92" s="1359"/>
      <c r="AP92" s="334"/>
      <c r="AQ92" s="1726"/>
      <c r="AR92" s="189"/>
      <c r="AS92" s="1726"/>
      <c r="AT92" s="334"/>
      <c r="AU92" s="1726"/>
      <c r="AV92" s="189"/>
      <c r="AW92" s="1726"/>
      <c r="AX92" s="334"/>
      <c r="AY92" s="4390"/>
      <c r="AZ92" s="189"/>
      <c r="BD92" s="189"/>
      <c r="BE92" s="4390"/>
    </row>
    <row r="93" spans="1:57" ht="20.25" hidden="1" customHeight="1" x14ac:dyDescent="0.25">
      <c r="A93" s="200"/>
      <c r="B93" s="1038" t="s">
        <v>362</v>
      </c>
      <c r="R93" s="334"/>
      <c r="S93" s="1721"/>
      <c r="T93" s="189"/>
      <c r="U93" s="1721"/>
      <c r="V93" s="334"/>
      <c r="W93" s="1726"/>
      <c r="X93" s="189"/>
      <c r="Z93" s="1224"/>
      <c r="AA93" s="1224"/>
      <c r="AC93" s="1726"/>
      <c r="AD93" s="189"/>
      <c r="AE93" s="1726"/>
      <c r="AF93" s="334"/>
      <c r="AG93" s="1726"/>
      <c r="AH93" s="189"/>
      <c r="AI93" s="1726"/>
      <c r="AJ93" s="334"/>
      <c r="AK93" s="1726"/>
      <c r="AL93" s="189"/>
      <c r="AP93" s="334"/>
      <c r="AQ93" s="1726"/>
      <c r="AR93" s="189"/>
      <c r="AS93" s="1726"/>
      <c r="AT93" s="334"/>
      <c r="AU93" s="1726"/>
      <c r="AV93" s="189"/>
      <c r="AW93" s="1726"/>
      <c r="AX93" s="334"/>
      <c r="AY93" s="4390"/>
      <c r="AZ93" s="189"/>
      <c r="BD93" s="189"/>
      <c r="BE93" s="4390"/>
    </row>
    <row r="94" spans="1:57" ht="15.75" hidden="1" customHeight="1" thickBot="1" x14ac:dyDescent="0.25">
      <c r="A94" s="200"/>
      <c r="R94" s="334"/>
      <c r="S94" s="1721"/>
      <c r="T94" s="189"/>
      <c r="U94" s="1721"/>
      <c r="V94" s="334"/>
      <c r="W94" s="1726"/>
      <c r="X94" s="189"/>
      <c r="AC94" s="1726"/>
      <c r="AD94" s="189"/>
      <c r="AE94" s="1726"/>
      <c r="AF94" s="334"/>
      <c r="AG94" s="1726"/>
      <c r="AH94" s="189"/>
      <c r="AI94" s="1726"/>
      <c r="AJ94" s="334"/>
      <c r="AK94" s="1726"/>
      <c r="AL94" s="189"/>
      <c r="AP94" s="334"/>
      <c r="AQ94" s="1726"/>
      <c r="AR94" s="189"/>
      <c r="AS94" s="1726"/>
      <c r="AT94" s="334"/>
      <c r="AU94" s="1726"/>
      <c r="AV94" s="189"/>
      <c r="AW94" s="1726"/>
      <c r="AX94" s="334"/>
      <c r="AY94" s="4390"/>
      <c r="AZ94" s="189"/>
      <c r="BD94" s="189"/>
      <c r="BE94" s="4390"/>
    </row>
    <row r="95" spans="1:57" ht="15.75" hidden="1" customHeight="1" thickBot="1" x14ac:dyDescent="0.3">
      <c r="B95" s="4" t="s">
        <v>112</v>
      </c>
      <c r="C95" s="188" t="s">
        <v>367</v>
      </c>
      <c r="R95" s="334"/>
      <c r="S95" s="1721"/>
      <c r="T95" s="189"/>
      <c r="U95" s="1721"/>
      <c r="V95" s="334"/>
      <c r="W95" s="1726"/>
      <c r="AC95" s="1726"/>
      <c r="AD95" s="189"/>
      <c r="AE95" s="1726"/>
      <c r="AF95" s="334"/>
      <c r="AG95" s="1726"/>
      <c r="AH95" s="189"/>
      <c r="AI95" s="1726"/>
      <c r="AJ95" s="334"/>
      <c r="AK95" s="1726"/>
      <c r="AP95" s="334"/>
      <c r="AQ95" s="1726"/>
      <c r="AR95" s="189"/>
      <c r="AS95" s="1726"/>
      <c r="AT95" s="334"/>
      <c r="AU95" s="1726"/>
      <c r="AV95" s="189"/>
      <c r="AW95" s="1726"/>
      <c r="AX95" s="334"/>
      <c r="AY95" s="4390"/>
      <c r="BD95" s="189"/>
      <c r="BE95" s="4390"/>
    </row>
    <row r="96" spans="1:57" ht="15.75" hidden="1" customHeight="1" thickBot="1" x14ac:dyDescent="0.3">
      <c r="B96" s="4" t="s">
        <v>113</v>
      </c>
      <c r="C96" s="188" t="s">
        <v>367</v>
      </c>
      <c r="R96" s="334"/>
      <c r="S96" s="1721"/>
      <c r="T96" s="189"/>
      <c r="U96" s="1721"/>
      <c r="V96" s="334"/>
      <c r="W96" s="1726"/>
      <c r="AC96" s="1726"/>
      <c r="AD96" s="189"/>
      <c r="AE96" s="1726"/>
      <c r="AF96" s="334"/>
      <c r="AG96" s="1726"/>
      <c r="AH96" s="189"/>
      <c r="AI96" s="1726"/>
      <c r="AJ96" s="334"/>
      <c r="AK96" s="1726"/>
      <c r="AP96" s="334"/>
      <c r="AQ96" s="1726"/>
      <c r="AR96" s="189"/>
      <c r="AS96" s="1726"/>
      <c r="AT96" s="334"/>
      <c r="AU96" s="1726"/>
      <c r="AV96" s="189"/>
      <c r="AW96" s="1726"/>
      <c r="AX96" s="334"/>
      <c r="AY96" s="4390"/>
      <c r="BD96" s="189"/>
      <c r="BE96" s="4390"/>
    </row>
    <row r="97" spans="2:57" ht="15.75" hidden="1" customHeight="1" thickBot="1" x14ac:dyDescent="0.3">
      <c r="B97" s="4" t="s">
        <v>83</v>
      </c>
      <c r="C97" s="188" t="s">
        <v>367</v>
      </c>
      <c r="R97" s="334"/>
      <c r="S97" s="1721"/>
      <c r="T97" s="189"/>
      <c r="U97" s="1721"/>
      <c r="V97" s="334"/>
      <c r="W97" s="1726"/>
      <c r="AC97" s="1726"/>
      <c r="AD97" s="189"/>
      <c r="AE97" s="1726"/>
      <c r="AF97" s="334"/>
      <c r="AG97" s="1726"/>
      <c r="AH97" s="189"/>
      <c r="AI97" s="1726"/>
      <c r="AJ97" s="334"/>
      <c r="AK97" s="1726"/>
      <c r="AP97" s="334"/>
      <c r="AQ97" s="1726"/>
      <c r="AR97" s="189"/>
      <c r="AS97" s="1726"/>
      <c r="AT97" s="334"/>
      <c r="AU97" s="1726"/>
      <c r="AV97" s="189"/>
      <c r="AW97" s="1726"/>
      <c r="AX97" s="334"/>
      <c r="AY97" s="4390"/>
      <c r="BD97" s="189"/>
      <c r="BE97" s="4390"/>
    </row>
    <row r="98" spans="2:57" ht="15.75" hidden="1" customHeight="1" thickBot="1" x14ac:dyDescent="0.3">
      <c r="B98" s="4" t="s">
        <v>114</v>
      </c>
      <c r="C98" s="188" t="s">
        <v>367</v>
      </c>
      <c r="R98" s="334"/>
      <c r="S98" s="1721"/>
      <c r="T98" s="189"/>
      <c r="U98" s="1721"/>
      <c r="V98" s="334"/>
      <c r="W98" s="1726"/>
      <c r="AC98" s="1726"/>
      <c r="AD98" s="189"/>
      <c r="AE98" s="1726"/>
      <c r="AF98" s="334"/>
      <c r="AG98" s="1726"/>
      <c r="AH98" s="189"/>
      <c r="AI98" s="1726"/>
      <c r="AJ98" s="334"/>
      <c r="AK98" s="1726"/>
      <c r="AP98" s="334"/>
      <c r="AQ98" s="1726"/>
      <c r="AR98" s="189"/>
      <c r="AS98" s="1726"/>
      <c r="AT98" s="334"/>
      <c r="AU98" s="1726"/>
      <c r="AV98" s="189"/>
      <c r="AW98" s="1726"/>
      <c r="AX98" s="334"/>
      <c r="AY98" s="4390"/>
      <c r="BD98" s="189"/>
      <c r="BE98" s="4390"/>
    </row>
    <row r="99" spans="2:57" ht="15.75" hidden="1" customHeight="1" thickBot="1" x14ac:dyDescent="0.3">
      <c r="B99" s="4" t="s">
        <v>84</v>
      </c>
      <c r="C99" s="188" t="s">
        <v>367</v>
      </c>
      <c r="R99" s="334"/>
      <c r="S99" s="1721"/>
      <c r="T99" s="189"/>
      <c r="U99" s="1721"/>
      <c r="V99" s="334"/>
      <c r="W99" s="1726"/>
      <c r="AC99" s="1726"/>
      <c r="AD99" s="189"/>
      <c r="AE99" s="1726"/>
      <c r="AF99" s="334"/>
      <c r="AG99" s="1726"/>
      <c r="AH99" s="189"/>
      <c r="AI99" s="1726"/>
      <c r="AJ99" s="334"/>
      <c r="AK99" s="1726"/>
      <c r="AP99" s="334"/>
      <c r="AQ99" s="1726"/>
      <c r="AR99" s="189"/>
      <c r="AS99" s="1726"/>
      <c r="AT99" s="334"/>
      <c r="AU99" s="1726"/>
      <c r="AV99" s="189"/>
      <c r="AW99" s="1726"/>
      <c r="AX99" s="334"/>
      <c r="AY99" s="4390"/>
      <c r="BD99" s="189"/>
      <c r="BE99" s="4390"/>
    </row>
    <row r="100" spans="2:57" ht="15.75" hidden="1" customHeight="1" thickBot="1" x14ac:dyDescent="0.3">
      <c r="B100" s="4" t="s">
        <v>60</v>
      </c>
      <c r="C100" s="188" t="s">
        <v>367</v>
      </c>
      <c r="R100" s="334"/>
      <c r="S100" s="1721"/>
      <c r="T100" s="189"/>
      <c r="U100" s="1721"/>
      <c r="V100" s="334"/>
      <c r="W100" s="1726"/>
      <c r="AC100" s="1726"/>
      <c r="AD100" s="189"/>
      <c r="AE100" s="1726"/>
      <c r="AF100" s="334"/>
      <c r="AG100" s="1726"/>
      <c r="AH100" s="189"/>
      <c r="AI100" s="1726"/>
      <c r="AJ100" s="334"/>
      <c r="AK100" s="1726"/>
      <c r="AP100" s="334"/>
      <c r="AQ100" s="1726"/>
      <c r="AR100" s="189"/>
      <c r="AS100" s="1726"/>
      <c r="AT100" s="334"/>
      <c r="AU100" s="1726"/>
      <c r="AV100" s="189"/>
      <c r="AW100" s="1726"/>
      <c r="AX100" s="334"/>
      <c r="AY100" s="4390"/>
      <c r="BD100" s="189"/>
      <c r="BE100" s="4390"/>
    </row>
    <row r="101" spans="2:57" ht="15.75" hidden="1" customHeight="1" thickBot="1" x14ac:dyDescent="0.3">
      <c r="B101" s="4" t="s">
        <v>61</v>
      </c>
      <c r="C101" s="188" t="s">
        <v>367</v>
      </c>
      <c r="R101" s="334"/>
      <c r="S101" s="1721"/>
      <c r="T101" s="189"/>
      <c r="U101" s="1721"/>
      <c r="V101" s="334"/>
      <c r="W101" s="1726"/>
      <c r="AC101" s="1726"/>
      <c r="AD101" s="189"/>
      <c r="AE101" s="1726"/>
      <c r="AF101" s="334"/>
      <c r="AG101" s="1726"/>
      <c r="AH101" s="189"/>
      <c r="AI101" s="1726"/>
      <c r="AJ101" s="334"/>
      <c r="AK101" s="1726"/>
      <c r="AP101" s="334"/>
      <c r="AQ101" s="1726"/>
      <c r="AR101" s="189"/>
      <c r="AS101" s="1726"/>
      <c r="AT101" s="334"/>
      <c r="AU101" s="1726"/>
      <c r="AV101" s="189"/>
      <c r="AW101" s="1726"/>
      <c r="AX101" s="334"/>
      <c r="AY101" s="4390"/>
      <c r="BD101" s="189"/>
      <c r="BE101" s="4390"/>
    </row>
    <row r="102" spans="2:57" ht="15.75" hidden="1" customHeight="1" thickBot="1" x14ac:dyDescent="0.3">
      <c r="B102" s="4" t="s">
        <v>62</v>
      </c>
      <c r="C102" s="188" t="s">
        <v>367</v>
      </c>
      <c r="R102" s="334"/>
      <c r="S102" s="1721"/>
      <c r="T102" s="189"/>
      <c r="U102" s="1721"/>
      <c r="V102" s="334"/>
      <c r="W102" s="1726"/>
      <c r="AC102" s="1726"/>
      <c r="AD102" s="189"/>
      <c r="AE102" s="1726"/>
      <c r="AF102" s="334"/>
      <c r="AG102" s="1726"/>
      <c r="AH102" s="189"/>
      <c r="AI102" s="1726"/>
      <c r="AJ102" s="334"/>
      <c r="AK102" s="1726"/>
      <c r="AP102" s="334"/>
      <c r="AQ102" s="1726"/>
      <c r="AR102" s="189"/>
      <c r="AS102" s="1726"/>
      <c r="AT102" s="334"/>
      <c r="AU102" s="1726"/>
      <c r="AV102" s="189"/>
      <c r="AW102" s="1726"/>
      <c r="AX102" s="334"/>
      <c r="AY102" s="4390"/>
      <c r="BD102" s="189"/>
      <c r="BE102" s="4390"/>
    </row>
    <row r="103" spans="2:57" ht="15.75" hidden="1" customHeight="1" thickBot="1" x14ac:dyDescent="0.3">
      <c r="B103" s="4" t="s">
        <v>95</v>
      </c>
      <c r="C103" s="188" t="s">
        <v>367</v>
      </c>
      <c r="R103" s="334"/>
      <c r="S103" s="1721"/>
      <c r="T103" s="189"/>
      <c r="U103" s="1721"/>
      <c r="V103" s="334"/>
      <c r="W103" s="1726"/>
      <c r="AC103" s="1726"/>
      <c r="AD103" s="189"/>
      <c r="AE103" s="1726"/>
      <c r="AF103" s="334"/>
      <c r="AG103" s="1726"/>
      <c r="AH103" s="189"/>
      <c r="AI103" s="1726"/>
      <c r="AJ103" s="334"/>
      <c r="AK103" s="1726"/>
      <c r="AP103" s="334"/>
      <c r="AQ103" s="1726"/>
      <c r="AR103" s="189"/>
      <c r="AS103" s="1726"/>
      <c r="AT103" s="334"/>
      <c r="AU103" s="1726"/>
      <c r="AV103" s="189"/>
      <c r="AW103" s="1726"/>
      <c r="AX103" s="334"/>
      <c r="AY103" s="4390"/>
      <c r="BD103" s="189"/>
      <c r="BE103" s="4390"/>
    </row>
    <row r="104" spans="2:57" ht="15.75" hidden="1" customHeight="1" thickBot="1" x14ac:dyDescent="0.3">
      <c r="B104" s="4" t="s">
        <v>115</v>
      </c>
      <c r="C104" s="188" t="s">
        <v>367</v>
      </c>
      <c r="R104" s="334"/>
      <c r="S104" s="1721"/>
      <c r="T104" s="189"/>
      <c r="U104" s="1721"/>
      <c r="V104" s="334"/>
      <c r="W104" s="1726"/>
      <c r="AC104" s="1726"/>
      <c r="AD104" s="189"/>
      <c r="AE104" s="1726"/>
      <c r="AF104" s="334"/>
      <c r="AG104" s="1726"/>
      <c r="AH104" s="189"/>
      <c r="AI104" s="1726"/>
      <c r="AJ104" s="334"/>
      <c r="AK104" s="1726"/>
      <c r="AP104" s="334"/>
      <c r="AQ104" s="1726"/>
      <c r="AR104" s="189"/>
      <c r="AS104" s="1726"/>
      <c r="AT104" s="334"/>
      <c r="AU104" s="1726"/>
      <c r="AV104" s="189"/>
      <c r="AW104" s="1726"/>
      <c r="AX104" s="334"/>
      <c r="AY104" s="4390"/>
      <c r="BD104" s="189"/>
      <c r="BE104" s="4390"/>
    </row>
    <row r="105" spans="2:57" ht="15.75" hidden="1" customHeight="1" thickBot="1" x14ac:dyDescent="0.3">
      <c r="B105" s="4" t="s">
        <v>85</v>
      </c>
      <c r="C105" s="188" t="s">
        <v>367</v>
      </c>
      <c r="R105" s="334"/>
      <c r="S105" s="1721"/>
      <c r="T105" s="189"/>
      <c r="U105" s="1721"/>
      <c r="V105" s="334"/>
      <c r="W105" s="1726"/>
      <c r="AC105" s="1726"/>
      <c r="AD105" s="189"/>
      <c r="AE105" s="1726"/>
      <c r="AF105" s="334"/>
      <c r="AG105" s="1726"/>
      <c r="AH105" s="189"/>
      <c r="AI105" s="1726"/>
      <c r="AJ105" s="334"/>
      <c r="AK105" s="1726"/>
      <c r="AP105" s="334"/>
      <c r="AQ105" s="1726"/>
      <c r="AR105" s="189"/>
      <c r="AS105" s="1726"/>
      <c r="AT105" s="334"/>
      <c r="AU105" s="1726"/>
      <c r="AV105" s="189"/>
      <c r="AW105" s="1726"/>
      <c r="AX105" s="334"/>
      <c r="AY105" s="4390"/>
      <c r="BD105" s="189"/>
      <c r="BE105" s="4390"/>
    </row>
    <row r="106" spans="2:57" ht="15.75" hidden="1" customHeight="1" thickBot="1" x14ac:dyDescent="0.3">
      <c r="B106" s="4" t="s">
        <v>63</v>
      </c>
      <c r="C106" s="188" t="s">
        <v>367</v>
      </c>
      <c r="R106" s="334"/>
      <c r="S106" s="1721"/>
      <c r="T106" s="189"/>
      <c r="U106" s="1721"/>
      <c r="V106" s="334"/>
      <c r="W106" s="1726"/>
      <c r="AC106" s="1726"/>
      <c r="AD106" s="189"/>
      <c r="AE106" s="1726"/>
      <c r="AF106" s="334"/>
      <c r="AG106" s="1726"/>
      <c r="AH106" s="189"/>
      <c r="AI106" s="1726"/>
      <c r="AJ106" s="334"/>
      <c r="AK106" s="1726"/>
      <c r="AP106" s="334"/>
      <c r="AQ106" s="1726"/>
      <c r="AR106" s="189"/>
      <c r="AS106" s="1726"/>
      <c r="AT106" s="334"/>
      <c r="AU106" s="1726"/>
      <c r="AV106" s="189"/>
      <c r="AW106" s="1726"/>
      <c r="AX106" s="334"/>
      <c r="AY106" s="4390"/>
      <c r="BD106" s="189"/>
      <c r="BE106" s="4390"/>
    </row>
    <row r="107" spans="2:57" ht="15" hidden="1" customHeight="1" x14ac:dyDescent="0.25">
      <c r="R107" s="334"/>
      <c r="S107" s="1721"/>
      <c r="T107" s="189"/>
      <c r="U107" s="1721"/>
      <c r="V107" s="334"/>
      <c r="W107" s="1726"/>
      <c r="AC107" s="1726"/>
      <c r="AD107" s="189"/>
      <c r="AE107" s="1726"/>
      <c r="AF107" s="334"/>
      <c r="AG107" s="1726"/>
      <c r="AH107" s="189"/>
      <c r="AI107" s="1726"/>
      <c r="AJ107" s="334"/>
      <c r="AK107" s="1726"/>
      <c r="AP107" s="334"/>
      <c r="AQ107" s="1726"/>
      <c r="AR107" s="189"/>
      <c r="AS107" s="1726"/>
      <c r="AT107" s="334"/>
      <c r="AU107" s="1726"/>
      <c r="AV107" s="189"/>
      <c r="AW107" s="1726"/>
      <c r="AX107" s="334"/>
      <c r="AY107" s="4390"/>
      <c r="BD107" s="189"/>
      <c r="BE107" s="4390"/>
    </row>
    <row r="108" spans="2:57" ht="15" hidden="1" customHeight="1" x14ac:dyDescent="0.25">
      <c r="R108" s="334"/>
      <c r="S108" s="1721"/>
      <c r="T108" s="189"/>
      <c r="U108" s="1721"/>
      <c r="V108" s="334"/>
      <c r="W108" s="1726"/>
      <c r="AC108" s="1726"/>
      <c r="AD108" s="189"/>
      <c r="AE108" s="1726"/>
      <c r="AF108" s="334"/>
      <c r="AG108" s="1726"/>
      <c r="AH108" s="189"/>
      <c r="AI108" s="1726"/>
      <c r="AJ108" s="334"/>
      <c r="AK108" s="1726"/>
      <c r="AP108" s="334"/>
      <c r="AQ108" s="1726"/>
      <c r="AR108" s="189"/>
      <c r="AS108" s="1726"/>
      <c r="AT108" s="334"/>
      <c r="AU108" s="1726"/>
      <c r="AV108" s="189"/>
      <c r="AW108" s="1726"/>
      <c r="AX108" s="334"/>
      <c r="AY108" s="4390"/>
      <c r="BD108" s="189"/>
      <c r="BE108" s="4390"/>
    </row>
    <row r="109" spans="2:57" ht="15" hidden="1" customHeight="1" x14ac:dyDescent="0.25">
      <c r="R109" s="334"/>
      <c r="S109" s="1721"/>
      <c r="T109" s="189"/>
      <c r="U109" s="1721"/>
      <c r="V109" s="334"/>
      <c r="W109" s="1726"/>
      <c r="AC109" s="1726"/>
      <c r="AD109" s="189"/>
      <c r="AE109" s="1726"/>
      <c r="AF109" s="334"/>
      <c r="AG109" s="1726"/>
      <c r="AH109" s="189"/>
      <c r="AI109" s="1726"/>
      <c r="AJ109" s="334"/>
      <c r="AK109" s="1726"/>
      <c r="AP109" s="334"/>
      <c r="AQ109" s="1726"/>
      <c r="AR109" s="189"/>
      <c r="AS109" s="1726"/>
      <c r="AT109" s="334"/>
      <c r="AU109" s="1726"/>
      <c r="AV109" s="189"/>
      <c r="AW109" s="1726"/>
      <c r="AX109" s="334"/>
      <c r="AY109" s="4390"/>
      <c r="BD109" s="189"/>
      <c r="BE109" s="4390"/>
    </row>
    <row r="110" spans="2:57" ht="15" hidden="1" customHeight="1" x14ac:dyDescent="0.25">
      <c r="R110" s="334"/>
      <c r="S110" s="1721"/>
      <c r="T110" s="189"/>
      <c r="U110" s="1721"/>
      <c r="V110" s="334"/>
      <c r="W110" s="1726"/>
      <c r="AC110" s="1726"/>
      <c r="AD110" s="189"/>
      <c r="AE110" s="1726"/>
      <c r="AF110" s="334"/>
      <c r="AG110" s="1726"/>
      <c r="AH110" s="189"/>
      <c r="AI110" s="1726"/>
      <c r="AJ110" s="334"/>
      <c r="AK110" s="1726"/>
      <c r="AP110" s="334"/>
      <c r="AQ110" s="1726"/>
      <c r="AR110" s="189"/>
      <c r="AS110" s="1726"/>
      <c r="AT110" s="334"/>
      <c r="AU110" s="1726"/>
      <c r="AV110" s="189"/>
      <c r="AW110" s="1726"/>
      <c r="AX110" s="334"/>
      <c r="AY110" s="4390"/>
      <c r="BD110" s="189"/>
      <c r="BE110" s="4390"/>
    </row>
    <row r="111" spans="2:57" ht="15" hidden="1" customHeight="1" x14ac:dyDescent="0.25">
      <c r="R111" s="334"/>
      <c r="S111" s="1721"/>
      <c r="T111" s="189"/>
      <c r="U111" s="1721"/>
      <c r="V111" s="334"/>
      <c r="W111" s="1726"/>
      <c r="AC111" s="1726"/>
      <c r="AD111" s="189"/>
      <c r="AE111" s="1726"/>
      <c r="AF111" s="334"/>
      <c r="AG111" s="1726"/>
      <c r="AH111" s="189"/>
      <c r="AI111" s="1726"/>
      <c r="AJ111" s="334"/>
      <c r="AK111" s="1726"/>
      <c r="AP111" s="334"/>
      <c r="AQ111" s="1726"/>
      <c r="AR111" s="189"/>
      <c r="AS111" s="1726"/>
      <c r="AT111" s="334"/>
      <c r="AU111" s="1726"/>
      <c r="AV111" s="189"/>
      <c r="AW111" s="1726"/>
      <c r="AX111" s="334"/>
      <c r="AY111" s="4390"/>
      <c r="BD111" s="189"/>
      <c r="BE111" s="4390"/>
    </row>
    <row r="112" spans="2:57" ht="15" hidden="1" customHeight="1" x14ac:dyDescent="0.25">
      <c r="R112" s="334"/>
      <c r="S112" s="1721"/>
      <c r="T112" s="189"/>
      <c r="U112" s="1721"/>
      <c r="V112" s="334"/>
      <c r="W112" s="1726"/>
      <c r="AC112" s="1726"/>
      <c r="AD112" s="189"/>
      <c r="AE112" s="1726"/>
      <c r="AF112" s="334"/>
      <c r="AG112" s="1726"/>
      <c r="AH112" s="189"/>
      <c r="AI112" s="1726"/>
      <c r="AJ112" s="334"/>
      <c r="AK112" s="1726"/>
      <c r="AP112" s="334"/>
      <c r="AQ112" s="1726"/>
      <c r="AR112" s="189"/>
      <c r="AS112" s="1726"/>
      <c r="AT112" s="334"/>
      <c r="AU112" s="1726"/>
      <c r="AV112" s="189"/>
      <c r="AW112" s="1726"/>
      <c r="AX112" s="334"/>
      <c r="AY112" s="4390"/>
      <c r="BD112" s="189"/>
      <c r="BE112" s="4390"/>
    </row>
    <row r="113" spans="2:58" ht="15" hidden="1" customHeight="1" x14ac:dyDescent="0.25">
      <c r="R113" s="334"/>
      <c r="S113" s="1721"/>
      <c r="T113" s="189"/>
      <c r="U113" s="1721"/>
      <c r="V113" s="334"/>
      <c r="W113" s="1726"/>
      <c r="AC113" s="1726"/>
      <c r="AD113" s="189"/>
      <c r="AE113" s="1726"/>
      <c r="AF113" s="334"/>
      <c r="AG113" s="1726"/>
      <c r="AH113" s="189"/>
      <c r="AI113" s="1726"/>
      <c r="AJ113" s="334"/>
      <c r="AK113" s="1726"/>
      <c r="AP113" s="334"/>
      <c r="AQ113" s="1726"/>
      <c r="AR113" s="189"/>
      <c r="AS113" s="1726"/>
      <c r="AT113" s="334"/>
      <c r="AU113" s="1726"/>
      <c r="AV113" s="189"/>
      <c r="AW113" s="1726"/>
      <c r="AX113" s="334"/>
      <c r="AY113" s="4390"/>
      <c r="BD113" s="189"/>
      <c r="BE113" s="4390"/>
    </row>
    <row r="114" spans="2:58" ht="15" hidden="1" customHeight="1" x14ac:dyDescent="0.25">
      <c r="R114" s="334"/>
      <c r="S114" s="1721"/>
      <c r="T114" s="189"/>
      <c r="U114" s="1721"/>
      <c r="V114" s="334"/>
      <c r="W114" s="1726"/>
      <c r="AC114" s="1726"/>
      <c r="AD114" s="189"/>
      <c r="AE114" s="1726"/>
      <c r="AF114" s="334"/>
      <c r="AG114" s="1726"/>
      <c r="AH114" s="189"/>
      <c r="AI114" s="1726"/>
      <c r="AJ114" s="334"/>
      <c r="AK114" s="1726"/>
      <c r="AP114" s="334"/>
      <c r="AQ114" s="1726"/>
      <c r="AR114" s="189"/>
      <c r="AS114" s="1726"/>
      <c r="AT114" s="334"/>
      <c r="AU114" s="1726"/>
      <c r="AV114" s="189"/>
      <c r="AW114" s="1726"/>
      <c r="AX114" s="334"/>
      <c r="AY114" s="4390"/>
      <c r="BD114" s="189"/>
      <c r="BE114" s="4390"/>
    </row>
    <row r="115" spans="2:58" ht="15" hidden="1" customHeight="1" x14ac:dyDescent="0.25">
      <c r="R115" s="334"/>
      <c r="S115" s="1721"/>
      <c r="T115" s="189"/>
      <c r="U115" s="1721"/>
      <c r="V115" s="334"/>
      <c r="W115" s="1726"/>
      <c r="AC115" s="1726"/>
      <c r="AD115" s="189"/>
      <c r="AE115" s="1726"/>
      <c r="AF115" s="334"/>
      <c r="AG115" s="1726"/>
      <c r="AH115" s="189"/>
      <c r="AI115" s="1726"/>
      <c r="AJ115" s="334"/>
      <c r="AK115" s="1726"/>
      <c r="AP115" s="334"/>
      <c r="AQ115" s="1726"/>
      <c r="AR115" s="189"/>
      <c r="AS115" s="1726"/>
      <c r="AT115" s="334"/>
      <c r="AU115" s="1726"/>
      <c r="AV115" s="189"/>
      <c r="AW115" s="1726"/>
      <c r="AX115" s="334"/>
      <c r="AY115" s="4390"/>
      <c r="BD115" s="189"/>
      <c r="BE115" s="4390"/>
    </row>
    <row r="116" spans="2:58" ht="15" hidden="1" customHeight="1" x14ac:dyDescent="0.25">
      <c r="R116" s="334"/>
      <c r="S116" s="1721"/>
      <c r="T116" s="189"/>
      <c r="U116" s="1721"/>
      <c r="V116" s="334"/>
      <c r="W116" s="1726"/>
      <c r="AC116" s="1726"/>
      <c r="AD116" s="189"/>
      <c r="AE116" s="1726"/>
      <c r="AF116" s="334"/>
      <c r="AG116" s="1726"/>
      <c r="AH116" s="189"/>
      <c r="AI116" s="1726"/>
      <c r="AJ116" s="334"/>
      <c r="AK116" s="1726"/>
      <c r="AP116" s="334"/>
      <c r="AQ116" s="1726"/>
      <c r="AR116" s="189"/>
      <c r="AS116" s="1726"/>
      <c r="AT116" s="334"/>
      <c r="AU116" s="1726"/>
      <c r="AV116" s="189"/>
      <c r="AW116" s="1726"/>
      <c r="AX116" s="334"/>
      <c r="AY116" s="4390"/>
      <c r="BD116" s="189"/>
      <c r="BE116" s="4390"/>
    </row>
    <row r="117" spans="2:58" ht="15" hidden="1" customHeight="1" x14ac:dyDescent="0.25">
      <c r="R117" s="334"/>
      <c r="S117" s="1721"/>
      <c r="T117" s="189"/>
      <c r="U117" s="1721"/>
      <c r="V117" s="334"/>
      <c r="W117" s="1726"/>
      <c r="AF117" s="1726"/>
      <c r="AG117" s="1726"/>
      <c r="AH117" s="1726"/>
      <c r="AI117" s="1726"/>
      <c r="AJ117" s="1726"/>
      <c r="AK117" s="1726"/>
      <c r="AP117" s="1726"/>
      <c r="AQ117" s="1726"/>
      <c r="AR117" s="1726"/>
      <c r="AS117" s="1726"/>
      <c r="AT117" s="1726"/>
      <c r="AU117" s="1726"/>
      <c r="AV117" s="1726"/>
      <c r="AW117" s="1726"/>
      <c r="AX117" s="4390"/>
      <c r="AY117" s="4390"/>
      <c r="BD117" s="4390"/>
      <c r="BE117" s="4390"/>
    </row>
    <row r="118" spans="2:58" ht="15" hidden="1" customHeight="1" x14ac:dyDescent="0.25">
      <c r="R118" s="334"/>
      <c r="S118" s="1721"/>
      <c r="T118" s="189"/>
      <c r="U118" s="1721"/>
      <c r="V118" s="334"/>
      <c r="W118" s="1726"/>
      <c r="AF118" s="1726"/>
      <c r="AG118" s="1726"/>
      <c r="AH118" s="1726"/>
      <c r="AI118" s="1726"/>
      <c r="AJ118" s="1726"/>
      <c r="AK118" s="1726"/>
      <c r="AP118" s="1726"/>
      <c r="AQ118" s="1726"/>
      <c r="AR118" s="1726"/>
      <c r="AS118" s="1726"/>
      <c r="AT118" s="1726"/>
      <c r="AU118" s="1726"/>
      <c r="AV118" s="1726"/>
      <c r="AW118" s="1726"/>
      <c r="AX118" s="4390"/>
      <c r="AY118" s="4390"/>
      <c r="BD118" s="4390"/>
      <c r="BE118" s="4390"/>
    </row>
    <row r="119" spans="2:58" ht="15" hidden="1" customHeight="1" x14ac:dyDescent="0.25">
      <c r="R119" s="334"/>
      <c r="S119" s="1721"/>
      <c r="T119" s="189"/>
      <c r="U119" s="1721"/>
      <c r="V119" s="334"/>
      <c r="W119" s="1726"/>
      <c r="AF119" s="1726"/>
      <c r="AG119" s="1726"/>
      <c r="AH119" s="1726"/>
      <c r="AI119" s="1726"/>
      <c r="AJ119" s="1726"/>
      <c r="AK119" s="1726"/>
      <c r="AP119" s="1726"/>
      <c r="AQ119" s="1726"/>
      <c r="AR119" s="1726"/>
      <c r="AS119" s="1726"/>
      <c r="AT119" s="1726"/>
      <c r="AU119" s="1726"/>
      <c r="AV119" s="1726"/>
      <c r="AW119" s="1726"/>
      <c r="AX119" s="4390"/>
      <c r="AY119" s="4390"/>
      <c r="BD119" s="4390"/>
      <c r="BE119" s="4390"/>
    </row>
    <row r="120" spans="2:58" ht="15" hidden="1" customHeight="1" x14ac:dyDescent="0.25">
      <c r="R120" s="334"/>
      <c r="S120" s="1721"/>
      <c r="T120" s="189"/>
      <c r="U120" s="1721"/>
      <c r="V120" s="334"/>
      <c r="W120" s="1726"/>
      <c r="AF120" s="1726"/>
      <c r="AG120" s="1726"/>
      <c r="AH120" s="1726"/>
      <c r="AI120" s="1726"/>
      <c r="AJ120" s="1726"/>
      <c r="AK120" s="1726"/>
      <c r="AP120" s="1726"/>
      <c r="AQ120" s="1726"/>
      <c r="AR120" s="1726"/>
      <c r="AS120" s="1726"/>
      <c r="AT120" s="1726"/>
      <c r="AU120" s="1726"/>
      <c r="AV120" s="1726"/>
      <c r="AW120" s="1726"/>
      <c r="AX120" s="4390"/>
      <c r="AY120" s="4390"/>
      <c r="BD120" s="4390"/>
      <c r="BE120" s="4390"/>
    </row>
    <row r="121" spans="2:58" ht="15" hidden="1" customHeight="1" x14ac:dyDescent="0.25">
      <c r="R121" s="334"/>
      <c r="S121" s="1721"/>
      <c r="T121" s="189"/>
      <c r="U121" s="1721"/>
      <c r="V121" s="334"/>
      <c r="W121" s="1726"/>
      <c r="AF121" s="1726"/>
      <c r="AG121" s="1726"/>
      <c r="AH121" s="1726"/>
      <c r="AI121" s="1726"/>
      <c r="AJ121" s="1726"/>
      <c r="AK121" s="1726"/>
      <c r="AP121" s="1726"/>
      <c r="AQ121" s="1726"/>
      <c r="AR121" s="1726"/>
      <c r="AS121" s="1726"/>
      <c r="AT121" s="1726"/>
      <c r="AU121" s="1726"/>
      <c r="AV121" s="1726"/>
      <c r="AW121" s="1726"/>
      <c r="AX121" s="4390"/>
      <c r="AY121" s="4390"/>
      <c r="BD121" s="4390"/>
      <c r="BE121" s="4390"/>
    </row>
    <row r="122" spans="2:58" ht="15" hidden="1" customHeight="1" x14ac:dyDescent="0.25">
      <c r="R122" s="334"/>
      <c r="S122" s="1721"/>
      <c r="T122" s="189"/>
      <c r="U122" s="1721"/>
      <c r="V122" s="334"/>
      <c r="W122" s="1726"/>
      <c r="AF122" s="1726"/>
      <c r="AG122" s="1726"/>
      <c r="AH122" s="1726"/>
      <c r="AI122" s="1726"/>
      <c r="AJ122" s="1726"/>
      <c r="AK122" s="1726"/>
      <c r="AP122" s="1726"/>
      <c r="AQ122" s="1726"/>
      <c r="AR122" s="1726"/>
      <c r="AS122" s="1726"/>
      <c r="AT122" s="1726"/>
      <c r="AU122" s="1726"/>
      <c r="AV122" s="1726"/>
      <c r="AW122" s="1726"/>
      <c r="AX122" s="4390"/>
      <c r="AY122" s="4390"/>
      <c r="BD122" s="4390"/>
      <c r="BE122" s="4390"/>
    </row>
    <row r="123" spans="2:58" ht="15" hidden="1" customHeight="1" x14ac:dyDescent="0.25">
      <c r="R123" s="334"/>
      <c r="S123" s="1721"/>
      <c r="T123" s="189"/>
      <c r="U123" s="1721"/>
      <c r="V123" s="334"/>
      <c r="W123" s="1726"/>
      <c r="AF123" s="1726"/>
      <c r="AG123" s="1726"/>
      <c r="AH123" s="1726"/>
      <c r="AI123" s="1726"/>
      <c r="AJ123" s="1726"/>
      <c r="AK123" s="1726"/>
      <c r="AP123" s="1726"/>
      <c r="AQ123" s="1726"/>
      <c r="AR123" s="1726"/>
      <c r="AS123" s="1726"/>
      <c r="AT123" s="1726"/>
      <c r="AU123" s="1726"/>
      <c r="AV123" s="1726"/>
      <c r="AW123" s="1726"/>
      <c r="AX123" s="4390"/>
      <c r="AY123" s="4390"/>
      <c r="BD123" s="4390"/>
      <c r="BE123" s="4390"/>
    </row>
    <row r="124" spans="2:58" ht="15" hidden="1" customHeight="1" x14ac:dyDescent="0.25">
      <c r="D124" s="342"/>
      <c r="E124" s="4623"/>
      <c r="F124" s="342"/>
      <c r="G124" s="4623"/>
      <c r="H124" s="4624"/>
      <c r="I124" s="3164"/>
      <c r="J124" s="342"/>
      <c r="K124" s="4623"/>
      <c r="L124" s="4624"/>
      <c r="M124" s="4623"/>
      <c r="N124" s="979"/>
      <c r="O124" s="4566"/>
      <c r="P124" s="4624"/>
      <c r="Q124" s="4566"/>
      <c r="R124" s="979"/>
      <c r="S124" s="4566"/>
      <c r="T124" s="4624"/>
      <c r="U124" s="4566"/>
      <c r="V124" s="979"/>
      <c r="W124" s="4566"/>
      <c r="X124" s="4566"/>
      <c r="Y124" s="4566"/>
      <c r="Z124" s="4566"/>
      <c r="AA124" s="4566"/>
      <c r="AB124" s="979"/>
      <c r="AC124" s="4566"/>
      <c r="AD124" s="4566"/>
      <c r="AE124" s="4566"/>
      <c r="AF124" s="4566"/>
      <c r="AG124" s="4566"/>
      <c r="AH124" s="4566"/>
      <c r="AI124" s="4566"/>
      <c r="AJ124" s="4566"/>
      <c r="AK124" s="4566"/>
      <c r="AL124" s="4566"/>
      <c r="AM124" s="4566"/>
      <c r="AN124" s="4566"/>
      <c r="AO124" s="4566"/>
      <c r="AP124" s="4566"/>
      <c r="AQ124" s="4566"/>
      <c r="AR124" s="4566"/>
      <c r="AS124" s="4566"/>
      <c r="AT124" s="4566"/>
      <c r="AU124" s="4566"/>
      <c r="AV124" s="4566"/>
      <c r="AW124" s="4566"/>
      <c r="AX124" s="4566"/>
      <c r="AY124" s="4566"/>
      <c r="AZ124" s="4566"/>
      <c r="BA124" s="4566"/>
      <c r="BB124" s="4566"/>
      <c r="BC124" s="4566"/>
      <c r="BD124" s="4566"/>
      <c r="BE124" s="4566"/>
      <c r="BF124" s="4566"/>
    </row>
    <row r="125" spans="2:58" ht="15" hidden="1" customHeight="1" x14ac:dyDescent="0.25">
      <c r="B125" t="s">
        <v>1896</v>
      </c>
      <c r="D125" s="4353">
        <f>+D41-D51</f>
        <v>1.09999964479357E-4</v>
      </c>
      <c r="E125" s="4353"/>
      <c r="F125" s="4353">
        <f t="shared" ref="F125:BD125" si="353">+F41-F51</f>
        <v>-1.8946593627333641E-8</v>
      </c>
      <c r="G125" s="4353"/>
      <c r="H125" s="4353">
        <f t="shared" si="353"/>
        <v>1.0998110519722104E-4</v>
      </c>
      <c r="I125" s="4353">
        <f t="shared" si="353"/>
        <v>-0.10000000009313226</v>
      </c>
      <c r="J125" s="4353">
        <f t="shared" si="353"/>
        <v>1.7462274525314569E-2</v>
      </c>
      <c r="K125" s="4353"/>
      <c r="L125" s="4353">
        <f t="shared" si="353"/>
        <v>1.757225557230413E-2</v>
      </c>
      <c r="M125" s="4353"/>
      <c r="N125" s="4353">
        <f t="shared" si="353"/>
        <v>-3.7252902984619141E-9</v>
      </c>
      <c r="O125" s="4353"/>
      <c r="P125" s="4353">
        <f t="shared" si="353"/>
        <v>1.7572251614183187E-2</v>
      </c>
      <c r="Q125" s="4353">
        <f t="shared" si="353"/>
        <v>-9.9999999976716936E-2</v>
      </c>
      <c r="R125" s="4353">
        <f t="shared" si="353"/>
        <v>-3.3760443329811096E-9</v>
      </c>
      <c r="S125" s="4353"/>
      <c r="T125" s="4353">
        <f t="shared" si="353"/>
        <v>1.757224858738482E-2</v>
      </c>
      <c r="U125" s="4353">
        <f t="shared" si="353"/>
        <v>-0.10999999986961484</v>
      </c>
      <c r="V125" s="4353">
        <f t="shared" si="353"/>
        <v>-1.280568540096283E-9</v>
      </c>
      <c r="W125" s="4353"/>
      <c r="X125" s="4353">
        <f t="shared" si="353"/>
        <v>-8.149072527885437E-9</v>
      </c>
      <c r="Y125" s="4353"/>
      <c r="Z125" s="4353">
        <f t="shared" si="353"/>
        <v>1.7572247190400958E-2</v>
      </c>
      <c r="AA125" s="4353"/>
      <c r="AB125" s="4353">
        <f>+AB41-AB51</f>
        <v>0</v>
      </c>
      <c r="AC125" s="4353"/>
      <c r="AD125" s="4353">
        <f t="shared" si="353"/>
        <v>1.7572247423231602E-2</v>
      </c>
      <c r="AE125" s="4353">
        <f t="shared" si="353"/>
        <v>-0.12999999988824129</v>
      </c>
      <c r="AF125" s="4353">
        <f t="shared" si="353"/>
        <v>-1.280568540096283E-9</v>
      </c>
      <c r="AG125" s="4353"/>
      <c r="AH125" s="4353">
        <f t="shared" si="353"/>
        <v>1.757224602624774E-2</v>
      </c>
      <c r="AI125" s="4353">
        <f t="shared" si="353"/>
        <v>-0.14000000013038516</v>
      </c>
      <c r="AJ125" s="4353">
        <f t="shared" si="353"/>
        <v>0</v>
      </c>
      <c r="AK125" s="4353"/>
      <c r="AL125" s="4353">
        <f t="shared" si="353"/>
        <v>0</v>
      </c>
      <c r="AM125" s="4353"/>
      <c r="AN125" s="4353">
        <f t="shared" si="353"/>
        <v>1.757224602624774E-2</v>
      </c>
      <c r="AO125" s="4353">
        <f t="shared" si="353"/>
        <v>-0.14000000013038516</v>
      </c>
      <c r="AP125" s="4353">
        <f t="shared" si="353"/>
        <v>0</v>
      </c>
      <c r="AQ125" s="4353"/>
      <c r="AR125" s="4353">
        <f t="shared" si="353"/>
        <v>1.757224602624774E-2</v>
      </c>
      <c r="AS125" s="4353">
        <f t="shared" si="353"/>
        <v>-0.12999999988824129</v>
      </c>
      <c r="AT125" s="4353">
        <f>+AT41-AT51</f>
        <v>-2.6891939342021942E-8</v>
      </c>
      <c r="AU125" s="4353"/>
      <c r="AV125" s="4353">
        <f t="shared" si="353"/>
        <v>1.7572219017893076E-2</v>
      </c>
      <c r="AW125" s="4353">
        <f t="shared" si="353"/>
        <v>-0.13000000035390258</v>
      </c>
      <c r="AX125" s="4353">
        <f t="shared" si="353"/>
        <v>0</v>
      </c>
      <c r="AY125" s="4353"/>
      <c r="AZ125" s="4353">
        <f t="shared" si="353"/>
        <v>-2.6775524020195007E-8</v>
      </c>
      <c r="BA125" s="4353"/>
      <c r="BB125" s="4353">
        <f t="shared" si="353"/>
        <v>-2.7939677238464355E-8</v>
      </c>
      <c r="BC125" s="4353"/>
      <c r="BD125" s="4353">
        <f t="shared" si="353"/>
        <v>1.7572218552231789E-2</v>
      </c>
      <c r="BE125" s="4353"/>
      <c r="BF125" s="4566"/>
    </row>
    <row r="126" spans="2:58" ht="15" hidden="1" customHeight="1" x14ac:dyDescent="0.25">
      <c r="D126" s="342"/>
      <c r="E126" s="4623"/>
      <c r="F126" s="342"/>
      <c r="G126" s="4623"/>
      <c r="H126" s="4624"/>
      <c r="I126" s="3164"/>
      <c r="J126" s="342"/>
      <c r="K126" s="4623"/>
      <c r="L126" s="4624"/>
      <c r="M126" s="4623"/>
      <c r="N126" s="979"/>
      <c r="O126" s="4566"/>
      <c r="P126" s="4624"/>
      <c r="Q126" s="4566"/>
      <c r="R126" s="979"/>
      <c r="S126" s="4566"/>
      <c r="T126" s="4624"/>
      <c r="U126" s="4566"/>
      <c r="V126" s="979"/>
      <c r="W126" s="4566"/>
      <c r="X126" s="4566"/>
      <c r="Y126" s="4566"/>
      <c r="Z126" s="4566"/>
      <c r="AA126" s="4566"/>
      <c r="AB126" s="979"/>
      <c r="AC126" s="4566"/>
      <c r="AD126" s="4566"/>
      <c r="AE126" s="4566"/>
      <c r="AF126" s="4566"/>
      <c r="AG126" s="4566"/>
      <c r="AH126" s="4566"/>
      <c r="AI126" s="4566"/>
      <c r="AJ126" s="4566"/>
      <c r="AK126" s="4566"/>
      <c r="AL126" s="4566"/>
      <c r="AM126" s="4566"/>
      <c r="AN126" s="4566"/>
      <c r="AO126" s="4566"/>
      <c r="AP126" s="4566"/>
      <c r="AQ126" s="4566"/>
      <c r="AR126" s="4566"/>
      <c r="AS126" s="4566"/>
      <c r="AT126" s="4566"/>
      <c r="AU126" s="4566"/>
      <c r="AV126" s="4566"/>
      <c r="AW126" s="4566"/>
      <c r="AX126" s="4566"/>
      <c r="AY126" s="4566"/>
      <c r="AZ126" s="4566"/>
      <c r="BA126" s="4566"/>
      <c r="BB126" s="4566"/>
      <c r="BC126" s="4566"/>
      <c r="BD126" s="4566"/>
      <c r="BE126" s="4566"/>
      <c r="BF126" s="4566"/>
    </row>
    <row r="127" spans="2:58" ht="15" hidden="1" customHeight="1" x14ac:dyDescent="0.25">
      <c r="D127" s="342">
        <v>188699.99999999651</v>
      </c>
      <c r="E127" s="4623"/>
      <c r="F127" s="342">
        <v>227800.0000000009</v>
      </c>
      <c r="G127" s="4623"/>
      <c r="H127" s="4624"/>
      <c r="I127" s="3164"/>
      <c r="J127" s="342">
        <v>368314.87500000256</v>
      </c>
      <c r="K127" s="4623"/>
      <c r="L127" s="4624">
        <f>+D127+F127+J127</f>
        <v>784814.875</v>
      </c>
      <c r="M127" s="4623"/>
      <c r="N127" s="979">
        <v>380800.12500000373</v>
      </c>
      <c r="O127" s="4566"/>
      <c r="P127" s="4624"/>
      <c r="Q127" s="4566"/>
      <c r="R127" s="979">
        <v>380800.12500000338</v>
      </c>
      <c r="S127" s="4566"/>
      <c r="T127" s="4624"/>
      <c r="U127" s="4566"/>
      <c r="V127" s="979">
        <v>370372.50000000128</v>
      </c>
      <c r="W127" s="4566"/>
      <c r="X127" s="4566">
        <f>+N127+R127+V127</f>
        <v>1131972.7500000084</v>
      </c>
      <c r="Y127" s="4566"/>
      <c r="Z127" s="4566">
        <f>+X127+L127</f>
        <v>1916787.6250000084</v>
      </c>
      <c r="AA127" s="4566"/>
      <c r="AB127" s="979">
        <v>382927.49999999988</v>
      </c>
      <c r="AC127" s="4566"/>
      <c r="AD127" s="4566"/>
      <c r="AE127" s="4566"/>
      <c r="AF127" s="4566">
        <v>370372.50000000128</v>
      </c>
      <c r="AG127" s="4566"/>
      <c r="AH127" s="4566"/>
      <c r="AI127" s="4566"/>
      <c r="AJ127" s="4566">
        <v>382927.49999999988</v>
      </c>
      <c r="AK127" s="4566"/>
      <c r="AL127" s="4566">
        <f>+AB127+AF127+AJ127</f>
        <v>1136227.5000000009</v>
      </c>
      <c r="AM127" s="4566"/>
      <c r="AN127" s="4566"/>
      <c r="AO127" s="4566"/>
      <c r="AP127" s="4566">
        <v>382927.49999999988</v>
      </c>
      <c r="AQ127" s="4566"/>
      <c r="AR127" s="4566"/>
      <c r="AS127" s="4566"/>
      <c r="AT127" s="4566">
        <v>339330.60350000457</v>
      </c>
      <c r="AU127" s="4566"/>
      <c r="AV127" s="4566"/>
      <c r="AW127" s="4566"/>
      <c r="AX127" s="4566">
        <v>382927.49999999988</v>
      </c>
      <c r="AY127" s="4566"/>
      <c r="AZ127" s="4566"/>
      <c r="BA127" s="4566"/>
      <c r="BB127" s="4566"/>
      <c r="BC127" s="4566"/>
      <c r="BD127" s="4566"/>
      <c r="BE127" s="4566"/>
      <c r="BF127" s="4566"/>
    </row>
    <row r="128" spans="2:58" ht="15" hidden="1" customHeight="1" x14ac:dyDescent="0.25">
      <c r="B128" t="s">
        <v>1897</v>
      </c>
      <c r="D128" s="4353">
        <f>+D127-D36</f>
        <v>-3.4924596548080444E-9</v>
      </c>
      <c r="E128" s="4353"/>
      <c r="F128" s="4353">
        <f t="shared" ref="F128:AX128" si="354">+F127-F36</f>
        <v>1.8888385966420174E-8</v>
      </c>
      <c r="G128" s="4353"/>
      <c r="H128" s="4353">
        <f t="shared" si="354"/>
        <v>-416499.99999998201</v>
      </c>
      <c r="I128" s="4353">
        <f t="shared" si="354"/>
        <v>-372053.78099999996</v>
      </c>
      <c r="J128" s="4353">
        <f t="shared" si="354"/>
        <v>2.6193447411060333E-9</v>
      </c>
      <c r="K128" s="4353"/>
      <c r="L128" s="4353">
        <f t="shared" si="354"/>
        <v>1.8044374883174896E-8</v>
      </c>
      <c r="M128" s="4353"/>
      <c r="N128" s="4353">
        <f t="shared" si="354"/>
        <v>3.7252902984619141E-9</v>
      </c>
      <c r="O128" s="4353"/>
      <c r="P128" s="4353">
        <f t="shared" si="354"/>
        <v>-1165614.9999999818</v>
      </c>
      <c r="Q128" s="4353">
        <f t="shared" si="354"/>
        <v>-1052513.851</v>
      </c>
      <c r="R128" s="4353">
        <f t="shared" si="354"/>
        <v>3.3760443329811096E-9</v>
      </c>
      <c r="S128" s="4353"/>
      <c r="T128" s="4353">
        <f t="shared" si="354"/>
        <v>-1546415.1249999818</v>
      </c>
      <c r="U128" s="4353">
        <f t="shared" si="354"/>
        <v>-1396670.111</v>
      </c>
      <c r="V128" s="4353">
        <f t="shared" si="354"/>
        <v>1.280568540096283E-9</v>
      </c>
      <c r="W128" s="4353"/>
      <c r="X128" s="4353">
        <f t="shared" si="354"/>
        <v>8.3819031715393066E-9</v>
      </c>
      <c r="Y128" s="4353"/>
      <c r="Z128" s="4353">
        <f t="shared" si="354"/>
        <v>2.6542693376541138E-8</v>
      </c>
      <c r="AA128" s="4353"/>
      <c r="AB128" s="4353">
        <f>+AB127-AB36</f>
        <v>0</v>
      </c>
      <c r="AC128" s="4353"/>
      <c r="AD128" s="4353">
        <f t="shared" si="354"/>
        <v>-2299715.1249999818</v>
      </c>
      <c r="AE128" s="4353">
        <f t="shared" si="354"/>
        <v>-2092761.821</v>
      </c>
      <c r="AF128" s="4353">
        <f t="shared" si="354"/>
        <v>1.280568540096283E-9</v>
      </c>
      <c r="AG128" s="4353"/>
      <c r="AH128" s="4353">
        <f t="shared" si="354"/>
        <v>-2670087.6249999818</v>
      </c>
      <c r="AI128" s="4353">
        <f t="shared" si="354"/>
        <v>-2429360.821</v>
      </c>
      <c r="AJ128" s="4353">
        <f t="shared" si="354"/>
        <v>0</v>
      </c>
      <c r="AK128" s="4353"/>
      <c r="AL128" s="4353">
        <f t="shared" si="354"/>
        <v>0</v>
      </c>
      <c r="AM128" s="4353"/>
      <c r="AN128" s="4353">
        <f t="shared" si="354"/>
        <v>-3053015.1249999818</v>
      </c>
      <c r="AO128" s="4353">
        <f t="shared" si="354"/>
        <v>-2789505.4909999999</v>
      </c>
      <c r="AP128" s="4353">
        <f t="shared" si="354"/>
        <v>0</v>
      </c>
      <c r="AQ128" s="4353"/>
      <c r="AR128" s="4353">
        <f t="shared" si="354"/>
        <v>-3435942.6249999818</v>
      </c>
      <c r="AS128" s="4353">
        <f t="shared" si="354"/>
        <v>-3149101.801</v>
      </c>
      <c r="AT128" s="4353">
        <f t="shared" si="354"/>
        <v>2.695014700293541E-8</v>
      </c>
      <c r="AU128" s="4353"/>
      <c r="AV128" s="4353">
        <f t="shared" si="354"/>
        <v>-3775273.2284999592</v>
      </c>
      <c r="AW128" s="4353">
        <f t="shared" si="354"/>
        <v>-3469331.8257999998</v>
      </c>
      <c r="AX128" s="4353">
        <f t="shared" si="354"/>
        <v>0</v>
      </c>
      <c r="AY128" s="4353"/>
      <c r="AZ128" s="4566"/>
      <c r="BA128" s="4566"/>
      <c r="BB128" s="4566"/>
      <c r="BC128" s="4566"/>
      <c r="BD128" s="4566"/>
      <c r="BE128" s="4566"/>
      <c r="BF128" s="4566"/>
    </row>
    <row r="129" spans="2:58" ht="15" hidden="1" customHeight="1" x14ac:dyDescent="0.25">
      <c r="D129" s="342"/>
      <c r="E129" s="4623"/>
      <c r="F129" s="342"/>
      <c r="G129" s="4623"/>
      <c r="H129" s="4624"/>
      <c r="I129" s="3164"/>
      <c r="J129" s="342"/>
      <c r="K129" s="4623"/>
      <c r="L129" s="4624"/>
      <c r="M129" s="4623"/>
      <c r="N129" s="979"/>
      <c r="O129" s="4566"/>
      <c r="P129" s="4624"/>
      <c r="Q129" s="4566"/>
      <c r="R129" s="979"/>
      <c r="S129" s="4566"/>
      <c r="T129" s="4624"/>
      <c r="U129" s="4566"/>
      <c r="V129" s="979"/>
      <c r="W129" s="4566"/>
      <c r="X129" s="4566"/>
      <c r="Y129" s="4566"/>
      <c r="Z129" s="4566"/>
      <c r="AA129" s="4566"/>
      <c r="AB129" s="979"/>
      <c r="AC129" s="4566"/>
      <c r="AD129" s="4566"/>
      <c r="AE129" s="4566"/>
      <c r="AF129" s="4566"/>
      <c r="AG129" s="4566"/>
      <c r="AH129" s="4566"/>
      <c r="AI129" s="4566"/>
      <c r="AJ129" s="4566"/>
      <c r="AK129" s="4566"/>
      <c r="AL129" s="4566"/>
      <c r="AM129" s="4566"/>
      <c r="AN129" s="4566"/>
      <c r="AO129" s="4566"/>
      <c r="AP129" s="4566"/>
      <c r="AQ129" s="4566"/>
      <c r="AR129" s="4566"/>
      <c r="AS129" s="4566"/>
      <c r="AT129" s="4566"/>
      <c r="AU129" s="4566"/>
      <c r="AV129" s="4566"/>
      <c r="AW129" s="4566"/>
      <c r="AX129" s="4566"/>
      <c r="AY129" s="4566"/>
      <c r="AZ129" s="4566"/>
      <c r="BA129" s="4566"/>
      <c r="BB129" s="4566"/>
      <c r="BC129" s="4566"/>
      <c r="BD129" s="4566"/>
      <c r="BE129" s="4566"/>
      <c r="BF129" s="4566"/>
    </row>
    <row r="130" spans="2:58" ht="15" hidden="1" customHeight="1" x14ac:dyDescent="0.25">
      <c r="D130" s="342">
        <v>174299.99999999651</v>
      </c>
      <c r="E130" s="4623"/>
      <c r="F130" s="342">
        <v>212920.0000000009</v>
      </c>
      <c r="G130" s="4623"/>
      <c r="H130" s="4624"/>
      <c r="I130" s="3164"/>
      <c r="J130" s="342">
        <v>353914.87500000256</v>
      </c>
      <c r="K130" s="4623"/>
      <c r="L130" s="4624"/>
      <c r="M130" s="4623"/>
      <c r="N130" s="979">
        <v>365920.12500000338</v>
      </c>
      <c r="O130" s="4566"/>
      <c r="P130" s="4624"/>
      <c r="Q130" s="4566"/>
      <c r="R130" s="1699">
        <v>365920.12500000338</v>
      </c>
      <c r="S130" s="4566"/>
      <c r="T130" s="4624"/>
      <c r="U130" s="4566"/>
      <c r="V130" s="979">
        <v>355972.50000000122</v>
      </c>
      <c r="W130" s="4566"/>
      <c r="X130" s="4566"/>
      <c r="Y130" s="4566"/>
      <c r="Z130" s="4566"/>
      <c r="AA130" s="4566"/>
      <c r="AB130" s="979">
        <v>368047.49999999988</v>
      </c>
      <c r="AC130" s="4566"/>
      <c r="AD130" s="4566"/>
      <c r="AE130" s="4566"/>
      <c r="AF130" s="4566">
        <v>355972.50000000122</v>
      </c>
      <c r="AG130" s="4566"/>
      <c r="AH130" s="4566"/>
      <c r="AI130" s="4566"/>
      <c r="AJ130" s="4566">
        <v>368047.49999999988</v>
      </c>
      <c r="AK130" s="4566"/>
      <c r="AL130" s="4566"/>
      <c r="AM130" s="4566"/>
      <c r="AN130" s="4566"/>
      <c r="AO130" s="4566"/>
      <c r="AP130" s="4566">
        <v>368047.49999999988</v>
      </c>
      <c r="AQ130" s="4566"/>
      <c r="AR130" s="4566"/>
      <c r="AS130" s="4566"/>
      <c r="AT130" s="4566">
        <v>325890.60350000451</v>
      </c>
      <c r="AU130" s="4566"/>
      <c r="AV130" s="4566"/>
      <c r="AW130" s="4566"/>
      <c r="AX130" s="4566">
        <v>368047.49999999988</v>
      </c>
      <c r="AY130" s="4566"/>
      <c r="AZ130" s="4566"/>
      <c r="BA130" s="4566"/>
      <c r="BB130" s="4566"/>
      <c r="BC130" s="4566"/>
      <c r="BD130" s="4566"/>
      <c r="BE130" s="4566"/>
      <c r="BF130" s="4566"/>
    </row>
    <row r="131" spans="2:58" ht="15" hidden="1" customHeight="1" x14ac:dyDescent="0.25">
      <c r="D131" s="342"/>
      <c r="E131" s="4623"/>
      <c r="F131" s="342"/>
      <c r="G131" s="4623"/>
      <c r="H131" s="4624"/>
      <c r="I131" s="3164"/>
      <c r="J131" s="342"/>
      <c r="K131" s="4623"/>
      <c r="L131" s="4624"/>
      <c r="M131" s="4623"/>
      <c r="N131" s="979"/>
      <c r="O131" s="4566"/>
      <c r="P131" s="4624"/>
      <c r="Q131" s="4566"/>
      <c r="R131" s="979"/>
      <c r="S131" s="4566"/>
      <c r="T131" s="4624"/>
      <c r="U131" s="4566"/>
      <c r="V131" s="4566"/>
      <c r="W131" s="4566"/>
      <c r="X131" s="4566"/>
      <c r="Y131" s="4566"/>
      <c r="Z131" s="4566"/>
      <c r="AA131" s="4566"/>
      <c r="AB131" s="979"/>
      <c r="AC131" s="4566"/>
      <c r="AD131" s="4566"/>
      <c r="AE131" s="4566"/>
      <c r="AF131" s="4566"/>
      <c r="AG131" s="4566"/>
      <c r="AH131" s="4566"/>
      <c r="AI131" s="4566"/>
      <c r="AJ131" s="4566"/>
      <c r="AK131" s="4566"/>
      <c r="AL131" s="4566"/>
      <c r="AM131" s="4566"/>
      <c r="AN131" s="4566"/>
      <c r="AO131" s="4566"/>
      <c r="AP131" s="4566"/>
      <c r="AQ131" s="4566"/>
      <c r="AR131" s="4566"/>
      <c r="AS131" s="4566"/>
      <c r="AT131" s="4566"/>
      <c r="AU131" s="4566"/>
      <c r="AV131" s="4566"/>
      <c r="AW131" s="4566"/>
      <c r="AX131" s="4566"/>
      <c r="AY131" s="4566"/>
      <c r="AZ131" s="4566"/>
      <c r="BA131" s="4566"/>
      <c r="BB131" s="4566"/>
      <c r="BC131" s="4566"/>
      <c r="BD131" s="4566"/>
      <c r="BE131" s="4566"/>
      <c r="BF131" s="4566"/>
    </row>
    <row r="132" spans="2:58" hidden="1" x14ac:dyDescent="0.25">
      <c r="B132" s="4560" t="s">
        <v>1898</v>
      </c>
      <c r="D132" s="4353">
        <f>+D130-D41</f>
        <v>-3.4924596548080444E-9</v>
      </c>
      <c r="E132" s="4623"/>
      <c r="F132" s="4353">
        <f>+F130-F41</f>
        <v>1.8888385966420174E-8</v>
      </c>
      <c r="G132" s="4623"/>
      <c r="H132" s="4624"/>
      <c r="I132" s="3164"/>
      <c r="J132" s="4353">
        <f>+J130-J41</f>
        <v>2.6193447411060333E-9</v>
      </c>
      <c r="K132" s="4623"/>
      <c r="L132" s="4624"/>
      <c r="M132" s="4623"/>
      <c r="N132" s="4353">
        <f>+N130-N41</f>
        <v>3.3760443329811096E-9</v>
      </c>
      <c r="O132" s="4566"/>
      <c r="P132" s="4624"/>
      <c r="Q132" s="4566"/>
      <c r="R132" s="4353">
        <f>+R130-R41</f>
        <v>3.3760443329811096E-9</v>
      </c>
      <c r="S132" s="4566"/>
      <c r="T132" s="4624"/>
      <c r="U132" s="4566"/>
      <c r="V132" s="4353">
        <f>+V130-V41</f>
        <v>1.2223608791828156E-9</v>
      </c>
      <c r="W132" s="4566"/>
      <c r="X132" s="4566"/>
      <c r="Y132" s="4566"/>
      <c r="Z132" s="4566"/>
      <c r="AA132" s="4566"/>
      <c r="AB132" s="4353">
        <f>+AB130-AB41</f>
        <v>0</v>
      </c>
      <c r="AC132" s="4566"/>
      <c r="AD132" s="4566"/>
      <c r="AE132" s="4566"/>
      <c r="AF132" s="4353">
        <f>+AF130-AF41</f>
        <v>1.2223608791828156E-9</v>
      </c>
      <c r="AG132" s="4566"/>
      <c r="AH132" s="4566"/>
      <c r="AI132" s="4566"/>
      <c r="AJ132" s="4353">
        <f>+AJ130-AJ41</f>
        <v>0</v>
      </c>
      <c r="AK132" s="4566"/>
      <c r="AL132" s="4566"/>
      <c r="AM132" s="4566"/>
      <c r="AN132" s="4566"/>
      <c r="AO132" s="4566"/>
      <c r="AP132" s="4353">
        <f>+AP130-AP41</f>
        <v>0</v>
      </c>
      <c r="AQ132" s="4566"/>
      <c r="AR132" s="4566"/>
      <c r="AS132" s="4566"/>
      <c r="AT132" s="4353">
        <f>+AT130-AT41</f>
        <v>2.6891939342021942E-8</v>
      </c>
      <c r="AU132" s="4566"/>
      <c r="AV132" s="4566"/>
      <c r="AW132" s="4566"/>
      <c r="AX132" s="4353">
        <f>+AX130-AX41</f>
        <v>0</v>
      </c>
      <c r="AY132" s="4566"/>
      <c r="AZ132" s="4566"/>
      <c r="BA132" s="4566"/>
      <c r="BB132" s="4566"/>
      <c r="BC132" s="4566"/>
      <c r="BD132" s="4566"/>
      <c r="BE132" s="4566"/>
      <c r="BF132" s="4566"/>
    </row>
    <row r="133" spans="2:58" hidden="1" x14ac:dyDescent="0.25">
      <c r="B133" s="4560" t="s">
        <v>1899</v>
      </c>
      <c r="D133" s="4353">
        <f>+D130-D51</f>
        <v>1.099964720197022E-4</v>
      </c>
      <c r="E133" s="4623"/>
      <c r="F133" s="4353">
        <f>+F130-F51</f>
        <v>0</v>
      </c>
      <c r="G133" s="4623"/>
      <c r="H133" s="4624"/>
      <c r="I133" s="3164"/>
      <c r="J133" s="4353">
        <f>+J130-J51</f>
        <v>1.7462277144659311E-2</v>
      </c>
      <c r="K133" s="4623"/>
      <c r="L133" s="4624"/>
      <c r="M133" s="4623"/>
      <c r="N133" s="4353">
        <f>+N130-N51</f>
        <v>0</v>
      </c>
      <c r="O133" s="4566"/>
      <c r="P133" s="4624"/>
      <c r="Q133" s="4566"/>
      <c r="R133" s="4353">
        <f>+R130-R51</f>
        <v>0</v>
      </c>
      <c r="S133" s="4566"/>
      <c r="T133" s="4624"/>
      <c r="U133" s="4566"/>
      <c r="V133" s="4353">
        <f>+V130-V51</f>
        <v>0</v>
      </c>
      <c r="W133" s="4566"/>
      <c r="X133" s="4566"/>
      <c r="Y133" s="4566"/>
      <c r="Z133" s="4566"/>
      <c r="AA133" s="4566"/>
      <c r="AB133" s="4353">
        <f>+AB130-AB51</f>
        <v>0</v>
      </c>
      <c r="AC133" s="4566"/>
      <c r="AD133" s="4566"/>
      <c r="AE133" s="4566"/>
      <c r="AF133" s="4353">
        <f>+AF130-AF51</f>
        <v>0</v>
      </c>
      <c r="AG133" s="4566"/>
      <c r="AH133" s="4566"/>
      <c r="AI133" s="4566"/>
      <c r="AJ133" s="4353">
        <f>+AJ130-AJ51</f>
        <v>0</v>
      </c>
      <c r="AK133" s="4566"/>
      <c r="AL133" s="4566"/>
      <c r="AM133" s="4566"/>
      <c r="AN133" s="4566"/>
      <c r="AO133" s="4566"/>
      <c r="AP133" s="4353">
        <f>+AP130-AP51</f>
        <v>0</v>
      </c>
      <c r="AQ133" s="4566"/>
      <c r="AR133" s="4566"/>
      <c r="AS133" s="4566"/>
      <c r="AT133" s="4353">
        <f>+AT130-AT51</f>
        <v>0</v>
      </c>
      <c r="AU133" s="4566"/>
      <c r="AV133" s="4566"/>
      <c r="AW133" s="4566"/>
      <c r="AX133" s="4353">
        <f>+AX130-AX51</f>
        <v>0</v>
      </c>
      <c r="AY133" s="4566"/>
      <c r="AZ133" s="4566"/>
      <c r="BA133" s="4566"/>
      <c r="BB133" s="4566"/>
      <c r="BC133" s="4566"/>
      <c r="BD133" s="4566"/>
      <c r="BE133" s="4566"/>
      <c r="BF133" s="4566"/>
    </row>
    <row r="134" spans="2:58" hidden="1" x14ac:dyDescent="0.25">
      <c r="D134" s="342"/>
      <c r="E134" s="4623"/>
      <c r="F134" s="342"/>
      <c r="G134" s="4623"/>
      <c r="H134" s="4624"/>
      <c r="I134" s="3164"/>
      <c r="J134" s="342"/>
      <c r="K134" s="4623"/>
      <c r="L134" s="4624"/>
      <c r="M134" s="4623"/>
      <c r="N134" s="979"/>
      <c r="O134" s="4566"/>
      <c r="P134" s="4624"/>
      <c r="Q134" s="4566"/>
      <c r="R134" s="979"/>
      <c r="S134" s="4566"/>
      <c r="T134" s="4624"/>
      <c r="U134" s="4566"/>
      <c r="V134" s="4566"/>
      <c r="W134" s="4566"/>
      <c r="X134" s="4566"/>
      <c r="Y134" s="4566"/>
      <c r="Z134" s="4566"/>
      <c r="AA134" s="4566"/>
      <c r="AB134" s="979"/>
      <c r="AC134" s="4566"/>
      <c r="AD134" s="4566"/>
      <c r="AE134" s="4566"/>
      <c r="AF134" s="4566"/>
      <c r="AG134" s="4566"/>
      <c r="AH134" s="4566"/>
      <c r="AI134" s="4566"/>
      <c r="AJ134" s="4566"/>
      <c r="AK134" s="4566"/>
      <c r="AL134" s="4566"/>
      <c r="AM134" s="4566"/>
      <c r="AN134" s="4566"/>
      <c r="AO134" s="4566"/>
      <c r="AP134" s="4566"/>
      <c r="AQ134" s="4566"/>
      <c r="AR134" s="4566"/>
      <c r="AS134" s="4566"/>
      <c r="AT134" s="4566"/>
      <c r="AU134" s="4566"/>
      <c r="AV134" s="4566"/>
      <c r="AW134" s="4566"/>
      <c r="AX134" s="4566"/>
      <c r="AY134" s="4566"/>
      <c r="AZ134" s="4566"/>
      <c r="BA134" s="4566"/>
      <c r="BB134" s="4566"/>
      <c r="BC134" s="4566"/>
      <c r="BD134" s="4566"/>
      <c r="BE134" s="4566"/>
      <c r="BF134" s="4566"/>
    </row>
    <row r="135" spans="2:58" hidden="1" x14ac:dyDescent="0.25">
      <c r="D135" s="342"/>
      <c r="E135" s="4623"/>
      <c r="F135" s="342"/>
      <c r="G135" s="4623"/>
      <c r="H135" s="4624"/>
      <c r="I135" s="3164"/>
      <c r="J135" s="342"/>
      <c r="K135" s="4623"/>
      <c r="L135" s="4624"/>
      <c r="M135" s="4623"/>
      <c r="N135" s="979"/>
      <c r="O135" s="4566"/>
      <c r="P135" s="4624"/>
      <c r="Q135" s="4566"/>
      <c r="R135" s="979"/>
      <c r="S135" s="4566"/>
      <c r="T135" s="4624"/>
      <c r="U135" s="4566"/>
      <c r="V135" s="4566"/>
      <c r="W135" s="4566"/>
      <c r="X135" s="4566"/>
      <c r="Y135" s="4566"/>
      <c r="Z135" s="4566"/>
      <c r="AA135" s="4566"/>
      <c r="AB135" s="979"/>
      <c r="AC135" s="4566"/>
      <c r="AD135" s="4566"/>
      <c r="AE135" s="4566"/>
      <c r="AF135" s="4566"/>
      <c r="AG135" s="4566"/>
      <c r="AH135" s="4566"/>
      <c r="AI135" s="4566"/>
      <c r="AJ135" s="4566"/>
      <c r="AK135" s="4566"/>
      <c r="AL135" s="4566"/>
      <c r="AM135" s="4566"/>
      <c r="AN135" s="4566"/>
      <c r="AO135" s="4566"/>
      <c r="AP135" s="4566"/>
      <c r="AQ135" s="4566"/>
      <c r="AR135" s="4566"/>
      <c r="AS135" s="4566"/>
      <c r="AT135" s="4566"/>
      <c r="AU135" s="4566"/>
      <c r="AV135" s="4566"/>
      <c r="AW135" s="4566"/>
      <c r="AX135" s="4566"/>
      <c r="AY135" s="4566"/>
      <c r="AZ135" s="4566"/>
      <c r="BA135" s="4566"/>
      <c r="BB135" s="4566"/>
      <c r="BC135" s="4566"/>
      <c r="BD135" s="4566"/>
      <c r="BE135" s="4566"/>
      <c r="BF135" s="4566"/>
    </row>
    <row r="136" spans="2:58" x14ac:dyDescent="0.25">
      <c r="R136" s="334"/>
      <c r="S136" s="1721"/>
      <c r="T136" s="189"/>
      <c r="U136" s="1721"/>
      <c r="AJ136" s="1726"/>
      <c r="AK136" s="1726"/>
      <c r="AR136" s="1726"/>
      <c r="AS136" s="1726"/>
      <c r="AX136" s="4390"/>
      <c r="AY136" s="4390"/>
      <c r="BD136" s="4390"/>
      <c r="BE136" s="4390"/>
    </row>
    <row r="137" spans="2:58" x14ac:dyDescent="0.25">
      <c r="R137" s="1486">
        <f>+R130-R41</f>
        <v>3.3760443329811096E-9</v>
      </c>
      <c r="S137" s="1721"/>
      <c r="T137" s="189"/>
      <c r="U137" s="1721"/>
      <c r="AJ137" s="1726"/>
      <c r="AK137" s="1726"/>
      <c r="AX137" s="4390"/>
      <c r="AY137" s="4390"/>
      <c r="BD137" s="4390"/>
      <c r="BE137" s="4390"/>
    </row>
    <row r="138" spans="2:58" x14ac:dyDescent="0.25">
      <c r="R138" s="334"/>
      <c r="S138" s="1721"/>
      <c r="T138" s="189"/>
      <c r="U138" s="1721"/>
      <c r="AJ138" s="1726"/>
      <c r="AK138" s="1726"/>
      <c r="AT138" s="4621"/>
      <c r="AX138" s="4390"/>
      <c r="AY138" s="4390"/>
      <c r="BD138" s="4390"/>
      <c r="BE138" s="4390"/>
    </row>
    <row r="139" spans="2:58" x14ac:dyDescent="0.25">
      <c r="R139" s="334"/>
      <c r="S139" s="1721"/>
      <c r="T139" s="189"/>
      <c r="U139" s="1721"/>
      <c r="AU139" s="4621"/>
    </row>
    <row r="140" spans="2:58" x14ac:dyDescent="0.25">
      <c r="R140" s="334"/>
      <c r="S140" s="1721"/>
      <c r="T140" s="189"/>
      <c r="U140" s="1721"/>
    </row>
    <row r="141" spans="2:58" x14ac:dyDescent="0.25">
      <c r="R141" s="334"/>
      <c r="S141" s="1721"/>
      <c r="T141" s="189"/>
      <c r="U141" s="1721"/>
    </row>
    <row r="142" spans="2:58" x14ac:dyDescent="0.25">
      <c r="R142" s="334"/>
      <c r="S142" s="1721"/>
      <c r="T142" s="189"/>
      <c r="U142" s="1721"/>
    </row>
    <row r="143" spans="2:58" x14ac:dyDescent="0.25">
      <c r="R143" s="334"/>
      <c r="S143" s="1721"/>
      <c r="T143" s="189"/>
      <c r="U143" s="1721"/>
    </row>
  </sheetData>
  <mergeCells count="56">
    <mergeCell ref="BD3:BE3"/>
    <mergeCell ref="BD38:BD39"/>
    <mergeCell ref="AR3:AS3"/>
    <mergeCell ref="AR38:AR39"/>
    <mergeCell ref="AT3:AU3"/>
    <mergeCell ref="AV3:AW3"/>
    <mergeCell ref="AT38:AT39"/>
    <mergeCell ref="AV38:AV39"/>
    <mergeCell ref="AX3:AY3"/>
    <mergeCell ref="AX38:AX39"/>
    <mergeCell ref="AZ3:BA3"/>
    <mergeCell ref="AZ38:AZ39"/>
    <mergeCell ref="BB3:BC3"/>
    <mergeCell ref="BB38:BB39"/>
    <mergeCell ref="AP3:AQ3"/>
    <mergeCell ref="AP38:AP39"/>
    <mergeCell ref="AJ38:AJ39"/>
    <mergeCell ref="AN38:AN39"/>
    <mergeCell ref="AL38:AL39"/>
    <mergeCell ref="AJ3:AK3"/>
    <mergeCell ref="AN3:AO3"/>
    <mergeCell ref="AL3:AM3"/>
    <mergeCell ref="AD3:AE3"/>
    <mergeCell ref="AB38:AB39"/>
    <mergeCell ref="AD38:AD39"/>
    <mergeCell ref="AF3:AG3"/>
    <mergeCell ref="AH3:AI3"/>
    <mergeCell ref="AF38:AF39"/>
    <mergeCell ref="AH38:AH39"/>
    <mergeCell ref="R3:S3"/>
    <mergeCell ref="T3:U3"/>
    <mergeCell ref="R38:R39"/>
    <mergeCell ref="T38:T39"/>
    <mergeCell ref="AB3:AC3"/>
    <mergeCell ref="V3:W3"/>
    <mergeCell ref="Z3:AA3"/>
    <mergeCell ref="V38:V39"/>
    <mergeCell ref="X3:Y3"/>
    <mergeCell ref="X38:X39"/>
    <mergeCell ref="Z38:Z39"/>
    <mergeCell ref="D38:D39"/>
    <mergeCell ref="F38:F39"/>
    <mergeCell ref="H38:H39"/>
    <mergeCell ref="J38:J39"/>
    <mergeCell ref="L38:L39"/>
    <mergeCell ref="J3:K3"/>
    <mergeCell ref="L3:M3"/>
    <mergeCell ref="N3:O3"/>
    <mergeCell ref="P3:Q3"/>
    <mergeCell ref="P38:P39"/>
    <mergeCell ref="N38:N39"/>
    <mergeCell ref="B3:B4"/>
    <mergeCell ref="C3:C4"/>
    <mergeCell ref="D3:E3"/>
    <mergeCell ref="F3:G3"/>
    <mergeCell ref="H3:I3"/>
  </mergeCells>
  <pageMargins left="0.7" right="0.7" top="0.75" bottom="0.75" header="0.3" footer="0.3"/>
  <pageSetup scale="87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D2:S33"/>
  <sheetViews>
    <sheetView workbookViewId="0">
      <selection activeCell="K5" sqref="K5"/>
    </sheetView>
  </sheetViews>
  <sheetFormatPr defaultColWidth="9.140625" defaultRowHeight="15" x14ac:dyDescent="0.25"/>
  <cols>
    <col min="1" max="3" width="9.140625" style="1100"/>
    <col min="4" max="4" width="17.28515625" style="1100" customWidth="1"/>
    <col min="5" max="5" width="28.140625" style="1100" bestFit="1" customWidth="1"/>
    <col min="6" max="16384" width="9.140625" style="1100"/>
  </cols>
  <sheetData>
    <row r="2" spans="4:19" ht="37.5" customHeight="1" x14ac:dyDescent="0.25">
      <c r="D2" s="5366" t="s">
        <v>1093</v>
      </c>
      <c r="E2" s="5366"/>
      <c r="F2" s="5366"/>
      <c r="G2" s="5366"/>
      <c r="H2" s="5366"/>
      <c r="I2" s="5366"/>
      <c r="J2" s="5366"/>
      <c r="K2" s="5366"/>
      <c r="L2" s="5366"/>
      <c r="M2" s="5366"/>
      <c r="N2" s="5366"/>
      <c r="O2" s="5366"/>
      <c r="P2" s="5366"/>
      <c r="Q2" s="5366"/>
      <c r="R2" s="5366"/>
      <c r="S2" s="5366"/>
    </row>
    <row r="4" spans="4:19" x14ac:dyDescent="0.25">
      <c r="D4" s="421"/>
      <c r="E4" s="421"/>
      <c r="F4" s="421"/>
      <c r="G4" s="714" t="s">
        <v>1069</v>
      </c>
      <c r="H4" s="714" t="s">
        <v>1070</v>
      </c>
      <c r="I4" s="714" t="s">
        <v>1071</v>
      </c>
      <c r="J4" s="714" t="s">
        <v>1072</v>
      </c>
      <c r="K4" s="714" t="s">
        <v>1073</v>
      </c>
      <c r="L4" s="714" t="s">
        <v>1074</v>
      </c>
      <c r="M4" s="714" t="s">
        <v>1075</v>
      </c>
      <c r="N4" s="714" t="s">
        <v>1076</v>
      </c>
      <c r="O4" s="714" t="s">
        <v>1077</v>
      </c>
      <c r="P4" s="714" t="s">
        <v>1078</v>
      </c>
      <c r="Q4" s="714" t="s">
        <v>1079</v>
      </c>
      <c r="R4" s="714" t="s">
        <v>1080</v>
      </c>
      <c r="S4" s="714" t="s">
        <v>828</v>
      </c>
    </row>
    <row r="5" spans="4:19" x14ac:dyDescent="0.25">
      <c r="D5" s="5367" t="s">
        <v>294</v>
      </c>
      <c r="E5" s="1103" t="s">
        <v>1081</v>
      </c>
      <c r="F5" s="714" t="s">
        <v>393</v>
      </c>
      <c r="G5" s="714">
        <v>575</v>
      </c>
      <c r="H5" s="714"/>
      <c r="I5" s="714"/>
      <c r="J5" s="714"/>
      <c r="K5" s="714"/>
      <c r="L5" s="714"/>
      <c r="M5" s="714"/>
      <c r="N5" s="714"/>
      <c r="O5" s="714"/>
      <c r="P5" s="714"/>
      <c r="Q5" s="714"/>
      <c r="R5" s="714"/>
      <c r="S5" s="714">
        <f>SUM(G5:R5)</f>
        <v>575</v>
      </c>
    </row>
    <row r="6" spans="4:19" x14ac:dyDescent="0.25">
      <c r="D6" s="5367"/>
      <c r="E6" s="1104" t="s">
        <v>1082</v>
      </c>
      <c r="F6" s="714" t="s">
        <v>393</v>
      </c>
      <c r="G6" s="714">
        <v>804</v>
      </c>
      <c r="H6" s="714"/>
      <c r="I6" s="714"/>
      <c r="J6" s="714"/>
      <c r="K6" s="714"/>
      <c r="L6" s="714"/>
      <c r="M6" s="714"/>
      <c r="N6" s="714"/>
      <c r="O6" s="714"/>
      <c r="P6" s="714"/>
      <c r="Q6" s="714"/>
      <c r="R6" s="714"/>
      <c r="S6" s="714">
        <f t="shared" ref="S6:S13" si="0">SUM(G6:R6)</f>
        <v>804</v>
      </c>
    </row>
    <row r="7" spans="4:19" x14ac:dyDescent="0.25">
      <c r="D7" s="5367"/>
      <c r="E7" s="1103" t="s">
        <v>1083</v>
      </c>
      <c r="F7" s="714" t="s">
        <v>393</v>
      </c>
      <c r="G7" s="714">
        <v>333</v>
      </c>
      <c r="H7" s="714"/>
      <c r="I7" s="714"/>
      <c r="J7" s="714"/>
      <c r="K7" s="714"/>
      <c r="L7" s="714"/>
      <c r="M7" s="714"/>
      <c r="N7" s="714"/>
      <c r="O7" s="714"/>
      <c r="P7" s="714"/>
      <c r="Q7" s="714"/>
      <c r="R7" s="714"/>
      <c r="S7" s="714">
        <f t="shared" si="0"/>
        <v>333</v>
      </c>
    </row>
    <row r="8" spans="4:19" x14ac:dyDescent="0.25">
      <c r="D8" s="5367"/>
      <c r="E8" s="1103" t="s">
        <v>1084</v>
      </c>
      <c r="F8" s="714" t="s">
        <v>393</v>
      </c>
      <c r="G8" s="714">
        <v>304</v>
      </c>
      <c r="H8" s="714"/>
      <c r="I8" s="714"/>
      <c r="J8" s="714"/>
      <c r="K8" s="714"/>
      <c r="L8" s="714"/>
      <c r="M8" s="714"/>
      <c r="N8" s="714"/>
      <c r="O8" s="714"/>
      <c r="P8" s="714"/>
      <c r="Q8" s="714"/>
      <c r="R8" s="714"/>
      <c r="S8" s="714">
        <f t="shared" si="0"/>
        <v>304</v>
      </c>
    </row>
    <row r="9" spans="4:19" x14ac:dyDescent="0.25">
      <c r="D9" s="5367"/>
      <c r="E9" s="1103" t="s">
        <v>1085</v>
      </c>
      <c r="F9" s="714" t="s">
        <v>393</v>
      </c>
      <c r="G9" s="714">
        <v>300</v>
      </c>
      <c r="H9" s="714"/>
      <c r="I9" s="714"/>
      <c r="J9" s="714"/>
      <c r="K9" s="714"/>
      <c r="L9" s="714"/>
      <c r="M9" s="714"/>
      <c r="N9" s="714"/>
      <c r="O9" s="714"/>
      <c r="P9" s="714"/>
      <c r="Q9" s="714"/>
      <c r="R9" s="714"/>
      <c r="S9" s="714">
        <f t="shared" si="0"/>
        <v>300</v>
      </c>
    </row>
    <row r="11" spans="4:19" ht="15" customHeight="1" x14ac:dyDescent="0.25">
      <c r="D11" s="5368" t="s">
        <v>892</v>
      </c>
      <c r="E11" s="421" t="s">
        <v>1086</v>
      </c>
      <c r="F11" s="714" t="s">
        <v>393</v>
      </c>
      <c r="G11" s="863"/>
      <c r="H11" s="863"/>
      <c r="I11" s="863"/>
      <c r="J11" s="863"/>
      <c r="K11" s="863"/>
      <c r="L11" s="863"/>
      <c r="M11" s="863"/>
      <c r="N11" s="863"/>
      <c r="O11" s="863"/>
      <c r="P11" s="863"/>
      <c r="Q11" s="863"/>
      <c r="R11" s="863"/>
      <c r="S11" s="863">
        <f t="shared" si="0"/>
        <v>0</v>
      </c>
    </row>
    <row r="12" spans="4:19" x14ac:dyDescent="0.25">
      <c r="D12" s="5368"/>
      <c r="E12" s="421" t="s">
        <v>1087</v>
      </c>
      <c r="F12" s="714" t="s">
        <v>393</v>
      </c>
      <c r="G12" s="863">
        <f>+'B-FCE'!F16</f>
        <v>3262</v>
      </c>
      <c r="H12" s="863">
        <f>+'B-FCE'!H16</f>
        <v>1898.93</v>
      </c>
      <c r="I12" s="863"/>
      <c r="J12" s="863"/>
      <c r="K12" s="863"/>
      <c r="L12" s="863"/>
      <c r="M12" s="863"/>
      <c r="N12" s="863"/>
      <c r="O12" s="863"/>
      <c r="P12" s="863"/>
      <c r="Q12" s="863"/>
      <c r="R12" s="863"/>
      <c r="S12" s="863">
        <f t="shared" si="0"/>
        <v>5160.93</v>
      </c>
    </row>
    <row r="13" spans="4:19" x14ac:dyDescent="0.25">
      <c r="D13" s="5368"/>
      <c r="E13" s="421" t="s">
        <v>1088</v>
      </c>
      <c r="F13" s="714" t="s">
        <v>393</v>
      </c>
      <c r="G13" s="863"/>
      <c r="H13" s="863"/>
      <c r="I13" s="863"/>
      <c r="J13" s="863"/>
      <c r="K13" s="863"/>
      <c r="L13" s="863"/>
      <c r="M13" s="863"/>
      <c r="N13" s="863"/>
      <c r="O13" s="863"/>
      <c r="P13" s="863"/>
      <c r="Q13" s="863"/>
      <c r="R13" s="863"/>
      <c r="S13" s="863">
        <f t="shared" si="0"/>
        <v>0</v>
      </c>
    </row>
    <row r="15" spans="4:19" x14ac:dyDescent="0.25">
      <c r="D15" s="5368" t="s">
        <v>1089</v>
      </c>
      <c r="E15" s="421" t="s">
        <v>62</v>
      </c>
      <c r="F15" s="714" t="s">
        <v>393</v>
      </c>
      <c r="G15" s="863"/>
      <c r="H15" s="863"/>
      <c r="I15" s="863"/>
      <c r="J15" s="863"/>
      <c r="K15" s="863"/>
      <c r="L15" s="863"/>
      <c r="M15" s="863"/>
      <c r="N15" s="863"/>
      <c r="O15" s="863"/>
      <c r="P15" s="863"/>
      <c r="Q15" s="863"/>
      <c r="R15" s="863"/>
      <c r="S15" s="863">
        <f>SUM(G15:R15)</f>
        <v>0</v>
      </c>
    </row>
    <row r="16" spans="4:19" x14ac:dyDescent="0.25">
      <c r="D16" s="5368"/>
      <c r="E16" s="421" t="s">
        <v>101</v>
      </c>
      <c r="F16" s="714" t="s">
        <v>393</v>
      </c>
      <c r="G16" s="863"/>
      <c r="H16" s="863"/>
      <c r="I16" s="863"/>
      <c r="J16" s="863"/>
      <c r="K16" s="863"/>
      <c r="L16" s="863"/>
      <c r="M16" s="863"/>
      <c r="N16" s="863"/>
      <c r="O16" s="863"/>
      <c r="P16" s="863"/>
      <c r="Q16" s="863"/>
      <c r="R16" s="863"/>
      <c r="S16" s="863">
        <f>SUM(G16:R16)</f>
        <v>0</v>
      </c>
    </row>
    <row r="17" spans="4:19" x14ac:dyDescent="0.25">
      <c r="D17" s="5368"/>
      <c r="E17" s="421" t="s">
        <v>138</v>
      </c>
      <c r="F17" s="714" t="s">
        <v>393</v>
      </c>
      <c r="G17" s="863"/>
      <c r="H17" s="863"/>
      <c r="I17" s="863"/>
      <c r="J17" s="863"/>
      <c r="K17" s="863"/>
      <c r="L17" s="863"/>
      <c r="M17" s="863"/>
      <c r="N17" s="777"/>
      <c r="O17" s="777"/>
      <c r="P17" s="777"/>
      <c r="Q17" s="777"/>
      <c r="R17" s="777"/>
      <c r="S17" s="863">
        <f>SUM(G17:R17)</f>
        <v>0</v>
      </c>
    </row>
    <row r="20" spans="4:19" x14ac:dyDescent="0.25">
      <c r="D20" s="5365" t="s">
        <v>62</v>
      </c>
      <c r="E20" s="421" t="s">
        <v>1090</v>
      </c>
      <c r="F20" s="714" t="s">
        <v>393</v>
      </c>
      <c r="G20" s="863"/>
      <c r="H20" s="863"/>
      <c r="I20" s="863"/>
      <c r="J20" s="863"/>
      <c r="K20" s="863"/>
      <c r="L20" s="863"/>
      <c r="M20" s="863"/>
      <c r="N20" s="863"/>
      <c r="O20" s="863"/>
      <c r="P20" s="863"/>
      <c r="Q20" s="863"/>
      <c r="R20" s="863"/>
      <c r="S20" s="863">
        <f t="shared" ref="S20:S23" si="1">SUM(G20:R20)</f>
        <v>0</v>
      </c>
    </row>
    <row r="21" spans="4:19" x14ac:dyDescent="0.25">
      <c r="D21" s="5365"/>
      <c r="E21" s="421" t="s">
        <v>1024</v>
      </c>
      <c r="F21" s="714" t="s">
        <v>393</v>
      </c>
      <c r="G21" s="863"/>
      <c r="H21" s="863"/>
      <c r="I21" s="863"/>
      <c r="J21" s="863"/>
      <c r="K21" s="863"/>
      <c r="L21" s="863"/>
      <c r="M21" s="863"/>
      <c r="N21" s="863"/>
      <c r="O21" s="863"/>
      <c r="P21" s="863"/>
      <c r="Q21" s="863"/>
      <c r="R21" s="863"/>
      <c r="S21" s="863">
        <f t="shared" si="1"/>
        <v>0</v>
      </c>
    </row>
    <row r="22" spans="4:19" x14ac:dyDescent="0.25">
      <c r="D22" s="5365"/>
      <c r="E22" s="421" t="s">
        <v>1091</v>
      </c>
      <c r="F22" s="714" t="s">
        <v>393</v>
      </c>
      <c r="G22" s="863">
        <f t="shared" ref="G22:R22" si="2">SUM(G20:G21)</f>
        <v>0</v>
      </c>
      <c r="H22" s="863">
        <f t="shared" si="2"/>
        <v>0</v>
      </c>
      <c r="I22" s="863">
        <f t="shared" si="2"/>
        <v>0</v>
      </c>
      <c r="J22" s="863">
        <f t="shared" si="2"/>
        <v>0</v>
      </c>
      <c r="K22" s="863">
        <f t="shared" si="2"/>
        <v>0</v>
      </c>
      <c r="L22" s="863">
        <f t="shared" si="2"/>
        <v>0</v>
      </c>
      <c r="M22" s="863">
        <f t="shared" si="2"/>
        <v>0</v>
      </c>
      <c r="N22" s="863">
        <f t="shared" si="2"/>
        <v>0</v>
      </c>
      <c r="O22" s="863">
        <f t="shared" si="2"/>
        <v>0</v>
      </c>
      <c r="P22" s="863">
        <f t="shared" si="2"/>
        <v>0</v>
      </c>
      <c r="Q22" s="863">
        <f t="shared" si="2"/>
        <v>0</v>
      </c>
      <c r="R22" s="863">
        <f t="shared" si="2"/>
        <v>0</v>
      </c>
      <c r="S22" s="863">
        <f t="shared" si="1"/>
        <v>0</v>
      </c>
    </row>
    <row r="23" spans="4:19" x14ac:dyDescent="0.25">
      <c r="D23" s="5365"/>
      <c r="E23" s="421" t="s">
        <v>1092</v>
      </c>
      <c r="F23" s="714" t="s">
        <v>393</v>
      </c>
      <c r="G23" s="863"/>
      <c r="H23" s="863"/>
      <c r="I23" s="863"/>
      <c r="J23" s="863"/>
      <c r="K23" s="863"/>
      <c r="L23" s="863"/>
      <c r="M23" s="863"/>
      <c r="N23" s="863"/>
      <c r="O23" s="863"/>
      <c r="P23" s="863"/>
      <c r="Q23" s="863"/>
      <c r="R23" s="863"/>
      <c r="S23" s="863">
        <f t="shared" si="1"/>
        <v>0</v>
      </c>
    </row>
    <row r="25" spans="4:19" x14ac:dyDescent="0.25">
      <c r="D25" s="5365" t="s">
        <v>101</v>
      </c>
      <c r="E25" s="421" t="s">
        <v>1090</v>
      </c>
      <c r="F25" s="714" t="s">
        <v>393</v>
      </c>
      <c r="G25" s="863"/>
      <c r="H25" s="863"/>
      <c r="I25" s="863"/>
      <c r="J25" s="863"/>
      <c r="K25" s="863"/>
      <c r="L25" s="863"/>
      <c r="M25" s="863"/>
      <c r="N25" s="863"/>
      <c r="O25" s="863"/>
      <c r="P25" s="863"/>
      <c r="Q25" s="863"/>
      <c r="R25" s="863"/>
      <c r="S25" s="863">
        <f t="shared" ref="S25:S28" si="3">SUM(G25:R25)</f>
        <v>0</v>
      </c>
    </row>
    <row r="26" spans="4:19" x14ac:dyDescent="0.25">
      <c r="D26" s="5365"/>
      <c r="E26" s="421" t="s">
        <v>1024</v>
      </c>
      <c r="F26" s="714" t="s">
        <v>393</v>
      </c>
      <c r="G26" s="863"/>
      <c r="H26" s="863"/>
      <c r="I26" s="863"/>
      <c r="J26" s="863"/>
      <c r="K26" s="863"/>
      <c r="L26" s="863"/>
      <c r="M26" s="863"/>
      <c r="N26" s="863"/>
      <c r="O26" s="863"/>
      <c r="P26" s="863"/>
      <c r="Q26" s="863"/>
      <c r="R26" s="863"/>
      <c r="S26" s="863">
        <f t="shared" si="3"/>
        <v>0</v>
      </c>
    </row>
    <row r="27" spans="4:19" x14ac:dyDescent="0.25">
      <c r="D27" s="5365"/>
      <c r="E27" s="421" t="s">
        <v>1091</v>
      </c>
      <c r="F27" s="714" t="s">
        <v>393</v>
      </c>
      <c r="G27" s="863">
        <f t="shared" ref="G27:R27" si="4">SUM(G25:G26)</f>
        <v>0</v>
      </c>
      <c r="H27" s="863">
        <f t="shared" si="4"/>
        <v>0</v>
      </c>
      <c r="I27" s="863">
        <f t="shared" si="4"/>
        <v>0</v>
      </c>
      <c r="J27" s="863">
        <f t="shared" si="4"/>
        <v>0</v>
      </c>
      <c r="K27" s="863">
        <f t="shared" si="4"/>
        <v>0</v>
      </c>
      <c r="L27" s="863">
        <f t="shared" si="4"/>
        <v>0</v>
      </c>
      <c r="M27" s="863">
        <f t="shared" si="4"/>
        <v>0</v>
      </c>
      <c r="N27" s="863">
        <f t="shared" si="4"/>
        <v>0</v>
      </c>
      <c r="O27" s="863">
        <f t="shared" si="4"/>
        <v>0</v>
      </c>
      <c r="P27" s="863">
        <f t="shared" si="4"/>
        <v>0</v>
      </c>
      <c r="Q27" s="863">
        <f t="shared" si="4"/>
        <v>0</v>
      </c>
      <c r="R27" s="863">
        <f t="shared" si="4"/>
        <v>0</v>
      </c>
      <c r="S27" s="863">
        <f t="shared" si="3"/>
        <v>0</v>
      </c>
    </row>
    <row r="28" spans="4:19" x14ac:dyDescent="0.25">
      <c r="D28" s="5365"/>
      <c r="E28" s="421" t="s">
        <v>1092</v>
      </c>
      <c r="F28" s="714" t="s">
        <v>393</v>
      </c>
      <c r="G28" s="863"/>
      <c r="H28" s="863"/>
      <c r="I28" s="863"/>
      <c r="J28" s="863"/>
      <c r="K28" s="863"/>
      <c r="L28" s="863"/>
      <c r="M28" s="863"/>
      <c r="N28" s="863"/>
      <c r="O28" s="863"/>
      <c r="P28" s="863"/>
      <c r="Q28" s="863"/>
      <c r="R28" s="863"/>
      <c r="S28" s="863">
        <f t="shared" si="3"/>
        <v>0</v>
      </c>
    </row>
    <row r="30" spans="4:19" x14ac:dyDescent="0.25">
      <c r="D30" s="5365" t="s">
        <v>124</v>
      </c>
      <c r="E30" s="421" t="s">
        <v>1090</v>
      </c>
      <c r="F30" s="714" t="s">
        <v>393</v>
      </c>
      <c r="G30" s="863"/>
      <c r="H30" s="863"/>
      <c r="I30" s="863"/>
      <c r="J30" s="863"/>
      <c r="K30" s="863"/>
      <c r="L30" s="863"/>
      <c r="M30" s="863"/>
      <c r="N30" s="863"/>
      <c r="O30" s="863"/>
      <c r="P30" s="863"/>
      <c r="Q30" s="863"/>
      <c r="R30" s="863"/>
      <c r="S30" s="863">
        <f t="shared" ref="S30:S33" si="5">SUM(G30:R30)</f>
        <v>0</v>
      </c>
    </row>
    <row r="31" spans="4:19" x14ac:dyDescent="0.25">
      <c r="D31" s="5365"/>
      <c r="E31" s="421" t="s">
        <v>1024</v>
      </c>
      <c r="F31" s="714" t="s">
        <v>393</v>
      </c>
      <c r="G31" s="863"/>
      <c r="H31" s="863"/>
      <c r="I31" s="863"/>
      <c r="J31" s="863"/>
      <c r="K31" s="863"/>
      <c r="L31" s="863"/>
      <c r="M31" s="863"/>
      <c r="N31" s="863"/>
      <c r="O31" s="863"/>
      <c r="P31" s="863"/>
      <c r="Q31" s="863"/>
      <c r="R31" s="863"/>
      <c r="S31" s="863">
        <f t="shared" si="5"/>
        <v>0</v>
      </c>
    </row>
    <row r="32" spans="4:19" x14ac:dyDescent="0.25">
      <c r="D32" s="5365"/>
      <c r="E32" s="421" t="s">
        <v>1091</v>
      </c>
      <c r="F32" s="714" t="s">
        <v>393</v>
      </c>
      <c r="G32" s="863">
        <f t="shared" ref="G32:R32" si="6">SUM(G30:G31)</f>
        <v>0</v>
      </c>
      <c r="H32" s="863">
        <f t="shared" si="6"/>
        <v>0</v>
      </c>
      <c r="I32" s="863">
        <f t="shared" si="6"/>
        <v>0</v>
      </c>
      <c r="J32" s="863">
        <f t="shared" si="6"/>
        <v>0</v>
      </c>
      <c r="K32" s="863">
        <f t="shared" si="6"/>
        <v>0</v>
      </c>
      <c r="L32" s="863">
        <f t="shared" si="6"/>
        <v>0</v>
      </c>
      <c r="M32" s="863">
        <f t="shared" si="6"/>
        <v>0</v>
      </c>
      <c r="N32" s="863">
        <f t="shared" si="6"/>
        <v>0</v>
      </c>
      <c r="O32" s="863">
        <f t="shared" si="6"/>
        <v>0</v>
      </c>
      <c r="P32" s="863">
        <f t="shared" si="6"/>
        <v>0</v>
      </c>
      <c r="Q32" s="863">
        <f t="shared" si="6"/>
        <v>0</v>
      </c>
      <c r="R32" s="863">
        <f t="shared" si="6"/>
        <v>0</v>
      </c>
      <c r="S32" s="863">
        <f t="shared" si="5"/>
        <v>0</v>
      </c>
    </row>
    <row r="33" spans="4:19" x14ac:dyDescent="0.25">
      <c r="D33" s="5365"/>
      <c r="E33" s="421" t="s">
        <v>1092</v>
      </c>
      <c r="F33" s="714" t="s">
        <v>393</v>
      </c>
      <c r="G33" s="1105"/>
      <c r="H33" s="863"/>
      <c r="I33" s="863"/>
      <c r="J33" s="863"/>
      <c r="K33" s="863"/>
      <c r="L33" s="863"/>
      <c r="M33" s="863"/>
      <c r="N33" s="863"/>
      <c r="O33" s="863"/>
      <c r="P33" s="863"/>
      <c r="Q33" s="863"/>
      <c r="R33" s="863"/>
      <c r="S33" s="863">
        <f t="shared" si="5"/>
        <v>0</v>
      </c>
    </row>
  </sheetData>
  <mergeCells count="7">
    <mergeCell ref="D30:D33"/>
    <mergeCell ref="D2:S2"/>
    <mergeCell ref="D5:D9"/>
    <mergeCell ref="D11:D13"/>
    <mergeCell ref="D15:D17"/>
    <mergeCell ref="D20:D23"/>
    <mergeCell ref="D25:D28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</sheetPr>
  <dimension ref="B1:BI34"/>
  <sheetViews>
    <sheetView topLeftCell="A10" zoomScale="115" zoomScaleNormal="115" workbookViewId="0">
      <pane xSplit="3" topLeftCell="AU1" activePane="topRight" state="frozen"/>
      <selection pane="topRight" activeCell="BE26" sqref="BE26"/>
    </sheetView>
  </sheetViews>
  <sheetFormatPr defaultColWidth="8.85546875" defaultRowHeight="15" x14ac:dyDescent="0.25"/>
  <cols>
    <col min="2" max="2" width="43.42578125" customWidth="1"/>
    <col min="4" max="4" width="11.140625" style="189" customWidth="1"/>
    <col min="5" max="5" width="9.140625" style="200" bestFit="1" customWidth="1"/>
    <col min="6" max="6" width="9.140625" style="189" bestFit="1" customWidth="1"/>
    <col min="7" max="7" width="9.140625" style="200" bestFit="1" customWidth="1"/>
    <col min="8" max="8" width="7.7109375" style="189" hidden="1" customWidth="1"/>
    <col min="9" max="9" width="9.140625" style="200" hidden="1" customWidth="1"/>
    <col min="10" max="10" width="10.7109375" style="189" bestFit="1" customWidth="1"/>
    <col min="11" max="11" width="10.7109375" style="200" bestFit="1" customWidth="1"/>
    <col min="12" max="12" width="10.7109375" style="189" customWidth="1"/>
    <col min="13" max="13" width="10.7109375" style="200" customWidth="1"/>
    <col min="14" max="14" width="10.7109375" style="189" bestFit="1" customWidth="1"/>
    <col min="15" max="15" width="10.7109375" style="200" bestFit="1" customWidth="1"/>
    <col min="16" max="16" width="7.85546875" style="189" hidden="1" customWidth="1"/>
    <col min="17" max="17" width="8.42578125" style="200" hidden="1" customWidth="1"/>
    <col min="18" max="18" width="9.140625" customWidth="1"/>
    <col min="19" max="19" width="11.42578125" customWidth="1"/>
    <col min="20" max="21" width="10.7109375" hidden="1" customWidth="1"/>
    <col min="22" max="22" width="8.85546875" customWidth="1"/>
    <col min="23" max="23" width="10.42578125" customWidth="1"/>
    <col min="24" max="24" width="8.85546875" style="1224" customWidth="1"/>
    <col min="25" max="25" width="10.7109375" style="1224" customWidth="1"/>
    <col min="26" max="26" width="8.85546875" customWidth="1"/>
    <col min="27" max="27" width="10.7109375" customWidth="1"/>
    <col min="28" max="28" width="8.7109375" customWidth="1"/>
    <col min="29" max="29" width="10.42578125" customWidth="1"/>
    <col min="30" max="31" width="8.85546875" hidden="1" customWidth="1"/>
    <col min="32" max="32" width="8.85546875" customWidth="1"/>
    <col min="33" max="33" width="10.42578125" customWidth="1"/>
    <col min="34" max="35" width="8.85546875" hidden="1" customWidth="1"/>
    <col min="36" max="39" width="8.85546875" customWidth="1"/>
    <col min="40" max="41" width="8.85546875" hidden="1" customWidth="1"/>
    <col min="42" max="42" width="8.85546875" customWidth="1"/>
    <col min="44" max="45" width="8.85546875" hidden="1" customWidth="1"/>
    <col min="48" max="49" width="8.85546875" hidden="1" customWidth="1"/>
    <col min="52" max="55" width="8.85546875" style="4390" customWidth="1"/>
  </cols>
  <sheetData>
    <row r="1" spans="2:61" ht="15.75" x14ac:dyDescent="0.25">
      <c r="B1" s="2447" t="s">
        <v>414</v>
      </c>
      <c r="C1" s="2425"/>
      <c r="D1" s="2425"/>
      <c r="E1" s="2425"/>
      <c r="F1" s="2425"/>
      <c r="G1" s="2425"/>
      <c r="H1" s="2425"/>
      <c r="I1" s="2425"/>
      <c r="J1" s="2426"/>
      <c r="K1" s="2426"/>
      <c r="L1" s="2426"/>
      <c r="M1" s="2426"/>
      <c r="N1" s="2426"/>
      <c r="O1" s="2426"/>
      <c r="P1" s="2426"/>
      <c r="Q1" s="2426"/>
      <c r="R1" s="2426"/>
      <c r="S1" s="2426"/>
      <c r="T1" s="2426"/>
      <c r="U1" s="2426"/>
      <c r="V1" s="2426"/>
      <c r="W1" s="2426"/>
      <c r="X1" s="2426"/>
      <c r="Y1" s="2426"/>
      <c r="Z1" s="2426"/>
      <c r="AA1" s="2426"/>
    </row>
    <row r="2" spans="2:61" s="200" customFormat="1" ht="16.5" thickBot="1" x14ac:dyDescent="0.3">
      <c r="B2" s="3721"/>
      <c r="C2" s="3721"/>
      <c r="D2" s="3721"/>
      <c r="E2" s="3721"/>
      <c r="F2" s="3721"/>
      <c r="G2" s="3721"/>
      <c r="H2" s="3721"/>
      <c r="I2" s="3721"/>
      <c r="J2" s="3722"/>
      <c r="K2" s="3722"/>
      <c r="L2" s="3722"/>
      <c r="M2" s="3722"/>
      <c r="N2" s="3722"/>
      <c r="O2" s="3722"/>
      <c r="P2" s="3722"/>
      <c r="Q2" s="3722"/>
      <c r="R2" s="3722"/>
      <c r="S2" s="3722"/>
      <c r="T2" s="3722"/>
      <c r="U2" s="3722"/>
      <c r="V2" s="3722"/>
      <c r="W2" s="3722"/>
      <c r="X2" s="3722"/>
      <c r="Y2" s="3722"/>
      <c r="Z2" s="3722"/>
      <c r="AA2" s="3722"/>
    </row>
    <row r="3" spans="2:61" s="200" customFormat="1" ht="15.75" x14ac:dyDescent="0.25">
      <c r="B3" s="5370" t="s">
        <v>197</v>
      </c>
      <c r="C3" s="5372" t="s">
        <v>198</v>
      </c>
      <c r="D3" s="5372" t="s">
        <v>1323</v>
      </c>
      <c r="E3" s="5372"/>
      <c r="F3" s="5372" t="s">
        <v>1384</v>
      </c>
      <c r="G3" s="5372"/>
      <c r="H3" s="5369" t="s">
        <v>15</v>
      </c>
      <c r="I3" s="5369"/>
      <c r="J3" s="5372" t="s">
        <v>1397</v>
      </c>
      <c r="K3" s="5372"/>
      <c r="L3" s="5374" t="s">
        <v>741</v>
      </c>
      <c r="M3" s="5374"/>
      <c r="N3" s="5372" t="s">
        <v>1424</v>
      </c>
      <c r="O3" s="5372"/>
      <c r="P3" s="5369" t="s">
        <v>18</v>
      </c>
      <c r="Q3" s="5369"/>
      <c r="R3" s="5372" t="s">
        <v>1496</v>
      </c>
      <c r="S3" s="5372"/>
      <c r="T3" s="5369" t="s">
        <v>19</v>
      </c>
      <c r="U3" s="5369"/>
      <c r="V3" s="5372" t="s">
        <v>1573</v>
      </c>
      <c r="W3" s="5372"/>
      <c r="X3" s="5374" t="s">
        <v>788</v>
      </c>
      <c r="Y3" s="5374"/>
      <c r="Z3" s="5375" t="s">
        <v>784</v>
      </c>
      <c r="AA3" s="5375"/>
      <c r="AB3" s="4840" t="s">
        <v>1634</v>
      </c>
      <c r="AC3" s="4840"/>
      <c r="AD3" s="5369" t="s">
        <v>26</v>
      </c>
      <c r="AE3" s="5369"/>
      <c r="AF3" s="4840" t="s">
        <v>1671</v>
      </c>
      <c r="AG3" s="4840"/>
      <c r="AH3" s="5369" t="s">
        <v>29</v>
      </c>
      <c r="AI3" s="5369"/>
      <c r="AJ3" s="4840" t="s">
        <v>1696</v>
      </c>
      <c r="AK3" s="4840"/>
      <c r="AL3" s="4844" t="s">
        <v>799</v>
      </c>
      <c r="AM3" s="4844"/>
      <c r="AN3" s="5369" t="s">
        <v>1221</v>
      </c>
      <c r="AO3" s="5376"/>
      <c r="AP3" s="4840" t="s">
        <v>1760</v>
      </c>
      <c r="AQ3" s="4840"/>
      <c r="AR3" s="5369" t="s">
        <v>31</v>
      </c>
      <c r="AS3" s="5369"/>
      <c r="AT3" s="4840" t="s">
        <v>1812</v>
      </c>
      <c r="AU3" s="4840"/>
      <c r="AV3" s="5369" t="s">
        <v>33</v>
      </c>
      <c r="AW3" s="5369"/>
      <c r="AX3" s="4840" t="s">
        <v>1844</v>
      </c>
      <c r="AY3" s="4840"/>
      <c r="AZ3" s="4844" t="s">
        <v>800</v>
      </c>
      <c r="BA3" s="4844"/>
      <c r="BB3" s="5375" t="s">
        <v>817</v>
      </c>
      <c r="BC3" s="5375"/>
      <c r="BD3" s="5369" t="s">
        <v>1314</v>
      </c>
      <c r="BE3" s="5369"/>
    </row>
    <row r="4" spans="2:61" s="200" customFormat="1" ht="16.5" thickBot="1" x14ac:dyDescent="0.3">
      <c r="B4" s="5371"/>
      <c r="C4" s="5373"/>
      <c r="D4" s="3731" t="s">
        <v>199</v>
      </c>
      <c r="E4" s="3731" t="s">
        <v>200</v>
      </c>
      <c r="F4" s="3731" t="s">
        <v>199</v>
      </c>
      <c r="G4" s="3731" t="s">
        <v>200</v>
      </c>
      <c r="H4" s="3732" t="s">
        <v>199</v>
      </c>
      <c r="I4" s="3732" t="s">
        <v>200</v>
      </c>
      <c r="J4" s="3731" t="s">
        <v>199</v>
      </c>
      <c r="K4" s="3731" t="s">
        <v>200</v>
      </c>
      <c r="L4" s="3733" t="s">
        <v>199</v>
      </c>
      <c r="M4" s="3733" t="s">
        <v>200</v>
      </c>
      <c r="N4" s="3731" t="s">
        <v>199</v>
      </c>
      <c r="O4" s="3731" t="s">
        <v>200</v>
      </c>
      <c r="P4" s="3732" t="s">
        <v>199</v>
      </c>
      <c r="Q4" s="3732" t="s">
        <v>200</v>
      </c>
      <c r="R4" s="3731" t="s">
        <v>199</v>
      </c>
      <c r="S4" s="3731" t="s">
        <v>200</v>
      </c>
      <c r="T4" s="3732" t="s">
        <v>199</v>
      </c>
      <c r="U4" s="3732" t="s">
        <v>200</v>
      </c>
      <c r="V4" s="3731" t="s">
        <v>199</v>
      </c>
      <c r="W4" s="3731" t="s">
        <v>200</v>
      </c>
      <c r="X4" s="3733" t="s">
        <v>199</v>
      </c>
      <c r="Y4" s="3733" t="s">
        <v>200</v>
      </c>
      <c r="Z4" s="3734" t="s">
        <v>199</v>
      </c>
      <c r="AA4" s="3734" t="s">
        <v>200</v>
      </c>
      <c r="AB4" s="3666" t="s">
        <v>199</v>
      </c>
      <c r="AC4" s="3666" t="s">
        <v>200</v>
      </c>
      <c r="AD4" s="3732" t="s">
        <v>199</v>
      </c>
      <c r="AE4" s="3732" t="s">
        <v>200</v>
      </c>
      <c r="AF4" s="3666" t="s">
        <v>199</v>
      </c>
      <c r="AG4" s="3666" t="s">
        <v>200</v>
      </c>
      <c r="AH4" s="3732" t="s">
        <v>199</v>
      </c>
      <c r="AI4" s="3732" t="s">
        <v>200</v>
      </c>
      <c r="AJ4" s="3666" t="s">
        <v>199</v>
      </c>
      <c r="AK4" s="3666" t="s">
        <v>200</v>
      </c>
      <c r="AL4" s="3668" t="s">
        <v>199</v>
      </c>
      <c r="AM4" s="3668" t="s">
        <v>200</v>
      </c>
      <c r="AN4" s="3732" t="s">
        <v>199</v>
      </c>
      <c r="AO4" s="3735" t="s">
        <v>200</v>
      </c>
      <c r="AP4" s="3917" t="s">
        <v>199</v>
      </c>
      <c r="AQ4" s="3917" t="s">
        <v>200</v>
      </c>
      <c r="AR4" s="3732" t="s">
        <v>199</v>
      </c>
      <c r="AS4" s="3732" t="s">
        <v>200</v>
      </c>
      <c r="AT4" s="4067" t="s">
        <v>199</v>
      </c>
      <c r="AU4" s="4067" t="s">
        <v>200</v>
      </c>
      <c r="AV4" s="3732" t="s">
        <v>199</v>
      </c>
      <c r="AW4" s="3732" t="s">
        <v>200</v>
      </c>
      <c r="AX4" s="4386" t="s">
        <v>199</v>
      </c>
      <c r="AY4" s="4386" t="s">
        <v>200</v>
      </c>
      <c r="AZ4" s="3668" t="s">
        <v>199</v>
      </c>
      <c r="BA4" s="3668" t="s">
        <v>200</v>
      </c>
      <c r="BB4" s="3734" t="s">
        <v>199</v>
      </c>
      <c r="BC4" s="3734" t="s">
        <v>200</v>
      </c>
      <c r="BD4" s="3732" t="s">
        <v>199</v>
      </c>
      <c r="BE4" s="3732" t="s">
        <v>200</v>
      </c>
    </row>
    <row r="5" spans="2:61" ht="15.75" x14ac:dyDescent="0.25">
      <c r="B5" s="3736" t="s">
        <v>464</v>
      </c>
      <c r="C5" s="263" t="s">
        <v>1900</v>
      </c>
      <c r="D5" s="3727">
        <f>+'Maj Techno Summ'!E27</f>
        <v>4.3</v>
      </c>
      <c r="E5" s="3727">
        <f>+'Maj Techno Summ'!F27</f>
        <v>3.7175599079047323</v>
      </c>
      <c r="F5" s="3727">
        <f>+'Maj Techno Summ'!G27</f>
        <v>4.3</v>
      </c>
      <c r="G5" s="3727">
        <f>+'Maj Techno Summ'!H27</f>
        <v>4.1764989484978718</v>
      </c>
      <c r="H5" s="3728">
        <f>+'Maj Techno Summ'!I27</f>
        <v>4.3</v>
      </c>
      <c r="I5" s="3728">
        <f>+'Maj Techno Summ'!J27</f>
        <v>3.9216672157195274</v>
      </c>
      <c r="J5" s="3727">
        <f>+'Maj Techno Summ'!K27</f>
        <v>4.3</v>
      </c>
      <c r="K5" s="3727">
        <f>+'Maj Techno Summ'!L27</f>
        <v>3.3800539148175197</v>
      </c>
      <c r="L5" s="3729">
        <f>+'Maj Techno Summ'!M27</f>
        <v>4.3</v>
      </c>
      <c r="M5" s="3729">
        <f>+'Maj Techno Summ'!N27</f>
        <v>3.6397681820702101</v>
      </c>
      <c r="N5" s="3727">
        <f>+'Maj Techno Summ'!O27</f>
        <v>4.3</v>
      </c>
      <c r="O5" s="3727">
        <f>+'Maj Techno Summ'!P27</f>
        <v>3.7609869664355036</v>
      </c>
      <c r="P5" s="3728">
        <f>+'Maj Techno Summ'!Q27</f>
        <v>4.3</v>
      </c>
      <c r="Q5" s="3728">
        <f>+'Maj Techno Summ'!R27</f>
        <v>3.680260684953284</v>
      </c>
      <c r="R5" s="3727">
        <f>+'Maj Techno Summ'!S27</f>
        <v>4.3</v>
      </c>
      <c r="S5" s="3727">
        <f>+'Maj Techno Summ'!T27</f>
        <v>3.5007920309262577</v>
      </c>
      <c r="T5" s="3728">
        <f>+'Maj Techno Summ'!U27</f>
        <v>4.3</v>
      </c>
      <c r="U5" s="3728">
        <f>+'Maj Techno Summ'!V27</f>
        <v>3.6324997917854311</v>
      </c>
      <c r="V5" s="3727">
        <f>+'Maj Techno Summ'!W27</f>
        <v>4.3</v>
      </c>
      <c r="W5" s="3727">
        <f>+'Maj Techno Summ'!X27</f>
        <v>3.65</v>
      </c>
      <c r="X5" s="3729">
        <f>+'Maj Techno Summ'!Y27</f>
        <v>4.3</v>
      </c>
      <c r="Y5" s="3729">
        <f>+'Maj Techno Summ'!Z27</f>
        <v>3.6337634225999151</v>
      </c>
      <c r="Z5" s="3730">
        <f>+'Maj Techno Summ'!AA27</f>
        <v>4.3</v>
      </c>
      <c r="AA5" s="3730">
        <f>+'Maj Techno Summ'!AB27</f>
        <v>3.6360951900772061</v>
      </c>
      <c r="AB5" s="3727">
        <f>+'Maj Techno Summ'!AC27</f>
        <v>4.3</v>
      </c>
      <c r="AC5" s="3727">
        <f>+'Maj Techno Summ'!AD27</f>
        <v>3.4</v>
      </c>
      <c r="AD5" s="3728">
        <f>+'Maj Techno Summ'!AE27</f>
        <v>4.3</v>
      </c>
      <c r="AE5" s="3728">
        <f>+'Maj Techno Summ'!AF27</f>
        <v>3.5937111281647653</v>
      </c>
      <c r="AF5" s="3727">
        <f>+'Maj Techno Summ'!AG27</f>
        <v>4.3</v>
      </c>
      <c r="AG5" s="3727">
        <f>+'Maj Techno Summ'!AH27</f>
        <v>3.28</v>
      </c>
      <c r="AH5" s="3728">
        <f>+'Maj Techno Summ'!AI27</f>
        <v>4.3</v>
      </c>
      <c r="AI5" s="3728">
        <f>+'Maj Techno Summ'!AJ27</f>
        <v>3.5491691936929741</v>
      </c>
      <c r="AJ5" s="452">
        <f>+'Maj Techno Summ'!AK27</f>
        <v>4.3</v>
      </c>
      <c r="AK5" s="3727">
        <f>+'Maj Techno Summ'!AL27</f>
        <v>3.04</v>
      </c>
      <c r="AL5" s="3625">
        <f>+'Maj Techno Summ'!AM27</f>
        <v>4.3</v>
      </c>
      <c r="AM5" s="3729">
        <f>+'Maj Techno Summ'!AN27</f>
        <v>3.237216791480944</v>
      </c>
      <c r="AN5" s="3728">
        <f>+'Maj Techno Summ'!AO27</f>
        <v>4.3</v>
      </c>
      <c r="AO5" s="3728">
        <f>+'Maj Techno Summ'!AP27</f>
        <v>3.4797199854204361</v>
      </c>
      <c r="AP5" s="452">
        <f>+'Maj Techno Summ'!AQ27</f>
        <v>4.3</v>
      </c>
      <c r="AQ5" s="3727">
        <f>+'Maj Techno Summ'!AR27</f>
        <v>2.91</v>
      </c>
      <c r="AR5" s="3728">
        <f>+'Maj Techno Summ'!AS27</f>
        <v>4.3</v>
      </c>
      <c r="AS5" s="3728">
        <f>+'Maj Techno Summ'!AT27</f>
        <v>3.4099618549845943</v>
      </c>
      <c r="AT5" s="452">
        <f>+'Maj Techno Summ'!AU27</f>
        <v>4.3</v>
      </c>
      <c r="AU5" s="3727">
        <f>+'Maj Techno Summ'!AV27</f>
        <v>2.86</v>
      </c>
      <c r="AV5" s="3728">
        <f>+'Maj Techno Summ'!AW27</f>
        <v>4.2999999999999989</v>
      </c>
      <c r="AW5" s="3728">
        <f>+'Maj Techno Summ'!AX27</f>
        <v>3.355838248300973</v>
      </c>
      <c r="AX5" s="452">
        <f>+'Maj Techno Summ'!AY27</f>
        <v>4.3</v>
      </c>
      <c r="AY5" s="3727">
        <f>+'Maj Techno Summ'!AZ27</f>
        <v>2.99</v>
      </c>
      <c r="AZ5" s="3625">
        <f>+'Maj Techno Summ'!BA27</f>
        <v>4.3</v>
      </c>
      <c r="BA5" s="3729">
        <f>+'Maj Techno Summ'!BB27</f>
        <v>2.9220776581782455</v>
      </c>
      <c r="BB5" s="3575">
        <f>+'Maj Techno Summ'!BC27</f>
        <v>4.3</v>
      </c>
      <c r="BC5" s="3730">
        <f>+'Maj Techno Summ'!BD27</f>
        <v>3.0775907943790086</v>
      </c>
      <c r="BD5" s="4620">
        <f>+'Maj Techno Summ'!BE27</f>
        <v>4.2999999999999989</v>
      </c>
      <c r="BE5" s="3728">
        <f>+'Maj Techno Summ'!BF27</f>
        <v>3.3197103856374044</v>
      </c>
    </row>
    <row r="6" spans="2:61" ht="15.75" x14ac:dyDescent="0.25">
      <c r="B6" s="2448" t="s">
        <v>411</v>
      </c>
      <c r="C6" s="3615" t="s">
        <v>1901</v>
      </c>
      <c r="D6" s="2428">
        <f>+'Maj Techno Summ'!E28</f>
        <v>2.4500000000000002</v>
      </c>
      <c r="E6" s="2428">
        <f>+'Maj Techno Summ'!F28</f>
        <v>4.2</v>
      </c>
      <c r="F6" s="2428">
        <f>+'Maj Techno Summ'!G28</f>
        <v>2.4500000000000002</v>
      </c>
      <c r="G6" s="2428">
        <f>+'Maj Techno Summ'!H28</f>
        <v>4.09</v>
      </c>
      <c r="H6" s="2429">
        <f>+'Maj Techno Summ'!I28</f>
        <v>2.4500000000000002</v>
      </c>
      <c r="I6" s="2429">
        <f>+'Maj Techno Summ'!J28</f>
        <v>4.1510788974705441</v>
      </c>
      <c r="J6" s="2428">
        <f>+'Maj Techno Summ'!K28</f>
        <v>2.4500000000000002</v>
      </c>
      <c r="K6" s="2428">
        <f>+'Maj Techno Summ'!L28</f>
        <v>2.44</v>
      </c>
      <c r="L6" s="2430">
        <f>+'Maj Techno Summ'!M28</f>
        <v>2.4500000000000002</v>
      </c>
      <c r="M6" s="2430">
        <f>+'Maj Techno Summ'!N28</f>
        <v>3.2604961017907237</v>
      </c>
      <c r="N6" s="2428">
        <f>+'Maj Techno Summ'!O28</f>
        <v>2.4500000000000002</v>
      </c>
      <c r="O6" s="2428">
        <f>+'Maj Techno Summ'!P28</f>
        <v>2.4300000000000002</v>
      </c>
      <c r="P6" s="2429">
        <f>+'Maj Techno Summ'!Q28</f>
        <v>2.4499999999999997</v>
      </c>
      <c r="Q6" s="2429">
        <f>+'Maj Techno Summ'!R28</f>
        <v>2.94</v>
      </c>
      <c r="R6" s="2428">
        <f>+'Maj Techno Summ'!S28</f>
        <v>2.4500000000000002</v>
      </c>
      <c r="S6" s="2428">
        <f>+'Maj Techno Summ'!T28</f>
        <v>2.1800000000000002</v>
      </c>
      <c r="T6" s="2429">
        <f>+'Maj Techno Summ'!U28</f>
        <v>2.4499999999999997</v>
      </c>
      <c r="U6" s="2429">
        <f>+'Maj Techno Summ'!V28</f>
        <v>2.74</v>
      </c>
      <c r="V6" s="2428">
        <f>+'Maj Techno Summ'!W28</f>
        <v>2.4500000000000002</v>
      </c>
      <c r="W6" s="2428">
        <f>+'Maj Techno Summ'!X28</f>
        <v>2.41</v>
      </c>
      <c r="X6" s="2430">
        <f>+'Maj Techno Summ'!Y28</f>
        <v>2.4500000000000002</v>
      </c>
      <c r="Y6" s="2430">
        <f>+'Maj Techno Summ'!Z28</f>
        <v>2.3368610689813938</v>
      </c>
      <c r="Z6" s="2431">
        <f>+'Maj Techno Summ'!AA28</f>
        <v>2.4499999999999997</v>
      </c>
      <c r="AA6" s="2431">
        <f>+'Maj Techno Summ'!AB28</f>
        <v>2.67</v>
      </c>
      <c r="AB6" s="2428">
        <f>+'Maj Techno Summ'!AC28</f>
        <v>2.4500000000000002</v>
      </c>
      <c r="AC6" s="2428">
        <f>+'Maj Techno Summ'!AD28</f>
        <v>2.36</v>
      </c>
      <c r="AD6" s="2429">
        <f>+'Maj Techno Summ'!AE28</f>
        <v>2.4499999999999997</v>
      </c>
      <c r="AE6" s="2429">
        <f>+'Maj Techno Summ'!AF28</f>
        <v>2.6243484672916888</v>
      </c>
      <c r="AF6" s="2428">
        <f>+'Maj Techno Summ'!AG28</f>
        <v>2.4500000000000002</v>
      </c>
      <c r="AG6" s="2428">
        <f>+'Maj Techno Summ'!AH28</f>
        <v>2.2999999999999998</v>
      </c>
      <c r="AH6" s="2429">
        <f>+'Maj Techno Summ'!AI28</f>
        <v>2.4499999999999997</v>
      </c>
      <c r="AI6" s="2429">
        <f>+'Maj Techno Summ'!AJ28</f>
        <v>2.5682962017547633</v>
      </c>
      <c r="AJ6" s="3624">
        <f>+'Maj Techno Summ'!AK28</f>
        <v>2.4500000000000002</v>
      </c>
      <c r="AK6" s="2428">
        <f>+'Maj Techno Summ'!AL28</f>
        <v>2.3199999999999998</v>
      </c>
      <c r="AL6" s="3619">
        <f>+'Maj Techno Summ'!AM28</f>
        <v>2.4500000000000002</v>
      </c>
      <c r="AM6" s="2430">
        <f>+'Maj Techno Summ'!AN28</f>
        <v>2.3273170175596345</v>
      </c>
      <c r="AN6" s="2429">
        <f>+'Maj Techno Summ'!AO28</f>
        <v>2.4500000000000002</v>
      </c>
      <c r="AO6" s="2429">
        <f>+'Maj Techno Summ'!AP28</f>
        <v>2.5344293165571785</v>
      </c>
      <c r="AP6" s="3964">
        <f>+'Maj Techno Summ'!AQ28</f>
        <v>2.4500000000000002</v>
      </c>
      <c r="AQ6" s="2428">
        <f>+'Maj Techno Summ'!AR28</f>
        <v>2.2799999999999998</v>
      </c>
      <c r="AR6" s="2429">
        <f>+'Maj Techno Summ'!AS28</f>
        <v>2.4500000000000002</v>
      </c>
      <c r="AS6" s="2429">
        <f>+'Maj Techno Summ'!AT28</f>
        <v>2.5032762696125466</v>
      </c>
      <c r="AT6" s="4086">
        <f>+'Maj Techno Summ'!AU28</f>
        <v>2.4500000000000002</v>
      </c>
      <c r="AU6" s="2428">
        <f>+'Maj Techno Summ'!AV28</f>
        <v>2.27</v>
      </c>
      <c r="AV6" s="2429">
        <f>+'Maj Techno Summ'!AW28</f>
        <v>2.4499999999999997</v>
      </c>
      <c r="AW6" s="2429">
        <f>+'Maj Techno Summ'!AX28</f>
        <v>2.4803187627405734</v>
      </c>
      <c r="AX6" s="4572">
        <f>+'Maj Techno Summ'!AY28</f>
        <v>2.4500000000000002</v>
      </c>
      <c r="AY6" s="2428">
        <f>+'Maj Techno Summ'!AZ28</f>
        <v>2.31</v>
      </c>
      <c r="AZ6" s="4567">
        <f>+'Maj Techno Summ'!BA28</f>
        <v>2.4500000000000002</v>
      </c>
      <c r="BA6" s="2430">
        <f>+'Maj Techno Summ'!BB28</f>
        <v>2.2872337989215707</v>
      </c>
      <c r="BB6" s="4570">
        <f>+'Maj Techno Summ'!BC28</f>
        <v>2.4499999999999997</v>
      </c>
      <c r="BC6" s="2431">
        <f>+'Maj Techno Summ'!BD28</f>
        <v>2.3070138464646948</v>
      </c>
      <c r="BD6" s="4569">
        <f>+'Maj Techno Summ'!BE28</f>
        <v>2.4499999999999997</v>
      </c>
      <c r="BE6" s="2429">
        <f>+'Maj Techno Summ'!BF28</f>
        <v>2.4734991631008487</v>
      </c>
    </row>
    <row r="7" spans="2:61" ht="15.75" x14ac:dyDescent="0.25">
      <c r="B7" s="2448" t="s">
        <v>465</v>
      </c>
      <c r="C7" s="3615" t="s">
        <v>585</v>
      </c>
      <c r="D7" s="2428">
        <f>+'Maj Techno Summ'!E29</f>
        <v>0.55000000000000016</v>
      </c>
      <c r="E7" s="2428">
        <f>+'Maj Techno Summ'!F29</f>
        <v>0.57999999999999996</v>
      </c>
      <c r="F7" s="2428">
        <f>+'Maj Techno Summ'!G29</f>
        <v>0.55000000000000016</v>
      </c>
      <c r="G7" s="2428">
        <f>+'Maj Techno Summ'!H29</f>
        <v>0.69</v>
      </c>
      <c r="H7" s="2429">
        <f>+'Maj Techno Summ'!I29</f>
        <v>0.55000000000000016</v>
      </c>
      <c r="I7" s="2429">
        <f>+'Maj Techno Summ'!J29</f>
        <v>0.62892110252945654</v>
      </c>
      <c r="J7" s="2428">
        <f>+'Maj Techno Summ'!K29</f>
        <v>0.55000000000000016</v>
      </c>
      <c r="K7" s="2428">
        <f>+'Maj Techno Summ'!L29</f>
        <v>0.48</v>
      </c>
      <c r="L7" s="2430">
        <f>+'Maj Techno Summ'!M29</f>
        <v>0.55000000000000016</v>
      </c>
      <c r="M7" s="2430">
        <f>+'Maj Techno Summ'!N29</f>
        <v>0.55141060782201556</v>
      </c>
      <c r="N7" s="2428">
        <f>+'Maj Techno Summ'!O29</f>
        <v>0.55000000000000016</v>
      </c>
      <c r="O7" s="2428">
        <f>+'Maj Techno Summ'!P29</f>
        <v>0.54</v>
      </c>
      <c r="P7" s="2429">
        <f>+'Maj Techno Summ'!Q29</f>
        <v>0.55000000000000004</v>
      </c>
      <c r="Q7" s="2429">
        <f>+'Maj Techno Summ'!R29</f>
        <v>0.55000000000000004</v>
      </c>
      <c r="R7" s="2428">
        <f>+'Maj Techno Summ'!S29</f>
        <v>0.55000000000000016</v>
      </c>
      <c r="S7" s="2428">
        <f>+'Maj Techno Summ'!T29</f>
        <v>0.53</v>
      </c>
      <c r="T7" s="2429">
        <f>+'Maj Techno Summ'!U29</f>
        <v>0.55000000000000004</v>
      </c>
      <c r="U7" s="2429">
        <f>+'Maj Techno Summ'!V29</f>
        <v>0.54</v>
      </c>
      <c r="V7" s="2428">
        <f>+'Maj Techno Summ'!W29</f>
        <v>0.55000000000000016</v>
      </c>
      <c r="W7" s="2428">
        <f>+'Maj Techno Summ'!X29</f>
        <v>0.53</v>
      </c>
      <c r="X7" s="2430">
        <f>+'Maj Techno Summ'!Y29</f>
        <v>0.55000000000000016</v>
      </c>
      <c r="Y7" s="2430">
        <f>+'Maj Techno Summ'!Z29</f>
        <v>0.53318438033204241</v>
      </c>
      <c r="Z7" s="2431">
        <f>+'Maj Techno Summ'!AA29</f>
        <v>0.55000000000000016</v>
      </c>
      <c r="AA7" s="2431">
        <f>+'Maj Techno Summ'!AB29</f>
        <v>0.54026198680488546</v>
      </c>
      <c r="AB7" s="2428">
        <f>+'Maj Techno Summ'!AC29</f>
        <v>0.55000000000000016</v>
      </c>
      <c r="AC7" s="2428">
        <f>+'Maj Techno Summ'!AD29</f>
        <v>0.55000000000000004</v>
      </c>
      <c r="AD7" s="2429">
        <f>+'Maj Techno Summ'!AE29</f>
        <v>0.55000000000000016</v>
      </c>
      <c r="AE7" s="2429">
        <f>+'Maj Techno Summ'!AF29</f>
        <v>0.54201016538502067</v>
      </c>
      <c r="AF7" s="2428">
        <f>+'Maj Techno Summ'!AG29</f>
        <v>0.55000000000000016</v>
      </c>
      <c r="AG7" s="2428">
        <f>+'Maj Techno Summ'!AH29</f>
        <v>0.52</v>
      </c>
      <c r="AH7" s="2429">
        <f>+'Maj Techno Summ'!AI29</f>
        <v>0.55000000000000016</v>
      </c>
      <c r="AI7" s="2429">
        <f>+'Maj Techno Summ'!AJ29</f>
        <v>0.53888507591169477</v>
      </c>
      <c r="AJ7" s="3624">
        <f>+'Maj Techno Summ'!AK29</f>
        <v>0.55000000000000016</v>
      </c>
      <c r="AK7" s="2428">
        <f>+'Maj Techno Summ'!AL29</f>
        <v>0.56000000000000005</v>
      </c>
      <c r="AL7" s="3619">
        <f>+'Maj Techno Summ'!AM29</f>
        <v>0.55000000000000004</v>
      </c>
      <c r="AM7" s="2430">
        <f>+'Maj Techno Summ'!AN29</f>
        <v>0.54409607059820941</v>
      </c>
      <c r="AN7" s="2429">
        <f>+'Maj Techno Summ'!AO29</f>
        <v>0.55000000000000016</v>
      </c>
      <c r="AO7" s="2429">
        <f>+'Maj Techno Summ'!AP29</f>
        <v>0.54176509060785449</v>
      </c>
      <c r="AP7" s="3964">
        <f>+'Maj Techno Summ'!AQ29</f>
        <v>0.55000000000000016</v>
      </c>
      <c r="AQ7" s="2428">
        <f>+'Maj Techno Summ'!AR29</f>
        <v>0.51</v>
      </c>
      <c r="AR7" s="2429">
        <f>+'Maj Techno Summ'!AS29</f>
        <v>0.55000000000000004</v>
      </c>
      <c r="AS7" s="2429">
        <f>+'Maj Techno Summ'!AT29</f>
        <v>0.53787568284503251</v>
      </c>
      <c r="AT7" s="4086">
        <f>+'Maj Techno Summ'!AU29</f>
        <v>0.55000000000000016</v>
      </c>
      <c r="AU7" s="2428">
        <f>+'Maj Techno Summ'!AV29</f>
        <v>0.55000000000000004</v>
      </c>
      <c r="AV7" s="2429">
        <f>+'Maj Techno Summ'!AW29</f>
        <v>0.55000000000000004</v>
      </c>
      <c r="AW7" s="2429">
        <f>+'Maj Techno Summ'!AX29</f>
        <v>0.53906887791311831</v>
      </c>
      <c r="AX7" s="4572">
        <f>+'Maj Techno Summ'!AY29</f>
        <v>0.55000000000000016</v>
      </c>
      <c r="AY7" s="2428">
        <f>+'Maj Techno Summ'!AZ29</f>
        <v>0.54</v>
      </c>
      <c r="AZ7" s="4567">
        <f>+'Maj Techno Summ'!BA29</f>
        <v>0.55000000000000016</v>
      </c>
      <c r="BA7" s="2430">
        <f>+'Maj Techno Summ'!BB29</f>
        <v>0.53268909666287589</v>
      </c>
      <c r="BB7" s="4570">
        <f>+'Maj Techno Summ'!BC29</f>
        <v>0.55000000000000004</v>
      </c>
      <c r="BC7" s="2431">
        <f>+'Maj Techno Summ'!BD29</f>
        <v>0.53831814778278297</v>
      </c>
      <c r="BD7" s="4569">
        <f>+'Maj Techno Summ'!BE29</f>
        <v>0.55000000000000004</v>
      </c>
      <c r="BE7" s="2429">
        <f>+'Maj Techno Summ'!BF29</f>
        <v>0.5391608296186442</v>
      </c>
    </row>
    <row r="8" spans="2:61" ht="18.75" customHeight="1" x14ac:dyDescent="0.25">
      <c r="B8" s="2448" t="s">
        <v>675</v>
      </c>
      <c r="C8" s="3615" t="s">
        <v>53</v>
      </c>
      <c r="D8" s="1614">
        <f>+'B-FCE'!E17</f>
        <v>38760</v>
      </c>
      <c r="E8" s="1614">
        <f>+'B-FCE'!F17</f>
        <v>45776</v>
      </c>
      <c r="F8" s="1614">
        <f>+'B-FCE'!G17</f>
        <v>50920</v>
      </c>
      <c r="G8" s="1614">
        <f>+'B-FCE'!H17</f>
        <v>41192.152999999998</v>
      </c>
      <c r="H8" s="3612">
        <f>+'B-FCE'!I17</f>
        <v>89680</v>
      </c>
      <c r="I8" s="3612">
        <f>+'B-FCE'!J17</f>
        <v>86968.152999999991</v>
      </c>
      <c r="J8" s="1614">
        <f>+'B-FCE'!K17</f>
        <v>90296.55</v>
      </c>
      <c r="K8" s="1614">
        <f>+'B-FCE'!L17</f>
        <v>79513</v>
      </c>
      <c r="L8" s="3613">
        <f>+'B-FCE'!M17</f>
        <v>179976.55</v>
      </c>
      <c r="M8" s="3613">
        <f>+'B-FCE'!N17</f>
        <v>166481.15299999999</v>
      </c>
      <c r="N8" s="1614">
        <f>+'B-FCE'!O17</f>
        <v>93357.45</v>
      </c>
      <c r="O8" s="1614">
        <f>+'B-FCE'!P17</f>
        <v>78714</v>
      </c>
      <c r="P8" s="3612">
        <f>+'B-FCE'!Q17</f>
        <v>273334</v>
      </c>
      <c r="Q8" s="3612">
        <f>+'B-FCE'!R17</f>
        <v>245195.15299999999</v>
      </c>
      <c r="R8" s="1614">
        <f>+'B-FCE'!S17</f>
        <v>93357.45</v>
      </c>
      <c r="S8" s="1614">
        <f>+'B-FCE'!T17</f>
        <v>77682</v>
      </c>
      <c r="T8" s="3612">
        <f>+'B-FCE'!U17</f>
        <v>366691.45</v>
      </c>
      <c r="U8" s="3612">
        <f>+'B-FCE'!V17</f>
        <v>322877.15299999999</v>
      </c>
      <c r="V8" s="1614">
        <f>+'B-FCE'!W17</f>
        <v>90801</v>
      </c>
      <c r="W8" s="1614">
        <f>+'B-FCE'!X17</f>
        <v>79516</v>
      </c>
      <c r="X8" s="3613">
        <f>+'B-FCE'!Y17</f>
        <v>277515.90000000002</v>
      </c>
      <c r="Y8" s="3613">
        <f>+'B-FCE'!Z17</f>
        <v>235912</v>
      </c>
      <c r="Z8" s="1854">
        <f>+'B-FCE'!AA17</f>
        <v>457492.45</v>
      </c>
      <c r="AA8" s="1854">
        <f>+'B-FCE'!AB17</f>
        <v>402393.15299999999</v>
      </c>
      <c r="AB8" s="1614">
        <f>+'B-FCE'!AC17</f>
        <v>91408.5</v>
      </c>
      <c r="AC8" s="1614">
        <f>+'B-FCE'!AD17</f>
        <v>90867</v>
      </c>
      <c r="AD8" s="3612">
        <f>+'B-FCE'!AE17</f>
        <v>548900.94999999995</v>
      </c>
      <c r="AE8" s="3612">
        <f>+'B-FCE'!AF17</f>
        <v>493260.15299999999</v>
      </c>
      <c r="AF8" s="1614">
        <f>+'B-FCE'!AG17</f>
        <v>86022</v>
      </c>
      <c r="AG8" s="1614">
        <f>+'B-FCE'!AH17</f>
        <v>76468</v>
      </c>
      <c r="AH8" s="3612">
        <f>+'B-FCE'!AI17</f>
        <v>634922.94999999995</v>
      </c>
      <c r="AI8" s="3612">
        <f>+'B-FCE'!AJ17</f>
        <v>569728.15299999993</v>
      </c>
      <c r="AJ8" s="3601">
        <f>+'B-FCE'!AK17</f>
        <v>86467.5</v>
      </c>
      <c r="AK8" s="1614">
        <f>+'B-FCE'!AL17</f>
        <v>89822</v>
      </c>
      <c r="AL8" s="3600">
        <f>+'B-FCE'!AM17</f>
        <v>263898</v>
      </c>
      <c r="AM8" s="3613">
        <f>+'B-FCE'!AN17</f>
        <v>257157</v>
      </c>
      <c r="AN8" s="3612">
        <f>+'B-FCE'!AO17</f>
        <v>721390.45</v>
      </c>
      <c r="AO8" s="3612">
        <f>+'B-FCE'!AP17</f>
        <v>659550.15299999993</v>
      </c>
      <c r="AP8" s="3913">
        <f>+'B-FCE'!AQ17</f>
        <v>86467.5</v>
      </c>
      <c r="AQ8" s="1614">
        <f>+'B-FCE'!AR17</f>
        <v>79023.872774591611</v>
      </c>
      <c r="AR8" s="3961">
        <f>+'B-FCE'!AS17</f>
        <v>807857.95</v>
      </c>
      <c r="AS8" s="3961">
        <f>+'B-FCE'!AT17</f>
        <v>738574.0257745916</v>
      </c>
      <c r="AT8" s="4061">
        <f>+'B-FCE'!AU17</f>
        <v>76623.039499999999</v>
      </c>
      <c r="AU8" s="1614">
        <f>+'B-FCE'!AV17</f>
        <v>73620.27376262295</v>
      </c>
      <c r="AV8" s="4081">
        <f>+'B-FCE'!AW17</f>
        <v>884480.98949999991</v>
      </c>
      <c r="AW8" s="4081">
        <f>+'B-FCE'!AX17</f>
        <v>812194.29953721457</v>
      </c>
      <c r="AX8" s="4379">
        <f>+'B-FCE'!AY17</f>
        <v>86467.5</v>
      </c>
      <c r="AY8" s="1614">
        <f>+'B-FCE'!AZ17</f>
        <v>90962.169000000009</v>
      </c>
      <c r="AZ8" s="4380">
        <f>+'B-FCE'!BA17</f>
        <v>249558.03950000001</v>
      </c>
      <c r="BA8" s="4411">
        <f>+'B-FCE'!BB17</f>
        <v>243606.31553721457</v>
      </c>
      <c r="BB8" s="1854">
        <f>+'B-FCE'!BC17</f>
        <v>513456.03950000001</v>
      </c>
      <c r="BC8" s="1854">
        <f>+'B-FCE'!BD17</f>
        <v>500763.31553721457</v>
      </c>
      <c r="BD8" s="4409">
        <f>+'B-FCE'!BE17</f>
        <v>970948.48949999991</v>
      </c>
      <c r="BE8" s="4409">
        <f>+'B-FCE'!BF17</f>
        <v>903156.46853721456</v>
      </c>
    </row>
    <row r="9" spans="2:61" ht="15.75" x14ac:dyDescent="0.25">
      <c r="B9" s="2449" t="s">
        <v>678</v>
      </c>
      <c r="C9" s="3615" t="s">
        <v>53</v>
      </c>
      <c r="D9" s="1614">
        <f>+'Maj Production Summ'!E26</f>
        <v>36985</v>
      </c>
      <c r="E9" s="1614">
        <f>+'Maj Production Summ'!F26</f>
        <v>45318</v>
      </c>
      <c r="F9" s="1614">
        <f>+'Maj Production Summ'!G26</f>
        <v>46750</v>
      </c>
      <c r="G9" s="1614">
        <f>+'Maj Production Summ'!H26</f>
        <v>37351.757709750302</v>
      </c>
      <c r="H9" s="3612">
        <f>+'Maj Production Summ'!I26</f>
        <v>83735</v>
      </c>
      <c r="I9" s="3612">
        <f>+'Maj Production Summ'!J26</f>
        <v>82669.757709750294</v>
      </c>
      <c r="J9" s="1614">
        <f>+'Maj Production Summ'!K26</f>
        <v>91932</v>
      </c>
      <c r="K9" s="1614">
        <f>+'Maj Production Summ'!L26</f>
        <v>110633</v>
      </c>
      <c r="L9" s="3613">
        <f>+'Maj Production Summ'!M26</f>
        <v>175667</v>
      </c>
      <c r="M9" s="3613">
        <f>+'Maj Production Summ'!N26</f>
        <v>193302.75770975029</v>
      </c>
      <c r="N9" s="1614">
        <f>+'Maj Production Summ'!O26</f>
        <v>95048.257150000005</v>
      </c>
      <c r="O9" s="1614">
        <f>+'Maj Production Summ'!P26</f>
        <v>80624</v>
      </c>
      <c r="P9" s="3612">
        <f>+'Maj Production Summ'!Q26</f>
        <v>270715.25715000002</v>
      </c>
      <c r="Q9" s="3612">
        <f>+'Maj Production Summ'!R26</f>
        <v>273926.75770975032</v>
      </c>
      <c r="R9" s="1614">
        <f>+'Maj Production Summ'!S26</f>
        <v>95048.257150000005</v>
      </c>
      <c r="S9" s="1614">
        <f>+'Maj Production Summ'!T26</f>
        <v>79299</v>
      </c>
      <c r="T9" s="3612">
        <f>+'Maj Production Summ'!U26</f>
        <v>365763.51430000004</v>
      </c>
      <c r="U9" s="3612">
        <f>+'Maj Production Summ'!V26</f>
        <v>353225.75770975032</v>
      </c>
      <c r="V9" s="1614">
        <f>+'Maj Production Summ'!W26</f>
        <v>92445.507000000012</v>
      </c>
      <c r="W9" s="1614">
        <f>+'Maj Production Summ'!X26</f>
        <v>76095</v>
      </c>
      <c r="X9" s="3613">
        <f>+'Maj Production Summ'!Y26</f>
        <v>282542.02130000002</v>
      </c>
      <c r="Y9" s="3613">
        <f>+'Maj Production Summ'!Z26</f>
        <v>236018</v>
      </c>
      <c r="Z9" s="1854">
        <f>+'Maj Production Summ'!AA26</f>
        <v>458209.02130000002</v>
      </c>
      <c r="AA9" s="1854">
        <f>+'Maj Production Summ'!AB26</f>
        <v>429320.75770975032</v>
      </c>
      <c r="AB9" s="1614">
        <f>+'Maj Production Summ'!AC26</f>
        <v>88165.903736842112</v>
      </c>
      <c r="AC9" s="1614">
        <f>+'Maj Production Summ'!AD26</f>
        <v>90979</v>
      </c>
      <c r="AD9" s="3612">
        <f>+'Maj Production Summ'!AE26</f>
        <v>546374.92503684212</v>
      </c>
      <c r="AE9" s="3612">
        <f>+'Maj Production Summ'!AF26</f>
        <v>520299.75770975032</v>
      </c>
      <c r="AF9" s="1614">
        <f>+'Maj Production Summ'!AG26</f>
        <v>82970.482736842096</v>
      </c>
      <c r="AG9" s="1614">
        <f>+'Maj Production Summ'!AH26</f>
        <v>74191</v>
      </c>
      <c r="AH9" s="3612">
        <f>+'Maj Production Summ'!AI26</f>
        <v>629345.40777368424</v>
      </c>
      <c r="AI9" s="3612">
        <f>+'Maj Production Summ'!AJ26</f>
        <v>594490.75770975032</v>
      </c>
      <c r="AJ9" s="3601">
        <f>+'Maj Production Summ'!AK26</f>
        <v>83400.179210526316</v>
      </c>
      <c r="AK9" s="1614">
        <f>+'Maj Production Summ'!AL26</f>
        <v>87939</v>
      </c>
      <c r="AL9" s="3600">
        <f>+'Maj Production Summ'!AM26</f>
        <v>254536.56568421054</v>
      </c>
      <c r="AM9" s="3613">
        <f>+'Maj Production Summ'!AN26</f>
        <v>253109</v>
      </c>
      <c r="AN9" s="3612">
        <f>+'Maj Production Summ'!AO26</f>
        <v>712745.58698421053</v>
      </c>
      <c r="AO9" s="3612">
        <f>+'Maj Production Summ'!AP26</f>
        <v>682429.75770975032</v>
      </c>
      <c r="AP9" s="3913">
        <f>+'Maj Production Summ'!AQ26</f>
        <v>83400.179210526316</v>
      </c>
      <c r="AQ9" s="1614">
        <f>+'Maj Production Summ'!AR26</f>
        <v>68221.320514197854</v>
      </c>
      <c r="AR9" s="3961">
        <f>+'Maj Production Summ'!AS26</f>
        <v>0</v>
      </c>
      <c r="AS9" s="3961">
        <f>+'Maj Production Summ'!AT26</f>
        <v>750651.07822394813</v>
      </c>
      <c r="AT9" s="4061">
        <f>+'Maj Production Summ'!AU26</f>
        <v>73904.937993526328</v>
      </c>
      <c r="AU9" s="1614">
        <f>+'Maj Production Summ'!AV26</f>
        <v>73109</v>
      </c>
      <c r="AV9" s="4081">
        <f>+'Maj Production Summ'!AW26</f>
        <v>73904.937993526328</v>
      </c>
      <c r="AW9" s="4081">
        <f>+'Maj Production Summ'!AX26</f>
        <v>823760.07822394813</v>
      </c>
      <c r="AX9" s="4379">
        <f>+'Maj Production Summ'!AY26</f>
        <v>83400.179210526316</v>
      </c>
      <c r="AY9" s="1614">
        <f>+'Maj Production Summ'!AZ26</f>
        <v>96369.220906199989</v>
      </c>
      <c r="AZ9" s="4380">
        <f>+'Maj Production Summ'!BA26</f>
        <v>240705.29641457894</v>
      </c>
      <c r="BA9" s="4411">
        <f>+'Maj Production Summ'!BB26</f>
        <v>237699.54142039787</v>
      </c>
      <c r="BB9" s="1854">
        <f>+'Maj Production Summ'!BC26</f>
        <v>495241.86209878948</v>
      </c>
      <c r="BC9" s="1854">
        <f>+'Maj Production Summ'!BD26</f>
        <v>490808.54142039787</v>
      </c>
      <c r="BD9" s="4409">
        <f>+'Maj Production Summ'!BE26</f>
        <v>157305.11720405263</v>
      </c>
      <c r="BE9" s="4409">
        <f>+'Maj Production Summ'!BF26</f>
        <v>920129.29913014814</v>
      </c>
    </row>
    <row r="10" spans="2:61" ht="15.75" x14ac:dyDescent="0.25">
      <c r="B10" s="2449" t="s">
        <v>680</v>
      </c>
      <c r="C10" s="3615" t="s">
        <v>53</v>
      </c>
      <c r="D10" s="1614">
        <v>0</v>
      </c>
      <c r="E10" s="1614">
        <f>+'Direct sales IPT details'!E55</f>
        <v>32.86</v>
      </c>
      <c r="F10" s="1614">
        <v>0</v>
      </c>
      <c r="G10" s="1614">
        <f>+'Direct sales IPT details'!G55</f>
        <v>0</v>
      </c>
      <c r="H10" s="3612">
        <f t="shared" ref="H10" si="0">+D10+F10</f>
        <v>0</v>
      </c>
      <c r="I10" s="3612">
        <f>+'Direct sales IPT details'!I55</f>
        <v>32.86</v>
      </c>
      <c r="J10" s="1614">
        <v>0</v>
      </c>
      <c r="K10" s="1614">
        <f>+'Direct sales IPT details'!K55</f>
        <v>0</v>
      </c>
      <c r="L10" s="3613">
        <f>+H10+J10</f>
        <v>0</v>
      </c>
      <c r="M10" s="3613">
        <f>+'Direct sales IPT details'!M55</f>
        <v>32.86</v>
      </c>
      <c r="N10" s="1614">
        <v>0</v>
      </c>
      <c r="O10" s="1614">
        <f>+'Direct sales IPT details'!O55</f>
        <v>497.78000000000003</v>
      </c>
      <c r="P10" s="3612">
        <f>+L10+N10</f>
        <v>0</v>
      </c>
      <c r="Q10" s="3612">
        <f>+'Direct sales IPT details'!Q55</f>
        <v>530.64</v>
      </c>
      <c r="R10" s="1614">
        <v>0</v>
      </c>
      <c r="S10" s="1614">
        <f>+'Direct sales IPT details'!S55</f>
        <v>346.57</v>
      </c>
      <c r="T10" s="3612">
        <f>+P10+R10</f>
        <v>0</v>
      </c>
      <c r="U10" s="3612">
        <f>+'Direct sales IPT details'!U55</f>
        <v>877.21</v>
      </c>
      <c r="V10" s="1614">
        <v>0</v>
      </c>
      <c r="W10" s="1614">
        <f>+'Direct sales IPT details'!W55</f>
        <v>3044.3000000000011</v>
      </c>
      <c r="X10" s="3613">
        <f>+N10+R10+V10</f>
        <v>0</v>
      </c>
      <c r="Y10" s="3613">
        <f>+'Direct sales IPT details'!Y55</f>
        <v>3888.650000000001</v>
      </c>
      <c r="Z10" s="1854">
        <f>+T10+V10</f>
        <v>0</v>
      </c>
      <c r="AA10" s="1854">
        <f>+'Direct sales IPT details'!AA55</f>
        <v>3921.5100000000011</v>
      </c>
      <c r="AB10" s="1614">
        <v>0</v>
      </c>
      <c r="AC10" s="1614">
        <f>+'Direct sales IPT details'!AC55</f>
        <v>3103.7400000000011</v>
      </c>
      <c r="AD10" s="3612">
        <f>+Z10+AB10</f>
        <v>0</v>
      </c>
      <c r="AE10" s="3612">
        <f>+'Direct sales IPT details'!AE55</f>
        <v>7025.2500000000018</v>
      </c>
      <c r="AF10" s="1614">
        <v>0</v>
      </c>
      <c r="AG10" s="1614">
        <f>+'Direct sales IPT details'!AG55</f>
        <v>0</v>
      </c>
      <c r="AH10" s="3612">
        <f>+AD10+AF10</f>
        <v>0</v>
      </c>
      <c r="AI10" s="3612">
        <f>+'Direct sales IPT details'!AI55</f>
        <v>7025.2500000000018</v>
      </c>
      <c r="AJ10" s="3601">
        <v>0</v>
      </c>
      <c r="AK10" s="1614">
        <f>+'Direct sales IPT details'!AK55</f>
        <v>695.08999999999992</v>
      </c>
      <c r="AL10" s="3600">
        <f>+AB10+AF10+AJ10</f>
        <v>0</v>
      </c>
      <c r="AM10" s="3613">
        <f>+'Direct sales IPT details'!AM55</f>
        <v>3798.8300000000008</v>
      </c>
      <c r="AN10" s="3612">
        <f>+AH10+AJ10</f>
        <v>0</v>
      </c>
      <c r="AO10" s="3612">
        <f>+'Direct sales IPT details'!AO55</f>
        <v>7720.340000000002</v>
      </c>
      <c r="AP10" s="3913">
        <v>0</v>
      </c>
      <c r="AQ10" s="1614">
        <f>+'Direct sales IPT details'!AQ55</f>
        <v>4303.22</v>
      </c>
      <c r="AR10" s="3961">
        <f>+AN10+AP10</f>
        <v>0</v>
      </c>
      <c r="AS10" s="3961">
        <f>+'Direct sales IPT details'!AS55</f>
        <v>12023.560000000001</v>
      </c>
      <c r="AT10" s="4061">
        <v>0</v>
      </c>
      <c r="AU10" s="1614">
        <f>+'Direct sales IPT details'!AU55</f>
        <v>302.38000000000005</v>
      </c>
      <c r="AV10" s="4081">
        <f>+AR10+AT10</f>
        <v>0</v>
      </c>
      <c r="AW10" s="4081">
        <f>+'Direct sales IPT details'!AW55</f>
        <v>12325.94</v>
      </c>
      <c r="AX10" s="4379">
        <v>0</v>
      </c>
      <c r="AY10" s="1614">
        <f>+'Direct sales IPT details'!AY55</f>
        <v>0</v>
      </c>
      <c r="AZ10" s="4380">
        <f>+AP10+AT10+AX10</f>
        <v>0</v>
      </c>
      <c r="BA10" s="4411">
        <f>+'Direct sales IPT details'!BA55</f>
        <v>4605.6000000000004</v>
      </c>
      <c r="BB10" s="1854">
        <f>+AL10+AZ10</f>
        <v>0</v>
      </c>
      <c r="BC10" s="1854">
        <f>+'Direct sales IPT details'!BC55</f>
        <v>8404.43</v>
      </c>
      <c r="BD10" s="4409">
        <f>+AV10+AX10</f>
        <v>0</v>
      </c>
      <c r="BE10" s="4409">
        <f>+'Direct sales IPT details'!BE55</f>
        <v>12325.940000000002</v>
      </c>
    </row>
    <row r="11" spans="2:61" ht="31.5" x14ac:dyDescent="0.25">
      <c r="B11" s="3737" t="s">
        <v>681</v>
      </c>
      <c r="C11" s="3615" t="s">
        <v>53</v>
      </c>
      <c r="D11" s="1614">
        <f>+'Maj Despatch Summ'!E33</f>
        <v>36985</v>
      </c>
      <c r="E11" s="1614">
        <f>+'Direct sales IPT details'!E85</f>
        <v>45419.950000000004</v>
      </c>
      <c r="F11" s="1614">
        <f>+'Maj Despatch Summ'!G33</f>
        <v>46750</v>
      </c>
      <c r="G11" s="1614">
        <f>+'Direct sales IPT details'!G85</f>
        <v>60690.15</v>
      </c>
      <c r="H11" s="3612">
        <f>+'Maj Despatch Summ'!I33</f>
        <v>83735</v>
      </c>
      <c r="I11" s="3612">
        <f>+'Direct sales IPT details'!I85</f>
        <v>106110.1</v>
      </c>
      <c r="J11" s="1614">
        <f>+'Maj Despatch Summ'!K33</f>
        <v>91932</v>
      </c>
      <c r="K11" s="1614">
        <f>+'Direct sales IPT details'!K85</f>
        <v>57491.499999999993</v>
      </c>
      <c r="L11" s="3613">
        <f>+'Maj Despatch Summ'!M33</f>
        <v>175667</v>
      </c>
      <c r="M11" s="3613">
        <f>+'Direct sales IPT details'!M85</f>
        <v>163601.60000000001</v>
      </c>
      <c r="N11" s="1614">
        <f>+'Maj Despatch Summ'!O33</f>
        <v>95048.257150000005</v>
      </c>
      <c r="O11" s="1614">
        <f>+'Direct sales IPT details'!O85</f>
        <v>87150.200000000012</v>
      </c>
      <c r="P11" s="3612">
        <f>+'Maj Despatch Summ'!Q33</f>
        <v>270715.25715000002</v>
      </c>
      <c r="Q11" s="3612">
        <f>+'Direct sales IPT details'!Q85</f>
        <v>250751.80000000002</v>
      </c>
      <c r="R11" s="1614">
        <f>+'Maj Despatch Summ'!S33</f>
        <v>95048.257150000005</v>
      </c>
      <c r="S11" s="1614">
        <f>+'Direct sales IPT details'!S85</f>
        <v>106107.97999999998</v>
      </c>
      <c r="T11" s="3612">
        <f>+'Maj Despatch Summ'!U33</f>
        <v>365763.51430000004</v>
      </c>
      <c r="U11" s="3612">
        <f>+'Direct sales IPT details'!U85</f>
        <v>356859.78</v>
      </c>
      <c r="V11" s="1614">
        <f>+'Maj Despatch Summ'!W33</f>
        <v>92445.507000000012</v>
      </c>
      <c r="W11" s="1614">
        <f>+'Direct sales IPT details'!W85</f>
        <v>81497.38</v>
      </c>
      <c r="X11" s="3613">
        <f>+'Maj Despatch Summ'!Y33</f>
        <v>282542.02130000002</v>
      </c>
      <c r="Y11" s="3613">
        <f>+'Direct sales IPT details'!Y85</f>
        <v>274755.56</v>
      </c>
      <c r="Z11" s="1854">
        <f>+'Maj Despatch Summ'!AA33</f>
        <v>458209.02130000002</v>
      </c>
      <c r="AA11" s="1854">
        <f>+'Direct sales IPT details'!AA85</f>
        <v>438357.16000000003</v>
      </c>
      <c r="AB11" s="1614">
        <f>+'Maj Despatch Summ'!AC33</f>
        <v>88166</v>
      </c>
      <c r="AC11" s="1614">
        <f>+'Direct sales IPT details'!AC85</f>
        <v>89890.470000000016</v>
      </c>
      <c r="AD11" s="3612">
        <f>+'Maj Despatch Summ'!AE33</f>
        <v>546375.02130000002</v>
      </c>
      <c r="AE11" s="3612">
        <f>+'Direct sales IPT details'!AE85</f>
        <v>528247.63</v>
      </c>
      <c r="AF11" s="1614">
        <f>+'Maj Despatch Summ'!AG33</f>
        <v>88166</v>
      </c>
      <c r="AG11" s="1614">
        <f>+'Direct sales IPT details'!AG85</f>
        <v>124608.22999999998</v>
      </c>
      <c r="AH11" s="3612">
        <f>+'Maj Despatch Summ'!AI33</f>
        <v>634541.02130000002</v>
      </c>
      <c r="AI11" s="3612">
        <f>+'Direct sales IPT details'!AI85</f>
        <v>652855.86</v>
      </c>
      <c r="AJ11" s="3601">
        <f>+'Maj Despatch Summ'!AK33</f>
        <v>83400.179210526316</v>
      </c>
      <c r="AK11" s="1614">
        <f>+'Direct sales IPT details'!AK85</f>
        <v>96677.23</v>
      </c>
      <c r="AL11" s="3600">
        <f>+AB11+AF11+AJ11</f>
        <v>259732.17921052632</v>
      </c>
      <c r="AM11" s="3613">
        <f>+'Direct sales IPT details'!AM85</f>
        <v>311175.93</v>
      </c>
      <c r="AN11" s="3612">
        <f>+AH11+AJ11</f>
        <v>717941.20051052631</v>
      </c>
      <c r="AO11" s="3612">
        <f>+'Direct sales IPT details'!AO85</f>
        <v>749533.09</v>
      </c>
      <c r="AP11" s="3913">
        <f>+'Maj Despatch Summ'!AQ33</f>
        <v>83400.179210526316</v>
      </c>
      <c r="AQ11" s="1614">
        <f>+'Direct sales IPT details'!AQ85</f>
        <v>108367.54000000001</v>
      </c>
      <c r="AR11" s="3961">
        <f>+'Maj Despatch Summ'!AS33</f>
        <v>801341.3797210526</v>
      </c>
      <c r="AS11" s="3961">
        <f>+'Direct sales IPT details'!AS85</f>
        <v>857900.63</v>
      </c>
      <c r="AT11" s="4061">
        <f>+'Maj Despatch Summ'!AU33</f>
        <v>73904.937993526328</v>
      </c>
      <c r="AU11" s="1614">
        <f>+'Direct sales IPT details'!AU85</f>
        <v>100377.89</v>
      </c>
      <c r="AV11" s="4081">
        <f>+'Maj Despatch Summ'!AW33</f>
        <v>875246.31771457894</v>
      </c>
      <c r="AW11" s="4081">
        <f>+'Direct sales IPT details'!AW85</f>
        <v>958278.52</v>
      </c>
      <c r="AX11" s="4379">
        <f>+'Maj Despatch Summ'!AY33</f>
        <v>83400.179210526316</v>
      </c>
      <c r="AY11" s="1614">
        <f>+'Direct sales IPT details'!AY85</f>
        <v>96000.060000000012</v>
      </c>
      <c r="AZ11" s="4380">
        <f>+'Maj Despatch Summ'!BA33</f>
        <v>240705.29641457894</v>
      </c>
      <c r="BA11" s="4411">
        <f>+'Direct sales IPT details'!BA85</f>
        <v>304745.49</v>
      </c>
      <c r="BB11" s="1854">
        <f>+'Maj Despatch Summ'!BC33</f>
        <v>500437.47562510526</v>
      </c>
      <c r="BC11" s="1854">
        <f>+'Direct sales IPT details'!BC85</f>
        <v>615921.41999999993</v>
      </c>
      <c r="BD11" s="4409">
        <f>+'Maj Despatch Summ'!BE33</f>
        <v>958646.49692510522</v>
      </c>
      <c r="BE11" s="4409">
        <f>+'Direct sales IPT details'!BE85</f>
        <v>1054278.58</v>
      </c>
    </row>
    <row r="12" spans="2:61" ht="15.75" x14ac:dyDescent="0.25">
      <c r="B12" s="2449" t="s">
        <v>679</v>
      </c>
      <c r="C12" s="3615" t="s">
        <v>53</v>
      </c>
      <c r="D12" s="1614">
        <f t="shared" ref="D12:F12" si="1">SUM(D10:D11)</f>
        <v>36985</v>
      </c>
      <c r="E12" s="1614">
        <f t="shared" ref="E12:H12" si="2">SUM(E10:E11)</f>
        <v>45452.810000000005</v>
      </c>
      <c r="F12" s="1614">
        <f t="shared" si="1"/>
        <v>46750</v>
      </c>
      <c r="G12" s="1614">
        <f t="shared" ref="G12:I12" si="3">SUM(G10:G11)</f>
        <v>60690.15</v>
      </c>
      <c r="H12" s="3612">
        <f t="shared" si="2"/>
        <v>83735</v>
      </c>
      <c r="I12" s="3612">
        <f t="shared" si="3"/>
        <v>106142.96</v>
      </c>
      <c r="J12" s="1614">
        <f t="shared" ref="J12:K12" si="4">SUM(J10:J11)</f>
        <v>91932</v>
      </c>
      <c r="K12" s="1614">
        <f t="shared" si="4"/>
        <v>57491.499999999993</v>
      </c>
      <c r="L12" s="3613">
        <f>SUM(L10:L11)</f>
        <v>175667</v>
      </c>
      <c r="M12" s="3613">
        <f t="shared" ref="M12:O12" si="5">SUM(M10:M11)</f>
        <v>163634.46</v>
      </c>
      <c r="N12" s="1614">
        <f t="shared" ref="N12" si="6">SUM(N10:N11)</f>
        <v>95048.257150000005</v>
      </c>
      <c r="O12" s="1614">
        <f t="shared" si="5"/>
        <v>87647.98000000001</v>
      </c>
      <c r="P12" s="3612">
        <f>SUM(P10:P11)</f>
        <v>270715.25715000002</v>
      </c>
      <c r="Q12" s="3612">
        <f t="shared" ref="Q12" si="7">SUM(Q10:Q11)</f>
        <v>251282.44000000003</v>
      </c>
      <c r="R12" s="1614">
        <f t="shared" ref="R12:S12" si="8">SUM(R10:R11)</f>
        <v>95048.257150000005</v>
      </c>
      <c r="S12" s="1614">
        <f t="shared" si="8"/>
        <v>106454.54999999999</v>
      </c>
      <c r="T12" s="3612">
        <f>SUM(T10:T11)</f>
        <v>365763.51430000004</v>
      </c>
      <c r="U12" s="3612">
        <f t="shared" ref="U12" si="9">SUM(U10:U11)</f>
        <v>357736.99000000005</v>
      </c>
      <c r="V12" s="1614">
        <f t="shared" ref="V12:W12" si="10">SUM(V10:V11)</f>
        <v>92445.507000000012</v>
      </c>
      <c r="W12" s="1614">
        <f t="shared" si="10"/>
        <v>84541.680000000008</v>
      </c>
      <c r="X12" s="3613">
        <f>SUM(X10:X11)</f>
        <v>282542.02130000002</v>
      </c>
      <c r="Y12" s="3613">
        <f t="shared" ref="Y12" si="11">SUM(Y10:Y11)</f>
        <v>278644.21000000002</v>
      </c>
      <c r="Z12" s="1854">
        <f t="shared" ref="Z12:AK12" si="12">SUM(Z10:Z11)</f>
        <v>458209.02130000002</v>
      </c>
      <c r="AA12" s="1854">
        <f t="shared" si="12"/>
        <v>442278.67000000004</v>
      </c>
      <c r="AB12" s="1614">
        <f t="shared" si="12"/>
        <v>88166</v>
      </c>
      <c r="AC12" s="1614">
        <f t="shared" si="12"/>
        <v>92994.210000000021</v>
      </c>
      <c r="AD12" s="3612">
        <f>SUM(AD10:AD11)</f>
        <v>546375.02130000002</v>
      </c>
      <c r="AE12" s="3612">
        <f t="shared" ref="AE12" si="13">SUM(AE10:AE11)</f>
        <v>535272.88</v>
      </c>
      <c r="AF12" s="1614">
        <f t="shared" ref="AF12:AG12" si="14">SUM(AF10:AF11)</f>
        <v>88166</v>
      </c>
      <c r="AG12" s="1614">
        <f t="shared" si="14"/>
        <v>124608.22999999998</v>
      </c>
      <c r="AH12" s="3612">
        <f>SUM(AH10:AH11)</f>
        <v>634541.02130000002</v>
      </c>
      <c r="AI12" s="3612">
        <f t="shared" ref="AI12" si="15">SUM(AI10:AI11)</f>
        <v>659881.11</v>
      </c>
      <c r="AJ12" s="1614">
        <f t="shared" si="12"/>
        <v>83400.179210526316</v>
      </c>
      <c r="AK12" s="1614">
        <f t="shared" si="12"/>
        <v>97372.319999999992</v>
      </c>
      <c r="AL12" s="3613">
        <f>SUM(AL10:AL11)</f>
        <v>259732.17921052632</v>
      </c>
      <c r="AM12" s="3613">
        <f t="shared" ref="AM12" si="16">SUM(AM10:AM11)</f>
        <v>314974.76</v>
      </c>
      <c r="AN12" s="3612">
        <f t="shared" ref="AN12:AQ12" si="17">SUM(AN10:AN11)</f>
        <v>717941.20051052631</v>
      </c>
      <c r="AO12" s="3612">
        <f t="shared" si="17"/>
        <v>757253.42999999993</v>
      </c>
      <c r="AP12" s="1614">
        <f t="shared" si="17"/>
        <v>83400.179210526316</v>
      </c>
      <c r="AQ12" s="1614">
        <f t="shared" si="17"/>
        <v>112670.76000000001</v>
      </c>
      <c r="AR12" s="3961">
        <f>SUM(AR10:AR11)</f>
        <v>801341.3797210526</v>
      </c>
      <c r="AS12" s="3961">
        <f t="shared" ref="AS12:AU12" si="18">SUM(AS10:AS11)</f>
        <v>869924.19000000006</v>
      </c>
      <c r="AT12" s="1614">
        <f t="shared" si="18"/>
        <v>73904.937993526328</v>
      </c>
      <c r="AU12" s="1614">
        <f t="shared" si="18"/>
        <v>100680.27</v>
      </c>
      <c r="AV12" s="4081">
        <f>SUM(AV10:AV11)</f>
        <v>875246.31771457894</v>
      </c>
      <c r="AW12" s="4081">
        <f t="shared" ref="AW12:AY12" si="19">SUM(AW10:AW11)</f>
        <v>970604.46</v>
      </c>
      <c r="AX12" s="1614">
        <f t="shared" si="19"/>
        <v>83400.179210526316</v>
      </c>
      <c r="AY12" s="1614">
        <f t="shared" si="19"/>
        <v>96000.060000000012</v>
      </c>
      <c r="AZ12" s="4411">
        <f>SUM(AZ10:AZ11)</f>
        <v>240705.29641457894</v>
      </c>
      <c r="BA12" s="4411">
        <f t="shared" ref="BA12" si="20">SUM(BA10:BA11)</f>
        <v>309351.08999999997</v>
      </c>
      <c r="BB12" s="1854">
        <f>SUM(BB10:BB11)</f>
        <v>500437.47562510526</v>
      </c>
      <c r="BC12" s="1854">
        <f t="shared" ref="BC12" si="21">SUM(BC10:BC11)</f>
        <v>624325.85</v>
      </c>
      <c r="BD12" s="4409">
        <f>SUM(BD10:BD11)</f>
        <v>958646.49692510522</v>
      </c>
      <c r="BE12" s="4409">
        <f t="shared" ref="BE12" si="22">SUM(BE10:BE11)</f>
        <v>1066604.52</v>
      </c>
      <c r="BF12" s="4668"/>
      <c r="BG12" s="4668"/>
      <c r="BH12" s="4668"/>
      <c r="BI12" s="4668"/>
    </row>
    <row r="13" spans="2:61" ht="18.75" x14ac:dyDescent="0.25">
      <c r="B13" s="2448" t="s">
        <v>676</v>
      </c>
      <c r="C13" s="3615" t="s">
        <v>52</v>
      </c>
      <c r="D13" s="1614">
        <f t="shared" ref="D13" si="23">+D12/D8*100</f>
        <v>95.42053663570691</v>
      </c>
      <c r="E13" s="1614">
        <f>+E12/E8*100</f>
        <v>99.293975008738215</v>
      </c>
      <c r="F13" s="1614">
        <f t="shared" ref="F13:H13" si="24">+F12/F8*100</f>
        <v>91.810683424980368</v>
      </c>
      <c r="G13" s="1614">
        <f>+G12/G8*100</f>
        <v>147.33425077344222</v>
      </c>
      <c r="H13" s="2429">
        <f t="shared" si="24"/>
        <v>93.370874219446918</v>
      </c>
      <c r="I13" s="3612">
        <f>+I12/I8*100</f>
        <v>122.04807890998906</v>
      </c>
      <c r="J13" s="1614">
        <f>+J12/J8*100</f>
        <v>101.81119876673029</v>
      </c>
      <c r="K13" s="1614">
        <f>+K12/K8*100</f>
        <v>72.304528819186785</v>
      </c>
      <c r="L13" s="3613">
        <f t="shared" ref="L13" si="25">+L12/L8*100</f>
        <v>97.605493604583486</v>
      </c>
      <c r="M13" s="3613">
        <f>+M12/M8*100</f>
        <v>98.290080919850425</v>
      </c>
      <c r="N13" s="1614">
        <f>+N12/N8*100</f>
        <v>101.81111111111112</v>
      </c>
      <c r="O13" s="1614">
        <f>+O12/O8*100</f>
        <v>111.34992504509999</v>
      </c>
      <c r="P13" s="2429">
        <f t="shared" ref="P13" si="26">+P12/P8*100</f>
        <v>99.041925684327609</v>
      </c>
      <c r="Q13" s="3612">
        <f>+Q12/Q8*100</f>
        <v>102.48262941804565</v>
      </c>
      <c r="R13" s="1614">
        <f>+R12/R8*100</f>
        <v>101.81111111111112</v>
      </c>
      <c r="S13" s="1614">
        <f>+S12/S8*100</f>
        <v>137.03888931798872</v>
      </c>
      <c r="T13" s="2429">
        <f t="shared" ref="T13" si="27">+T12/T8*100</f>
        <v>99.746943731575968</v>
      </c>
      <c r="U13" s="3612">
        <f>+U12/U8*100</f>
        <v>110.7966254893235</v>
      </c>
      <c r="V13" s="1614">
        <f>+V12/V8*100</f>
        <v>101.81111111111112</v>
      </c>
      <c r="W13" s="1614">
        <f>+W12/W8*100</f>
        <v>106.32033804517332</v>
      </c>
      <c r="X13" s="2430">
        <f t="shared" ref="X13" si="28">+X12/X8*100</f>
        <v>101.81111111111112</v>
      </c>
      <c r="Y13" s="3613">
        <f>+Y12/Y8*100</f>
        <v>118.11362287632679</v>
      </c>
      <c r="Z13" s="2431">
        <f t="shared" ref="Z13" si="29">+Z12/Z8*100</f>
        <v>100.15663019138347</v>
      </c>
      <c r="AA13" s="1854">
        <f>+AA12/AA8*100</f>
        <v>109.91207646120162</v>
      </c>
      <c r="AB13" s="1614">
        <f>+AB12/AB8*100</f>
        <v>96.452736889895363</v>
      </c>
      <c r="AC13" s="1614">
        <f>+AC12/AC8*100</f>
        <v>102.34101488989404</v>
      </c>
      <c r="AD13" s="2429">
        <f t="shared" ref="AD13" si="30">+AD12/AD8*100</f>
        <v>99.539820672563977</v>
      </c>
      <c r="AE13" s="3612">
        <f>+AE12/AE8*100</f>
        <v>108.51735676285207</v>
      </c>
      <c r="AF13" s="1614">
        <f>+AF12/AF8*100</f>
        <v>102.4923856687824</v>
      </c>
      <c r="AG13" s="1614">
        <f>+AG12/AG8*100</f>
        <v>162.95473923732803</v>
      </c>
      <c r="AH13" s="2429">
        <f t="shared" ref="AH13" si="31">+AH12/AH8*100</f>
        <v>99.939846449084897</v>
      </c>
      <c r="AI13" s="3612">
        <f>+AI12/AI8*100</f>
        <v>115.82385503073429</v>
      </c>
      <c r="AJ13" s="1614">
        <f t="shared" ref="AJ13" si="32">+AJ12/AJ8*100</f>
        <v>96.452631578947361</v>
      </c>
      <c r="AK13" s="1614">
        <f>+AK12/AK8*100</f>
        <v>108.40586938611921</v>
      </c>
      <c r="AL13" s="1016">
        <f t="shared" ref="AL13:AN13" si="33">+AL12/AL8*100</f>
        <v>98.42142767680177</v>
      </c>
      <c r="AM13" s="3613">
        <f>+AM12/AM8*100</f>
        <v>122.48344785481244</v>
      </c>
      <c r="AN13" s="2429">
        <f t="shared" si="33"/>
        <v>99.521860943754717</v>
      </c>
      <c r="AO13" s="3612">
        <f>+AO12/AO8*100</f>
        <v>114.81362358201137</v>
      </c>
      <c r="AP13" s="1614">
        <f t="shared" ref="AP13" si="34">+AP12/AP8*100</f>
        <v>96.452631578947361</v>
      </c>
      <c r="AQ13" s="1614">
        <f>+AQ12/AQ8*100</f>
        <v>142.57812992965185</v>
      </c>
      <c r="AR13" s="2429">
        <f t="shared" ref="AR13" si="35">+AR12/AR8*100</f>
        <v>99.193351965039483</v>
      </c>
      <c r="AS13" s="3961">
        <f>+AS12/AS8*100</f>
        <v>117.78429238526942</v>
      </c>
      <c r="AT13" s="1614">
        <f t="shared" ref="AT13" si="36">+AT12/AT8*100</f>
        <v>96.45263157894739</v>
      </c>
      <c r="AU13" s="1614">
        <f>+AU12/AU8*100</f>
        <v>136.75617442639208</v>
      </c>
      <c r="AV13" s="2429">
        <f t="shared" ref="AV13" si="37">+AV12/AV8*100</f>
        <v>98.95592195931296</v>
      </c>
      <c r="AW13" s="4081">
        <f>+AW12/AW8*100</f>
        <v>119.50397343998192</v>
      </c>
      <c r="AX13" s="1614">
        <f t="shared" ref="AX13" si="38">+AX12/AX8*100</f>
        <v>96.452631578947361</v>
      </c>
      <c r="AY13" s="1614">
        <f>+AY12/AY8*100</f>
        <v>105.53844642820687</v>
      </c>
      <c r="AZ13" s="4411">
        <f t="shared" ref="AZ13" si="39">+AZ12/AZ8*100</f>
        <v>96.452631578947361</v>
      </c>
      <c r="BA13" s="4411">
        <f>+BA12/BA8*100</f>
        <v>126.98812398102292</v>
      </c>
      <c r="BB13" s="2431">
        <f t="shared" ref="BB13" si="40">+BB12/BB8*100</f>
        <v>97.464522203775786</v>
      </c>
      <c r="BC13" s="1854">
        <f>+BC12/BC8*100</f>
        <v>124.67483751884431</v>
      </c>
      <c r="BD13" s="2429">
        <f t="shared" ref="BD13" si="41">+BD12/BD8*100</f>
        <v>98.732992253664278</v>
      </c>
      <c r="BE13" s="4409">
        <f>+BE12/BE8*100</f>
        <v>118.09742355358557</v>
      </c>
      <c r="BF13" s="4668"/>
      <c r="BG13" s="4668"/>
      <c r="BH13" s="4668"/>
      <c r="BI13" s="4668"/>
    </row>
    <row r="14" spans="2:61" ht="15.75" x14ac:dyDescent="0.25">
      <c r="B14" s="2448" t="s">
        <v>497</v>
      </c>
      <c r="C14" s="3615" t="s">
        <v>53</v>
      </c>
      <c r="D14" s="1614">
        <f>+(D17*D18)/1000</f>
        <v>11455.433999999999</v>
      </c>
      <c r="E14" s="1614">
        <f>+SMS!F87</f>
        <v>15365</v>
      </c>
      <c r="F14" s="1614">
        <f>+(F17*F18)/1000</f>
        <v>11856.325999999999</v>
      </c>
      <c r="G14" s="1614">
        <f>+SMS!H87</f>
        <v>11217</v>
      </c>
      <c r="H14" s="3612">
        <f t="shared" ref="H14:H15" si="42">+D14+F14</f>
        <v>23311.759999999998</v>
      </c>
      <c r="I14" s="3612">
        <f>+SMS!J87</f>
        <v>26582</v>
      </c>
      <c r="J14" s="1614">
        <f>+(J17*J18)/1000</f>
        <v>27129.018</v>
      </c>
      <c r="K14" s="1614">
        <f>+SMS!L87</f>
        <v>29189</v>
      </c>
      <c r="L14" s="3613">
        <f t="shared" ref="L14:L15" si="43">+H14+J14</f>
        <v>50440.777999999998</v>
      </c>
      <c r="M14" s="3613">
        <f>+SMS!N87</f>
        <v>55771</v>
      </c>
      <c r="N14" s="1614">
        <f>+(N17*N18)/1000</f>
        <v>28051.694835680752</v>
      </c>
      <c r="O14" s="1614">
        <f>+SMS!P87</f>
        <v>25447</v>
      </c>
      <c r="P14" s="3612">
        <f t="shared" ref="P14:P15" si="44">+L14+N14</f>
        <v>78492.472835680746</v>
      </c>
      <c r="Q14" s="3612">
        <f>+SMS!R87</f>
        <v>81218</v>
      </c>
      <c r="R14" s="1614">
        <f>+(R17*R18)/1000</f>
        <v>28074.605633802817</v>
      </c>
      <c r="S14" s="1614">
        <f>+SMS!T87</f>
        <v>24608</v>
      </c>
      <c r="T14" s="3612">
        <f t="shared" ref="T14:T15" si="45">+P14+R14</f>
        <v>106567.07846948356</v>
      </c>
      <c r="U14" s="3612">
        <f>+SMS!V87</f>
        <v>105826</v>
      </c>
      <c r="V14" s="1614">
        <f>+(V17*V18)/1000</f>
        <v>27303.943661971829</v>
      </c>
      <c r="W14" s="1614">
        <f>+SMS!X87</f>
        <v>24473</v>
      </c>
      <c r="X14" s="3613">
        <f>+N14+R14+V14</f>
        <v>83430.244131455402</v>
      </c>
      <c r="Y14" s="3613">
        <f>+SMS!Z87</f>
        <v>74528</v>
      </c>
      <c r="Z14" s="1854">
        <f t="shared" ref="Z14:Z15" si="46">+T14+V14</f>
        <v>133871.02213145539</v>
      </c>
      <c r="AA14" s="1854">
        <f>+SMS!AB87</f>
        <v>130299</v>
      </c>
      <c r="AB14" s="1614">
        <f>+(AB17*AB18)/1000</f>
        <v>28231.830985915491</v>
      </c>
      <c r="AC14" s="1614">
        <f>+SMS!AD87</f>
        <v>28477</v>
      </c>
      <c r="AD14" s="3612">
        <f t="shared" ref="AD14:AD15" si="47">+Z14+AB14</f>
        <v>162102.85311737089</v>
      </c>
      <c r="AE14" s="3612">
        <f>+SMS!AF87</f>
        <v>158776</v>
      </c>
      <c r="AF14" s="1614">
        <f>+(AF17*AF18)/1000</f>
        <v>27303.943661971829</v>
      </c>
      <c r="AG14" s="1614">
        <f>+SMS!AH87</f>
        <v>24948.388749999998</v>
      </c>
      <c r="AH14" s="3612">
        <f t="shared" ref="AH14:AH15" si="48">+AD14+AF14</f>
        <v>189406.79677934272</v>
      </c>
      <c r="AI14" s="3612">
        <f>+SMS!AJ87</f>
        <v>183724.38874999998</v>
      </c>
      <c r="AJ14" s="3601">
        <f>+(AJ17*AJ18)/1000</f>
        <v>28231.776000000002</v>
      </c>
      <c r="AK14" s="1614">
        <f>+SMS!AL87</f>
        <v>28109</v>
      </c>
      <c r="AL14" s="3613">
        <f t="shared" ref="AL14:AL15" si="49">+AH14+AJ14</f>
        <v>217638.57277934274</v>
      </c>
      <c r="AM14" s="3613">
        <f>+SMS!AN87</f>
        <v>81534.388749999998</v>
      </c>
      <c r="AN14" s="3612">
        <f t="shared" ref="AN14:AN15" si="50">+AH14+AJ14</f>
        <v>217638.57277934274</v>
      </c>
      <c r="AO14" s="3612">
        <f>+SMS!AP87</f>
        <v>211833.38874999998</v>
      </c>
      <c r="AP14" s="3913">
        <f>+(AP17*AP18)/1000</f>
        <v>28231.830985915491</v>
      </c>
      <c r="AQ14" s="1614">
        <f>+SMS!AR87</f>
        <v>28585.439999999999</v>
      </c>
      <c r="AR14" s="3961">
        <f t="shared" ref="AR14:AR15" si="51">+AN14+AP14</f>
        <v>245870.40376525823</v>
      </c>
      <c r="AS14" s="3961">
        <f>+SMS!AT87</f>
        <v>240418.82874999999</v>
      </c>
      <c r="AT14" s="4061">
        <f>+(AT17*AT18)/1000</f>
        <v>25009.767455399058</v>
      </c>
      <c r="AU14" s="1614">
        <f>+SMS!AV87</f>
        <v>24940</v>
      </c>
      <c r="AV14" s="4081">
        <f t="shared" ref="AV14:AV15" si="52">+AR14+AT14</f>
        <v>270880.1712206573</v>
      </c>
      <c r="AW14" s="4081">
        <f>+SMS!AX87</f>
        <v>265358.82874999999</v>
      </c>
      <c r="AX14" s="4379">
        <f>+(AX17*AX18)/1000</f>
        <v>28231.830985915491</v>
      </c>
      <c r="AY14" s="1614">
        <f>+SMS!AZ87</f>
        <v>29304.454529999999</v>
      </c>
      <c r="AZ14" s="4411">
        <f>+AX14+AT14+AP14</f>
        <v>81473.429427230032</v>
      </c>
      <c r="BA14" s="4411">
        <f>+SMS!BB87</f>
        <v>82829.894530000005</v>
      </c>
      <c r="BB14" s="1854">
        <f>+AZ14+AL14</f>
        <v>299112.0022065728</v>
      </c>
      <c r="BC14" s="1854">
        <f>+SMS!BD87</f>
        <v>164364.28328</v>
      </c>
      <c r="BD14" s="4409">
        <f>+AV14+AX14</f>
        <v>299112.0022065728</v>
      </c>
      <c r="BE14" s="4409">
        <f>+SMS!BF87</f>
        <v>294663.28327999997</v>
      </c>
      <c r="BF14" s="4668"/>
      <c r="BG14" s="4668"/>
      <c r="BH14" s="4668"/>
      <c r="BI14" s="4668"/>
    </row>
    <row r="15" spans="2:61" ht="15.75" x14ac:dyDescent="0.25">
      <c r="B15" s="2448" t="s">
        <v>466</v>
      </c>
      <c r="C15" s="3615" t="s">
        <v>53</v>
      </c>
      <c r="D15" s="1614">
        <f>+(D16/100)*D14</f>
        <v>14474.161201980516</v>
      </c>
      <c r="E15" s="1614">
        <f>+E30</f>
        <v>5417.27</v>
      </c>
      <c r="F15" s="1614">
        <f>+(F16/100)*F14</f>
        <v>14564.269905491296</v>
      </c>
      <c r="G15" s="1614">
        <f>+G30</f>
        <v>4599.76</v>
      </c>
      <c r="H15" s="3612">
        <f t="shared" si="42"/>
        <v>29038.431107471813</v>
      </c>
      <c r="I15" s="3612">
        <f>+I30</f>
        <v>10017.029999999999</v>
      </c>
      <c r="J15" s="1614">
        <f>+(J16/100)*J14</f>
        <v>19679.922064290684</v>
      </c>
      <c r="K15" s="1614">
        <f>+K30</f>
        <v>7396.0300000000016</v>
      </c>
      <c r="L15" s="3613">
        <f t="shared" si="43"/>
        <v>48718.353171762501</v>
      </c>
      <c r="M15" s="3613">
        <f>+M30</f>
        <v>17413.060000000005</v>
      </c>
      <c r="N15" s="1614">
        <f>+(N16/100)*N14</f>
        <v>20152.081142656356</v>
      </c>
      <c r="O15" s="1614">
        <f>+O30</f>
        <v>8566.33</v>
      </c>
      <c r="P15" s="3612">
        <f t="shared" si="44"/>
        <v>68870.434314418861</v>
      </c>
      <c r="Q15" s="3612">
        <f>+Q30</f>
        <v>25979.390000000003</v>
      </c>
      <c r="R15" s="1614">
        <f>+(R16/100)*R14</f>
        <v>20202.08114265636</v>
      </c>
      <c r="S15" s="1614">
        <f>+S30</f>
        <v>7052.99</v>
      </c>
      <c r="T15" s="3612">
        <f t="shared" si="45"/>
        <v>89072.51545707522</v>
      </c>
      <c r="U15" s="3612">
        <f>+U30</f>
        <v>33032.380000000005</v>
      </c>
      <c r="V15" s="1614">
        <f>+(V16/100)*V14</f>
        <v>19707.702329426738</v>
      </c>
      <c r="W15" s="1614">
        <f>+W30</f>
        <v>12651.826854645373</v>
      </c>
      <c r="X15" s="3613">
        <f>+N15+R15+V15</f>
        <v>60061.864614739461</v>
      </c>
      <c r="Y15" s="3613">
        <f>+Y30</f>
        <v>28271.146854645373</v>
      </c>
      <c r="Z15" s="1854">
        <f t="shared" si="46"/>
        <v>108780.21778650196</v>
      </c>
      <c r="AA15" s="1854">
        <f>+AA30</f>
        <v>45684.206854645381</v>
      </c>
      <c r="AB15" s="1614">
        <f>+(AB16/100)*AB14</f>
        <v>20282.53969652595</v>
      </c>
      <c r="AC15" s="1614">
        <f>+AC30</f>
        <v>10412.079999999998</v>
      </c>
      <c r="AD15" s="3612">
        <f t="shared" si="47"/>
        <v>129062.7574830279</v>
      </c>
      <c r="AE15" s="3612">
        <f>+AE30</f>
        <v>56096.286854645376</v>
      </c>
      <c r="AF15" s="1614">
        <f>+(AF16/100)*AF14</f>
        <v>19807.702329426738</v>
      </c>
      <c r="AG15" s="1614">
        <f>+AG30</f>
        <v>28143.849778009266</v>
      </c>
      <c r="AH15" s="3612">
        <f t="shared" si="48"/>
        <v>148870.45981245465</v>
      </c>
      <c r="AI15" s="3612">
        <f>+AI30</f>
        <v>84240.136632654641</v>
      </c>
      <c r="AJ15" s="3601">
        <f>+(AJ16/100)*AJ14</f>
        <v>20282.500193101099</v>
      </c>
      <c r="AK15" s="1614">
        <f>+AK30</f>
        <v>10404.84</v>
      </c>
      <c r="AL15" s="3613">
        <f t="shared" si="49"/>
        <v>169152.96000555574</v>
      </c>
      <c r="AM15" s="3613">
        <f>+AM30</f>
        <v>48960.769778009257</v>
      </c>
      <c r="AN15" s="3612">
        <f t="shared" si="50"/>
        <v>169152.96000555574</v>
      </c>
      <c r="AO15" s="3612">
        <f>+AO30</f>
        <v>94644.976632654638</v>
      </c>
      <c r="AP15" s="3913">
        <f>+(AP16/100)*AP14</f>
        <v>20232.53969652595</v>
      </c>
      <c r="AQ15" s="1614">
        <f>+AQ30</f>
        <v>15287.193984525014</v>
      </c>
      <c r="AR15" s="3961">
        <f t="shared" si="51"/>
        <v>189385.4997020817</v>
      </c>
      <c r="AS15" s="3961">
        <f>+AS30</f>
        <v>109932.17061717964</v>
      </c>
      <c r="AT15" s="4061">
        <f>+(AT16/100)*AT14</f>
        <v>18583.679836091316</v>
      </c>
      <c r="AU15" s="1614">
        <f>+AU30</f>
        <v>25409.629999999997</v>
      </c>
      <c r="AV15" s="4081">
        <f t="shared" si="52"/>
        <v>207969.17953817302</v>
      </c>
      <c r="AW15" s="4081">
        <f>+AW30</f>
        <v>135341.80061717963</v>
      </c>
      <c r="AX15" s="4379">
        <f>+(AX16/100)*AX14</f>
        <v>20232.53969652595</v>
      </c>
      <c r="AY15" s="1614">
        <f>+AY30</f>
        <v>31995.359999999997</v>
      </c>
      <c r="AZ15" s="4411">
        <f>+AX15+AT15+AP15</f>
        <v>59048.759229143216</v>
      </c>
      <c r="BA15" s="4411">
        <f>+BA30</f>
        <v>72692.183984525022</v>
      </c>
      <c r="BB15" s="1854">
        <f>+AZ15+AL15</f>
        <v>228201.71923469895</v>
      </c>
      <c r="BC15" s="1854">
        <f>+BC30</f>
        <v>121652.95376253428</v>
      </c>
      <c r="BD15" s="4409">
        <f>+AV15+AX15</f>
        <v>228201.71923469898</v>
      </c>
      <c r="BE15" s="4409">
        <f>+BE30</f>
        <v>167337.16061717967</v>
      </c>
      <c r="BF15" s="4668"/>
      <c r="BG15" s="4668"/>
      <c r="BH15" s="4668"/>
      <c r="BI15" s="4668"/>
    </row>
    <row r="16" spans="2:61" ht="15.75" x14ac:dyDescent="0.25">
      <c r="B16" s="2448" t="s">
        <v>677</v>
      </c>
      <c r="C16" s="3615" t="s">
        <v>52</v>
      </c>
      <c r="D16" s="361">
        <v>126.35192347998789</v>
      </c>
      <c r="E16" s="361">
        <f t="shared" ref="E16" si="53">+E15/E14*100</f>
        <v>35.257207940123656</v>
      </c>
      <c r="F16" s="361">
        <v>122.83965459022717</v>
      </c>
      <c r="G16" s="361">
        <f t="shared" ref="G16:I16" si="54">+G15/G14*100</f>
        <v>41.007042881340823</v>
      </c>
      <c r="H16" s="2436">
        <f>+H15/H14*100</f>
        <v>124.56558881642491</v>
      </c>
      <c r="I16" s="2436">
        <f t="shared" si="54"/>
        <v>37.683507636746668</v>
      </c>
      <c r="J16" s="361">
        <v>72.541962500414442</v>
      </c>
      <c r="K16" s="361">
        <f t="shared" ref="K16" si="55">+K15/K14*100</f>
        <v>25.338415156394539</v>
      </c>
      <c r="L16" s="2435">
        <f t="shared" ref="L16:M16" si="56">+L15/L14*100</f>
        <v>96.585253248398544</v>
      </c>
      <c r="M16" s="2435">
        <f t="shared" si="56"/>
        <v>31.222427426440273</v>
      </c>
      <c r="N16" s="361">
        <v>71.839085875922308</v>
      </c>
      <c r="O16" s="361">
        <f t="shared" ref="O16" si="57">+O15/O14*100</f>
        <v>33.663418084646516</v>
      </c>
      <c r="P16" s="2436">
        <f t="shared" ref="P16:Q16" si="58">+P15/P14*100</f>
        <v>87.741450646605259</v>
      </c>
      <c r="Q16" s="2436">
        <f t="shared" si="58"/>
        <v>31.987231894407646</v>
      </c>
      <c r="R16" s="2437">
        <v>71.958557160754339</v>
      </c>
      <c r="S16" s="361">
        <f t="shared" ref="S16" si="59">+S15/S14*100</f>
        <v>28.661370286085823</v>
      </c>
      <c r="T16" s="2436">
        <f t="shared" ref="T16:U16" si="60">+T15/T14*100</f>
        <v>83.583520104271173</v>
      </c>
      <c r="U16" s="2436">
        <f t="shared" si="60"/>
        <v>31.213860487970823</v>
      </c>
      <c r="V16" s="2437">
        <v>72.178959103534467</v>
      </c>
      <c r="W16" s="361">
        <f t="shared" ref="W16" si="61">+W15/W14*100</f>
        <v>51.697081905141886</v>
      </c>
      <c r="X16" s="2435">
        <f t="shared" ref="X16:Y16" si="62">+X15/X14*100</f>
        <v>71.990517635432099</v>
      </c>
      <c r="Y16" s="2435">
        <f t="shared" si="62"/>
        <v>37.933591206855645</v>
      </c>
      <c r="Z16" s="2438">
        <f t="shared" ref="Z16:AA16" si="63">+Z15/Z14*100</f>
        <v>81.257479067937965</v>
      </c>
      <c r="AA16" s="2438">
        <f t="shared" si="63"/>
        <v>35.061057149053624</v>
      </c>
      <c r="AB16" s="2437">
        <v>71.842806464251836</v>
      </c>
      <c r="AC16" s="361">
        <f t="shared" ref="AC16" si="64">+AC15/AC14*100</f>
        <v>36.563121115286009</v>
      </c>
      <c r="AD16" s="2436">
        <f t="shared" ref="AD16:AE16" si="65">+AD15/AD14*100</f>
        <v>79.617819798384275</v>
      </c>
      <c r="AE16" s="2436">
        <f t="shared" si="65"/>
        <v>35.33045728236344</v>
      </c>
      <c r="AF16" s="2437">
        <v>72.545206563015114</v>
      </c>
      <c r="AG16" s="361">
        <f t="shared" ref="AG16" si="66">+AG15/AG14*100</f>
        <v>112.80828617843814</v>
      </c>
      <c r="AH16" s="2436">
        <f t="shared" ref="AH16:AI16" si="67">+AH15/AH14*100</f>
        <v>78.59826698082405</v>
      </c>
      <c r="AI16" s="2436">
        <f t="shared" si="67"/>
        <v>45.851363123751121</v>
      </c>
      <c r="AJ16" s="2437">
        <v>71.842806464251836</v>
      </c>
      <c r="AK16" s="361">
        <f>+AK15/AK14*100</f>
        <v>37.016044683197549</v>
      </c>
      <c r="AL16" s="2435">
        <f t="shared" ref="AL16" si="68">+AL15/AL14*100</f>
        <v>77.721957944033605</v>
      </c>
      <c r="AM16" s="2435">
        <f t="shared" ref="AM16:AN16" si="69">+AM15/AM14*100</f>
        <v>60.049226502613919</v>
      </c>
      <c r="AN16" s="2436">
        <f t="shared" si="69"/>
        <v>77.721957944033605</v>
      </c>
      <c r="AO16" s="2436">
        <f t="shared" ref="AO16" si="70">+AO15/AO14*100</f>
        <v>44.678970199712978</v>
      </c>
      <c r="AP16" s="2437">
        <v>71.665701408526118</v>
      </c>
      <c r="AQ16" s="361">
        <f>+AQ15/AQ14*100</f>
        <v>53.478952867351403</v>
      </c>
      <c r="AR16" s="2436">
        <f t="shared" ref="AR16:AS16" si="71">+AR15/AR14*100</f>
        <v>77.026554152851674</v>
      </c>
      <c r="AS16" s="2436">
        <f t="shared" si="71"/>
        <v>45.725275008095487</v>
      </c>
      <c r="AT16" s="2437">
        <v>74.305688244532277</v>
      </c>
      <c r="AU16" s="1615">
        <f>+AU15/AU14*100</f>
        <v>101.88303929430633</v>
      </c>
      <c r="AV16" s="2436">
        <f t="shared" ref="AV16:AW16" si="72">+AV15/AV14*100</f>
        <v>76.77534261773728</v>
      </c>
      <c r="AW16" s="4103">
        <f t="shared" si="72"/>
        <v>51.003315493485211</v>
      </c>
      <c r="AX16" s="2437">
        <v>71.665701408526118</v>
      </c>
      <c r="AY16" s="1615">
        <f>+AY15/AY14*100</f>
        <v>109.18258166943605</v>
      </c>
      <c r="AZ16" s="2435">
        <f t="shared" ref="AZ16:BC16" si="73">+AZ15/AZ14*100</f>
        <v>72.476093917077648</v>
      </c>
      <c r="BA16" s="2435">
        <f t="shared" si="73"/>
        <v>87.760807130083663</v>
      </c>
      <c r="BB16" s="2438">
        <f t="shared" si="73"/>
        <v>76.293066661062369</v>
      </c>
      <c r="BC16" s="2438">
        <f t="shared" si="73"/>
        <v>74.014227017492871</v>
      </c>
      <c r="BD16" s="2436">
        <f t="shared" ref="BD16:BE16" si="74">+BD15/BD14*100</f>
        <v>76.293066661062383</v>
      </c>
      <c r="BE16" s="4409">
        <f t="shared" si="74"/>
        <v>56.789281227878561</v>
      </c>
      <c r="BF16" s="4668"/>
      <c r="BG16" s="4668"/>
      <c r="BH16" s="4668"/>
      <c r="BI16" s="4668"/>
    </row>
    <row r="17" spans="2:61" ht="15.75" x14ac:dyDescent="0.25">
      <c r="B17" s="2448" t="s">
        <v>1028</v>
      </c>
      <c r="C17" s="2448"/>
      <c r="D17" s="1615">
        <f>+'Maj Production Summ'!E18</f>
        <v>93897</v>
      </c>
      <c r="E17" s="1615">
        <f>+'Maj Production Summ'!F18</f>
        <v>99859</v>
      </c>
      <c r="F17" s="1615">
        <f>+'Maj Production Summ'!G18</f>
        <v>97183</v>
      </c>
      <c r="G17" s="1615">
        <f>+'Maj Production Summ'!H18</f>
        <v>79982</v>
      </c>
      <c r="H17" s="3612">
        <f>+'Maj Production Summ'!I18</f>
        <v>191080</v>
      </c>
      <c r="I17" s="3612">
        <f>+'Maj Production Summ'!J18</f>
        <v>179841</v>
      </c>
      <c r="J17" s="1615">
        <f>+'Maj Production Summ'!K18</f>
        <v>222369</v>
      </c>
      <c r="K17" s="1615">
        <f>+'Maj Production Summ'!L18</f>
        <v>195203</v>
      </c>
      <c r="L17" s="3613">
        <f>+'Maj Production Summ'!M18</f>
        <v>413449</v>
      </c>
      <c r="M17" s="3613">
        <f>+'Maj Production Summ'!N18</f>
        <v>375044</v>
      </c>
      <c r="N17" s="1615">
        <f>+'Maj Production Summ'!O18</f>
        <v>229931.92488262913</v>
      </c>
      <c r="O17" s="1615">
        <f>+'Maj Production Summ'!P18</f>
        <v>188123</v>
      </c>
      <c r="P17" s="3612">
        <f>+'Maj Production Summ'!Q18</f>
        <v>643380.92488262919</v>
      </c>
      <c r="Q17" s="3612">
        <f>+'Maj Production Summ'!R18</f>
        <v>563167</v>
      </c>
      <c r="R17" s="1615">
        <f>+'Maj Production Summ'!S18</f>
        <v>230119.71830985916</v>
      </c>
      <c r="S17" s="1615">
        <f>+'Maj Production Summ'!T18</f>
        <v>204220</v>
      </c>
      <c r="T17" s="3612">
        <f>+'Maj Production Summ'!U18</f>
        <v>873500.64319248835</v>
      </c>
      <c r="U17" s="3612">
        <f>+'Maj Production Summ'!V18</f>
        <v>767387</v>
      </c>
      <c r="V17" s="1615">
        <f>+'Maj Production Summ'!W18</f>
        <v>223802.81690140846</v>
      </c>
      <c r="W17" s="1615">
        <f>+'Maj Production Summ'!X18</f>
        <v>198425</v>
      </c>
      <c r="X17" s="3613">
        <f>+'Maj Production Summ'!Y18</f>
        <v>683854.46009389672</v>
      </c>
      <c r="Y17" s="3613">
        <f>+'Maj Production Summ'!Z18</f>
        <v>590768</v>
      </c>
      <c r="Z17" s="1854">
        <f>+'Maj Production Summ'!AA18</f>
        <v>1097303.4600938968</v>
      </c>
      <c r="AA17" s="1854">
        <f>+'Maj Production Summ'!AB18</f>
        <v>965812</v>
      </c>
      <c r="AB17" s="1615">
        <f>+'Maj Production Summ'!AC18</f>
        <v>231408.45070422534</v>
      </c>
      <c r="AC17" s="1615">
        <f>+'Maj Production Summ'!AD18</f>
        <v>211320</v>
      </c>
      <c r="AD17" s="3612">
        <f>+'Maj Production Summ'!AE18</f>
        <v>1328711.9107981222</v>
      </c>
      <c r="AE17" s="3612">
        <f>+'Maj Production Summ'!AF18</f>
        <v>1177132</v>
      </c>
      <c r="AF17" s="1615">
        <f>+'Maj Production Summ'!AG18</f>
        <v>223802.81690140846</v>
      </c>
      <c r="AG17" s="1615">
        <f>+'Maj Production Summ'!AH18</f>
        <v>194791</v>
      </c>
      <c r="AH17" s="3612">
        <f>+'Maj Production Summ'!AI18</f>
        <v>1552514.7276995305</v>
      </c>
      <c r="AI17" s="3612">
        <f>+'Maj Production Summ'!AJ18</f>
        <v>1371923</v>
      </c>
      <c r="AJ17" s="3640">
        <f>+'Maj Production Summ'!AK18</f>
        <v>231408</v>
      </c>
      <c r="AK17" s="1615">
        <f>+'Maj Production Summ'!AL18</f>
        <v>216681</v>
      </c>
      <c r="AL17" s="3600">
        <f>+'Maj Production Summ'!AM18</f>
        <v>686619.26760563382</v>
      </c>
      <c r="AM17" s="3613">
        <f>+'Maj Production Summ'!AN18</f>
        <v>622792</v>
      </c>
      <c r="AN17" s="3612">
        <f>+'Maj Production Summ'!AO18</f>
        <v>1783922.7276995305</v>
      </c>
      <c r="AO17" s="3612">
        <f>+'Maj Production Summ'!AP18</f>
        <v>1588604</v>
      </c>
      <c r="AP17" s="3912">
        <f>+'Maj Production Summ'!AQ18</f>
        <v>231408.45070422534</v>
      </c>
      <c r="AQ17" s="1615">
        <f>+'Maj Production Summ'!AR18</f>
        <v>221653</v>
      </c>
      <c r="AR17" s="3961">
        <f>+'Maj Production Summ'!AS18</f>
        <v>2015331.1784037559</v>
      </c>
      <c r="AS17" s="3961">
        <f>+'Maj Production Summ'!AT18</f>
        <v>1810257</v>
      </c>
      <c r="AT17" s="4060">
        <f>+'Maj Production Summ'!AU18</f>
        <v>204998.0938967136</v>
      </c>
      <c r="AU17" s="1615">
        <f>+'Maj Production Summ'!AV18</f>
        <v>197600</v>
      </c>
      <c r="AV17" s="4081">
        <f>+'Maj Production Summ'!AW18</f>
        <v>2220329.2723004697</v>
      </c>
      <c r="AW17" s="4081">
        <f>+'Maj Production Summ'!AX18</f>
        <v>2007857</v>
      </c>
      <c r="AX17" s="4378">
        <f>+'Maj Production Summ'!AY18</f>
        <v>231408.45070422534</v>
      </c>
      <c r="AY17" s="1615">
        <f>+'Maj Production Summ'!AZ18</f>
        <v>220010</v>
      </c>
      <c r="AZ17" s="4380">
        <f>+'Maj Production Summ'!BA18</f>
        <v>667814.99530516425</v>
      </c>
      <c r="BA17" s="4411">
        <f>+'Maj Production Summ'!BB18</f>
        <v>639263</v>
      </c>
      <c r="BB17" s="1854">
        <f>+'Maj Production Summ'!BC18</f>
        <v>1354434.2629107982</v>
      </c>
      <c r="BC17" s="1854">
        <f>+'Maj Production Summ'!BD18</f>
        <v>1262055</v>
      </c>
      <c r="BD17" s="4409">
        <f>+'Maj Production Summ'!BE18</f>
        <v>2451737.723004695</v>
      </c>
      <c r="BE17" s="4409">
        <f>+'Maj Production Summ'!BF18</f>
        <v>2227867</v>
      </c>
      <c r="BF17" s="4668"/>
      <c r="BG17" s="4668"/>
      <c r="BH17" s="4668"/>
      <c r="BI17" s="4668"/>
    </row>
    <row r="18" spans="2:61" ht="15.75" x14ac:dyDescent="0.25">
      <c r="B18" s="2448" t="s">
        <v>859</v>
      </c>
      <c r="C18" s="2448"/>
      <c r="D18" s="2439">
        <f>+SMS!E89</f>
        <v>122</v>
      </c>
      <c r="E18" s="2439">
        <f>+SMS!F89</f>
        <v>153.86695240288807</v>
      </c>
      <c r="F18" s="2439">
        <f>+SMS!G89</f>
        <v>122</v>
      </c>
      <c r="G18" s="2439">
        <f>+SMS!H89</f>
        <v>140.2440549123553</v>
      </c>
      <c r="H18" s="2440">
        <f>+SMS!I89</f>
        <v>122</v>
      </c>
      <c r="I18" s="2440">
        <f>+SMS!J89</f>
        <v>147.80834181304598</v>
      </c>
      <c r="J18" s="2439">
        <f>+SMS!K89</f>
        <v>122</v>
      </c>
      <c r="K18" s="2439">
        <f>+SMS!L89</f>
        <v>149.53151334764323</v>
      </c>
      <c r="L18" s="2441">
        <f>+SMS!M89</f>
        <v>122</v>
      </c>
      <c r="M18" s="2441">
        <f>+SMS!N89</f>
        <v>148.70521858768569</v>
      </c>
      <c r="N18" s="2439">
        <f>+SMS!O89</f>
        <v>122</v>
      </c>
      <c r="O18" s="2439">
        <f>+SMS!P89</f>
        <v>135.2678832465993</v>
      </c>
      <c r="P18" s="2440">
        <f>+SMS!Q89</f>
        <v>121.99999999999999</v>
      </c>
      <c r="Q18" s="2440">
        <f>+SMS!R89</f>
        <v>144.21654677919693</v>
      </c>
      <c r="R18" s="2439">
        <f>+SMS!S89</f>
        <v>122</v>
      </c>
      <c r="S18" s="2439">
        <f>+SMS!T89</f>
        <v>120.49750269317403</v>
      </c>
      <c r="T18" s="2440">
        <f>+SMS!U89</f>
        <v>121.99999999999999</v>
      </c>
      <c r="U18" s="2440">
        <f>+SMS!V89</f>
        <v>137.90434291954384</v>
      </c>
      <c r="V18" s="2439">
        <f>+SMS!W89</f>
        <v>122</v>
      </c>
      <c r="W18" s="2439">
        <f>+SMS!X89</f>
        <v>123.33627315106463</v>
      </c>
      <c r="X18" s="2441">
        <f>+SMS!Y89</f>
        <v>122</v>
      </c>
      <c r="Y18" s="2441">
        <f>+SMS!Z89</f>
        <v>126.15442948839475</v>
      </c>
      <c r="Z18" s="2442">
        <f>+SMS!AA89</f>
        <v>121.99999999999999</v>
      </c>
      <c r="AA18" s="2442">
        <f>+SMS!AB89</f>
        <v>134.9113492066779</v>
      </c>
      <c r="AB18" s="2439">
        <f>+SMS!AC89</f>
        <v>122</v>
      </c>
      <c r="AC18" s="2439">
        <f>+SMS!AD89</f>
        <v>134.75771342040508</v>
      </c>
      <c r="AD18" s="2440">
        <f>+SMS!AE89</f>
        <v>121.99999999999999</v>
      </c>
      <c r="AE18" s="2440">
        <f>+SMS!AF89</f>
        <v>134.88376834543618</v>
      </c>
      <c r="AF18" s="2439">
        <f>+SMS!AG89</f>
        <v>122</v>
      </c>
      <c r="AG18" s="2439">
        <f>+SMS!AH89</f>
        <v>128.07772818046007</v>
      </c>
      <c r="AH18" s="2440">
        <f>+SMS!AI89</f>
        <v>122</v>
      </c>
      <c r="AI18" s="2440">
        <f>+SMS!AJ89</f>
        <v>133.91742011031229</v>
      </c>
      <c r="AJ18" s="3725">
        <f>+SMS!AK89</f>
        <v>122</v>
      </c>
      <c r="AK18" s="2439">
        <f>+SMS!AL89</f>
        <v>129.72526432866749</v>
      </c>
      <c r="AL18" s="3726">
        <f>+SMS!AM89</f>
        <v>121.99999999999999</v>
      </c>
      <c r="AM18" s="2441">
        <f>+SMS!AN89</f>
        <v>130.91752744094336</v>
      </c>
      <c r="AN18" s="2440">
        <f>+SMS!AO89</f>
        <v>122.00000000000001</v>
      </c>
      <c r="AO18" s="2440">
        <f>+SMS!AP89</f>
        <v>133.34562216260312</v>
      </c>
      <c r="AP18" s="3725">
        <f>+SMS!AQ89</f>
        <v>122</v>
      </c>
      <c r="AQ18" s="2439">
        <f>+SMS!AR89</f>
        <v>128.96482339512661</v>
      </c>
      <c r="AR18" s="2440">
        <f>+SMS!AS89</f>
        <v>122.00000000000001</v>
      </c>
      <c r="AS18" s="2440">
        <f>+SMS!AT89</f>
        <v>132.80922473991259</v>
      </c>
      <c r="AT18" s="3725">
        <f>+SMS!AU89</f>
        <v>122</v>
      </c>
      <c r="AU18" s="2439">
        <f>+SMS!AV89</f>
        <v>126.21457489878543</v>
      </c>
      <c r="AV18" s="2440">
        <f>+SMS!AW89</f>
        <v>122</v>
      </c>
      <c r="AW18" s="2440">
        <f>+SMS!AX89</f>
        <v>132.16022293918343</v>
      </c>
      <c r="AX18" s="3725">
        <f>+SMS!AY89</f>
        <v>122</v>
      </c>
      <c r="AY18" s="2439">
        <f>+SMS!AZ89</f>
        <v>133.19601168128719</v>
      </c>
      <c r="AZ18" s="3726">
        <f>+SMS!BA89</f>
        <v>121.99999999999999</v>
      </c>
      <c r="BA18" s="2441">
        <f>+SMS!BB89</f>
        <v>129.57091921478329</v>
      </c>
      <c r="BB18" s="2442">
        <f>+SMS!BC89</f>
        <v>121.99999999999997</v>
      </c>
      <c r="BC18" s="2442">
        <f>+SMS!BD89</f>
        <v>130.23543607845934</v>
      </c>
      <c r="BD18" s="2440">
        <f>+SMS!BE89</f>
        <v>122</v>
      </c>
      <c r="BE18" s="2440">
        <f>+SMS!BF89</f>
        <v>132.26251085904138</v>
      </c>
      <c r="BF18" s="4668"/>
      <c r="BG18" s="4668"/>
      <c r="BH18" s="4668"/>
      <c r="BI18" s="4668"/>
    </row>
    <row r="19" spans="2:61" s="334" customFormat="1" ht="15" customHeight="1" x14ac:dyDescent="0.25">
      <c r="B19" s="3738"/>
      <c r="C19" s="3738"/>
      <c r="D19" s="2443"/>
      <c r="E19" s="2443"/>
      <c r="F19" s="2443"/>
      <c r="G19" s="2443"/>
      <c r="H19" s="4645"/>
      <c r="I19" s="2443"/>
      <c r="J19" s="2443"/>
      <c r="K19" s="2443"/>
      <c r="L19" s="2443"/>
      <c r="M19" s="2443"/>
      <c r="N19" s="2443"/>
      <c r="O19" s="2443"/>
      <c r="P19" s="4645"/>
      <c r="Q19" s="2443"/>
      <c r="R19" s="2443"/>
      <c r="S19" s="2443"/>
      <c r="T19" s="4645"/>
      <c r="U19" s="2443"/>
      <c r="V19" s="2443"/>
      <c r="W19" s="2443"/>
      <c r="X19" s="2443"/>
      <c r="Y19" s="2443"/>
      <c r="Z19" s="2443"/>
      <c r="AA19" s="2443"/>
      <c r="AB19" s="2443"/>
      <c r="AC19" s="2443"/>
      <c r="AD19" s="4645"/>
      <c r="AE19" s="2443"/>
      <c r="AF19" s="2443"/>
      <c r="AG19" s="2443"/>
      <c r="AH19" s="4645"/>
      <c r="AI19" s="2443"/>
      <c r="AJ19" s="1791"/>
      <c r="AK19" s="2443"/>
      <c r="AL19" s="1791"/>
      <c r="AM19" s="2443"/>
      <c r="AN19" s="4645"/>
      <c r="AO19" s="2443"/>
      <c r="AP19" s="1791"/>
      <c r="AQ19" s="2443"/>
      <c r="AR19" s="4645"/>
      <c r="AS19" s="2443"/>
      <c r="AT19" s="1791"/>
      <c r="AU19" s="2443"/>
      <c r="AV19" s="4645"/>
      <c r="AW19" s="2443"/>
      <c r="AX19" s="1791"/>
      <c r="AY19" s="2443"/>
      <c r="AZ19" s="1791"/>
      <c r="BA19" s="2443"/>
      <c r="BB19" s="2443"/>
      <c r="BC19" s="2443"/>
      <c r="BD19" s="4645"/>
      <c r="BE19" s="2443"/>
      <c r="BF19" s="4668"/>
      <c r="BG19" s="4668"/>
      <c r="BH19" s="4668"/>
      <c r="BI19" s="4668"/>
    </row>
    <row r="20" spans="2:61" ht="15.75" x14ac:dyDescent="0.25">
      <c r="B20" s="2448" t="s">
        <v>1497</v>
      </c>
      <c r="C20" s="3615" t="s">
        <v>53</v>
      </c>
      <c r="D20" s="1615"/>
      <c r="E20" s="1615">
        <f>+'Direct sales IPT details'!E84</f>
        <v>1446.27</v>
      </c>
      <c r="F20" s="1615"/>
      <c r="G20" s="1615">
        <f>+'Direct sales IPT details'!G84</f>
        <v>460.06</v>
      </c>
      <c r="H20" s="3612"/>
      <c r="I20" s="3612">
        <f>+'Direct sales IPT details'!I84</f>
        <v>1906.33</v>
      </c>
      <c r="J20" s="1615"/>
      <c r="K20" s="1615">
        <f>+'Direct sales IPT details'!K84</f>
        <v>4710.0300000000016</v>
      </c>
      <c r="L20" s="3613"/>
      <c r="M20" s="3613">
        <f>+'Direct sales IPT details'!M84</f>
        <v>6616.3600000000015</v>
      </c>
      <c r="N20" s="1615"/>
      <c r="O20" s="1615">
        <f>+'Direct sales IPT details'!O84</f>
        <v>4829.33</v>
      </c>
      <c r="P20" s="3612"/>
      <c r="Q20" s="3612">
        <f>+'Direct sales IPT details'!Q84</f>
        <v>11445.690000000002</v>
      </c>
      <c r="R20" s="1615"/>
      <c r="S20" s="1615">
        <f>+'Direct sales IPT details'!S84</f>
        <v>568.99</v>
      </c>
      <c r="T20" s="3612"/>
      <c r="U20" s="3612">
        <f>+'Direct sales IPT details'!U84</f>
        <v>12014.680000000002</v>
      </c>
      <c r="V20" s="1615"/>
      <c r="W20" s="1615">
        <f>+'Direct sales IPT details'!W84</f>
        <v>5820.27</v>
      </c>
      <c r="X20" s="3613"/>
      <c r="Y20" s="3613">
        <f>+'Direct sales IPT details'!Y84</f>
        <v>11218.59</v>
      </c>
      <c r="Z20" s="1854"/>
      <c r="AA20" s="1854">
        <f>+'Direct sales IPT details'!AA84</f>
        <v>17834.950000000004</v>
      </c>
      <c r="AB20" s="1615"/>
      <c r="AC20" s="1615">
        <f>+'Direct sales IPT details'!AC84</f>
        <v>5639.079999999999</v>
      </c>
      <c r="AD20" s="3612"/>
      <c r="AE20" s="3612">
        <f>+'Direct sales IPT details'!AE84</f>
        <v>23474.030000000002</v>
      </c>
      <c r="AF20" s="1615"/>
      <c r="AG20" s="1615">
        <f>+'Direct sales IPT details'!AG84</f>
        <v>15466.209999999995</v>
      </c>
      <c r="AH20" s="3612"/>
      <c r="AI20" s="3612">
        <f>+'Direct sales IPT details'!AI84</f>
        <v>38940.239999999998</v>
      </c>
      <c r="AJ20" s="700"/>
      <c r="AK20" s="1615">
        <f>+'Direct sales IPT details'!AK84</f>
        <v>35.840000000000003</v>
      </c>
      <c r="AL20" s="2762"/>
      <c r="AM20" s="3613">
        <f>+'Direct sales IPT details'!AM84</f>
        <v>21141.129999999994</v>
      </c>
      <c r="AN20" s="3612"/>
      <c r="AO20" s="3612">
        <f>+'Direct sales IPT details'!AO84</f>
        <v>38976.079999999994</v>
      </c>
      <c r="AP20" s="700"/>
      <c r="AQ20" s="1615">
        <f>+'Direct sales IPT details'!AQ84</f>
        <v>5692.66</v>
      </c>
      <c r="AR20" s="3961"/>
      <c r="AS20" s="3961">
        <f>+'Direct sales IPT details'!AS84</f>
        <v>44668.739999999991</v>
      </c>
      <c r="AT20" s="700"/>
      <c r="AU20" s="1615">
        <f>+'Direct sales IPT details'!AU84</f>
        <v>9614.6299999999992</v>
      </c>
      <c r="AV20" s="4081"/>
      <c r="AW20" s="4081">
        <f>+'Direct sales IPT details'!AW84</f>
        <v>54283.369999999988</v>
      </c>
      <c r="AX20" s="700"/>
      <c r="AY20" s="1615">
        <f>+'Direct sales IPT details'!AY84</f>
        <v>10648.029999999999</v>
      </c>
      <c r="AZ20" s="2762"/>
      <c r="BA20" s="4411">
        <f>+'Direct sales IPT details'!BA84</f>
        <v>25955.32</v>
      </c>
      <c r="BB20" s="1854"/>
      <c r="BC20" s="1854">
        <f>+'Direct sales IPT details'!BC84</f>
        <v>47096.45</v>
      </c>
      <c r="BD20" s="4409"/>
      <c r="BE20" s="4409">
        <f>+'Direct sales IPT details'!BE84</f>
        <v>64931.4</v>
      </c>
      <c r="BF20" s="4668"/>
      <c r="BG20" s="4668"/>
      <c r="BH20" s="4668"/>
      <c r="BI20" s="4668"/>
    </row>
    <row r="21" spans="2:61" s="334" customFormat="1" ht="15.75" x14ac:dyDescent="0.25">
      <c r="B21" s="3738"/>
      <c r="C21" s="3738"/>
      <c r="D21" s="2443"/>
      <c r="E21" s="2443"/>
      <c r="F21" s="2443"/>
      <c r="G21" s="2443"/>
      <c r="H21" s="2443"/>
      <c r="I21" s="2443"/>
      <c r="J21" s="2443"/>
      <c r="K21" s="2443"/>
      <c r="L21" s="2443"/>
      <c r="M21" s="2443"/>
      <c r="N21" s="2443"/>
      <c r="O21" s="2443"/>
      <c r="P21" s="2443"/>
      <c r="Q21" s="2443"/>
      <c r="R21" s="2443"/>
      <c r="S21" s="2443"/>
      <c r="T21" s="2443"/>
      <c r="U21" s="2443"/>
      <c r="V21" s="2443"/>
      <c r="W21" s="2443"/>
      <c r="X21" s="2443"/>
      <c r="Y21" s="2443"/>
      <c r="Z21" s="2443"/>
      <c r="AA21" s="2443"/>
      <c r="AB21" s="2443"/>
      <c r="AC21" s="2443"/>
      <c r="AD21" s="2443"/>
      <c r="AE21" s="2443"/>
      <c r="AF21" s="2443"/>
      <c r="AG21" s="2443"/>
      <c r="AH21" s="2443"/>
      <c r="AI21" s="2443"/>
      <c r="AJ21" s="1791"/>
      <c r="AK21" s="2443"/>
      <c r="AL21" s="1791"/>
      <c r="AM21" s="2443"/>
      <c r="AN21" s="2443"/>
      <c r="AO21" s="2443"/>
      <c r="AP21" s="1791"/>
      <c r="AQ21" s="2443"/>
      <c r="AR21" s="2443"/>
      <c r="AS21" s="2443"/>
      <c r="AT21" s="1791"/>
      <c r="AU21" s="2443"/>
      <c r="AV21" s="2443"/>
      <c r="AW21" s="2443"/>
      <c r="AX21" s="1791"/>
      <c r="AY21" s="2443"/>
      <c r="AZ21" s="1791"/>
      <c r="BA21" s="2443"/>
      <c r="BB21" s="2443"/>
      <c r="BC21" s="2443"/>
      <c r="BD21" s="2443"/>
      <c r="BE21" s="2443"/>
      <c r="BF21" s="4668"/>
      <c r="BG21" s="4668"/>
      <c r="BH21" s="4668"/>
      <c r="BI21" s="4668"/>
    </row>
    <row r="22" spans="2:61" s="334" customFormat="1" ht="15.75" x14ac:dyDescent="0.25">
      <c r="B22" s="3738"/>
      <c r="C22" s="3738"/>
      <c r="D22" s="2443"/>
      <c r="E22" s="2443"/>
      <c r="F22" s="2443"/>
      <c r="G22" s="2443"/>
      <c r="H22" s="2443"/>
      <c r="I22" s="2443"/>
      <c r="J22" s="2443"/>
      <c r="K22" s="2443"/>
      <c r="L22" s="2443"/>
      <c r="M22" s="2443"/>
      <c r="N22" s="2443"/>
      <c r="O22" s="2443"/>
      <c r="P22" s="2443"/>
      <c r="Q22" s="2443"/>
      <c r="R22" s="2443"/>
      <c r="S22" s="2443"/>
      <c r="T22" s="2443"/>
      <c r="U22" s="2443"/>
      <c r="V22" s="2443"/>
      <c r="W22" s="2443"/>
      <c r="X22" s="2443"/>
      <c r="Y22" s="2443"/>
      <c r="Z22" s="2443"/>
      <c r="AA22" s="2443"/>
      <c r="AB22" s="2443"/>
      <c r="AC22" s="2443"/>
      <c r="AD22" s="2443"/>
      <c r="AE22" s="2443"/>
      <c r="AF22" s="2443"/>
      <c r="AG22" s="2443"/>
      <c r="AH22" s="2443"/>
      <c r="AI22" s="2443"/>
      <c r="AJ22" s="1791"/>
      <c r="AK22" s="2443"/>
      <c r="AL22" s="1791"/>
      <c r="AM22" s="2443"/>
      <c r="AN22" s="2443"/>
      <c r="AO22" s="2443"/>
      <c r="AP22" s="1791"/>
      <c r="AQ22" s="2443"/>
      <c r="AR22" s="2443"/>
      <c r="AS22" s="2443"/>
      <c r="AT22" s="1791"/>
      <c r="AU22" s="2443"/>
      <c r="AV22" s="2443"/>
      <c r="AW22" s="2443"/>
      <c r="AX22" s="1791"/>
      <c r="AY22" s="2443"/>
      <c r="AZ22" s="1791"/>
      <c r="BA22" s="2443"/>
      <c r="BB22" s="2443"/>
      <c r="BC22" s="2443"/>
      <c r="BD22" s="2443"/>
      <c r="BE22" s="2443"/>
      <c r="BF22" s="4668"/>
      <c r="BG22" s="4668"/>
      <c r="BH22" s="4668"/>
      <c r="BI22" s="4668"/>
    </row>
    <row r="23" spans="2:61" s="334" customFormat="1" ht="15.75" x14ac:dyDescent="0.25">
      <c r="B23" s="4646" t="s">
        <v>466</v>
      </c>
      <c r="C23" s="3738"/>
      <c r="D23" s="2443"/>
      <c r="E23" s="2443"/>
      <c r="F23" s="2443"/>
      <c r="G23" s="2443"/>
      <c r="H23" s="2443"/>
      <c r="I23" s="2443"/>
      <c r="J23" s="2443"/>
      <c r="K23" s="2443"/>
      <c r="L23" s="2443"/>
      <c r="M23" s="2443"/>
      <c r="N23" s="2443"/>
      <c r="O23" s="2443"/>
      <c r="P23" s="2443"/>
      <c r="Q23" s="2443"/>
      <c r="R23" s="2443"/>
      <c r="S23" s="2443"/>
      <c r="T23" s="2443"/>
      <c r="U23" s="2443"/>
      <c r="V23" s="2443"/>
      <c r="W23" s="2443"/>
      <c r="X23" s="2443"/>
      <c r="Y23" s="2443"/>
      <c r="Z23" s="2443"/>
      <c r="AA23" s="2443"/>
      <c r="AB23" s="2443"/>
      <c r="AC23" s="2443"/>
      <c r="AD23" s="2443"/>
      <c r="AE23" s="2443"/>
      <c r="AF23" s="2443"/>
      <c r="AG23" s="2443"/>
      <c r="AH23" s="2443"/>
      <c r="AI23" s="2443"/>
      <c r="AJ23" s="1791"/>
      <c r="AK23" s="2443"/>
      <c r="AL23" s="1791"/>
      <c r="AM23" s="2443"/>
      <c r="AN23" s="2443"/>
      <c r="AO23" s="2443"/>
      <c r="AP23" s="1791"/>
      <c r="AQ23" s="2443"/>
      <c r="AR23" s="2443"/>
      <c r="AS23" s="2443"/>
      <c r="AT23" s="1791"/>
      <c r="AU23" s="2443"/>
      <c r="AV23" s="2443"/>
      <c r="AW23" s="2443"/>
      <c r="AX23" s="1791"/>
      <c r="AY23" s="2443"/>
      <c r="AZ23" s="1791"/>
      <c r="BA23" s="2443"/>
      <c r="BB23" s="2443"/>
      <c r="BC23" s="2443"/>
      <c r="BD23" s="2443"/>
      <c r="BE23" s="2443"/>
      <c r="BF23" s="4668"/>
      <c r="BG23" s="4668"/>
      <c r="BH23" s="4668"/>
      <c r="BI23" s="4668"/>
    </row>
    <row r="24" spans="2:61" ht="15.75" x14ac:dyDescent="0.25">
      <c r="B24" s="2450" t="s">
        <v>1916</v>
      </c>
      <c r="C24" s="3615" t="s">
        <v>53</v>
      </c>
      <c r="D24" s="2426"/>
      <c r="E24" s="2444">
        <v>0</v>
      </c>
      <c r="F24" s="2444"/>
      <c r="G24" s="2444">
        <v>240</v>
      </c>
      <c r="H24" s="3712"/>
      <c r="I24" s="3713">
        <f>+G24+E24</f>
        <v>240</v>
      </c>
      <c r="J24" s="2444"/>
      <c r="K24" s="2444">
        <v>1000</v>
      </c>
      <c r="L24" s="3716"/>
      <c r="M24" s="3718">
        <f>+K24+G24+E24</f>
        <v>1240</v>
      </c>
      <c r="N24" s="2444"/>
      <c r="O24" s="2444">
        <v>1120</v>
      </c>
      <c r="P24" s="3712"/>
      <c r="Q24" s="3713">
        <f>+M24+O24</f>
        <v>2360</v>
      </c>
      <c r="R24" s="2444"/>
      <c r="S24" s="2444">
        <v>2000</v>
      </c>
      <c r="T24" s="3712"/>
      <c r="U24" s="3713">
        <f>+Q24+S24</f>
        <v>4360</v>
      </c>
      <c r="V24" s="2444"/>
      <c r="W24" s="2444">
        <f>107*20</f>
        <v>2140</v>
      </c>
      <c r="X24" s="3715"/>
      <c r="Y24" s="3718">
        <f>+W24+S24+O24</f>
        <v>5260</v>
      </c>
      <c r="Z24" s="3719"/>
      <c r="AA24" s="3720">
        <f>+Y24+M24</f>
        <v>6500</v>
      </c>
      <c r="AB24" s="2444"/>
      <c r="AC24" s="3223">
        <v>700</v>
      </c>
      <c r="AD24" s="3712"/>
      <c r="AE24" s="3713">
        <f>+AA24+AC24</f>
        <v>7200</v>
      </c>
      <c r="AF24" s="2444"/>
      <c r="AG24" s="3223">
        <v>1600</v>
      </c>
      <c r="AH24" s="3712"/>
      <c r="AI24" s="3713">
        <f>+AE24+AG24</f>
        <v>8800</v>
      </c>
      <c r="AJ24" s="700"/>
      <c r="AK24" s="2446">
        <v>3000</v>
      </c>
      <c r="AL24" s="2762"/>
      <c r="AM24" s="3717">
        <f>+AK24+AG24+AC24</f>
        <v>5300</v>
      </c>
      <c r="AN24" s="3712"/>
      <c r="AO24" s="3713">
        <f>+AI24+AK24</f>
        <v>11800</v>
      </c>
      <c r="AP24" s="700"/>
      <c r="AQ24" s="3833">
        <v>5140</v>
      </c>
      <c r="AR24" s="3712"/>
      <c r="AS24" s="3713">
        <f>+AO24+AQ24</f>
        <v>16940</v>
      </c>
      <c r="AT24" s="700"/>
      <c r="AU24" s="3833">
        <v>12280</v>
      </c>
      <c r="AV24" s="3712"/>
      <c r="AW24" s="3713">
        <f>+AS24+AU24</f>
        <v>29220</v>
      </c>
      <c r="AX24" s="700"/>
      <c r="AY24" s="3833">
        <v>20000</v>
      </c>
      <c r="AZ24" s="2762"/>
      <c r="BA24" s="3717">
        <f>+AQ24+AU24+AY24</f>
        <v>37420</v>
      </c>
      <c r="BB24" s="3719"/>
      <c r="BC24" s="3720">
        <f>+BA24+AM24</f>
        <v>42720</v>
      </c>
      <c r="BD24" s="3712"/>
      <c r="BE24" s="3713">
        <f>+AW24+AY24</f>
        <v>49220</v>
      </c>
      <c r="BF24" s="4668"/>
      <c r="BG24" s="4668"/>
      <c r="BH24" s="4668"/>
      <c r="BI24" s="4668"/>
    </row>
    <row r="25" spans="2:61" ht="15.75" x14ac:dyDescent="0.25">
      <c r="B25" s="2450" t="s">
        <v>1516</v>
      </c>
      <c r="C25" s="3615" t="s">
        <v>53</v>
      </c>
      <c r="D25" s="2426"/>
      <c r="E25" s="2446">
        <f>+RMHP!G8</f>
        <v>2003</v>
      </c>
      <c r="F25" s="2426"/>
      <c r="G25" s="2446">
        <f>+RMHP!I8</f>
        <v>2851</v>
      </c>
      <c r="H25" s="3712"/>
      <c r="I25" s="3713">
        <f t="shared" ref="I25:I29" si="75">+G25+E25</f>
        <v>4854</v>
      </c>
      <c r="J25" s="2426"/>
      <c r="K25" s="2446">
        <f>+RMHP!M8</f>
        <v>1603</v>
      </c>
      <c r="L25" s="3716"/>
      <c r="M25" s="3718">
        <f t="shared" ref="M25:M29" si="76">+K25+G25+E25</f>
        <v>6457</v>
      </c>
      <c r="N25" s="2426"/>
      <c r="O25" s="2446">
        <f>+RMHP!Q8</f>
        <v>2600</v>
      </c>
      <c r="P25" s="3712"/>
      <c r="Q25" s="3713">
        <f t="shared" ref="Q25:Q29" si="77">+M25+O25</f>
        <v>9057</v>
      </c>
      <c r="R25" s="2426"/>
      <c r="S25" s="2446">
        <f>+RMHP!U8</f>
        <v>2300</v>
      </c>
      <c r="T25" s="3712"/>
      <c r="U25" s="3713">
        <f t="shared" ref="U25:U29" si="78">+Q25+S25</f>
        <v>11357</v>
      </c>
      <c r="V25" s="2426"/>
      <c r="W25" s="2446">
        <f>+RMHP!Y8</f>
        <v>1867.0568546453728</v>
      </c>
      <c r="X25" s="3715"/>
      <c r="Y25" s="3718">
        <f t="shared" ref="Y25:Y29" si="79">+W25+S25+O25</f>
        <v>6767.0568546453724</v>
      </c>
      <c r="Z25" s="3719"/>
      <c r="AA25" s="3720">
        <f t="shared" ref="AA25:AA29" si="80">+Y25+M25</f>
        <v>13224.056854645372</v>
      </c>
      <c r="AB25" s="2426"/>
      <c r="AC25" s="2446">
        <f>+RMHP!AE8</f>
        <v>1059</v>
      </c>
      <c r="AD25" s="3712"/>
      <c r="AE25" s="3713">
        <f t="shared" ref="AE25:AE29" si="81">+AA25+AC25</f>
        <v>14283.056854645372</v>
      </c>
      <c r="AF25" s="2426"/>
      <c r="AG25" s="2446">
        <f>+RMHP!AI8</f>
        <v>9192.6397780092684</v>
      </c>
      <c r="AH25" s="3712"/>
      <c r="AI25" s="3713">
        <f t="shared" ref="AI25:AI29" si="82">+AE25+AG25</f>
        <v>23475.696632654639</v>
      </c>
      <c r="AJ25" s="700"/>
      <c r="AK25" s="2446">
        <f>+RMHP!AM8</f>
        <v>3731</v>
      </c>
      <c r="AL25" s="2762"/>
      <c r="AM25" s="3717">
        <f t="shared" ref="AM25:AM29" si="83">+AK25+AG25+AC25</f>
        <v>13982.639778009268</v>
      </c>
      <c r="AN25" s="3712"/>
      <c r="AO25" s="3713">
        <f t="shared" ref="AO25:AO29" si="84">+AI25+AK25</f>
        <v>27206.696632654639</v>
      </c>
      <c r="AP25" s="700"/>
      <c r="AQ25" s="2446">
        <f>+RMHP!AS8</f>
        <v>2350.8539845250139</v>
      </c>
      <c r="AR25" s="3712"/>
      <c r="AS25" s="3713">
        <f t="shared" ref="AS25:AS29" si="85">+AO25+AQ25</f>
        <v>29557.550617179651</v>
      </c>
      <c r="AT25" s="700"/>
      <c r="AU25" s="2446">
        <f>+RMHP!AW8</f>
        <v>100</v>
      </c>
      <c r="AV25" s="3712"/>
      <c r="AW25" s="3713">
        <f t="shared" ref="AW25:AW29" si="86">+AS25+AU25</f>
        <v>29657.550617179651</v>
      </c>
      <c r="AX25" s="700"/>
      <c r="AY25" s="2446">
        <f>+RMHP!BA8</f>
        <v>0</v>
      </c>
      <c r="AZ25" s="2762"/>
      <c r="BA25" s="3717">
        <f t="shared" ref="BA25:BA29" si="87">+AQ25+AU25+AY25</f>
        <v>2450.8539845250139</v>
      </c>
      <c r="BB25" s="3719"/>
      <c r="BC25" s="3720">
        <f t="shared" ref="BC25:BC29" si="88">+BA25+AM25</f>
        <v>16433.493762534283</v>
      </c>
      <c r="BD25" s="3712"/>
      <c r="BE25" s="3713">
        <f t="shared" ref="BE25:BE29" si="89">+AW25+AY25</f>
        <v>29657.550617179651</v>
      </c>
      <c r="BF25" s="4668"/>
      <c r="BG25" s="4668"/>
      <c r="BH25" s="4668"/>
      <c r="BI25" s="4668"/>
    </row>
    <row r="26" spans="2:61" ht="15.75" x14ac:dyDescent="0.25">
      <c r="B26" s="2450" t="s">
        <v>1517</v>
      </c>
      <c r="C26" s="3615" t="s">
        <v>53</v>
      </c>
      <c r="D26" s="2426"/>
      <c r="E26" s="2445">
        <f>+'B-FCE'!F28</f>
        <v>1968</v>
      </c>
      <c r="F26" s="2426"/>
      <c r="G26" s="2445">
        <f>+'B-FCE'!H28</f>
        <v>1048.7</v>
      </c>
      <c r="H26" s="3712"/>
      <c r="I26" s="3713">
        <f t="shared" si="75"/>
        <v>3016.7</v>
      </c>
      <c r="J26" s="2426"/>
      <c r="K26" s="2445">
        <f>+'B-FCE'!L28</f>
        <v>83</v>
      </c>
      <c r="L26" s="3716"/>
      <c r="M26" s="3718">
        <f t="shared" si="76"/>
        <v>3099.7</v>
      </c>
      <c r="N26" s="2426"/>
      <c r="O26" s="2445">
        <f>+'B-FCE'!P28</f>
        <v>17</v>
      </c>
      <c r="P26" s="3712"/>
      <c r="Q26" s="3713">
        <f t="shared" si="77"/>
        <v>3116.7</v>
      </c>
      <c r="R26" s="2426"/>
      <c r="S26" s="2445">
        <f>+'B-FCE'!T28</f>
        <v>38</v>
      </c>
      <c r="T26" s="3712"/>
      <c r="U26" s="3713">
        <f t="shared" si="78"/>
        <v>3154.7</v>
      </c>
      <c r="V26" s="2426"/>
      <c r="W26" s="2445">
        <f>+'B-FCE'!X28</f>
        <v>35</v>
      </c>
      <c r="X26" s="3715"/>
      <c r="Y26" s="3718">
        <f t="shared" si="79"/>
        <v>90</v>
      </c>
      <c r="Z26" s="3719"/>
      <c r="AA26" s="3720">
        <f t="shared" si="80"/>
        <v>3189.7</v>
      </c>
      <c r="AB26" s="2426"/>
      <c r="AC26" s="2445">
        <f>+'B-FCE'!AD28</f>
        <v>1632</v>
      </c>
      <c r="AD26" s="3712"/>
      <c r="AE26" s="3713">
        <f t="shared" si="81"/>
        <v>4821.7</v>
      </c>
      <c r="AF26" s="2426"/>
      <c r="AG26" s="2445">
        <f>+'B-FCE'!AH28</f>
        <v>55</v>
      </c>
      <c r="AH26" s="3712"/>
      <c r="AI26" s="3713">
        <f t="shared" si="82"/>
        <v>4876.7</v>
      </c>
      <c r="AJ26" s="700"/>
      <c r="AK26" s="2445">
        <f>+'B-FCE'!AL28</f>
        <v>515</v>
      </c>
      <c r="AL26" s="2762"/>
      <c r="AM26" s="3717">
        <f t="shared" si="83"/>
        <v>2202</v>
      </c>
      <c r="AN26" s="3712"/>
      <c r="AO26" s="3713">
        <f t="shared" si="84"/>
        <v>5391.7</v>
      </c>
      <c r="AP26" s="700"/>
      <c r="AQ26" s="2445">
        <f>+'B-FCE'!AR28</f>
        <v>103.67999999999999</v>
      </c>
      <c r="AR26" s="3712"/>
      <c r="AS26" s="3713">
        <f t="shared" si="85"/>
        <v>5495.38</v>
      </c>
      <c r="AT26" s="700"/>
      <c r="AU26" s="2445">
        <f>+'B-FCE'!AV28</f>
        <v>0</v>
      </c>
      <c r="AV26" s="3712"/>
      <c r="AW26" s="3713">
        <f t="shared" si="86"/>
        <v>5495.38</v>
      </c>
      <c r="AX26" s="700"/>
      <c r="AY26" s="2445">
        <f>+'B-FCE'!AZ28</f>
        <v>61.44</v>
      </c>
      <c r="AZ26" s="2762"/>
      <c r="BA26" s="3717">
        <f t="shared" si="87"/>
        <v>165.12</v>
      </c>
      <c r="BB26" s="3719"/>
      <c r="BC26" s="3720">
        <f t="shared" si="88"/>
        <v>2367.12</v>
      </c>
      <c r="BD26" s="3712"/>
      <c r="BE26" s="3713">
        <f t="shared" si="89"/>
        <v>5556.82</v>
      </c>
      <c r="BF26" s="4668"/>
      <c r="BG26" s="4668"/>
      <c r="BH26" s="4668"/>
      <c r="BI26" s="4668"/>
    </row>
    <row r="27" spans="2:61" s="1726" customFormat="1" ht="15.75" x14ac:dyDescent="0.25">
      <c r="B27" s="2450" t="s">
        <v>1757</v>
      </c>
      <c r="C27" s="3615" t="s">
        <v>53</v>
      </c>
      <c r="D27" s="2426"/>
      <c r="E27" s="3832">
        <v>0</v>
      </c>
      <c r="F27" s="2426"/>
      <c r="G27" s="3832">
        <v>0</v>
      </c>
      <c r="H27" s="2426"/>
      <c r="I27" s="2426">
        <f t="shared" ref="I27" si="90">+G27+E27</f>
        <v>0</v>
      </c>
      <c r="J27" s="2426"/>
      <c r="K27" s="3832">
        <v>0</v>
      </c>
      <c r="L27" s="3716"/>
      <c r="M27" s="3718">
        <f t="shared" ref="M27" si="91">+K27+G27+E27</f>
        <v>0</v>
      </c>
      <c r="N27" s="2426"/>
      <c r="O27" s="3832">
        <v>0</v>
      </c>
      <c r="P27" s="2426"/>
      <c r="Q27" s="2426">
        <f t="shared" ref="Q27" si="92">+M27+O27</f>
        <v>0</v>
      </c>
      <c r="R27" s="2426"/>
      <c r="S27" s="3832">
        <f>+SMS!T113</f>
        <v>2146</v>
      </c>
      <c r="T27" s="2426"/>
      <c r="U27" s="2426">
        <f t="shared" ref="U27" si="93">+Q27+S27</f>
        <v>2146</v>
      </c>
      <c r="V27" s="2426"/>
      <c r="W27" s="3832">
        <f>+SMS!X113</f>
        <v>2789.5</v>
      </c>
      <c r="X27" s="3715"/>
      <c r="Y27" s="3718">
        <f t="shared" ref="Y27" si="94">+W27+S27+O27</f>
        <v>4935.5</v>
      </c>
      <c r="Z27" s="3719"/>
      <c r="AA27" s="3720">
        <f t="shared" ref="AA27" si="95">+Y27+M27</f>
        <v>4935.5</v>
      </c>
      <c r="AB27" s="2426"/>
      <c r="AC27" s="3832">
        <f>+SMS!AD113</f>
        <v>1382</v>
      </c>
      <c r="AD27" s="2426"/>
      <c r="AE27" s="2426">
        <f t="shared" ref="AE27" si="96">+AA27+AC27</f>
        <v>6317.5</v>
      </c>
      <c r="AF27" s="2426"/>
      <c r="AG27" s="3832">
        <f>+SMS!AH113</f>
        <v>1830</v>
      </c>
      <c r="AH27" s="2426"/>
      <c r="AI27" s="2426">
        <f t="shared" ref="AI27" si="97">+AE27+AG27</f>
        <v>8147.5</v>
      </c>
      <c r="AJ27" s="2426"/>
      <c r="AK27" s="3832">
        <f>+SMS!AL113</f>
        <v>2622</v>
      </c>
      <c r="AL27" s="2762"/>
      <c r="AM27" s="3717">
        <f t="shared" ref="AM27" si="98">+AK27+AG27+AC27</f>
        <v>5834</v>
      </c>
      <c r="AN27" s="3712"/>
      <c r="AO27" s="3713">
        <f t="shared" ref="AO27" si="99">+AI27+AK27</f>
        <v>10769.5</v>
      </c>
      <c r="AP27" s="2426"/>
      <c r="AQ27" s="3832">
        <f>+SMS!AR113</f>
        <v>2000</v>
      </c>
      <c r="AR27" s="3712"/>
      <c r="AS27" s="3713">
        <f t="shared" si="85"/>
        <v>12769.5</v>
      </c>
      <c r="AT27" s="2426"/>
      <c r="AU27" s="3832">
        <f>+SMS!AV113</f>
        <v>2205</v>
      </c>
      <c r="AV27" s="3712"/>
      <c r="AW27" s="3713">
        <f t="shared" si="86"/>
        <v>14974.5</v>
      </c>
      <c r="AX27" s="2426"/>
      <c r="AY27" s="3832">
        <f>+SMS!AZ113</f>
        <v>150</v>
      </c>
      <c r="AZ27" s="2762"/>
      <c r="BA27" s="3717">
        <f t="shared" si="87"/>
        <v>4355</v>
      </c>
      <c r="BB27" s="3719"/>
      <c r="BC27" s="3720">
        <f t="shared" si="88"/>
        <v>10189</v>
      </c>
      <c r="BD27" s="3712"/>
      <c r="BE27" s="3713">
        <f t="shared" si="89"/>
        <v>15124.5</v>
      </c>
    </row>
    <row r="28" spans="2:61" ht="15.75" x14ac:dyDescent="0.25">
      <c r="B28" s="2450" t="s">
        <v>1535</v>
      </c>
      <c r="C28" s="3615" t="s">
        <v>53</v>
      </c>
      <c r="D28" s="2426"/>
      <c r="E28" s="2446">
        <f>+'Direct sales IPT details'!E84</f>
        <v>1446.27</v>
      </c>
      <c r="F28" s="2426"/>
      <c r="G28" s="2446">
        <f>+'Direct sales IPT details'!G84</f>
        <v>460.06</v>
      </c>
      <c r="H28" s="3712"/>
      <c r="I28" s="3713">
        <f t="shared" si="75"/>
        <v>1906.33</v>
      </c>
      <c r="J28" s="2426"/>
      <c r="K28" s="2446">
        <f>+'Direct sales IPT details'!K84</f>
        <v>4710.0300000000016</v>
      </c>
      <c r="L28" s="3716"/>
      <c r="M28" s="3718">
        <f t="shared" si="76"/>
        <v>6616.3600000000024</v>
      </c>
      <c r="N28" s="2426"/>
      <c r="O28" s="2446">
        <f>+'Direct sales IPT details'!O84</f>
        <v>4829.33</v>
      </c>
      <c r="P28" s="3712"/>
      <c r="Q28" s="3713">
        <f t="shared" si="77"/>
        <v>11445.690000000002</v>
      </c>
      <c r="R28" s="2426"/>
      <c r="S28" s="2446">
        <f>+'Direct sales IPT details'!S84</f>
        <v>568.99</v>
      </c>
      <c r="T28" s="3712"/>
      <c r="U28" s="3713">
        <f t="shared" si="78"/>
        <v>12014.680000000002</v>
      </c>
      <c r="V28" s="2426"/>
      <c r="W28" s="2446">
        <f>+'Direct sales IPT details'!W84</f>
        <v>5820.27</v>
      </c>
      <c r="X28" s="3715"/>
      <c r="Y28" s="3718">
        <f t="shared" si="79"/>
        <v>11218.59</v>
      </c>
      <c r="Z28" s="3719"/>
      <c r="AA28" s="3720">
        <f t="shared" si="80"/>
        <v>17834.950000000004</v>
      </c>
      <c r="AB28" s="2426"/>
      <c r="AC28" s="2446">
        <f>+'Direct sales IPT details'!AC84</f>
        <v>5639.079999999999</v>
      </c>
      <c r="AD28" s="3712"/>
      <c r="AE28" s="3713">
        <f t="shared" si="81"/>
        <v>23474.030000000002</v>
      </c>
      <c r="AF28" s="2426"/>
      <c r="AG28" s="2446">
        <f>+'Direct sales IPT details'!AG84</f>
        <v>15466.209999999995</v>
      </c>
      <c r="AH28" s="3712"/>
      <c r="AI28" s="3713">
        <f t="shared" si="82"/>
        <v>38940.239999999998</v>
      </c>
      <c r="AJ28" s="700"/>
      <c r="AK28" s="2446">
        <f>+'Direct sales IPT details'!AK84</f>
        <v>35.840000000000003</v>
      </c>
      <c r="AL28" s="2762"/>
      <c r="AM28" s="3717">
        <f t="shared" si="83"/>
        <v>21141.129999999994</v>
      </c>
      <c r="AN28" s="3712"/>
      <c r="AO28" s="3713">
        <f t="shared" si="84"/>
        <v>38976.079999999994</v>
      </c>
      <c r="AP28" s="700"/>
      <c r="AQ28" s="2446">
        <f>+'Direct sales IPT details'!AQ84</f>
        <v>5692.66</v>
      </c>
      <c r="AR28" s="3712"/>
      <c r="AS28" s="3713">
        <f t="shared" si="85"/>
        <v>44668.739999999991</v>
      </c>
      <c r="AT28" s="700"/>
      <c r="AU28" s="2446">
        <f>+'Direct sales IPT details'!AU84</f>
        <v>9614.6299999999992</v>
      </c>
      <c r="AV28" s="3712"/>
      <c r="AW28" s="3713">
        <f t="shared" si="86"/>
        <v>54283.369999999988</v>
      </c>
      <c r="AX28" s="700"/>
      <c r="AY28" s="2446">
        <f>+'Direct sales IPT details'!AY84</f>
        <v>10648.029999999999</v>
      </c>
      <c r="AZ28" s="2762"/>
      <c r="BA28" s="3717">
        <f t="shared" si="87"/>
        <v>25955.32</v>
      </c>
      <c r="BB28" s="3719"/>
      <c r="BC28" s="3720">
        <f t="shared" si="88"/>
        <v>47096.45</v>
      </c>
      <c r="BD28" s="3712"/>
      <c r="BE28" s="3713">
        <f t="shared" si="89"/>
        <v>64931.399999999987</v>
      </c>
    </row>
    <row r="29" spans="2:61" s="1726" customFormat="1" ht="15.75" x14ac:dyDescent="0.25">
      <c r="B29" s="2450" t="s">
        <v>1759</v>
      </c>
      <c r="C29" s="3615" t="s">
        <v>53</v>
      </c>
      <c r="D29" s="2443"/>
      <c r="E29" s="3833"/>
      <c r="F29" s="2443"/>
      <c r="G29" s="3833"/>
      <c r="H29" s="3834"/>
      <c r="I29" s="3223">
        <f t="shared" si="75"/>
        <v>0</v>
      </c>
      <c r="J29" s="2443"/>
      <c r="K29" s="3833"/>
      <c r="L29" s="3716"/>
      <c r="M29" s="3718">
        <f t="shared" si="76"/>
        <v>0</v>
      </c>
      <c r="N29" s="2426"/>
      <c r="O29" s="3833"/>
      <c r="P29" s="3712"/>
      <c r="Q29" s="3713">
        <f t="shared" si="77"/>
        <v>0</v>
      </c>
      <c r="R29" s="2426"/>
      <c r="S29" s="3833"/>
      <c r="T29" s="3712"/>
      <c r="U29" s="3713">
        <f t="shared" si="78"/>
        <v>0</v>
      </c>
      <c r="V29" s="2426"/>
      <c r="W29" s="3833"/>
      <c r="X29" s="3715"/>
      <c r="Y29" s="3718">
        <f t="shared" si="79"/>
        <v>0</v>
      </c>
      <c r="Z29" s="3719"/>
      <c r="AA29" s="3720">
        <f t="shared" si="80"/>
        <v>0</v>
      </c>
      <c r="AB29" s="2426"/>
      <c r="AC29" s="3833"/>
      <c r="AD29" s="3712"/>
      <c r="AE29" s="3713">
        <f t="shared" si="81"/>
        <v>0</v>
      </c>
      <c r="AF29" s="2426"/>
      <c r="AG29" s="3833"/>
      <c r="AH29" s="3712"/>
      <c r="AI29" s="3713">
        <f t="shared" si="82"/>
        <v>0</v>
      </c>
      <c r="AJ29" s="700"/>
      <c r="AK29" s="2446">
        <v>501</v>
      </c>
      <c r="AL29" s="2762"/>
      <c r="AM29" s="3717">
        <f t="shared" si="83"/>
        <v>501</v>
      </c>
      <c r="AN29" s="3712"/>
      <c r="AO29" s="3713">
        <f t="shared" si="84"/>
        <v>501</v>
      </c>
      <c r="AP29" s="700"/>
      <c r="AQ29" s="3833">
        <v>0</v>
      </c>
      <c r="AR29" s="3712"/>
      <c r="AS29" s="3713">
        <f t="shared" si="85"/>
        <v>501</v>
      </c>
      <c r="AT29" s="700"/>
      <c r="AU29" s="3833">
        <v>1210</v>
      </c>
      <c r="AV29" s="3712"/>
      <c r="AW29" s="3713">
        <f t="shared" si="86"/>
        <v>1711</v>
      </c>
      <c r="AX29" s="700"/>
      <c r="AY29" s="3833">
        <v>1135.8899999999999</v>
      </c>
      <c r="AZ29" s="2762"/>
      <c r="BA29" s="3717">
        <f t="shared" si="87"/>
        <v>2345.89</v>
      </c>
      <c r="BB29" s="3719"/>
      <c r="BC29" s="3720">
        <f t="shared" si="88"/>
        <v>2846.89</v>
      </c>
      <c r="BD29" s="3712"/>
      <c r="BE29" s="3713">
        <f t="shared" si="89"/>
        <v>2846.89</v>
      </c>
    </row>
    <row r="30" spans="2:61" ht="15.75" x14ac:dyDescent="0.25">
      <c r="B30" s="2451" t="s">
        <v>2</v>
      </c>
      <c r="C30" s="3739" t="s">
        <v>53</v>
      </c>
      <c r="D30" s="3724"/>
      <c r="E30" s="3724">
        <f>SUM(E24:E29)</f>
        <v>5417.27</v>
      </c>
      <c r="F30" s="3724"/>
      <c r="G30" s="3724">
        <f>SUM(G24:G29)</f>
        <v>4599.76</v>
      </c>
      <c r="H30" s="3724"/>
      <c r="I30" s="3724">
        <f>SUM(I24:I29)</f>
        <v>10017.029999999999</v>
      </c>
      <c r="J30" s="3724"/>
      <c r="K30" s="3724">
        <f>SUM(K24:K29)</f>
        <v>7396.0300000000016</v>
      </c>
      <c r="L30" s="3724"/>
      <c r="M30" s="3724">
        <f>SUM(M24:M29)</f>
        <v>17413.060000000005</v>
      </c>
      <c r="N30" s="3724"/>
      <c r="O30" s="3724">
        <f>SUM(O24:O29)</f>
        <v>8566.33</v>
      </c>
      <c r="P30" s="3724"/>
      <c r="Q30" s="3724">
        <f>SUM(Q24:Q29)</f>
        <v>25979.390000000003</v>
      </c>
      <c r="R30" s="3724"/>
      <c r="S30" s="3724">
        <f>SUM(S24:S29)</f>
        <v>7052.99</v>
      </c>
      <c r="T30" s="3724"/>
      <c r="U30" s="3724">
        <f>SUM(U24:U29)</f>
        <v>33032.380000000005</v>
      </c>
      <c r="V30" s="3724"/>
      <c r="W30" s="3724">
        <f>SUM(W24:W29)</f>
        <v>12651.826854645373</v>
      </c>
      <c r="X30" s="3724"/>
      <c r="Y30" s="3724">
        <f>SUM(Y24:Y29)</f>
        <v>28271.146854645373</v>
      </c>
      <c r="Z30" s="3724"/>
      <c r="AA30" s="3724">
        <f>SUM(AA24:AA29)</f>
        <v>45684.206854645381</v>
      </c>
      <c r="AB30" s="3724"/>
      <c r="AC30" s="3724">
        <f>SUM(AC24:AC29)</f>
        <v>10412.079999999998</v>
      </c>
      <c r="AD30" s="3724"/>
      <c r="AE30" s="3724">
        <f>SUM(AE24:AE29)</f>
        <v>56096.286854645376</v>
      </c>
      <c r="AF30" s="3724"/>
      <c r="AG30" s="3724">
        <f>SUM(AG24:AG29)</f>
        <v>28143.849778009266</v>
      </c>
      <c r="AH30" s="3724"/>
      <c r="AI30" s="3724">
        <f>SUM(AI24:AI29)</f>
        <v>84240.136632654641</v>
      </c>
      <c r="AJ30" s="3724"/>
      <c r="AK30" s="3724">
        <f>SUM(AK24:AK29)</f>
        <v>10404.84</v>
      </c>
      <c r="AL30" s="3724"/>
      <c r="AM30" s="3724">
        <f>SUM(AM24:AM29)</f>
        <v>48960.769778009257</v>
      </c>
      <c r="AN30" s="3724"/>
      <c r="AO30" s="3724">
        <f>SUM(AO24:AO29)</f>
        <v>94644.976632654638</v>
      </c>
      <c r="AP30" s="3724"/>
      <c r="AQ30" s="3724">
        <f>SUM(AQ24:AQ29)</f>
        <v>15287.193984525014</v>
      </c>
      <c r="AR30" s="3724"/>
      <c r="AS30" s="3724">
        <f>SUM(AS24:AS29)</f>
        <v>109932.17061717964</v>
      </c>
      <c r="AT30" s="3724"/>
      <c r="AU30" s="3724">
        <f>SUM(AU24:AU29)</f>
        <v>25409.629999999997</v>
      </c>
      <c r="AV30" s="3724"/>
      <c r="AW30" s="3724">
        <f>SUM(AW24:AW29)</f>
        <v>135341.80061717963</v>
      </c>
      <c r="AX30" s="3724"/>
      <c r="AY30" s="3724">
        <f>SUM(AY24:AY29)</f>
        <v>31995.359999999997</v>
      </c>
      <c r="AZ30" s="3724"/>
      <c r="BA30" s="3724">
        <f>SUM(BA24:BA29)</f>
        <v>72692.183984525022</v>
      </c>
      <c r="BB30" s="3724"/>
      <c r="BC30" s="3724">
        <f>SUM(BC24:BC29)</f>
        <v>121652.95376253428</v>
      </c>
      <c r="BD30" s="3724"/>
      <c r="BE30" s="3724">
        <f>SUM(BE24:BE29)</f>
        <v>167337.16061717967</v>
      </c>
    </row>
    <row r="31" spans="2:61" x14ac:dyDescent="0.25">
      <c r="AX31" s="4390"/>
      <c r="AY31" s="4390"/>
      <c r="BD31" s="4390"/>
      <c r="BE31" s="4390"/>
    </row>
    <row r="32" spans="2:61" x14ac:dyDescent="0.25">
      <c r="AX32" s="4390"/>
      <c r="AY32" s="4390"/>
      <c r="BD32" s="4390"/>
      <c r="BE32" s="4390"/>
    </row>
    <row r="33" spans="49:57" x14ac:dyDescent="0.25">
      <c r="AX33" s="4390"/>
      <c r="AY33" s="4390"/>
      <c r="BD33" s="4390"/>
      <c r="BE33" s="4390"/>
    </row>
    <row r="34" spans="49:57" x14ac:dyDescent="0.25">
      <c r="AW34" s="4106">
        <f>+AW30/AW14</f>
        <v>0.51003315493485213</v>
      </c>
      <c r="BC34" s="4106"/>
    </row>
  </sheetData>
  <mergeCells count="29">
    <mergeCell ref="AX3:AY3"/>
    <mergeCell ref="BD3:BE3"/>
    <mergeCell ref="AZ3:BA3"/>
    <mergeCell ref="BB3:BC3"/>
    <mergeCell ref="R3:S3"/>
    <mergeCell ref="T3:U3"/>
    <mergeCell ref="AP3:AQ3"/>
    <mergeCell ref="AR3:AS3"/>
    <mergeCell ref="AF3:AG3"/>
    <mergeCell ref="AH3:AI3"/>
    <mergeCell ref="AJ3:AK3"/>
    <mergeCell ref="AL3:AM3"/>
    <mergeCell ref="AN3:AO3"/>
    <mergeCell ref="AT3:AU3"/>
    <mergeCell ref="AV3:AW3"/>
    <mergeCell ref="AB3:AC3"/>
    <mergeCell ref="AD3:AE3"/>
    <mergeCell ref="B3:B4"/>
    <mergeCell ref="C3:C4"/>
    <mergeCell ref="D3:E3"/>
    <mergeCell ref="F3:G3"/>
    <mergeCell ref="H3:I3"/>
    <mergeCell ref="J3:K3"/>
    <mergeCell ref="L3:M3"/>
    <mergeCell ref="N3:O3"/>
    <mergeCell ref="P3:Q3"/>
    <mergeCell ref="V3:W3"/>
    <mergeCell ref="Z3:AA3"/>
    <mergeCell ref="X3:Y3"/>
  </mergeCells>
  <printOptions horizontalCentered="1" verticalCentered="1"/>
  <pageMargins left="0" right="0" top="0" bottom="0" header="0" footer="0"/>
  <pageSetup scale="32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3300"/>
    <pageSetUpPr fitToPage="1"/>
  </sheetPr>
  <dimension ref="A1:BE45"/>
  <sheetViews>
    <sheetView topLeftCell="A13" zoomScale="98" zoomScaleNormal="98" workbookViewId="0">
      <pane xSplit="3" topLeftCell="AM1" activePane="topRight" state="frozen"/>
      <selection pane="topRight" activeCell="BE29" sqref="BE29"/>
    </sheetView>
  </sheetViews>
  <sheetFormatPr defaultColWidth="8.85546875" defaultRowHeight="15" x14ac:dyDescent="0.25"/>
  <cols>
    <col min="1" max="1" width="9.140625" style="189"/>
    <col min="2" max="2" width="31.28515625" customWidth="1"/>
    <col min="3" max="3" width="13.42578125" customWidth="1"/>
    <col min="4" max="4" width="6.7109375" style="189" bestFit="1" customWidth="1"/>
    <col min="5" max="5" width="6.7109375" style="200" bestFit="1" customWidth="1"/>
    <col min="6" max="6" width="6.7109375" style="189" bestFit="1" customWidth="1"/>
    <col min="7" max="7" width="6.7109375" style="200" bestFit="1" customWidth="1"/>
    <col min="8" max="8" width="9.140625" style="189" hidden="1" customWidth="1"/>
    <col min="9" max="9" width="9.140625" style="200" hidden="1" customWidth="1"/>
    <col min="10" max="10" width="6.7109375" style="189" bestFit="1" customWidth="1"/>
    <col min="11" max="11" width="6.7109375" style="200" bestFit="1" customWidth="1"/>
    <col min="12" max="12" width="7.85546875" style="189" bestFit="1" customWidth="1"/>
    <col min="13" max="13" width="7.85546875" style="200" bestFit="1" customWidth="1"/>
    <col min="14" max="14" width="6.7109375" style="189" bestFit="1" customWidth="1"/>
    <col min="15" max="15" width="6.7109375" style="200" bestFit="1" customWidth="1"/>
    <col min="16" max="16" width="10.28515625" style="189" hidden="1" customWidth="1"/>
    <col min="17" max="17" width="9.140625" style="200" hidden="1" customWidth="1"/>
    <col min="18" max="18" width="8" customWidth="1"/>
    <col min="19" max="19" width="6.7109375" bestFit="1" customWidth="1"/>
    <col min="20" max="21" width="7.85546875" hidden="1" customWidth="1"/>
    <col min="22" max="23" width="6.7109375" bestFit="1" customWidth="1"/>
    <col min="24" max="25" width="7.85546875" style="1270" bestFit="1" customWidth="1"/>
    <col min="26" max="27" width="7.85546875" bestFit="1" customWidth="1"/>
    <col min="28" max="29" width="8.85546875" customWidth="1"/>
    <col min="30" max="31" width="8.85546875" hidden="1" customWidth="1"/>
    <col min="32" max="33" width="8.85546875" customWidth="1"/>
    <col min="34" max="35" width="8.85546875" hidden="1" customWidth="1"/>
    <col min="38" max="39" width="8.85546875" style="1726"/>
    <col min="40" max="41" width="8.85546875" hidden="1" customWidth="1"/>
    <col min="42" max="42" width="9.7109375" bestFit="1" customWidth="1"/>
    <col min="44" max="45" width="8.85546875" hidden="1" customWidth="1"/>
    <col min="48" max="49" width="0" hidden="1" customWidth="1"/>
    <col min="52" max="53" width="8.85546875" style="4560"/>
    <col min="54" max="55" width="8.5703125" style="4560" bestFit="1" customWidth="1"/>
  </cols>
  <sheetData>
    <row r="1" spans="1:57" ht="22.5" x14ac:dyDescent="0.3">
      <c r="B1" s="971" t="s">
        <v>105</v>
      </c>
      <c r="C1" s="106"/>
      <c r="D1" s="106"/>
      <c r="E1" s="106"/>
      <c r="F1" s="106"/>
      <c r="G1" s="106"/>
      <c r="H1" s="106"/>
      <c r="I1" s="106"/>
      <c r="J1" s="200"/>
      <c r="L1" s="200"/>
      <c r="N1" s="200"/>
      <c r="P1" s="200"/>
      <c r="R1" s="200"/>
      <c r="S1" s="200"/>
      <c r="T1" s="200"/>
      <c r="U1" s="200"/>
      <c r="V1" s="200"/>
      <c r="W1" s="200"/>
      <c r="X1" s="200"/>
      <c r="Y1" s="200"/>
      <c r="Z1" s="200"/>
      <c r="AA1" s="200"/>
    </row>
    <row r="2" spans="1:57" s="200" customFormat="1" x14ac:dyDescent="0.25">
      <c r="B2" s="3744"/>
      <c r="C2" s="3744"/>
      <c r="D2" s="59">
        <v>30</v>
      </c>
      <c r="E2" s="59">
        <v>30</v>
      </c>
      <c r="F2" s="59">
        <v>31</v>
      </c>
      <c r="G2" s="59">
        <v>31</v>
      </c>
      <c r="H2" s="59">
        <f>+D2+F2</f>
        <v>61</v>
      </c>
      <c r="I2" s="59">
        <f>+E2+G2</f>
        <v>61</v>
      </c>
      <c r="J2" s="59">
        <v>30</v>
      </c>
      <c r="K2" s="59">
        <v>30</v>
      </c>
      <c r="L2" s="59">
        <f>+H2+J2</f>
        <v>91</v>
      </c>
      <c r="M2" s="59">
        <f>+I2+K2</f>
        <v>91</v>
      </c>
      <c r="N2" s="59">
        <v>31</v>
      </c>
      <c r="O2" s="59">
        <v>31</v>
      </c>
      <c r="P2" s="59">
        <f>+L2+N2</f>
        <v>122</v>
      </c>
      <c r="Q2" s="59">
        <f>+M2+O2</f>
        <v>122</v>
      </c>
      <c r="R2" s="59">
        <v>31</v>
      </c>
      <c r="S2" s="59">
        <v>31</v>
      </c>
      <c r="T2" s="59">
        <f>+P2+R2</f>
        <v>153</v>
      </c>
      <c r="U2" s="59">
        <f>+Q2+S2</f>
        <v>153</v>
      </c>
      <c r="V2" s="59">
        <v>30</v>
      </c>
      <c r="W2" s="59">
        <v>30</v>
      </c>
      <c r="X2" s="59">
        <f>+N2+R2+V2</f>
        <v>92</v>
      </c>
      <c r="Y2" s="59">
        <f>+O2+S2+W2</f>
        <v>92</v>
      </c>
      <c r="Z2" s="59">
        <f>+T2+V2</f>
        <v>183</v>
      </c>
      <c r="AA2" s="59">
        <f>+U2+W2</f>
        <v>183</v>
      </c>
      <c r="AB2" s="59">
        <v>31</v>
      </c>
      <c r="AC2" s="59">
        <v>31</v>
      </c>
      <c r="AD2" s="59">
        <f>+Z2+AB2</f>
        <v>214</v>
      </c>
      <c r="AE2" s="59">
        <f>+AA2+AC2</f>
        <v>214</v>
      </c>
      <c r="AF2" s="59">
        <v>30</v>
      </c>
      <c r="AG2" s="59">
        <v>30</v>
      </c>
      <c r="AH2" s="59">
        <f>+AD2+AF2</f>
        <v>244</v>
      </c>
      <c r="AI2" s="59">
        <f>+AE2+AG2</f>
        <v>244</v>
      </c>
      <c r="AJ2" s="59">
        <v>31</v>
      </c>
      <c r="AK2" s="59">
        <v>31</v>
      </c>
      <c r="AL2" s="59">
        <f>+AB2+AF2+AJ2</f>
        <v>92</v>
      </c>
      <c r="AM2" s="59">
        <f>+AC2+AG2+AK2</f>
        <v>92</v>
      </c>
      <c r="AN2" s="59">
        <f>+AH2+AJ2</f>
        <v>275</v>
      </c>
      <c r="AO2" s="59">
        <f>+AI2+AK2</f>
        <v>275</v>
      </c>
      <c r="AP2" s="59">
        <v>31</v>
      </c>
      <c r="AQ2" s="59">
        <v>31</v>
      </c>
      <c r="AR2" s="59">
        <f>+AN2+AP2</f>
        <v>306</v>
      </c>
      <c r="AS2" s="59">
        <f>+AO2+AQ2</f>
        <v>306</v>
      </c>
      <c r="AT2" s="59">
        <v>28</v>
      </c>
      <c r="AU2" s="59">
        <v>28</v>
      </c>
      <c r="AV2" s="59">
        <f>+AR2+AT2</f>
        <v>334</v>
      </c>
      <c r="AW2" s="59">
        <f>+AS2+AU2</f>
        <v>334</v>
      </c>
      <c r="AX2" s="59">
        <v>31</v>
      </c>
      <c r="AY2" s="59">
        <v>31</v>
      </c>
      <c r="AZ2" s="59">
        <f>+AP2+AT2+AX2</f>
        <v>90</v>
      </c>
      <c r="BA2" s="59">
        <f>+AQ2+AU2+AY2</f>
        <v>90</v>
      </c>
      <c r="BB2" s="59">
        <f>+AL2+AZ2</f>
        <v>182</v>
      </c>
      <c r="BC2" s="59">
        <f>+AM2+BA2</f>
        <v>182</v>
      </c>
      <c r="BD2" s="59">
        <f>+AV2+AX2</f>
        <v>365</v>
      </c>
      <c r="BE2" s="59">
        <f>+AW2+AY2</f>
        <v>365</v>
      </c>
    </row>
    <row r="3" spans="1:57" s="200" customFormat="1" x14ac:dyDescent="0.25">
      <c r="B3" s="5351" t="s">
        <v>197</v>
      </c>
      <c r="C3" s="4849" t="s">
        <v>198</v>
      </c>
      <c r="D3" s="4849" t="s">
        <v>1323</v>
      </c>
      <c r="E3" s="4849"/>
      <c r="F3" s="4849" t="s">
        <v>1384</v>
      </c>
      <c r="G3" s="4849"/>
      <c r="H3" s="5352" t="s">
        <v>15</v>
      </c>
      <c r="I3" s="5352"/>
      <c r="J3" s="4849" t="s">
        <v>1397</v>
      </c>
      <c r="K3" s="4849"/>
      <c r="L3" s="5353" t="s">
        <v>741</v>
      </c>
      <c r="M3" s="5353"/>
      <c r="N3" s="4849" t="s">
        <v>1424</v>
      </c>
      <c r="O3" s="4849"/>
      <c r="P3" s="5352" t="s">
        <v>18</v>
      </c>
      <c r="Q3" s="5352"/>
      <c r="R3" s="4849" t="s">
        <v>1496</v>
      </c>
      <c r="S3" s="4849"/>
      <c r="T3" s="5352" t="s">
        <v>19</v>
      </c>
      <c r="U3" s="5352"/>
      <c r="V3" s="4849" t="s">
        <v>1573</v>
      </c>
      <c r="W3" s="4849"/>
      <c r="X3" s="5353" t="s">
        <v>788</v>
      </c>
      <c r="Y3" s="5353"/>
      <c r="Z3" s="5356" t="s">
        <v>784</v>
      </c>
      <c r="AA3" s="5356"/>
      <c r="AB3" s="4849" t="s">
        <v>1634</v>
      </c>
      <c r="AC3" s="5229"/>
      <c r="AD3" s="5352" t="s">
        <v>26</v>
      </c>
      <c r="AE3" s="5352"/>
      <c r="AF3" s="4849" t="s">
        <v>1671</v>
      </c>
      <c r="AG3" s="5229"/>
      <c r="AH3" s="5352" t="s">
        <v>29</v>
      </c>
      <c r="AI3" s="5352"/>
      <c r="AJ3" s="4849" t="s">
        <v>1696</v>
      </c>
      <c r="AK3" s="5229"/>
      <c r="AL3" s="5353" t="s">
        <v>799</v>
      </c>
      <c r="AM3" s="5353"/>
      <c r="AN3" s="5352" t="s">
        <v>30</v>
      </c>
      <c r="AO3" s="5352"/>
      <c r="AP3" s="4849" t="s">
        <v>1760</v>
      </c>
      <c r="AQ3" s="5229"/>
      <c r="AR3" s="5352" t="s">
        <v>1761</v>
      </c>
      <c r="AS3" s="5352"/>
      <c r="AT3" s="4849" t="s">
        <v>1812</v>
      </c>
      <c r="AU3" s="5229"/>
      <c r="AV3" s="5352" t="s">
        <v>809</v>
      </c>
      <c r="AW3" s="5352"/>
      <c r="AX3" s="4849" t="s">
        <v>1844</v>
      </c>
      <c r="AY3" s="5229"/>
      <c r="AZ3" s="5353" t="s">
        <v>800</v>
      </c>
      <c r="BA3" s="5353"/>
      <c r="BB3" s="5356" t="s">
        <v>817</v>
      </c>
      <c r="BC3" s="5356"/>
      <c r="BD3" s="5352" t="s">
        <v>1314</v>
      </c>
      <c r="BE3" s="5352"/>
    </row>
    <row r="4" spans="1:57" s="200" customFormat="1" x14ac:dyDescent="0.25">
      <c r="B4" s="5351"/>
      <c r="C4" s="4849"/>
      <c r="D4" s="3609" t="s">
        <v>199</v>
      </c>
      <c r="E4" s="3609" t="s">
        <v>200</v>
      </c>
      <c r="F4" s="3609" t="s">
        <v>199</v>
      </c>
      <c r="G4" s="3609" t="s">
        <v>200</v>
      </c>
      <c r="H4" s="3610" t="s">
        <v>199</v>
      </c>
      <c r="I4" s="3610" t="s">
        <v>200</v>
      </c>
      <c r="J4" s="3609" t="s">
        <v>199</v>
      </c>
      <c r="K4" s="3609" t="s">
        <v>200</v>
      </c>
      <c r="L4" s="3611" t="s">
        <v>199</v>
      </c>
      <c r="M4" s="3611" t="s">
        <v>200</v>
      </c>
      <c r="N4" s="3609" t="s">
        <v>199</v>
      </c>
      <c r="O4" s="3609" t="s">
        <v>200</v>
      </c>
      <c r="P4" s="3610" t="s">
        <v>199</v>
      </c>
      <c r="Q4" s="3610" t="s">
        <v>200</v>
      </c>
      <c r="R4" s="3609" t="s">
        <v>199</v>
      </c>
      <c r="S4" s="3609" t="s">
        <v>200</v>
      </c>
      <c r="T4" s="3610" t="s">
        <v>199</v>
      </c>
      <c r="U4" s="3610" t="s">
        <v>200</v>
      </c>
      <c r="V4" s="3609" t="s">
        <v>199</v>
      </c>
      <c r="W4" s="3609" t="s">
        <v>200</v>
      </c>
      <c r="X4" s="3611" t="s">
        <v>199</v>
      </c>
      <c r="Y4" s="3611" t="s">
        <v>200</v>
      </c>
      <c r="Z4" s="3614" t="s">
        <v>199</v>
      </c>
      <c r="AA4" s="3614" t="s">
        <v>200</v>
      </c>
      <c r="AB4" s="3609" t="s">
        <v>199</v>
      </c>
      <c r="AC4" s="3602" t="s">
        <v>200</v>
      </c>
      <c r="AD4" s="3610" t="s">
        <v>199</v>
      </c>
      <c r="AE4" s="3610" t="s">
        <v>200</v>
      </c>
      <c r="AF4" s="3609" t="s">
        <v>199</v>
      </c>
      <c r="AG4" s="3602" t="s">
        <v>200</v>
      </c>
      <c r="AH4" s="3610" t="s">
        <v>199</v>
      </c>
      <c r="AI4" s="3610" t="s">
        <v>200</v>
      </c>
      <c r="AJ4" s="3609" t="s">
        <v>199</v>
      </c>
      <c r="AK4" s="3602" t="s">
        <v>200</v>
      </c>
      <c r="AL4" s="3611" t="s">
        <v>199</v>
      </c>
      <c r="AM4" s="3611" t="s">
        <v>200</v>
      </c>
      <c r="AN4" s="3610" t="s">
        <v>199</v>
      </c>
      <c r="AO4" s="3610" t="s">
        <v>200</v>
      </c>
      <c r="AP4" s="3916" t="s">
        <v>199</v>
      </c>
      <c r="AQ4" s="3956" t="s">
        <v>200</v>
      </c>
      <c r="AR4" s="3951" t="s">
        <v>199</v>
      </c>
      <c r="AS4" s="3951" t="s">
        <v>200</v>
      </c>
      <c r="AT4" s="4064" t="s">
        <v>199</v>
      </c>
      <c r="AU4" s="4075" t="s">
        <v>200</v>
      </c>
      <c r="AV4" s="4074" t="s">
        <v>199</v>
      </c>
      <c r="AW4" s="4074" t="s">
        <v>200</v>
      </c>
      <c r="AX4" s="4559" t="s">
        <v>199</v>
      </c>
      <c r="AY4" s="4563" t="s">
        <v>200</v>
      </c>
      <c r="AZ4" s="4561" t="s">
        <v>199</v>
      </c>
      <c r="BA4" s="4561" t="s">
        <v>200</v>
      </c>
      <c r="BB4" s="4612" t="s">
        <v>199</v>
      </c>
      <c r="BC4" s="4612" t="s">
        <v>200</v>
      </c>
      <c r="BD4" s="4562" t="s">
        <v>199</v>
      </c>
      <c r="BE4" s="4562" t="s">
        <v>200</v>
      </c>
    </row>
    <row r="5" spans="1:57" ht="18.75" x14ac:dyDescent="0.3">
      <c r="B5" s="3740" t="s">
        <v>0</v>
      </c>
      <c r="C5" s="3740"/>
      <c r="D5" s="2902"/>
      <c r="E5" s="2902"/>
      <c r="F5" s="2902"/>
      <c r="G5" s="2902"/>
      <c r="H5" s="2902"/>
      <c r="I5" s="2902"/>
      <c r="J5" s="2902"/>
      <c r="K5" s="2902"/>
      <c r="L5" s="2902"/>
      <c r="M5" s="2902"/>
      <c r="N5" s="2902"/>
      <c r="O5" s="2902"/>
      <c r="P5" s="2902"/>
      <c r="Q5" s="2902"/>
      <c r="R5" s="2902"/>
      <c r="S5" s="2902"/>
      <c r="T5" s="2902"/>
      <c r="U5" s="2902"/>
      <c r="V5" s="2902"/>
      <c r="W5" s="2902"/>
      <c r="X5" s="2902"/>
      <c r="Y5" s="2902"/>
      <c r="Z5" s="2902"/>
      <c r="AA5" s="2902"/>
      <c r="AB5" s="2902"/>
      <c r="AC5" s="3217"/>
      <c r="AD5" s="2902"/>
      <c r="AE5" s="2902"/>
      <c r="AF5" s="2902"/>
      <c r="AG5" s="3217"/>
      <c r="AH5" s="2902"/>
      <c r="AI5" s="2902"/>
      <c r="AJ5" s="2902"/>
      <c r="AK5" s="3217"/>
      <c r="AL5" s="2902"/>
      <c r="AM5" s="2902"/>
      <c r="AN5" s="2902"/>
      <c r="AO5" s="2902"/>
      <c r="AP5" s="2902"/>
      <c r="AQ5" s="3217"/>
      <c r="AR5" s="2902"/>
      <c r="AS5" s="2902"/>
      <c r="AT5" s="2902"/>
      <c r="AU5" s="3217"/>
      <c r="AV5" s="2902"/>
      <c r="AW5" s="2902"/>
      <c r="AX5" s="2902"/>
      <c r="AY5" s="3217"/>
      <c r="AZ5" s="2902"/>
      <c r="BA5" s="2902"/>
      <c r="BB5" s="2902"/>
      <c r="BC5" s="2902"/>
      <c r="BD5" s="2902"/>
      <c r="BE5" s="2902"/>
    </row>
    <row r="6" spans="1:57" x14ac:dyDescent="0.25">
      <c r="B6" s="5382" t="s">
        <v>459</v>
      </c>
      <c r="C6" s="3609" t="s">
        <v>458</v>
      </c>
      <c r="D6" s="355">
        <v>984</v>
      </c>
      <c r="E6" s="238">
        <v>998.55</v>
      </c>
      <c r="F6" s="238">
        <v>1121.76</v>
      </c>
      <c r="G6" s="238">
        <v>1357.37</v>
      </c>
      <c r="H6" s="1599">
        <f>+D6+F6</f>
        <v>2105.7600000000002</v>
      </c>
      <c r="I6" s="2418">
        <f>+E6+G6</f>
        <v>2355.92</v>
      </c>
      <c r="J6" s="238">
        <v>1180.8</v>
      </c>
      <c r="K6" s="238">
        <v>1384.9500000000003</v>
      </c>
      <c r="L6" s="2415">
        <f>+H6+J6</f>
        <v>3286.5600000000004</v>
      </c>
      <c r="M6" s="2415">
        <f>+I6+K6</f>
        <v>3740.8700000000003</v>
      </c>
      <c r="N6" s="475">
        <v>1220.1600000000001</v>
      </c>
      <c r="O6" s="475">
        <v>1147.4400000000003</v>
      </c>
      <c r="P6" s="2418">
        <f>+L6+N6</f>
        <v>4506.72</v>
      </c>
      <c r="Q6" s="2418">
        <f>+M6+O6</f>
        <v>4888.3100000000004</v>
      </c>
      <c r="R6" s="475">
        <v>1220.1600000000001</v>
      </c>
      <c r="S6" s="475">
        <v>1200.8500000000001</v>
      </c>
      <c r="T6" s="2418">
        <f>+P6+R6</f>
        <v>5726.88</v>
      </c>
      <c r="U6" s="2418">
        <f>+Q6+S6</f>
        <v>6089.1600000000008</v>
      </c>
      <c r="V6" s="475">
        <v>1180.8</v>
      </c>
      <c r="W6" s="475">
        <v>1154.6499999999999</v>
      </c>
      <c r="X6" s="2415">
        <f>+V6+R6+N6</f>
        <v>3621.12</v>
      </c>
      <c r="Y6" s="2415">
        <f>+W6+S6+O6</f>
        <v>3502.9400000000005</v>
      </c>
      <c r="Z6" s="1134">
        <f>+T6+V6</f>
        <v>6907.68</v>
      </c>
      <c r="AA6" s="1134">
        <f>+U6+W6</f>
        <v>7243.81</v>
      </c>
      <c r="AB6" s="3212">
        <v>1220.1600000000001</v>
      </c>
      <c r="AC6" s="312">
        <v>1217.93</v>
      </c>
      <c r="AD6" s="3210">
        <f>+Z6+AB6</f>
        <v>8127.84</v>
      </c>
      <c r="AE6" s="3210">
        <f>+AA6+AC6</f>
        <v>8461.74</v>
      </c>
      <c r="AF6" s="3327">
        <v>1180.8</v>
      </c>
      <c r="AG6" s="312">
        <v>1175.93</v>
      </c>
      <c r="AH6" s="3321">
        <f>+AD6+AF6</f>
        <v>9308.64</v>
      </c>
      <c r="AI6" s="3321">
        <f>+AE6+AG6</f>
        <v>9637.67</v>
      </c>
      <c r="AJ6" s="3601">
        <v>1220.1600000000001</v>
      </c>
      <c r="AK6" s="312">
        <v>1197.77</v>
      </c>
      <c r="AL6" s="3600">
        <f>+AJ6+AF6+AB6</f>
        <v>3621.12</v>
      </c>
      <c r="AM6" s="3600">
        <f>+AK6+AG6+AC6</f>
        <v>3591.63</v>
      </c>
      <c r="AN6" s="3597">
        <f>+AH6+AJ6</f>
        <v>10528.8</v>
      </c>
      <c r="AO6" s="3597">
        <f>+AI6+AK6</f>
        <v>10835.44</v>
      </c>
      <c r="AP6" s="3913">
        <v>1220.1600000000001</v>
      </c>
      <c r="AQ6" s="312">
        <v>1233.5399999999997</v>
      </c>
      <c r="AR6" s="3915">
        <f>+AN6+AP6</f>
        <v>11748.96</v>
      </c>
      <c r="AS6" s="3915">
        <f>+AO6+AQ6</f>
        <v>12068.98</v>
      </c>
      <c r="AT6" s="4061">
        <v>1102.08</v>
      </c>
      <c r="AU6" s="312">
        <v>1088.3600000000001</v>
      </c>
      <c r="AV6" s="4062">
        <f>+AR6+AT6</f>
        <v>12851.039999999999</v>
      </c>
      <c r="AW6" s="4062">
        <f>+AS6+AU6</f>
        <v>13157.34</v>
      </c>
      <c r="AX6" s="4556">
        <v>1220.1600000000001</v>
      </c>
      <c r="AY6" s="312">
        <v>1197.5599999999997</v>
      </c>
      <c r="AZ6" s="4558">
        <f>+AX6+AT6+AP6</f>
        <v>3542.3999999999996</v>
      </c>
      <c r="BA6" s="4558">
        <f>+AY6+AU6+AQ6</f>
        <v>3519.46</v>
      </c>
      <c r="BB6" s="4604">
        <f t="shared" ref="BB6:BB15" si="0">+AL6+AZ6</f>
        <v>7163.5199999999995</v>
      </c>
      <c r="BC6" s="4604">
        <f t="shared" ref="BC6:BC15" si="1">+AM6+BA6</f>
        <v>7111.09</v>
      </c>
      <c r="BD6" s="4557">
        <f>+AV6+AX6</f>
        <v>14071.199999999999</v>
      </c>
      <c r="BE6" s="4557">
        <f>+AW6+AY6</f>
        <v>14354.9</v>
      </c>
    </row>
    <row r="7" spans="1:57" ht="15.75" x14ac:dyDescent="0.25">
      <c r="B7" s="5382"/>
      <c r="C7" s="3615" t="s">
        <v>53</v>
      </c>
      <c r="D7" s="1615">
        <v>1405.7142857142901</v>
      </c>
      <c r="E7" s="1615">
        <v>1426.5</v>
      </c>
      <c r="F7" s="1615">
        <v>1602.5142860000001</v>
      </c>
      <c r="G7" s="1615">
        <v>1939.1</v>
      </c>
      <c r="H7" s="1586">
        <f t="shared" ref="H7:I15" si="2">+D7+F7</f>
        <v>3008.2285717142904</v>
      </c>
      <c r="I7" s="1586">
        <f t="shared" si="2"/>
        <v>3365.6</v>
      </c>
      <c r="J7" s="1615">
        <v>1686.8571428571429</v>
      </c>
      <c r="K7" s="1615">
        <v>1978.5000000000002</v>
      </c>
      <c r="L7" s="1568">
        <f t="shared" ref="L7:M15" si="3">+H7+J7</f>
        <v>4695.0857145714335</v>
      </c>
      <c r="M7" s="1568">
        <f t="shared" si="3"/>
        <v>5344.1</v>
      </c>
      <c r="N7" s="1614">
        <v>1743.0857142857144</v>
      </c>
      <c r="O7" s="1614">
        <v>1639.2000000000003</v>
      </c>
      <c r="P7" s="1586">
        <f t="shared" ref="P7:Q15" si="4">+L7+N7</f>
        <v>6438.1714288571475</v>
      </c>
      <c r="Q7" s="1586">
        <f t="shared" si="4"/>
        <v>6983.3000000000011</v>
      </c>
      <c r="R7" s="1614">
        <v>1743.0857142857144</v>
      </c>
      <c r="S7" s="1614">
        <v>1715.5000000000005</v>
      </c>
      <c r="T7" s="1586">
        <f>+P7+R7</f>
        <v>8181.2571431428623</v>
      </c>
      <c r="U7" s="1586">
        <f t="shared" ref="U7:U15" si="5">+Q7+S7</f>
        <v>8698.8000000000011</v>
      </c>
      <c r="V7" s="1614">
        <v>1686.8571428571429</v>
      </c>
      <c r="W7" s="1614">
        <v>1649.4999999999998</v>
      </c>
      <c r="X7" s="1568">
        <f t="shared" ref="X7:X15" si="6">+V7+R7+N7</f>
        <v>5173.028571428571</v>
      </c>
      <c r="Y7" s="1568">
        <f t="shared" ref="Y7:Y15" si="7">+W7+S7+O7</f>
        <v>5004.2000000000007</v>
      </c>
      <c r="Z7" s="1854">
        <f t="shared" ref="Z7:Z15" si="8">+T7+V7</f>
        <v>9868.1142860000054</v>
      </c>
      <c r="AA7" s="1854">
        <f t="shared" ref="AA7:AA15" si="9">+U7+W7</f>
        <v>10348.300000000001</v>
      </c>
      <c r="AB7" s="1614">
        <v>1743.0857142857144</v>
      </c>
      <c r="AC7" s="3218">
        <v>1739.9</v>
      </c>
      <c r="AD7" s="3211">
        <f>+Z7+AB7</f>
        <v>11611.20000028572</v>
      </c>
      <c r="AE7" s="3211">
        <f t="shared" ref="AE7" si="10">+AA7+AC7</f>
        <v>12088.2</v>
      </c>
      <c r="AF7" s="1614">
        <v>1686.8571428571429</v>
      </c>
      <c r="AG7" s="3218">
        <v>1679.9</v>
      </c>
      <c r="AH7" s="3326">
        <f>+AD7+AF7</f>
        <v>13298.057143142863</v>
      </c>
      <c r="AI7" s="3326">
        <f t="shared" ref="AI7" si="11">+AE7+AG7</f>
        <v>13768.1</v>
      </c>
      <c r="AJ7" s="1614">
        <v>1743.0857142857144</v>
      </c>
      <c r="AK7" s="3218">
        <v>1711.1000000000001</v>
      </c>
      <c r="AL7" s="3613">
        <f t="shared" ref="AL7:AL15" si="12">+AJ7+AF7+AB7</f>
        <v>5173.028571428571</v>
      </c>
      <c r="AM7" s="3613">
        <f t="shared" ref="AM7:AM15" si="13">+AK7+AG7+AC7</f>
        <v>5130.8999999999996</v>
      </c>
      <c r="AN7" s="3612">
        <f>+AH7+AJ7</f>
        <v>15041.142857428578</v>
      </c>
      <c r="AO7" s="3612">
        <f t="shared" ref="AO7" si="14">+AI7+AK7</f>
        <v>15479.2</v>
      </c>
      <c r="AP7" s="1614">
        <v>1743.0857142857144</v>
      </c>
      <c r="AQ7" s="3218">
        <v>1762.1999999999998</v>
      </c>
      <c r="AR7" s="3961">
        <f>+AN7+AP7</f>
        <v>16784.228571714291</v>
      </c>
      <c r="AS7" s="3961">
        <f t="shared" ref="AS7" si="15">+AO7+AQ7</f>
        <v>17241.400000000001</v>
      </c>
      <c r="AT7" s="1614">
        <v>1574.4</v>
      </c>
      <c r="AU7" s="3218">
        <v>1554.8000000000002</v>
      </c>
      <c r="AV7" s="4081">
        <f>+AR7+AT7</f>
        <v>18358.628571714293</v>
      </c>
      <c r="AW7" s="4081">
        <f t="shared" ref="AW7" si="16">+AS7+AU7</f>
        <v>18796.2</v>
      </c>
      <c r="AX7" s="1614">
        <v>1743.0857142857144</v>
      </c>
      <c r="AY7" s="3218">
        <v>1710.7999999999997</v>
      </c>
      <c r="AZ7" s="4565">
        <f t="shared" ref="AZ7:AZ15" si="17">+AX7+AT7+AP7</f>
        <v>5060.5714285714294</v>
      </c>
      <c r="BA7" s="4565">
        <f t="shared" ref="BA7:BA15" si="18">+AY7+AU7+AQ7</f>
        <v>5027.7999999999993</v>
      </c>
      <c r="BB7" s="1854">
        <f t="shared" si="0"/>
        <v>10233.6</v>
      </c>
      <c r="BC7" s="1854">
        <f t="shared" si="1"/>
        <v>10158.699999999999</v>
      </c>
      <c r="BD7" s="4564">
        <f>+AV7+AX7</f>
        <v>20101.714286000006</v>
      </c>
      <c r="BE7" s="4564">
        <f t="shared" ref="BE7" si="19">+AW7+AY7</f>
        <v>20507</v>
      </c>
    </row>
    <row r="8" spans="1:57" x14ac:dyDescent="0.25">
      <c r="B8" s="5382" t="s">
        <v>460</v>
      </c>
      <c r="C8" s="3609" t="s">
        <v>458</v>
      </c>
      <c r="D8" s="238">
        <v>24242.400000000001</v>
      </c>
      <c r="E8" s="238">
        <v>23365.3</v>
      </c>
      <c r="F8" s="238">
        <v>27291.599999999999</v>
      </c>
      <c r="G8" s="238">
        <v>26451.88</v>
      </c>
      <c r="H8" s="2418">
        <f t="shared" si="2"/>
        <v>51534</v>
      </c>
      <c r="I8" s="2418">
        <f t="shared" si="2"/>
        <v>49817.18</v>
      </c>
      <c r="J8" s="238">
        <v>28728</v>
      </c>
      <c r="K8" s="238">
        <v>29029.63</v>
      </c>
      <c r="L8" s="2415">
        <f t="shared" si="3"/>
        <v>80262</v>
      </c>
      <c r="M8" s="2415">
        <f t="shared" si="3"/>
        <v>78846.81</v>
      </c>
      <c r="N8" s="475">
        <v>29685.599999999999</v>
      </c>
      <c r="O8" s="475">
        <v>29655.709999999995</v>
      </c>
      <c r="P8" s="2418">
        <f t="shared" si="4"/>
        <v>109947.6</v>
      </c>
      <c r="Q8" s="2418">
        <f t="shared" si="4"/>
        <v>108502.51999999999</v>
      </c>
      <c r="R8" s="475">
        <v>29685.599999999999</v>
      </c>
      <c r="S8" s="475">
        <v>30293.620000000003</v>
      </c>
      <c r="T8" s="2418">
        <f t="shared" ref="T8:T15" si="20">+P8+R8</f>
        <v>139633.20000000001</v>
      </c>
      <c r="U8" s="2418">
        <f>+Q8+S8</f>
        <v>138796.13999999998</v>
      </c>
      <c r="V8" s="475">
        <v>28728</v>
      </c>
      <c r="W8" s="475">
        <v>29363.739999999998</v>
      </c>
      <c r="X8" s="2415">
        <f t="shared" si="6"/>
        <v>88099.199999999997</v>
      </c>
      <c r="Y8" s="2415">
        <f t="shared" si="7"/>
        <v>89313.069999999992</v>
      </c>
      <c r="Z8" s="1134">
        <f t="shared" si="8"/>
        <v>168361.2</v>
      </c>
      <c r="AA8" s="1134">
        <f t="shared" si="9"/>
        <v>168159.87999999998</v>
      </c>
      <c r="AB8" s="3212">
        <v>30310.560000000001</v>
      </c>
      <c r="AC8" s="312">
        <v>30536.519999999993</v>
      </c>
      <c r="AD8" s="3210">
        <f t="shared" ref="AD8:AD15" si="21">+Z8+AB8</f>
        <v>198671.76</v>
      </c>
      <c r="AE8" s="3210">
        <f>+AA8+AC8</f>
        <v>198696.39999999997</v>
      </c>
      <c r="AF8" s="3327">
        <v>29332.799999999999</v>
      </c>
      <c r="AG8" s="312">
        <v>29560.58</v>
      </c>
      <c r="AH8" s="3321">
        <f t="shared" ref="AH8:AH15" si="22">+AD8+AF8</f>
        <v>228004.56</v>
      </c>
      <c r="AI8" s="3321">
        <f>+AE8+AG8</f>
        <v>228256.97999999998</v>
      </c>
      <c r="AJ8" s="3601">
        <v>30310.560000000001</v>
      </c>
      <c r="AK8" s="312">
        <v>30471.245000000006</v>
      </c>
      <c r="AL8" s="3600">
        <f t="shared" si="12"/>
        <v>89953.919999999998</v>
      </c>
      <c r="AM8" s="3600">
        <f t="shared" si="13"/>
        <v>90568.345000000001</v>
      </c>
      <c r="AN8" s="3597">
        <f t="shared" ref="AN8:AN15" si="23">+AH8+AJ8</f>
        <v>258315.12</v>
      </c>
      <c r="AO8" s="3597">
        <f>+AI8+AK8</f>
        <v>258728.22499999998</v>
      </c>
      <c r="AP8" s="3913">
        <v>30310.560000000001</v>
      </c>
      <c r="AQ8" s="312">
        <v>30572.289999999997</v>
      </c>
      <c r="AR8" s="3915">
        <f t="shared" ref="AR8:AR15" si="24">+AN8+AP8</f>
        <v>288625.68</v>
      </c>
      <c r="AS8" s="3915">
        <f>+AO8+AQ8</f>
        <v>289300.51499999996</v>
      </c>
      <c r="AT8" s="4061">
        <v>26953.919999999998</v>
      </c>
      <c r="AU8" s="312">
        <v>27810.370000000003</v>
      </c>
      <c r="AV8" s="4062">
        <f t="shared" ref="AV8:AV15" si="25">+AR8+AT8</f>
        <v>315579.59999999998</v>
      </c>
      <c r="AW8" s="4062">
        <f>+AS8+AU8</f>
        <v>317110.88499999995</v>
      </c>
      <c r="AX8" s="4556">
        <v>30310.560000000001</v>
      </c>
      <c r="AY8" s="312">
        <v>30347.869999999992</v>
      </c>
      <c r="AZ8" s="4558">
        <f t="shared" si="17"/>
        <v>87575.039999999994</v>
      </c>
      <c r="BA8" s="4558">
        <f>+AY8+AU8+AQ8</f>
        <v>88730.529999999984</v>
      </c>
      <c r="BB8" s="4604">
        <f t="shared" si="0"/>
        <v>177528.95999999999</v>
      </c>
      <c r="BC8" s="4604">
        <f t="shared" si="1"/>
        <v>179298.875</v>
      </c>
      <c r="BD8" s="4557">
        <f t="shared" ref="BD8" si="26">+AV8+AX8</f>
        <v>345890.16</v>
      </c>
      <c r="BE8" s="4557">
        <f>+AW8+AY8</f>
        <v>347458.75499999995</v>
      </c>
    </row>
    <row r="9" spans="1:57" ht="15.75" x14ac:dyDescent="0.25">
      <c r="B9" s="5382"/>
      <c r="C9" s="3615" t="s">
        <v>53</v>
      </c>
      <c r="D9" s="1615">
        <v>34632</v>
      </c>
      <c r="E9" s="1615">
        <v>33379</v>
      </c>
      <c r="F9" s="1615">
        <v>38988</v>
      </c>
      <c r="G9" s="1615">
        <v>37788.400000000001</v>
      </c>
      <c r="H9" s="1586">
        <f t="shared" si="2"/>
        <v>73620</v>
      </c>
      <c r="I9" s="1586">
        <f t="shared" si="2"/>
        <v>71167.399999999994</v>
      </c>
      <c r="J9" s="1615">
        <v>41040</v>
      </c>
      <c r="K9" s="1615">
        <v>41470.9</v>
      </c>
      <c r="L9" s="1568">
        <f t="shared" si="3"/>
        <v>114660</v>
      </c>
      <c r="M9" s="1568">
        <f t="shared" si="3"/>
        <v>112638.29999999999</v>
      </c>
      <c r="N9" s="1614">
        <v>42408</v>
      </c>
      <c r="O9" s="1614">
        <v>42365.299999999996</v>
      </c>
      <c r="P9" s="1586">
        <f t="shared" si="4"/>
        <v>157068</v>
      </c>
      <c r="Q9" s="1586">
        <f t="shared" si="4"/>
        <v>155003.59999999998</v>
      </c>
      <c r="R9" s="1614">
        <v>42408</v>
      </c>
      <c r="S9" s="1614">
        <v>43276.600000000006</v>
      </c>
      <c r="T9" s="1586">
        <f t="shared" si="20"/>
        <v>199476</v>
      </c>
      <c r="U9" s="1586">
        <f>+Q9+S9</f>
        <v>198280.19999999998</v>
      </c>
      <c r="V9" s="1614">
        <v>41040</v>
      </c>
      <c r="W9" s="1614">
        <v>41948.2</v>
      </c>
      <c r="X9" s="1568">
        <f t="shared" si="6"/>
        <v>125856</v>
      </c>
      <c r="Y9" s="1568">
        <f t="shared" si="7"/>
        <v>127590.1</v>
      </c>
      <c r="Z9" s="1854">
        <f t="shared" si="8"/>
        <v>240516</v>
      </c>
      <c r="AA9" s="1854">
        <f t="shared" si="9"/>
        <v>240228.39999999997</v>
      </c>
      <c r="AB9" s="1614">
        <v>43300.800000000003</v>
      </c>
      <c r="AC9" s="3218">
        <v>43623.599999999991</v>
      </c>
      <c r="AD9" s="3211">
        <f t="shared" si="21"/>
        <v>283816.8</v>
      </c>
      <c r="AE9" s="3211">
        <f>+AA9+AC9</f>
        <v>283851.99999999994</v>
      </c>
      <c r="AF9" s="1614">
        <v>41904</v>
      </c>
      <c r="AG9" s="3218">
        <v>42229.4</v>
      </c>
      <c r="AH9" s="3326">
        <f t="shared" si="22"/>
        <v>325720.8</v>
      </c>
      <c r="AI9" s="3326">
        <f>+AE9+AG9</f>
        <v>326081.39999999997</v>
      </c>
      <c r="AJ9" s="1614">
        <v>43300.800000000003</v>
      </c>
      <c r="AK9" s="3218">
        <v>43530.350000000013</v>
      </c>
      <c r="AL9" s="3613">
        <f t="shared" si="12"/>
        <v>128505.60000000001</v>
      </c>
      <c r="AM9" s="3613">
        <f t="shared" si="13"/>
        <v>129383.35</v>
      </c>
      <c r="AN9" s="3612">
        <f t="shared" si="23"/>
        <v>369021.6</v>
      </c>
      <c r="AO9" s="3612">
        <f>+AI9+AK9</f>
        <v>369611.75</v>
      </c>
      <c r="AP9" s="1614">
        <v>43300.800000000003</v>
      </c>
      <c r="AQ9" s="3218">
        <v>43674.7</v>
      </c>
      <c r="AR9" s="3961">
        <f t="shared" si="24"/>
        <v>412322.39999999997</v>
      </c>
      <c r="AS9" s="3961">
        <f>+AO9+AQ9</f>
        <v>413286.45</v>
      </c>
      <c r="AT9" s="1614">
        <v>38505.600000000006</v>
      </c>
      <c r="AU9" s="3218">
        <v>39729.100000000006</v>
      </c>
      <c r="AV9" s="4081">
        <f>+AR9+AT9</f>
        <v>450828</v>
      </c>
      <c r="AW9" s="4081">
        <f>+AS9+AU9</f>
        <v>453015.55000000005</v>
      </c>
      <c r="AX9" s="1614">
        <v>43300.800000000003</v>
      </c>
      <c r="AY9" s="3218">
        <v>43354.099999999991</v>
      </c>
      <c r="AZ9" s="4565">
        <f t="shared" si="17"/>
        <v>125107.20000000001</v>
      </c>
      <c r="BA9" s="4565">
        <f t="shared" si="18"/>
        <v>126757.9</v>
      </c>
      <c r="BB9" s="1854">
        <f t="shared" si="0"/>
        <v>253612.80000000002</v>
      </c>
      <c r="BC9" s="1854">
        <f t="shared" si="1"/>
        <v>256141.25</v>
      </c>
      <c r="BD9" s="4564">
        <f>+AV9+AX9</f>
        <v>494128.8</v>
      </c>
      <c r="BE9" s="4564">
        <f>+AW9+AY9</f>
        <v>496369.65</v>
      </c>
    </row>
    <row r="10" spans="1:57" x14ac:dyDescent="0.25">
      <c r="B10" s="5382" t="s">
        <v>461</v>
      </c>
      <c r="C10" s="3609" t="s">
        <v>458</v>
      </c>
      <c r="D10" s="355">
        <v>442.8</v>
      </c>
      <c r="E10" s="238">
        <v>520.64</v>
      </c>
      <c r="F10" s="238">
        <v>610.08000000000004</v>
      </c>
      <c r="G10" s="238">
        <v>580.4</v>
      </c>
      <c r="H10" s="1599">
        <f t="shared" si="2"/>
        <v>1052.8800000000001</v>
      </c>
      <c r="I10" s="2418">
        <f t="shared" si="2"/>
        <v>1101.04</v>
      </c>
      <c r="J10" s="238">
        <v>590.4</v>
      </c>
      <c r="K10" s="238">
        <v>655.28000000000009</v>
      </c>
      <c r="L10" s="2415">
        <f t="shared" si="3"/>
        <v>1643.2800000000002</v>
      </c>
      <c r="M10" s="2415">
        <f t="shared" si="3"/>
        <v>1756.3200000000002</v>
      </c>
      <c r="N10" s="475">
        <v>610.08000000000004</v>
      </c>
      <c r="O10" s="475">
        <v>666.6400000000001</v>
      </c>
      <c r="P10" s="2418">
        <f t="shared" si="4"/>
        <v>2253.36</v>
      </c>
      <c r="Q10" s="2418">
        <f t="shared" si="4"/>
        <v>2422.96</v>
      </c>
      <c r="R10" s="475">
        <v>610.08000000000004</v>
      </c>
      <c r="S10" s="475">
        <v>697.92</v>
      </c>
      <c r="T10" s="2418">
        <f t="shared" si="20"/>
        <v>2863.44</v>
      </c>
      <c r="U10" s="2418">
        <f t="shared" si="5"/>
        <v>3120.88</v>
      </c>
      <c r="V10" s="475">
        <v>590.4</v>
      </c>
      <c r="W10" s="475">
        <v>672.64</v>
      </c>
      <c r="X10" s="2415">
        <f t="shared" si="6"/>
        <v>1810.56</v>
      </c>
      <c r="Y10" s="2415">
        <f t="shared" si="7"/>
        <v>2037.2</v>
      </c>
      <c r="Z10" s="1134">
        <f t="shared" si="8"/>
        <v>3453.84</v>
      </c>
      <c r="AA10" s="1134">
        <f t="shared" si="9"/>
        <v>3793.52</v>
      </c>
      <c r="AB10" s="3212">
        <v>610.08000000000004</v>
      </c>
      <c r="AC10" s="312">
        <v>685.92</v>
      </c>
      <c r="AD10" s="3210">
        <f t="shared" si="21"/>
        <v>4063.92</v>
      </c>
      <c r="AE10" s="3210">
        <f t="shared" ref="AE10:AE15" si="27">+AA10+AC10</f>
        <v>4479.4399999999996</v>
      </c>
      <c r="AF10" s="3327">
        <v>590.4</v>
      </c>
      <c r="AG10" s="312">
        <v>661.60000000000014</v>
      </c>
      <c r="AH10" s="3321">
        <f t="shared" si="22"/>
        <v>4654.32</v>
      </c>
      <c r="AI10" s="3321">
        <f t="shared" ref="AI10:AI15" si="28">+AE10+AG10</f>
        <v>5141.04</v>
      </c>
      <c r="AJ10" s="3601">
        <v>610.08000000000004</v>
      </c>
      <c r="AK10" s="312">
        <v>682.55999999999983</v>
      </c>
      <c r="AL10" s="3600">
        <f t="shared" si="12"/>
        <v>1810.56</v>
      </c>
      <c r="AM10" s="3600">
        <f t="shared" si="13"/>
        <v>2030.08</v>
      </c>
      <c r="AN10" s="3597">
        <f t="shared" si="23"/>
        <v>5264.4</v>
      </c>
      <c r="AO10" s="3597">
        <f t="shared" ref="AO10:AO15" si="29">+AI10+AK10</f>
        <v>5823.5999999999995</v>
      </c>
      <c r="AP10" s="3913">
        <v>610.08000000000004</v>
      </c>
      <c r="AQ10" s="312">
        <v>692.07999999999993</v>
      </c>
      <c r="AR10" s="3915">
        <f t="shared" si="24"/>
        <v>5874.48</v>
      </c>
      <c r="AS10" s="3915">
        <f t="shared" ref="AS10:AS15" si="30">+AO10+AQ10</f>
        <v>6515.6799999999994</v>
      </c>
      <c r="AT10" s="4061">
        <v>551.04</v>
      </c>
      <c r="AU10" s="312">
        <v>628.64</v>
      </c>
      <c r="AV10" s="4062">
        <f t="shared" si="25"/>
        <v>6425.5199999999995</v>
      </c>
      <c r="AW10" s="4062">
        <f t="shared" ref="AW10:AW15" si="31">+AS10+AU10</f>
        <v>7144.32</v>
      </c>
      <c r="AX10" s="4556">
        <v>610.08000000000004</v>
      </c>
      <c r="AY10" s="312">
        <v>723.6</v>
      </c>
      <c r="AZ10" s="4558">
        <f t="shared" si="17"/>
        <v>1771.1999999999998</v>
      </c>
      <c r="BA10" s="4558">
        <f t="shared" si="18"/>
        <v>2044.32</v>
      </c>
      <c r="BB10" s="4604">
        <f t="shared" si="0"/>
        <v>3581.7599999999998</v>
      </c>
      <c r="BC10" s="4604">
        <f t="shared" si="1"/>
        <v>4074.3999999999996</v>
      </c>
      <c r="BD10" s="4557">
        <f t="shared" ref="BD10:BD15" si="32">+AV10+AX10</f>
        <v>7035.5999999999995</v>
      </c>
      <c r="BE10" s="4557">
        <f t="shared" ref="BE10:BE15" si="33">+AW10+AY10</f>
        <v>7867.92</v>
      </c>
    </row>
    <row r="11" spans="1:57" ht="15.75" x14ac:dyDescent="0.25">
      <c r="B11" s="5382"/>
      <c r="C11" s="3615" t="s">
        <v>53</v>
      </c>
      <c r="D11" s="672">
        <v>553.5</v>
      </c>
      <c r="E11" s="1615">
        <v>650.79999999999995</v>
      </c>
      <c r="F11" s="1615">
        <v>762.6</v>
      </c>
      <c r="G11" s="1615">
        <v>725.5</v>
      </c>
      <c r="H11" s="2463">
        <f t="shared" si="2"/>
        <v>1316.1</v>
      </c>
      <c r="I11" s="1586">
        <f t="shared" si="2"/>
        <v>1376.3</v>
      </c>
      <c r="J11" s="1615">
        <v>737.99999999999989</v>
      </c>
      <c r="K11" s="1615">
        <v>819.10000000000014</v>
      </c>
      <c r="L11" s="1568">
        <f t="shared" si="3"/>
        <v>2054.1</v>
      </c>
      <c r="M11" s="1568">
        <f t="shared" si="3"/>
        <v>2195.4</v>
      </c>
      <c r="N11" s="1096">
        <v>762.6</v>
      </c>
      <c r="O11" s="1614">
        <v>833.30000000000018</v>
      </c>
      <c r="P11" s="1586">
        <f t="shared" si="4"/>
        <v>2816.7</v>
      </c>
      <c r="Q11" s="1586">
        <f t="shared" si="4"/>
        <v>3028.7000000000003</v>
      </c>
      <c r="R11" s="1096">
        <v>762.6</v>
      </c>
      <c r="S11" s="1614">
        <v>872.4</v>
      </c>
      <c r="T11" s="1586">
        <f t="shared" si="20"/>
        <v>3579.2999999999997</v>
      </c>
      <c r="U11" s="1586">
        <f t="shared" si="5"/>
        <v>3901.1000000000004</v>
      </c>
      <c r="V11" s="1096">
        <v>737.99999999999989</v>
      </c>
      <c r="W11" s="1614">
        <v>840.8</v>
      </c>
      <c r="X11" s="1568">
        <f t="shared" si="6"/>
        <v>2263.1999999999998</v>
      </c>
      <c r="Y11" s="1568">
        <f t="shared" si="7"/>
        <v>2546.5</v>
      </c>
      <c r="Z11" s="1854">
        <f t="shared" si="8"/>
        <v>4317.2999999999993</v>
      </c>
      <c r="AA11" s="1854">
        <f t="shared" si="9"/>
        <v>4741.9000000000005</v>
      </c>
      <c r="AB11" s="1096">
        <v>762.6</v>
      </c>
      <c r="AC11" s="3218">
        <v>857.4</v>
      </c>
      <c r="AD11" s="3211">
        <f t="shared" si="21"/>
        <v>5079.8999999999996</v>
      </c>
      <c r="AE11" s="3211">
        <f t="shared" si="27"/>
        <v>5599.3</v>
      </c>
      <c r="AF11" s="1096">
        <v>737.99999999999989</v>
      </c>
      <c r="AG11" s="3218">
        <v>827.00000000000011</v>
      </c>
      <c r="AH11" s="3326">
        <f t="shared" si="22"/>
        <v>5817.9</v>
      </c>
      <c r="AI11" s="3326">
        <f t="shared" si="28"/>
        <v>6426.3</v>
      </c>
      <c r="AJ11" s="1096">
        <v>762.6</v>
      </c>
      <c r="AK11" s="3218">
        <v>853.19999999999982</v>
      </c>
      <c r="AL11" s="3613">
        <f t="shared" si="12"/>
        <v>2263.1999999999998</v>
      </c>
      <c r="AM11" s="3613">
        <f t="shared" si="13"/>
        <v>2537.6</v>
      </c>
      <c r="AN11" s="3612">
        <f t="shared" si="23"/>
        <v>6580.5</v>
      </c>
      <c r="AO11" s="3612">
        <f t="shared" si="29"/>
        <v>7279.5</v>
      </c>
      <c r="AP11" s="1096">
        <v>762.6</v>
      </c>
      <c r="AQ11" s="3218">
        <v>865.09999999999991</v>
      </c>
      <c r="AR11" s="3961">
        <f t="shared" si="24"/>
        <v>7343.1</v>
      </c>
      <c r="AS11" s="3961">
        <f t="shared" si="30"/>
        <v>8144.6</v>
      </c>
      <c r="AT11" s="1096">
        <v>688.8</v>
      </c>
      <c r="AU11" s="3218">
        <v>785.80000000000007</v>
      </c>
      <c r="AV11" s="4081">
        <f t="shared" si="25"/>
        <v>8031.9000000000005</v>
      </c>
      <c r="AW11" s="4081">
        <f t="shared" si="31"/>
        <v>8930.4</v>
      </c>
      <c r="AX11" s="1096">
        <v>762.6</v>
      </c>
      <c r="AY11" s="3218">
        <v>904.5</v>
      </c>
      <c r="AZ11" s="4565">
        <f t="shared" si="17"/>
        <v>2214</v>
      </c>
      <c r="BA11" s="4565">
        <f t="shared" si="18"/>
        <v>2555.4</v>
      </c>
      <c r="BB11" s="1854">
        <f t="shared" si="0"/>
        <v>4477.2</v>
      </c>
      <c r="BC11" s="1854">
        <f t="shared" si="1"/>
        <v>5093</v>
      </c>
      <c r="BD11" s="4564">
        <f t="shared" si="32"/>
        <v>8794.5</v>
      </c>
      <c r="BE11" s="4564">
        <f t="shared" si="33"/>
        <v>9834.9</v>
      </c>
    </row>
    <row r="12" spans="1:57" ht="15.75" x14ac:dyDescent="0.25">
      <c r="B12" s="5382" t="s">
        <v>462</v>
      </c>
      <c r="C12" s="3609" t="s">
        <v>458</v>
      </c>
      <c r="D12" s="238">
        <v>20040</v>
      </c>
      <c r="E12" s="238">
        <v>20128.96</v>
      </c>
      <c r="F12" s="238">
        <v>22150.2</v>
      </c>
      <c r="G12" s="238">
        <v>22881.200000000001</v>
      </c>
      <c r="H12" s="2418">
        <f t="shared" si="2"/>
        <v>42190.2</v>
      </c>
      <c r="I12" s="2418">
        <f t="shared" si="2"/>
        <v>43010.16</v>
      </c>
      <c r="J12" s="238">
        <v>22572</v>
      </c>
      <c r="K12" s="238">
        <v>24629.160000000007</v>
      </c>
      <c r="L12" s="2415">
        <f t="shared" si="3"/>
        <v>64762.2</v>
      </c>
      <c r="M12" s="2415">
        <f t="shared" si="3"/>
        <v>67639.320000000007</v>
      </c>
      <c r="N12" s="475">
        <v>23324.400000000001</v>
      </c>
      <c r="O12" s="475">
        <v>24965.279999999999</v>
      </c>
      <c r="P12" s="1586">
        <f t="shared" si="4"/>
        <v>88086.6</v>
      </c>
      <c r="Q12" s="2418">
        <f t="shared" si="4"/>
        <v>92604.6</v>
      </c>
      <c r="R12" s="475">
        <v>23324.400000000001</v>
      </c>
      <c r="S12" s="475">
        <v>25820.560000000001</v>
      </c>
      <c r="T12" s="1586">
        <f t="shared" si="20"/>
        <v>111411</v>
      </c>
      <c r="U12" s="2418">
        <f t="shared" si="5"/>
        <v>118425.16</v>
      </c>
      <c r="V12" s="475">
        <v>22572</v>
      </c>
      <c r="W12" s="475">
        <v>24626</v>
      </c>
      <c r="X12" s="2415">
        <f t="shared" si="6"/>
        <v>69220.800000000003</v>
      </c>
      <c r="Y12" s="2415">
        <f t="shared" si="7"/>
        <v>75411.839999999997</v>
      </c>
      <c r="Z12" s="1854">
        <f t="shared" si="8"/>
        <v>133983</v>
      </c>
      <c r="AA12" s="1134">
        <f t="shared" si="9"/>
        <v>143051.16</v>
      </c>
      <c r="AB12" s="3212">
        <v>23324.400000000001</v>
      </c>
      <c r="AC12" s="312">
        <v>25423.52</v>
      </c>
      <c r="AD12" s="3211">
        <f t="shared" si="21"/>
        <v>157307.4</v>
      </c>
      <c r="AE12" s="3210">
        <f t="shared" si="27"/>
        <v>168474.68</v>
      </c>
      <c r="AF12" s="3327">
        <v>22572</v>
      </c>
      <c r="AG12" s="312">
        <v>24776.480000000003</v>
      </c>
      <c r="AH12" s="3326">
        <f t="shared" si="22"/>
        <v>179879.4</v>
      </c>
      <c r="AI12" s="3321">
        <f t="shared" si="28"/>
        <v>193251.16</v>
      </c>
      <c r="AJ12" s="3601">
        <v>23324.400000000001</v>
      </c>
      <c r="AK12" s="312">
        <v>25685.439999999999</v>
      </c>
      <c r="AL12" s="3600">
        <f t="shared" si="12"/>
        <v>69220.800000000003</v>
      </c>
      <c r="AM12" s="3600">
        <f t="shared" si="13"/>
        <v>75885.440000000002</v>
      </c>
      <c r="AN12" s="3612">
        <f t="shared" si="23"/>
        <v>203203.8</v>
      </c>
      <c r="AO12" s="3597">
        <f t="shared" si="29"/>
        <v>218936.6</v>
      </c>
      <c r="AP12" s="3913">
        <v>23324.400000000001</v>
      </c>
      <c r="AQ12" s="312">
        <v>26114.000000000007</v>
      </c>
      <c r="AR12" s="3961">
        <f t="shared" si="24"/>
        <v>226528.19999999998</v>
      </c>
      <c r="AS12" s="3915">
        <f t="shared" si="30"/>
        <v>245050.6</v>
      </c>
      <c r="AT12" s="4061">
        <v>21067.200000000001</v>
      </c>
      <c r="AU12" s="312">
        <v>23568.32</v>
      </c>
      <c r="AV12" s="4081">
        <f t="shared" si="25"/>
        <v>247595.4</v>
      </c>
      <c r="AW12" s="4062">
        <f t="shared" si="31"/>
        <v>268618.92</v>
      </c>
      <c r="AX12" s="4556">
        <v>23324.400000000001</v>
      </c>
      <c r="AY12" s="312">
        <v>25941.679999999997</v>
      </c>
      <c r="AZ12" s="4558">
        <f t="shared" si="17"/>
        <v>67716</v>
      </c>
      <c r="BA12" s="4558">
        <f t="shared" si="18"/>
        <v>75624</v>
      </c>
      <c r="BB12" s="1854">
        <f t="shared" si="0"/>
        <v>136936.79999999999</v>
      </c>
      <c r="BC12" s="4604">
        <f t="shared" si="1"/>
        <v>151509.44</v>
      </c>
      <c r="BD12" s="4564">
        <f t="shared" si="32"/>
        <v>270919.8</v>
      </c>
      <c r="BE12" s="4557">
        <f t="shared" si="33"/>
        <v>294560.59999999998</v>
      </c>
    </row>
    <row r="13" spans="1:57" ht="15.75" x14ac:dyDescent="0.25">
      <c r="B13" s="5382"/>
      <c r="C13" s="3615" t="s">
        <v>53</v>
      </c>
      <c r="D13" s="1615">
        <v>25050</v>
      </c>
      <c r="E13" s="1615">
        <v>25161.200000000001</v>
      </c>
      <c r="F13" s="1615">
        <v>27687.75</v>
      </c>
      <c r="G13" s="1615">
        <v>28601.5</v>
      </c>
      <c r="H13" s="1586">
        <f t="shared" si="2"/>
        <v>52737.75</v>
      </c>
      <c r="I13" s="1586">
        <f t="shared" si="2"/>
        <v>53762.7</v>
      </c>
      <c r="J13" s="1615">
        <v>28215</v>
      </c>
      <c r="K13" s="1615">
        <v>30786.450000000008</v>
      </c>
      <c r="L13" s="1568">
        <f t="shared" si="3"/>
        <v>80952.75</v>
      </c>
      <c r="M13" s="1568">
        <f t="shared" si="3"/>
        <v>84549.150000000009</v>
      </c>
      <c r="N13" s="1614">
        <v>29155.5</v>
      </c>
      <c r="O13" s="1614">
        <v>31206.6</v>
      </c>
      <c r="P13" s="1586">
        <f t="shared" si="4"/>
        <v>110108.25</v>
      </c>
      <c r="Q13" s="1586">
        <f t="shared" si="4"/>
        <v>115755.75</v>
      </c>
      <c r="R13" s="1614">
        <v>29155.5</v>
      </c>
      <c r="S13" s="1614">
        <v>32275.7</v>
      </c>
      <c r="T13" s="1586">
        <f t="shared" si="20"/>
        <v>139263.75</v>
      </c>
      <c r="U13" s="1586">
        <f t="shared" si="5"/>
        <v>148031.45000000001</v>
      </c>
      <c r="V13" s="1614">
        <v>28215</v>
      </c>
      <c r="W13" s="1614">
        <v>30782.5</v>
      </c>
      <c r="X13" s="1568">
        <f t="shared" si="6"/>
        <v>86526</v>
      </c>
      <c r="Y13" s="1568">
        <f t="shared" si="7"/>
        <v>94264.799999999988</v>
      </c>
      <c r="Z13" s="1854">
        <f t="shared" si="8"/>
        <v>167478.75</v>
      </c>
      <c r="AA13" s="1854">
        <f t="shared" si="9"/>
        <v>178813.95</v>
      </c>
      <c r="AB13" s="1614">
        <v>29155.5</v>
      </c>
      <c r="AC13" s="3218">
        <v>31779.4</v>
      </c>
      <c r="AD13" s="3211">
        <f t="shared" si="21"/>
        <v>196634.25</v>
      </c>
      <c r="AE13" s="3211">
        <f t="shared" si="27"/>
        <v>210593.35</v>
      </c>
      <c r="AF13" s="1614">
        <v>28215</v>
      </c>
      <c r="AG13" s="3218">
        <v>30970.600000000006</v>
      </c>
      <c r="AH13" s="3326">
        <f t="shared" si="22"/>
        <v>224849.25</v>
      </c>
      <c r="AI13" s="3326">
        <f t="shared" si="28"/>
        <v>241563.95</v>
      </c>
      <c r="AJ13" s="1614">
        <v>29155.5</v>
      </c>
      <c r="AK13" s="3218">
        <v>32106.799999999999</v>
      </c>
      <c r="AL13" s="3613">
        <f t="shared" si="12"/>
        <v>86526</v>
      </c>
      <c r="AM13" s="3613">
        <f t="shared" si="13"/>
        <v>94856.800000000017</v>
      </c>
      <c r="AN13" s="3612">
        <f t="shared" si="23"/>
        <v>254004.75</v>
      </c>
      <c r="AO13" s="3612">
        <f t="shared" si="29"/>
        <v>273670.75</v>
      </c>
      <c r="AP13" s="1614">
        <v>29155.5</v>
      </c>
      <c r="AQ13" s="3218">
        <v>32642.500000000007</v>
      </c>
      <c r="AR13" s="3961">
        <f t="shared" si="24"/>
        <v>283160.25</v>
      </c>
      <c r="AS13" s="3961">
        <f t="shared" si="30"/>
        <v>306313.25</v>
      </c>
      <c r="AT13" s="1614">
        <v>26334</v>
      </c>
      <c r="AU13" s="3218">
        <v>29460.400000000001</v>
      </c>
      <c r="AV13" s="4081">
        <f t="shared" si="25"/>
        <v>309494.25</v>
      </c>
      <c r="AW13" s="4081">
        <f t="shared" si="31"/>
        <v>335773.65</v>
      </c>
      <c r="AX13" s="1614">
        <v>29155.5</v>
      </c>
      <c r="AY13" s="3218">
        <v>32427.099999999995</v>
      </c>
      <c r="AZ13" s="4565">
        <f t="shared" si="17"/>
        <v>84645</v>
      </c>
      <c r="BA13" s="4565">
        <f t="shared" si="18"/>
        <v>94530</v>
      </c>
      <c r="BB13" s="1854">
        <f t="shared" si="0"/>
        <v>171171</v>
      </c>
      <c r="BC13" s="1854">
        <f t="shared" si="1"/>
        <v>189386.80000000002</v>
      </c>
      <c r="BD13" s="4564">
        <f t="shared" si="32"/>
        <v>338649.75</v>
      </c>
      <c r="BE13" s="4564">
        <f t="shared" si="33"/>
        <v>368200.75</v>
      </c>
    </row>
    <row r="14" spans="1:57" x14ac:dyDescent="0.25">
      <c r="B14" s="5382" t="s">
        <v>463</v>
      </c>
      <c r="C14" s="3609" t="s">
        <v>458</v>
      </c>
      <c r="D14" s="238">
        <v>733.75199999999995</v>
      </c>
      <c r="E14" s="238">
        <v>827.56799999999998</v>
      </c>
      <c r="F14" s="238">
        <v>1057.9680000000001</v>
      </c>
      <c r="G14" s="238">
        <v>867.78</v>
      </c>
      <c r="H14" s="2418">
        <f t="shared" si="2"/>
        <v>1791.72</v>
      </c>
      <c r="I14" s="2418">
        <f t="shared" si="2"/>
        <v>1695.348</v>
      </c>
      <c r="J14" s="238">
        <v>1023.84</v>
      </c>
      <c r="K14" s="238">
        <v>961.91200000000003</v>
      </c>
      <c r="L14" s="2415">
        <f t="shared" si="3"/>
        <v>2815.56</v>
      </c>
      <c r="M14" s="2415">
        <f t="shared" si="3"/>
        <v>2657.26</v>
      </c>
      <c r="N14" s="475">
        <v>1057.9680000000001</v>
      </c>
      <c r="O14" s="475">
        <v>858.76</v>
      </c>
      <c r="P14" s="2418">
        <f t="shared" si="4"/>
        <v>3873.5280000000002</v>
      </c>
      <c r="Q14" s="2418">
        <f t="shared" si="4"/>
        <v>3516.0200000000004</v>
      </c>
      <c r="R14" s="475">
        <v>1057.9680000000001</v>
      </c>
      <c r="S14" s="475">
        <v>1066.5199999999998</v>
      </c>
      <c r="T14" s="2418">
        <f t="shared" si="20"/>
        <v>4931.4960000000001</v>
      </c>
      <c r="U14" s="2418">
        <f t="shared" si="5"/>
        <v>4582.54</v>
      </c>
      <c r="V14" s="475">
        <v>1023.84</v>
      </c>
      <c r="W14" s="475">
        <v>1039.528</v>
      </c>
      <c r="X14" s="2415">
        <f t="shared" si="6"/>
        <v>3139.7759999999998</v>
      </c>
      <c r="Y14" s="2415">
        <f t="shared" si="7"/>
        <v>2964.808</v>
      </c>
      <c r="Z14" s="1134">
        <f t="shared" si="8"/>
        <v>5955.3360000000002</v>
      </c>
      <c r="AA14" s="1134">
        <f t="shared" si="9"/>
        <v>5622.0680000000002</v>
      </c>
      <c r="AB14" s="3212">
        <v>1057.9680000000001</v>
      </c>
      <c r="AC14" s="312">
        <v>1105.8320000000001</v>
      </c>
      <c r="AD14" s="3210">
        <f t="shared" si="21"/>
        <v>7013.3040000000001</v>
      </c>
      <c r="AE14" s="3210">
        <f t="shared" si="27"/>
        <v>6727.9000000000005</v>
      </c>
      <c r="AF14" s="3327">
        <v>1023.84</v>
      </c>
      <c r="AG14" s="312">
        <v>1080.1840000000002</v>
      </c>
      <c r="AH14" s="3321">
        <f t="shared" si="22"/>
        <v>8037.1440000000002</v>
      </c>
      <c r="AI14" s="3321">
        <f t="shared" si="28"/>
        <v>7808.0840000000007</v>
      </c>
      <c r="AJ14" s="3601">
        <v>1057.9680000000001</v>
      </c>
      <c r="AK14" s="312">
        <v>1091.4960000000001</v>
      </c>
      <c r="AL14" s="3600">
        <f t="shared" si="12"/>
        <v>3139.7759999999998</v>
      </c>
      <c r="AM14" s="3600">
        <f t="shared" si="13"/>
        <v>3277.5120000000006</v>
      </c>
      <c r="AN14" s="3597">
        <f t="shared" si="23"/>
        <v>9095.112000000001</v>
      </c>
      <c r="AO14" s="3597">
        <f t="shared" si="29"/>
        <v>8899.5800000000017</v>
      </c>
      <c r="AP14" s="3913">
        <v>1057.9680000000001</v>
      </c>
      <c r="AQ14" s="312">
        <v>1158.9760000000001</v>
      </c>
      <c r="AR14" s="3915">
        <f t="shared" si="24"/>
        <v>10153.080000000002</v>
      </c>
      <c r="AS14" s="3915">
        <f t="shared" si="30"/>
        <v>10058.556000000002</v>
      </c>
      <c r="AT14" s="4061">
        <v>955.58399999999995</v>
      </c>
      <c r="AU14" s="312">
        <v>1050.9520000000002</v>
      </c>
      <c r="AV14" s="4062">
        <f t="shared" si="25"/>
        <v>11108.664000000002</v>
      </c>
      <c r="AW14" s="4062">
        <f t="shared" si="31"/>
        <v>11109.508000000002</v>
      </c>
      <c r="AX14" s="4556">
        <v>1057.9680000000001</v>
      </c>
      <c r="AY14" s="312">
        <v>1139.376</v>
      </c>
      <c r="AZ14" s="4558">
        <f t="shared" si="17"/>
        <v>3071.5200000000004</v>
      </c>
      <c r="BA14" s="4558">
        <f t="shared" si="18"/>
        <v>3349.3040000000005</v>
      </c>
      <c r="BB14" s="4604">
        <f t="shared" si="0"/>
        <v>6211.2960000000003</v>
      </c>
      <c r="BC14" s="4604">
        <f t="shared" si="1"/>
        <v>6626.8160000000007</v>
      </c>
      <c r="BD14" s="4557">
        <f t="shared" si="32"/>
        <v>12166.632000000003</v>
      </c>
      <c r="BE14" s="4557">
        <f t="shared" si="33"/>
        <v>12248.884000000002</v>
      </c>
    </row>
    <row r="15" spans="1:57" ht="15.75" x14ac:dyDescent="0.25">
      <c r="B15" s="5382"/>
      <c r="C15" s="3615" t="s">
        <v>53</v>
      </c>
      <c r="D15" s="1615">
        <v>1310.2714285714301</v>
      </c>
      <c r="E15" s="1615">
        <v>1477.8</v>
      </c>
      <c r="F15" s="1615">
        <v>1889.2285710000001</v>
      </c>
      <c r="G15" s="1615">
        <v>1549.6</v>
      </c>
      <c r="H15" s="1586">
        <f t="shared" si="2"/>
        <v>3199.4999995714302</v>
      </c>
      <c r="I15" s="1586">
        <f t="shared" si="2"/>
        <v>3027.3999999999996</v>
      </c>
      <c r="J15" s="1615">
        <v>1828.2857142857142</v>
      </c>
      <c r="K15" s="1615">
        <v>1717.7</v>
      </c>
      <c r="L15" s="1568">
        <f t="shared" si="3"/>
        <v>5027.7857138571444</v>
      </c>
      <c r="M15" s="1568">
        <f t="shared" si="3"/>
        <v>4745.0999999999995</v>
      </c>
      <c r="N15" s="1614">
        <v>1889.2285714285713</v>
      </c>
      <c r="O15" s="1614">
        <v>1533.5</v>
      </c>
      <c r="P15" s="1586">
        <f t="shared" si="4"/>
        <v>6917.0142852857152</v>
      </c>
      <c r="Q15" s="1586">
        <f t="shared" si="4"/>
        <v>6278.5999999999995</v>
      </c>
      <c r="R15" s="1614">
        <v>1889.2285714285713</v>
      </c>
      <c r="S15" s="1614">
        <v>1904.4999999999998</v>
      </c>
      <c r="T15" s="1586">
        <f t="shared" si="20"/>
        <v>8806.242856714287</v>
      </c>
      <c r="U15" s="1586">
        <f t="shared" si="5"/>
        <v>8183.0999999999995</v>
      </c>
      <c r="V15" s="1614">
        <v>1828.2857142857142</v>
      </c>
      <c r="W15" s="1614">
        <v>1856.3000000000002</v>
      </c>
      <c r="X15" s="1568">
        <f t="shared" si="6"/>
        <v>5606.7428571428572</v>
      </c>
      <c r="Y15" s="1568">
        <f t="shared" si="7"/>
        <v>5294.3</v>
      </c>
      <c r="Z15" s="1854">
        <f t="shared" si="8"/>
        <v>10634.528571000001</v>
      </c>
      <c r="AA15" s="1854">
        <f t="shared" si="9"/>
        <v>10039.4</v>
      </c>
      <c r="AB15" s="1614">
        <v>1889.2285714285713</v>
      </c>
      <c r="AC15" s="3218">
        <v>1974.6999999999998</v>
      </c>
      <c r="AD15" s="3211">
        <f t="shared" si="21"/>
        <v>12523.757142428572</v>
      </c>
      <c r="AE15" s="3211">
        <f t="shared" si="27"/>
        <v>12014.099999999999</v>
      </c>
      <c r="AF15" s="1614">
        <v>1828.2857142857142</v>
      </c>
      <c r="AG15" s="3218">
        <v>1928.9000000000005</v>
      </c>
      <c r="AH15" s="3326">
        <f t="shared" si="22"/>
        <v>14352.042856714286</v>
      </c>
      <c r="AI15" s="3326">
        <f t="shared" si="28"/>
        <v>13943</v>
      </c>
      <c r="AJ15" s="1614">
        <v>1889.2285714285713</v>
      </c>
      <c r="AK15" s="3218">
        <v>1949.1</v>
      </c>
      <c r="AL15" s="3613">
        <f t="shared" si="12"/>
        <v>5606.7428571428572</v>
      </c>
      <c r="AM15" s="3613">
        <f t="shared" si="13"/>
        <v>5852.7000000000007</v>
      </c>
      <c r="AN15" s="3612">
        <f t="shared" si="23"/>
        <v>16241.271428142858</v>
      </c>
      <c r="AO15" s="3612">
        <f t="shared" si="29"/>
        <v>15892.1</v>
      </c>
      <c r="AP15" s="1614">
        <v>1889.2285714285713</v>
      </c>
      <c r="AQ15" s="3218">
        <v>2069.6</v>
      </c>
      <c r="AR15" s="3961">
        <f t="shared" si="24"/>
        <v>18130.499999571428</v>
      </c>
      <c r="AS15" s="3961">
        <f t="shared" si="30"/>
        <v>17961.7</v>
      </c>
      <c r="AT15" s="1614">
        <v>1706.3999999999996</v>
      </c>
      <c r="AU15" s="3218">
        <v>1876.7000000000003</v>
      </c>
      <c r="AV15" s="4081">
        <f t="shared" si="25"/>
        <v>19836.899999571426</v>
      </c>
      <c r="AW15" s="4081">
        <f t="shared" si="31"/>
        <v>19838.400000000001</v>
      </c>
      <c r="AX15" s="1614">
        <v>1889.2285714285713</v>
      </c>
      <c r="AY15" s="3218">
        <v>2034.6</v>
      </c>
      <c r="AZ15" s="4565">
        <f t="shared" si="17"/>
        <v>5484.8571428571422</v>
      </c>
      <c r="BA15" s="4565">
        <f t="shared" si="18"/>
        <v>5980.9</v>
      </c>
      <c r="BB15" s="1854">
        <f t="shared" si="0"/>
        <v>11091.599999999999</v>
      </c>
      <c r="BC15" s="1854">
        <f t="shared" si="1"/>
        <v>11833.6</v>
      </c>
      <c r="BD15" s="4564">
        <f t="shared" si="32"/>
        <v>21726.128570999997</v>
      </c>
      <c r="BE15" s="4564">
        <f t="shared" si="33"/>
        <v>21873</v>
      </c>
    </row>
    <row r="16" spans="1:57" s="334" customFormat="1" ht="18.75" x14ac:dyDescent="0.3">
      <c r="A16" s="477"/>
      <c r="B16" s="3656" t="s">
        <v>374</v>
      </c>
      <c r="C16" s="3656"/>
      <c r="D16" s="2903"/>
      <c r="E16" s="2903"/>
      <c r="F16" s="2903"/>
      <c r="G16" s="2903"/>
      <c r="H16" s="2903"/>
      <c r="I16" s="2903"/>
      <c r="J16" s="2903"/>
      <c r="K16" s="2903"/>
      <c r="L16" s="2903"/>
      <c r="M16" s="2903"/>
      <c r="N16" s="2903"/>
      <c r="O16" s="2903"/>
      <c r="P16" s="2903"/>
      <c r="Q16" s="2903"/>
      <c r="R16" s="2903"/>
      <c r="S16" s="2903"/>
      <c r="T16" s="2903"/>
      <c r="U16" s="2903"/>
      <c r="V16" s="2903"/>
      <c r="W16" s="2903"/>
      <c r="X16" s="2903"/>
      <c r="Y16" s="2903"/>
      <c r="Z16" s="2903"/>
      <c r="AA16" s="2903"/>
      <c r="AB16" s="2903"/>
      <c r="AC16" s="3219"/>
      <c r="AD16" s="2903"/>
      <c r="AE16" s="2903"/>
      <c r="AF16" s="2903"/>
      <c r="AG16" s="3219"/>
      <c r="AH16" s="2903"/>
      <c r="AI16" s="2903"/>
      <c r="AJ16" s="2903"/>
      <c r="AK16" s="3219"/>
      <c r="AL16" s="2903"/>
      <c r="AM16" s="2903"/>
      <c r="AN16" s="2903"/>
      <c r="AO16" s="2903"/>
      <c r="AP16" s="2903"/>
      <c r="AQ16" s="3219"/>
      <c r="AR16" s="2903"/>
      <c r="AS16" s="2903"/>
      <c r="AT16" s="2903"/>
      <c r="AU16" s="3219"/>
      <c r="AV16" s="2903"/>
      <c r="AW16" s="2903"/>
      <c r="AX16" s="2903"/>
      <c r="AY16" s="3219"/>
      <c r="AZ16" s="2903"/>
      <c r="BA16" s="2903"/>
      <c r="BB16" s="2903"/>
      <c r="BC16" s="2903"/>
      <c r="BD16" s="2903"/>
      <c r="BE16" s="2903"/>
    </row>
    <row r="17" spans="1:57" s="334" customFormat="1" ht="15.75" x14ac:dyDescent="0.25">
      <c r="A17" s="477"/>
      <c r="B17" s="2900" t="s">
        <v>106</v>
      </c>
      <c r="C17" s="2900"/>
      <c r="D17" s="2904"/>
      <c r="E17" s="2904"/>
      <c r="F17" s="2904"/>
      <c r="G17" s="2904"/>
      <c r="H17" s="2904"/>
      <c r="I17" s="2904"/>
      <c r="J17" s="2904"/>
      <c r="K17" s="2904"/>
      <c r="L17" s="2904"/>
      <c r="M17" s="2904"/>
      <c r="N17" s="2904"/>
      <c r="O17" s="2904"/>
      <c r="P17" s="2904"/>
      <c r="Q17" s="2904"/>
      <c r="R17" s="2904"/>
      <c r="S17" s="2904"/>
      <c r="T17" s="2904"/>
      <c r="U17" s="2904"/>
      <c r="V17" s="2904"/>
      <c r="W17" s="2904"/>
      <c r="X17" s="2904"/>
      <c r="Y17" s="2904"/>
      <c r="Z17" s="2904"/>
      <c r="AA17" s="2904"/>
      <c r="AB17" s="2904"/>
      <c r="AC17" s="3220"/>
      <c r="AD17" s="2904"/>
      <c r="AE17" s="2904"/>
      <c r="AF17" s="2904"/>
      <c r="AG17" s="3220"/>
      <c r="AH17" s="2904"/>
      <c r="AI17" s="2904"/>
      <c r="AJ17" s="2904"/>
      <c r="AK17" s="3220"/>
      <c r="AL17" s="2904"/>
      <c r="AM17" s="2904"/>
      <c r="AN17" s="2904"/>
      <c r="AO17" s="2904"/>
      <c r="AP17" s="2904"/>
      <c r="AQ17" s="3220"/>
      <c r="AR17" s="2904"/>
      <c r="AS17" s="2904"/>
      <c r="AT17" s="2904"/>
      <c r="AU17" s="3220"/>
      <c r="AV17" s="2904"/>
      <c r="AW17" s="2904"/>
      <c r="AX17" s="2904"/>
      <c r="AY17" s="3220"/>
      <c r="AZ17" s="2904"/>
      <c r="BA17" s="2904"/>
      <c r="BB17" s="2904"/>
      <c r="BC17" s="2904"/>
      <c r="BD17" s="2904"/>
      <c r="BE17" s="2904"/>
    </row>
    <row r="18" spans="1:57" x14ac:dyDescent="0.25">
      <c r="B18" s="3741" t="s">
        <v>1033</v>
      </c>
      <c r="C18" s="3609" t="s">
        <v>625</v>
      </c>
      <c r="D18" s="365">
        <v>3</v>
      </c>
      <c r="E18" s="365">
        <v>0.845930556</v>
      </c>
      <c r="F18" s="365">
        <v>3</v>
      </c>
      <c r="G18" s="365">
        <v>0.87076609999999999</v>
      </c>
      <c r="H18" s="949">
        <f>+((D18*D$2)+(F18*F$2))/H$2</f>
        <v>3</v>
      </c>
      <c r="I18" s="949">
        <f>+((E18*E$2)+(G18*G$2))/I$2</f>
        <v>0.85855189803278686</v>
      </c>
      <c r="J18" s="365">
        <v>2.5</v>
      </c>
      <c r="K18" s="365">
        <f>880.39/(24*K$2)</f>
        <v>1.2227638888888888</v>
      </c>
      <c r="L18" s="951">
        <f>+((H18*H$2)+(J18*J$2))/L$2</f>
        <v>2.8351648351648353</v>
      </c>
      <c r="M18" s="951">
        <f>+((I18*I$2)+(K18*K$2))/M$2</f>
        <v>0.97862178512820519</v>
      </c>
      <c r="N18" s="365">
        <v>2.5</v>
      </c>
      <c r="O18" s="365">
        <f>875/(24*O$2)</f>
        <v>1.1760752688172043</v>
      </c>
      <c r="P18" s="949">
        <f>+((L18*L$2)+(N18*N$2))/P$2</f>
        <v>2.75</v>
      </c>
      <c r="Q18" s="949">
        <f>+((M18*M$2)+(O18*O$2))/Q$2</f>
        <v>1.0287943916393443</v>
      </c>
      <c r="R18" s="365">
        <v>2.5</v>
      </c>
      <c r="S18" s="365">
        <f>862.4/(24*S$2)</f>
        <v>1.1591397849462366</v>
      </c>
      <c r="T18" s="949">
        <f>+((P18*P$2)+(R18*R$2))/T$2</f>
        <v>2.6993464052287583</v>
      </c>
      <c r="U18" s="949">
        <f>+((Q18*Q$2)+(S18*S$2))/U$2</f>
        <v>1.0552042425708061</v>
      </c>
      <c r="V18" s="365">
        <v>2.5</v>
      </c>
      <c r="W18" s="369">
        <f>910.84/(24*W$2)</f>
        <v>1.2650555555555556</v>
      </c>
      <c r="X18" s="951">
        <f>+((N18*N$2)+(R18*R$2)+(V18*V$2))/X$2</f>
        <v>2.5</v>
      </c>
      <c r="Y18" s="951">
        <f>+((O18*O$2)+(S18*S$2)+(W18*W$2))/Y$2</f>
        <v>1.1993840579710144</v>
      </c>
      <c r="Z18" s="1188">
        <f>+((T18*T$2)+(V18*V$2))/Z$2</f>
        <v>2.6666666666666665</v>
      </c>
      <c r="AA18" s="1188">
        <f>+((U18*U$2)+(W18*W$2))/AA$2</f>
        <v>1.08960609715847</v>
      </c>
      <c r="AB18" s="3213">
        <v>2.5</v>
      </c>
      <c r="AC18" s="982">
        <f>979.44/(24*AC$2)</f>
        <v>1.316451612903226</v>
      </c>
      <c r="AD18" s="3214">
        <f>+((Z18*Z$2)+(AB18*AB$2))/AD$2</f>
        <v>2.6425233644859811</v>
      </c>
      <c r="AE18" s="3214">
        <f>+((AA18*AA$2)+(AC18*AC$2))/AE$2</f>
        <v>1.1224668961682243</v>
      </c>
      <c r="AF18" s="3330">
        <v>2.5</v>
      </c>
      <c r="AG18" s="982">
        <f>808.01/(24*AG$2)</f>
        <v>1.122236111111111</v>
      </c>
      <c r="AH18" s="3329">
        <f>+((AD18*AD$2)+(AF18*AF$2))/AH$2</f>
        <v>2.625</v>
      </c>
      <c r="AI18" s="3329">
        <f>+((AE18*AE$2)+(AG18*AG$2))/AI$2</f>
        <v>1.1224385209562842</v>
      </c>
      <c r="AJ18" s="3618">
        <v>2.5</v>
      </c>
      <c r="AK18" s="982">
        <f>913.5/(24*AK$2)</f>
        <v>1.2278225806451613</v>
      </c>
      <c r="AL18" s="3619">
        <f>+((AB18*AB$2)+(AF18*AF$2)+(AJ18*AJ$2))/AL$2</f>
        <v>2.5</v>
      </c>
      <c r="AM18" s="3619">
        <f>+((AC18*AC$2)+(AG18*AG$2)+(AK18*AK$2))/AM$2</f>
        <v>1.2232563405797101</v>
      </c>
      <c r="AN18" s="3617">
        <f>+((AH18*AH$2)+(AJ18*AJ$2))/AN$2</f>
        <v>2.6109090909090908</v>
      </c>
      <c r="AO18" s="3617">
        <f>+((AI18*AI$2)+(AK18*AK$2))/AO$2</f>
        <v>1.1343181785939394</v>
      </c>
      <c r="AP18" s="3965">
        <v>2.5</v>
      </c>
      <c r="AQ18" s="982">
        <f>935.62/(24*AQ$2)</f>
        <v>1.2575537634408602</v>
      </c>
      <c r="AR18" s="3963">
        <f>+((AN18*AN$2)+(AP18*AP$2))/AR$2</f>
        <v>2.5996732026143792</v>
      </c>
      <c r="AS18" s="3963">
        <f>+((AO18*AO$2)+(AQ18*AQ$2))/AS$2</f>
        <v>1.1468028293464052</v>
      </c>
      <c r="AT18" s="4085">
        <v>2.5</v>
      </c>
      <c r="AU18" s="982">
        <f>736.05/(24*AU$2)</f>
        <v>1.0953124999999999</v>
      </c>
      <c r="AV18" s="4084">
        <f>+((AR18*AR$2)+(AT18*AT$2))/AV$2</f>
        <v>2.591317365269461</v>
      </c>
      <c r="AW18" s="4084">
        <f>+((AS18*AS$2)+(AU18*AU$2))/AW$2</f>
        <v>1.1424862747904192</v>
      </c>
      <c r="AX18" s="4571">
        <v>2.5</v>
      </c>
      <c r="AY18" s="982">
        <f>748.44/(24*AY$2)</f>
        <v>1.005967741935484</v>
      </c>
      <c r="AZ18" s="4567">
        <f>+((AP18*AP$2)+(AT18*AT$2)+(AX18*AX$2))/AZ$2</f>
        <v>2.5</v>
      </c>
      <c r="BA18" s="4567">
        <f>+((AQ18*AQ$2)+(AU18*AU$2)+(AY18*AY$2))/BA$2</f>
        <v>1.1204212962962963</v>
      </c>
      <c r="BB18" s="4615">
        <f t="shared" ref="BB18:BC23" si="34">+((AL18*AL$2)+(AZ18*AZ$2))/BB$2</f>
        <v>2.5</v>
      </c>
      <c r="BC18" s="4615">
        <f t="shared" si="34"/>
        <v>1.1724038461538462</v>
      </c>
      <c r="BD18" s="4569">
        <f>+((AV18*AV$2)+(AX18*AX$2))/BD$2</f>
        <v>2.5835616438356164</v>
      </c>
      <c r="BE18" s="4569">
        <f>+((AW18*AW$2)+(AY18*AY$2))/BE$2</f>
        <v>1.1308915500821919</v>
      </c>
    </row>
    <row r="19" spans="1:57" x14ac:dyDescent="0.25">
      <c r="B19" s="3741" t="s">
        <v>16</v>
      </c>
      <c r="C19" s="3609" t="s">
        <v>625</v>
      </c>
      <c r="D19" s="365">
        <v>10</v>
      </c>
      <c r="E19" s="365">
        <v>8.5931805560000001</v>
      </c>
      <c r="F19" s="365">
        <v>10</v>
      </c>
      <c r="G19" s="365">
        <v>5.6891935</v>
      </c>
      <c r="H19" s="949">
        <f>+((D19*D$2)+(F19*F$2))/H$2</f>
        <v>10</v>
      </c>
      <c r="I19" s="949">
        <f t="shared" ref="I19:I23" si="35">+((E19*E$2)+(G19*G$2))/I$2</f>
        <v>7.1173838554098365</v>
      </c>
      <c r="J19" s="365">
        <v>18</v>
      </c>
      <c r="K19" s="365">
        <f>10861.97/(24*K$2)</f>
        <v>15.086069444444444</v>
      </c>
      <c r="L19" s="951">
        <f>+((H19*H$2)+(J19*J$2))/L$2</f>
        <v>12.637362637362637</v>
      </c>
      <c r="M19" s="951">
        <f t="shared" ref="M19:M23" si="36">+((I19*I$2)+(K19*K$2))/M$2</f>
        <v>9.7444230605860813</v>
      </c>
      <c r="N19" s="365">
        <v>20</v>
      </c>
      <c r="O19" s="365">
        <f>10416.28/(24*O$2)</f>
        <v>14.000376344086023</v>
      </c>
      <c r="P19" s="949">
        <f>+((L19*L$2)+(N19*N$2))/P$2</f>
        <v>14.508196721311476</v>
      </c>
      <c r="Q19" s="949">
        <f t="shared" ref="Q19:Q23" si="37">+((M19*M$2)+(O19*O$2))/Q$2</f>
        <v>10.825853812950822</v>
      </c>
      <c r="R19" s="365">
        <v>21</v>
      </c>
      <c r="S19" s="365">
        <f>11570.02/(24*S$2)</f>
        <v>15.551102150537634</v>
      </c>
      <c r="T19" s="949">
        <f>+((P19*P$2)+(R19*R$2))/T$2</f>
        <v>15.823529411764707</v>
      </c>
      <c r="U19" s="949">
        <f t="shared" ref="U19:U23" si="38">+((Q19*Q$2)+(S19*S$2))/U$2</f>
        <v>11.783257070893246</v>
      </c>
      <c r="V19" s="365">
        <v>22</v>
      </c>
      <c r="W19" s="369">
        <f>10568.04/(24*W$2)</f>
        <v>14.677833333333334</v>
      </c>
      <c r="X19" s="951">
        <f t="shared" ref="X19:X23" si="39">+((N19*N$2)+(R19*R$2)+(V19*V$2))/X$2</f>
        <v>20.989130434782609</v>
      </c>
      <c r="Y19" s="951">
        <f t="shared" ref="Y19:Y23" si="40">+((O19*O$2)+(S19*S$2)+(W19*W$2))/Y$2</f>
        <v>14.743813405797102</v>
      </c>
      <c r="Z19" s="1188">
        <f>+((T19*T$2)+(V19*V$2))/Z$2</f>
        <v>16.83606557377049</v>
      </c>
      <c r="AA19" s="1188">
        <f t="shared" ref="AA19:AA23" si="41">+((U19*U$2)+(W19*W$2))/AA$2</f>
        <v>12.257777769653917</v>
      </c>
      <c r="AB19" s="3213">
        <v>22.5</v>
      </c>
      <c r="AC19" s="982">
        <f>13437.34/(24*AC$2)</f>
        <v>18.060940860215055</v>
      </c>
      <c r="AD19" s="3214">
        <f>+((Z19*Z$2)+(AB19*AB$2))/AD$2</f>
        <v>17.656542056074763</v>
      </c>
      <c r="AE19" s="3214">
        <f t="shared" ref="AE19:AE20" si="42">+((AA19*AA$2)+(AC19*AC$2))/AE$2</f>
        <v>13.098422890249223</v>
      </c>
      <c r="AF19" s="3330">
        <v>22.5</v>
      </c>
      <c r="AG19" s="982">
        <f>10013.22/(24*AG$2)</f>
        <v>13.907249999999999</v>
      </c>
      <c r="AH19" s="3329">
        <f>+((AD19*AD$2)+(AF19*AF$2))/AH$2</f>
        <v>18.252049180327866</v>
      </c>
      <c r="AI19" s="3329">
        <f t="shared" ref="AI19:AI20" si="43">+((AE19*AE$2)+(AG19*AG$2))/AI$2</f>
        <v>13.19786884636612</v>
      </c>
      <c r="AJ19" s="3618">
        <v>22.5</v>
      </c>
      <c r="AK19" s="982">
        <f>12727.19/(24*AK$2)</f>
        <v>17.10643817204301</v>
      </c>
      <c r="AL19" s="3619">
        <f t="shared" ref="AL19:AL23" si="44">+((AB19*AB$2)+(AF19*AF$2)+(AJ19*AJ$2))/AL$2</f>
        <v>22.5</v>
      </c>
      <c r="AM19" s="3619">
        <f t="shared" ref="AM19:AM23" si="45">+((AC19*AC$2)+(AG19*AG$2)+(AK19*AK$2))/AM$2</f>
        <v>16.384850543478262</v>
      </c>
      <c r="AN19" s="3617">
        <f>+((AH19*AH$2)+(AJ19*AJ$2))/AN$2</f>
        <v>18.730909090909087</v>
      </c>
      <c r="AO19" s="3617">
        <f t="shared" ref="AO19:AO20" si="46">+((AI19*AI$2)+(AK19*AK$2))/AO$2</f>
        <v>13.638471206715153</v>
      </c>
      <c r="AP19" s="3965">
        <v>22.5</v>
      </c>
      <c r="AQ19" s="982">
        <f>13044.64/(24*AQ$2)</f>
        <v>17.533118279569891</v>
      </c>
      <c r="AR19" s="3963">
        <f>+((AN19*AN$2)+(AP19*AP$2))/AR$2</f>
        <v>19.112745098039213</v>
      </c>
      <c r="AS19" s="3963">
        <f t="shared" ref="AS19:AS20" si="47">+((AO19*AO$2)+(AQ19*AQ$2))/AS$2</f>
        <v>14.033026955925926</v>
      </c>
      <c r="AT19" s="4085">
        <v>22.5</v>
      </c>
      <c r="AU19" s="982">
        <f>11879.56/(24*AU$2)</f>
        <v>17.677916666666665</v>
      </c>
      <c r="AV19" s="4084">
        <f>+((AR19*AR$2)+(AT19*AT$2))/AV$2</f>
        <v>19.396706586826344</v>
      </c>
      <c r="AW19" s="4084">
        <f t="shared" ref="AW19:AW20" si="48">+((AS19*AS$2)+(AU19*AU$2))/AW$2</f>
        <v>14.33858657239521</v>
      </c>
      <c r="AX19" s="4571">
        <v>22.5</v>
      </c>
      <c r="AY19" s="982">
        <f>14516.39/(24*AY$2)</f>
        <v>19.511276881720431</v>
      </c>
      <c r="AZ19" s="4567">
        <f>+((AP19*AP$2)+(AT19*AT$2)+(AX19*AX$2))/AZ$2</f>
        <v>22.5</v>
      </c>
      <c r="BA19" s="4567">
        <f t="shared" ref="BA19:BA23" si="49">+((AQ19*AQ$2)+(AU19*AU$2)+(AY19*AY$2))/BA$2</f>
        <v>18.259532407407406</v>
      </c>
      <c r="BB19" s="4615">
        <f t="shared" si="34"/>
        <v>22.5</v>
      </c>
      <c r="BC19" s="4615">
        <f t="shared" si="34"/>
        <v>17.311891025641028</v>
      </c>
      <c r="BD19" s="4569">
        <f>+((AV19*AV$2)+(AX19*AX$2))/BD$2</f>
        <v>19.660273972602738</v>
      </c>
      <c r="BE19" s="4569">
        <f t="shared" ref="BE19:BE20" si="50">+((AW19*AW$2)+(AY19*AY$2))/BE$2</f>
        <v>14.77791095483105</v>
      </c>
    </row>
    <row r="20" spans="1:57" x14ac:dyDescent="0.25">
      <c r="B20" s="3741" t="s">
        <v>60</v>
      </c>
      <c r="C20" s="3609" t="s">
        <v>625</v>
      </c>
      <c r="D20" s="365">
        <v>7.0419999999999998</v>
      </c>
      <c r="E20" s="365">
        <v>7.9314861109999999</v>
      </c>
      <c r="F20" s="365">
        <v>7.0529999999999999</v>
      </c>
      <c r="G20" s="365">
        <v>5.9571505</v>
      </c>
      <c r="H20" s="949">
        <f>+((D20*D$2)+(F20*F$2))/H$2</f>
        <v>7.0475901639344265</v>
      </c>
      <c r="I20" s="949">
        <f t="shared" si="35"/>
        <v>6.9281352267213121</v>
      </c>
      <c r="J20" s="365">
        <v>16.678000000000001</v>
      </c>
      <c r="K20" s="365">
        <f>10330.95/(24*K$2)</f>
        <v>14.348541666666668</v>
      </c>
      <c r="L20" s="951">
        <f>+((H20*H$2)+(J20*J$2))/L$2</f>
        <v>10.222450549450549</v>
      </c>
      <c r="M20" s="951">
        <f t="shared" si="36"/>
        <v>9.374423064065935</v>
      </c>
      <c r="N20" s="365">
        <v>16.689</v>
      </c>
      <c r="O20" s="365">
        <f>10157.84/(24*O$2)</f>
        <v>13.653010752688171</v>
      </c>
      <c r="P20" s="949">
        <f>+((L20*L$2)+(N20*N$2))/P$2</f>
        <v>11.865590163934424</v>
      </c>
      <c r="Q20" s="949">
        <f t="shared" si="37"/>
        <v>10.461605181666668</v>
      </c>
      <c r="R20" s="365">
        <v>16.702000000000002</v>
      </c>
      <c r="S20" s="365">
        <f>11205.81/(24*S$2)</f>
        <v>15.06157258064516</v>
      </c>
      <c r="T20" s="949">
        <f>+((P20*P$2)+(R20*R$2))/T$2</f>
        <v>12.845516339869281</v>
      </c>
      <c r="U20" s="949">
        <f t="shared" si="38"/>
        <v>11.393624720021787</v>
      </c>
      <c r="V20" s="365">
        <v>16.785</v>
      </c>
      <c r="W20" s="369">
        <f>10719.59/(24*W$2)</f>
        <v>14.888319444444445</v>
      </c>
      <c r="X20" s="951">
        <f t="shared" si="39"/>
        <v>16.724684782608698</v>
      </c>
      <c r="Y20" s="951">
        <f t="shared" si="40"/>
        <v>14.530452898550726</v>
      </c>
      <c r="Z20" s="1188">
        <f>+((T20*T$2)+(V20*V$2))/Z$2</f>
        <v>13.491333333333335</v>
      </c>
      <c r="AA20" s="1188">
        <f t="shared" si="41"/>
        <v>11.966525494517306</v>
      </c>
      <c r="AB20" s="3213">
        <v>16.795999999999999</v>
      </c>
      <c r="AC20" s="982">
        <f>11833.22/(24*AC$2)</f>
        <v>15.904865591397849</v>
      </c>
      <c r="AD20" s="3214">
        <f>+((Z20*Z$2)+(AB20*AB$2))/AD$2</f>
        <v>13.970046728971964</v>
      </c>
      <c r="AE20" s="3214">
        <f t="shared" si="42"/>
        <v>12.537032704813086</v>
      </c>
      <c r="AF20" s="3330">
        <v>16.785</v>
      </c>
      <c r="AG20" s="982">
        <f>11220.65/(24*AG$2)</f>
        <v>15.58423611111111</v>
      </c>
      <c r="AH20" s="3329">
        <f>+((AD20*AD$2)+(AF20*AF$2))/AH$2</f>
        <v>14.316147540983607</v>
      </c>
      <c r="AI20" s="3329">
        <f t="shared" si="43"/>
        <v>12.911688861325137</v>
      </c>
      <c r="AJ20" s="3618">
        <v>16.795999999999999</v>
      </c>
      <c r="AK20" s="982">
        <f>12392.45/(24*AK$2)</f>
        <v>16.656518817204301</v>
      </c>
      <c r="AL20" s="3619">
        <f t="shared" si="44"/>
        <v>16.792413043478259</v>
      </c>
      <c r="AM20" s="3619">
        <f t="shared" si="45"/>
        <v>16.053586956521738</v>
      </c>
      <c r="AN20" s="3617">
        <f>+((AH20*AH$2)+(AJ20*AJ$2))/AN$2</f>
        <v>14.595694545454547</v>
      </c>
      <c r="AO20" s="3617">
        <f t="shared" si="46"/>
        <v>13.333833329078789</v>
      </c>
      <c r="AP20" s="3965">
        <v>16.795774647887324</v>
      </c>
      <c r="AQ20" s="982">
        <f>12358.5/(24*AQ$2)</f>
        <v>16.610887096774192</v>
      </c>
      <c r="AR20" s="3963">
        <f>+((AN20*AN$2)+(AP20*AP$2))/AR$2</f>
        <v>14.818578477400351</v>
      </c>
      <c r="AS20" s="3963">
        <f t="shared" si="47"/>
        <v>13.665822436263619</v>
      </c>
      <c r="AT20" s="4085">
        <f>16473.0611167002/1000</f>
        <v>16.473061116700197</v>
      </c>
      <c r="AU20" s="982">
        <f>11027.38/(24*AU$2)</f>
        <v>16.409791666666667</v>
      </c>
      <c r="AV20" s="4084">
        <f>+((AR20*AR$2)+(AT20*AT$2))/AV$2</f>
        <v>14.957277620814709</v>
      </c>
      <c r="AW20" s="4084">
        <f t="shared" si="48"/>
        <v>13.895855784920162</v>
      </c>
      <c r="AX20" s="4571">
        <v>16.795774647887324</v>
      </c>
      <c r="AY20" s="982">
        <f>12217.03/(24*AY$2)</f>
        <v>16.420739247311829</v>
      </c>
      <c r="AZ20" s="4567">
        <f t="shared" ref="AZ20:AZ23" si="51">+((AP20*AP$2)+(AT20*AT$2)+(AX20*AX$2))/AZ$2</f>
        <v>16.695374882629103</v>
      </c>
      <c r="BA20" s="4567">
        <f t="shared" si="49"/>
        <v>16.482828703703703</v>
      </c>
      <c r="BB20" s="4615">
        <f t="shared" si="34"/>
        <v>16.744427139761644</v>
      </c>
      <c r="BC20" s="4615">
        <f t="shared" si="34"/>
        <v>16.265849358974357</v>
      </c>
      <c r="BD20" s="4569">
        <f>+((AV20*AV$2)+(AX20*AX$2))/BD$2</f>
        <v>15.113423943661973</v>
      </c>
      <c r="BE20" s="4569">
        <f t="shared" si="50"/>
        <v>14.110297942000001</v>
      </c>
    </row>
    <row r="21" spans="1:57" x14ac:dyDescent="0.25">
      <c r="B21" s="3741" t="s">
        <v>912</v>
      </c>
      <c r="C21" s="3609" t="s">
        <v>625</v>
      </c>
      <c r="D21" s="365">
        <v>14.994</v>
      </c>
      <c r="E21" s="365">
        <v>0.213888889</v>
      </c>
      <c r="F21" s="365">
        <v>18.135999999999999</v>
      </c>
      <c r="G21" s="365">
        <v>0.20698920000000001</v>
      </c>
      <c r="H21" s="949">
        <f t="shared" ref="H21:H23" si="52">+((D21*D$2)+(F21*F$2))/H$2</f>
        <v>16.590754098360655</v>
      </c>
      <c r="I21" s="949">
        <f t="shared" si="35"/>
        <v>0.21038248967213116</v>
      </c>
      <c r="J21" s="365">
        <v>4.3620000000000001</v>
      </c>
      <c r="K21" s="365">
        <f>154/(24*K$2)</f>
        <v>0.21388888888888888</v>
      </c>
      <c r="L21" s="951">
        <f t="shared" ref="L21:L23" si="53">+((H21*H$2)+(J21*J$2))/L$2</f>
        <v>12.559296703296702</v>
      </c>
      <c r="M21" s="951">
        <f t="shared" si="36"/>
        <v>0.21153844545787545</v>
      </c>
      <c r="N21" s="365">
        <v>2.351</v>
      </c>
      <c r="O21" s="365">
        <f>154/(24*O$2)</f>
        <v>0.20698924731182797</v>
      </c>
      <c r="P21" s="949">
        <f t="shared" ref="P21:P23" si="54">+((L21*L$2)+(N21*N$2))/P$2</f>
        <v>9.9653852459016399</v>
      </c>
      <c r="Q21" s="949">
        <f t="shared" si="37"/>
        <v>0.21038250166666667</v>
      </c>
      <c r="R21" s="365">
        <v>1.3380000000000001</v>
      </c>
      <c r="S21" s="365">
        <f>154/(24*S$2)</f>
        <v>0.20698924731182797</v>
      </c>
      <c r="T21" s="949">
        <f t="shared" ref="T21:T23" si="55">+((P21*P$2)+(R21*R$2))/T$2</f>
        <v>8.2173529411764719</v>
      </c>
      <c r="U21" s="949">
        <f>+((Q21*Q$2)+(S21*S$2))/U$2</f>
        <v>0.20969497954248367</v>
      </c>
      <c r="V21" s="365">
        <v>0.255</v>
      </c>
      <c r="W21" s="369">
        <f>154/(24*W$2)</f>
        <v>0.21388888888888888</v>
      </c>
      <c r="X21" s="951">
        <f t="shared" si="39"/>
        <v>1.3261847826086959</v>
      </c>
      <c r="Y21" s="951">
        <f t="shared" si="40"/>
        <v>0.20923913043478262</v>
      </c>
      <c r="Z21" s="1188">
        <f t="shared" ref="Z21:Z23" si="56">+((T21*T$2)+(V21*V$2))/Z$2</f>
        <v>6.9120491803278696</v>
      </c>
      <c r="AA21" s="1188">
        <f t="shared" si="41"/>
        <v>0.21038250566484518</v>
      </c>
      <c r="AB21" s="3213">
        <v>0.58399999999999996</v>
      </c>
      <c r="AC21" s="982">
        <f>154/(24*AC$2)</f>
        <v>0.20698924731182797</v>
      </c>
      <c r="AD21" s="3214">
        <f t="shared" ref="AD21:AD23" si="57">+((Z21*Z$2)+(AB21*AB$2))/AD$2</f>
        <v>5.9953691588785061</v>
      </c>
      <c r="AE21" s="3214">
        <f>+((AA21*AA$2)+(AC21*AC$2))/AE$2</f>
        <v>0.20989095889408099</v>
      </c>
      <c r="AF21" s="3330">
        <v>0.59499999999999997</v>
      </c>
      <c r="AG21" s="982">
        <f>154/(24*AG$2)</f>
        <v>0.21388888888888888</v>
      </c>
      <c r="AH21" s="3329">
        <f t="shared" ref="AH21:AH23" si="58">+((AD21*AD$2)+(AF21*AF$2))/AH$2</f>
        <v>5.3313893442622957</v>
      </c>
      <c r="AI21" s="3329">
        <f>+((AE21*AE$2)+(AG21*AG$2))/AI$2</f>
        <v>0.2103825076639344</v>
      </c>
      <c r="AJ21" s="3618">
        <v>0.58399999999999996</v>
      </c>
      <c r="AK21" s="982">
        <f>154/(24*AK$2)</f>
        <v>0.20698924731182797</v>
      </c>
      <c r="AL21" s="3619">
        <f t="shared" si="44"/>
        <v>0.58758695652173909</v>
      </c>
      <c r="AM21" s="3619">
        <f t="shared" si="45"/>
        <v>0.20923913043478262</v>
      </c>
      <c r="AN21" s="3617">
        <f t="shared" ref="AN21:AN23" si="59">+((AH21*AH$2)+(AJ21*AJ$2))/AN$2</f>
        <v>4.7962290909090912</v>
      </c>
      <c r="AO21" s="3617">
        <f>+((AI21*AI$2)+(AK21*AK$2))/AO$2</f>
        <v>0.20999999467878785</v>
      </c>
      <c r="AP21" s="3965">
        <v>0.58422535211267679</v>
      </c>
      <c r="AQ21" s="982">
        <f>154/(24*AQ$2)</f>
        <v>0.20698924731182797</v>
      </c>
      <c r="AR21" s="3963">
        <f t="shared" ref="AR21:AR23" si="60">+((AN21*AN$2)+(AP21*AP$2))/AR$2</f>
        <v>4.3695228297891937</v>
      </c>
      <c r="AS21" s="3963">
        <f>+((AO21*AO$2)+(AQ21*AQ$2))/AS$2</f>
        <v>0.20969498432461869</v>
      </c>
      <c r="AT21" s="4085">
        <v>0.2769388832998011</v>
      </c>
      <c r="AU21" s="982">
        <f>154/(24*AU$2)</f>
        <v>0.22916666666666666</v>
      </c>
      <c r="AV21" s="4084">
        <f t="shared" ref="AV21:AV23" si="61">+((AR21*AR$2)+(AT21*AT$2))/AV$2</f>
        <v>4.0264319600236158</v>
      </c>
      <c r="AW21" s="4084">
        <f>+((AS21*AS$2)+(AU21*AU$2))/AW$2</f>
        <v>0.2113273409281437</v>
      </c>
      <c r="AX21" s="4571">
        <v>0.58422535211267679</v>
      </c>
      <c r="AY21" s="982">
        <f>154/(24*AY$2)</f>
        <v>0.20698924731182797</v>
      </c>
      <c r="AZ21" s="4567">
        <f t="shared" si="51"/>
        <v>0.48862511737089326</v>
      </c>
      <c r="BA21" s="4567">
        <f t="shared" si="49"/>
        <v>0.21388888888888888</v>
      </c>
      <c r="BB21" s="4615">
        <f t="shared" si="34"/>
        <v>0.5386497833152768</v>
      </c>
      <c r="BC21" s="4615">
        <f t="shared" si="34"/>
        <v>0.21153846153846154</v>
      </c>
      <c r="BD21" s="4569">
        <f t="shared" ref="BD21:BD23" si="62">+((AV21*AV$2)+(AX21*AX$2))/BD$2</f>
        <v>3.7340801659270704</v>
      </c>
      <c r="BE21" s="4569">
        <f>+((AW21*AW$2)+(AY21*AY$2))/BE$2</f>
        <v>0.21095890010045662</v>
      </c>
    </row>
    <row r="22" spans="1:57" x14ac:dyDescent="0.25">
      <c r="B22" s="3741" t="s">
        <v>889</v>
      </c>
      <c r="C22" s="3609" t="s">
        <v>625</v>
      </c>
      <c r="D22" s="365">
        <v>0</v>
      </c>
      <c r="E22" s="365">
        <v>0</v>
      </c>
      <c r="F22" s="365">
        <v>0</v>
      </c>
      <c r="G22" s="365">
        <v>0</v>
      </c>
      <c r="H22" s="949">
        <f t="shared" si="52"/>
        <v>0</v>
      </c>
      <c r="I22" s="949">
        <f t="shared" si="35"/>
        <v>0</v>
      </c>
      <c r="J22" s="365">
        <v>0</v>
      </c>
      <c r="K22" s="365">
        <f>0/(24*K$2)</f>
        <v>0</v>
      </c>
      <c r="L22" s="951">
        <f t="shared" si="53"/>
        <v>0</v>
      </c>
      <c r="M22" s="951">
        <f t="shared" si="36"/>
        <v>0</v>
      </c>
      <c r="N22" s="365">
        <v>0</v>
      </c>
      <c r="O22" s="365">
        <f>0/(24*O$2)</f>
        <v>0</v>
      </c>
      <c r="P22" s="949">
        <f t="shared" si="54"/>
        <v>0</v>
      </c>
      <c r="Q22" s="949">
        <f t="shared" si="37"/>
        <v>0</v>
      </c>
      <c r="R22" s="365">
        <v>0</v>
      </c>
      <c r="S22" s="365">
        <f>0/(24*S$2)</f>
        <v>0</v>
      </c>
      <c r="T22" s="949">
        <f t="shared" si="55"/>
        <v>0</v>
      </c>
      <c r="U22" s="949">
        <f t="shared" si="38"/>
        <v>0</v>
      </c>
      <c r="V22" s="365">
        <v>0</v>
      </c>
      <c r="W22" s="369">
        <f>0/(24*W$2)</f>
        <v>0</v>
      </c>
      <c r="X22" s="951">
        <f t="shared" si="39"/>
        <v>0</v>
      </c>
      <c r="Y22" s="951">
        <f t="shared" si="40"/>
        <v>0</v>
      </c>
      <c r="Z22" s="1188">
        <f t="shared" si="56"/>
        <v>0</v>
      </c>
      <c r="AA22" s="1188">
        <f t="shared" si="41"/>
        <v>0</v>
      </c>
      <c r="AB22" s="3213">
        <v>0</v>
      </c>
      <c r="AC22" s="982">
        <f>0/(24*AC$2)</f>
        <v>0</v>
      </c>
      <c r="AD22" s="3214">
        <f t="shared" si="57"/>
        <v>0</v>
      </c>
      <c r="AE22" s="3214">
        <f t="shared" ref="AE22:AE23" si="63">+((AA22*AA$2)+(AC22*AC$2))/AE$2</f>
        <v>0</v>
      </c>
      <c r="AF22" s="3330">
        <v>0</v>
      </c>
      <c r="AG22" s="982">
        <f>0/(24*AG$2)</f>
        <v>0</v>
      </c>
      <c r="AH22" s="3329">
        <f t="shared" si="58"/>
        <v>0</v>
      </c>
      <c r="AI22" s="3329">
        <f t="shared" ref="AI22:AI23" si="64">+((AE22*AE$2)+(AG22*AG$2))/AI$2</f>
        <v>0</v>
      </c>
      <c r="AJ22" s="3618">
        <v>0</v>
      </c>
      <c r="AK22" s="982">
        <f>0/(24*AK$2)</f>
        <v>0</v>
      </c>
      <c r="AL22" s="3619">
        <f t="shared" si="44"/>
        <v>0</v>
      </c>
      <c r="AM22" s="3619">
        <f t="shared" si="45"/>
        <v>0</v>
      </c>
      <c r="AN22" s="3617">
        <f t="shared" si="59"/>
        <v>0</v>
      </c>
      <c r="AO22" s="3617">
        <f t="shared" ref="AO22:AO23" si="65">+((AI22*AI$2)+(AK22*AK$2))/AO$2</f>
        <v>0</v>
      </c>
      <c r="AP22" s="3965">
        <v>0</v>
      </c>
      <c r="AQ22" s="982">
        <f>0/(24*AQ$2)</f>
        <v>0</v>
      </c>
      <c r="AR22" s="3963">
        <f t="shared" si="60"/>
        <v>0</v>
      </c>
      <c r="AS22" s="3963">
        <f t="shared" ref="AS22:AS23" si="66">+((AO22*AO$2)+(AQ22*AQ$2))/AS$2</f>
        <v>0</v>
      </c>
      <c r="AT22" s="4085">
        <v>0</v>
      </c>
      <c r="AU22" s="982">
        <f>0/(24*AU$2)</f>
        <v>0</v>
      </c>
      <c r="AV22" s="4084">
        <f t="shared" si="61"/>
        <v>0</v>
      </c>
      <c r="AW22" s="4084">
        <f t="shared" ref="AW22:AW23" si="67">+((AS22*AS$2)+(AU22*AU$2))/AW$2</f>
        <v>0</v>
      </c>
      <c r="AX22" s="4571">
        <v>0</v>
      </c>
      <c r="AY22" s="982">
        <f>0/(24*AY$2)</f>
        <v>0</v>
      </c>
      <c r="AZ22" s="4567">
        <f>+((AP22*AP$2)+(AT22*AT$2)+(AX22*AX$2))/AZ$2</f>
        <v>0</v>
      </c>
      <c r="BA22" s="4567">
        <f t="shared" si="49"/>
        <v>0</v>
      </c>
      <c r="BB22" s="4615">
        <f t="shared" si="34"/>
        <v>0</v>
      </c>
      <c r="BC22" s="4615">
        <f t="shared" si="34"/>
        <v>0</v>
      </c>
      <c r="BD22" s="4569">
        <f t="shared" si="62"/>
        <v>0</v>
      </c>
      <c r="BE22" s="4569">
        <f t="shared" ref="BE22:BE23" si="68">+((AW22*AW$2)+(AY22*AY$2))/BE$2</f>
        <v>0</v>
      </c>
    </row>
    <row r="23" spans="1:57" s="873" customFormat="1" x14ac:dyDescent="0.25">
      <c r="A23" s="189"/>
      <c r="B23" s="3741" t="s">
        <v>107</v>
      </c>
      <c r="C23" s="3609" t="s">
        <v>625</v>
      </c>
      <c r="D23" s="365">
        <v>0</v>
      </c>
      <c r="E23" s="365">
        <v>0.13113333299999999</v>
      </c>
      <c r="F23" s="365">
        <v>0</v>
      </c>
      <c r="G23" s="365">
        <v>1.6035645000000001</v>
      </c>
      <c r="H23" s="949">
        <f t="shared" si="52"/>
        <v>0</v>
      </c>
      <c r="I23" s="949">
        <f t="shared" si="35"/>
        <v>0.87941802442622952</v>
      </c>
      <c r="J23" s="365">
        <v>0</v>
      </c>
      <c r="K23" s="365">
        <f>302.19/(24*K$2)</f>
        <v>0.41970833333333335</v>
      </c>
      <c r="L23" s="951">
        <f t="shared" si="53"/>
        <v>0</v>
      </c>
      <c r="M23" s="951">
        <f t="shared" si="36"/>
        <v>0.72786537901098902</v>
      </c>
      <c r="N23" s="365">
        <v>0</v>
      </c>
      <c r="O23" s="365">
        <f>403.529/(24*O$2)</f>
        <v>0.54237768817204302</v>
      </c>
      <c r="P23" s="949">
        <f t="shared" si="54"/>
        <v>0</v>
      </c>
      <c r="Q23" s="949">
        <f t="shared" si="37"/>
        <v>0.68073326084699459</v>
      </c>
      <c r="R23" s="365">
        <v>0</v>
      </c>
      <c r="S23" s="365">
        <f>444.99/(24*S$2)</f>
        <v>0.59810483870967746</v>
      </c>
      <c r="T23" s="949">
        <f t="shared" si="55"/>
        <v>0</v>
      </c>
      <c r="U23" s="949">
        <f t="shared" si="38"/>
        <v>0.66399155440087154</v>
      </c>
      <c r="V23" s="365">
        <v>0</v>
      </c>
      <c r="W23" s="369">
        <f>377.531/(24*W$2)</f>
        <v>0.52434861111111108</v>
      </c>
      <c r="X23" s="951">
        <f t="shared" si="39"/>
        <v>0</v>
      </c>
      <c r="Y23" s="951">
        <f t="shared" si="40"/>
        <v>0.555276268115942</v>
      </c>
      <c r="Z23" s="1188">
        <f t="shared" si="56"/>
        <v>0</v>
      </c>
      <c r="AA23" s="1188">
        <f t="shared" si="41"/>
        <v>0.64109926861566491</v>
      </c>
      <c r="AB23" s="3213">
        <v>0</v>
      </c>
      <c r="AC23" s="982">
        <f>186.718/(24*AC$2)</f>
        <v>0.25096505376344086</v>
      </c>
      <c r="AD23" s="3214">
        <f t="shared" si="57"/>
        <v>0</v>
      </c>
      <c r="AE23" s="3214">
        <f t="shared" si="63"/>
        <v>0.58458449917445487</v>
      </c>
      <c r="AF23" s="3330">
        <v>0</v>
      </c>
      <c r="AG23" s="982">
        <f>132.986/(24*AG$2)</f>
        <v>0.18470277777777777</v>
      </c>
      <c r="AH23" s="3329">
        <f t="shared" si="58"/>
        <v>0</v>
      </c>
      <c r="AI23" s="3329">
        <f t="shared" si="64"/>
        <v>0.5354187137568307</v>
      </c>
      <c r="AJ23" s="3618">
        <v>0</v>
      </c>
      <c r="AK23" s="982">
        <f>363.419/(24*AK$2)</f>
        <v>0.48846639784946233</v>
      </c>
      <c r="AL23" s="3619">
        <f t="shared" si="44"/>
        <v>0</v>
      </c>
      <c r="AM23" s="3619">
        <f t="shared" si="45"/>
        <v>0.30938541666666663</v>
      </c>
      <c r="AN23" s="3617">
        <f t="shared" si="59"/>
        <v>0</v>
      </c>
      <c r="AO23" s="3617">
        <f t="shared" si="65"/>
        <v>0.53012590723636377</v>
      </c>
      <c r="AP23" s="3965">
        <v>0</v>
      </c>
      <c r="AQ23" s="982">
        <f>127.925/(24*AQ$2)</f>
        <v>0.17194220430107526</v>
      </c>
      <c r="AR23" s="3963">
        <f t="shared" si="60"/>
        <v>0</v>
      </c>
      <c r="AS23" s="3963">
        <f t="shared" si="66"/>
        <v>0.49383932295206978</v>
      </c>
      <c r="AT23" s="4085">
        <v>0</v>
      </c>
      <c r="AU23" s="982">
        <f>269.402/(24*AU$2)</f>
        <v>0.40089583333333334</v>
      </c>
      <c r="AV23" s="4084">
        <f t="shared" si="61"/>
        <v>0</v>
      </c>
      <c r="AW23" s="4084">
        <f t="shared" si="67"/>
        <v>0.48604765316367277</v>
      </c>
      <c r="AX23" s="4571">
        <v>0</v>
      </c>
      <c r="AY23" s="982">
        <f>173.922/(24*AY$2)</f>
        <v>0.23376612903225807</v>
      </c>
      <c r="AZ23" s="4567">
        <f t="shared" si="51"/>
        <v>0</v>
      </c>
      <c r="BA23" s="4567">
        <f t="shared" si="49"/>
        <v>0.26446712962962965</v>
      </c>
      <c r="BB23" s="4615">
        <f t="shared" si="34"/>
        <v>0</v>
      </c>
      <c r="BC23" s="4615">
        <f t="shared" si="34"/>
        <v>0.28717307692307692</v>
      </c>
      <c r="BD23" s="4569">
        <f t="shared" si="62"/>
        <v>0</v>
      </c>
      <c r="BE23" s="4569">
        <f t="shared" si="68"/>
        <v>0.46462100316894983</v>
      </c>
    </row>
    <row r="24" spans="1:57" x14ac:dyDescent="0.25">
      <c r="B24" s="3741" t="s">
        <v>107</v>
      </c>
      <c r="C24" s="3609" t="s">
        <v>53</v>
      </c>
      <c r="D24" s="238">
        <v>0</v>
      </c>
      <c r="E24" s="238">
        <v>134.88</v>
      </c>
      <c r="F24" s="238">
        <v>0</v>
      </c>
      <c r="G24" s="238">
        <v>1704.36</v>
      </c>
      <c r="H24" s="2418">
        <f t="shared" ref="H24" si="69">+D24+F24</f>
        <v>0</v>
      </c>
      <c r="I24" s="2418">
        <f t="shared" ref="I24" si="70">+E24+G24</f>
        <v>1839.2399999999998</v>
      </c>
      <c r="J24" s="238">
        <v>0</v>
      </c>
      <c r="K24" s="238">
        <v>431.70000000000005</v>
      </c>
      <c r="L24" s="2415">
        <f t="shared" ref="L24" si="71">+H24+J24</f>
        <v>0</v>
      </c>
      <c r="M24" s="2415">
        <f t="shared" ref="M24" si="72">+I24+K24</f>
        <v>2270.9399999999996</v>
      </c>
      <c r="N24" s="238">
        <v>0</v>
      </c>
      <c r="O24" s="238">
        <v>576.47000000000014</v>
      </c>
      <c r="P24" s="2418">
        <f t="shared" ref="P24" si="73">+L24+N24</f>
        <v>0</v>
      </c>
      <c r="Q24" s="2418">
        <f t="shared" ref="Q24" si="74">+M24+O24</f>
        <v>2847.41</v>
      </c>
      <c r="R24" s="238">
        <v>0</v>
      </c>
      <c r="S24" s="238">
        <v>635.69999999999982</v>
      </c>
      <c r="T24" s="2418">
        <f>+P24+R24</f>
        <v>0</v>
      </c>
      <c r="U24" s="2418">
        <f t="shared" ref="U24" si="75">+Q24+S24</f>
        <v>3483.1099999999997</v>
      </c>
      <c r="V24" s="238">
        <v>0</v>
      </c>
      <c r="W24" s="238">
        <v>539.33000000000004</v>
      </c>
      <c r="X24" s="2415">
        <f>+V24+R24+N24</f>
        <v>0</v>
      </c>
      <c r="Y24" s="2415">
        <f>+W24+S24+O24</f>
        <v>1751.5</v>
      </c>
      <c r="Z24" s="1134">
        <f t="shared" ref="Z24" si="76">+T24+V24</f>
        <v>0</v>
      </c>
      <c r="AA24" s="1134">
        <f t="shared" ref="AA24" si="77">+U24+W24</f>
        <v>4022.4399999999996</v>
      </c>
      <c r="AB24" s="238">
        <v>0</v>
      </c>
      <c r="AC24" s="50">
        <v>266.74</v>
      </c>
      <c r="AD24" s="3210">
        <f>+Z24+AB24</f>
        <v>0</v>
      </c>
      <c r="AE24" s="3210">
        <f t="shared" ref="AE24" si="78">+AA24+AC24</f>
        <v>4289.1799999999994</v>
      </c>
      <c r="AF24" s="238">
        <v>0</v>
      </c>
      <c r="AG24" s="50">
        <v>189.98</v>
      </c>
      <c r="AH24" s="3321">
        <f>+AD24+AF24</f>
        <v>0</v>
      </c>
      <c r="AI24" s="3321">
        <f t="shared" ref="AI24" si="79">+AE24+AG24</f>
        <v>4479.1599999999989</v>
      </c>
      <c r="AJ24" s="3640">
        <v>0</v>
      </c>
      <c r="AK24" s="50">
        <v>519.16999999999996</v>
      </c>
      <c r="AL24" s="3600">
        <f>+AJ24+AF24+AB24</f>
        <v>0</v>
      </c>
      <c r="AM24" s="3600">
        <f>+AK24+AG24+AC24</f>
        <v>975.89</v>
      </c>
      <c r="AN24" s="3597">
        <f>+AH24+AJ24</f>
        <v>0</v>
      </c>
      <c r="AO24" s="3597">
        <f t="shared" ref="AO24" si="80">+AI24+AK24</f>
        <v>4998.329999999999</v>
      </c>
      <c r="AP24" s="3912">
        <v>0</v>
      </c>
      <c r="AQ24" s="50">
        <v>182.75</v>
      </c>
      <c r="AR24" s="3915">
        <f>+AN24+AP24</f>
        <v>0</v>
      </c>
      <c r="AS24" s="3915">
        <f t="shared" ref="AS24" si="81">+AO24+AQ24</f>
        <v>5181.079999999999</v>
      </c>
      <c r="AT24" s="4060">
        <v>0</v>
      </c>
      <c r="AU24" s="50">
        <v>384.86</v>
      </c>
      <c r="AV24" s="4062">
        <f>+AR24+AT24</f>
        <v>0</v>
      </c>
      <c r="AW24" s="4062">
        <f t="shared" ref="AW24" si="82">+AS24+AU24</f>
        <v>5565.9399999999987</v>
      </c>
      <c r="AX24" s="4555">
        <v>0</v>
      </c>
      <c r="AY24" s="50">
        <v>248.46</v>
      </c>
      <c r="AZ24" s="4558">
        <f>+AX24+AT24+AP24</f>
        <v>0</v>
      </c>
      <c r="BA24" s="4558">
        <f>+AY24+AU24+AQ24</f>
        <v>816.07</v>
      </c>
      <c r="BB24" s="4604">
        <f>+AL24+AZ24</f>
        <v>0</v>
      </c>
      <c r="BC24" s="4604">
        <f>+AM24+BA24</f>
        <v>1791.96</v>
      </c>
      <c r="BD24" s="4557">
        <f>+AV24+AX24</f>
        <v>0</v>
      </c>
      <c r="BE24" s="4557">
        <f t="shared" ref="BE24" si="83">+AW24+AY24</f>
        <v>5814.3999999999987</v>
      </c>
    </row>
    <row r="25" spans="1:57" s="334" customFormat="1" ht="15.75" x14ac:dyDescent="0.25">
      <c r="A25" s="477"/>
      <c r="B25" s="3742" t="s">
        <v>23</v>
      </c>
      <c r="C25" s="3627" t="s">
        <v>625</v>
      </c>
      <c r="D25" s="2437">
        <f t="shared" ref="D25:AI25" si="84">SUM(D18:D23)</f>
        <v>35.036000000000001</v>
      </c>
      <c r="E25" s="2437">
        <f t="shared" si="84"/>
        <v>17.715619445000002</v>
      </c>
      <c r="F25" s="2437">
        <f t="shared" si="84"/>
        <v>38.189</v>
      </c>
      <c r="G25" s="2437">
        <f t="shared" si="84"/>
        <v>14.3276638</v>
      </c>
      <c r="H25" s="2437">
        <f t="shared" si="84"/>
        <v>36.638344262295078</v>
      </c>
      <c r="I25" s="2437">
        <f t="shared" si="84"/>
        <v>15.993871494262297</v>
      </c>
      <c r="J25" s="2437">
        <f t="shared" si="84"/>
        <v>41.54</v>
      </c>
      <c r="K25" s="2437">
        <f t="shared" si="84"/>
        <v>31.290972222222223</v>
      </c>
      <c r="L25" s="2437">
        <f t="shared" si="84"/>
        <v>38.254274725274726</v>
      </c>
      <c r="M25" s="2437">
        <f t="shared" si="84"/>
        <v>21.036871734249086</v>
      </c>
      <c r="N25" s="2437">
        <f t="shared" si="84"/>
        <v>41.54</v>
      </c>
      <c r="O25" s="2437">
        <f t="shared" si="84"/>
        <v>29.578829301075267</v>
      </c>
      <c r="P25" s="2437">
        <f t="shared" si="84"/>
        <v>39.089172131147542</v>
      </c>
      <c r="Q25" s="2437">
        <f t="shared" si="84"/>
        <v>23.207369148770496</v>
      </c>
      <c r="R25" s="2437">
        <f t="shared" si="84"/>
        <v>41.54</v>
      </c>
      <c r="S25" s="2437">
        <f t="shared" si="84"/>
        <v>32.576908602150539</v>
      </c>
      <c r="T25" s="2437">
        <f t="shared" si="84"/>
        <v>39.585745098039219</v>
      </c>
      <c r="U25" s="2437">
        <f t="shared" si="84"/>
        <v>25.105772567429195</v>
      </c>
      <c r="V25" s="2437">
        <f t="shared" si="84"/>
        <v>41.54</v>
      </c>
      <c r="W25" s="2437">
        <f t="shared" si="84"/>
        <v>31.569445833333337</v>
      </c>
      <c r="X25" s="2437">
        <f t="shared" si="84"/>
        <v>41.540000000000006</v>
      </c>
      <c r="Y25" s="2437">
        <f t="shared" si="84"/>
        <v>31.238165760869567</v>
      </c>
      <c r="Z25" s="2437">
        <f t="shared" si="84"/>
        <v>39.906114754098361</v>
      </c>
      <c r="AA25" s="2437">
        <f t="shared" si="84"/>
        <v>26.165391135610204</v>
      </c>
      <c r="AB25" s="2437">
        <f t="shared" si="84"/>
        <v>42.38</v>
      </c>
      <c r="AC25" s="2437">
        <f t="shared" si="84"/>
        <v>35.740212365591397</v>
      </c>
      <c r="AD25" s="2437">
        <f t="shared" si="84"/>
        <v>40.264481308411213</v>
      </c>
      <c r="AE25" s="2437">
        <f t="shared" si="84"/>
        <v>27.55239794929907</v>
      </c>
      <c r="AF25" s="2437">
        <f t="shared" si="84"/>
        <v>42.379999999999995</v>
      </c>
      <c r="AG25" s="2437">
        <f t="shared" si="84"/>
        <v>31.012313888888887</v>
      </c>
      <c r="AH25" s="2437">
        <f t="shared" si="84"/>
        <v>40.524586065573772</v>
      </c>
      <c r="AI25" s="2437">
        <f t="shared" si="84"/>
        <v>27.977797450068302</v>
      </c>
      <c r="AJ25" s="2437">
        <f>SUM(AJ18:AJ24)</f>
        <v>42.38</v>
      </c>
      <c r="AK25" s="2437">
        <f t="shared" ref="AK25:AO25" si="85">SUM(AK18:AK23)</f>
        <v>35.686235215053756</v>
      </c>
      <c r="AL25" s="2437">
        <f t="shared" si="85"/>
        <v>42.38</v>
      </c>
      <c r="AM25" s="2437">
        <f t="shared" si="85"/>
        <v>34.180318387681154</v>
      </c>
      <c r="AN25" s="2437">
        <f t="shared" si="85"/>
        <v>40.733741818181819</v>
      </c>
      <c r="AO25" s="2437">
        <f t="shared" si="85"/>
        <v>28.846748616303035</v>
      </c>
      <c r="AP25" s="2437">
        <f>SUM(AP18:AP24)</f>
        <v>42.38</v>
      </c>
      <c r="AQ25" s="2437">
        <f t="shared" ref="AQ25" si="86">SUM(AQ18:AQ23)</f>
        <v>35.780490591397843</v>
      </c>
      <c r="AR25" s="2437">
        <f t="shared" ref="AR25:AS25" si="87">SUM(AR18:AR23)</f>
        <v>40.900519607843137</v>
      </c>
      <c r="AS25" s="2437">
        <f t="shared" si="87"/>
        <v>29.549186528812637</v>
      </c>
      <c r="AT25" s="2437">
        <f>SUM(AT18:AT24)</f>
        <v>41.749999999999993</v>
      </c>
      <c r="AU25" s="2437">
        <f t="shared" ref="AU25:AW25" si="88">SUM(AU18:AU23)</f>
        <v>35.813083333333331</v>
      </c>
      <c r="AV25" s="2437">
        <f t="shared" si="88"/>
        <v>40.971733532934131</v>
      </c>
      <c r="AW25" s="2437">
        <f t="shared" si="88"/>
        <v>30.074303626197608</v>
      </c>
      <c r="AX25" s="2437">
        <f>SUM(AX18:AX24)</f>
        <v>42.38</v>
      </c>
      <c r="AY25" s="2437">
        <f t="shared" ref="AY25:BE25" si="89">SUM(AY18:AY23)</f>
        <v>37.378739247311827</v>
      </c>
      <c r="AZ25" s="2437">
        <f t="shared" si="89"/>
        <v>42.183999999999997</v>
      </c>
      <c r="BA25" s="2437">
        <f t="shared" si="89"/>
        <v>36.341138425925926</v>
      </c>
      <c r="BB25" s="2437">
        <f t="shared" ref="BB25:BC25" si="90">SUM(BB18:BB23)</f>
        <v>42.283076923076919</v>
      </c>
      <c r="BC25" s="2437">
        <f t="shared" si="90"/>
        <v>35.248855769230765</v>
      </c>
      <c r="BD25" s="2437">
        <f t="shared" si="89"/>
        <v>41.091339726027392</v>
      </c>
      <c r="BE25" s="2437">
        <f t="shared" si="89"/>
        <v>30.694680350182651</v>
      </c>
    </row>
    <row r="26" spans="1:57" s="334" customFormat="1" ht="15.75" x14ac:dyDescent="0.25">
      <c r="A26" s="477"/>
      <c r="B26" s="2900" t="s">
        <v>108</v>
      </c>
      <c r="C26" s="2900"/>
      <c r="D26" s="2905"/>
      <c r="E26" s="2905"/>
      <c r="F26" s="2905"/>
      <c r="G26" s="2905"/>
      <c r="H26" s="2905"/>
      <c r="I26" s="2905"/>
      <c r="J26" s="2905"/>
      <c r="K26" s="2905"/>
      <c r="L26" s="2905"/>
      <c r="M26" s="2905"/>
      <c r="N26" s="2905"/>
      <c r="O26" s="2905"/>
      <c r="P26" s="2905"/>
      <c r="Q26" s="2905"/>
      <c r="R26" s="2905"/>
      <c r="S26" s="2905"/>
      <c r="T26" s="2905"/>
      <c r="U26" s="2905"/>
      <c r="V26" s="2905"/>
      <c r="W26" s="2905"/>
      <c r="X26" s="2905"/>
      <c r="Y26" s="2905"/>
      <c r="Z26" s="2905"/>
      <c r="AA26" s="2905"/>
      <c r="AB26" s="2905"/>
      <c r="AC26" s="3221"/>
      <c r="AD26" s="2905"/>
      <c r="AE26" s="2905"/>
      <c r="AF26" s="2905"/>
      <c r="AG26" s="3221"/>
      <c r="AH26" s="2905"/>
      <c r="AI26" s="2905"/>
      <c r="AJ26" s="2905"/>
      <c r="AK26" s="3221"/>
      <c r="AL26" s="2905"/>
      <c r="AM26" s="2905"/>
      <c r="AN26" s="2905"/>
      <c r="AO26" s="2905"/>
      <c r="AP26" s="2905"/>
      <c r="AQ26" s="3221"/>
      <c r="AR26" s="2905"/>
      <c r="AS26" s="2905"/>
      <c r="AT26" s="2905"/>
      <c r="AU26" s="3221"/>
      <c r="AV26" s="2905"/>
      <c r="AW26" s="2905"/>
      <c r="AX26" s="2905"/>
      <c r="AY26" s="3221"/>
      <c r="AZ26" s="2905"/>
      <c r="BA26" s="2905"/>
      <c r="BB26" s="2905"/>
      <c r="BC26" s="2905"/>
      <c r="BD26" s="2905"/>
      <c r="BE26" s="2905"/>
    </row>
    <row r="27" spans="1:57" x14ac:dyDescent="0.25">
      <c r="B27" s="3741" t="s">
        <v>16</v>
      </c>
      <c r="C27" s="3609" t="s">
        <v>625</v>
      </c>
      <c r="D27" s="369">
        <v>12.5</v>
      </c>
      <c r="E27" s="365">
        <v>5.6944444440000002</v>
      </c>
      <c r="F27" s="369">
        <v>18</v>
      </c>
      <c r="G27" s="365">
        <v>5.5107527000000003</v>
      </c>
      <c r="H27" s="949">
        <f t="shared" ref="H27:I29" si="91">+((D27*D$2)+(F27*F$2))/H$2</f>
        <v>15.295081967213115</v>
      </c>
      <c r="I27" s="949">
        <f t="shared" si="91"/>
        <v>5.6010929019672124</v>
      </c>
      <c r="J27" s="369">
        <v>16</v>
      </c>
      <c r="K27" s="365">
        <f>4100/(24*K$2)</f>
        <v>5.6944444444444446</v>
      </c>
      <c r="L27" s="951">
        <f>+((H27*H$2)+(J27*J$2))/L$2</f>
        <v>15.527472527472527</v>
      </c>
      <c r="M27" s="951">
        <f>+((I27*I$2)+(K27*K$2))/M$2</f>
        <v>5.6318681357509162</v>
      </c>
      <c r="N27" s="369">
        <v>16</v>
      </c>
      <c r="O27" s="365">
        <f>4100/(24*O$2)</f>
        <v>5.510752688172043</v>
      </c>
      <c r="P27" s="949">
        <f>+((L27*L$2)+(N27*N$2))/P$2</f>
        <v>15.647540983606557</v>
      </c>
      <c r="Q27" s="949">
        <f>+((M27*M$2)+(O27*O$2))/Q$2</f>
        <v>5.6010928990710385</v>
      </c>
      <c r="R27" s="369">
        <v>16</v>
      </c>
      <c r="S27" s="365">
        <f>4100/(24*S$2)</f>
        <v>5.510752688172043</v>
      </c>
      <c r="T27" s="949">
        <f t="shared" ref="T27:T32" si="92">+((P27*P$2)+(R27*R$2))/T$2</f>
        <v>15.718954248366012</v>
      </c>
      <c r="U27" s="949">
        <f t="shared" ref="U27:U28" si="93">+((Q27*Q$2)+(S27*S$2))/U$2</f>
        <v>5.5827886733333338</v>
      </c>
      <c r="V27" s="369">
        <v>16</v>
      </c>
      <c r="W27" s="365">
        <f>4100/(24*W$2)</f>
        <v>5.6944444444444446</v>
      </c>
      <c r="X27" s="951">
        <f t="shared" ref="X27:X31" si="94">+((N27*N$2)+(R27*R$2)+(V27*V$2))/X$2</f>
        <v>16</v>
      </c>
      <c r="Y27" s="951">
        <f t="shared" ref="Y27:Y28" si="95">+((O27*O$2)+(S27*S$2)+(W27*W$2))/Y$2</f>
        <v>5.5706521739130439</v>
      </c>
      <c r="Z27" s="1188">
        <f t="shared" ref="Z27:Z32" si="96">+((T27*T$2)+(V27*V$2))/Z$2</f>
        <v>15.765027322404372</v>
      </c>
      <c r="AA27" s="1188">
        <f t="shared" ref="AA27:AA28" si="97">+((U27*U$2)+(W27*W$2))/AA$2</f>
        <v>5.6010928981056471</v>
      </c>
      <c r="AB27" s="3215">
        <v>16</v>
      </c>
      <c r="AC27" s="210">
        <f>4100/(24*AC$2)</f>
        <v>5.510752688172043</v>
      </c>
      <c r="AD27" s="3214">
        <f t="shared" ref="AD27:AD29" si="98">+((Z27*Z$2)+(AB27*AB$2))/AD$2</f>
        <v>15.799065420560748</v>
      </c>
      <c r="AE27" s="3214">
        <f t="shared" ref="AE27:AE28" si="99">+((AA27*AA$2)+(AC27*AC$2))/AE$2</f>
        <v>5.5880062321806854</v>
      </c>
      <c r="AF27" s="3334">
        <v>16</v>
      </c>
      <c r="AG27" s="3333">
        <f>4100/(24*AG$2)</f>
        <v>5.6944444444444446</v>
      </c>
      <c r="AH27" s="3329">
        <f t="shared" ref="AH27:AH29" si="100">+((AD27*AD$2)+(AF27*AF$2))/AH$2</f>
        <v>15.823770491803279</v>
      </c>
      <c r="AI27" s="3329">
        <f t="shared" ref="AI27:AI28" si="101">+((AE27*AE$2)+(AG27*AG$2))/AI$2</f>
        <v>5.6010928976229506</v>
      </c>
      <c r="AJ27" s="3624">
        <v>16</v>
      </c>
      <c r="AK27" s="3616">
        <f>4100/(24*AK$2)</f>
        <v>5.510752688172043</v>
      </c>
      <c r="AL27" s="3619">
        <f t="shared" ref="AL27:AL32" si="102">+((AB27*AB$2)+(AF27*AF$2)+(AJ27*AJ$2))/AL$2</f>
        <v>16</v>
      </c>
      <c r="AM27" s="3619">
        <f t="shared" ref="AM27:AM28" si="103">+((AC27*AC$2)+(AG27*AG$2)+(AK27*AK$2))/AM$2</f>
        <v>5.5706521739130439</v>
      </c>
      <c r="AN27" s="3617">
        <f t="shared" ref="AN27:AN29" si="104">+((AH27*AH$2)+(AJ27*AJ$2))/AN$2</f>
        <v>15.843636363636364</v>
      </c>
      <c r="AO27" s="3617">
        <f t="shared" ref="AO27:AO28" si="105">+((AI27*AI$2)+(AK27*AK$2))/AO$2</f>
        <v>5.5909090921939386</v>
      </c>
      <c r="AP27" s="3964">
        <v>16</v>
      </c>
      <c r="AQ27" s="3962">
        <f>4100/(24*AQ$2)</f>
        <v>5.510752688172043</v>
      </c>
      <c r="AR27" s="3963">
        <f t="shared" ref="AR27:AR29" si="106">+((AN27*AN$2)+(AP27*AP$2))/AR$2</f>
        <v>15.859477124183007</v>
      </c>
      <c r="AS27" s="3963">
        <f t="shared" ref="AS27:AS28" si="107">+((AO27*AO$2)+(AQ27*AQ$2))/AS$2</f>
        <v>5.5827886721786477</v>
      </c>
      <c r="AT27" s="4086">
        <v>16</v>
      </c>
      <c r="AU27" s="4083">
        <f>4100/(24*AU$2)</f>
        <v>6.1011904761904763</v>
      </c>
      <c r="AV27" s="4084">
        <f t="shared" ref="AV27:AV29" si="108">+((AR27*AR$2)+(AT27*AT$2))/AV$2</f>
        <v>15.87125748502994</v>
      </c>
      <c r="AW27" s="4084">
        <f t="shared" ref="AW27:AW28" si="109">+((AS27*AS$2)+(AU27*AU$2))/AW$2</f>
        <v>5.6262475060479025</v>
      </c>
      <c r="AX27" s="4572">
        <v>16</v>
      </c>
      <c r="AY27" s="4568">
        <f>4100/(24*AY$2)</f>
        <v>5.510752688172043</v>
      </c>
      <c r="AZ27" s="4567">
        <f t="shared" ref="AZ27:AZ32" si="110">+((AP27*AP$2)+(AT27*AT$2)+(AX27*AX$2))/AZ$2</f>
        <v>16</v>
      </c>
      <c r="BA27" s="4567">
        <f t="shared" ref="BA27:BA28" si="111">+((AQ27*AQ$2)+(AU27*AU$2)+(AY27*AY$2))/BA$2</f>
        <v>5.6944444444444446</v>
      </c>
      <c r="BB27" s="4615">
        <f>+((AL27*AL$2)+(AZ27*AZ$2))/BB$2</f>
        <v>16</v>
      </c>
      <c r="BC27" s="4615">
        <f>+((AM27*AM$2)+(BA27*BA$2))/BC$2</f>
        <v>5.6318681318681323</v>
      </c>
      <c r="BD27" s="4569">
        <f t="shared" ref="BD27:BD29" si="112">+((AV27*AV$2)+(AX27*AX$2))/BD$2</f>
        <v>15.882191780821918</v>
      </c>
      <c r="BE27" s="4569">
        <f t="shared" ref="BE27:BE28" si="113">+((AW27*AW$2)+(AY27*AY$2))/BE$2</f>
        <v>5.6164383571324183</v>
      </c>
    </row>
    <row r="28" spans="1:57" x14ac:dyDescent="0.25">
      <c r="B28" s="3741" t="s">
        <v>60</v>
      </c>
      <c r="C28" s="3609" t="s">
        <v>625</v>
      </c>
      <c r="D28" s="369">
        <v>5</v>
      </c>
      <c r="E28" s="365">
        <v>4.8786666670000001</v>
      </c>
      <c r="F28" s="369">
        <v>10</v>
      </c>
      <c r="G28" s="365">
        <v>4.2504301</v>
      </c>
      <c r="H28" s="949">
        <f t="shared" si="91"/>
        <v>7.5409836065573774</v>
      </c>
      <c r="I28" s="949">
        <f t="shared" si="91"/>
        <v>4.5593989034426228</v>
      </c>
      <c r="J28" s="369">
        <v>10</v>
      </c>
      <c r="K28" s="365">
        <f>5640.4/(24*K$2)</f>
        <v>7.8338888888888887</v>
      </c>
      <c r="L28" s="951">
        <f t="shared" ref="L28:L32" si="114">+((H28*H$2)+(J28*J$2))/L$2</f>
        <v>8.3516483516483522</v>
      </c>
      <c r="M28" s="951">
        <f>+((I28*I$2)+(K28*K$2))/M$2</f>
        <v>5.6389010964468858</v>
      </c>
      <c r="N28" s="369">
        <v>10</v>
      </c>
      <c r="O28" s="365">
        <f>6097.28/(24*O$2)</f>
        <v>8.1952688172043011</v>
      </c>
      <c r="P28" s="949">
        <f t="shared" ref="P28:P32" si="115">+((L28*L$2)+(N28*N$2))/P$2</f>
        <v>8.7704918032786878</v>
      </c>
      <c r="Q28" s="949">
        <f t="shared" ref="Q28:Q32" si="116">+((M28*M$2)+(O28*O$2))/Q$2</f>
        <v>6.2884699435245892</v>
      </c>
      <c r="R28" s="369">
        <v>10</v>
      </c>
      <c r="S28" s="365">
        <f>6151.44/(24*S$2)</f>
        <v>8.2680645161290318</v>
      </c>
      <c r="T28" s="949">
        <f t="shared" si="92"/>
        <v>9.0196078431372548</v>
      </c>
      <c r="U28" s="949">
        <f t="shared" si="93"/>
        <v>6.6895642686928092</v>
      </c>
      <c r="V28" s="369">
        <v>10</v>
      </c>
      <c r="W28" s="365">
        <f>6163.28/(24*W$2)</f>
        <v>8.5601111111111106</v>
      </c>
      <c r="X28" s="951">
        <f t="shared" si="94"/>
        <v>10</v>
      </c>
      <c r="Y28" s="951">
        <f t="shared" si="95"/>
        <v>8.3387681159420293</v>
      </c>
      <c r="Z28" s="1188">
        <f t="shared" si="96"/>
        <v>9.1803278688524586</v>
      </c>
      <c r="AA28" s="1188">
        <f t="shared" si="97"/>
        <v>6.9962112920400719</v>
      </c>
      <c r="AB28" s="3215">
        <v>10</v>
      </c>
      <c r="AC28" s="210">
        <f>6683.36/(24*AC$2)</f>
        <v>8.9830107526881715</v>
      </c>
      <c r="AD28" s="3214">
        <f t="shared" si="98"/>
        <v>9.2990654205607477</v>
      </c>
      <c r="AE28" s="3214">
        <f t="shared" si="99"/>
        <v>7.2840186905451709</v>
      </c>
      <c r="AF28" s="3334">
        <v>10</v>
      </c>
      <c r="AG28" s="3333">
        <f>6971.44/(24*AG$2)</f>
        <v>9.6825555555555542</v>
      </c>
      <c r="AH28" s="3329">
        <f t="shared" si="100"/>
        <v>9.3852459016393439</v>
      </c>
      <c r="AI28" s="3329">
        <f t="shared" si="101"/>
        <v>7.5789207641120209</v>
      </c>
      <c r="AJ28" s="3624">
        <v>10</v>
      </c>
      <c r="AK28" s="3616">
        <f>7648/(24*AK$2)</f>
        <v>10.279569892473118</v>
      </c>
      <c r="AL28" s="3619">
        <f t="shared" si="102"/>
        <v>10</v>
      </c>
      <c r="AM28" s="3619">
        <f t="shared" si="103"/>
        <v>9.6480072463768103</v>
      </c>
      <c r="AN28" s="3617">
        <f t="shared" si="104"/>
        <v>9.454545454545455</v>
      </c>
      <c r="AO28" s="3617">
        <f t="shared" si="105"/>
        <v>7.8833575749454541</v>
      </c>
      <c r="AP28" s="3964">
        <v>10</v>
      </c>
      <c r="AQ28" s="3962">
        <f>7262.08/(24*AQ$2)</f>
        <v>9.7608602150537642</v>
      </c>
      <c r="AR28" s="3963">
        <f t="shared" si="106"/>
        <v>9.5098039215686274</v>
      </c>
      <c r="AS28" s="3963">
        <f t="shared" si="107"/>
        <v>8.0735620907734198</v>
      </c>
      <c r="AT28" s="4086">
        <v>10</v>
      </c>
      <c r="AU28" s="4083">
        <f>6374.88/(24*AU$2)</f>
        <v>9.4864285714285721</v>
      </c>
      <c r="AV28" s="4084">
        <f t="shared" si="108"/>
        <v>9.5508982035928138</v>
      </c>
      <c r="AW28" s="4084">
        <f t="shared" si="109"/>
        <v>8.1920059873552891</v>
      </c>
      <c r="AX28" s="4572">
        <v>10</v>
      </c>
      <c r="AY28" s="4568">
        <f>7633.68/(24*AY$2)</f>
        <v>10.260322580645163</v>
      </c>
      <c r="AZ28" s="4567">
        <f t="shared" si="110"/>
        <v>10</v>
      </c>
      <c r="BA28" s="4567">
        <f t="shared" si="111"/>
        <v>9.8475185185185197</v>
      </c>
      <c r="BB28" s="4615">
        <f>+((AL28*AL$2)+(AZ28*AZ$2))/BB$2</f>
        <v>10</v>
      </c>
      <c r="BC28" s="4615">
        <f>+((AM28*AM$2)+(BA28*BA$2))/BC$2</f>
        <v>9.7466666666666679</v>
      </c>
      <c r="BD28" s="4569">
        <f t="shared" si="112"/>
        <v>9.5890410958904102</v>
      </c>
      <c r="BE28" s="4569">
        <f t="shared" si="113"/>
        <v>8.3676712322648399</v>
      </c>
    </row>
    <row r="29" spans="1:57" s="669" customFormat="1" x14ac:dyDescent="0.25">
      <c r="A29" s="189"/>
      <c r="B29" s="3741" t="s">
        <v>1031</v>
      </c>
      <c r="C29" s="3609" t="s">
        <v>625</v>
      </c>
      <c r="D29" s="369">
        <v>1.8</v>
      </c>
      <c r="E29" s="369">
        <v>1.2</v>
      </c>
      <c r="F29" s="369">
        <v>1.8</v>
      </c>
      <c r="G29" s="365">
        <v>0.58064519999999997</v>
      </c>
      <c r="H29" s="949">
        <f t="shared" si="91"/>
        <v>1.8000000000000003</v>
      </c>
      <c r="I29" s="949">
        <f t="shared" si="91"/>
        <v>0.88524592131147539</v>
      </c>
      <c r="J29" s="369">
        <v>1.8</v>
      </c>
      <c r="K29" s="365">
        <f>864/(24*K$2)</f>
        <v>1.2</v>
      </c>
      <c r="L29" s="951">
        <f t="shared" si="114"/>
        <v>1.8</v>
      </c>
      <c r="M29" s="951">
        <f>+((I29*I$2)+(K29*K$2))/M$2</f>
        <v>0.98901100219780225</v>
      </c>
      <c r="N29" s="369">
        <v>1.8</v>
      </c>
      <c r="O29" s="365">
        <f>892.8/(24*O$2)</f>
        <v>1.2</v>
      </c>
      <c r="P29" s="949">
        <f t="shared" si="115"/>
        <v>1.8000000000000003</v>
      </c>
      <c r="Q29" s="949">
        <f>+((M29*M$2)+((O29+O30)*O$2))/Q$2</f>
        <v>5.6221038349726777</v>
      </c>
      <c r="R29" s="369">
        <v>1.8</v>
      </c>
      <c r="S29" s="365">
        <f>892.8/(24*S$2)</f>
        <v>1.2</v>
      </c>
      <c r="T29" s="949">
        <f t="shared" si="92"/>
        <v>1.8000000000000003</v>
      </c>
      <c r="U29" s="949">
        <f>+((Q29*Q$2)+((S29+S30)*S$2))/U$2</f>
        <v>8.3744531668845319</v>
      </c>
      <c r="V29" s="369">
        <v>1.8</v>
      </c>
      <c r="W29" s="365">
        <f>864/(24*W$2)</f>
        <v>1.2</v>
      </c>
      <c r="X29" s="951">
        <f t="shared" si="94"/>
        <v>1.8000000000000003</v>
      </c>
      <c r="Y29" s="951">
        <f>+(((O29+O30)*O$2)+((S29+S30)*S$2)+((W29+W30)*W$2))/Y$2</f>
        <v>19.20059420289855</v>
      </c>
      <c r="Z29" s="1188">
        <f t="shared" si="96"/>
        <v>1.8000000000000003</v>
      </c>
      <c r="AA29" s="1188">
        <f>+((U29*U$2)+((W29+W30)*W$2))/AA$2</f>
        <v>10.144561026593806</v>
      </c>
      <c r="AB29" s="3215">
        <v>1.8</v>
      </c>
      <c r="AC29" s="210">
        <f>892.8/(24*AC$2)</f>
        <v>1.2</v>
      </c>
      <c r="AD29" s="3214">
        <f t="shared" si="98"/>
        <v>1.8000000000000003</v>
      </c>
      <c r="AE29" s="3214">
        <f>+((AA29*AA$2)+((AC29+AC30)*AC$2))/AE$2</f>
        <v>11.465909662928349</v>
      </c>
      <c r="AF29" s="3334">
        <v>1.8</v>
      </c>
      <c r="AG29" s="3333">
        <f>864/(24*AG$2)</f>
        <v>1.2</v>
      </c>
      <c r="AH29" s="3329">
        <f t="shared" si="100"/>
        <v>1.8000000000000003</v>
      </c>
      <c r="AI29" s="3329">
        <f>+((AE29*AE$2)+((AG29+AG30)*AG$2))/AI$2</f>
        <v>12.462573775409837</v>
      </c>
      <c r="AJ29" s="3624">
        <v>1.8</v>
      </c>
      <c r="AK29" s="3616">
        <f>892.8/(24*AK$2)</f>
        <v>1.2</v>
      </c>
      <c r="AL29" s="3619">
        <f t="shared" si="102"/>
        <v>1.8000000000000003</v>
      </c>
      <c r="AM29" s="3619">
        <f>+(((AC29+AC30)*AC$2)+((AG29+AG30)*AG$2)+((AK29+AK30)*AK$2))/AM$2</f>
        <v>19.590760869565219</v>
      </c>
      <c r="AN29" s="3617">
        <f t="shared" si="104"/>
        <v>1.8000000000000003</v>
      </c>
      <c r="AO29" s="3617">
        <f>+((AI29*AI$2)+((AK29+AK30)*AK$2))/AO$2</f>
        <v>13.30474424678788</v>
      </c>
      <c r="AP29" s="3964">
        <v>1.8</v>
      </c>
      <c r="AQ29" s="3962">
        <f>892.8/(24*AQ$2)</f>
        <v>1.2</v>
      </c>
      <c r="AR29" s="3963">
        <f t="shared" si="106"/>
        <v>1.8000000000000003</v>
      </c>
      <c r="AS29" s="3963">
        <f>+((AO29*AO$2)+((AQ29+AQ30)*AQ$2))/AS$2</f>
        <v>13.866126365577342</v>
      </c>
      <c r="AT29" s="4086">
        <v>1.8</v>
      </c>
      <c r="AU29" s="4083">
        <f>806.4/(24*AU$2)</f>
        <v>1.2</v>
      </c>
      <c r="AV29" s="4084">
        <f t="shared" si="108"/>
        <v>1.8</v>
      </c>
      <c r="AW29" s="4084">
        <f>+((AS29*AS$2)+((AU29+AU30)*AU$2))/AW$2</f>
        <v>14.290303396806385</v>
      </c>
      <c r="AX29" s="4572">
        <v>1.8</v>
      </c>
      <c r="AY29" s="4568">
        <f>892.8/(24*AY$2)</f>
        <v>1.2</v>
      </c>
      <c r="AZ29" s="4567">
        <f t="shared" si="110"/>
        <v>1.8</v>
      </c>
      <c r="BA29" s="4567">
        <f>+(((AQ29+AQ30)*AQ$2)+((AU29+AU30)*AU$2)+((AY29+AY30)*AY$2))/BA$2</f>
        <v>19.117925925925928</v>
      </c>
      <c r="BB29" s="4615">
        <f>+((AL29*AL$2)+(AZ29*AZ$2))/BB$2</f>
        <v>1.8</v>
      </c>
      <c r="BC29" s="4615">
        <f>+((AM29*AM$2)+((BA29+BA30)*BA$2))/BC$2</f>
        <v>28.217454212454214</v>
      </c>
      <c r="BD29" s="4569">
        <f t="shared" si="112"/>
        <v>1.8</v>
      </c>
      <c r="BE29" s="4569">
        <f>+((AW29*AW$2)+((AY29+AY30)*AY$2))/BE$2</f>
        <v>14.738131510136986</v>
      </c>
    </row>
    <row r="30" spans="1:57" s="669" customFormat="1" x14ac:dyDescent="0.25">
      <c r="A30" s="189"/>
      <c r="B30" s="3741" t="s">
        <v>1032</v>
      </c>
      <c r="C30" s="3609" t="s">
        <v>625</v>
      </c>
      <c r="D30" s="369">
        <v>1.5</v>
      </c>
      <c r="E30" s="5383">
        <v>13.328444444000001</v>
      </c>
      <c r="F30" s="369">
        <v>3.1</v>
      </c>
      <c r="G30" s="5381">
        <v>13.72634409</v>
      </c>
      <c r="H30" s="949">
        <f t="shared" ref="H30:H32" si="117">+((D30*D$2)+(F30*F$2))/H$2</f>
        <v>2.3131147540983612</v>
      </c>
      <c r="I30" s="5378">
        <f>+((E30*E$2)+(G30*G$2))/I$2</f>
        <v>13.530655739508196</v>
      </c>
      <c r="J30" s="369">
        <v>3.1</v>
      </c>
      <c r="K30" s="5381">
        <f>12756.96/(24*K$2)</f>
        <v>17.718</v>
      </c>
      <c r="L30" s="951">
        <f t="shared" si="114"/>
        <v>2.5725274725274727</v>
      </c>
      <c r="M30" s="5379">
        <f>+((I30*I$2)+(K30*K$2))/M$2</f>
        <v>14.911098902307693</v>
      </c>
      <c r="N30" s="369">
        <v>3.1</v>
      </c>
      <c r="O30" s="5381">
        <f>13408.72/(24*O$2)</f>
        <v>18.022473118279571</v>
      </c>
      <c r="P30" s="949">
        <f t="shared" si="115"/>
        <v>2.7065573770491809</v>
      </c>
      <c r="Q30" s="5378">
        <f>+((M30*M$2)+(O30*O$2))/Q$2</f>
        <v>15.701693989972679</v>
      </c>
      <c r="R30" s="369">
        <v>3.1</v>
      </c>
      <c r="S30" s="5381">
        <f>13396.672/(24*S$2)</f>
        <v>18.006279569892474</v>
      </c>
      <c r="T30" s="949">
        <f>+((P30*P$2)+(R30*R$2))/T$2</f>
        <v>2.7862745098039219</v>
      </c>
      <c r="U30" s="5378">
        <f>+((Q30*Q$2)+(S30*S$2))/U$2</f>
        <v>16.168636166296299</v>
      </c>
      <c r="V30" s="369">
        <v>3.1</v>
      </c>
      <c r="W30" s="5381">
        <f>12939.92/(24*W$2)</f>
        <v>17.972111111111111</v>
      </c>
      <c r="X30" s="951">
        <f t="shared" si="94"/>
        <v>3.1000000000000005</v>
      </c>
      <c r="Y30" s="5379">
        <f>+((O30*O$2)+(S30*S$2)+(W30*W$2))/Y$2</f>
        <v>18.000594202898554</v>
      </c>
      <c r="Z30" s="1188">
        <f t="shared" si="96"/>
        <v>2.8377049180327871</v>
      </c>
      <c r="AA30" s="5380">
        <f>+((M30*M$2)+(Y30*Y$2))/AA$2</f>
        <v>16.464287796593808</v>
      </c>
      <c r="AB30" s="3215">
        <v>3.1</v>
      </c>
      <c r="AC30" s="5377">
        <f>13441.2/(24*AC$2)</f>
        <v>18.066129032258065</v>
      </c>
      <c r="AD30" s="3214">
        <f>+((Z30*Z$2)+(AB30*AB$2))/AD$2</f>
        <v>2.8757009345794398</v>
      </c>
      <c r="AE30" s="5378">
        <f>+((AA30*AA$2)+(AC30*AC$2))/AE$2</f>
        <v>16.696330218582556</v>
      </c>
      <c r="AF30" s="3334">
        <v>3.1</v>
      </c>
      <c r="AG30" s="5377">
        <f>13227.92/(24*AG$2)</f>
        <v>18.37211111111111</v>
      </c>
      <c r="AH30" s="3329">
        <f>+((AD30*AD$2)+(AF30*AF$2))/AH$2</f>
        <v>2.9032786885245905</v>
      </c>
      <c r="AI30" s="5378">
        <f>+((AE30*AE$2)+(AG30*AG$2))/AI$2</f>
        <v>16.902368852909838</v>
      </c>
      <c r="AJ30" s="3624">
        <v>3.1</v>
      </c>
      <c r="AK30" s="5377">
        <f>13937.68/(24*AK$2)</f>
        <v>18.733440860215055</v>
      </c>
      <c r="AL30" s="3619">
        <f t="shared" si="102"/>
        <v>3.1000000000000005</v>
      </c>
      <c r="AM30" s="5379">
        <f>+((AC30*AC$2)+(AG30*AG$2)+(AK30*AK$2))/AM$2</f>
        <v>18.390760869565216</v>
      </c>
      <c r="AN30" s="3617">
        <f>+((AH30*AH$2)+(AJ30*AJ$2))/AN$2</f>
        <v>2.9254545454545458</v>
      </c>
      <c r="AO30" s="5378">
        <f>+((AI30*AI$2)+(AK30*AK$2))/AO$2</f>
        <v>17.108780606460609</v>
      </c>
      <c r="AP30" s="3964">
        <v>3.1</v>
      </c>
      <c r="AQ30" s="5377">
        <f>13128.72/(24*AQ$2)</f>
        <v>17.646129032258063</v>
      </c>
      <c r="AR30" s="3963">
        <f>+((AN30*AN$2)+(AP30*AP$2))/AR$2</f>
        <v>2.9431372549019614</v>
      </c>
      <c r="AS30" s="5378">
        <f>+((AO30*AO$2)+(AQ30*AQ$2))/AS$2</f>
        <v>17.163217865283226</v>
      </c>
      <c r="AT30" s="4086">
        <v>3.1</v>
      </c>
      <c r="AU30" s="5377">
        <f>11911.84/(24*AU$2)</f>
        <v>17.725952380952382</v>
      </c>
      <c r="AV30" s="4084">
        <f>+((AR30*AR$2)+(AT30*AT$2))/AV$2</f>
        <v>2.9562874251497013</v>
      </c>
      <c r="AW30" s="5378">
        <f>+((AS30*AS$2)+(AU30*AU$2))/AW$2</f>
        <v>17.210393213902197</v>
      </c>
      <c r="AX30" s="4572">
        <v>3.1</v>
      </c>
      <c r="AY30" s="5377">
        <f>13662.16/(24*AY$2)</f>
        <v>18.363118279569893</v>
      </c>
      <c r="AZ30" s="4567">
        <f t="shared" si="110"/>
        <v>3.1</v>
      </c>
      <c r="BA30" s="5379">
        <f>+((AQ30*AQ$2)+(AU30*AU$2)+(AY30*AY$2))/BA$2</f>
        <v>17.917925925925925</v>
      </c>
      <c r="BB30" s="4615">
        <f>+((AL30*AL$2)+(AZ30*AZ$2))/BB$2</f>
        <v>3.1</v>
      </c>
      <c r="BC30" s="5380">
        <f>+((AM30*AM$2)+(BA30*BA$2))/BC$2</f>
        <v>18.156941391941391</v>
      </c>
      <c r="BD30" s="4569">
        <f>+((AV30*AV$2)+(AX30*AX$2))/BD$2</f>
        <v>2.9684931506849321</v>
      </c>
      <c r="BE30" s="5378">
        <f>+((AW30*AW$2)+(AY30*AY$2))/BE$2</f>
        <v>17.30829589071233</v>
      </c>
    </row>
    <row r="31" spans="1:57" x14ac:dyDescent="0.25">
      <c r="B31" s="3741" t="s">
        <v>857</v>
      </c>
      <c r="C31" s="3609" t="s">
        <v>625</v>
      </c>
      <c r="D31" s="365">
        <v>7.6479999999999997</v>
      </c>
      <c r="E31" s="5383"/>
      <c r="F31" s="365">
        <v>2.2999999999999998</v>
      </c>
      <c r="G31" s="5381"/>
      <c r="H31" s="949">
        <f t="shared" si="117"/>
        <v>4.93016393442623</v>
      </c>
      <c r="I31" s="5378"/>
      <c r="J31" s="365">
        <v>1.27</v>
      </c>
      <c r="K31" s="5381"/>
      <c r="L31" s="951">
        <f t="shared" si="114"/>
        <v>3.7235164835164838</v>
      </c>
      <c r="M31" s="5379"/>
      <c r="N31" s="365">
        <v>1.27</v>
      </c>
      <c r="O31" s="5381"/>
      <c r="P31" s="949">
        <f t="shared" si="115"/>
        <v>3.1000819672131152</v>
      </c>
      <c r="Q31" s="5378"/>
      <c r="R31" s="365">
        <v>1.27</v>
      </c>
      <c r="S31" s="5381"/>
      <c r="T31" s="949">
        <f t="shared" si="92"/>
        <v>2.7292810457516343</v>
      </c>
      <c r="U31" s="5378"/>
      <c r="V31" s="365">
        <v>1.27</v>
      </c>
      <c r="W31" s="5381">
        <f>0/(24*W$2)</f>
        <v>0</v>
      </c>
      <c r="X31" s="951">
        <f t="shared" si="94"/>
        <v>1.27</v>
      </c>
      <c r="Y31" s="5379"/>
      <c r="Z31" s="1188">
        <f t="shared" si="96"/>
        <v>2.4900546448087435</v>
      </c>
      <c r="AA31" s="5380"/>
      <c r="AB31" s="3213">
        <v>1.27</v>
      </c>
      <c r="AC31" s="5377"/>
      <c r="AD31" s="3214">
        <f t="shared" ref="AD31:AD32" si="118">+((Z31*Z$2)+(AB31*AB$2))/AD$2</f>
        <v>2.3133177570093459</v>
      </c>
      <c r="AE31" s="5378"/>
      <c r="AF31" s="3330">
        <v>1.27</v>
      </c>
      <c r="AG31" s="5377"/>
      <c r="AH31" s="3329">
        <f t="shared" ref="AH31:AH32" si="119">+((AD31*AD$2)+(AF31*AF$2))/AH$2</f>
        <v>2.1850409836065574</v>
      </c>
      <c r="AI31" s="5378"/>
      <c r="AJ31" s="3618">
        <v>1.27</v>
      </c>
      <c r="AK31" s="5377"/>
      <c r="AL31" s="3619">
        <f t="shared" si="102"/>
        <v>1.27</v>
      </c>
      <c r="AM31" s="5379"/>
      <c r="AN31" s="3617">
        <f t="shared" ref="AN31:AN32" si="120">+((AH31*AH$2)+(AJ31*AJ$2))/AN$2</f>
        <v>2.0818909090909092</v>
      </c>
      <c r="AO31" s="5378"/>
      <c r="AP31" s="3965">
        <v>1.2700000000000073</v>
      </c>
      <c r="AQ31" s="5377"/>
      <c r="AR31" s="3963">
        <f t="shared" ref="AR31:AR32" si="121">+((AN31*AN$2)+(AP31*AP$2))/AR$2</f>
        <v>1.9996405228758181</v>
      </c>
      <c r="AS31" s="5378"/>
      <c r="AT31" s="4085">
        <v>1.2700000000000073</v>
      </c>
      <c r="AU31" s="5377"/>
      <c r="AV31" s="4084">
        <f t="shared" ref="AV31:AV32" si="122">+((AR31*AR$2)+(AT31*AT$2))/AV$2</f>
        <v>1.938473053892217</v>
      </c>
      <c r="AW31" s="5378"/>
      <c r="AX31" s="4571">
        <v>1.2700000000000073</v>
      </c>
      <c r="AY31" s="5377"/>
      <c r="AZ31" s="4567">
        <f t="shared" si="110"/>
        <v>1.2700000000000073</v>
      </c>
      <c r="BA31" s="5379"/>
      <c r="BB31" s="4615">
        <f>+((AL31*AL$2)+(AZ31*AZ$2))/BB$2</f>
        <v>1.2700000000000036</v>
      </c>
      <c r="BC31" s="5380"/>
      <c r="BD31" s="4569">
        <f t="shared" ref="BD31:BD32" si="123">+((AV31*AV$2)+(AX31*AX$2))/BD$2</f>
        <v>1.8816986301369882</v>
      </c>
      <c r="BE31" s="5378"/>
    </row>
    <row r="32" spans="1:57" x14ac:dyDescent="0.25">
      <c r="B32" s="5382" t="s">
        <v>107</v>
      </c>
      <c r="C32" s="3609" t="s">
        <v>625</v>
      </c>
      <c r="D32" s="365">
        <v>0</v>
      </c>
      <c r="E32" s="365">
        <v>0</v>
      </c>
      <c r="F32" s="365">
        <v>0</v>
      </c>
      <c r="G32" s="365">
        <v>0</v>
      </c>
      <c r="H32" s="949">
        <f t="shared" si="117"/>
        <v>0</v>
      </c>
      <c r="I32" s="949">
        <f>+((E32*E$2)+(G32*G$2))/I$2</f>
        <v>0</v>
      </c>
      <c r="J32" s="365">
        <v>0</v>
      </c>
      <c r="K32" s="365">
        <f>0/(24*K$2)</f>
        <v>0</v>
      </c>
      <c r="L32" s="951">
        <f t="shared" si="114"/>
        <v>0</v>
      </c>
      <c r="M32" s="951">
        <f>+((I32*I$2)+(K32*K$2))/M$2</f>
        <v>0</v>
      </c>
      <c r="N32" s="365">
        <v>0</v>
      </c>
      <c r="O32" s="365">
        <v>0</v>
      </c>
      <c r="P32" s="949">
        <f t="shared" si="115"/>
        <v>0</v>
      </c>
      <c r="Q32" s="949">
        <f t="shared" si="116"/>
        <v>0</v>
      </c>
      <c r="R32" s="365">
        <v>0</v>
      </c>
      <c r="S32" s="365">
        <v>0</v>
      </c>
      <c r="T32" s="949">
        <f t="shared" si="92"/>
        <v>0</v>
      </c>
      <c r="U32" s="949">
        <f t="shared" ref="U32" si="124">+((Q32*Q$2)+(S32*S$2))/U$2</f>
        <v>0</v>
      </c>
      <c r="V32" s="365">
        <v>0</v>
      </c>
      <c r="W32" s="365">
        <v>0</v>
      </c>
      <c r="X32" s="951">
        <f t="shared" ref="X32" si="125">+((N32*N$2)+(R32*R$2)+(V32*V$2))/X$2</f>
        <v>0</v>
      </c>
      <c r="Y32" s="951">
        <f t="shared" ref="Y32" si="126">+((O32*O$2)+(S32*S$2)+(W32*W$2))/Y$2</f>
        <v>0</v>
      </c>
      <c r="Z32" s="1188">
        <f t="shared" si="96"/>
        <v>0</v>
      </c>
      <c r="AA32" s="1188">
        <f t="shared" ref="AA32" si="127">+((U32*U$2)+(W32*W$2))/AA$2</f>
        <v>0</v>
      </c>
      <c r="AB32" s="3213">
        <v>0</v>
      </c>
      <c r="AC32" s="210">
        <v>0</v>
      </c>
      <c r="AD32" s="3214">
        <f t="shared" si="118"/>
        <v>0</v>
      </c>
      <c r="AE32" s="3214">
        <f t="shared" ref="AE32" si="128">+((AA32*AA$2)+(AC32*AC$2))/AE$2</f>
        <v>0</v>
      </c>
      <c r="AF32" s="3330">
        <v>0</v>
      </c>
      <c r="AG32" s="3333">
        <v>0</v>
      </c>
      <c r="AH32" s="3329">
        <f t="shared" si="119"/>
        <v>0</v>
      </c>
      <c r="AI32" s="3329">
        <f t="shared" ref="AI32" si="129">+((AE32*AE$2)+(AG32*AG$2))/AI$2</f>
        <v>0</v>
      </c>
      <c r="AJ32" s="3618">
        <v>0</v>
      </c>
      <c r="AK32" s="3616">
        <v>0</v>
      </c>
      <c r="AL32" s="3619">
        <f t="shared" si="102"/>
        <v>0</v>
      </c>
      <c r="AM32" s="3619">
        <f t="shared" ref="AM32" si="130">+((AC32*AC$2)+(AG32*AG$2)+(AK32*AK$2))/AM$2</f>
        <v>0</v>
      </c>
      <c r="AN32" s="3617">
        <f t="shared" si="120"/>
        <v>0</v>
      </c>
      <c r="AO32" s="3617">
        <f t="shared" ref="AO32" si="131">+((AI32*AI$2)+(AK32*AK$2))/AO$2</f>
        <v>0</v>
      </c>
      <c r="AP32" s="3965">
        <v>0</v>
      </c>
      <c r="AQ32" s="3962">
        <v>0</v>
      </c>
      <c r="AR32" s="3963">
        <f t="shared" si="121"/>
        <v>0</v>
      </c>
      <c r="AS32" s="3963">
        <f t="shared" ref="AS32" si="132">+((AO32*AO$2)+(AQ32*AQ$2))/AS$2</f>
        <v>0</v>
      </c>
      <c r="AT32" s="4085">
        <v>0</v>
      </c>
      <c r="AU32" s="4083">
        <v>0</v>
      </c>
      <c r="AV32" s="4084">
        <f t="shared" si="122"/>
        <v>0</v>
      </c>
      <c r="AW32" s="4084">
        <f t="shared" ref="AW32" si="133">+((AS32*AS$2)+(AU32*AU$2))/AW$2</f>
        <v>0</v>
      </c>
      <c r="AX32" s="4571">
        <v>0</v>
      </c>
      <c r="AY32" s="4568">
        <v>0</v>
      </c>
      <c r="AZ32" s="4567">
        <f t="shared" si="110"/>
        <v>0</v>
      </c>
      <c r="BA32" s="4567">
        <f t="shared" ref="BA32" si="134">+((AQ32*AQ$2)+(AU32*AU$2)+(AY32*AY$2))/BA$2</f>
        <v>0</v>
      </c>
      <c r="BB32" s="4615">
        <f>+((AL32*AL$2)+(AZ32*AZ$2))/BB$2</f>
        <v>0</v>
      </c>
      <c r="BC32" s="4615">
        <f>+((AM32*AM$2)+(BA32*BA$2))/BC$2</f>
        <v>0</v>
      </c>
      <c r="BD32" s="4569">
        <f t="shared" si="123"/>
        <v>0</v>
      </c>
      <c r="BE32" s="4569">
        <f t="shared" ref="BE32" si="135">+((AW32*AW$2)+(AY32*AY$2))/BE$2</f>
        <v>0</v>
      </c>
    </row>
    <row r="33" spans="1:57" ht="15.75" customHeight="1" x14ac:dyDescent="0.25">
      <c r="B33" s="5382"/>
      <c r="C33" s="3609" t="s">
        <v>53</v>
      </c>
      <c r="D33" s="238">
        <v>0</v>
      </c>
      <c r="E33" s="238">
        <v>0</v>
      </c>
      <c r="F33" s="238">
        <v>0</v>
      </c>
      <c r="G33" s="238"/>
      <c r="H33" s="2418">
        <f t="shared" ref="H33:I33" si="136">+D33+F33</f>
        <v>0</v>
      </c>
      <c r="I33" s="2418">
        <f t="shared" si="136"/>
        <v>0</v>
      </c>
      <c r="J33" s="238">
        <v>0</v>
      </c>
      <c r="K33" s="238">
        <v>0</v>
      </c>
      <c r="L33" s="2415">
        <f t="shared" ref="L33" si="137">+H33+J33</f>
        <v>0</v>
      </c>
      <c r="M33" s="2415">
        <f t="shared" ref="M33" si="138">+I33+K33</f>
        <v>0</v>
      </c>
      <c r="N33" s="238">
        <v>0</v>
      </c>
      <c r="O33" s="238">
        <v>0</v>
      </c>
      <c r="P33" s="2418">
        <f t="shared" ref="P33:Q33" si="139">+L33+N33</f>
        <v>0</v>
      </c>
      <c r="Q33" s="2418">
        <f t="shared" si="139"/>
        <v>0</v>
      </c>
      <c r="R33" s="238">
        <v>0</v>
      </c>
      <c r="S33" s="238">
        <v>0</v>
      </c>
      <c r="T33" s="2418">
        <f t="shared" ref="T33" si="140">+P33+R33</f>
        <v>0</v>
      </c>
      <c r="U33" s="2418">
        <f t="shared" ref="U33" si="141">+Q33+S33</f>
        <v>0</v>
      </c>
      <c r="V33" s="238">
        <v>0</v>
      </c>
      <c r="W33" s="238">
        <v>0</v>
      </c>
      <c r="X33" s="951">
        <f>+N33+R33+V33</f>
        <v>0</v>
      </c>
      <c r="Y33" s="951">
        <f>+O33+S33+W33</f>
        <v>0</v>
      </c>
      <c r="Z33" s="1134">
        <f>+L33+X33</f>
        <v>0</v>
      </c>
      <c r="AA33" s="1134">
        <f t="shared" ref="AA33" si="142">+M33+Y33</f>
        <v>0</v>
      </c>
      <c r="AB33" s="238">
        <v>0</v>
      </c>
      <c r="AC33" s="50">
        <v>0</v>
      </c>
      <c r="AD33" s="3210">
        <f t="shared" ref="AD33" si="143">+Z33+AB33</f>
        <v>0</v>
      </c>
      <c r="AE33" s="3210">
        <f t="shared" ref="AE33" si="144">+AA33+AC33</f>
        <v>0</v>
      </c>
      <c r="AF33" s="238">
        <v>0</v>
      </c>
      <c r="AG33" s="50">
        <v>0</v>
      </c>
      <c r="AH33" s="3321">
        <f t="shared" ref="AH33" si="145">+AD33+AF33</f>
        <v>0</v>
      </c>
      <c r="AI33" s="3321">
        <f t="shared" ref="AI33" si="146">+AE33+AG33</f>
        <v>0</v>
      </c>
      <c r="AJ33" s="3640">
        <v>0</v>
      </c>
      <c r="AK33" s="50">
        <v>0</v>
      </c>
      <c r="AL33" s="3619">
        <f>+AB33+AF33+AJ33</f>
        <v>0</v>
      </c>
      <c r="AM33" s="3619">
        <f>+AC33+AG33+AK33</f>
        <v>0</v>
      </c>
      <c r="AN33" s="3597">
        <f t="shared" ref="AN33" si="147">+AH33+AJ33</f>
        <v>0</v>
      </c>
      <c r="AO33" s="3597">
        <f t="shared" ref="AO33" si="148">+AI33+AK33</f>
        <v>0</v>
      </c>
      <c r="AP33" s="3912">
        <v>0</v>
      </c>
      <c r="AQ33" s="50">
        <v>0</v>
      </c>
      <c r="AR33" s="3915">
        <f t="shared" ref="AR33" si="149">+AN33+AP33</f>
        <v>0</v>
      </c>
      <c r="AS33" s="3915">
        <f t="shared" ref="AS33" si="150">+AO33+AQ33</f>
        <v>0</v>
      </c>
      <c r="AT33" s="4060">
        <v>0</v>
      </c>
      <c r="AU33" s="50">
        <v>0</v>
      </c>
      <c r="AV33" s="4062">
        <f t="shared" ref="AV33" si="151">+AR33+AT33</f>
        <v>0</v>
      </c>
      <c r="AW33" s="4062">
        <f t="shared" ref="AW33" si="152">+AS33+AU33</f>
        <v>0</v>
      </c>
      <c r="AX33" s="4555">
        <v>0</v>
      </c>
      <c r="AY33" s="50">
        <v>0</v>
      </c>
      <c r="AZ33" s="4567">
        <f>+AP33+AT33+AX33</f>
        <v>0</v>
      </c>
      <c r="BA33" s="4567">
        <f>+AQ33+AU33+AY33</f>
        <v>0</v>
      </c>
      <c r="BB33" s="4604">
        <f>+AL33+AZ33</f>
        <v>0</v>
      </c>
      <c r="BC33" s="4604">
        <f>+AM33+BA33</f>
        <v>0</v>
      </c>
      <c r="BD33" s="4557">
        <f t="shared" ref="BD33" si="153">+AV33+AX33</f>
        <v>0</v>
      </c>
      <c r="BE33" s="4557">
        <f t="shared" ref="BE33" si="154">+AW33+AY33</f>
        <v>0</v>
      </c>
    </row>
    <row r="34" spans="1:57" s="334" customFormat="1" ht="15.75" x14ac:dyDescent="0.25">
      <c r="A34" s="477"/>
      <c r="B34" s="3742" t="s">
        <v>23</v>
      </c>
      <c r="C34" s="3627" t="s">
        <v>625</v>
      </c>
      <c r="D34" s="2428">
        <f t="shared" ref="D34:AI34" si="155">SUM(D27:D32)</f>
        <v>28.448</v>
      </c>
      <c r="E34" s="2428">
        <f t="shared" si="155"/>
        <v>25.101555554999997</v>
      </c>
      <c r="F34" s="2428">
        <f t="shared" si="155"/>
        <v>35.199999999999996</v>
      </c>
      <c r="G34" s="2428">
        <f t="shared" si="155"/>
        <v>24.068172089999997</v>
      </c>
      <c r="H34" s="2428">
        <f t="shared" si="155"/>
        <v>31.879344262295081</v>
      </c>
      <c r="I34" s="2428">
        <f t="shared" si="155"/>
        <v>24.576393466229504</v>
      </c>
      <c r="J34" s="2428">
        <f t="shared" si="155"/>
        <v>32.17</v>
      </c>
      <c r="K34" s="2428">
        <f t="shared" si="155"/>
        <v>32.446333333333328</v>
      </c>
      <c r="L34" s="2428">
        <f t="shared" si="155"/>
        <v>31.975164835164836</v>
      </c>
      <c r="M34" s="2428">
        <f t="shared" si="155"/>
        <v>27.170879136703299</v>
      </c>
      <c r="N34" s="2428">
        <f t="shared" si="155"/>
        <v>32.17</v>
      </c>
      <c r="O34" s="2428">
        <f t="shared" si="155"/>
        <v>32.928494623655915</v>
      </c>
      <c r="P34" s="2428">
        <f t="shared" si="155"/>
        <v>32.02467213114754</v>
      </c>
      <c r="Q34" s="2428">
        <f t="shared" si="155"/>
        <v>33.213360667540982</v>
      </c>
      <c r="R34" s="2428">
        <f t="shared" si="155"/>
        <v>32.17</v>
      </c>
      <c r="S34" s="2428">
        <f t="shared" si="155"/>
        <v>32.985096774193551</v>
      </c>
      <c r="T34" s="2428">
        <f t="shared" si="155"/>
        <v>32.054117647058824</v>
      </c>
      <c r="U34" s="2428">
        <f t="shared" si="155"/>
        <v>36.815442275206976</v>
      </c>
      <c r="V34" s="2428">
        <f t="shared" si="155"/>
        <v>32.17</v>
      </c>
      <c r="W34" s="2428">
        <f t="shared" si="155"/>
        <v>33.426666666666662</v>
      </c>
      <c r="X34" s="2428">
        <f t="shared" si="155"/>
        <v>32.17</v>
      </c>
      <c r="Y34" s="2428">
        <f t="shared" si="155"/>
        <v>51.110608695652175</v>
      </c>
      <c r="Z34" s="2428">
        <f t="shared" si="155"/>
        <v>32.073114754098363</v>
      </c>
      <c r="AA34" s="2428">
        <f t="shared" si="155"/>
        <v>39.206153013333335</v>
      </c>
      <c r="AB34" s="2428">
        <f t="shared" si="155"/>
        <v>32.17</v>
      </c>
      <c r="AC34" s="2428">
        <f t="shared" si="155"/>
        <v>33.759892473118278</v>
      </c>
      <c r="AD34" s="2428">
        <f t="shared" si="155"/>
        <v>32.087149532710278</v>
      </c>
      <c r="AE34" s="2428">
        <f t="shared" si="155"/>
        <v>41.034264804236756</v>
      </c>
      <c r="AF34" s="2428">
        <f t="shared" si="155"/>
        <v>32.17</v>
      </c>
      <c r="AG34" s="2428">
        <f t="shared" si="155"/>
        <v>34.949111111111108</v>
      </c>
      <c r="AH34" s="2428">
        <f t="shared" si="155"/>
        <v>32.097336065573771</v>
      </c>
      <c r="AI34" s="2428">
        <f t="shared" si="155"/>
        <v>42.544956290054643</v>
      </c>
      <c r="AJ34" s="2428">
        <f t="shared" ref="AJ34:AQ34" si="156">SUM(AJ27:AJ32)</f>
        <v>32.17</v>
      </c>
      <c r="AK34" s="2428">
        <f t="shared" si="156"/>
        <v>35.72376344086021</v>
      </c>
      <c r="AL34" s="2428">
        <f t="shared" si="156"/>
        <v>32.17</v>
      </c>
      <c r="AM34" s="2428">
        <f t="shared" si="156"/>
        <v>53.200181159420282</v>
      </c>
      <c r="AN34" s="2428">
        <f t="shared" si="156"/>
        <v>32.105527272727272</v>
      </c>
      <c r="AO34" s="2428">
        <f t="shared" si="156"/>
        <v>43.887791520387879</v>
      </c>
      <c r="AP34" s="2428">
        <f t="shared" si="156"/>
        <v>32.170000000000009</v>
      </c>
      <c r="AQ34" s="2428">
        <f t="shared" si="156"/>
        <v>34.11774193548387</v>
      </c>
      <c r="AR34" s="2428">
        <f t="shared" ref="AR34:AU34" si="157">SUM(AR27:AR32)</f>
        <v>32.112058823529416</v>
      </c>
      <c r="AS34" s="2428">
        <f t="shared" si="157"/>
        <v>44.685694993812632</v>
      </c>
      <c r="AT34" s="2428">
        <f t="shared" si="157"/>
        <v>32.170000000000009</v>
      </c>
      <c r="AU34" s="2428">
        <f t="shared" si="157"/>
        <v>34.513571428571431</v>
      </c>
      <c r="AV34" s="2428">
        <f t="shared" ref="AV34:BC34" si="158">SUM(AV27:AV32)</f>
        <v>32.11691616766467</v>
      </c>
      <c r="AW34" s="2428">
        <f t="shared" si="158"/>
        <v>45.318950104111778</v>
      </c>
      <c r="AX34" s="2428">
        <f t="shared" si="158"/>
        <v>32.170000000000009</v>
      </c>
      <c r="AY34" s="2428">
        <f t="shared" si="158"/>
        <v>35.334193548387098</v>
      </c>
      <c r="AZ34" s="2428">
        <f t="shared" si="158"/>
        <v>32.170000000000009</v>
      </c>
      <c r="BA34" s="2428">
        <f t="shared" si="158"/>
        <v>52.577814814814815</v>
      </c>
      <c r="BB34" s="2428">
        <f t="shared" si="158"/>
        <v>32.170000000000009</v>
      </c>
      <c r="BC34" s="2428">
        <f t="shared" si="158"/>
        <v>61.752930402930403</v>
      </c>
      <c r="BD34" s="2428">
        <f t="shared" ref="BD34:BE34" si="159">SUM(BD27:BD32)</f>
        <v>32.121424657534249</v>
      </c>
      <c r="BE34" s="2428">
        <f t="shared" si="159"/>
        <v>46.030536990246574</v>
      </c>
    </row>
    <row r="35" spans="1:57" s="334" customFormat="1" ht="15.75" x14ac:dyDescent="0.25">
      <c r="A35" s="477"/>
      <c r="B35" s="2900" t="s">
        <v>109</v>
      </c>
      <c r="C35" s="2900"/>
      <c r="D35" s="2905"/>
      <c r="E35" s="2905"/>
      <c r="F35" s="2905"/>
      <c r="G35" s="2905"/>
      <c r="H35" s="2905"/>
      <c r="I35" s="2905"/>
      <c r="J35" s="2905"/>
      <c r="K35" s="2905"/>
      <c r="L35" s="2905"/>
      <c r="M35" s="2905"/>
      <c r="N35" s="2905"/>
      <c r="O35" s="2905"/>
      <c r="P35" s="2905"/>
      <c r="Q35" s="2905"/>
      <c r="R35" s="2905"/>
      <c r="S35" s="2905"/>
      <c r="T35" s="2905"/>
      <c r="U35" s="2905"/>
      <c r="V35" s="2905"/>
      <c r="W35" s="2905"/>
      <c r="X35" s="2905"/>
      <c r="Y35" s="2905"/>
      <c r="Z35" s="2905"/>
      <c r="AA35" s="2905"/>
      <c r="AB35" s="2905"/>
      <c r="AC35" s="3221"/>
      <c r="AD35" s="2905"/>
      <c r="AE35" s="2905"/>
      <c r="AF35" s="2905"/>
      <c r="AG35" s="3221"/>
      <c r="AH35" s="2905"/>
      <c r="AI35" s="2905"/>
      <c r="AJ35" s="2905"/>
      <c r="AK35" s="3221"/>
      <c r="AL35" s="2905"/>
      <c r="AM35" s="2905"/>
      <c r="AN35" s="2905"/>
      <c r="AO35" s="2905"/>
      <c r="AP35" s="2905"/>
      <c r="AQ35" s="3221"/>
      <c r="AR35" s="2905"/>
      <c r="AS35" s="2905"/>
      <c r="AT35" s="2905"/>
      <c r="AU35" s="3221"/>
      <c r="AV35" s="2905"/>
      <c r="AW35" s="2905"/>
      <c r="AX35" s="2905"/>
      <c r="AY35" s="3221"/>
      <c r="AZ35" s="2905"/>
      <c r="BA35" s="2905"/>
      <c r="BB35" s="2905"/>
      <c r="BC35" s="2905"/>
      <c r="BD35" s="2905"/>
      <c r="BE35" s="2905"/>
    </row>
    <row r="36" spans="1:57" x14ac:dyDescent="0.25">
      <c r="B36" s="3741" t="s">
        <v>60</v>
      </c>
      <c r="C36" s="3609" t="s">
        <v>625</v>
      </c>
      <c r="D36" s="365">
        <v>0.55000000000000004</v>
      </c>
      <c r="E36" s="365">
        <v>0.24162444399999999</v>
      </c>
      <c r="F36" s="365">
        <v>0.55000000000000004</v>
      </c>
      <c r="G36" s="365">
        <v>0.1777097</v>
      </c>
      <c r="H36" s="949">
        <f t="shared" ref="H36:I38" si="160">+((D36*D$2)+(F36*F$2))/H$2</f>
        <v>0.54999999999999993</v>
      </c>
      <c r="I36" s="949">
        <f t="shared" si="160"/>
        <v>0.2091431806557377</v>
      </c>
      <c r="J36" s="365">
        <v>0.55000000000000004</v>
      </c>
      <c r="K36" s="365">
        <f>345.91/(24*K$2)</f>
        <v>0.48043055555555558</v>
      </c>
      <c r="L36" s="951">
        <f t="shared" ref="L36:L38" si="161">+((H36*H$2)+(J36*J$2))/L$2</f>
        <v>0.54999999999999993</v>
      </c>
      <c r="M36" s="951">
        <f t="shared" ref="M36:M38" si="162">+((I36*I$2)+(K36*K$2))/M$2</f>
        <v>0.29857857897435902</v>
      </c>
      <c r="N36" s="369">
        <v>0.55000000000000004</v>
      </c>
      <c r="O36" s="365">
        <f>274.82/(24*O$2)</f>
        <v>0.36938172043010753</v>
      </c>
      <c r="P36" s="949">
        <f t="shared" ref="P36:P38" si="163">+((L36*L$2)+(N36*N$2))/P$2</f>
        <v>0.54999999999999993</v>
      </c>
      <c r="Q36" s="949">
        <f t="shared" ref="Q36:Q38" si="164">+((M36*M$2)+(O36*O$2))/Q$2</f>
        <v>0.31656954114754099</v>
      </c>
      <c r="R36" s="369">
        <v>0.55000000000000004</v>
      </c>
      <c r="S36" s="365">
        <f>267.848/(24*S$2)</f>
        <v>0.36001075268817206</v>
      </c>
      <c r="T36" s="949">
        <f t="shared" ref="T36:T37" si="165">+((P36*P$2)+(R36*R$2))/T$2</f>
        <v>0.54999999999999993</v>
      </c>
      <c r="U36" s="949">
        <f t="shared" ref="U36:U38" si="166">+((Q36*Q$2)+(S36*S$2))/U$2</f>
        <v>0.32537135525054467</v>
      </c>
      <c r="V36" s="369">
        <v>0.55000000000000004</v>
      </c>
      <c r="W36" s="369">
        <f>334.32/(24*W$2)</f>
        <v>0.46433333333333332</v>
      </c>
      <c r="X36" s="951">
        <f t="shared" ref="X36:X38" si="167">+((N36*N$2)+(R36*R$2)+(V36*V$2))/X$2</f>
        <v>0.55000000000000004</v>
      </c>
      <c r="Y36" s="951">
        <f t="shared" ref="Y36:Y38" si="168">+((O36*O$2)+(S36*S$2)+(W36*W$2))/Y$2</f>
        <v>0.39718659420289859</v>
      </c>
      <c r="Z36" s="1188">
        <f t="shared" ref="Z36:Z38" si="169">+((T36*T$2)+(V36*V$2))/Z$2</f>
        <v>0.54999999999999993</v>
      </c>
      <c r="AA36" s="1188">
        <f t="shared" ref="AA36:AA38" si="170">+((U36*U$2)+(W36*W$2))/AA$2</f>
        <v>0.34815200739526414</v>
      </c>
      <c r="AB36" s="3215">
        <v>0.55000000000000004</v>
      </c>
      <c r="AC36" s="982">
        <f>306.152/(24*AC$2)</f>
        <v>0.41149462365591394</v>
      </c>
      <c r="AD36" s="3214">
        <f t="shared" ref="AD36:AD37" si="171">+((Z36*Z$2)+(AB36*AB$2))/AD$2</f>
        <v>0.54999999999999993</v>
      </c>
      <c r="AE36" s="3214">
        <f t="shared" ref="AE36:AE38" si="172">+((AA36*AA$2)+(AC36*AC$2))/AE$2</f>
        <v>0.35732780694704053</v>
      </c>
      <c r="AF36" s="3334">
        <v>0.55000000000000004</v>
      </c>
      <c r="AG36" s="982">
        <f>268.184/(24*AG$2)</f>
        <v>0.3724777777777778</v>
      </c>
      <c r="AH36" s="3329">
        <f t="shared" ref="AH36:AH37" si="173">+((AD36*AD$2)+(AF36*AF$2))/AH$2</f>
        <v>0.54999999999999993</v>
      </c>
      <c r="AI36" s="3329">
        <f t="shared" ref="AI36:AI38" si="174">+((AE36*AE$2)+(AG36*AG$2))/AI$2</f>
        <v>0.35919050827868859</v>
      </c>
      <c r="AJ36" s="3624">
        <v>0.55000000000000004</v>
      </c>
      <c r="AK36" s="982">
        <f>289.3/(24*AK$2)</f>
        <v>0.38884408602150539</v>
      </c>
      <c r="AL36" s="3619">
        <f t="shared" ref="AL36:AL38" si="175">+((AB36*AB$2)+(AF36*AF$2)+(AJ36*AJ$2))/AL$2</f>
        <v>0.54999999999999993</v>
      </c>
      <c r="AM36" s="3619">
        <f t="shared" ref="AM36:AM38" si="176">+((AC36*AC$2)+(AG36*AG$2)+(AK36*AK$2))/AM$2</f>
        <v>0.3911394927536232</v>
      </c>
      <c r="AN36" s="3617">
        <f t="shared" ref="AN36:AN37" si="177">+((AH36*AH$2)+(AJ36*AJ$2))/AN$2</f>
        <v>0.55000000000000004</v>
      </c>
      <c r="AO36" s="3617">
        <f t="shared" ref="AO36:AO38" si="178">+((AI36*AI$2)+(AK36*AK$2))/AO$2</f>
        <v>0.3625332752242425</v>
      </c>
      <c r="AP36" s="3964">
        <v>0.55000000000000004</v>
      </c>
      <c r="AQ36" s="982">
        <f>301.504/(24*AQ$2)</f>
        <v>0.40524731182795704</v>
      </c>
      <c r="AR36" s="3963">
        <f t="shared" ref="AR36:AR37" si="179">+((AN36*AN$2)+(AP36*AP$2))/AR$2</f>
        <v>0.55000000000000004</v>
      </c>
      <c r="AS36" s="3963">
        <f t="shared" ref="AS36:AS38" si="180">+((AO36*AO$2)+(AQ36*AQ$2))/AS$2</f>
        <v>0.36686051422657961</v>
      </c>
      <c r="AT36" s="4086">
        <v>0.55000000000000004</v>
      </c>
      <c r="AU36" s="982">
        <f>298.424/(24*AU$2)</f>
        <v>0.44408333333333327</v>
      </c>
      <c r="AV36" s="4084">
        <f t="shared" ref="AV36:AV37" si="181">+((AR36*AR$2)+(AT36*AT$2))/AV$2</f>
        <v>0.55000000000000004</v>
      </c>
      <c r="AW36" s="4084">
        <f t="shared" ref="AW36:AW38" si="182">+((AS36*AS$2)+(AU36*AU$2))/AW$2</f>
        <v>0.37333428349301401</v>
      </c>
      <c r="AX36" s="4572">
        <v>0.55000000000000004</v>
      </c>
      <c r="AY36" s="982">
        <f>280.84/(24*AY$2)</f>
        <v>0.37747311827956986</v>
      </c>
      <c r="AZ36" s="4567">
        <f t="shared" ref="AZ36:AZ38" si="183">+((AP36*AP$2)+(AT36*AT$2)+(AX36*AX$2))/AZ$2</f>
        <v>0.55000000000000004</v>
      </c>
      <c r="BA36" s="4567">
        <f t="shared" ref="BA36:BA38" si="184">+((AQ36*AQ$2)+(AU36*AU$2)+(AY36*AY$2))/BA$2</f>
        <v>0.40776296296296299</v>
      </c>
      <c r="BB36" s="4615">
        <f t="shared" ref="BB36:BC38" si="185">+((AL36*AL$2)+(AZ36*AZ$2))/BB$2</f>
        <v>0.54999999999999993</v>
      </c>
      <c r="BC36" s="4615">
        <f t="shared" si="185"/>
        <v>0.39935989010989015</v>
      </c>
      <c r="BD36" s="4569">
        <f t="shared" ref="BD36:BD37" si="186">+((AV36*AV$2)+(AX36*AX$2))/BD$2</f>
        <v>0.55000000000000004</v>
      </c>
      <c r="BE36" s="4569">
        <f t="shared" ref="BE36:BE38" si="187">+((AW36*AW$2)+(AY36*AY$2))/BE$2</f>
        <v>0.3736858009680365</v>
      </c>
    </row>
    <row r="37" spans="1:57" x14ac:dyDescent="0.25">
      <c r="B37" s="3741" t="s">
        <v>626</v>
      </c>
      <c r="C37" s="3609" t="s">
        <v>625</v>
      </c>
      <c r="D37" s="365">
        <v>7.1999999999999995E-2</v>
      </c>
      <c r="E37" s="365"/>
      <c r="F37" s="365">
        <v>0.10199999999999999</v>
      </c>
      <c r="G37" s="365">
        <v>0</v>
      </c>
      <c r="H37" s="949">
        <f t="shared" si="160"/>
        <v>8.7245901639344245E-2</v>
      </c>
      <c r="I37" s="949">
        <f t="shared" si="160"/>
        <v>0</v>
      </c>
      <c r="J37" s="365">
        <v>0.10199999999999999</v>
      </c>
      <c r="K37" s="365">
        <f t="shared" ref="K37" si="188">0/(24*K$2)</f>
        <v>0</v>
      </c>
      <c r="L37" s="951">
        <f t="shared" si="161"/>
        <v>9.2109890109890083E-2</v>
      </c>
      <c r="M37" s="951">
        <f t="shared" si="162"/>
        <v>0</v>
      </c>
      <c r="N37" s="369">
        <v>0.10199999999999999</v>
      </c>
      <c r="O37" s="365">
        <f>0/(24*O$2)</f>
        <v>0</v>
      </c>
      <c r="P37" s="949">
        <f t="shared" si="163"/>
        <v>9.4622950819672105E-2</v>
      </c>
      <c r="Q37" s="949">
        <f t="shared" si="164"/>
        <v>0</v>
      </c>
      <c r="R37" s="369">
        <v>0.10199999999999999</v>
      </c>
      <c r="S37" s="365">
        <f>0/(24*S$2)</f>
        <v>0</v>
      </c>
      <c r="T37" s="949">
        <f t="shared" si="165"/>
        <v>9.6117647058823502E-2</v>
      </c>
      <c r="U37" s="949">
        <f t="shared" si="166"/>
        <v>0</v>
      </c>
      <c r="V37" s="369">
        <v>0.10199999999999999</v>
      </c>
      <c r="W37" s="369">
        <f>0/(24*W$2)</f>
        <v>0</v>
      </c>
      <c r="X37" s="951">
        <f t="shared" si="167"/>
        <v>0.10200000000000001</v>
      </c>
      <c r="Y37" s="951">
        <f t="shared" si="168"/>
        <v>0</v>
      </c>
      <c r="Z37" s="1188">
        <f t="shared" si="169"/>
        <v>9.7081967213114725E-2</v>
      </c>
      <c r="AA37" s="1188">
        <f t="shared" si="170"/>
        <v>0</v>
      </c>
      <c r="AB37" s="3215">
        <v>0.10199999999999999</v>
      </c>
      <c r="AC37" s="982">
        <f>0/(24*AC$2)</f>
        <v>0</v>
      </c>
      <c r="AD37" s="3214">
        <f t="shared" si="171"/>
        <v>9.7794392523364457E-2</v>
      </c>
      <c r="AE37" s="3214">
        <f t="shared" si="172"/>
        <v>0</v>
      </c>
      <c r="AF37" s="3334">
        <v>0.10199999999999999</v>
      </c>
      <c r="AG37" s="982">
        <f>0/(24*AG$2)</f>
        <v>0</v>
      </c>
      <c r="AH37" s="3329">
        <f t="shared" si="173"/>
        <v>9.8311475409836035E-2</v>
      </c>
      <c r="AI37" s="3329">
        <f t="shared" si="174"/>
        <v>0</v>
      </c>
      <c r="AJ37" s="3624">
        <v>0.10199999999999999</v>
      </c>
      <c r="AK37" s="982">
        <f>0/(24*AK$2)</f>
        <v>0</v>
      </c>
      <c r="AL37" s="3619">
        <f t="shared" si="175"/>
        <v>0.10200000000000001</v>
      </c>
      <c r="AM37" s="3619">
        <f t="shared" si="176"/>
        <v>0</v>
      </c>
      <c r="AN37" s="3617">
        <f t="shared" si="177"/>
        <v>9.8727272727272691E-2</v>
      </c>
      <c r="AO37" s="3617">
        <f t="shared" si="178"/>
        <v>0</v>
      </c>
      <c r="AP37" s="3964">
        <v>0.10200000109999996</v>
      </c>
      <c r="AQ37" s="982">
        <f>0/(24*AQ$2)</f>
        <v>0</v>
      </c>
      <c r="AR37" s="3963">
        <f t="shared" si="179"/>
        <v>9.9058823640849641E-2</v>
      </c>
      <c r="AS37" s="3963">
        <f t="shared" si="180"/>
        <v>0</v>
      </c>
      <c r="AT37" s="4086">
        <v>0.10200000109999996</v>
      </c>
      <c r="AU37" s="982">
        <f>0/(24*AU$2)</f>
        <v>0</v>
      </c>
      <c r="AV37" s="4084">
        <f t="shared" si="181"/>
        <v>9.9305389415868237E-2</v>
      </c>
      <c r="AW37" s="4084">
        <f t="shared" si="182"/>
        <v>0</v>
      </c>
      <c r="AX37" s="4572">
        <v>0.10200000109999996</v>
      </c>
      <c r="AY37" s="982">
        <f>0/(24*AY$2)</f>
        <v>0</v>
      </c>
      <c r="AZ37" s="4567">
        <f t="shared" si="183"/>
        <v>0.10200000109999995</v>
      </c>
      <c r="BA37" s="4567">
        <f t="shared" si="184"/>
        <v>0</v>
      </c>
      <c r="BB37" s="4615">
        <f t="shared" si="185"/>
        <v>0.10200000054395603</v>
      </c>
      <c r="BC37" s="4615">
        <f t="shared" si="185"/>
        <v>0</v>
      </c>
      <c r="BD37" s="4569">
        <f t="shared" si="186"/>
        <v>9.9534246846575317E-2</v>
      </c>
      <c r="BE37" s="4569">
        <f t="shared" si="187"/>
        <v>0</v>
      </c>
    </row>
    <row r="38" spans="1:57" x14ac:dyDescent="0.25">
      <c r="B38" s="5382" t="s">
        <v>107</v>
      </c>
      <c r="C38" s="3609" t="s">
        <v>625</v>
      </c>
      <c r="D38" s="365">
        <v>0.39700000000000002</v>
      </c>
      <c r="E38" s="365">
        <v>0.55366111100000004</v>
      </c>
      <c r="F38" s="365">
        <v>0.76900000000000002</v>
      </c>
      <c r="G38" s="365">
        <v>0.51060859999999997</v>
      </c>
      <c r="H38" s="949">
        <f t="shared" si="160"/>
        <v>0.5860491803278689</v>
      </c>
      <c r="I38" s="949">
        <f t="shared" si="160"/>
        <v>0.53178196606557371</v>
      </c>
      <c r="J38" s="365">
        <v>0.77</v>
      </c>
      <c r="K38" s="365">
        <f>441.25/(24*K$2)</f>
        <v>0.61284722222222221</v>
      </c>
      <c r="L38" s="951">
        <f t="shared" si="161"/>
        <v>0.64669230769230779</v>
      </c>
      <c r="M38" s="951">
        <f t="shared" si="162"/>
        <v>0.55850677578754582</v>
      </c>
      <c r="N38" s="369">
        <v>0.77</v>
      </c>
      <c r="O38" s="365">
        <f>467.2528/(24*O$2)</f>
        <v>0.62802795698924729</v>
      </c>
      <c r="P38" s="949">
        <f t="shared" si="163"/>
        <v>0.67802459016393446</v>
      </c>
      <c r="Q38" s="949">
        <f t="shared" si="164"/>
        <v>0.57617199396174867</v>
      </c>
      <c r="R38" s="369">
        <v>0.77</v>
      </c>
      <c r="S38" s="365">
        <f>530.4208/(24*S$2)</f>
        <v>0.71293118279569889</v>
      </c>
      <c r="T38" s="949">
        <f>+((P38*P$2)+(R38*R$2))/T$2</f>
        <v>0.69666013071895438</v>
      </c>
      <c r="U38" s="949">
        <f t="shared" si="166"/>
        <v>0.60388137209150328</v>
      </c>
      <c r="V38" s="369">
        <v>0.77</v>
      </c>
      <c r="W38" s="369">
        <f>478.6096/(24*W$2)</f>
        <v>0.66473555555555552</v>
      </c>
      <c r="X38" s="951">
        <f t="shared" si="167"/>
        <v>0.77</v>
      </c>
      <c r="Y38" s="951">
        <f t="shared" si="168"/>
        <v>0.66860652173913038</v>
      </c>
      <c r="Z38" s="1188">
        <f t="shared" si="169"/>
        <v>0.70868306010928972</v>
      </c>
      <c r="AA38" s="1188">
        <f t="shared" si="170"/>
        <v>0.61385746774134786</v>
      </c>
      <c r="AB38" s="3215">
        <v>0.77</v>
      </c>
      <c r="AC38" s="982">
        <f>503.4624/(24*AC$2)</f>
        <v>0.67669677419354834</v>
      </c>
      <c r="AD38" s="3214">
        <f>+((Z38*Z$2)+(AB38*AB$2))/AD$2</f>
        <v>0.71756542056074779</v>
      </c>
      <c r="AE38" s="3214">
        <f t="shared" si="172"/>
        <v>0.62296035792834892</v>
      </c>
      <c r="AF38" s="3334">
        <v>0.77</v>
      </c>
      <c r="AG38" s="982">
        <f>564.9672/(24*AG$2)</f>
        <v>0.78467666666666669</v>
      </c>
      <c r="AH38" s="3329">
        <f>+((AD38*AD$2)+(AF38*AF$2))/AH$2</f>
        <v>0.72401229508196729</v>
      </c>
      <c r="AI38" s="3329">
        <f t="shared" si="174"/>
        <v>0.64284351064207645</v>
      </c>
      <c r="AJ38" s="3624">
        <v>0.77</v>
      </c>
      <c r="AK38" s="982">
        <f>559.33/(24*AK$2)</f>
        <v>0.75178763440860219</v>
      </c>
      <c r="AL38" s="3619">
        <f t="shared" si="175"/>
        <v>0.77</v>
      </c>
      <c r="AM38" s="3619">
        <f t="shared" si="176"/>
        <v>0.73720996376811598</v>
      </c>
      <c r="AN38" s="3617">
        <f>+((AH38*AH$2)+(AJ38*AJ$2))/AN$2</f>
        <v>0.72919636363636375</v>
      </c>
      <c r="AO38" s="3617">
        <f t="shared" si="178"/>
        <v>0.65512448459393935</v>
      </c>
      <c r="AP38" s="3964">
        <v>0.76999999890000004</v>
      </c>
      <c r="AQ38" s="982">
        <f>565.7176/(24*AQ$2)</f>
        <v>0.76037311827956977</v>
      </c>
      <c r="AR38" s="3963">
        <f>+((AN38*AN$2)+(AP38*AP$2))/AR$2</f>
        <v>0.73333006524803934</v>
      </c>
      <c r="AS38" s="3963">
        <f t="shared" si="180"/>
        <v>0.66578692787581695</v>
      </c>
      <c r="AT38" s="4086">
        <v>0.76999999890000004</v>
      </c>
      <c r="AU38" s="982">
        <f>566.4288/(24*AU$2)</f>
        <v>0.84289999999999998</v>
      </c>
      <c r="AV38" s="4084">
        <f>+((AR38*AR$2)+(AT38*AT$2))/AV$2</f>
        <v>0.73640419142245517</v>
      </c>
      <c r="AW38" s="4084">
        <f t="shared" si="182"/>
        <v>0.6806347303293413</v>
      </c>
      <c r="AX38" s="4572">
        <v>0.76999999890000004</v>
      </c>
      <c r="AY38" s="982">
        <f>554.7528/(24*AY$2)</f>
        <v>0.74563548387096767</v>
      </c>
      <c r="AZ38" s="4567">
        <f t="shared" si="183"/>
        <v>0.76999999890000004</v>
      </c>
      <c r="BA38" s="4567">
        <f t="shared" si="184"/>
        <v>0.78097185185185181</v>
      </c>
      <c r="BB38" s="4615">
        <f t="shared" si="185"/>
        <v>0.76999999945604403</v>
      </c>
      <c r="BC38" s="4615">
        <f t="shared" si="185"/>
        <v>0.75885045787545791</v>
      </c>
      <c r="BD38" s="4569">
        <f>+((AV38*AV$2)+(AX38*AX$2))/BD$2</f>
        <v>0.73925753397534255</v>
      </c>
      <c r="BE38" s="4569">
        <f t="shared" si="187"/>
        <v>0.68615534227397257</v>
      </c>
    </row>
    <row r="39" spans="1:57" x14ac:dyDescent="0.25">
      <c r="B39" s="5382"/>
      <c r="C39" s="3609" t="s">
        <v>53</v>
      </c>
      <c r="D39" s="238">
        <v>510</v>
      </c>
      <c r="E39" s="238">
        <v>711.85</v>
      </c>
      <c r="F39" s="238">
        <v>1023</v>
      </c>
      <c r="G39" s="238">
        <v>678.38</v>
      </c>
      <c r="H39" s="2418">
        <f t="shared" ref="H39" si="189">+D39+F39</f>
        <v>1533</v>
      </c>
      <c r="I39" s="2418">
        <f t="shared" ref="I39" si="190">+E39+G39</f>
        <v>1390.23</v>
      </c>
      <c r="J39" s="238">
        <v>1020</v>
      </c>
      <c r="K39" s="238">
        <v>787.94000000000017</v>
      </c>
      <c r="L39" s="2415">
        <f t="shared" ref="L39" si="191">+H39+J39</f>
        <v>2553</v>
      </c>
      <c r="M39" s="2415">
        <f t="shared" ref="M39" si="192">+I39+K39</f>
        <v>2178.17</v>
      </c>
      <c r="N39" s="475">
        <v>1023</v>
      </c>
      <c r="O39" s="238">
        <v>834.38000000000011</v>
      </c>
      <c r="P39" s="2418">
        <f t="shared" ref="P39" si="193">+L39+N39</f>
        <v>3576</v>
      </c>
      <c r="Q39" s="2418">
        <f t="shared" ref="Q39" si="194">+M39+O39</f>
        <v>3012.55</v>
      </c>
      <c r="R39" s="475">
        <v>1023</v>
      </c>
      <c r="S39" s="238">
        <v>947.17999999999984</v>
      </c>
      <c r="T39" s="2418">
        <f t="shared" ref="T39" si="195">+P39+R39</f>
        <v>4599</v>
      </c>
      <c r="U39" s="2418">
        <f t="shared" ref="U39" si="196">+Q39+S39</f>
        <v>3959.73</v>
      </c>
      <c r="V39" s="475">
        <v>1000</v>
      </c>
      <c r="W39" s="238">
        <v>854.65999999999963</v>
      </c>
      <c r="X39" s="2415">
        <f>+V39+R39+N39</f>
        <v>3046</v>
      </c>
      <c r="Y39" s="2415">
        <f>+W39+S39+O39</f>
        <v>2636.2199999999993</v>
      </c>
      <c r="Z39" s="1134">
        <f t="shared" ref="Z39" si="197">+T39+V39</f>
        <v>5599</v>
      </c>
      <c r="AA39" s="1134">
        <f t="shared" ref="AA39" si="198">+U39+W39</f>
        <v>4814.3899999999994</v>
      </c>
      <c r="AB39" s="3212">
        <v>1023</v>
      </c>
      <c r="AC39" s="50">
        <v>899.03999999999985</v>
      </c>
      <c r="AD39" s="3210">
        <f t="shared" ref="AD39" si="199">+Z39+AB39</f>
        <v>6622</v>
      </c>
      <c r="AE39" s="3210">
        <f t="shared" ref="AE39" si="200">+AA39+AC39</f>
        <v>5713.4299999999994</v>
      </c>
      <c r="AF39" s="3327">
        <v>990</v>
      </c>
      <c r="AG39" s="50">
        <v>1008.87</v>
      </c>
      <c r="AH39" s="3321">
        <f t="shared" ref="AH39" si="201">+AD39+AF39</f>
        <v>7612</v>
      </c>
      <c r="AI39" s="3321">
        <f t="shared" ref="AI39" si="202">+AE39+AG39</f>
        <v>6722.2999999999993</v>
      </c>
      <c r="AJ39" s="3601">
        <v>1023</v>
      </c>
      <c r="AK39" s="50">
        <v>998.8</v>
      </c>
      <c r="AL39" s="3600">
        <f>+AJ39+AF39+AB39</f>
        <v>3036</v>
      </c>
      <c r="AM39" s="3600">
        <f>+AK39+AG39+AC39</f>
        <v>2906.71</v>
      </c>
      <c r="AN39" s="3597">
        <f t="shared" ref="AN39" si="203">+AH39+AJ39</f>
        <v>8635</v>
      </c>
      <c r="AO39" s="3597">
        <f t="shared" ref="AO39" si="204">+AI39+AK39</f>
        <v>7721.0999999999995</v>
      </c>
      <c r="AP39" s="3913">
        <v>1023</v>
      </c>
      <c r="AQ39" s="50">
        <v>1010.2100000000002</v>
      </c>
      <c r="AR39" s="3915">
        <f t="shared" ref="AR39" si="205">+AN39+AP39</f>
        <v>9658</v>
      </c>
      <c r="AS39" s="3915">
        <f t="shared" ref="AS39" si="206">+AO39+AQ39</f>
        <v>8731.31</v>
      </c>
      <c r="AT39" s="4061">
        <v>954</v>
      </c>
      <c r="AU39" s="50">
        <v>1011.48</v>
      </c>
      <c r="AV39" s="4062">
        <f t="shared" ref="AV39" si="207">+AR39+AT39</f>
        <v>10612</v>
      </c>
      <c r="AW39" s="4062">
        <f t="shared" ref="AW39" si="208">+AS39+AU39</f>
        <v>9742.7899999999991</v>
      </c>
      <c r="AX39" s="4556">
        <v>1023</v>
      </c>
      <c r="AY39" s="50">
        <v>990.62999999999988</v>
      </c>
      <c r="AZ39" s="4558">
        <f>+AX39+AT39+AP39</f>
        <v>3000</v>
      </c>
      <c r="BA39" s="4558">
        <f>+AY39+AU39+AQ39</f>
        <v>3012.32</v>
      </c>
      <c r="BB39" s="4604">
        <f>+AL39+AZ39</f>
        <v>6036</v>
      </c>
      <c r="BC39" s="4604">
        <f>+AM39+BA39</f>
        <v>5919.0300000000007</v>
      </c>
      <c r="BD39" s="4557">
        <f t="shared" ref="BD39" si="209">+AV39+AX39</f>
        <v>11635</v>
      </c>
      <c r="BE39" s="4557">
        <f t="shared" ref="BE39" si="210">+AW39+AY39</f>
        <v>10733.419999999998</v>
      </c>
    </row>
    <row r="40" spans="1:57" s="334" customFormat="1" ht="16.5" thickBot="1" x14ac:dyDescent="0.3">
      <c r="A40" s="477"/>
      <c r="B40" s="3743" t="s">
        <v>23</v>
      </c>
      <c r="C40" s="3197" t="s">
        <v>625</v>
      </c>
      <c r="D40" s="2906">
        <f>SUM(D36:D38)</f>
        <v>1.0190000000000001</v>
      </c>
      <c r="E40" s="2906">
        <f t="shared" ref="E40:AI40" si="211">SUM(E36:E38)</f>
        <v>0.79528555499999998</v>
      </c>
      <c r="F40" s="2906">
        <f t="shared" si="211"/>
        <v>1.421</v>
      </c>
      <c r="G40" s="2906">
        <f t="shared" si="211"/>
        <v>0.68831829999999994</v>
      </c>
      <c r="H40" s="2906">
        <f t="shared" si="211"/>
        <v>1.223295081967213</v>
      </c>
      <c r="I40" s="2906">
        <f t="shared" si="211"/>
        <v>0.74092514672131138</v>
      </c>
      <c r="J40" s="2906">
        <f t="shared" si="211"/>
        <v>1.4220000000000002</v>
      </c>
      <c r="K40" s="2906">
        <f t="shared" si="211"/>
        <v>1.0932777777777778</v>
      </c>
      <c r="L40" s="2906">
        <f t="shared" si="211"/>
        <v>1.2888021978021977</v>
      </c>
      <c r="M40" s="2906">
        <f t="shared" si="211"/>
        <v>0.85708535476190484</v>
      </c>
      <c r="N40" s="2906">
        <f t="shared" si="211"/>
        <v>1.4220000000000002</v>
      </c>
      <c r="O40" s="2906">
        <f t="shared" si="211"/>
        <v>0.99740967741935482</v>
      </c>
      <c r="P40" s="2906">
        <f t="shared" si="211"/>
        <v>1.3226475409836065</v>
      </c>
      <c r="Q40" s="2906">
        <f t="shared" si="211"/>
        <v>0.89274153510928966</v>
      </c>
      <c r="R40" s="2906">
        <f t="shared" si="211"/>
        <v>1.4220000000000002</v>
      </c>
      <c r="S40" s="2906">
        <f t="shared" si="211"/>
        <v>1.072941935483871</v>
      </c>
      <c r="T40" s="2906">
        <f t="shared" si="211"/>
        <v>1.3427777777777778</v>
      </c>
      <c r="U40" s="2906">
        <f t="shared" si="211"/>
        <v>0.92925272734204789</v>
      </c>
      <c r="V40" s="2906">
        <f t="shared" si="211"/>
        <v>1.4220000000000002</v>
      </c>
      <c r="W40" s="2906">
        <f t="shared" si="211"/>
        <v>1.1290688888888889</v>
      </c>
      <c r="X40" s="2906">
        <f t="shared" si="211"/>
        <v>1.4220000000000002</v>
      </c>
      <c r="Y40" s="2906">
        <f t="shared" si="211"/>
        <v>1.0657931159420291</v>
      </c>
      <c r="Z40" s="2906">
        <f t="shared" si="211"/>
        <v>1.3557650273224042</v>
      </c>
      <c r="AA40" s="2906">
        <f t="shared" si="211"/>
        <v>0.96200947513661195</v>
      </c>
      <c r="AB40" s="2906">
        <f t="shared" si="211"/>
        <v>1.4220000000000002</v>
      </c>
      <c r="AC40" s="2906">
        <f t="shared" si="211"/>
        <v>1.0881913978494624</v>
      </c>
      <c r="AD40" s="2906">
        <f t="shared" si="211"/>
        <v>1.3653598130841123</v>
      </c>
      <c r="AE40" s="2906">
        <f t="shared" si="211"/>
        <v>0.98028816487538939</v>
      </c>
      <c r="AF40" s="2906">
        <f t="shared" si="211"/>
        <v>1.4220000000000002</v>
      </c>
      <c r="AG40" s="2906">
        <f t="shared" si="211"/>
        <v>1.1571544444444446</v>
      </c>
      <c r="AH40" s="2906">
        <f t="shared" si="211"/>
        <v>1.3723237704918034</v>
      </c>
      <c r="AI40" s="2906">
        <f t="shared" si="211"/>
        <v>1.002034018920765</v>
      </c>
      <c r="AJ40" s="2906">
        <f t="shared" ref="AJ40:AO40" si="212">SUM(AJ36:AJ38)</f>
        <v>1.4220000000000002</v>
      </c>
      <c r="AK40" s="2906">
        <f t="shared" si="212"/>
        <v>1.1406317204301075</v>
      </c>
      <c r="AL40" s="2906">
        <f t="shared" si="212"/>
        <v>1.4219999999999999</v>
      </c>
      <c r="AM40" s="2906">
        <f t="shared" si="212"/>
        <v>1.1283494565217391</v>
      </c>
      <c r="AN40" s="2906">
        <f t="shared" si="212"/>
        <v>1.3779236363636365</v>
      </c>
      <c r="AO40" s="2906">
        <f t="shared" si="212"/>
        <v>1.017657759818182</v>
      </c>
      <c r="AP40" s="2906">
        <f t="shared" ref="AP40:AS40" si="213">SUM(AP36:AP38)</f>
        <v>1.4220000000000002</v>
      </c>
      <c r="AQ40" s="2906">
        <f t="shared" si="213"/>
        <v>1.1656204301075268</v>
      </c>
      <c r="AR40" s="2906">
        <f t="shared" si="213"/>
        <v>1.3823888888888889</v>
      </c>
      <c r="AS40" s="2906">
        <f t="shared" si="213"/>
        <v>1.0326474421023966</v>
      </c>
      <c r="AT40" s="2906">
        <f t="shared" ref="AT40:AW40" si="214">SUM(AT36:AT38)</f>
        <v>1.4220000000000002</v>
      </c>
      <c r="AU40" s="2906">
        <f t="shared" si="214"/>
        <v>1.2869833333333331</v>
      </c>
      <c r="AV40" s="2906">
        <f t="shared" si="214"/>
        <v>1.3857095808383235</v>
      </c>
      <c r="AW40" s="2906">
        <f t="shared" si="214"/>
        <v>1.0539690138223552</v>
      </c>
      <c r="AX40" s="2906">
        <f t="shared" ref="AX40:BE40" si="215">SUM(AX36:AX38)</f>
        <v>1.4220000000000002</v>
      </c>
      <c r="AY40" s="2906">
        <f t="shared" si="215"/>
        <v>1.1231086021505376</v>
      </c>
      <c r="AZ40" s="2906">
        <f t="shared" si="215"/>
        <v>1.4220000000000002</v>
      </c>
      <c r="BA40" s="2906">
        <f t="shared" si="215"/>
        <v>1.1887348148148149</v>
      </c>
      <c r="BB40" s="2906">
        <f t="shared" ref="BB40:BC40" si="216">SUM(BB36:BB38)</f>
        <v>1.4219999999999999</v>
      </c>
      <c r="BC40" s="2906">
        <f t="shared" si="216"/>
        <v>1.1582103479853481</v>
      </c>
      <c r="BD40" s="2906">
        <f t="shared" si="215"/>
        <v>1.3887917808219179</v>
      </c>
      <c r="BE40" s="2906">
        <f t="shared" si="215"/>
        <v>1.059841143242009</v>
      </c>
    </row>
    <row r="41" spans="1:57" x14ac:dyDescent="0.25">
      <c r="B41" s="105"/>
      <c r="C41" s="105"/>
      <c r="D41" s="938"/>
      <c r="E41" s="105"/>
      <c r="F41" s="938"/>
      <c r="G41" s="105"/>
      <c r="AB41" s="1726"/>
      <c r="AC41" s="1726"/>
      <c r="AD41" s="1726"/>
      <c r="AE41" s="1726"/>
      <c r="AT41" s="1726"/>
      <c r="AU41" s="1726"/>
      <c r="AV41" s="1726"/>
      <c r="AW41" s="1726"/>
      <c r="AX41" s="4560"/>
      <c r="AY41" s="4560"/>
      <c r="BD41" s="4560"/>
      <c r="BE41" s="4560"/>
    </row>
    <row r="42" spans="1:57" x14ac:dyDescent="0.25">
      <c r="B42" s="105" t="s">
        <v>517</v>
      </c>
      <c r="C42" s="340" t="s">
        <v>623</v>
      </c>
      <c r="AB42" s="1726"/>
      <c r="AC42" s="1726"/>
      <c r="AD42" s="1726"/>
      <c r="AE42" s="1726"/>
      <c r="AT42" s="1726"/>
      <c r="AU42" s="1726"/>
      <c r="AX42" s="4560"/>
      <c r="AY42" s="4560"/>
      <c r="BD42" s="4560"/>
      <c r="BE42" s="4560"/>
    </row>
    <row r="43" spans="1:57" x14ac:dyDescent="0.25">
      <c r="B43" s="105" t="s">
        <v>516</v>
      </c>
      <c r="C43" s="340" t="s">
        <v>624</v>
      </c>
      <c r="AB43" s="1726"/>
      <c r="AC43" s="1726"/>
      <c r="AD43" s="1726"/>
      <c r="AE43" s="1726"/>
      <c r="AT43" s="1726"/>
      <c r="AU43" s="1726"/>
    </row>
    <row r="44" spans="1:57" x14ac:dyDescent="0.25">
      <c r="B44" s="106" t="s">
        <v>516</v>
      </c>
      <c r="C44" s="106"/>
      <c r="AB44" s="1726"/>
      <c r="AC44" s="1726"/>
      <c r="AD44" s="1726"/>
      <c r="AE44" s="1726"/>
    </row>
    <row r="45" spans="1:57" x14ac:dyDescent="0.25">
      <c r="AB45" s="1726"/>
      <c r="AC45" s="1726"/>
      <c r="AD45" s="1726"/>
      <c r="AE45" s="1726"/>
    </row>
  </sheetData>
  <mergeCells count="63">
    <mergeCell ref="B38:B39"/>
    <mergeCell ref="F3:G3"/>
    <mergeCell ref="H3:I3"/>
    <mergeCell ref="J3:K3"/>
    <mergeCell ref="B8:B9"/>
    <mergeCell ref="B10:B11"/>
    <mergeCell ref="D3:E3"/>
    <mergeCell ref="B6:B7"/>
    <mergeCell ref="B3:B4"/>
    <mergeCell ref="B12:B13"/>
    <mergeCell ref="B14:B15"/>
    <mergeCell ref="C3:C4"/>
    <mergeCell ref="B32:B33"/>
    <mergeCell ref="E30:E31"/>
    <mergeCell ref="G30:G31"/>
    <mergeCell ref="I30:I31"/>
    <mergeCell ref="AA30:AA31"/>
    <mergeCell ref="AC30:AC31"/>
    <mergeCell ref="Y30:Y31"/>
    <mergeCell ref="AB3:AC3"/>
    <mergeCell ref="K30:K31"/>
    <mergeCell ref="M30:M31"/>
    <mergeCell ref="O30:O31"/>
    <mergeCell ref="Q30:Q31"/>
    <mergeCell ref="W30:W31"/>
    <mergeCell ref="S30:S31"/>
    <mergeCell ref="U30:U31"/>
    <mergeCell ref="L3:M3"/>
    <mergeCell ref="P3:Q3"/>
    <mergeCell ref="N3:O3"/>
    <mergeCell ref="V3:W3"/>
    <mergeCell ref="Z3:AA3"/>
    <mergeCell ref="X3:Y3"/>
    <mergeCell ref="R3:S3"/>
    <mergeCell ref="T3:U3"/>
    <mergeCell ref="AV3:AW3"/>
    <mergeCell ref="AW30:AW31"/>
    <mergeCell ref="AH3:AI3"/>
    <mergeCell ref="AP3:AQ3"/>
    <mergeCell ref="AQ30:AQ31"/>
    <mergeCell ref="AR3:AS3"/>
    <mergeCell ref="AS30:AS31"/>
    <mergeCell ref="AJ3:AK3"/>
    <mergeCell ref="AN3:AO3"/>
    <mergeCell ref="AK30:AK31"/>
    <mergeCell ref="AO30:AO31"/>
    <mergeCell ref="AL3:AM3"/>
    <mergeCell ref="AI30:AI31"/>
    <mergeCell ref="AM30:AM31"/>
    <mergeCell ref="AD3:AE3"/>
    <mergeCell ref="AF3:AG3"/>
    <mergeCell ref="AT3:AU3"/>
    <mergeCell ref="AU30:AU31"/>
    <mergeCell ref="AG30:AG31"/>
    <mergeCell ref="AE30:AE31"/>
    <mergeCell ref="AX3:AY3"/>
    <mergeCell ref="BD3:BE3"/>
    <mergeCell ref="AY30:AY31"/>
    <mergeCell ref="BE30:BE31"/>
    <mergeCell ref="AZ3:BA3"/>
    <mergeCell ref="BA30:BA31"/>
    <mergeCell ref="BB3:BC3"/>
    <mergeCell ref="BC30:BC31"/>
  </mergeCells>
  <pageMargins left="0.7" right="0.7" top="0.75" bottom="0.75" header="0.3" footer="0.3"/>
  <pageSetup scale="81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0066"/>
    <pageSetUpPr fitToPage="1"/>
  </sheetPr>
  <dimension ref="C2:BF134"/>
  <sheetViews>
    <sheetView zoomScale="95" zoomScaleNormal="95" workbookViewId="0">
      <pane xSplit="4" topLeftCell="AQ1" activePane="topRight" state="frozen"/>
      <selection pane="topRight" activeCell="AZ95" sqref="AZ95"/>
    </sheetView>
  </sheetViews>
  <sheetFormatPr defaultColWidth="8.85546875" defaultRowHeight="15" x14ac:dyDescent="0.25"/>
  <cols>
    <col min="3" max="3" width="40.28515625" customWidth="1"/>
    <col min="4" max="4" width="12.7109375" customWidth="1"/>
    <col min="5" max="5" width="12.42578125" customWidth="1"/>
    <col min="6" max="6" width="13.28515625" customWidth="1"/>
    <col min="7" max="7" width="12.42578125" customWidth="1"/>
    <col min="8" max="8" width="12.140625" customWidth="1"/>
    <col min="9" max="9" width="12.140625" hidden="1" customWidth="1"/>
    <col min="10" max="10" width="14.140625" hidden="1" customWidth="1"/>
    <col min="11" max="16" width="9.28515625" customWidth="1"/>
    <col min="17" max="18" width="9.28515625" hidden="1" customWidth="1"/>
    <col min="19" max="19" width="9.140625" customWidth="1"/>
    <col min="20" max="20" width="10.28515625" customWidth="1"/>
    <col min="21" max="22" width="9.140625" hidden="1" customWidth="1"/>
    <col min="23" max="24" width="9.140625" customWidth="1"/>
    <col min="25" max="25" width="10.28515625" style="1270" customWidth="1"/>
    <col min="26" max="26" width="9.140625" style="1270" customWidth="1"/>
    <col min="27" max="30" width="9.140625" customWidth="1"/>
    <col min="31" max="32" width="9.140625" hidden="1" customWidth="1"/>
    <col min="33" max="33" width="8.85546875" customWidth="1"/>
    <col min="34" max="34" width="13.28515625" customWidth="1"/>
    <col min="35" max="35" width="8.85546875" hidden="1" customWidth="1"/>
    <col min="36" max="36" width="13.85546875" hidden="1" customWidth="1"/>
    <col min="39" max="40" width="8.85546875" style="1726"/>
    <col min="41" max="42" width="0" hidden="1" customWidth="1"/>
    <col min="45" max="46" width="0" hidden="1" customWidth="1"/>
    <col min="49" max="50" width="0" hidden="1" customWidth="1"/>
    <col min="53" max="56" width="8.85546875" style="4606"/>
  </cols>
  <sheetData>
    <row r="2" spans="3:58" x14ac:dyDescent="0.25">
      <c r="C2" s="5405" t="s">
        <v>85</v>
      </c>
      <c r="D2" s="1433"/>
      <c r="E2" s="1433"/>
      <c r="F2" s="1433"/>
      <c r="G2" s="1433"/>
      <c r="H2" s="1433"/>
      <c r="I2" s="1433"/>
      <c r="J2" s="1433"/>
      <c r="K2" s="1433"/>
      <c r="L2" s="1433"/>
      <c r="M2" s="1433"/>
      <c r="N2" s="1433"/>
      <c r="O2" s="1433"/>
      <c r="P2" s="1433"/>
      <c r="Q2" s="1433"/>
      <c r="R2" s="1433"/>
      <c r="S2" s="1433"/>
      <c r="T2" s="1433"/>
      <c r="U2" s="1433"/>
      <c r="V2" s="1433"/>
      <c r="W2" s="1433"/>
      <c r="X2" s="1433"/>
      <c r="Y2" s="1433"/>
      <c r="Z2" s="1433"/>
      <c r="AA2" s="1433"/>
      <c r="AB2" s="1433"/>
      <c r="AC2" s="1433"/>
      <c r="AD2" s="1433"/>
      <c r="AE2" s="1433"/>
      <c r="AF2" s="1433"/>
      <c r="AG2" s="1433"/>
      <c r="AH2" s="1433"/>
      <c r="AI2" s="1433"/>
      <c r="AJ2" s="1433"/>
      <c r="AK2" s="1433"/>
      <c r="AL2" s="1433"/>
      <c r="AM2" s="1433"/>
      <c r="AN2" s="1433"/>
      <c r="AO2" s="1433"/>
      <c r="AP2" s="1433"/>
      <c r="AQ2" s="1433"/>
    </row>
    <row r="3" spans="3:58" ht="16.5" thickBot="1" x14ac:dyDescent="0.3">
      <c r="C3" s="5405"/>
      <c r="D3" s="3745"/>
      <c r="E3" s="3746">
        <v>30</v>
      </c>
      <c r="F3" s="3746">
        <v>30</v>
      </c>
      <c r="G3" s="3746">
        <v>31</v>
      </c>
      <c r="H3" s="3746">
        <v>31</v>
      </c>
      <c r="I3" s="3746">
        <f>+E3+G3</f>
        <v>61</v>
      </c>
      <c r="J3" s="3746">
        <f>+F3+H3</f>
        <v>61</v>
      </c>
      <c r="K3" s="3746">
        <v>30</v>
      </c>
      <c r="L3" s="3746">
        <v>30</v>
      </c>
      <c r="M3" s="3746">
        <f>+I3+K3</f>
        <v>91</v>
      </c>
      <c r="N3" s="3746">
        <f>+J3+L3</f>
        <v>91</v>
      </c>
      <c r="O3" s="3746">
        <v>31</v>
      </c>
      <c r="P3" s="3746">
        <v>31</v>
      </c>
      <c r="Q3" s="3746">
        <f>+M3+O3</f>
        <v>122</v>
      </c>
      <c r="R3" s="3746">
        <f>+N3+P3</f>
        <v>122</v>
      </c>
      <c r="S3" s="3746">
        <v>31</v>
      </c>
      <c r="T3" s="3746">
        <v>31</v>
      </c>
      <c r="U3" s="3746">
        <f>+Q3+S3</f>
        <v>153</v>
      </c>
      <c r="V3" s="3746">
        <f>+R3+T3</f>
        <v>153</v>
      </c>
      <c r="W3" s="3746">
        <v>30</v>
      </c>
      <c r="X3" s="3746">
        <v>30</v>
      </c>
      <c r="Y3" s="3746">
        <f>+O3+S3+W3</f>
        <v>92</v>
      </c>
      <c r="Z3" s="3746">
        <f>+P3+T3+X3</f>
        <v>92</v>
      </c>
      <c r="AA3" s="3746">
        <f>+U3+W3</f>
        <v>183</v>
      </c>
      <c r="AB3" s="3746">
        <f>+V3+X3</f>
        <v>183</v>
      </c>
      <c r="AC3" s="1324">
        <v>31</v>
      </c>
      <c r="AD3" s="1324">
        <v>31</v>
      </c>
      <c r="AE3" s="1324">
        <f>+AA3+AC3</f>
        <v>214</v>
      </c>
      <c r="AF3" s="1324">
        <f>+AB3+AD3</f>
        <v>214</v>
      </c>
      <c r="AG3" s="1324">
        <v>30</v>
      </c>
      <c r="AH3" s="1324">
        <v>30</v>
      </c>
      <c r="AI3" s="1324">
        <f>+AE3+AG3</f>
        <v>244</v>
      </c>
      <c r="AJ3" s="1324">
        <f>+AF3+AH3</f>
        <v>244</v>
      </c>
      <c r="AK3" s="1324">
        <v>31</v>
      </c>
      <c r="AL3" s="1324">
        <v>31</v>
      </c>
      <c r="AM3" s="3746">
        <f>+AC3+AG3+AK3</f>
        <v>92</v>
      </c>
      <c r="AN3" s="3746">
        <f>+AD3+AH3+AL3</f>
        <v>92</v>
      </c>
      <c r="AO3" s="1324">
        <f>+AI3+AK3</f>
        <v>275</v>
      </c>
      <c r="AP3" s="1324">
        <f>+AJ3+AL3</f>
        <v>275</v>
      </c>
      <c r="AQ3" s="1324">
        <v>31</v>
      </c>
      <c r="AR3" s="1324">
        <v>31</v>
      </c>
      <c r="AS3" s="1324">
        <f>+AO3+AQ3</f>
        <v>306</v>
      </c>
      <c r="AT3" s="1324">
        <f>+AP3+AR3</f>
        <v>306</v>
      </c>
      <c r="AU3" s="1324">
        <v>28</v>
      </c>
      <c r="AV3" s="1324">
        <v>28</v>
      </c>
      <c r="AW3" s="1324">
        <f>+AS3+AU3</f>
        <v>334</v>
      </c>
      <c r="AX3" s="1324">
        <f>+AT3+AV3</f>
        <v>334</v>
      </c>
      <c r="AY3" s="1324">
        <v>31</v>
      </c>
      <c r="AZ3" s="1324">
        <v>31</v>
      </c>
      <c r="BA3" s="3746">
        <f>+AQ3+AU3+AY3</f>
        <v>90</v>
      </c>
      <c r="BB3" s="3746">
        <f>+AR3+AV3+AZ3</f>
        <v>90</v>
      </c>
      <c r="BC3" s="3746">
        <f>+AM3+BA3</f>
        <v>182</v>
      </c>
      <c r="BD3" s="3746">
        <f>+AN3+BB3</f>
        <v>182</v>
      </c>
      <c r="BE3" s="1324">
        <f>+AW3+AY3</f>
        <v>365</v>
      </c>
      <c r="BF3" s="1324">
        <f>+AX3+AZ3</f>
        <v>365</v>
      </c>
    </row>
    <row r="4" spans="3:58" s="334" customFormat="1" ht="15.75" x14ac:dyDescent="0.25">
      <c r="C4" s="5406" t="s">
        <v>587</v>
      </c>
      <c r="D4" s="5408" t="s">
        <v>198</v>
      </c>
      <c r="E4" s="5395" t="s">
        <v>1323</v>
      </c>
      <c r="F4" s="5396"/>
      <c r="G4" s="5395" t="s">
        <v>1384</v>
      </c>
      <c r="H4" s="5396"/>
      <c r="I4" s="5412" t="s">
        <v>15</v>
      </c>
      <c r="J4" s="5413"/>
      <c r="K4" s="5395" t="s">
        <v>1397</v>
      </c>
      <c r="L4" s="5396"/>
      <c r="M4" s="5395" t="s">
        <v>741</v>
      </c>
      <c r="N4" s="5396"/>
      <c r="O4" s="5395" t="s">
        <v>1424</v>
      </c>
      <c r="P4" s="5396"/>
      <c r="Q4" s="5411" t="s">
        <v>18</v>
      </c>
      <c r="R4" s="5408"/>
      <c r="S4" s="5395" t="s">
        <v>1496</v>
      </c>
      <c r="T4" s="5396"/>
      <c r="U4" s="5411" t="s">
        <v>19</v>
      </c>
      <c r="V4" s="5408"/>
      <c r="W4" s="5395" t="s">
        <v>1573</v>
      </c>
      <c r="X4" s="5396"/>
      <c r="Y4" s="5395" t="s">
        <v>788</v>
      </c>
      <c r="Z4" s="5396"/>
      <c r="AA4" s="5395" t="s">
        <v>784</v>
      </c>
      <c r="AB4" s="5396"/>
      <c r="AC4" s="4901" t="s">
        <v>1634</v>
      </c>
      <c r="AD4" s="4902"/>
      <c r="AE4" s="5414" t="s">
        <v>26</v>
      </c>
      <c r="AF4" s="5415"/>
      <c r="AG4" s="5384" t="s">
        <v>1671</v>
      </c>
      <c r="AH4" s="5385"/>
      <c r="AI4" s="5393" t="s">
        <v>29</v>
      </c>
      <c r="AJ4" s="5416"/>
      <c r="AK4" s="5384" t="s">
        <v>1696</v>
      </c>
      <c r="AL4" s="5385"/>
      <c r="AM4" s="5395" t="s">
        <v>799</v>
      </c>
      <c r="AN4" s="5396"/>
      <c r="AO4" s="5393" t="s">
        <v>30</v>
      </c>
      <c r="AP4" s="5385"/>
      <c r="AQ4" s="5384" t="s">
        <v>1760</v>
      </c>
      <c r="AR4" s="5385"/>
      <c r="AS4" s="5384" t="s">
        <v>1761</v>
      </c>
      <c r="AT4" s="5385"/>
      <c r="AU4" s="5384" t="s">
        <v>1812</v>
      </c>
      <c r="AV4" s="5385"/>
      <c r="AW4" s="5384" t="s">
        <v>809</v>
      </c>
      <c r="AX4" s="5385"/>
      <c r="AY4" s="5384" t="s">
        <v>1844</v>
      </c>
      <c r="AZ4" s="5385"/>
      <c r="BA4" s="5395" t="s">
        <v>800</v>
      </c>
      <c r="BB4" s="5396"/>
      <c r="BC4" s="5395" t="s">
        <v>817</v>
      </c>
      <c r="BD4" s="5396"/>
      <c r="BE4" s="5384" t="s">
        <v>1314</v>
      </c>
      <c r="BF4" s="5385"/>
    </row>
    <row r="5" spans="3:58" s="334" customFormat="1" ht="16.5" thickBot="1" x14ac:dyDescent="0.3">
      <c r="C5" s="5407"/>
      <c r="D5" s="5409"/>
      <c r="E5" s="3749" t="s">
        <v>199</v>
      </c>
      <c r="F5" s="3750" t="s">
        <v>200</v>
      </c>
      <c r="G5" s="3749" t="s">
        <v>199</v>
      </c>
      <c r="H5" s="3750" t="s">
        <v>200</v>
      </c>
      <c r="I5" s="3756" t="s">
        <v>199</v>
      </c>
      <c r="J5" s="3759" t="s">
        <v>200</v>
      </c>
      <c r="K5" s="3749" t="s">
        <v>199</v>
      </c>
      <c r="L5" s="3750" t="s">
        <v>200</v>
      </c>
      <c r="M5" s="3749" t="s">
        <v>199</v>
      </c>
      <c r="N5" s="3750" t="s">
        <v>200</v>
      </c>
      <c r="O5" s="3749" t="s">
        <v>199</v>
      </c>
      <c r="P5" s="3750" t="s">
        <v>200</v>
      </c>
      <c r="Q5" s="3748" t="s">
        <v>199</v>
      </c>
      <c r="R5" s="3765" t="s">
        <v>200</v>
      </c>
      <c r="S5" s="3749" t="s">
        <v>199</v>
      </c>
      <c r="T5" s="3750" t="s">
        <v>200</v>
      </c>
      <c r="U5" s="3748" t="s">
        <v>199</v>
      </c>
      <c r="V5" s="3765" t="s">
        <v>200</v>
      </c>
      <c r="W5" s="3749" t="s">
        <v>199</v>
      </c>
      <c r="X5" s="3750" t="s">
        <v>200</v>
      </c>
      <c r="Y5" s="3749" t="s">
        <v>199</v>
      </c>
      <c r="Z5" s="3750" t="s">
        <v>200</v>
      </c>
      <c r="AA5" s="3749" t="s">
        <v>199</v>
      </c>
      <c r="AB5" s="3750" t="s">
        <v>200</v>
      </c>
      <c r="AC5" s="3773" t="s">
        <v>199</v>
      </c>
      <c r="AD5" s="3747" t="s">
        <v>200</v>
      </c>
      <c r="AE5" s="3768" t="s">
        <v>199</v>
      </c>
      <c r="AF5" s="3774" t="s">
        <v>200</v>
      </c>
      <c r="AG5" s="3773" t="s">
        <v>199</v>
      </c>
      <c r="AH5" s="3747" t="s">
        <v>200</v>
      </c>
      <c r="AI5" s="3768" t="s">
        <v>199</v>
      </c>
      <c r="AJ5" s="3774" t="s">
        <v>200</v>
      </c>
      <c r="AK5" s="3773" t="s">
        <v>199</v>
      </c>
      <c r="AL5" s="3747" t="s">
        <v>200</v>
      </c>
      <c r="AM5" s="3749" t="s">
        <v>199</v>
      </c>
      <c r="AN5" s="3750" t="s">
        <v>200</v>
      </c>
      <c r="AO5" s="3768" t="s">
        <v>199</v>
      </c>
      <c r="AP5" s="3747" t="s">
        <v>200</v>
      </c>
      <c r="AQ5" s="3773" t="s">
        <v>199</v>
      </c>
      <c r="AR5" s="3747" t="s">
        <v>200</v>
      </c>
      <c r="AS5" s="3773" t="s">
        <v>199</v>
      </c>
      <c r="AT5" s="3747" t="s">
        <v>200</v>
      </c>
      <c r="AU5" s="3773" t="s">
        <v>199</v>
      </c>
      <c r="AV5" s="3747" t="s">
        <v>200</v>
      </c>
      <c r="AW5" s="3773" t="s">
        <v>199</v>
      </c>
      <c r="AX5" s="3747" t="s">
        <v>200</v>
      </c>
      <c r="AY5" s="3773" t="s">
        <v>199</v>
      </c>
      <c r="AZ5" s="3747" t="s">
        <v>200</v>
      </c>
      <c r="BA5" s="3749" t="s">
        <v>199</v>
      </c>
      <c r="BB5" s="3750" t="s">
        <v>200</v>
      </c>
      <c r="BC5" s="3749" t="s">
        <v>199</v>
      </c>
      <c r="BD5" s="3750" t="s">
        <v>200</v>
      </c>
      <c r="BE5" s="3773" t="s">
        <v>199</v>
      </c>
      <c r="BF5" s="3747" t="s">
        <v>200</v>
      </c>
    </row>
    <row r="6" spans="3:58" s="334" customFormat="1" ht="18.75" x14ac:dyDescent="0.25">
      <c r="C6" s="3775" t="s">
        <v>572</v>
      </c>
      <c r="D6" s="3776"/>
      <c r="E6" s="3777"/>
      <c r="F6" s="3778"/>
      <c r="G6" s="3777"/>
      <c r="H6" s="3778"/>
      <c r="I6" s="3779"/>
      <c r="J6" s="3776"/>
      <c r="K6" s="3777"/>
      <c r="L6" s="3778"/>
      <c r="M6" s="3777"/>
      <c r="N6" s="3778"/>
      <c r="O6" s="3777"/>
      <c r="P6" s="3778"/>
      <c r="Q6" s="3779"/>
      <c r="R6" s="3776"/>
      <c r="S6" s="3777"/>
      <c r="T6" s="3778"/>
      <c r="U6" s="3779"/>
      <c r="V6" s="3776"/>
      <c r="W6" s="3777"/>
      <c r="X6" s="3778"/>
      <c r="Y6" s="3777"/>
      <c r="Z6" s="3778"/>
      <c r="AA6" s="3777"/>
      <c r="AB6" s="3778"/>
      <c r="AC6" s="3780"/>
      <c r="AD6" s="3781"/>
      <c r="AE6" s="3782"/>
      <c r="AF6" s="3783"/>
      <c r="AG6" s="3780"/>
      <c r="AH6" s="3781"/>
      <c r="AI6" s="3782"/>
      <c r="AJ6" s="3783"/>
      <c r="AK6" s="3780"/>
      <c r="AL6" s="3781"/>
      <c r="AM6" s="3777"/>
      <c r="AN6" s="3778"/>
      <c r="AO6" s="3782"/>
      <c r="AP6" s="3784"/>
      <c r="AQ6" s="3780"/>
      <c r="AR6" s="3781"/>
      <c r="AS6" s="3780"/>
      <c r="AT6" s="3781"/>
      <c r="AU6" s="3780"/>
      <c r="AV6" s="3781"/>
      <c r="AW6" s="3780"/>
      <c r="AX6" s="3781"/>
      <c r="AY6" s="3780"/>
      <c r="AZ6" s="3781"/>
      <c r="BA6" s="3777"/>
      <c r="BB6" s="3778"/>
      <c r="BC6" s="3777"/>
      <c r="BD6" s="3778"/>
      <c r="BE6" s="3780"/>
      <c r="BF6" s="3781"/>
    </row>
    <row r="7" spans="3:58" ht="15.75" x14ac:dyDescent="0.25">
      <c r="C7" s="2462" t="s">
        <v>573</v>
      </c>
      <c r="D7" s="111" t="s">
        <v>53</v>
      </c>
      <c r="E7" s="3751">
        <f>+E33*$E$35/1000</f>
        <v>22816.971000000001</v>
      </c>
      <c r="F7" s="3752">
        <v>24019</v>
      </c>
      <c r="G7" s="3751">
        <f>+G33*$E$35/1000</f>
        <v>23615.469000000001</v>
      </c>
      <c r="H7" s="3752">
        <v>19365</v>
      </c>
      <c r="I7" s="3757">
        <f>+E7+G7</f>
        <v>46432.44</v>
      </c>
      <c r="J7" s="3760">
        <f>+F7+H7</f>
        <v>43384</v>
      </c>
      <c r="K7" s="3751">
        <f>+K33*$E$35/1000</f>
        <v>54035.667000000001</v>
      </c>
      <c r="L7" s="3752">
        <v>46503</v>
      </c>
      <c r="M7" s="3762">
        <f>+I7+K7</f>
        <v>100468.107</v>
      </c>
      <c r="N7" s="3763">
        <f>+J7+L7</f>
        <v>89887</v>
      </c>
      <c r="O7" s="3751">
        <f>+O33*$E$35/1000</f>
        <v>55873.457746478874</v>
      </c>
      <c r="P7" s="3752">
        <v>42209</v>
      </c>
      <c r="Q7" s="3757">
        <f>+M7+O7</f>
        <v>156341.56474647886</v>
      </c>
      <c r="R7" s="3760">
        <f>+N7+P7</f>
        <v>132096</v>
      </c>
      <c r="S7" s="3751">
        <f>+S33*$E$35/1000</f>
        <v>55919.091549295772</v>
      </c>
      <c r="T7" s="3752">
        <v>41261</v>
      </c>
      <c r="U7" s="3757">
        <f>+Q7+S7</f>
        <v>212260.65629577462</v>
      </c>
      <c r="V7" s="3760">
        <f>+R7+T7</f>
        <v>173357</v>
      </c>
      <c r="W7" s="3751">
        <f>+W33*$E$35/1000</f>
        <v>54384.084507042251</v>
      </c>
      <c r="X7" s="3752">
        <v>44351</v>
      </c>
      <c r="Y7" s="3762">
        <f>+O7+S7+W7</f>
        <v>166176.63380281691</v>
      </c>
      <c r="Z7" s="3767">
        <f>+P7+T7+X7</f>
        <v>127821</v>
      </c>
      <c r="AA7" s="3769">
        <f>+U7+W7</f>
        <v>266644.74080281687</v>
      </c>
      <c r="AB7" s="3770">
        <f>+V7+X7</f>
        <v>217708</v>
      </c>
      <c r="AC7" s="3751">
        <f>+AC33*$E$35/1000</f>
        <v>56232.253521126753</v>
      </c>
      <c r="AD7" s="3752">
        <v>48617</v>
      </c>
      <c r="AE7" s="3757">
        <f>+AA7+AC7</f>
        <v>322876.99432394363</v>
      </c>
      <c r="AF7" s="3760">
        <f>+AB7+AD7</f>
        <v>266325</v>
      </c>
      <c r="AG7" s="3751">
        <f>+AG33*$E$35/1000</f>
        <v>54384.084507042251</v>
      </c>
      <c r="AH7" s="3752">
        <v>46692</v>
      </c>
      <c r="AI7" s="3757">
        <f>+AE7+AG7</f>
        <v>377261.07883098588</v>
      </c>
      <c r="AJ7" s="3760">
        <f>+AF7+AH7</f>
        <v>313017</v>
      </c>
      <c r="AK7" s="3751">
        <f>+AK33*$E$35/1000</f>
        <v>56232.144</v>
      </c>
      <c r="AL7" s="3752">
        <v>44329</v>
      </c>
      <c r="AM7" s="3762">
        <f>+AC7+AG7+AK7</f>
        <v>166848.482028169</v>
      </c>
      <c r="AN7" s="3767">
        <f>+AD7+AH7+AL7</f>
        <v>139638</v>
      </c>
      <c r="AO7" s="3757">
        <f>+AI7+AK7</f>
        <v>433493.22283098591</v>
      </c>
      <c r="AP7" s="2463">
        <f>+AJ7+AL7</f>
        <v>357346</v>
      </c>
      <c r="AQ7" s="3751">
        <f>+AQ33*$E$35/1000</f>
        <v>56232.253521126753</v>
      </c>
      <c r="AR7" s="3752">
        <v>47595</v>
      </c>
      <c r="AS7" s="3980">
        <f>+AO7+AQ7</f>
        <v>489725.47635211266</v>
      </c>
      <c r="AT7" s="3981">
        <f>+AP7+AR7</f>
        <v>404941</v>
      </c>
      <c r="AU7" s="3751">
        <f>+AU33*$E$35/1000</f>
        <v>49814.536816901411</v>
      </c>
      <c r="AV7" s="3752">
        <v>39758</v>
      </c>
      <c r="AW7" s="3980">
        <f>+AS7+AU7</f>
        <v>539540.01316901413</v>
      </c>
      <c r="AX7" s="3981">
        <f>+AT7+AV7</f>
        <v>444699</v>
      </c>
      <c r="AY7" s="3751">
        <f>+AY33*$E$35/1000</f>
        <v>56232.253521126753</v>
      </c>
      <c r="AZ7" s="3752">
        <v>58891</v>
      </c>
      <c r="BA7" s="3762">
        <f>+AQ7+AU7+AY7</f>
        <v>162279.04385915492</v>
      </c>
      <c r="BB7" s="3767">
        <f>+AR7+AV7+AZ7</f>
        <v>146244</v>
      </c>
      <c r="BC7" s="3769">
        <f>+AM7+BA7</f>
        <v>329127.52588732389</v>
      </c>
      <c r="BD7" s="3770">
        <f>+AN7+BB7</f>
        <v>285882</v>
      </c>
      <c r="BE7" s="3980">
        <f>+AW7+AY7</f>
        <v>595772.26669014082</v>
      </c>
      <c r="BF7" s="3981">
        <f>+AX7+AZ7</f>
        <v>503590</v>
      </c>
    </row>
    <row r="8" spans="3:58" ht="15.75" x14ac:dyDescent="0.25">
      <c r="C8" s="5404" t="s">
        <v>574</v>
      </c>
      <c r="D8" s="111" t="s">
        <v>53</v>
      </c>
      <c r="E8" s="3751">
        <f>+E7*E9/100</f>
        <v>4563.3942000000006</v>
      </c>
      <c r="F8" s="3752">
        <v>5276</v>
      </c>
      <c r="G8" s="3751">
        <f>+G7*G9/100</f>
        <v>4723.0937999999996</v>
      </c>
      <c r="H8" s="3752">
        <v>5723</v>
      </c>
      <c r="I8" s="3757">
        <f>+E8+G8</f>
        <v>9286.4880000000012</v>
      </c>
      <c r="J8" s="3760">
        <f>+F8+H8</f>
        <v>10999</v>
      </c>
      <c r="K8" s="3751">
        <f>+K7*K9/100</f>
        <v>10807.133400000001</v>
      </c>
      <c r="L8" s="3752">
        <v>8788</v>
      </c>
      <c r="M8" s="3762">
        <f>+I8+K8</f>
        <v>20093.621400000004</v>
      </c>
      <c r="N8" s="3763">
        <f>+J8+L8</f>
        <v>19787</v>
      </c>
      <c r="O8" s="3751">
        <f>+O7*O9/100</f>
        <v>11174.691549295774</v>
      </c>
      <c r="P8" s="3752">
        <v>7932</v>
      </c>
      <c r="Q8" s="3757">
        <f>+M8+O8</f>
        <v>31268.312949295778</v>
      </c>
      <c r="R8" s="3760">
        <f>+N8+P8</f>
        <v>27719</v>
      </c>
      <c r="S8" s="3751">
        <f>+S7*S9/100</f>
        <v>11183.818309859154</v>
      </c>
      <c r="T8" s="3752">
        <v>7531</v>
      </c>
      <c r="U8" s="3757">
        <f>+Q8+S8</f>
        <v>42452.131259154936</v>
      </c>
      <c r="V8" s="3760">
        <f>+R8+T8</f>
        <v>35250</v>
      </c>
      <c r="W8" s="3751">
        <f>+W7*W9/100</f>
        <v>10876.816901408451</v>
      </c>
      <c r="X8" s="3752">
        <v>8875</v>
      </c>
      <c r="Y8" s="3762">
        <f>+O8+S8+W8</f>
        <v>33235.326760563381</v>
      </c>
      <c r="Z8" s="3767">
        <f>+P8+T8+X8</f>
        <v>24338</v>
      </c>
      <c r="AA8" s="3769">
        <f>+U8+W8</f>
        <v>53328.948160563385</v>
      </c>
      <c r="AB8" s="3770">
        <f>+V8+X8</f>
        <v>44125</v>
      </c>
      <c r="AC8" s="3751">
        <f>+AC7*AC9/100</f>
        <v>11246.45070422535</v>
      </c>
      <c r="AD8" s="3752">
        <v>12177</v>
      </c>
      <c r="AE8" s="3757">
        <f>+AA8+AC8</f>
        <v>64575.398864788731</v>
      </c>
      <c r="AF8" s="3760">
        <f>+AB8+AD8</f>
        <v>56302</v>
      </c>
      <c r="AG8" s="3751">
        <f>+AG7*AG9/100</f>
        <v>10876.816901408451</v>
      </c>
      <c r="AH8" s="3752">
        <v>7977</v>
      </c>
      <c r="AI8" s="3757">
        <f>+AE8+AG8</f>
        <v>75452.215766197187</v>
      </c>
      <c r="AJ8" s="3760">
        <f>+AF8+AH8</f>
        <v>64279</v>
      </c>
      <c r="AK8" s="3751">
        <f>+AK7*AK9/100</f>
        <v>14058.036</v>
      </c>
      <c r="AL8" s="3752">
        <v>8500</v>
      </c>
      <c r="AM8" s="3762">
        <f>+AC8+AG8+AK8</f>
        <v>36181.303605633802</v>
      </c>
      <c r="AN8" s="3767">
        <f>+AD8+AH8+AL8</f>
        <v>28654</v>
      </c>
      <c r="AO8" s="3757">
        <f>+AI8+AK8</f>
        <v>89510.25176619718</v>
      </c>
      <c r="AP8" s="2463">
        <f>+AJ8+AL8</f>
        <v>72779</v>
      </c>
      <c r="AQ8" s="3751">
        <f>+AQ7*AQ9/100</f>
        <v>14058.063380281688</v>
      </c>
      <c r="AR8" s="3752">
        <v>8300</v>
      </c>
      <c r="AS8" s="3980">
        <f>+AO8+AQ8</f>
        <v>103568.31514647887</v>
      </c>
      <c r="AT8" s="3981">
        <f>+AP8+AR8</f>
        <v>81079</v>
      </c>
      <c r="AU8" s="3751">
        <f>+AU7*AU9/100</f>
        <v>12453.634204225355</v>
      </c>
      <c r="AV8" s="3752">
        <v>6043</v>
      </c>
      <c r="AW8" s="3980">
        <f>+AS8+AU8</f>
        <v>116021.94935070422</v>
      </c>
      <c r="AX8" s="3981">
        <f>+AT8+AV8</f>
        <v>87122</v>
      </c>
      <c r="AY8" s="3751">
        <f>+AY7*AY9/100</f>
        <v>14058.063380281688</v>
      </c>
      <c r="AZ8" s="3752">
        <v>10609</v>
      </c>
      <c r="BA8" s="3762">
        <f>+AQ8+AU8+AY8</f>
        <v>40569.760964788729</v>
      </c>
      <c r="BB8" s="3767">
        <f>+AR8+AV8+AZ8</f>
        <v>24952</v>
      </c>
      <c r="BC8" s="3769">
        <f>+AM8+BA8</f>
        <v>76751.064570422532</v>
      </c>
      <c r="BD8" s="3770">
        <f>+AN8+BB8</f>
        <v>53606</v>
      </c>
      <c r="BE8" s="3980">
        <f>+AW8+AY8</f>
        <v>130080.01273098591</v>
      </c>
      <c r="BF8" s="3981">
        <f>+AX8+AZ8</f>
        <v>97731</v>
      </c>
    </row>
    <row r="9" spans="3:58" ht="15.75" x14ac:dyDescent="0.25">
      <c r="C9" s="5404"/>
      <c r="D9" s="111" t="s">
        <v>52</v>
      </c>
      <c r="E9" s="3753">
        <v>20</v>
      </c>
      <c r="F9" s="3754">
        <f>+F8/F7*100</f>
        <v>21.965943627961199</v>
      </c>
      <c r="G9" s="3753">
        <v>20</v>
      </c>
      <c r="H9" s="3754">
        <f>+H8/H7*100</f>
        <v>29.553317841466566</v>
      </c>
      <c r="I9" s="3758">
        <f>+I8/I7*100</f>
        <v>20</v>
      </c>
      <c r="J9" s="3761">
        <f t="shared" ref="J9" si="0">+J8/J7*100</f>
        <v>25.352664576802507</v>
      </c>
      <c r="K9" s="3753">
        <v>20</v>
      </c>
      <c r="L9" s="3754">
        <f>+L8/L7*100</f>
        <v>18.897705524374771</v>
      </c>
      <c r="M9" s="3764">
        <f>+M8/M7*100</f>
        <v>20.000000000000004</v>
      </c>
      <c r="N9" s="401">
        <f>+N8/N7*100</f>
        <v>22.013194344009701</v>
      </c>
      <c r="O9" s="3753">
        <v>20</v>
      </c>
      <c r="P9" s="3754">
        <f>+P8/P7*100</f>
        <v>18.792200715487219</v>
      </c>
      <c r="Q9" s="3758">
        <f>+Q8/Q7*100</f>
        <v>20.000000000000004</v>
      </c>
      <c r="R9" s="3761">
        <f t="shared" ref="R9" si="1">+R8/R7*100</f>
        <v>20.983981346899224</v>
      </c>
      <c r="S9" s="3753">
        <v>20</v>
      </c>
      <c r="T9" s="3754">
        <f>+T8/T7*100</f>
        <v>18.252102469644456</v>
      </c>
      <c r="U9" s="3758">
        <f>+U8/U7*100</f>
        <v>20.000000000000007</v>
      </c>
      <c r="V9" s="3761">
        <f t="shared" ref="V9" si="2">+V8/V7*100</f>
        <v>20.333762120941181</v>
      </c>
      <c r="W9" s="3766">
        <v>20</v>
      </c>
      <c r="X9" s="3754">
        <f>+X8/X7*100</f>
        <v>20.010822754842057</v>
      </c>
      <c r="Y9" s="3764">
        <f>+Y8/Y7*100</f>
        <v>20</v>
      </c>
      <c r="Z9" s="401">
        <f t="shared" ref="Z9" si="3">+Z8/Z7*100</f>
        <v>19.040689714522653</v>
      </c>
      <c r="AA9" s="3771">
        <f>+AA8/AA7*100</f>
        <v>20.000000000000004</v>
      </c>
      <c r="AB9" s="1154">
        <f t="shared" ref="AB9" si="4">+AB8/AB7*100</f>
        <v>20.267973616036159</v>
      </c>
      <c r="AC9" s="3753">
        <v>20</v>
      </c>
      <c r="AD9" s="3754">
        <f>+AD8/AD7*100</f>
        <v>25.046794331201021</v>
      </c>
      <c r="AE9" s="3758">
        <f>+AE8/AE7*100</f>
        <v>20</v>
      </c>
      <c r="AF9" s="3761">
        <f t="shared" ref="AF9" si="5">+AF8/AF7*100</f>
        <v>21.140336055571201</v>
      </c>
      <c r="AG9" s="3753">
        <v>20</v>
      </c>
      <c r="AH9" s="3754">
        <f>+AH8/AH7*100</f>
        <v>17.084297095862247</v>
      </c>
      <c r="AI9" s="3758">
        <f>+AI8/AI7*100</f>
        <v>20.000000000000004</v>
      </c>
      <c r="AJ9" s="3761">
        <f t="shared" ref="AJ9" si="6">+AJ8/AJ7*100</f>
        <v>20.535306389109856</v>
      </c>
      <c r="AK9" s="3753">
        <v>25</v>
      </c>
      <c r="AL9" s="3754">
        <f>+AL8/AL7*100</f>
        <v>19.174806560039702</v>
      </c>
      <c r="AM9" s="3764">
        <f>+AM8/AM7*100</f>
        <v>21.685126029210934</v>
      </c>
      <c r="AN9" s="401">
        <f t="shared" ref="AN9" si="7">+AN8/AN7*100</f>
        <v>20.520202237213368</v>
      </c>
      <c r="AO9" s="3758">
        <f>+AO8/AO7*100</f>
        <v>20.648593115628987</v>
      </c>
      <c r="AP9" s="2436">
        <f t="shared" ref="AP9" si="8">+AP8/AP7*100</f>
        <v>20.366535514599295</v>
      </c>
      <c r="AQ9" s="3966">
        <v>25</v>
      </c>
      <c r="AR9" s="3754">
        <f>+AR8/AR7*100</f>
        <v>17.438806597331652</v>
      </c>
      <c r="AS9" s="3982">
        <f>+AS8/AS7*100</f>
        <v>21.148239196772607</v>
      </c>
      <c r="AT9" s="387">
        <f t="shared" ref="AT9" si="9">+AT8/AT7*100</f>
        <v>20.022423019649775</v>
      </c>
      <c r="AU9" s="4087">
        <v>25</v>
      </c>
      <c r="AV9" s="3754">
        <f>+AV8/AV7*100</f>
        <v>15.199456713114342</v>
      </c>
      <c r="AW9" s="4089">
        <f>+AW8/AW7*100</f>
        <v>21.503863757804311</v>
      </c>
      <c r="AX9" s="387">
        <f t="shared" ref="AX9" si="10">+AX8/AX7*100</f>
        <v>19.591229123519504</v>
      </c>
      <c r="AY9" s="4616">
        <v>25</v>
      </c>
      <c r="AZ9" s="3754">
        <f>+AZ8/AZ7*100</f>
        <v>18.014637211118849</v>
      </c>
      <c r="BA9" s="4618">
        <f>+BA8/BA7*100</f>
        <v>25</v>
      </c>
      <c r="BB9" s="401">
        <f t="shared" ref="BB9" si="11">+BB8/BB7*100</f>
        <v>17.061896556439923</v>
      </c>
      <c r="BC9" s="4619">
        <f>+BC8/BC7*100</f>
        <v>23.3195520075395</v>
      </c>
      <c r="BD9" s="1154">
        <f t="shared" ref="BD9:BF9" si="12">+BD8/BD7*100</f>
        <v>18.751093108345401</v>
      </c>
      <c r="BE9" s="4617">
        <f>+BE8/BE7*100</f>
        <v>21.833848267838235</v>
      </c>
      <c r="BF9" s="387">
        <f t="shared" si="12"/>
        <v>19.406858754145237</v>
      </c>
    </row>
    <row r="10" spans="3:58" ht="15.75" x14ac:dyDescent="0.25">
      <c r="C10" s="2462" t="s">
        <v>575</v>
      </c>
      <c r="D10" s="111" t="s">
        <v>53</v>
      </c>
      <c r="E10" s="3751">
        <f>+E7-E8</f>
        <v>18253.576800000003</v>
      </c>
      <c r="F10" s="3752">
        <f>+F7-F8</f>
        <v>18743</v>
      </c>
      <c r="G10" s="3751">
        <f>+G7-G8</f>
        <v>18892.375200000002</v>
      </c>
      <c r="H10" s="3752">
        <f>+H7-H8</f>
        <v>13642</v>
      </c>
      <c r="I10" s="3757">
        <f>+E10+G10</f>
        <v>37145.952000000005</v>
      </c>
      <c r="J10" s="3760">
        <f>+F10+H10</f>
        <v>32385</v>
      </c>
      <c r="K10" s="3751">
        <f>+K7-K8</f>
        <v>43228.533600000002</v>
      </c>
      <c r="L10" s="3752">
        <f>+L7-L8</f>
        <v>37715</v>
      </c>
      <c r="M10" s="3762">
        <f>+I10+K10</f>
        <v>80374.485600000015</v>
      </c>
      <c r="N10" s="3763">
        <f>+J10+L10</f>
        <v>70100</v>
      </c>
      <c r="O10" s="3751">
        <f>+O7-O8</f>
        <v>44698.766197183097</v>
      </c>
      <c r="P10" s="3752">
        <f>+P7-P8</f>
        <v>34277</v>
      </c>
      <c r="Q10" s="3757">
        <f>+M10+O10</f>
        <v>125073.25179718311</v>
      </c>
      <c r="R10" s="3760">
        <f>+N10+P10</f>
        <v>104377</v>
      </c>
      <c r="S10" s="3751">
        <f>+S7-S8</f>
        <v>44735.273239436618</v>
      </c>
      <c r="T10" s="3752">
        <f>+T7-T8</f>
        <v>33730</v>
      </c>
      <c r="U10" s="3757">
        <f>+Q10+S10</f>
        <v>169808.52503661974</v>
      </c>
      <c r="V10" s="3760">
        <f>+R10+T10</f>
        <v>138107</v>
      </c>
      <c r="W10" s="3751">
        <f>+W7-W8</f>
        <v>43507.267605633802</v>
      </c>
      <c r="X10" s="3752">
        <f>+X7-X8</f>
        <v>35476</v>
      </c>
      <c r="Y10" s="3762">
        <f t="shared" ref="Y10:Y11" si="13">+O10+S10+W10</f>
        <v>132941.30704225352</v>
      </c>
      <c r="Z10" s="3767">
        <f t="shared" ref="Z10:Z11" si="14">+P10+T10+X10</f>
        <v>103483</v>
      </c>
      <c r="AA10" s="3769">
        <f t="shared" ref="AA10:AA11" si="15">+U10+W10</f>
        <v>213315.79264225354</v>
      </c>
      <c r="AB10" s="3770">
        <f t="shared" ref="AB10:AB11" si="16">+V10+X10</f>
        <v>173583</v>
      </c>
      <c r="AC10" s="3751">
        <f>+AC7-AC8</f>
        <v>44985.8028169014</v>
      </c>
      <c r="AD10" s="3752">
        <f>+AD7-AD8</f>
        <v>36440</v>
      </c>
      <c r="AE10" s="3757">
        <f>+AA10+AC10</f>
        <v>258301.59545915492</v>
      </c>
      <c r="AF10" s="3760">
        <f>+AB10+AD10</f>
        <v>210023</v>
      </c>
      <c r="AG10" s="3751">
        <f>+AG7-AG8</f>
        <v>43507.267605633802</v>
      </c>
      <c r="AH10" s="3752">
        <f>+AH7-AH8</f>
        <v>38715</v>
      </c>
      <c r="AI10" s="3757">
        <f>+AE10+AG10</f>
        <v>301808.86306478875</v>
      </c>
      <c r="AJ10" s="3760">
        <f>+AF10+AH10</f>
        <v>248738</v>
      </c>
      <c r="AK10" s="3751">
        <f>+AK7-AK8</f>
        <v>42174.108</v>
      </c>
      <c r="AL10" s="3752">
        <f>+AL7-AL8</f>
        <v>35829</v>
      </c>
      <c r="AM10" s="3762">
        <f t="shared" ref="AM10:AM11" si="17">+AC10+AG10+AK10</f>
        <v>130667.17842253522</v>
      </c>
      <c r="AN10" s="3767">
        <f t="shared" ref="AN10:AN11" si="18">+AD10+AH10+AL10</f>
        <v>110984</v>
      </c>
      <c r="AO10" s="3757">
        <f>+AI10+AK10</f>
        <v>343982.97106478876</v>
      </c>
      <c r="AP10" s="2463">
        <f>+AJ10+AL10</f>
        <v>284567</v>
      </c>
      <c r="AQ10" s="3751">
        <f>+AQ7-AQ8</f>
        <v>42174.190140845065</v>
      </c>
      <c r="AR10" s="3752">
        <f>+AR7-AR8</f>
        <v>39295</v>
      </c>
      <c r="AS10" s="3980">
        <f>+AO10+AQ10</f>
        <v>386157.16120563383</v>
      </c>
      <c r="AT10" s="3981">
        <f>+AP10+AR10</f>
        <v>323862</v>
      </c>
      <c r="AU10" s="3751">
        <f>+AU7-AU8</f>
        <v>37360.902612676058</v>
      </c>
      <c r="AV10" s="3752">
        <f>+AV7-AV8</f>
        <v>33715</v>
      </c>
      <c r="AW10" s="3980">
        <f>+AS10+AU10</f>
        <v>423518.06381830992</v>
      </c>
      <c r="AX10" s="3981">
        <f>+AT10+AV10</f>
        <v>357577</v>
      </c>
      <c r="AY10" s="3751">
        <f>+AY7-AY8</f>
        <v>42174.190140845065</v>
      </c>
      <c r="AZ10" s="3752">
        <f>+AZ7-AZ8</f>
        <v>48282</v>
      </c>
      <c r="BA10" s="3762">
        <f t="shared" ref="BA10:BA11" si="19">+AQ10+AU10+AY10</f>
        <v>121709.28289436619</v>
      </c>
      <c r="BB10" s="3767">
        <f t="shared" ref="BB10:BB11" si="20">+AR10+AV10+AZ10</f>
        <v>121292</v>
      </c>
      <c r="BC10" s="3769">
        <f>+AM10+BA10</f>
        <v>252376.4613169014</v>
      </c>
      <c r="BD10" s="3770">
        <f>+AN10+BB10</f>
        <v>232276</v>
      </c>
      <c r="BE10" s="3980">
        <f>+AW10+AY10</f>
        <v>465692.253959155</v>
      </c>
      <c r="BF10" s="3981">
        <f>+AX10+AZ10</f>
        <v>405859</v>
      </c>
    </row>
    <row r="11" spans="3:58" ht="15.95" customHeight="1" x14ac:dyDescent="0.25">
      <c r="C11" s="2462" t="s">
        <v>576</v>
      </c>
      <c r="D11" s="111" t="s">
        <v>53</v>
      </c>
      <c r="E11" s="3751">
        <f>+E10*E12/100</f>
        <v>10222.003008000002</v>
      </c>
      <c r="F11" s="3752">
        <v>10435</v>
      </c>
      <c r="G11" s="3751">
        <f>+G10*G12/100</f>
        <v>10579.730112000001</v>
      </c>
      <c r="H11" s="3752">
        <v>7037</v>
      </c>
      <c r="I11" s="3757">
        <f>+E11+G11</f>
        <v>20801.733120000004</v>
      </c>
      <c r="J11" s="3760">
        <f>+F11+H11</f>
        <v>17472</v>
      </c>
      <c r="K11" s="3751">
        <f>+K10*K12/100</f>
        <v>24207.978815999999</v>
      </c>
      <c r="L11" s="3752">
        <v>22084</v>
      </c>
      <c r="M11" s="3762">
        <f>+I11+K11</f>
        <v>45009.711936000007</v>
      </c>
      <c r="N11" s="3763">
        <f>+J11+L11</f>
        <v>39556</v>
      </c>
      <c r="O11" s="3751">
        <f>+O10*O12/100</f>
        <v>25031.309070422532</v>
      </c>
      <c r="P11" s="3752">
        <v>19748</v>
      </c>
      <c r="Q11" s="3757">
        <f>+M11+O11</f>
        <v>70041.021006422539</v>
      </c>
      <c r="R11" s="3760">
        <f>+N11+P11</f>
        <v>59304</v>
      </c>
      <c r="S11" s="3751">
        <f>+S10*S12/100</f>
        <v>25051.753014084505</v>
      </c>
      <c r="T11" s="3752">
        <v>19412</v>
      </c>
      <c r="U11" s="3757">
        <f>+Q11+S11</f>
        <v>95092.774020507044</v>
      </c>
      <c r="V11" s="3760">
        <f>+R11+T11</f>
        <v>78716</v>
      </c>
      <c r="W11" s="3751">
        <f>+W10*W12/100</f>
        <v>24364.069859154926</v>
      </c>
      <c r="X11" s="3752">
        <v>19266</v>
      </c>
      <c r="Y11" s="3762">
        <f t="shared" si="13"/>
        <v>74447.131943661967</v>
      </c>
      <c r="Z11" s="3767">
        <f t="shared" si="14"/>
        <v>58426</v>
      </c>
      <c r="AA11" s="3769">
        <f t="shared" si="15"/>
        <v>119456.84387966197</v>
      </c>
      <c r="AB11" s="3770">
        <f t="shared" si="16"/>
        <v>97982</v>
      </c>
      <c r="AC11" s="3751">
        <f>+AC10*AC12/100</f>
        <v>25192.049577464782</v>
      </c>
      <c r="AD11" s="3752">
        <v>21112</v>
      </c>
      <c r="AE11" s="3757">
        <f>+AA11+AC11</f>
        <v>144648.89345712675</v>
      </c>
      <c r="AF11" s="3760">
        <f>+AB11+AD11</f>
        <v>119094</v>
      </c>
      <c r="AG11" s="3751">
        <f>+AG10*AG12/100</f>
        <v>24364.069859154926</v>
      </c>
      <c r="AH11" s="3752">
        <v>20035</v>
      </c>
      <c r="AI11" s="3757">
        <f>+AE11+AG11</f>
        <v>169012.96331628168</v>
      </c>
      <c r="AJ11" s="3760">
        <f>+AF11+AH11</f>
        <v>139129</v>
      </c>
      <c r="AK11" s="3751">
        <f>+AK10*AK12/100</f>
        <v>23617.500479999999</v>
      </c>
      <c r="AL11" s="3752">
        <v>20754</v>
      </c>
      <c r="AM11" s="3762">
        <f t="shared" si="17"/>
        <v>73173.619916619704</v>
      </c>
      <c r="AN11" s="3767">
        <f t="shared" si="18"/>
        <v>61901</v>
      </c>
      <c r="AO11" s="3757">
        <f>+AI11+AK11</f>
        <v>192630.46379628166</v>
      </c>
      <c r="AP11" s="2463">
        <f>+AJ11+AL11</f>
        <v>159883</v>
      </c>
      <c r="AQ11" s="3751">
        <f>+AQ10*AQ12/100</f>
        <v>23617.546478873235</v>
      </c>
      <c r="AR11" s="3752">
        <v>21812</v>
      </c>
      <c r="AS11" s="3980">
        <f>+AO11+AQ11</f>
        <v>216248.0102751549</v>
      </c>
      <c r="AT11" s="3981">
        <f>+AP11+AR11</f>
        <v>181695</v>
      </c>
      <c r="AU11" s="3751">
        <f>+AU10*AU12/100</f>
        <v>20922.105463098593</v>
      </c>
      <c r="AV11" s="3752">
        <v>19864</v>
      </c>
      <c r="AW11" s="3980">
        <f>+AS11+AU11</f>
        <v>237170.11573825349</v>
      </c>
      <c r="AX11" s="3981">
        <f>+AT11+AV11</f>
        <v>201559</v>
      </c>
      <c r="AY11" s="3751">
        <f>+AY10*AY12/100</f>
        <v>23617.546478873235</v>
      </c>
      <c r="AZ11" s="3752">
        <v>23256</v>
      </c>
      <c r="BA11" s="3762">
        <f t="shared" si="19"/>
        <v>68157.198420845059</v>
      </c>
      <c r="BB11" s="3767">
        <f t="shared" si="20"/>
        <v>64932</v>
      </c>
      <c r="BC11" s="3769">
        <f>+AM11+BA11</f>
        <v>141330.81833746476</v>
      </c>
      <c r="BD11" s="3770">
        <f>+AN11+BB11</f>
        <v>126833</v>
      </c>
      <c r="BE11" s="3980">
        <f>+AW11+AY11</f>
        <v>260787.66221712672</v>
      </c>
      <c r="BF11" s="3981">
        <f>+AX11+AZ11</f>
        <v>224815</v>
      </c>
    </row>
    <row r="12" spans="3:58" ht="15.75" x14ac:dyDescent="0.25">
      <c r="C12" s="2462" t="s">
        <v>577</v>
      </c>
      <c r="D12" s="111" t="s">
        <v>52</v>
      </c>
      <c r="E12" s="3753">
        <v>56</v>
      </c>
      <c r="F12" s="3754">
        <f>+F11/F10*100</f>
        <v>55.674118337512667</v>
      </c>
      <c r="G12" s="3753">
        <v>56</v>
      </c>
      <c r="H12" s="3754">
        <f>+H11/H10*100</f>
        <v>51.58334555050579</v>
      </c>
      <c r="I12" s="3758">
        <f>+I11/I10*100</f>
        <v>56.000000000000007</v>
      </c>
      <c r="J12" s="3761">
        <f t="shared" ref="J12:N12" si="21">+J11/J10*100</f>
        <v>53.950903195924042</v>
      </c>
      <c r="K12" s="3753">
        <v>56</v>
      </c>
      <c r="L12" s="3654">
        <f>+L11/L10*100</f>
        <v>58.554951610764952</v>
      </c>
      <c r="M12" s="3764">
        <f>+M11/M10*100</f>
        <v>55.999999999999993</v>
      </c>
      <c r="N12" s="401">
        <f t="shared" si="21"/>
        <v>56.427960057061341</v>
      </c>
      <c r="O12" s="3753">
        <v>56</v>
      </c>
      <c r="P12" s="3654">
        <f>+P11/P10*100</f>
        <v>57.612976631560521</v>
      </c>
      <c r="Q12" s="3758">
        <f>+Q11/Q10*100</f>
        <v>55.999999999999993</v>
      </c>
      <c r="R12" s="3761">
        <f t="shared" ref="R12" si="22">+R11/R10*100</f>
        <v>56.817114881631014</v>
      </c>
      <c r="S12" s="3753">
        <v>56</v>
      </c>
      <c r="T12" s="3654">
        <f>+T11/T10*100</f>
        <v>57.551141417136073</v>
      </c>
      <c r="U12" s="3758">
        <f>+U11/U10*100</f>
        <v>55.999999999999993</v>
      </c>
      <c r="V12" s="3761">
        <f t="shared" ref="V12" si="23">+V11/V10*100</f>
        <v>56.996386859464046</v>
      </c>
      <c r="W12" s="3766">
        <v>56</v>
      </c>
      <c r="X12" s="3754">
        <f>+X11/X10*100</f>
        <v>54.307137219528698</v>
      </c>
      <c r="Y12" s="3764">
        <f>+Y11/Y10*100</f>
        <v>55.999999999999993</v>
      </c>
      <c r="Z12" s="401">
        <f t="shared" ref="Z12" si="24">+Z11/Z10*100</f>
        <v>56.459515089434973</v>
      </c>
      <c r="AA12" s="3771">
        <f>+AA11/AA10*100</f>
        <v>55.999999999999993</v>
      </c>
      <c r="AB12" s="1154">
        <f t="shared" ref="AB12" si="25">+AB11/AB10*100</f>
        <v>56.44677186129978</v>
      </c>
      <c r="AC12" s="3753">
        <v>56</v>
      </c>
      <c r="AD12" s="3654">
        <f>+AD11/AD10*100</f>
        <v>57.936333699231611</v>
      </c>
      <c r="AE12" s="3758">
        <f>+AE11/AE10*100</f>
        <v>55.999999999999993</v>
      </c>
      <c r="AF12" s="3761">
        <f t="shared" ref="AF12" si="26">+AF11/AF10*100</f>
        <v>56.705217999933346</v>
      </c>
      <c r="AG12" s="3753">
        <v>56</v>
      </c>
      <c r="AH12" s="3654">
        <f>+AH11/AH10*100</f>
        <v>51.749967712772829</v>
      </c>
      <c r="AI12" s="3758">
        <f>+AI11/AI10*100</f>
        <v>55.999999999999993</v>
      </c>
      <c r="AJ12" s="3761">
        <f t="shared" ref="AJ12" si="27">+AJ11/AJ10*100</f>
        <v>55.933954602835115</v>
      </c>
      <c r="AK12" s="3753">
        <v>56</v>
      </c>
      <c r="AL12" s="3654">
        <f>+AL11/AL10*100</f>
        <v>57.925144436071342</v>
      </c>
      <c r="AM12" s="3764">
        <f>+AM11/AM10*100</f>
        <v>55.999999999999986</v>
      </c>
      <c r="AN12" s="401">
        <f t="shared" ref="AN12" si="28">+AN11/AN10*100</f>
        <v>55.774706263965982</v>
      </c>
      <c r="AO12" s="3758">
        <f>+AO11/AO10*100</f>
        <v>55.999999999999986</v>
      </c>
      <c r="AP12" s="2436">
        <f t="shared" ref="AP12" si="29">+AP11/AP10*100</f>
        <v>56.184659500223141</v>
      </c>
      <c r="AQ12" s="3966">
        <v>56</v>
      </c>
      <c r="AR12" s="3654">
        <f>+AR11/AR10*100</f>
        <v>55.508334393688763</v>
      </c>
      <c r="AS12" s="3982">
        <f>+AS11/AS10*100</f>
        <v>55.999999999999986</v>
      </c>
      <c r="AT12" s="387">
        <f t="shared" ref="AT12" si="30">+AT11/AT10*100</f>
        <v>56.102599255238339</v>
      </c>
      <c r="AU12" s="4087">
        <v>56</v>
      </c>
      <c r="AV12" s="3654">
        <f>+AV11/AV10*100</f>
        <v>58.917395817885208</v>
      </c>
      <c r="AW12" s="4089">
        <f>+AW11/AW10*100</f>
        <v>55.999999999999986</v>
      </c>
      <c r="AX12" s="387">
        <f t="shared" ref="AX12" si="31">+AX11/AX10*100</f>
        <v>56.367999060342243</v>
      </c>
      <c r="AY12" s="4616">
        <v>56</v>
      </c>
      <c r="AZ12" s="3654">
        <f>+AZ11/AZ10*100</f>
        <v>48.167018764757053</v>
      </c>
      <c r="BA12" s="4618">
        <f>+BA11/BA10*100</f>
        <v>55.999999999999993</v>
      </c>
      <c r="BB12" s="401">
        <f t="shared" ref="BB12" si="32">+BB11/BB10*100</f>
        <v>53.533621343534612</v>
      </c>
      <c r="BC12" s="4619">
        <f>+BC11/BC10*100</f>
        <v>55.999999999999993</v>
      </c>
      <c r="BD12" s="1154">
        <f t="shared" ref="BD12:BF12" si="33">+BD11/BD10*100</f>
        <v>54.604436101878797</v>
      </c>
      <c r="BE12" s="4617">
        <f>+BE11/BE10*100</f>
        <v>55.999999999999986</v>
      </c>
      <c r="BF12" s="387">
        <f t="shared" si="33"/>
        <v>55.392389967944531</v>
      </c>
    </row>
    <row r="13" spans="3:58" ht="14.25" customHeight="1" x14ac:dyDescent="0.25">
      <c r="C13" s="2462" t="s">
        <v>694</v>
      </c>
      <c r="D13" s="111" t="s">
        <v>53</v>
      </c>
      <c r="E13" s="3751">
        <f>+E11*E14/100</f>
        <v>3577.701052800001</v>
      </c>
      <c r="F13" s="3654">
        <v>5442</v>
      </c>
      <c r="G13" s="3766">
        <f>+G11*G14/100</f>
        <v>3702.9055392000005</v>
      </c>
      <c r="H13" s="3654">
        <v>1820</v>
      </c>
      <c r="I13" s="3757">
        <f>+E13+G13</f>
        <v>7280.6065920000019</v>
      </c>
      <c r="J13" s="3785">
        <f>+F13+H13</f>
        <v>7262</v>
      </c>
      <c r="K13" s="3751">
        <f>+K11*K14/100</f>
        <v>8472.7925856000002</v>
      </c>
      <c r="L13" s="3654">
        <f>6350+10</f>
        <v>6360</v>
      </c>
      <c r="M13" s="3762">
        <f>+I13+K13</f>
        <v>15753.399177600002</v>
      </c>
      <c r="N13" s="3767">
        <f>+J13+L13</f>
        <v>13622</v>
      </c>
      <c r="O13" s="3751">
        <f>+O11*O14/100</f>
        <v>8760.9581746478871</v>
      </c>
      <c r="P13" s="3654">
        <v>6327</v>
      </c>
      <c r="Q13" s="3757">
        <f>+M13+O13</f>
        <v>24514.357352247891</v>
      </c>
      <c r="R13" s="3785">
        <f>+N13+P13</f>
        <v>19949</v>
      </c>
      <c r="S13" s="3751">
        <f>+S11*S14/100</f>
        <v>8768.1135549295759</v>
      </c>
      <c r="T13" s="3654">
        <v>7351</v>
      </c>
      <c r="U13" s="3757">
        <f>+Q13+S13</f>
        <v>33282.470907177471</v>
      </c>
      <c r="V13" s="3785">
        <f>+R13+T13</f>
        <v>27300</v>
      </c>
      <c r="W13" s="3751">
        <f>+W11*W14/100</f>
        <v>8527.424450704224</v>
      </c>
      <c r="X13" s="3654">
        <v>6416</v>
      </c>
      <c r="Y13" s="3762">
        <f>+O13+S13+W13</f>
        <v>26056.496180281687</v>
      </c>
      <c r="Z13" s="3767">
        <f>+P13+T13+X13</f>
        <v>20094</v>
      </c>
      <c r="AA13" s="3769">
        <f>+U13+W13</f>
        <v>41809.895357881695</v>
      </c>
      <c r="AB13" s="3770">
        <f>+V13+X13</f>
        <v>33716</v>
      </c>
      <c r="AC13" s="3751">
        <f>+AC11*AC14/100</f>
        <v>8817.2173521126733</v>
      </c>
      <c r="AD13" s="3654">
        <v>7614</v>
      </c>
      <c r="AE13" s="3757">
        <f>+AA13+AC13</f>
        <v>50627.11270999437</v>
      </c>
      <c r="AF13" s="3785">
        <f>+AB13+AD13</f>
        <v>41330</v>
      </c>
      <c r="AG13" s="3751">
        <f>+AG11*AG14/100</f>
        <v>8527.424450704224</v>
      </c>
      <c r="AH13" s="3654">
        <v>7010</v>
      </c>
      <c r="AI13" s="3757">
        <f>+AE13+AG13</f>
        <v>59154.537160698594</v>
      </c>
      <c r="AJ13" s="3785">
        <f>+AF13+AH13</f>
        <v>48340</v>
      </c>
      <c r="AK13" s="3751">
        <f>+AK11*AK14/100</f>
        <v>8266.1251680000005</v>
      </c>
      <c r="AL13" s="3654">
        <v>7372</v>
      </c>
      <c r="AM13" s="3762">
        <f>+AC13+AG13+AK13</f>
        <v>25610.766970816898</v>
      </c>
      <c r="AN13" s="3767">
        <f>+AD13+AH13+AL13</f>
        <v>21996</v>
      </c>
      <c r="AO13" s="3757">
        <f>+AI13+AK13</f>
        <v>67420.6623286986</v>
      </c>
      <c r="AP13" s="3612">
        <f>+AJ13+AL13</f>
        <v>55712</v>
      </c>
      <c r="AQ13" s="3751">
        <f>+AQ11*AQ14/100</f>
        <v>8266.1412676056316</v>
      </c>
      <c r="AR13" s="3654">
        <v>8251</v>
      </c>
      <c r="AS13" s="3980">
        <f>+AO13+AQ13</f>
        <v>75686.803596304235</v>
      </c>
      <c r="AT13" s="3983">
        <f>+AP13+AR13</f>
        <v>63963</v>
      </c>
      <c r="AU13" s="3751">
        <f>+AU11*AU14/100</f>
        <v>7322.7369120845069</v>
      </c>
      <c r="AV13" s="3654">
        <v>7739</v>
      </c>
      <c r="AW13" s="3980">
        <f>+AS13+AU13</f>
        <v>83009.540508388745</v>
      </c>
      <c r="AX13" s="3983">
        <f>+AT13+AV13</f>
        <v>71702</v>
      </c>
      <c r="AY13" s="3751">
        <f>+AY11*AY14/100</f>
        <v>8266.1412676056316</v>
      </c>
      <c r="AZ13" s="3654">
        <v>8777</v>
      </c>
      <c r="BA13" s="3762">
        <f>+AQ13+AU13+AY13</f>
        <v>23855.01944729577</v>
      </c>
      <c r="BB13" s="3767">
        <f>+AR13+AV13+AZ13</f>
        <v>24767</v>
      </c>
      <c r="BC13" s="3769">
        <f>+AM13+BA13</f>
        <v>49465.786418112664</v>
      </c>
      <c r="BD13" s="3770">
        <f>+AN13+BB13</f>
        <v>46763</v>
      </c>
      <c r="BE13" s="3980">
        <f>+AW13+AY13</f>
        <v>91275.681775994381</v>
      </c>
      <c r="BF13" s="3983">
        <f>+AX13+AZ13</f>
        <v>80479</v>
      </c>
    </row>
    <row r="14" spans="3:58" ht="15.75" x14ac:dyDescent="0.25">
      <c r="C14" s="2462" t="s">
        <v>695</v>
      </c>
      <c r="D14" s="111" t="s">
        <v>52</v>
      </c>
      <c r="E14" s="3753">
        <v>35</v>
      </c>
      <c r="F14" s="3754">
        <f>+F13/F11*100</f>
        <v>52.15141351221849</v>
      </c>
      <c r="G14" s="3753">
        <v>35</v>
      </c>
      <c r="H14" s="3754">
        <f>+H13/H11*100</f>
        <v>25.863294017336933</v>
      </c>
      <c r="I14" s="3758">
        <f>+I13/I11*100</f>
        <v>35</v>
      </c>
      <c r="J14" s="3761">
        <f>+J13/J11*100</f>
        <v>41.563644688644693</v>
      </c>
      <c r="K14" s="3753">
        <v>35</v>
      </c>
      <c r="L14" s="3654">
        <f>+L13/L11*100</f>
        <v>28.799130592284005</v>
      </c>
      <c r="M14" s="3764">
        <f>+M13/M11*100</f>
        <v>35</v>
      </c>
      <c r="N14" s="401">
        <f>+N13/N11*100</f>
        <v>34.437253514005462</v>
      </c>
      <c r="O14" s="3753">
        <v>35</v>
      </c>
      <c r="P14" s="3654">
        <f>+P13/P11*100</f>
        <v>32.038687462021471</v>
      </c>
      <c r="Q14" s="3758">
        <f>+Q13/Q11*100</f>
        <v>35</v>
      </c>
      <c r="R14" s="3761">
        <f>+R13/R11*100</f>
        <v>33.638540401996494</v>
      </c>
      <c r="S14" s="3753">
        <v>35</v>
      </c>
      <c r="T14" s="3654">
        <f>+T13/T11*100</f>
        <v>37.868328868740988</v>
      </c>
      <c r="U14" s="3758">
        <f>+U13/U11*100</f>
        <v>35</v>
      </c>
      <c r="V14" s="3761">
        <f>+V13/V11*100</f>
        <v>34.681640327252403</v>
      </c>
      <c r="W14" s="3766">
        <v>35</v>
      </c>
      <c r="X14" s="3754">
        <f>+X13/X11*100</f>
        <v>33.302190387210629</v>
      </c>
      <c r="Y14" s="3764">
        <f>+Y13/Y11*100</f>
        <v>35</v>
      </c>
      <c r="Z14" s="401">
        <f>+Z13/Z11*100</f>
        <v>34.392222640605205</v>
      </c>
      <c r="AA14" s="3771">
        <f>+AA13/AA11*100</f>
        <v>35</v>
      </c>
      <c r="AB14" s="1154">
        <f>+AB13/AB11*100</f>
        <v>34.410401910555002</v>
      </c>
      <c r="AC14" s="3753">
        <v>35</v>
      </c>
      <c r="AD14" s="3654">
        <f>+AD13/AD11*100</f>
        <v>36.06479727169382</v>
      </c>
      <c r="AE14" s="3758">
        <f>+AE13/AE11*100</f>
        <v>35</v>
      </c>
      <c r="AF14" s="3761">
        <f>+AF13/AF11*100</f>
        <v>34.703679446487648</v>
      </c>
      <c r="AG14" s="3753">
        <v>35</v>
      </c>
      <c r="AH14" s="3654">
        <f>+AH13/AH11*100</f>
        <v>34.988769653107063</v>
      </c>
      <c r="AI14" s="3758">
        <f>+AI13/AI11*100</f>
        <v>35</v>
      </c>
      <c r="AJ14" s="3761">
        <f>+AJ13/AJ11*100</f>
        <v>34.744733305062212</v>
      </c>
      <c r="AK14" s="3753">
        <v>35</v>
      </c>
      <c r="AL14" s="3654">
        <f>+AL13/AL11*100</f>
        <v>35.520863448010019</v>
      </c>
      <c r="AM14" s="3764">
        <f>+AM13/AM11*100</f>
        <v>35</v>
      </c>
      <c r="AN14" s="401">
        <f>+AN13/AN11*100</f>
        <v>35.534159383531765</v>
      </c>
      <c r="AO14" s="3758">
        <f>+AO13/AO11*100</f>
        <v>35.000000000000007</v>
      </c>
      <c r="AP14" s="2436">
        <f>+AP13/AP11*100</f>
        <v>34.84548075780414</v>
      </c>
      <c r="AQ14" s="3966">
        <v>35</v>
      </c>
      <c r="AR14" s="3654">
        <f>+AR13/AR11*100</f>
        <v>37.827801210342933</v>
      </c>
      <c r="AS14" s="3982">
        <f>+AS13/AS11*100</f>
        <v>35.000000000000007</v>
      </c>
      <c r="AT14" s="387">
        <f>+AT13/AT11*100</f>
        <v>35.203500371501697</v>
      </c>
      <c r="AU14" s="4087">
        <v>35</v>
      </c>
      <c r="AV14" s="3654">
        <f>+AV13/AV11*100</f>
        <v>38.959927507047922</v>
      </c>
      <c r="AW14" s="4089">
        <f>+AW13/AW11*100</f>
        <v>35.000000000000007</v>
      </c>
      <c r="AX14" s="387">
        <f>+AX13/AX11*100</f>
        <v>35.573702985230135</v>
      </c>
      <c r="AY14" s="4616">
        <v>35</v>
      </c>
      <c r="AZ14" s="3654">
        <f t="shared" ref="AZ14:BF14" si="34">+AZ13/AZ11*100</f>
        <v>37.740798073615409</v>
      </c>
      <c r="BA14" s="4618">
        <f t="shared" si="34"/>
        <v>35</v>
      </c>
      <c r="BB14" s="401">
        <f t="shared" si="34"/>
        <v>38.142980348672459</v>
      </c>
      <c r="BC14" s="4619">
        <f t="shared" si="34"/>
        <v>35</v>
      </c>
      <c r="BD14" s="1154">
        <f t="shared" si="34"/>
        <v>36.869742101818929</v>
      </c>
      <c r="BE14" s="4617">
        <f t="shared" si="34"/>
        <v>35.000000000000007</v>
      </c>
      <c r="BF14" s="387">
        <f t="shared" si="34"/>
        <v>35.797878255454485</v>
      </c>
    </row>
    <row r="15" spans="3:58" ht="15.75" x14ac:dyDescent="0.25">
      <c r="C15" s="3786" t="s">
        <v>708</v>
      </c>
      <c r="D15" s="111"/>
      <c r="E15" s="5386">
        <v>310</v>
      </c>
      <c r="F15" s="3654"/>
      <c r="G15" s="5386">
        <v>310</v>
      </c>
      <c r="H15" s="3654"/>
      <c r="I15" s="5394">
        <f>+((E15*E11)+(G11*G15))/(E11+G11)</f>
        <v>309.99999999999994</v>
      </c>
      <c r="J15" s="3785"/>
      <c r="K15" s="5386">
        <v>290</v>
      </c>
      <c r="L15" s="3654"/>
      <c r="M15" s="5397">
        <f>+((I15*I11)+(K15*K11))/M11</f>
        <v>299.24321984089931</v>
      </c>
      <c r="N15" s="3767"/>
      <c r="O15" s="5386">
        <v>280</v>
      </c>
      <c r="P15" s="3654"/>
      <c r="Q15" s="5394">
        <f>+((M15*M11)+(O15*O11))/Q11</f>
        <v>292.36606447642419</v>
      </c>
      <c r="R15" s="3785"/>
      <c r="S15" s="5386">
        <v>280</v>
      </c>
      <c r="T15" s="3654"/>
      <c r="U15" s="5394">
        <f>+((Q15*Q11)+(S15*S11))/U11</f>
        <v>289.10828178777513</v>
      </c>
      <c r="V15" s="3785"/>
      <c r="W15" s="5399">
        <v>290</v>
      </c>
      <c r="X15" s="3654"/>
      <c r="Y15" s="5397">
        <f>+((O15*O11)+(S15*S11)+(W15*W11))/Y11</f>
        <v>283.27266735776908</v>
      </c>
      <c r="Z15" s="3767"/>
      <c r="AA15" s="5400">
        <f>+((U15*U11)+(W11*W15))/(U11+W11)</f>
        <v>289.2901540364611</v>
      </c>
      <c r="AB15" s="3770"/>
      <c r="AC15" s="5386">
        <v>300</v>
      </c>
      <c r="AD15" s="3654"/>
      <c r="AE15" s="5394">
        <f>+((AA15*AA11)+(AC15*AC11))/AE11</f>
        <v>291.15538068308217</v>
      </c>
      <c r="AF15" s="3785"/>
      <c r="AG15" s="5386">
        <v>300</v>
      </c>
      <c r="AH15" s="3654"/>
      <c r="AI15" s="5394">
        <f>+((AE15*AE11)+(AG15*AG11))/AI11</f>
        <v>292.43037710162173</v>
      </c>
      <c r="AJ15" s="3785"/>
      <c r="AK15" s="5386">
        <v>310</v>
      </c>
      <c r="AL15" s="3654"/>
      <c r="AM15" s="5397">
        <f>+((AC15*AC11)+(AG15*AG11)+(AK15*AK11))/AM11</f>
        <v>303.22759766523944</v>
      </c>
      <c r="AN15" s="3767"/>
      <c r="AO15" s="5394">
        <f>+((AI15*AI11)+(AK15*AK11))/AO11</f>
        <v>294.58450459038022</v>
      </c>
      <c r="AP15" s="3612"/>
      <c r="AQ15" s="5386">
        <v>310</v>
      </c>
      <c r="AR15" s="3654"/>
      <c r="AS15" s="5388">
        <f>+((AO15*AO11)+(AQ15*AQ11))/AS11</f>
        <v>296.26810934987975</v>
      </c>
      <c r="AT15" s="3983"/>
      <c r="AU15" s="5386">
        <v>310</v>
      </c>
      <c r="AV15" s="3654"/>
      <c r="AW15" s="5388">
        <f>+((AS15*AS11)+(AU15*AU11))/AW11</f>
        <v>297.47947640384126</v>
      </c>
      <c r="AX15" s="3983"/>
      <c r="AY15" s="5386">
        <v>310</v>
      </c>
      <c r="AZ15" s="3654"/>
      <c r="BA15" s="5397">
        <f>+((AQ15*AQ11)+(AU15*AU11)+(AY15*AY11))/BA11</f>
        <v>310.00000000000006</v>
      </c>
      <c r="BB15" s="3767"/>
      <c r="BC15" s="5400">
        <f>+((AM15*AM11)+(BA15*BA11))/BC11</f>
        <v>306.49360839910435</v>
      </c>
      <c r="BD15" s="3770"/>
      <c r="BE15" s="5388">
        <f>+((AW15*AW11)+(AY15*AY11))/BE11</f>
        <v>298.61336458496964</v>
      </c>
      <c r="BF15" s="3983"/>
    </row>
    <row r="16" spans="3:58" s="669" customFormat="1" ht="15.75" x14ac:dyDescent="0.25">
      <c r="C16" s="3723" t="s">
        <v>852</v>
      </c>
      <c r="D16" s="5410"/>
      <c r="E16" s="5386"/>
      <c r="F16" s="3654">
        <v>272</v>
      </c>
      <c r="G16" s="5386"/>
      <c r="H16" s="3654">
        <v>246</v>
      </c>
      <c r="I16" s="5394"/>
      <c r="J16" s="3785">
        <f>+((F16*F11)+(H11*H16))/(F11+H11)</f>
        <v>261.5282738095238</v>
      </c>
      <c r="K16" s="5386"/>
      <c r="L16" s="3654">
        <v>281</v>
      </c>
      <c r="M16" s="5397"/>
      <c r="N16" s="3767">
        <f>+((J16*J11)+(L11*L16))/(J11+L11)</f>
        <v>272.39928203053898</v>
      </c>
      <c r="O16" s="5386"/>
      <c r="P16" s="3654">
        <v>272</v>
      </c>
      <c r="Q16" s="5394"/>
      <c r="R16" s="3785">
        <f>+((N16*N11)+(P11*P16))/(N11+P11)</f>
        <v>272.26632267637933</v>
      </c>
      <c r="S16" s="5386"/>
      <c r="T16" s="3654">
        <v>296</v>
      </c>
      <c r="U16" s="5394"/>
      <c r="V16" s="3785">
        <f>+((R16*R11)+(T11*T16))/(R11+T11)</f>
        <v>278.11923878245847</v>
      </c>
      <c r="W16" s="5399"/>
      <c r="X16" s="3654">
        <v>293</v>
      </c>
      <c r="Y16" s="5397"/>
      <c r="Z16" s="3767">
        <f>+((P16*P$11)+(T16*T$11)+(X$11*X16))/Z$11</f>
        <v>286.89874370999212</v>
      </c>
      <c r="AA16" s="5400"/>
      <c r="AB16" s="3770">
        <f>+((V16*V11)+(X11*X16))/(V11+X11)</f>
        <v>281.04521238594845</v>
      </c>
      <c r="AC16" s="5386"/>
      <c r="AD16" s="3654">
        <v>292</v>
      </c>
      <c r="AE16" s="5394"/>
      <c r="AF16" s="3785">
        <f>+((AB16*AB11)+(AD11*AD16))/(AB11+AD11)</f>
        <v>282.98718659210374</v>
      </c>
      <c r="AG16" s="5386"/>
      <c r="AH16" s="3654">
        <v>291</v>
      </c>
      <c r="AI16" s="5394"/>
      <c r="AJ16" s="3785">
        <f>+((AF16*AF11)+(AH11*AH16))/(AF11+AH11)</f>
        <v>284.14105614214145</v>
      </c>
      <c r="AK16" s="5386"/>
      <c r="AL16" s="3654">
        <v>271</v>
      </c>
      <c r="AM16" s="5397"/>
      <c r="AN16" s="3767">
        <f>+((AD16*AD$11)+(AH16*AH$11)+(AL$11*AL16))/AN$11</f>
        <v>284.6355147735901</v>
      </c>
      <c r="AO16" s="5394"/>
      <c r="AP16" s="3612">
        <f>+((AJ16*AJ11)+(AL11*AL16))/(AJ11+AL11)</f>
        <v>282.43524952621607</v>
      </c>
      <c r="AQ16" s="5386"/>
      <c r="AR16" s="3654">
        <v>276</v>
      </c>
      <c r="AS16" s="5388"/>
      <c r="AT16" s="3983">
        <f>+((AP16*AP11)+(AR11*AR16))/(AP11+AR11)</f>
        <v>281.66271498940534</v>
      </c>
      <c r="AU16" s="5386"/>
      <c r="AV16" s="3654">
        <v>268</v>
      </c>
      <c r="AW16" s="5388"/>
      <c r="AX16" s="3983">
        <f>+((AT16*AT11)+(AV11*AV16))/(AT11+AV11)</f>
        <v>280.31622998724941</v>
      </c>
      <c r="AY16" s="5386"/>
      <c r="AZ16" s="3654">
        <v>282</v>
      </c>
      <c r="BA16" s="5397"/>
      <c r="BB16" s="3767">
        <f>+((AR16*AR$11)+(AV16*AV$11)+(AZ$11*AZ16))/BB$11</f>
        <v>275.70159551530833</v>
      </c>
      <c r="BC16" s="5400"/>
      <c r="BD16" s="3770">
        <f>+((AN16*AN11)+(BB11*BB16))/(AN11+BB11)</f>
        <v>280.0618056814867</v>
      </c>
      <c r="BE16" s="5388"/>
      <c r="BF16" s="3983">
        <f>+((AX16*AX11)+(AZ11*AZ16))/(AX11+AZ11)</f>
        <v>280.4904076685275</v>
      </c>
    </row>
    <row r="17" spans="3:58" s="669" customFormat="1" ht="15.75" x14ac:dyDescent="0.25">
      <c r="C17" s="3723" t="s">
        <v>853</v>
      </c>
      <c r="D17" s="5410"/>
      <c r="E17" s="5386"/>
      <c r="F17" s="3654">
        <v>266</v>
      </c>
      <c r="G17" s="5386"/>
      <c r="H17" s="3654">
        <v>248</v>
      </c>
      <c r="I17" s="5394"/>
      <c r="J17" s="3785">
        <f>+((F17*F11)+(H11*H17))/(F11+H11)</f>
        <v>258.7503434065934</v>
      </c>
      <c r="K17" s="5386"/>
      <c r="L17" s="3654">
        <v>271</v>
      </c>
      <c r="M17" s="5397"/>
      <c r="N17" s="3767">
        <f>+((J17*J11)+(L11*L17))/(J11+L11)</f>
        <v>265.58929113156034</v>
      </c>
      <c r="O17" s="5386"/>
      <c r="P17" s="3654">
        <v>269</v>
      </c>
      <c r="Q17" s="5394"/>
      <c r="R17" s="3785">
        <f>+((N17*N11)+(P11*P17))/(N11+P11)</f>
        <v>266.72504384189938</v>
      </c>
      <c r="S17" s="5386"/>
      <c r="T17" s="3654">
        <v>266</v>
      </c>
      <c r="U17" s="5394"/>
      <c r="V17" s="3785">
        <f>+((R17*R11)+(T11*T17))/(R11+T11)</f>
        <v>266.54624218710302</v>
      </c>
      <c r="W17" s="5399"/>
      <c r="X17" s="3654">
        <v>275</v>
      </c>
      <c r="Y17" s="5397"/>
      <c r="Z17" s="3767">
        <f t="shared" ref="Z17:Z19" si="35">+((P17*P$11)+(T17*T$11)+(X$11*X17))/Z$11</f>
        <v>269.98175469825077</v>
      </c>
      <c r="AA17" s="5400"/>
      <c r="AB17" s="3770">
        <f>+((V17*V11)+(X11*X17))/(V11+X11)</f>
        <v>268.20848727317264</v>
      </c>
      <c r="AC17" s="5386"/>
      <c r="AD17" s="3654">
        <v>270</v>
      </c>
      <c r="AE17" s="5394"/>
      <c r="AF17" s="3785">
        <f>+((AB17*AB11)+(AD11*AD17))/(AB11+AD11)</f>
        <v>268.5260718424102</v>
      </c>
      <c r="AG17" s="5386"/>
      <c r="AH17" s="3654">
        <v>275</v>
      </c>
      <c r="AI17" s="5394"/>
      <c r="AJ17" s="3785">
        <f>+((AF17*AF11)+(AH11*AH17))/(AF11+AH11)</f>
        <v>269.45833722660262</v>
      </c>
      <c r="AK17" s="5386"/>
      <c r="AL17" s="3654">
        <v>285</v>
      </c>
      <c r="AM17" s="5397"/>
      <c r="AN17" s="3767">
        <f t="shared" ref="AN17:AN19" si="36">+((AD17*AD$11)+(AH17*AH$11)+(AL$11*AL17))/AN$11</f>
        <v>276.64746934621411</v>
      </c>
      <c r="AO17" s="5394"/>
      <c r="AP17" s="3612">
        <f>+((AJ17*AJ11)+(AL11*AL17))/(AJ11+AL11)</f>
        <v>271.47576039979236</v>
      </c>
      <c r="AQ17" s="5386"/>
      <c r="AR17" s="3654">
        <v>269</v>
      </c>
      <c r="AS17" s="5388"/>
      <c r="AT17" s="3983">
        <f>+((AP17*AP11)+(AR11*AR17))/(AP11+AR11)</f>
        <v>271.17855196895897</v>
      </c>
      <c r="AU17" s="5386"/>
      <c r="AV17" s="3654">
        <v>266</v>
      </c>
      <c r="AW17" s="5388"/>
      <c r="AX17" s="3983">
        <f>+((AT17*AT11)+(AV11*AV17))/(AT11+AV11)</f>
        <v>270.66819640899189</v>
      </c>
      <c r="AY17" s="5386"/>
      <c r="AZ17" s="3654">
        <v>265</v>
      </c>
      <c r="BA17" s="5397"/>
      <c r="BB17" s="3767">
        <f t="shared" ref="BB17:BB19" si="37">+((AR17*AR$11)+(AV17*AV$11)+(AZ$11*AZ17))/BB$11</f>
        <v>266.64960266124564</v>
      </c>
      <c r="BC17" s="5400"/>
      <c r="BD17" s="3770">
        <f>+((AN17*AN11)+(BB11*BB17))/(AN11+BB11)</f>
        <v>271.52907366379412</v>
      </c>
      <c r="BE17" s="5388"/>
      <c r="BF17" s="3983">
        <f>+((AX17*AX11)+(AZ11*AZ17))/(AX11+AZ11)</f>
        <v>270.08184952071701</v>
      </c>
    </row>
    <row r="18" spans="3:58" s="669" customFormat="1" ht="15.75" x14ac:dyDescent="0.25">
      <c r="C18" s="3787" t="s">
        <v>854</v>
      </c>
      <c r="D18" s="5410"/>
      <c r="E18" s="5386"/>
      <c r="F18" s="3654">
        <v>282</v>
      </c>
      <c r="G18" s="5386"/>
      <c r="H18" s="3654">
        <v>276</v>
      </c>
      <c r="I18" s="5394"/>
      <c r="J18" s="3785">
        <f>+((F18*F11)+(H11*H18))/(F11+H11)</f>
        <v>279.58344780219778</v>
      </c>
      <c r="K18" s="5386"/>
      <c r="L18" s="3654">
        <v>278</v>
      </c>
      <c r="M18" s="5397"/>
      <c r="N18" s="3767">
        <f>+((J18*J11)+(L11*L18))/(J11+L11)</f>
        <v>278.69941348973606</v>
      </c>
      <c r="O18" s="5386"/>
      <c r="P18" s="3654">
        <v>258</v>
      </c>
      <c r="Q18" s="5394"/>
      <c r="R18" s="3785">
        <f>+((N18*N11)+(P11*P18))/(N11+P11)</f>
        <v>271.80658977472007</v>
      </c>
      <c r="S18" s="5386"/>
      <c r="T18" s="3654">
        <v>261</v>
      </c>
      <c r="U18" s="5394"/>
      <c r="V18" s="3785">
        <f>+((R18*R11)+(T11*T18))/(R11+T11)</f>
        <v>269.14159764215663</v>
      </c>
      <c r="W18" s="5399"/>
      <c r="X18" s="3654">
        <v>286</v>
      </c>
      <c r="Y18" s="5397"/>
      <c r="Z18" s="3767">
        <f t="shared" si="35"/>
        <v>268.22976072296581</v>
      </c>
      <c r="AA18" s="5400"/>
      <c r="AB18" s="3770">
        <f>+((V18*V11)+(X11*X18))/(V11+X11)</f>
        <v>272.45643077299911</v>
      </c>
      <c r="AC18" s="5386"/>
      <c r="AD18" s="3654">
        <v>297</v>
      </c>
      <c r="AE18" s="5394"/>
      <c r="AF18" s="3785">
        <f>+((AB18*AB11)+(AD11*AD18))/(AB11+AD11)</f>
        <v>276.80731187129493</v>
      </c>
      <c r="AG18" s="5386"/>
      <c r="AH18" s="3654">
        <v>294</v>
      </c>
      <c r="AI18" s="5394"/>
      <c r="AJ18" s="3785">
        <f>+((AF18*AF11)+(AH11*AH18))/(AF11+AH11)</f>
        <v>279.28311135708589</v>
      </c>
      <c r="AK18" s="5386"/>
      <c r="AL18" s="3654">
        <v>271</v>
      </c>
      <c r="AM18" s="5397"/>
      <c r="AN18" s="3767">
        <f t="shared" si="36"/>
        <v>287.31180433272482</v>
      </c>
      <c r="AO18" s="5394"/>
      <c r="AP18" s="3612">
        <f>+((AJ18*AJ11)+(AL11*AL18))/(AJ11+AL11)</f>
        <v>278.20790202835826</v>
      </c>
      <c r="AQ18" s="5386"/>
      <c r="AR18" s="3654">
        <v>273</v>
      </c>
      <c r="AS18" s="5388"/>
      <c r="AT18" s="3983">
        <f>+((AP18*AP11)+(AR11*AR18))/(AP11+AR11)</f>
        <v>277.58270728418506</v>
      </c>
      <c r="AU18" s="5386"/>
      <c r="AV18" s="3654">
        <v>260</v>
      </c>
      <c r="AW18" s="5388"/>
      <c r="AX18" s="3983">
        <f>+((AT18*AT11)+(AV11*AV18))/(AT11+AV11)</f>
        <v>275.84990002927185</v>
      </c>
      <c r="AY18" s="5386"/>
      <c r="AZ18" s="3654">
        <v>246</v>
      </c>
      <c r="BA18" s="5397"/>
      <c r="BB18" s="3767">
        <f t="shared" si="37"/>
        <v>259.35273824924536</v>
      </c>
      <c r="BC18" s="5400"/>
      <c r="BD18" s="3770">
        <f>+((AN18*AN11)+(BB11*BB18))/(AN11+BB11)</f>
        <v>272.99819447620098</v>
      </c>
      <c r="BE18" s="5388"/>
      <c r="BF18" s="3983">
        <f>+((AX18*AX11)+(AZ11*AZ18))/(AX11+AZ11)</f>
        <v>272.7620754842871</v>
      </c>
    </row>
    <row r="19" spans="3:58" s="669" customFormat="1" ht="15.75" x14ac:dyDescent="0.25">
      <c r="C19" s="3788" t="s">
        <v>855</v>
      </c>
      <c r="D19" s="5410"/>
      <c r="E19" s="5386"/>
      <c r="F19" s="3654">
        <v>235</v>
      </c>
      <c r="G19" s="5386"/>
      <c r="H19" s="3654">
        <v>208</v>
      </c>
      <c r="I19" s="5394"/>
      <c r="J19" s="3785">
        <f>+((F19*F11)+(H11*H19))/(F11+H11)</f>
        <v>224.1255151098901</v>
      </c>
      <c r="K19" s="5386"/>
      <c r="L19" s="3654">
        <v>250</v>
      </c>
      <c r="M19" s="5397"/>
      <c r="N19" s="3767">
        <f>+((J19*J11)+(L11*L19))/(J11+L11)</f>
        <v>238.57116493073113</v>
      </c>
      <c r="O19" s="5386"/>
      <c r="P19" s="3654">
        <v>243</v>
      </c>
      <c r="Q19" s="5394"/>
      <c r="R19" s="3785">
        <f>+((N19*N11)+(P11*P19))/(N11+P11)</f>
        <v>240.04594968298935</v>
      </c>
      <c r="S19" s="5386"/>
      <c r="T19" s="3654">
        <v>251</v>
      </c>
      <c r="U19" s="5394"/>
      <c r="V19" s="3785">
        <f>+((R19*R11)+(T11*T19))/(R11+T11)</f>
        <v>242.74730677371818</v>
      </c>
      <c r="W19" s="5399"/>
      <c r="X19" s="3654">
        <v>256</v>
      </c>
      <c r="Y19" s="5397"/>
      <c r="Z19" s="3767">
        <f t="shared" si="35"/>
        <v>249.94475062472188</v>
      </c>
      <c r="AA19" s="5400"/>
      <c r="AB19" s="3770">
        <f>+((V19*V11)+(X11*X19))/(V11+X11)</f>
        <v>245.35315670225143</v>
      </c>
      <c r="AC19" s="5386"/>
      <c r="AD19" s="3654">
        <v>255</v>
      </c>
      <c r="AE19" s="5394"/>
      <c r="AF19" s="3785">
        <f>+((AB19*AB11)+(AD11*AD19))/(AB11+AD11)</f>
        <v>247.06326935026115</v>
      </c>
      <c r="AG19" s="5386"/>
      <c r="AH19" s="3654">
        <v>253</v>
      </c>
      <c r="AI19" s="5394"/>
      <c r="AJ19" s="3785">
        <f>+((AF19*AF11)+(AH11*AH19))/(AF11+AH11)</f>
        <v>247.91817665619678</v>
      </c>
      <c r="AK19" s="5386"/>
      <c r="AL19" s="3654">
        <v>237</v>
      </c>
      <c r="AM19" s="5397"/>
      <c r="AN19" s="3767">
        <f t="shared" si="36"/>
        <v>248.31768469006963</v>
      </c>
      <c r="AO19" s="5394"/>
      <c r="AP19" s="3612">
        <f>+((AJ19*AJ11)+(AL11*AL19))/(AJ11+AL11)</f>
        <v>246.50091629504075</v>
      </c>
      <c r="AQ19" s="5386"/>
      <c r="AR19" s="3654">
        <v>228</v>
      </c>
      <c r="AS19" s="5388"/>
      <c r="AT19" s="3983">
        <f>+((AP19*AP11)+(AR11*AR19))/(AP11+AR11)</f>
        <v>244.27993065301743</v>
      </c>
      <c r="AU19" s="5386"/>
      <c r="AV19" s="3654">
        <v>221</v>
      </c>
      <c r="AW19" s="5388"/>
      <c r="AX19" s="3983">
        <f>+((AT19*AT11)+(AV11*AV19))/(AT11+AV11)</f>
        <v>241.98565184387698</v>
      </c>
      <c r="AY19" s="5386"/>
      <c r="AZ19" s="3654">
        <v>219</v>
      </c>
      <c r="BA19" s="5397"/>
      <c r="BB19" s="3767">
        <f t="shared" si="37"/>
        <v>222.63512597794616</v>
      </c>
      <c r="BC19" s="5400"/>
      <c r="BD19" s="3770">
        <f>+((AN19*AN11)+(BB11*BB19))/(AN11+BB11)</f>
        <v>235.16953001190541</v>
      </c>
      <c r="BE19" s="5388"/>
      <c r="BF19" s="3983">
        <f>+((AX19*AX11)+(AZ11*AZ19))/(AX11+AZ11)</f>
        <v>239.60789982874809</v>
      </c>
    </row>
    <row r="20" spans="3:58" s="334" customFormat="1" ht="15.75" x14ac:dyDescent="0.25">
      <c r="C20" s="3789" t="s">
        <v>579</v>
      </c>
      <c r="D20" s="3790"/>
      <c r="E20" s="3791"/>
      <c r="F20" s="3792"/>
      <c r="G20" s="3791"/>
      <c r="H20" s="3792"/>
      <c r="I20" s="3793"/>
      <c r="J20" s="3790"/>
      <c r="K20" s="3791"/>
      <c r="L20" s="3792"/>
      <c r="M20" s="3791"/>
      <c r="N20" s="3792"/>
      <c r="O20" s="3791"/>
      <c r="P20" s="3792"/>
      <c r="Q20" s="3793"/>
      <c r="R20" s="3790"/>
      <c r="S20" s="3791"/>
      <c r="T20" s="3792"/>
      <c r="U20" s="3793"/>
      <c r="V20" s="3790"/>
      <c r="W20" s="3791"/>
      <c r="X20" s="3792"/>
      <c r="Y20" s="3791"/>
      <c r="Z20" s="3792"/>
      <c r="AA20" s="3791"/>
      <c r="AB20" s="3792"/>
      <c r="AC20" s="3791"/>
      <c r="AD20" s="3792"/>
      <c r="AE20" s="3793"/>
      <c r="AF20" s="3790"/>
      <c r="AG20" s="3791"/>
      <c r="AH20" s="3792"/>
      <c r="AI20" s="3793"/>
      <c r="AJ20" s="3790"/>
      <c r="AK20" s="3791"/>
      <c r="AL20" s="3792"/>
      <c r="AM20" s="3791"/>
      <c r="AN20" s="3792"/>
      <c r="AO20" s="3793"/>
      <c r="AP20" s="3789"/>
      <c r="AQ20" s="3791"/>
      <c r="AR20" s="3792"/>
      <c r="AS20" s="3791"/>
      <c r="AT20" s="3792"/>
      <c r="AU20" s="3791"/>
      <c r="AV20" s="3792"/>
      <c r="AW20" s="3791"/>
      <c r="AX20" s="3792"/>
      <c r="AY20" s="3791"/>
      <c r="AZ20" s="3792"/>
      <c r="BA20" s="3791"/>
      <c r="BB20" s="3792"/>
      <c r="BC20" s="3791"/>
      <c r="BD20" s="3792"/>
      <c r="BE20" s="3791"/>
      <c r="BF20" s="3792"/>
    </row>
    <row r="21" spans="3:58" ht="15.75" x14ac:dyDescent="0.25">
      <c r="C21" s="2462" t="s">
        <v>580</v>
      </c>
      <c r="D21" s="111" t="s">
        <v>53</v>
      </c>
      <c r="E21" s="3751">
        <f>+E33*$E$36/1000</f>
        <v>6103.3050000000003</v>
      </c>
      <c r="F21" s="3752">
        <v>5055</v>
      </c>
      <c r="G21" s="3751">
        <f>+G33*$E$36/1000</f>
        <v>6316.8950000000004</v>
      </c>
      <c r="H21" s="3752">
        <v>5481</v>
      </c>
      <c r="I21" s="3757">
        <f>+E21+G21</f>
        <v>12420.2</v>
      </c>
      <c r="J21" s="3760">
        <f>+F21+H21</f>
        <v>10536</v>
      </c>
      <c r="K21" s="3751">
        <f>+K33*$E$36/1000</f>
        <v>14453.985000000001</v>
      </c>
      <c r="L21" s="3752">
        <v>13310</v>
      </c>
      <c r="M21" s="3762">
        <f>+I21+K21</f>
        <v>26874.185000000001</v>
      </c>
      <c r="N21" s="3763">
        <f>+J21+L21</f>
        <v>23846</v>
      </c>
      <c r="O21" s="3751">
        <f>+O33*$E$36/1000</f>
        <v>14945.575117370894</v>
      </c>
      <c r="P21" s="3752">
        <v>13863</v>
      </c>
      <c r="Q21" s="3757">
        <f>+M21+O21</f>
        <v>41819.760117370897</v>
      </c>
      <c r="R21" s="3760">
        <f>+N21+P21</f>
        <v>37709</v>
      </c>
      <c r="S21" s="3751">
        <f>+S33*$E$36/1000</f>
        <v>14957.781690140846</v>
      </c>
      <c r="T21" s="3752">
        <v>9321</v>
      </c>
      <c r="U21" s="3757">
        <f>+Q21+S21</f>
        <v>56777.541807511741</v>
      </c>
      <c r="V21" s="3760">
        <f>+R21+T21</f>
        <v>47030</v>
      </c>
      <c r="W21" s="3751">
        <f>+W33*$E$36/1000</f>
        <v>14547.183098591549</v>
      </c>
      <c r="X21" s="3752">
        <v>12035</v>
      </c>
      <c r="Y21" s="3762">
        <f t="shared" ref="Y21:Y22" si="38">+O21+S21+W21</f>
        <v>44450.539906103288</v>
      </c>
      <c r="Z21" s="3767">
        <f t="shared" ref="Z21:Z22" si="39">+P21+T21+X21</f>
        <v>35219</v>
      </c>
      <c r="AA21" s="3769">
        <f>+U21+W21</f>
        <v>71324.724906103293</v>
      </c>
      <c r="AB21" s="3772">
        <f>+V21+X21</f>
        <v>59065</v>
      </c>
      <c r="AC21" s="3751">
        <f>+AC33*$E$36/1000</f>
        <v>15041.549295774646</v>
      </c>
      <c r="AD21" s="3752">
        <v>14000</v>
      </c>
      <c r="AE21" s="3757">
        <f>+AA21+AC21</f>
        <v>86366.274201877939</v>
      </c>
      <c r="AF21" s="3760">
        <f>+AB21+AD21</f>
        <v>73065</v>
      </c>
      <c r="AG21" s="3751">
        <f>+AG33*$E$36/1000</f>
        <v>14547.183098591549</v>
      </c>
      <c r="AH21" s="3752">
        <v>11700</v>
      </c>
      <c r="AI21" s="3757">
        <f>+AE21+AG21</f>
        <v>100913.45730046948</v>
      </c>
      <c r="AJ21" s="3760">
        <f>+AF21+AH21</f>
        <v>84765</v>
      </c>
      <c r="AK21" s="3751">
        <f>+AK33*$E$36/1000</f>
        <v>15041.52</v>
      </c>
      <c r="AL21" s="3752">
        <v>14938</v>
      </c>
      <c r="AM21" s="3762">
        <f t="shared" ref="AM21:AM22" si="40">+AC21+AG21+AK21</f>
        <v>44630.252394366194</v>
      </c>
      <c r="AN21" s="3767">
        <f t="shared" ref="AN21:AN22" si="41">+AD21+AH21+AL21</f>
        <v>40638</v>
      </c>
      <c r="AO21" s="3757">
        <f>+AI21+AK21</f>
        <v>115954.97730046949</v>
      </c>
      <c r="AP21" s="2463">
        <f>+AJ21+AL21</f>
        <v>99703</v>
      </c>
      <c r="AQ21" s="3751">
        <f>+AQ33*$E$36/1000</f>
        <v>15041.549295774646</v>
      </c>
      <c r="AR21" s="3752">
        <v>13054</v>
      </c>
      <c r="AS21" s="3980">
        <f>+AO21+AQ21</f>
        <v>130996.52659624413</v>
      </c>
      <c r="AT21" s="3981">
        <f>+AP21+AR21</f>
        <v>112757</v>
      </c>
      <c r="AU21" s="3751">
        <f>+AU33*$E$36/1000</f>
        <v>13324.876103286384</v>
      </c>
      <c r="AV21" s="3752">
        <v>11441</v>
      </c>
      <c r="AW21" s="3980">
        <f>+AS21+AU21</f>
        <v>144321.40269953053</v>
      </c>
      <c r="AX21" s="3981">
        <f>+AT21+AV21</f>
        <v>124198</v>
      </c>
      <c r="AY21" s="3751">
        <f>+AY33*$E$36/1000</f>
        <v>15041.549295774646</v>
      </c>
      <c r="AZ21" s="3752">
        <v>21300</v>
      </c>
      <c r="BA21" s="3762">
        <f t="shared" ref="BA21:BA22" si="42">+AQ21+AU21+AY21</f>
        <v>43407.974694835677</v>
      </c>
      <c r="BB21" s="3767">
        <f t="shared" ref="BB21:BB22" si="43">+AR21+AV21+AZ21</f>
        <v>45795</v>
      </c>
      <c r="BC21" s="3769">
        <f>+AM21+BA21</f>
        <v>88038.227089201871</v>
      </c>
      <c r="BD21" s="3770">
        <f>+AN21+BB21</f>
        <v>86433</v>
      </c>
      <c r="BE21" s="3980">
        <f>+AW21+AY21</f>
        <v>159362.95199530519</v>
      </c>
      <c r="BF21" s="3981">
        <f>+AX21+AZ21</f>
        <v>145498</v>
      </c>
    </row>
    <row r="22" spans="3:58" ht="15.75" x14ac:dyDescent="0.25">
      <c r="C22" s="5404" t="s">
        <v>574</v>
      </c>
      <c r="D22" s="111" t="s">
        <v>53</v>
      </c>
      <c r="E22" s="3751">
        <f>+E21*E23/100</f>
        <v>1525.8262500000001</v>
      </c>
      <c r="F22" s="3752">
        <v>1002</v>
      </c>
      <c r="G22" s="3751">
        <f>+G21*G23/100</f>
        <v>1579.2237500000001</v>
      </c>
      <c r="H22" s="3752">
        <v>1872</v>
      </c>
      <c r="I22" s="3757">
        <f>+E22+G22</f>
        <v>3105.05</v>
      </c>
      <c r="J22" s="3760">
        <f>+F22+H22</f>
        <v>2874</v>
      </c>
      <c r="K22" s="3751">
        <f>+K21*K23/100</f>
        <v>3613.4962500000001</v>
      </c>
      <c r="L22" s="3752">
        <v>3730</v>
      </c>
      <c r="M22" s="3762">
        <f>+I22+K22</f>
        <v>6718.5462500000003</v>
      </c>
      <c r="N22" s="3763">
        <f>+J22+L22</f>
        <v>6604</v>
      </c>
      <c r="O22" s="3751">
        <f>+O21*O23/100</f>
        <v>3736.3937793427235</v>
      </c>
      <c r="P22" s="3752">
        <v>4797</v>
      </c>
      <c r="Q22" s="3757">
        <f>+M22+O22</f>
        <v>10454.940029342724</v>
      </c>
      <c r="R22" s="3760">
        <f>+N22+P22</f>
        <v>11401</v>
      </c>
      <c r="S22" s="3751">
        <f>+S21*S23/100</f>
        <v>3739.4454225352115</v>
      </c>
      <c r="T22" s="3752">
        <v>1683</v>
      </c>
      <c r="U22" s="3757">
        <f>+Q22+S22</f>
        <v>14194.385451877935</v>
      </c>
      <c r="V22" s="3760">
        <f>+R22+T22</f>
        <v>13084</v>
      </c>
      <c r="W22" s="3751">
        <f>+W21*W23/100</f>
        <v>3636.7957746478874</v>
      </c>
      <c r="X22" s="3752">
        <v>3780</v>
      </c>
      <c r="Y22" s="3762">
        <f t="shared" si="38"/>
        <v>11112.634976525822</v>
      </c>
      <c r="Z22" s="3767">
        <f t="shared" si="39"/>
        <v>10260</v>
      </c>
      <c r="AA22" s="3769">
        <f>+U22+W22</f>
        <v>17831.181226525823</v>
      </c>
      <c r="AB22" s="3772">
        <f>+V22+X22</f>
        <v>16864</v>
      </c>
      <c r="AC22" s="3751">
        <f>+AC21*AC23/100</f>
        <v>3760.3873239436616</v>
      </c>
      <c r="AD22" s="3752">
        <v>5479</v>
      </c>
      <c r="AE22" s="3757">
        <f>+AA22+AC22</f>
        <v>21591.568550469485</v>
      </c>
      <c r="AF22" s="3760">
        <f>+AB22+AD22</f>
        <v>22343</v>
      </c>
      <c r="AG22" s="3751">
        <f>+AG21*AG23/100</f>
        <v>3636.7957746478874</v>
      </c>
      <c r="AH22" s="3752">
        <v>3273</v>
      </c>
      <c r="AI22" s="3757">
        <f>+AE22+AG22</f>
        <v>25228.364325117371</v>
      </c>
      <c r="AJ22" s="3760">
        <f>+AF22+AH22</f>
        <v>25616</v>
      </c>
      <c r="AK22" s="3751">
        <f>+AK21*AK23/100</f>
        <v>3760.38</v>
      </c>
      <c r="AL22" s="3752">
        <v>7169</v>
      </c>
      <c r="AM22" s="3762">
        <f t="shared" si="40"/>
        <v>11157.563098591549</v>
      </c>
      <c r="AN22" s="3767">
        <f t="shared" si="41"/>
        <v>15921</v>
      </c>
      <c r="AO22" s="3757">
        <f>+AI22+AK22</f>
        <v>28988.744325117372</v>
      </c>
      <c r="AP22" s="2463">
        <f>+AJ22+AL22</f>
        <v>32785</v>
      </c>
      <c r="AQ22" s="3751">
        <f>+AQ21*AQ23/100</f>
        <v>3760.3873239436616</v>
      </c>
      <c r="AR22" s="3752">
        <v>5393</v>
      </c>
      <c r="AS22" s="3980">
        <f>+AO22+AQ22</f>
        <v>32749.131649061033</v>
      </c>
      <c r="AT22" s="3981">
        <f>+AP22+AR22</f>
        <v>38178</v>
      </c>
      <c r="AU22" s="3751">
        <f>+AU21*AU23/100</f>
        <v>3331.219025821596</v>
      </c>
      <c r="AV22" s="3752">
        <v>3500</v>
      </c>
      <c r="AW22" s="3980">
        <f>+AS22+AU22</f>
        <v>36080.350674882633</v>
      </c>
      <c r="AX22" s="3981">
        <f>+AT22+AV22</f>
        <v>41678</v>
      </c>
      <c r="AY22" s="3751">
        <f>+AY21*AY23/100</f>
        <v>3760.3873239436616</v>
      </c>
      <c r="AZ22" s="3752">
        <v>7770</v>
      </c>
      <c r="BA22" s="3762">
        <f t="shared" si="42"/>
        <v>10851.993673708919</v>
      </c>
      <c r="BB22" s="3767">
        <f t="shared" si="43"/>
        <v>16663</v>
      </c>
      <c r="BC22" s="3769">
        <f>+AM22+BA22</f>
        <v>22009.556772300468</v>
      </c>
      <c r="BD22" s="3770">
        <f>+AN22+BB22</f>
        <v>32584</v>
      </c>
      <c r="BE22" s="3980">
        <f>+AW22+AY22</f>
        <v>39840.737998826298</v>
      </c>
      <c r="BF22" s="3981">
        <f>+AX22+AZ22</f>
        <v>49448</v>
      </c>
    </row>
    <row r="23" spans="3:58" ht="15.75" x14ac:dyDescent="0.25">
      <c r="C23" s="5404"/>
      <c r="D23" s="111" t="s">
        <v>52</v>
      </c>
      <c r="E23" s="3755">
        <v>25</v>
      </c>
      <c r="F23" s="3754">
        <f>+F22/F21*100</f>
        <v>19.821958456973292</v>
      </c>
      <c r="G23" s="3755">
        <v>25</v>
      </c>
      <c r="H23" s="3754">
        <f>+H22/H21*100</f>
        <v>34.154351395730707</v>
      </c>
      <c r="I23" s="3758">
        <f>+I22/I21*100</f>
        <v>25</v>
      </c>
      <c r="J23" s="3761">
        <f>+J22/J21*100</f>
        <v>27.27790432801822</v>
      </c>
      <c r="K23" s="3755">
        <v>25</v>
      </c>
      <c r="L23" s="3754">
        <f>+L22/L21*100</f>
        <v>28.024042073628852</v>
      </c>
      <c r="M23" s="3764">
        <f>+M22/M21*100</f>
        <v>25</v>
      </c>
      <c r="N23" s="401">
        <f>+N22/N21*100</f>
        <v>27.694372221756268</v>
      </c>
      <c r="O23" s="3755">
        <v>25</v>
      </c>
      <c r="P23" s="3754">
        <f>+P22/P21*100</f>
        <v>34.602899805236966</v>
      </c>
      <c r="Q23" s="3758">
        <f>+Q22/Q21*100</f>
        <v>25</v>
      </c>
      <c r="R23" s="3761">
        <f>+R22/R21*100</f>
        <v>30.234161605982656</v>
      </c>
      <c r="S23" s="3755">
        <v>25</v>
      </c>
      <c r="T23" s="3754">
        <f>+T22/T21*100</f>
        <v>18.056002574831027</v>
      </c>
      <c r="U23" s="3758">
        <f>+U22/U21*100</f>
        <v>25</v>
      </c>
      <c r="V23" s="3761">
        <f>+V22/V21*100</f>
        <v>27.820540080799489</v>
      </c>
      <c r="W23" s="3751">
        <v>25</v>
      </c>
      <c r="X23" s="3754">
        <f>+X22/X21*100</f>
        <v>31.408392189447444</v>
      </c>
      <c r="Y23" s="3764">
        <f>+Y22/Y21*100</f>
        <v>25</v>
      </c>
      <c r="Z23" s="401">
        <f>+Z22/Z21*100</f>
        <v>29.132002612226355</v>
      </c>
      <c r="AA23" s="3769">
        <f>+AA22/AA21*100</f>
        <v>25</v>
      </c>
      <c r="AB23" s="1154">
        <f>+AB22/AB21*100</f>
        <v>28.551595699652925</v>
      </c>
      <c r="AC23" s="3755">
        <v>25</v>
      </c>
      <c r="AD23" s="3754">
        <f>+AD22/AD21*100</f>
        <v>39.135714285714286</v>
      </c>
      <c r="AE23" s="3758">
        <f>+AE22/AE21*100</f>
        <v>25</v>
      </c>
      <c r="AF23" s="3761">
        <f>+AF22/AF21*100</f>
        <v>30.579620885512899</v>
      </c>
      <c r="AG23" s="3755">
        <v>25</v>
      </c>
      <c r="AH23" s="3754">
        <f>+AH22/AH21*100</f>
        <v>27.974358974358974</v>
      </c>
      <c r="AI23" s="3758">
        <f>+AI22/AI21*100</f>
        <v>25</v>
      </c>
      <c r="AJ23" s="3761">
        <f>+AJ22/AJ21*100</f>
        <v>30.22002005544741</v>
      </c>
      <c r="AK23" s="3755">
        <v>25</v>
      </c>
      <c r="AL23" s="3754">
        <f>+AL22/AL21*100</f>
        <v>47.991699022626861</v>
      </c>
      <c r="AM23" s="3764">
        <f>+AM22/AM21*100</f>
        <v>25</v>
      </c>
      <c r="AN23" s="401">
        <f>+AN22/AN21*100</f>
        <v>39.17761700871106</v>
      </c>
      <c r="AO23" s="3758">
        <f>+AO22/AO21*100</f>
        <v>25</v>
      </c>
      <c r="AP23" s="2436">
        <f>+AP22/AP21*100</f>
        <v>32.882661504668867</v>
      </c>
      <c r="AQ23" s="3755">
        <v>25</v>
      </c>
      <c r="AR23" s="3754">
        <f>+AR22/AR21*100</f>
        <v>41.313007507277462</v>
      </c>
      <c r="AS23" s="3982">
        <f>+AS22/AS21*100</f>
        <v>25</v>
      </c>
      <c r="AT23" s="387">
        <f>+AT22/AT21*100</f>
        <v>33.858651791019625</v>
      </c>
      <c r="AU23" s="3755">
        <v>25</v>
      </c>
      <c r="AV23" s="3754">
        <f>+AV22/AV21*100</f>
        <v>30.591731492002449</v>
      </c>
      <c r="AW23" s="4089">
        <f>+AW22/AW21*100</f>
        <v>25</v>
      </c>
      <c r="AX23" s="387">
        <f>+AX22/AX21*100</f>
        <v>33.557706243256732</v>
      </c>
      <c r="AY23" s="3755">
        <v>25</v>
      </c>
      <c r="AZ23" s="3754">
        <f t="shared" ref="AZ23:BF23" si="44">+AZ22/AZ21*100</f>
        <v>36.478873239436624</v>
      </c>
      <c r="BA23" s="4618">
        <f t="shared" si="44"/>
        <v>25</v>
      </c>
      <c r="BB23" s="401">
        <f t="shared" si="44"/>
        <v>36.386068348072939</v>
      </c>
      <c r="BC23" s="3769">
        <f t="shared" si="44"/>
        <v>25</v>
      </c>
      <c r="BD23" s="1154">
        <f t="shared" si="44"/>
        <v>37.698564205801027</v>
      </c>
      <c r="BE23" s="4617">
        <f t="shared" si="44"/>
        <v>25</v>
      </c>
      <c r="BF23" s="387">
        <f t="shared" si="44"/>
        <v>33.985346877620309</v>
      </c>
    </row>
    <row r="24" spans="3:58" ht="15.75" x14ac:dyDescent="0.25">
      <c r="C24" s="2462" t="s">
        <v>581</v>
      </c>
      <c r="D24" s="111" t="s">
        <v>53</v>
      </c>
      <c r="E24" s="3751">
        <f>+E21-E22</f>
        <v>4577.4787500000002</v>
      </c>
      <c r="F24" s="3752">
        <f>+F21-F22</f>
        <v>4053</v>
      </c>
      <c r="G24" s="3751">
        <f>+G21-G22</f>
        <v>4737.6712500000003</v>
      </c>
      <c r="H24" s="3752">
        <f>+H21-H22</f>
        <v>3609</v>
      </c>
      <c r="I24" s="3757">
        <f>+E24+G24</f>
        <v>9315.1500000000015</v>
      </c>
      <c r="J24" s="3760">
        <f>+F24+H24</f>
        <v>7662</v>
      </c>
      <c r="K24" s="3751">
        <f>+K21-K22</f>
        <v>10840.48875</v>
      </c>
      <c r="L24" s="3752">
        <f>+L21-L22</f>
        <v>9580</v>
      </c>
      <c r="M24" s="3762">
        <f>+I24+K24</f>
        <v>20155.638750000002</v>
      </c>
      <c r="N24" s="3763">
        <f>+J24+L24</f>
        <v>17242</v>
      </c>
      <c r="O24" s="3751">
        <f>+O21-O22</f>
        <v>11209.181338028171</v>
      </c>
      <c r="P24" s="3752">
        <f>+P21-P22</f>
        <v>9066</v>
      </c>
      <c r="Q24" s="3757">
        <f>+M24+O24</f>
        <v>31364.820088028173</v>
      </c>
      <c r="R24" s="3760">
        <f>+N24+P24</f>
        <v>26308</v>
      </c>
      <c r="S24" s="3751">
        <f>+S21-S22</f>
        <v>11218.336267605635</v>
      </c>
      <c r="T24" s="3752">
        <f>+T21-T22</f>
        <v>7638</v>
      </c>
      <c r="U24" s="3757">
        <f>+Q24+S24</f>
        <v>42583.156355633808</v>
      </c>
      <c r="V24" s="3760">
        <f>+R24+T24</f>
        <v>33946</v>
      </c>
      <c r="W24" s="3751">
        <f>+W21-W22</f>
        <v>10910.387323943662</v>
      </c>
      <c r="X24" s="3752">
        <f>+X21-X22</f>
        <v>8255</v>
      </c>
      <c r="Y24" s="3762">
        <f t="shared" ref="Y24:Y25" si="45">+O24+S24+W24</f>
        <v>33337.904929577468</v>
      </c>
      <c r="Z24" s="3767">
        <f t="shared" ref="Z24:Z25" si="46">+P24+T24+X24</f>
        <v>24959</v>
      </c>
      <c r="AA24" s="3769">
        <f>+U24+W24</f>
        <v>53493.543679577473</v>
      </c>
      <c r="AB24" s="3772">
        <f>+V24+X24</f>
        <v>42201</v>
      </c>
      <c r="AC24" s="3751">
        <f>+AC21-AC22</f>
        <v>11281.161971830985</v>
      </c>
      <c r="AD24" s="3752">
        <f>+AD21-AD22</f>
        <v>8521</v>
      </c>
      <c r="AE24" s="3757">
        <f>+AA24+AC24</f>
        <v>64774.705651408454</v>
      </c>
      <c r="AF24" s="3760">
        <f>+AB24+AD24</f>
        <v>50722</v>
      </c>
      <c r="AG24" s="3751">
        <f>+AG21-AG22</f>
        <v>10910.387323943662</v>
      </c>
      <c r="AH24" s="3752">
        <f>+AH21-AH22</f>
        <v>8427</v>
      </c>
      <c r="AI24" s="3757">
        <f>+AE24+AG24</f>
        <v>75685.09297535212</v>
      </c>
      <c r="AJ24" s="3760">
        <f>+AF24+AH24</f>
        <v>59149</v>
      </c>
      <c r="AK24" s="3751">
        <f>+AK21-AK22</f>
        <v>11281.14</v>
      </c>
      <c r="AL24" s="3752">
        <f>+AL21-AL22</f>
        <v>7769</v>
      </c>
      <c r="AM24" s="3762">
        <f t="shared" ref="AM24:AM25" si="47">+AC24+AG24+AK24</f>
        <v>33472.689295774646</v>
      </c>
      <c r="AN24" s="3767">
        <f t="shared" ref="AN24:AN25" si="48">+AD24+AH24+AL24</f>
        <v>24717</v>
      </c>
      <c r="AO24" s="3757">
        <f>+AI24+AK24</f>
        <v>86966.232975352119</v>
      </c>
      <c r="AP24" s="2463">
        <f>+AJ24+AL24</f>
        <v>66918</v>
      </c>
      <c r="AQ24" s="3751">
        <f>+AQ21-AQ22</f>
        <v>11281.161971830985</v>
      </c>
      <c r="AR24" s="3752">
        <f>+AR21-AR22</f>
        <v>7661</v>
      </c>
      <c r="AS24" s="3980">
        <f>+AO24+AQ24</f>
        <v>98247.3949471831</v>
      </c>
      <c r="AT24" s="3981">
        <f>+AP24+AR24</f>
        <v>74579</v>
      </c>
      <c r="AU24" s="3751">
        <f>+AU21-AU22</f>
        <v>9993.657077464788</v>
      </c>
      <c r="AV24" s="3752">
        <f>+AV21-AV22</f>
        <v>7941</v>
      </c>
      <c r="AW24" s="3980">
        <f>+AS24+AU24</f>
        <v>108241.05202464788</v>
      </c>
      <c r="AX24" s="3981">
        <f>+AT24+AV24</f>
        <v>82520</v>
      </c>
      <c r="AY24" s="3751">
        <f>+AY21-AY22</f>
        <v>11281.161971830985</v>
      </c>
      <c r="AZ24" s="3752">
        <f>+AZ21-AZ22</f>
        <v>13530</v>
      </c>
      <c r="BA24" s="3762">
        <f t="shared" ref="BA24:BA25" si="49">+AQ24+AU24+AY24</f>
        <v>32555.981021126758</v>
      </c>
      <c r="BB24" s="3767">
        <f t="shared" ref="BB24:BB25" si="50">+AR24+AV24+AZ24</f>
        <v>29132</v>
      </c>
      <c r="BC24" s="3769">
        <f>+AM24+BA24</f>
        <v>66028.670316901407</v>
      </c>
      <c r="BD24" s="3770">
        <f>+AN24+BB24</f>
        <v>53849</v>
      </c>
      <c r="BE24" s="3980">
        <f>+AW24+AY24</f>
        <v>119522.21399647887</v>
      </c>
      <c r="BF24" s="3981">
        <f>+AX24+AZ24</f>
        <v>96050</v>
      </c>
    </row>
    <row r="25" spans="3:58" ht="15.95" customHeight="1" x14ac:dyDescent="0.25">
      <c r="C25" s="2462" t="s">
        <v>627</v>
      </c>
      <c r="D25" s="111" t="s">
        <v>53</v>
      </c>
      <c r="E25" s="3751">
        <f>+E24*E26/100</f>
        <v>2380.2889500000001</v>
      </c>
      <c r="F25" s="3752">
        <v>2255</v>
      </c>
      <c r="G25" s="3751">
        <f>+G24*G26/100</f>
        <v>2463.5890500000005</v>
      </c>
      <c r="H25" s="3752">
        <v>1954</v>
      </c>
      <c r="I25" s="3757">
        <f>+E25+G25</f>
        <v>4843.8780000000006</v>
      </c>
      <c r="J25" s="3760">
        <f>+F25+H25</f>
        <v>4209</v>
      </c>
      <c r="K25" s="3751">
        <f>+K24*K26/100</f>
        <v>5637.0541499999999</v>
      </c>
      <c r="L25" s="3752">
        <v>5311</v>
      </c>
      <c r="M25" s="3762">
        <f>+I25+K25</f>
        <v>10480.932150000001</v>
      </c>
      <c r="N25" s="3763">
        <f>+J25+L25</f>
        <v>9520</v>
      </c>
      <c r="O25" s="3751">
        <f>+O24*O26/100</f>
        <v>5828.7742957746495</v>
      </c>
      <c r="P25" s="3752">
        <v>5046</v>
      </c>
      <c r="Q25" s="3757">
        <f>+M25+O25</f>
        <v>16309.706445774649</v>
      </c>
      <c r="R25" s="3760">
        <f>+N25+P25</f>
        <v>14566</v>
      </c>
      <c r="S25" s="3751">
        <f>+S24*S26/100</f>
        <v>5833.53485915493</v>
      </c>
      <c r="T25" s="3752">
        <v>4252</v>
      </c>
      <c r="U25" s="3757">
        <f>+Q25+S25</f>
        <v>22143.241304929579</v>
      </c>
      <c r="V25" s="3760">
        <f>+R25+T25</f>
        <v>18818</v>
      </c>
      <c r="W25" s="3751">
        <f>+W24*W26/100</f>
        <v>5673.4014084507035</v>
      </c>
      <c r="X25" s="3752">
        <v>4576</v>
      </c>
      <c r="Y25" s="3762">
        <f t="shared" si="45"/>
        <v>17335.710563380282</v>
      </c>
      <c r="Z25" s="3767">
        <f t="shared" si="46"/>
        <v>13874</v>
      </c>
      <c r="AA25" s="3769">
        <f>+U25+W25</f>
        <v>27816.642713380283</v>
      </c>
      <c r="AB25" s="3772">
        <f>+V25+X25</f>
        <v>23394</v>
      </c>
      <c r="AC25" s="3751">
        <f>+AC24*AC26/100</f>
        <v>5866.2042253521122</v>
      </c>
      <c r="AD25" s="3752">
        <v>4714</v>
      </c>
      <c r="AE25" s="3757">
        <f>+AA25+AC25</f>
        <v>33682.846938732393</v>
      </c>
      <c r="AF25" s="3760">
        <f>+AB25+AD25</f>
        <v>28108</v>
      </c>
      <c r="AG25" s="3751">
        <f>+AG24*AG26/100</f>
        <v>5673.4014084507035</v>
      </c>
      <c r="AH25" s="3752">
        <v>4226</v>
      </c>
      <c r="AI25" s="3757">
        <f>+AE25+AG25</f>
        <v>39356.248347183093</v>
      </c>
      <c r="AJ25" s="3760">
        <f>+AF25+AH25</f>
        <v>32334</v>
      </c>
      <c r="AK25" s="3751">
        <f>+AK24*AK26/100</f>
        <v>5866.1928000000007</v>
      </c>
      <c r="AL25" s="3752">
        <v>3984</v>
      </c>
      <c r="AM25" s="3762">
        <f t="shared" si="47"/>
        <v>17405.798433802818</v>
      </c>
      <c r="AN25" s="3767">
        <f t="shared" si="48"/>
        <v>12924</v>
      </c>
      <c r="AO25" s="3757">
        <f>+AI25+AK25</f>
        <v>45222.441147183097</v>
      </c>
      <c r="AP25" s="2463">
        <f>+AJ25+AL25</f>
        <v>36318</v>
      </c>
      <c r="AQ25" s="3751">
        <f>+AQ24*AQ26/100</f>
        <v>5866.2042253521122</v>
      </c>
      <c r="AR25" s="3752">
        <v>3907</v>
      </c>
      <c r="AS25" s="3980">
        <f>+AO25+AQ25</f>
        <v>51088.645372535211</v>
      </c>
      <c r="AT25" s="3981">
        <f>+AP25+AR25</f>
        <v>40225</v>
      </c>
      <c r="AU25" s="3751">
        <f>+AU24*AU26/100</f>
        <v>5196.7016802816897</v>
      </c>
      <c r="AV25" s="3752">
        <v>4221</v>
      </c>
      <c r="AW25" s="3980">
        <f>+AS25+AU25</f>
        <v>56285.347052816898</v>
      </c>
      <c r="AX25" s="3981">
        <f>+AT25+AV25</f>
        <v>44446</v>
      </c>
      <c r="AY25" s="3751">
        <f>+AY24*AY26/100</f>
        <v>5866.2042253521122</v>
      </c>
      <c r="AZ25" s="3752">
        <v>7043</v>
      </c>
      <c r="BA25" s="3762">
        <f t="shared" si="49"/>
        <v>16929.110130985915</v>
      </c>
      <c r="BB25" s="3767">
        <f t="shared" si="50"/>
        <v>15171</v>
      </c>
      <c r="BC25" s="3769">
        <f>+AM25+BA25</f>
        <v>34334.908564788733</v>
      </c>
      <c r="BD25" s="3770">
        <f>+AN25+BB25</f>
        <v>28095</v>
      </c>
      <c r="BE25" s="3980">
        <f>+AW25+AY25</f>
        <v>62151.551278169012</v>
      </c>
      <c r="BF25" s="3981">
        <f>+AX25+AZ25</f>
        <v>51489</v>
      </c>
    </row>
    <row r="26" spans="3:58" ht="15.75" x14ac:dyDescent="0.25">
      <c r="C26" s="2462" t="s">
        <v>582</v>
      </c>
      <c r="D26" s="111" t="s">
        <v>52</v>
      </c>
      <c r="E26" s="3753">
        <v>52</v>
      </c>
      <c r="F26" s="3754">
        <f>+F25/F24*100</f>
        <v>55.637799161115218</v>
      </c>
      <c r="G26" s="3753">
        <v>52</v>
      </c>
      <c r="H26" s="3754">
        <f>+H25/H24*100</f>
        <v>54.142421723469106</v>
      </c>
      <c r="I26" s="3758">
        <f>+I25/I24*100</f>
        <v>52</v>
      </c>
      <c r="J26" s="3761">
        <f>+J25/J24*100</f>
        <v>54.933437744714176</v>
      </c>
      <c r="K26" s="3753">
        <v>52</v>
      </c>
      <c r="L26" s="3754">
        <f>+L25/L24*100</f>
        <v>55.438413361169104</v>
      </c>
      <c r="M26" s="3764">
        <f>+M25/M24*100</f>
        <v>52</v>
      </c>
      <c r="N26" s="401">
        <f>+N25/N24*100</f>
        <v>55.21401229555736</v>
      </c>
      <c r="O26" s="3753">
        <v>52</v>
      </c>
      <c r="P26" s="3754">
        <f>+P25/P24*100</f>
        <v>55.658504301786891</v>
      </c>
      <c r="Q26" s="3758">
        <f>+Q25/Q24*100</f>
        <v>52</v>
      </c>
      <c r="R26" s="3761">
        <f>+R25/R24*100</f>
        <v>55.367188687851609</v>
      </c>
      <c r="S26" s="3753">
        <v>52</v>
      </c>
      <c r="T26" s="3754">
        <f>+T25/T24*100</f>
        <v>55.669023304529986</v>
      </c>
      <c r="U26" s="3758">
        <f>+U25/U24*100</f>
        <v>52</v>
      </c>
      <c r="V26" s="3761">
        <f>+V25/V24*100</f>
        <v>55.435102810345846</v>
      </c>
      <c r="W26" s="3766">
        <v>52</v>
      </c>
      <c r="X26" s="3754">
        <f>+X25/X24*100</f>
        <v>55.433070866141733</v>
      </c>
      <c r="Y26" s="3764">
        <f>+Y25/Y24*100</f>
        <v>52</v>
      </c>
      <c r="Z26" s="401">
        <f>+Z25/Z24*100</f>
        <v>55.587162947233459</v>
      </c>
      <c r="AA26" s="3769">
        <f>+AA25/AA24*100</f>
        <v>51.999999999999993</v>
      </c>
      <c r="AB26" s="1154">
        <f>+AB25/AB24*100</f>
        <v>55.434705338736045</v>
      </c>
      <c r="AC26" s="3753">
        <v>52</v>
      </c>
      <c r="AD26" s="3754">
        <f>+AD25/AD24*100</f>
        <v>55.322145288111727</v>
      </c>
      <c r="AE26" s="3758">
        <f>+AE25/AE24*100</f>
        <v>51.999999999999993</v>
      </c>
      <c r="AF26" s="3761">
        <f>+AF25/AF24*100</f>
        <v>55.415795907101447</v>
      </c>
      <c r="AG26" s="3753">
        <v>52</v>
      </c>
      <c r="AH26" s="3754">
        <f>+AH25/AH24*100</f>
        <v>50.148332740002374</v>
      </c>
      <c r="AI26" s="3758">
        <f>+AI25/AI24*100</f>
        <v>51.999999999999993</v>
      </c>
      <c r="AJ26" s="3761">
        <f>+AJ25/AJ24*100</f>
        <v>54.665336692082711</v>
      </c>
      <c r="AK26" s="3753">
        <v>52</v>
      </c>
      <c r="AL26" s="3754">
        <f>+AL25/AL24*100</f>
        <v>51.280731110825073</v>
      </c>
      <c r="AM26" s="3764">
        <f>+AM25/AM24*100</f>
        <v>52</v>
      </c>
      <c r="AN26" s="401">
        <f>+AN25/AN24*100</f>
        <v>52.287899016870973</v>
      </c>
      <c r="AO26" s="3758">
        <f>+AO25/AO24*100</f>
        <v>51.999999999999993</v>
      </c>
      <c r="AP26" s="2436">
        <f>+AP25/AP24*100</f>
        <v>54.272393078095583</v>
      </c>
      <c r="AQ26" s="3966">
        <v>52</v>
      </c>
      <c r="AR26" s="3754">
        <f>+AR25/AR24*100</f>
        <v>50.998564156115393</v>
      </c>
      <c r="AS26" s="3982">
        <f>+AS25/AS24*100</f>
        <v>52</v>
      </c>
      <c r="AT26" s="387">
        <f>+AT25/AT24*100</f>
        <v>53.936094611083554</v>
      </c>
      <c r="AU26" s="4087">
        <v>52</v>
      </c>
      <c r="AV26" s="3754">
        <f>+AV25/AV24*100</f>
        <v>53.154514544767665</v>
      </c>
      <c r="AW26" s="4089">
        <f>+AW25/AW24*100</f>
        <v>52</v>
      </c>
      <c r="AX26" s="387">
        <f>+AX25/AX24*100</f>
        <v>53.860882210373241</v>
      </c>
      <c r="AY26" s="4616">
        <v>52</v>
      </c>
      <c r="AZ26" s="3754">
        <f t="shared" ref="AZ26:BF26" si="51">+AZ25/AZ24*100</f>
        <v>52.054693274205462</v>
      </c>
      <c r="BA26" s="4618">
        <f t="shared" si="51"/>
        <v>52</v>
      </c>
      <c r="BB26" s="401">
        <f t="shared" si="51"/>
        <v>52.076754084855139</v>
      </c>
      <c r="BC26" s="3769">
        <f t="shared" si="51"/>
        <v>52</v>
      </c>
      <c r="BD26" s="1154">
        <f t="shared" si="51"/>
        <v>52.173670820256646</v>
      </c>
      <c r="BE26" s="4617">
        <f t="shared" si="51"/>
        <v>52</v>
      </c>
      <c r="BF26" s="387">
        <f t="shared" si="51"/>
        <v>53.606454971369075</v>
      </c>
    </row>
    <row r="27" spans="3:58" ht="15.95" customHeight="1" x14ac:dyDescent="0.25">
      <c r="C27" s="2462" t="s">
        <v>694</v>
      </c>
      <c r="D27" s="111" t="s">
        <v>53</v>
      </c>
      <c r="E27" s="3751">
        <f>+E25*E28/100</f>
        <v>476.05779000000001</v>
      </c>
      <c r="F27" s="3654">
        <v>510</v>
      </c>
      <c r="G27" s="3751">
        <f>+G25*G28/100</f>
        <v>492.7178100000001</v>
      </c>
      <c r="H27" s="3654">
        <v>800</v>
      </c>
      <c r="I27" s="3757">
        <f>+E27+G27</f>
        <v>968.77560000000017</v>
      </c>
      <c r="J27" s="3785">
        <f>+F27+H27</f>
        <v>1310</v>
      </c>
      <c r="K27" s="3751">
        <f>+K25*K28/100</f>
        <v>1127.41083</v>
      </c>
      <c r="L27" s="3654">
        <v>170</v>
      </c>
      <c r="M27" s="3762">
        <f>+I27+K27</f>
        <v>2096.1864300000002</v>
      </c>
      <c r="N27" s="3767">
        <f>+J27+L27</f>
        <v>1480</v>
      </c>
      <c r="O27" s="3751">
        <f>+O25*O28/100</f>
        <v>1165.7548591549298</v>
      </c>
      <c r="P27" s="3654">
        <v>500</v>
      </c>
      <c r="Q27" s="3757">
        <f>+M27+O27</f>
        <v>3261.94128915493</v>
      </c>
      <c r="R27" s="3785">
        <f>+N27+P27</f>
        <v>1980</v>
      </c>
      <c r="S27" s="3751">
        <f>+S25*S28/100</f>
        <v>1166.706971830986</v>
      </c>
      <c r="T27" s="3654">
        <v>249</v>
      </c>
      <c r="U27" s="3757">
        <f>+Q27+S27</f>
        <v>4428.6482609859158</v>
      </c>
      <c r="V27" s="3785">
        <f>+R27+T27</f>
        <v>2229</v>
      </c>
      <c r="W27" s="3751">
        <f>+W25*W28/100</f>
        <v>1134.6802816901406</v>
      </c>
      <c r="X27" s="3654">
        <v>100</v>
      </c>
      <c r="Y27" s="3762">
        <f>+O27+S27+W27</f>
        <v>3467.142112676057</v>
      </c>
      <c r="Z27" s="3767">
        <f>+P27+T27+X27</f>
        <v>849</v>
      </c>
      <c r="AA27" s="3769">
        <f>+U27+W27</f>
        <v>5563.3285426760567</v>
      </c>
      <c r="AB27" s="3770">
        <f>+V27+X27</f>
        <v>2329</v>
      </c>
      <c r="AC27" s="3751">
        <f>+AC25*AC28/100</f>
        <v>1173.2408450704224</v>
      </c>
      <c r="AD27" s="3654">
        <v>210</v>
      </c>
      <c r="AE27" s="3757">
        <f>+AA27+AC27</f>
        <v>6736.5693877464792</v>
      </c>
      <c r="AF27" s="3785">
        <f>+AB27+AD27</f>
        <v>2539</v>
      </c>
      <c r="AG27" s="3751">
        <f>+AG25*AG28/100</f>
        <v>1134.6802816901406</v>
      </c>
      <c r="AH27" s="3654">
        <v>240</v>
      </c>
      <c r="AI27" s="3757">
        <f>+AE27+AG27</f>
        <v>7871.24966943662</v>
      </c>
      <c r="AJ27" s="3785">
        <f>+AF27+AH27</f>
        <v>2779</v>
      </c>
      <c r="AK27" s="3751">
        <f>+AK25*AK28/100</f>
        <v>1173.2385600000002</v>
      </c>
      <c r="AL27" s="3654">
        <v>280</v>
      </c>
      <c r="AM27" s="3762">
        <f>+AC27+AG27+AK27</f>
        <v>3481.1596867605635</v>
      </c>
      <c r="AN27" s="3767">
        <f>+AD27+AH27+AL27</f>
        <v>730</v>
      </c>
      <c r="AO27" s="3757">
        <f>+AI27+AK27</f>
        <v>9044.4882294366198</v>
      </c>
      <c r="AP27" s="3612">
        <f>+AJ27+AL27</f>
        <v>3059</v>
      </c>
      <c r="AQ27" s="3751">
        <f>+AQ25*AQ28/100</f>
        <v>1173.2408450704224</v>
      </c>
      <c r="AR27" s="3654">
        <v>270</v>
      </c>
      <c r="AS27" s="3980">
        <f>+AO27+AQ27</f>
        <v>10217.729074507042</v>
      </c>
      <c r="AT27" s="3983">
        <f>+AP27+AR27</f>
        <v>3329</v>
      </c>
      <c r="AU27" s="3751">
        <f>+AU25*AU28/100</f>
        <v>1039.3403360563379</v>
      </c>
      <c r="AV27" s="3654">
        <v>300</v>
      </c>
      <c r="AW27" s="3980">
        <f>+AS27+AU27</f>
        <v>11257.069410563381</v>
      </c>
      <c r="AX27" s="3983">
        <f>+AT27+AV27</f>
        <v>3629</v>
      </c>
      <c r="AY27" s="3751">
        <f>+AY25*AY28/100</f>
        <v>1173.2408450704224</v>
      </c>
      <c r="AZ27" s="3654">
        <v>310</v>
      </c>
      <c r="BA27" s="3762">
        <f>+AQ27+AU27+AY27</f>
        <v>3385.8220261971828</v>
      </c>
      <c r="BB27" s="3767">
        <f>+AR27+AV27+AZ27</f>
        <v>880</v>
      </c>
      <c r="BC27" s="3769">
        <f>+AM27+BA27</f>
        <v>6866.9817129577459</v>
      </c>
      <c r="BD27" s="3770">
        <f>+AN27+BB27</f>
        <v>1610</v>
      </c>
      <c r="BE27" s="3980">
        <f>+AW27+AY27</f>
        <v>12430.310255633804</v>
      </c>
      <c r="BF27" s="3983">
        <f>+AX27+AZ27</f>
        <v>3939</v>
      </c>
    </row>
    <row r="28" spans="3:58" ht="15.75" x14ac:dyDescent="0.25">
      <c r="C28" s="2462" t="s">
        <v>695</v>
      </c>
      <c r="D28" s="111" t="s">
        <v>52</v>
      </c>
      <c r="E28" s="3755">
        <v>20</v>
      </c>
      <c r="F28" s="3754">
        <f>+F27/F25*100</f>
        <v>22.616407982261642</v>
      </c>
      <c r="G28" s="3755">
        <v>20</v>
      </c>
      <c r="H28" s="3754">
        <f>+H27/H25*100</f>
        <v>40.941658137154555</v>
      </c>
      <c r="I28" s="3758">
        <f>+I27/I25*100</f>
        <v>20</v>
      </c>
      <c r="J28" s="3761">
        <f>+J27/J25*100</f>
        <v>31.123782371109527</v>
      </c>
      <c r="K28" s="3755">
        <v>20</v>
      </c>
      <c r="L28" s="3754">
        <f>+L27/L25*100</f>
        <v>3.2009037845980042</v>
      </c>
      <c r="M28" s="3764">
        <f>+M27/M25*100</f>
        <v>20</v>
      </c>
      <c r="N28" s="401">
        <f>+N27/N25*100</f>
        <v>15.546218487394958</v>
      </c>
      <c r="O28" s="3755">
        <v>20</v>
      </c>
      <c r="P28" s="3754">
        <f>+P27/P25*100</f>
        <v>9.9088386841062235</v>
      </c>
      <c r="Q28" s="3758">
        <f>+Q27/Q25*100</f>
        <v>20</v>
      </c>
      <c r="R28" s="3761">
        <f>+R27/R25*100</f>
        <v>13.593299464506384</v>
      </c>
      <c r="S28" s="3755">
        <v>20</v>
      </c>
      <c r="T28" s="3754">
        <f>+T27/T25*100</f>
        <v>5.8560677328316091</v>
      </c>
      <c r="U28" s="3758">
        <f>+U27/U25*100</f>
        <v>20</v>
      </c>
      <c r="V28" s="3761">
        <f>+V27/V25*100</f>
        <v>11.845041981081943</v>
      </c>
      <c r="W28" s="3751">
        <v>20</v>
      </c>
      <c r="X28" s="3754">
        <f>+X27/X25*100</f>
        <v>2.1853146853146854</v>
      </c>
      <c r="Y28" s="3764">
        <f>+Y27/Y25*100</f>
        <v>20.000000000000004</v>
      </c>
      <c r="Z28" s="401">
        <f>+Z27/Z25*100</f>
        <v>6.119359953870549</v>
      </c>
      <c r="AA28" s="3771">
        <f>+AA27/AA25*100</f>
        <v>20</v>
      </c>
      <c r="AB28" s="1154">
        <f>+AB27/AB25*100</f>
        <v>9.9555441566213556</v>
      </c>
      <c r="AC28" s="3755">
        <v>20</v>
      </c>
      <c r="AD28" s="3754">
        <f>+AD27/AD25*100</f>
        <v>4.4548154433602036</v>
      </c>
      <c r="AE28" s="3758">
        <f>+AE27/AE25*100</f>
        <v>20</v>
      </c>
      <c r="AF28" s="3761">
        <f>+AF27/AF25*100</f>
        <v>9.0330155115981228</v>
      </c>
      <c r="AG28" s="3755">
        <v>20</v>
      </c>
      <c r="AH28" s="3754">
        <f>+AH27/AH25*100</f>
        <v>5.6791292001893039</v>
      </c>
      <c r="AI28" s="3758">
        <f>+AI27/AI25*100</f>
        <v>20.000000000000004</v>
      </c>
      <c r="AJ28" s="3761">
        <f>+AJ27/AJ25*100</f>
        <v>8.5946681511721419</v>
      </c>
      <c r="AK28" s="3755">
        <v>20</v>
      </c>
      <c r="AL28" s="3754">
        <f>+AL27/AL25*100</f>
        <v>7.0281124497991971</v>
      </c>
      <c r="AM28" s="3764">
        <f>+AM27/AM25*100</f>
        <v>20</v>
      </c>
      <c r="AN28" s="401">
        <f>+AN27/AN25*100</f>
        <v>5.6484060662333642</v>
      </c>
      <c r="AO28" s="3758">
        <f>+AO27/AO25*100</f>
        <v>20</v>
      </c>
      <c r="AP28" s="2436">
        <f>+AP27/AP25*100</f>
        <v>8.4228206399030778</v>
      </c>
      <c r="AQ28" s="3755">
        <v>20</v>
      </c>
      <c r="AR28" s="3754">
        <f>+AR27/AR25*100</f>
        <v>6.9106731507550547</v>
      </c>
      <c r="AS28" s="3982">
        <f>+AS27/AS25*100</f>
        <v>20</v>
      </c>
      <c r="AT28" s="387">
        <f>+AT27/AT25*100</f>
        <v>8.2759477936606576</v>
      </c>
      <c r="AU28" s="3755">
        <v>20</v>
      </c>
      <c r="AV28" s="3754">
        <f>+AV27/AV25*100</f>
        <v>7.1073205401563619</v>
      </c>
      <c r="AW28" s="4089">
        <f>+AW27/AW25*100</f>
        <v>20.000000000000004</v>
      </c>
      <c r="AX28" s="387">
        <f>+AX27/AX25*100</f>
        <v>8.1649642262520814</v>
      </c>
      <c r="AY28" s="3755">
        <v>20</v>
      </c>
      <c r="AZ28" s="3754">
        <f t="shared" ref="AZ28:BF28" si="52">+AZ27/AZ25*100</f>
        <v>4.4015334374556296</v>
      </c>
      <c r="BA28" s="4618">
        <f t="shared" si="52"/>
        <v>20</v>
      </c>
      <c r="BB28" s="401">
        <f t="shared" si="52"/>
        <v>5.8005405049106846</v>
      </c>
      <c r="BC28" s="4619">
        <f t="shared" si="52"/>
        <v>20</v>
      </c>
      <c r="BD28" s="1154">
        <f t="shared" si="52"/>
        <v>5.7305570386189713</v>
      </c>
      <c r="BE28" s="4617">
        <f t="shared" si="52"/>
        <v>20</v>
      </c>
      <c r="BF28" s="387">
        <f t="shared" si="52"/>
        <v>7.6501777078599318</v>
      </c>
    </row>
    <row r="29" spans="3:58" s="669" customFormat="1" ht="15.75" customHeight="1" x14ac:dyDescent="0.25">
      <c r="C29" s="3786" t="s">
        <v>711</v>
      </c>
      <c r="D29" s="111"/>
      <c r="E29" s="5386">
        <v>100</v>
      </c>
      <c r="F29" s="3754"/>
      <c r="G29" s="5386">
        <v>100</v>
      </c>
      <c r="H29" s="3754"/>
      <c r="I29" s="5398">
        <f>+((E29*E25)+(G29*G25))/(I25)</f>
        <v>100</v>
      </c>
      <c r="J29" s="3761"/>
      <c r="K29" s="5386">
        <v>90</v>
      </c>
      <c r="L29" s="3754"/>
      <c r="M29" s="5391">
        <f>+((I29*I25)+(K29*K25))/(M25)</f>
        <v>94.621609920449686</v>
      </c>
      <c r="N29" s="401"/>
      <c r="O29" s="5386">
        <v>90</v>
      </c>
      <c r="P29" s="3754"/>
      <c r="Q29" s="5398">
        <f>+((M29*M25)+(O29*O25))/(Q25)</f>
        <v>92.969935734959179</v>
      </c>
      <c r="R29" s="3761"/>
      <c r="S29" s="5386">
        <v>90</v>
      </c>
      <c r="T29" s="3754"/>
      <c r="U29" s="5398">
        <f>+((Q29*Q25)+(S29*S25))/(U25)</f>
        <v>92.187519854612091</v>
      </c>
      <c r="V29" s="3761"/>
      <c r="W29" s="5399">
        <v>90</v>
      </c>
      <c r="X29" s="3754"/>
      <c r="Y29" s="5391">
        <f>+((O29*O25)+(S29*S25)+(W29*W25))/(Y25)</f>
        <v>90</v>
      </c>
      <c r="Z29" s="401"/>
      <c r="AA29" s="5402">
        <f>+((U29*U25)+(W29*W25))/(AA25)</f>
        <v>91.741359678057051</v>
      </c>
      <c r="AB29" s="1154"/>
      <c r="AC29" s="5386">
        <v>100</v>
      </c>
      <c r="AD29" s="3754"/>
      <c r="AE29" s="5398">
        <f>+((AA29*AA25)+(AC29*AC25))/(AE25)</f>
        <v>93.179684379064895</v>
      </c>
      <c r="AF29" s="3761"/>
      <c r="AG29" s="5386">
        <v>100</v>
      </c>
      <c r="AH29" s="3754"/>
      <c r="AI29" s="5398">
        <f>+((AE29*AE25)+(AG29*AG25))/(AI25)</f>
        <v>94.162867224862282</v>
      </c>
      <c r="AJ29" s="3761"/>
      <c r="AK29" s="5386">
        <v>110</v>
      </c>
      <c r="AL29" s="3754"/>
      <c r="AM29" s="5391">
        <f>+((AC29*AC25)+(AG29*AG25)+(AK29*AK25))/(AM25)</f>
        <v>103.37025205842185</v>
      </c>
      <c r="AN29" s="401"/>
      <c r="AO29" s="5398">
        <f>+((AI29*AI25)+(AK29*AK25))/(AO25)</f>
        <v>96.217238282713566</v>
      </c>
      <c r="AP29" s="2436"/>
      <c r="AQ29" s="5386">
        <v>110</v>
      </c>
      <c r="AR29" s="3754"/>
      <c r="AS29" s="5389">
        <f>+((AO29*AO25)+(AQ29*AQ25))/(AS25)</f>
        <v>97.799830548243321</v>
      </c>
      <c r="AT29" s="387"/>
      <c r="AU29" s="5386">
        <v>110</v>
      </c>
      <c r="AV29" s="3754"/>
      <c r="AW29" s="5389">
        <f>+((AS29*AS25)+(AU29*AU25))/(AW25)</f>
        <v>98.926245226475146</v>
      </c>
      <c r="AX29" s="387"/>
      <c r="AY29" s="5386">
        <v>110</v>
      </c>
      <c r="AZ29" s="3754"/>
      <c r="BA29" s="5391">
        <f>+((AQ29*AQ25)+(AU29*AU25)+(AY29*AY25))/(BA25)</f>
        <v>109.99999999999999</v>
      </c>
      <c r="BB29" s="401"/>
      <c r="BC29" s="5402">
        <f>+((AM29*AM25)+(BA29*BA25))/(BC25)</f>
        <v>106.63910401507898</v>
      </c>
      <c r="BD29" s="1154"/>
      <c r="BE29" s="5389">
        <f>+((AW29*AW25)+(AY29*AY25))/(BE25)</f>
        <v>99.971446926304353</v>
      </c>
      <c r="BF29" s="387"/>
    </row>
    <row r="30" spans="3:58" s="669" customFormat="1" ht="15.75" x14ac:dyDescent="0.25">
      <c r="C30" s="3788" t="s">
        <v>855</v>
      </c>
      <c r="D30" s="111"/>
      <c r="E30" s="5386"/>
      <c r="F30" s="3794">
        <v>53</v>
      </c>
      <c r="G30" s="5386"/>
      <c r="H30" s="3794">
        <v>36</v>
      </c>
      <c r="I30" s="5398"/>
      <c r="J30" s="3795">
        <f>+((F30*F25)+(H25*H30))/(F25+H25)</f>
        <v>45.107864100736514</v>
      </c>
      <c r="K30" s="5386"/>
      <c r="L30" s="3794">
        <v>91</v>
      </c>
      <c r="M30" s="5391"/>
      <c r="N30" s="3796">
        <f>+((J30*J25)+(L25*L30))/(J25+L25)</f>
        <v>70.710084033613441</v>
      </c>
      <c r="O30" s="5386"/>
      <c r="P30" s="3794">
        <v>81</v>
      </c>
      <c r="Q30" s="5398"/>
      <c r="R30" s="3795">
        <f>+((N30*N25)+(P25*P30))/(N25+P25)</f>
        <v>74.274749416449268</v>
      </c>
      <c r="S30" s="5386"/>
      <c r="T30" s="3794">
        <v>79</v>
      </c>
      <c r="U30" s="5398"/>
      <c r="V30" s="3795">
        <f>+((R30*R25)+(T25*T30))/(R25+T25)</f>
        <v>75.342438091189294</v>
      </c>
      <c r="W30" s="5399"/>
      <c r="X30" s="3797">
        <v>70</v>
      </c>
      <c r="Y30" s="5391"/>
      <c r="Z30" s="3796">
        <f>+((P30*P$25)+(T30*T$25)+(X$25*X30))/Z$25</f>
        <v>76.758973619720337</v>
      </c>
      <c r="AA30" s="5402"/>
      <c r="AB30" s="3798">
        <f>+((V30*V25)+(X25*X30))/(V25+X25)</f>
        <v>74.297426690604439</v>
      </c>
      <c r="AC30" s="5386"/>
      <c r="AD30" s="3794">
        <v>63</v>
      </c>
      <c r="AE30" s="5398"/>
      <c r="AF30" s="3795">
        <f>+((AB30*AB25)+(AD25*AD30))/(AB25+AD25)</f>
        <v>72.402732318201231</v>
      </c>
      <c r="AG30" s="5386"/>
      <c r="AH30" s="3794">
        <v>63.5</v>
      </c>
      <c r="AI30" s="5398"/>
      <c r="AJ30" s="3795">
        <f>+((AF30*AF25)+(AH25*AH30))/(AF25+AH25)</f>
        <v>71.239160017319236</v>
      </c>
      <c r="AK30" s="5386"/>
      <c r="AL30" s="3794">
        <v>56</v>
      </c>
      <c r="AM30" s="5391"/>
      <c r="AN30" s="3796">
        <f>+((AD30*AD$25)+(AH30*AH$25)+(AL$25*AL30))/AN$25</f>
        <v>61.005648406066236</v>
      </c>
      <c r="AO30" s="5398"/>
      <c r="AP30" s="3714">
        <f>+((AJ30*AJ25)+(AL25*AL30))/(AJ25+AL25)</f>
        <v>69.56745966187566</v>
      </c>
      <c r="AQ30" s="5386"/>
      <c r="AR30" s="3794">
        <v>51</v>
      </c>
      <c r="AS30" s="5389"/>
      <c r="AT30" s="3984">
        <f>+((AP30*AP25)+(AR25*AR30))/(AP25+AR25)</f>
        <v>67.764027346177755</v>
      </c>
      <c r="AU30" s="5386"/>
      <c r="AV30" s="3794">
        <v>52</v>
      </c>
      <c r="AW30" s="5389"/>
      <c r="AX30" s="3984">
        <f>+((AT30*AT25)+(AV25*AV30))/(AT25+AV25)</f>
        <v>66.266930657426997</v>
      </c>
      <c r="AY30" s="5386"/>
      <c r="AZ30" s="3794">
        <v>61</v>
      </c>
      <c r="BA30" s="5391"/>
      <c r="BB30" s="3796">
        <f>+((AR30*AR$25)+(AV30*AV$25)+(AZ$25*AZ30))/BB$25</f>
        <v>55.920638059455541</v>
      </c>
      <c r="BC30" s="5402"/>
      <c r="BD30" s="3798">
        <f>+((AN30*AN25)+(BB25*BB30))/(AN25+BB25)</f>
        <v>58.259797116924723</v>
      </c>
      <c r="BE30" s="5389"/>
      <c r="BF30" s="3984">
        <f>+((AX30*AX25)+(AZ25*AZ30))/(AX25+AZ25)</f>
        <v>65.54648565713066</v>
      </c>
    </row>
    <row r="31" spans="3:58" ht="16.5" thickBot="1" x14ac:dyDescent="0.3">
      <c r="C31" s="3723" t="s">
        <v>856</v>
      </c>
      <c r="D31" s="111"/>
      <c r="E31" s="5387"/>
      <c r="F31" s="3799">
        <v>83</v>
      </c>
      <c r="G31" s="5387"/>
      <c r="H31" s="3799">
        <v>74</v>
      </c>
      <c r="I31" s="5398"/>
      <c r="J31" s="3795">
        <f>+((F31*F25)+(H25*H31))/(F25+H25)</f>
        <v>78.821810406272277</v>
      </c>
      <c r="K31" s="5387"/>
      <c r="L31" s="3799">
        <v>64</v>
      </c>
      <c r="M31" s="5392"/>
      <c r="N31" s="3800">
        <f>+((J31*J25)+(L25*L31))/(J25+L25)</f>
        <v>70.553046218487395</v>
      </c>
      <c r="O31" s="5387"/>
      <c r="P31" s="3799">
        <v>108</v>
      </c>
      <c r="Q31" s="5398"/>
      <c r="R31" s="3795">
        <f>+((N31*N25)+(P25*P31))/(N25+P25)</f>
        <v>83.525538926266648</v>
      </c>
      <c r="S31" s="5387"/>
      <c r="T31" s="3799">
        <v>97</v>
      </c>
      <c r="U31" s="5398"/>
      <c r="V31" s="3795">
        <f>+((R31*R25)+(T25*T31))/(R25+T25)</f>
        <v>86.570145605271549</v>
      </c>
      <c r="W31" s="5401"/>
      <c r="X31" s="3801">
        <v>100</v>
      </c>
      <c r="Y31" s="5392"/>
      <c r="Z31" s="3800">
        <f>+((P31*P$25)+(T31*T$25)+(X$25*X31))/Z$25</f>
        <v>101.99019749171111</v>
      </c>
      <c r="AA31" s="5403"/>
      <c r="AB31" s="3802">
        <f>+((V31*V25)+(X25*X31))/(V25+X25)</f>
        <v>89.197101820979739</v>
      </c>
      <c r="AC31" s="5387"/>
      <c r="AD31" s="3799">
        <v>87</v>
      </c>
      <c r="AE31" s="5398"/>
      <c r="AF31" s="3795">
        <f>+((AB31*AB25)+(AD25*AD31))/(AB25+AD25)</f>
        <v>88.828625302405015</v>
      </c>
      <c r="AG31" s="5387"/>
      <c r="AH31" s="3803">
        <v>88.66</v>
      </c>
      <c r="AI31" s="5398"/>
      <c r="AJ31" s="3795">
        <f>+((AF31*AF25)+(AH25*AH31))/(AF25+AH25)</f>
        <v>88.806586255953491</v>
      </c>
      <c r="AK31" s="5387"/>
      <c r="AL31" s="3803">
        <v>76</v>
      </c>
      <c r="AM31" s="5392"/>
      <c r="AN31" s="3800">
        <f>+((AD31*AD$25)+(AH31*AH$25)+(AL$25*AL31))/AN$25</f>
        <v>84.15190034045186</v>
      </c>
      <c r="AO31" s="5398"/>
      <c r="AP31" s="3714">
        <f>+((AJ31*AJ25)+(AL25*AL31))/(AJ25+AL25)</f>
        <v>87.401733575637422</v>
      </c>
      <c r="AQ31" s="5387"/>
      <c r="AR31" s="3803">
        <v>66</v>
      </c>
      <c r="AS31" s="5390"/>
      <c r="AT31" s="3985">
        <f>+((AP31*AP25)+(AR25*AR31))/(AP25+AR25)</f>
        <v>85.32301205717836</v>
      </c>
      <c r="AU31" s="5387"/>
      <c r="AV31" s="3803">
        <v>66</v>
      </c>
      <c r="AW31" s="5390"/>
      <c r="AX31" s="3985">
        <f>+((AT31*AT25)+(AV25*AV31))/(AT25+AV25)</f>
        <v>83.487921522746703</v>
      </c>
      <c r="AY31" s="5387"/>
      <c r="AZ31" s="3803">
        <v>84</v>
      </c>
      <c r="BA31" s="5392"/>
      <c r="BB31" s="3800">
        <f>+((AR31*AR$25)+(AV31*AV$25)+(AZ$25*AZ31))/BB$25</f>
        <v>74.356337749653946</v>
      </c>
      <c r="BC31" s="5403"/>
      <c r="BD31" s="3802">
        <f>+((AN31*AN25)+(BB25*BB31))/(AN25+BB25)</f>
        <v>78.862401138992709</v>
      </c>
      <c r="BE31" s="5390"/>
      <c r="BF31" s="3985">
        <f>+((AX31*AX25)+(AZ25*AZ31))/(AX25+AZ25)</f>
        <v>83.557966944395886</v>
      </c>
    </row>
    <row r="32" spans="3:58" s="334" customFormat="1" ht="15.75" customHeight="1" thickBot="1" x14ac:dyDescent="0.3">
      <c r="C32" s="1626"/>
    </row>
    <row r="33" spans="3:58" s="334" customFormat="1" ht="16.5" customHeight="1" thickBot="1" x14ac:dyDescent="0.3">
      <c r="C33" s="1283" t="s">
        <v>300</v>
      </c>
      <c r="D33" s="1271" t="s">
        <v>53</v>
      </c>
      <c r="E33" s="1284">
        <f>+'Maj Production Summ'!E18</f>
        <v>93897</v>
      </c>
      <c r="F33" s="1285">
        <f>+SMS!F5</f>
        <v>99859</v>
      </c>
      <c r="G33" s="1284">
        <f>+'Maj Production Summ'!G18</f>
        <v>97183</v>
      </c>
      <c r="H33" s="1285">
        <f>+SMS!H5</f>
        <v>79982</v>
      </c>
      <c r="I33" s="1284">
        <f>+SMS!I5</f>
        <v>191080</v>
      </c>
      <c r="J33" s="1285">
        <f>+SMS!J5</f>
        <v>179841</v>
      </c>
      <c r="K33" s="1284">
        <f>+SMS!K5</f>
        <v>222369</v>
      </c>
      <c r="L33" s="1285">
        <f>+SMS!L5</f>
        <v>195203</v>
      </c>
      <c r="M33" s="1284">
        <f>+SMS!M5</f>
        <v>413449</v>
      </c>
      <c r="N33" s="1285">
        <f>+SMS!N5</f>
        <v>375044</v>
      </c>
      <c r="O33" s="1284">
        <f>+SMS!O5</f>
        <v>229931.92488262913</v>
      </c>
      <c r="P33" s="1285">
        <f>+SMS!P5</f>
        <v>188123</v>
      </c>
      <c r="Q33" s="1284">
        <f>+SMS!Q5</f>
        <v>643380.92488262919</v>
      </c>
      <c r="R33" s="1285">
        <f>+SMS!R5</f>
        <v>563167</v>
      </c>
      <c r="S33" s="1284">
        <f>+SMS!S5</f>
        <v>230119.71830985916</v>
      </c>
      <c r="T33" s="1285">
        <f>+SMS!T5</f>
        <v>204220</v>
      </c>
      <c r="U33" s="1284">
        <f>+SMS!U5</f>
        <v>873500.64319248835</v>
      </c>
      <c r="V33" s="1285">
        <f>+SMS!V5</f>
        <v>767387</v>
      </c>
      <c r="W33" s="1284">
        <f>+'Maj Production Summ'!W18</f>
        <v>223802.81690140846</v>
      </c>
      <c r="X33" s="1285">
        <f>+SMS!X5</f>
        <v>198425</v>
      </c>
      <c r="Y33" s="1285">
        <f>+SMS!Y5</f>
        <v>683854.46009389672</v>
      </c>
      <c r="Z33" s="1285">
        <f>+SMS!Z5</f>
        <v>590768</v>
      </c>
      <c r="AA33" s="1285">
        <f>+SMS!AA5</f>
        <v>1097303.4600938968</v>
      </c>
      <c r="AB33" s="1285">
        <f>+SMS!AB5</f>
        <v>965812</v>
      </c>
      <c r="AC33" s="1284">
        <f>+SMS!AC5</f>
        <v>231408.45070422534</v>
      </c>
      <c r="AD33" s="1285">
        <f>+SMS!AD5</f>
        <v>211320</v>
      </c>
      <c r="AE33" s="1284">
        <f>+SMS!AE5</f>
        <v>1328711.9107981222</v>
      </c>
      <c r="AF33" s="1285">
        <f>+SMS!AF5</f>
        <v>1177132</v>
      </c>
      <c r="AG33" s="1284">
        <f>+SMS!AG5</f>
        <v>223802.81690140846</v>
      </c>
      <c r="AH33" s="1285">
        <f>+SMS!AH5</f>
        <v>194791</v>
      </c>
      <c r="AI33" s="1284">
        <f>+SMS!AI5</f>
        <v>1552514.7276995305</v>
      </c>
      <c r="AJ33" s="1285">
        <f>+SMS!AJ5</f>
        <v>1371923</v>
      </c>
      <c r="AK33" s="1284">
        <f>+SMS!AK5</f>
        <v>231408</v>
      </c>
      <c r="AL33" s="1285">
        <f>+SMS!AL5</f>
        <v>216681</v>
      </c>
      <c r="AM33" s="1285">
        <f>+SMS!AM5</f>
        <v>686619.26760563382</v>
      </c>
      <c r="AN33" s="1285">
        <f>+SMS!AN5</f>
        <v>622792</v>
      </c>
      <c r="AO33" s="1285">
        <f>+SMS!AO5</f>
        <v>1783922.7276995305</v>
      </c>
      <c r="AP33" s="1285">
        <f>+SMS!AP5</f>
        <v>1588604</v>
      </c>
      <c r="AQ33" s="1284">
        <f>+SMS!AQ5</f>
        <v>231408.45070422534</v>
      </c>
      <c r="AR33" s="1285">
        <f>+SMS!AR5</f>
        <v>221653</v>
      </c>
      <c r="AS33" s="1284">
        <f>+SMS!AS5</f>
        <v>2015331.1784037559</v>
      </c>
      <c r="AT33" s="1285">
        <f>+SMS!AT5</f>
        <v>1810257</v>
      </c>
      <c r="AU33" s="1284">
        <f>+SMS!AU5</f>
        <v>204998.0938967136</v>
      </c>
      <c r="AV33" s="1285">
        <f>+SMS!AV5</f>
        <v>197600</v>
      </c>
      <c r="AW33" s="1284">
        <f>+SMS!AW5</f>
        <v>2220329.2723004697</v>
      </c>
      <c r="AX33" s="1285">
        <f>+SMS!AX5</f>
        <v>2007857</v>
      </c>
      <c r="AY33" s="1284">
        <f>+SMS!AY5</f>
        <v>231408.45070422534</v>
      </c>
      <c r="AZ33" s="1285">
        <f>+SMS!AZ5</f>
        <v>220010</v>
      </c>
      <c r="BA33" s="1284">
        <f>+SMS!BA5</f>
        <v>667814.99530516425</v>
      </c>
      <c r="BB33" s="1285">
        <f>+SMS!BB5</f>
        <v>639263</v>
      </c>
      <c r="BC33" s="1284">
        <f>+SMS!BC5</f>
        <v>1354434.2629107982</v>
      </c>
      <c r="BD33" s="1285">
        <f>+SMS!BD5</f>
        <v>1262055</v>
      </c>
      <c r="BE33" s="1284">
        <f>+SMS!BE5</f>
        <v>2451737.723004695</v>
      </c>
      <c r="BF33" s="1285">
        <f>+SMS!BF5</f>
        <v>2227867</v>
      </c>
    </row>
    <row r="34" spans="3:58" ht="15.75" hidden="1" customHeight="1" thickBot="1" x14ac:dyDescent="0.3">
      <c r="C34" s="212" t="s">
        <v>589</v>
      </c>
      <c r="D34" s="213"/>
      <c r="E34" s="213"/>
      <c r="F34" s="58"/>
      <c r="G34" s="58"/>
      <c r="H34" s="58"/>
      <c r="I34" s="58"/>
      <c r="J34" s="1270"/>
      <c r="K34" s="1270"/>
      <c r="L34" s="1270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S34" s="58"/>
      <c r="AT34" s="58"/>
      <c r="AU34" s="1726"/>
      <c r="AV34" s="1726"/>
      <c r="AW34" s="58"/>
      <c r="AX34" s="58"/>
      <c r="AY34" s="4606"/>
      <c r="AZ34" s="4606"/>
      <c r="BA34" s="58"/>
      <c r="BB34" s="58"/>
      <c r="BC34" s="58"/>
      <c r="BD34" s="58"/>
      <c r="BE34" s="58"/>
      <c r="BF34" s="58"/>
    </row>
    <row r="35" spans="3:58" ht="15.75" hidden="1" customHeight="1" x14ac:dyDescent="0.25">
      <c r="C35" s="214" t="s">
        <v>584</v>
      </c>
      <c r="D35" s="215" t="s">
        <v>585</v>
      </c>
      <c r="E35" s="1560">
        <v>243</v>
      </c>
      <c r="F35" s="1560"/>
      <c r="G35" s="58"/>
      <c r="H35" s="58"/>
      <c r="I35" s="58"/>
      <c r="J35" s="1270"/>
      <c r="K35" s="1270"/>
      <c r="L35" s="1270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S35" s="58"/>
      <c r="AT35" s="58"/>
      <c r="AU35" s="1726"/>
      <c r="AV35" s="1726"/>
      <c r="AW35" s="58"/>
      <c r="AX35" s="58"/>
      <c r="AY35" s="4606"/>
      <c r="AZ35" s="4606"/>
      <c r="BA35" s="58"/>
      <c r="BB35" s="58"/>
      <c r="BC35" s="58"/>
      <c r="BD35" s="58"/>
      <c r="BE35" s="58"/>
      <c r="BF35" s="58"/>
    </row>
    <row r="36" spans="3:58" ht="15.75" hidden="1" customHeight="1" x14ac:dyDescent="0.25">
      <c r="C36" s="216" t="s">
        <v>586</v>
      </c>
      <c r="D36" s="217" t="s">
        <v>585</v>
      </c>
      <c r="E36" s="1561">
        <v>65</v>
      </c>
      <c r="F36" s="1561"/>
      <c r="G36" s="58"/>
      <c r="H36" s="58"/>
      <c r="I36" s="58"/>
      <c r="J36" s="1270"/>
      <c r="K36" s="1270"/>
      <c r="L36" s="1270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S36" s="58"/>
      <c r="AT36" s="58"/>
      <c r="AU36" s="1726"/>
      <c r="AV36" s="1726"/>
      <c r="AW36" s="58"/>
      <c r="AX36" s="58"/>
      <c r="AY36" s="4606"/>
      <c r="AZ36" s="4606"/>
      <c r="BA36" s="58"/>
      <c r="BB36" s="58"/>
      <c r="BC36" s="58"/>
      <c r="BD36" s="58"/>
      <c r="BE36" s="58"/>
      <c r="BF36" s="58"/>
    </row>
    <row r="37" spans="3:58" ht="15.75" hidden="1" customHeight="1" x14ac:dyDescent="0.25">
      <c r="C37" s="233" t="s">
        <v>578</v>
      </c>
      <c r="D37" s="218" t="s">
        <v>588</v>
      </c>
      <c r="E37" s="1562">
        <v>300</v>
      </c>
      <c r="F37" s="1562"/>
      <c r="G37" s="58"/>
      <c r="H37" s="58"/>
      <c r="I37" s="58"/>
      <c r="J37" s="1270"/>
      <c r="K37" s="1270"/>
      <c r="L37" s="1270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S37" s="58"/>
      <c r="AT37" s="58"/>
      <c r="AU37" s="1726"/>
      <c r="AV37" s="1726"/>
      <c r="AW37" s="58"/>
      <c r="AX37" s="58"/>
      <c r="AY37" s="4606"/>
      <c r="AZ37" s="4606"/>
      <c r="BA37" s="58"/>
      <c r="BB37" s="58"/>
      <c r="BC37" s="58"/>
      <c r="BD37" s="58"/>
      <c r="BE37" s="58"/>
      <c r="BF37" s="58"/>
    </row>
    <row r="38" spans="3:58" ht="16.5" hidden="1" customHeight="1" thickBot="1" x14ac:dyDescent="0.3">
      <c r="C38" s="234" t="s">
        <v>583</v>
      </c>
      <c r="D38" s="235" t="s">
        <v>588</v>
      </c>
      <c r="E38" s="1563">
        <v>100</v>
      </c>
      <c r="F38" s="1563"/>
      <c r="G38" s="58"/>
      <c r="H38" s="58"/>
      <c r="I38" s="58"/>
      <c r="J38" s="1270"/>
      <c r="K38" s="1270"/>
      <c r="L38" s="1270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S38" s="58"/>
      <c r="AT38" s="58"/>
      <c r="AU38" s="1726"/>
      <c r="AV38" s="1726"/>
      <c r="AW38" s="58"/>
      <c r="AX38" s="58"/>
      <c r="AY38" s="4606"/>
      <c r="AZ38" s="4606"/>
      <c r="BA38" s="58"/>
      <c r="BB38" s="58"/>
      <c r="BC38" s="58"/>
      <c r="BD38" s="58"/>
      <c r="BE38" s="58"/>
      <c r="BF38" s="58"/>
    </row>
    <row r="39" spans="3:58" ht="15" hidden="1" customHeight="1" x14ac:dyDescent="0.25">
      <c r="C39" s="5"/>
      <c r="D39" s="5"/>
      <c r="E39" s="5"/>
      <c r="F39" s="5"/>
      <c r="G39" s="5"/>
      <c r="H39" s="5"/>
      <c r="I39" s="5"/>
      <c r="J39" s="1270"/>
      <c r="K39" s="1270"/>
      <c r="L39" s="1270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S39" s="5"/>
      <c r="AT39" s="5"/>
      <c r="AU39" s="1726"/>
      <c r="AV39" s="1726"/>
      <c r="AW39" s="5"/>
      <c r="AX39" s="5"/>
      <c r="AY39" s="4606"/>
      <c r="AZ39" s="4606"/>
      <c r="BA39" s="5"/>
      <c r="BB39" s="5"/>
      <c r="BC39" s="5"/>
      <c r="BD39" s="5"/>
      <c r="BE39" s="5"/>
      <c r="BF39" s="5"/>
    </row>
    <row r="40" spans="3:58" ht="15" hidden="1" customHeight="1" x14ac:dyDescent="0.25">
      <c r="C40" s="5"/>
      <c r="D40" s="5"/>
      <c r="E40" s="5"/>
      <c r="F40" s="5"/>
      <c r="G40" s="5"/>
      <c r="H40" s="5"/>
      <c r="I40" s="5"/>
      <c r="J40" s="1270"/>
      <c r="K40" s="1270"/>
      <c r="L40" s="1270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S40" s="5"/>
      <c r="AT40" s="5"/>
      <c r="AU40" s="1726"/>
      <c r="AV40" s="1726"/>
      <c r="AW40" s="5"/>
      <c r="AX40" s="5"/>
      <c r="AY40" s="4606"/>
      <c r="AZ40" s="4606"/>
      <c r="BA40" s="5"/>
      <c r="BB40" s="5"/>
      <c r="BC40" s="5"/>
      <c r="BD40" s="5"/>
      <c r="BE40" s="5"/>
      <c r="BF40" s="5"/>
    </row>
    <row r="41" spans="3:58" ht="15" hidden="1" customHeight="1" x14ac:dyDescent="0.25">
      <c r="C41" s="5"/>
      <c r="D41" s="5"/>
      <c r="E41" s="5"/>
      <c r="F41" s="5"/>
      <c r="G41" s="5"/>
      <c r="H41" s="5"/>
      <c r="I41" s="5"/>
      <c r="J41" s="1270"/>
      <c r="K41" s="1270"/>
      <c r="L41" s="1270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S41" s="5"/>
      <c r="AT41" s="5"/>
      <c r="AU41" s="1726"/>
      <c r="AV41" s="1726"/>
      <c r="AW41" s="5"/>
      <c r="AX41" s="5"/>
      <c r="AY41" s="4606"/>
      <c r="AZ41" s="4606"/>
      <c r="BA41" s="5"/>
      <c r="BB41" s="5"/>
      <c r="BC41" s="5"/>
      <c r="BD41" s="5"/>
      <c r="BE41" s="5"/>
      <c r="BF41" s="5"/>
    </row>
    <row r="42" spans="3:58" ht="15" hidden="1" customHeight="1" x14ac:dyDescent="0.25">
      <c r="C42" s="60"/>
      <c r="D42" s="5"/>
      <c r="E42" s="5"/>
      <c r="F42" s="5"/>
      <c r="G42" s="5"/>
      <c r="H42" s="5"/>
      <c r="I42" s="5"/>
      <c r="J42" s="1270"/>
      <c r="K42" s="1270"/>
      <c r="L42" s="1270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S42" s="5"/>
      <c r="AT42" s="5"/>
      <c r="AU42" s="1726"/>
      <c r="AV42" s="1726"/>
      <c r="AW42" s="5"/>
      <c r="AX42" s="5"/>
      <c r="AY42" s="4606"/>
      <c r="AZ42" s="4606"/>
      <c r="BA42" s="5"/>
      <c r="BB42" s="5"/>
      <c r="BC42" s="5"/>
      <c r="BD42" s="5"/>
      <c r="BE42" s="5"/>
      <c r="BF42" s="5"/>
    </row>
    <row r="43" spans="3:58" ht="15" hidden="1" customHeight="1" x14ac:dyDescent="0.25">
      <c r="C43" s="1438" t="s">
        <v>575</v>
      </c>
      <c r="D43" s="147" t="s">
        <v>53</v>
      </c>
      <c r="E43" s="945"/>
      <c r="F43" s="341">
        <f>+F7*(1-F9/100)</f>
        <v>18743</v>
      </c>
      <c r="G43" s="945"/>
      <c r="H43" s="341">
        <f>+H7*(1-H9/100)</f>
        <v>13642</v>
      </c>
      <c r="I43" s="1320"/>
      <c r="J43" s="63">
        <f>+J7*(1-J9/100)</f>
        <v>32385</v>
      </c>
      <c r="K43" s="945"/>
      <c r="L43" s="341">
        <f>+L7*(1-L9/100)</f>
        <v>37715</v>
      </c>
      <c r="M43" s="901"/>
      <c r="N43" s="154">
        <f>+N7*(1-N9/100)</f>
        <v>70100</v>
      </c>
      <c r="O43" s="945"/>
      <c r="P43" s="341">
        <f>+P7*(1-P9/100)</f>
        <v>34277</v>
      </c>
      <c r="Q43" s="1320"/>
      <c r="R43" s="63">
        <f>+R7*(1-R9/100)</f>
        <v>104377</v>
      </c>
      <c r="S43" s="945"/>
      <c r="T43" s="341">
        <f>+T7*(1-T9/100)</f>
        <v>33730</v>
      </c>
      <c r="U43" s="1729"/>
      <c r="V43" s="63">
        <f>+V7*(1-V9/100)</f>
        <v>138107</v>
      </c>
      <c r="W43" s="945"/>
      <c r="X43" s="341">
        <f>+X7*(1-X9/100)</f>
        <v>35476</v>
      </c>
      <c r="Y43" s="901"/>
      <c r="Z43" s="901">
        <f>+Z7*(1-Z9/100)</f>
        <v>103483</v>
      </c>
      <c r="AA43" s="1133"/>
      <c r="AB43" s="1281">
        <f>+AB7*(1-AB9/100)</f>
        <v>173583</v>
      </c>
      <c r="AC43" s="945"/>
      <c r="AD43" s="341">
        <f>+AD7*(1-AD9/100)</f>
        <v>36439.999999999993</v>
      </c>
      <c r="AE43" s="1787"/>
      <c r="AF43" s="63">
        <f>+AF7*(1-AF9/100)</f>
        <v>210023</v>
      </c>
      <c r="AG43" s="945"/>
      <c r="AH43" s="341">
        <f>+AH7*(1-AH9/100)</f>
        <v>38715</v>
      </c>
      <c r="AI43" s="1787"/>
      <c r="AJ43" s="63">
        <f>+AJ7*(1-AJ9/100)</f>
        <v>248738</v>
      </c>
      <c r="AK43" s="945"/>
      <c r="AL43" s="341">
        <f>+AL7*(1-AL9/100)</f>
        <v>35829</v>
      </c>
      <c r="AM43" s="1788"/>
      <c r="AN43" s="1788">
        <f>+AN7*(1-AN9/100)</f>
        <v>110984</v>
      </c>
      <c r="AO43" s="1787"/>
      <c r="AP43" s="63">
        <f>+AP7*(1-AP9/100)</f>
        <v>284567</v>
      </c>
      <c r="AQ43" s="945"/>
      <c r="AR43" s="341">
        <f>+AR7*(1-AR9/100)</f>
        <v>39295</v>
      </c>
      <c r="AS43" s="1787"/>
      <c r="AT43" s="63">
        <f>+AT7*(1-AT9/100)</f>
        <v>323862</v>
      </c>
      <c r="AU43" s="945"/>
      <c r="AV43" s="341">
        <f>+AV7*(1-AV9/100)</f>
        <v>33715</v>
      </c>
      <c r="AW43" s="1787"/>
      <c r="AX43" s="63">
        <f>+AX7*(1-AX9/100)</f>
        <v>357577</v>
      </c>
      <c r="AY43" s="945"/>
      <c r="AZ43" s="341">
        <f>+AZ7*(1-AZ9/100)</f>
        <v>48282</v>
      </c>
      <c r="BA43" s="1788"/>
      <c r="BB43" s="1788">
        <f>+BB7*(1-BB9/100)</f>
        <v>121292</v>
      </c>
      <c r="BC43" s="1133"/>
      <c r="BD43" s="1281">
        <f>+BD7*(1-BD9/100)</f>
        <v>232276.00000000003</v>
      </c>
      <c r="BE43" s="1787"/>
      <c r="BF43" s="63">
        <f>+BF7*(1-BF9/100)</f>
        <v>405859</v>
      </c>
    </row>
    <row r="44" spans="3:58" ht="15" hidden="1" customHeight="1" x14ac:dyDescent="0.25">
      <c r="C44" s="1438" t="s">
        <v>1262</v>
      </c>
      <c r="D44" s="229" t="s">
        <v>53</v>
      </c>
      <c r="E44" s="945"/>
      <c r="F44" s="341">
        <f>+F8</f>
        <v>5276</v>
      </c>
      <c r="G44" s="945"/>
      <c r="H44" s="341">
        <f>+H8</f>
        <v>5723</v>
      </c>
      <c r="I44" s="1320"/>
      <c r="J44" s="63">
        <f>+J8</f>
        <v>10999</v>
      </c>
      <c r="K44" s="945"/>
      <c r="L44" s="341">
        <f>+L8</f>
        <v>8788</v>
      </c>
      <c r="M44" s="901"/>
      <c r="N44" s="154">
        <f>+N8</f>
        <v>19787</v>
      </c>
      <c r="O44" s="945"/>
      <c r="P44" s="341">
        <f>+P8</f>
        <v>7932</v>
      </c>
      <c r="Q44" s="1320"/>
      <c r="R44" s="63">
        <f>+R8</f>
        <v>27719</v>
      </c>
      <c r="S44" s="945"/>
      <c r="T44" s="341">
        <f>+T8</f>
        <v>7531</v>
      </c>
      <c r="U44" s="1729"/>
      <c r="V44" s="63">
        <f>+V8</f>
        <v>35250</v>
      </c>
      <c r="W44" s="945"/>
      <c r="X44" s="341">
        <f>+X8</f>
        <v>8875</v>
      </c>
      <c r="Y44" s="901"/>
      <c r="Z44" s="901">
        <f>+Z8</f>
        <v>24338</v>
      </c>
      <c r="AA44" s="1133"/>
      <c r="AB44" s="1281">
        <f>+AB8</f>
        <v>44125</v>
      </c>
      <c r="AC44" s="945"/>
      <c r="AD44" s="341">
        <f>+AD8</f>
        <v>12177</v>
      </c>
      <c r="AE44" s="1787"/>
      <c r="AF44" s="63">
        <f>+AF8</f>
        <v>56302</v>
      </c>
      <c r="AG44" s="945"/>
      <c r="AH44" s="341">
        <f>+AH8</f>
        <v>7977</v>
      </c>
      <c r="AI44" s="1787"/>
      <c r="AJ44" s="63">
        <f>+AJ8</f>
        <v>64279</v>
      </c>
      <c r="AK44" s="945"/>
      <c r="AL44" s="341">
        <f>+AL8</f>
        <v>8500</v>
      </c>
      <c r="AM44" s="1788"/>
      <c r="AN44" s="1788">
        <f>+AN8</f>
        <v>28654</v>
      </c>
      <c r="AO44" s="1787"/>
      <c r="AP44" s="63">
        <f>+AP8</f>
        <v>72779</v>
      </c>
      <c r="AQ44" s="945"/>
      <c r="AR44" s="341">
        <f>+AR8</f>
        <v>8300</v>
      </c>
      <c r="AS44" s="1787"/>
      <c r="AT44" s="63">
        <f>+AT8</f>
        <v>81079</v>
      </c>
      <c r="AU44" s="945"/>
      <c r="AV44" s="341">
        <f>+AV8</f>
        <v>6043</v>
      </c>
      <c r="AW44" s="1787"/>
      <c r="AX44" s="63">
        <f>+AX8</f>
        <v>87122</v>
      </c>
      <c r="AY44" s="945"/>
      <c r="AZ44" s="341">
        <f>+AZ8</f>
        <v>10609</v>
      </c>
      <c r="BA44" s="1788"/>
      <c r="BB44" s="1788">
        <f>+BB8</f>
        <v>24952</v>
      </c>
      <c r="BC44" s="1133"/>
      <c r="BD44" s="1281">
        <f>+BD8</f>
        <v>53606</v>
      </c>
      <c r="BE44" s="1787"/>
      <c r="BF44" s="63">
        <f>+BF8</f>
        <v>97731</v>
      </c>
    </row>
    <row r="45" spans="3:58" ht="15" hidden="1" customHeight="1" x14ac:dyDescent="0.25">
      <c r="C45" s="1438" t="s">
        <v>989</v>
      </c>
      <c r="D45" s="147" t="s">
        <v>53</v>
      </c>
      <c r="E45" s="945"/>
      <c r="F45" s="341">
        <f>SUM(F43:F44)</f>
        <v>24019</v>
      </c>
      <c r="G45" s="945"/>
      <c r="H45" s="341">
        <f>SUM(H43:H44)</f>
        <v>19365</v>
      </c>
      <c r="I45" s="1320"/>
      <c r="J45" s="63">
        <f>SUM(J43:J44)</f>
        <v>43384</v>
      </c>
      <c r="K45" s="945"/>
      <c r="L45" s="341">
        <f>SUM(L43:L44)</f>
        <v>46503</v>
      </c>
      <c r="M45" s="901"/>
      <c r="N45" s="154">
        <f>SUM(N43:N44)</f>
        <v>89887</v>
      </c>
      <c r="O45" s="945"/>
      <c r="P45" s="341">
        <f>SUM(P43:P44)</f>
        <v>42209</v>
      </c>
      <c r="Q45" s="1320"/>
      <c r="R45" s="63">
        <f>SUM(R43:R44)</f>
        <v>132096</v>
      </c>
      <c r="S45" s="945"/>
      <c r="T45" s="341">
        <f>SUM(T43:T44)</f>
        <v>41261</v>
      </c>
      <c r="U45" s="1729"/>
      <c r="V45" s="63">
        <f>SUM(V43:V44)</f>
        <v>173357</v>
      </c>
      <c r="W45" s="945"/>
      <c r="X45" s="341">
        <f>SUM(X43:X44)</f>
        <v>44351</v>
      </c>
      <c r="Y45" s="901"/>
      <c r="Z45" s="901">
        <f>SUM(Z43:Z44)</f>
        <v>127821</v>
      </c>
      <c r="AA45" s="1133"/>
      <c r="AB45" s="1281">
        <f>SUM(AB43:AB44)</f>
        <v>217708</v>
      </c>
      <c r="AC45" s="945"/>
      <c r="AD45" s="341">
        <f>SUM(AD43:AD44)</f>
        <v>48616.999999999993</v>
      </c>
      <c r="AE45" s="1787"/>
      <c r="AF45" s="63">
        <f>SUM(AF43:AF44)</f>
        <v>266325</v>
      </c>
      <c r="AG45" s="945"/>
      <c r="AH45" s="341">
        <f>SUM(AH43:AH44)</f>
        <v>46692</v>
      </c>
      <c r="AI45" s="1787"/>
      <c r="AJ45" s="63">
        <f>SUM(AJ43:AJ44)</f>
        <v>313017</v>
      </c>
      <c r="AK45" s="945"/>
      <c r="AL45" s="341">
        <f>SUM(AL43:AL44)</f>
        <v>44329</v>
      </c>
      <c r="AM45" s="1788"/>
      <c r="AN45" s="1788">
        <f>SUM(AN43:AN44)</f>
        <v>139638</v>
      </c>
      <c r="AO45" s="1787"/>
      <c r="AP45" s="63">
        <f>SUM(AP43:AP44)</f>
        <v>357346</v>
      </c>
      <c r="AQ45" s="945"/>
      <c r="AR45" s="341">
        <f>SUM(AR43:AR44)</f>
        <v>47595</v>
      </c>
      <c r="AS45" s="1787"/>
      <c r="AT45" s="63">
        <f>SUM(AT43:AT44)</f>
        <v>404941</v>
      </c>
      <c r="AU45" s="945"/>
      <c r="AV45" s="341">
        <f>SUM(AV43:AV44)</f>
        <v>39758</v>
      </c>
      <c r="AW45" s="1787"/>
      <c r="AX45" s="63">
        <f>SUM(AX43:AX44)</f>
        <v>444699</v>
      </c>
      <c r="AY45" s="945"/>
      <c r="AZ45" s="341">
        <f>SUM(AZ43:AZ44)</f>
        <v>58891</v>
      </c>
      <c r="BA45" s="1788"/>
      <c r="BB45" s="1788">
        <f>SUM(BB43:BB44)</f>
        <v>146244</v>
      </c>
      <c r="BC45" s="1133"/>
      <c r="BD45" s="1281">
        <f>SUM(BD43:BD44)</f>
        <v>285882</v>
      </c>
      <c r="BE45" s="1787"/>
      <c r="BF45" s="63">
        <f>SUM(BF43:BF44)</f>
        <v>503590</v>
      </c>
    </row>
    <row r="46" spans="3:58" ht="15" hidden="1" customHeight="1" x14ac:dyDescent="0.25">
      <c r="C46" s="1438" t="s">
        <v>238</v>
      </c>
      <c r="D46" s="147" t="s">
        <v>52</v>
      </c>
      <c r="E46" s="945"/>
      <c r="F46" s="1436">
        <v>1.25</v>
      </c>
      <c r="G46" s="331"/>
      <c r="H46" s="1436">
        <v>1.25</v>
      </c>
      <c r="I46" s="321"/>
      <c r="J46" s="68">
        <v>1.25</v>
      </c>
      <c r="K46" s="331"/>
      <c r="L46" s="1436">
        <v>1.25</v>
      </c>
      <c r="M46" s="320"/>
      <c r="N46" s="1440">
        <v>1.25</v>
      </c>
      <c r="O46" s="331"/>
      <c r="P46" s="1436">
        <v>1.25</v>
      </c>
      <c r="Q46" s="321"/>
      <c r="R46" s="68">
        <v>1.25</v>
      </c>
      <c r="S46" s="331"/>
      <c r="T46" s="1436">
        <v>1.25</v>
      </c>
      <c r="U46" s="321"/>
      <c r="V46" s="68">
        <v>1.25</v>
      </c>
      <c r="W46" s="331"/>
      <c r="X46" s="1436">
        <v>1.25</v>
      </c>
      <c r="Y46" s="320"/>
      <c r="Z46" s="320">
        <v>1.25</v>
      </c>
      <c r="AA46" s="1280"/>
      <c r="AB46" s="1441">
        <v>1.25</v>
      </c>
      <c r="AC46" s="331"/>
      <c r="AD46" s="1436">
        <v>1.25</v>
      </c>
      <c r="AE46" s="321"/>
      <c r="AF46" s="68">
        <v>1.25</v>
      </c>
      <c r="AG46" s="331"/>
      <c r="AH46" s="1436">
        <v>1.25</v>
      </c>
      <c r="AI46" s="321"/>
      <c r="AJ46" s="68">
        <v>1.25</v>
      </c>
      <c r="AK46" s="331"/>
      <c r="AL46" s="1436">
        <v>1.25</v>
      </c>
      <c r="AM46" s="320"/>
      <c r="AN46" s="320">
        <v>1.25</v>
      </c>
      <c r="AO46" s="321"/>
      <c r="AP46" s="68">
        <v>1.25</v>
      </c>
      <c r="AQ46" s="331"/>
      <c r="AR46" s="1436">
        <v>1.25</v>
      </c>
      <c r="AS46" s="321"/>
      <c r="AT46" s="68">
        <v>1.25</v>
      </c>
      <c r="AU46" s="331"/>
      <c r="AV46" s="1436">
        <v>1.25</v>
      </c>
      <c r="AW46" s="321"/>
      <c r="AX46" s="68">
        <v>1.25</v>
      </c>
      <c r="AY46" s="331"/>
      <c r="AZ46" s="1436">
        <v>1.25</v>
      </c>
      <c r="BA46" s="320"/>
      <c r="BB46" s="320">
        <v>1.25</v>
      </c>
      <c r="BC46" s="1280"/>
      <c r="BD46" s="1441">
        <v>1.25</v>
      </c>
      <c r="BE46" s="321"/>
      <c r="BF46" s="68">
        <v>1.25</v>
      </c>
    </row>
    <row r="47" spans="3:58" ht="15" hidden="1" customHeight="1" x14ac:dyDescent="0.25">
      <c r="C47" s="1438" t="s">
        <v>238</v>
      </c>
      <c r="D47" s="147" t="s">
        <v>53</v>
      </c>
      <c r="E47" s="945"/>
      <c r="F47" s="1443">
        <f>+F45*F46/(100-F46)</f>
        <v>304.03797468354429</v>
      </c>
      <c r="G47" s="945"/>
      <c r="H47" s="1443">
        <f>+H45*H46/(100-H46)</f>
        <v>245.12658227848101</v>
      </c>
      <c r="I47" s="1320"/>
      <c r="J47" s="66">
        <f>+J45*J46/(100-J46)</f>
        <v>549.16455696202536</v>
      </c>
      <c r="K47" s="945"/>
      <c r="L47" s="1443">
        <f>+L45*L46/(100-L46)</f>
        <v>588.64556962025313</v>
      </c>
      <c r="M47" s="901"/>
      <c r="N47" s="155">
        <f>+N45*N46/(100-N46)</f>
        <v>1137.8101265822784</v>
      </c>
      <c r="O47" s="945"/>
      <c r="P47" s="1443">
        <f>+P45*P46/(100-P46)</f>
        <v>534.29113924050637</v>
      </c>
      <c r="Q47" s="1320"/>
      <c r="R47" s="66">
        <f>+R45*R46/(100-R46)</f>
        <v>1672.1012658227849</v>
      </c>
      <c r="S47" s="945"/>
      <c r="T47" s="1443">
        <f>+T45*T46/(100-T46)</f>
        <v>522.29113924050637</v>
      </c>
      <c r="U47" s="1729"/>
      <c r="V47" s="66">
        <f>+V45*V46/(100-V46)</f>
        <v>2194.3924050632913</v>
      </c>
      <c r="W47" s="945"/>
      <c r="X47" s="1443">
        <f>+X45*X46/(100-X46)</f>
        <v>561.40506329113919</v>
      </c>
      <c r="Y47" s="901"/>
      <c r="Z47" s="901">
        <f>+Z45*Z46/(100-Z46)</f>
        <v>1617.9873417721519</v>
      </c>
      <c r="AA47" s="1133"/>
      <c r="AB47" s="1115">
        <f>+AB45*AB46/(100-AB46)</f>
        <v>2755.7974683544303</v>
      </c>
      <c r="AC47" s="945"/>
      <c r="AD47" s="1443">
        <f>+AD45*AD46/(100-AD46)</f>
        <v>615.40506329113919</v>
      </c>
      <c r="AE47" s="1787"/>
      <c r="AF47" s="66">
        <f>+AF45*AF46/(100-AF46)</f>
        <v>3371.2025316455697</v>
      </c>
      <c r="AG47" s="945"/>
      <c r="AH47" s="1443">
        <f>+AH45*AH46/(100-AH46)</f>
        <v>591.03797468354435</v>
      </c>
      <c r="AI47" s="1787"/>
      <c r="AJ47" s="66">
        <f>+AJ45*AJ46/(100-AJ46)</f>
        <v>3962.2405063291139</v>
      </c>
      <c r="AK47" s="945"/>
      <c r="AL47" s="1443">
        <f>+AL45*AL46/(100-AL46)</f>
        <v>561.12658227848101</v>
      </c>
      <c r="AM47" s="1788"/>
      <c r="AN47" s="1788">
        <f>+AN45*AN46/(100-AN46)</f>
        <v>1767.5696202531647</v>
      </c>
      <c r="AO47" s="1787"/>
      <c r="AP47" s="66">
        <f>+AP45*AP46/(100-AP46)</f>
        <v>4523.3670886075952</v>
      </c>
      <c r="AQ47" s="945"/>
      <c r="AR47" s="1443">
        <f>+AR45*AR46/(100-AR46)</f>
        <v>602.46835443037969</v>
      </c>
      <c r="AS47" s="1787"/>
      <c r="AT47" s="66">
        <f>+AT45*AT46/(100-AT46)</f>
        <v>5125.835443037975</v>
      </c>
      <c r="AU47" s="945"/>
      <c r="AV47" s="1443">
        <f>+AV45*AV46/(100-AV46)</f>
        <v>503.26582278481015</v>
      </c>
      <c r="AW47" s="1787"/>
      <c r="AX47" s="66">
        <f>+AX45*AX46/(100-AX46)</f>
        <v>5629.1012658227846</v>
      </c>
      <c r="AY47" s="945"/>
      <c r="AZ47" s="1443">
        <f>+AZ45*AZ46/(100-AZ46)</f>
        <v>745.45569620253161</v>
      </c>
      <c r="BA47" s="1788"/>
      <c r="BB47" s="1788">
        <f>+BB45*BB46/(100-BB46)</f>
        <v>1851.1898734177216</v>
      </c>
      <c r="BC47" s="1133"/>
      <c r="BD47" s="1115">
        <f>+BD45*BD46/(100-BD46)</f>
        <v>3618.7594936708861</v>
      </c>
      <c r="BE47" s="1787"/>
      <c r="BF47" s="66">
        <f>+BF45*BF46/(100-BF46)</f>
        <v>6374.5569620253164</v>
      </c>
    </row>
    <row r="48" spans="3:58" ht="15" hidden="1" customHeight="1" x14ac:dyDescent="0.25">
      <c r="C48" s="1438" t="s">
        <v>23</v>
      </c>
      <c r="D48" s="147" t="s">
        <v>53</v>
      </c>
      <c r="E48" s="945"/>
      <c r="F48" s="1443">
        <f>+F45+F47</f>
        <v>24323.037974683546</v>
      </c>
      <c r="G48" s="945"/>
      <c r="H48" s="1443">
        <f>+H45+H47</f>
        <v>19610.126582278481</v>
      </c>
      <c r="I48" s="1320"/>
      <c r="J48" s="66">
        <f>+J45+J47</f>
        <v>43933.164556962023</v>
      </c>
      <c r="K48" s="945"/>
      <c r="L48" s="1443">
        <f>+L45+L47</f>
        <v>47091.645569620254</v>
      </c>
      <c r="M48" s="901"/>
      <c r="N48" s="155">
        <f>+N45+N47</f>
        <v>91024.810126582277</v>
      </c>
      <c r="O48" s="945"/>
      <c r="P48" s="1443">
        <f>+P45+P47</f>
        <v>42743.291139240508</v>
      </c>
      <c r="Q48" s="1320"/>
      <c r="R48" s="66">
        <f>+R45+R47</f>
        <v>133768.1012658228</v>
      </c>
      <c r="S48" s="945"/>
      <c r="T48" s="1443">
        <f>+T45+T47</f>
        <v>41783.291139240508</v>
      </c>
      <c r="U48" s="1729"/>
      <c r="V48" s="66">
        <f>+V45+V47</f>
        <v>175551.39240506329</v>
      </c>
      <c r="W48" s="945"/>
      <c r="X48" s="1443">
        <f>+X45+X47</f>
        <v>44912.405063291139</v>
      </c>
      <c r="Y48" s="901"/>
      <c r="Z48" s="901">
        <f>+Z45+Z47</f>
        <v>129438.98734177215</v>
      </c>
      <c r="AA48" s="1133"/>
      <c r="AB48" s="1115">
        <f>+AB45+AB47</f>
        <v>220463.79746835443</v>
      </c>
      <c r="AC48" s="945"/>
      <c r="AD48" s="1443">
        <f>+AD45+AD47</f>
        <v>49232.405063291131</v>
      </c>
      <c r="AE48" s="1787"/>
      <c r="AF48" s="66">
        <f>+AF45+AF47</f>
        <v>269696.2025316456</v>
      </c>
      <c r="AG48" s="945"/>
      <c r="AH48" s="1443">
        <f>+AH45+AH47</f>
        <v>47283.037974683546</v>
      </c>
      <c r="AI48" s="1787"/>
      <c r="AJ48" s="66">
        <f>+AJ45+AJ47</f>
        <v>316979.24050632911</v>
      </c>
      <c r="AK48" s="945"/>
      <c r="AL48" s="1443">
        <f>+AL45+AL47</f>
        <v>44890.126582278484</v>
      </c>
      <c r="AM48" s="1788"/>
      <c r="AN48" s="1788">
        <f>+AN45+AN47</f>
        <v>141405.56962025317</v>
      </c>
      <c r="AO48" s="1787"/>
      <c r="AP48" s="66">
        <f>+AP45+AP47</f>
        <v>361869.36708860757</v>
      </c>
      <c r="AQ48" s="945"/>
      <c r="AR48" s="1443">
        <f>+AR45+AR47</f>
        <v>48197.468354430377</v>
      </c>
      <c r="AS48" s="1787"/>
      <c r="AT48" s="66">
        <f>+AT45+AT47</f>
        <v>410066.83544303797</v>
      </c>
      <c r="AU48" s="945"/>
      <c r="AV48" s="1443">
        <f>+AV45+AV47</f>
        <v>40261.265822784808</v>
      </c>
      <c r="AW48" s="1787"/>
      <c r="AX48" s="66">
        <f>+AX45+AX47</f>
        <v>450328.10126582277</v>
      </c>
      <c r="AY48" s="945"/>
      <c r="AZ48" s="1443">
        <f>+AZ45+AZ47</f>
        <v>59636.455696202531</v>
      </c>
      <c r="BA48" s="1788"/>
      <c r="BB48" s="1788">
        <f>+BB45+BB47</f>
        <v>148095.18987341772</v>
      </c>
      <c r="BC48" s="1133"/>
      <c r="BD48" s="1115">
        <f>+BD45+BD47</f>
        <v>289500.75949367089</v>
      </c>
      <c r="BE48" s="1787"/>
      <c r="BF48" s="66">
        <f>+BF45+BF47</f>
        <v>509964.55696202529</v>
      </c>
    </row>
    <row r="49" spans="3:58" ht="15" hidden="1" customHeight="1" x14ac:dyDescent="0.25"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</row>
    <row r="50" spans="3:58" ht="15" hidden="1" customHeight="1" x14ac:dyDescent="0.25"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</row>
    <row r="51" spans="3:58" s="1386" customFormat="1" ht="15" hidden="1" customHeight="1" x14ac:dyDescent="0.25">
      <c r="C51" s="1438" t="s">
        <v>581</v>
      </c>
      <c r="D51" s="147" t="s">
        <v>53</v>
      </c>
      <c r="E51" s="945"/>
      <c r="F51" s="341">
        <f>+F21*(1-F23/100)</f>
        <v>4053.0000000000005</v>
      </c>
      <c r="G51" s="945"/>
      <c r="H51" s="341">
        <f>+H21*(1-H23/100)</f>
        <v>3609</v>
      </c>
      <c r="I51" s="1320"/>
      <c r="J51" s="63">
        <f>+J21*(1-J23/100)</f>
        <v>7662</v>
      </c>
      <c r="K51" s="945"/>
      <c r="L51" s="341">
        <f>+L21*(1-L23/100)</f>
        <v>9580</v>
      </c>
      <c r="M51" s="901"/>
      <c r="N51" s="154">
        <f>+N21*(1-N23/100)</f>
        <v>17242</v>
      </c>
      <c r="O51" s="945"/>
      <c r="P51" s="341">
        <f>+P21*(1-P23/100)</f>
        <v>9066</v>
      </c>
      <c r="Q51" s="1320"/>
      <c r="R51" s="63">
        <f>+R21*(1-R23/100)</f>
        <v>26308</v>
      </c>
      <c r="S51" s="945"/>
      <c r="T51" s="341">
        <f>+T21*(1-T23/100)</f>
        <v>7638.0000000000009</v>
      </c>
      <c r="U51" s="1729"/>
      <c r="V51" s="63">
        <f>+V21*(1-V23/100)</f>
        <v>33946</v>
      </c>
      <c r="W51" s="945"/>
      <c r="X51" s="341">
        <f>+X21*(1-X23/100)</f>
        <v>8255</v>
      </c>
      <c r="Y51" s="901"/>
      <c r="Z51" s="901">
        <f>+Z21*(1-Z23/100)</f>
        <v>24959.000000000004</v>
      </c>
      <c r="AA51" s="1133"/>
      <c r="AB51" s="1281">
        <f>+AB21*(1-AB23/100)</f>
        <v>42200.999999999993</v>
      </c>
      <c r="AC51" s="945"/>
      <c r="AD51" s="341">
        <f>+AD21*(1-AD23/100)</f>
        <v>8521</v>
      </c>
      <c r="AE51" s="1787"/>
      <c r="AF51" s="63">
        <f>+AF21*(1-AF23/100)</f>
        <v>50722.000000000007</v>
      </c>
      <c r="AG51" s="945"/>
      <c r="AH51" s="341">
        <f>+AH21*(1-AH23/100)</f>
        <v>8427</v>
      </c>
      <c r="AI51" s="1787"/>
      <c r="AJ51" s="63">
        <f>+AJ21*(1-AJ23/100)</f>
        <v>59149</v>
      </c>
      <c r="AK51" s="945"/>
      <c r="AL51" s="341">
        <f>+AL21*(1-AL23/100)</f>
        <v>7769</v>
      </c>
      <c r="AM51" s="1788"/>
      <c r="AN51" s="1788">
        <f>+AN21*(1-AN23/100)</f>
        <v>24717.000000000004</v>
      </c>
      <c r="AO51" s="1787"/>
      <c r="AP51" s="63">
        <f>+AP21*(1-AP23/100)</f>
        <v>66917.999999999985</v>
      </c>
      <c r="AQ51" s="945"/>
      <c r="AR51" s="341">
        <f>+AR21*(1-AR23/100)</f>
        <v>7661</v>
      </c>
      <c r="AS51" s="1787"/>
      <c r="AT51" s="63">
        <f>+AT21*(1-AT23/100)</f>
        <v>74579</v>
      </c>
      <c r="AU51" s="945"/>
      <c r="AV51" s="341">
        <f>+AV21*(1-AV23/100)</f>
        <v>7941</v>
      </c>
      <c r="AW51" s="1787"/>
      <c r="AX51" s="63">
        <f>+AX21*(1-AX23/100)</f>
        <v>82520</v>
      </c>
      <c r="AY51" s="945"/>
      <c r="AZ51" s="341">
        <f>+AZ21*(1-AZ23/100)</f>
        <v>13530</v>
      </c>
      <c r="BA51" s="1788"/>
      <c r="BB51" s="1788">
        <f>+BB21*(1-BB23/100)</f>
        <v>29131.999999999996</v>
      </c>
      <c r="BC51" s="1133"/>
      <c r="BD51" s="1281">
        <f>+BD21*(1-BD23/100)</f>
        <v>53849</v>
      </c>
      <c r="BE51" s="1787"/>
      <c r="BF51" s="63">
        <f>+BF21*(1-BF23/100)</f>
        <v>96050</v>
      </c>
    </row>
    <row r="52" spans="3:58" s="1386" customFormat="1" ht="15" hidden="1" customHeight="1" x14ac:dyDescent="0.25">
      <c r="C52" s="1438" t="s">
        <v>1262</v>
      </c>
      <c r="D52" s="229" t="s">
        <v>53</v>
      </c>
      <c r="E52" s="945"/>
      <c r="F52" s="341">
        <f>+F22</f>
        <v>1002</v>
      </c>
      <c r="G52" s="945"/>
      <c r="H52" s="341">
        <f>+H22</f>
        <v>1872</v>
      </c>
      <c r="I52" s="1320"/>
      <c r="J52" s="63">
        <f>+J22</f>
        <v>2874</v>
      </c>
      <c r="K52" s="945"/>
      <c r="L52" s="341">
        <f>+L22</f>
        <v>3730</v>
      </c>
      <c r="M52" s="901"/>
      <c r="N52" s="154">
        <f>+N22</f>
        <v>6604</v>
      </c>
      <c r="O52" s="945"/>
      <c r="P52" s="341">
        <f>+P22</f>
        <v>4797</v>
      </c>
      <c r="Q52" s="1320"/>
      <c r="R52" s="63">
        <f>+R22</f>
        <v>11401</v>
      </c>
      <c r="S52" s="945"/>
      <c r="T52" s="341">
        <f>+T22</f>
        <v>1683</v>
      </c>
      <c r="U52" s="1729"/>
      <c r="V52" s="63">
        <f>+V22</f>
        <v>13084</v>
      </c>
      <c r="W52" s="945"/>
      <c r="X52" s="341">
        <f>+X22</f>
        <v>3780</v>
      </c>
      <c r="Y52" s="901"/>
      <c r="Z52" s="901">
        <f>+Z22</f>
        <v>10260</v>
      </c>
      <c r="AA52" s="1133"/>
      <c r="AB52" s="1281">
        <f>+AB22</f>
        <v>16864</v>
      </c>
      <c r="AC52" s="945"/>
      <c r="AD52" s="341">
        <f>+AD22</f>
        <v>5479</v>
      </c>
      <c r="AE52" s="1787"/>
      <c r="AF52" s="63">
        <f>+AF22</f>
        <v>22343</v>
      </c>
      <c r="AG52" s="945"/>
      <c r="AH52" s="341">
        <f>+AH22</f>
        <v>3273</v>
      </c>
      <c r="AI52" s="1787"/>
      <c r="AJ52" s="63">
        <f>+AJ22</f>
        <v>25616</v>
      </c>
      <c r="AK52" s="945"/>
      <c r="AL52" s="341">
        <f>+AL22</f>
        <v>7169</v>
      </c>
      <c r="AM52" s="1788"/>
      <c r="AN52" s="1788">
        <f>+AN22</f>
        <v>15921</v>
      </c>
      <c r="AO52" s="1787"/>
      <c r="AP52" s="63">
        <f>+AP22</f>
        <v>32785</v>
      </c>
      <c r="AQ52" s="945"/>
      <c r="AR52" s="341">
        <f>+AR22</f>
        <v>5393</v>
      </c>
      <c r="AS52" s="1787"/>
      <c r="AT52" s="63">
        <f>+AT22</f>
        <v>38178</v>
      </c>
      <c r="AU52" s="945"/>
      <c r="AV52" s="341">
        <f>+AV22</f>
        <v>3500</v>
      </c>
      <c r="AW52" s="1787"/>
      <c r="AX52" s="63">
        <f>+AX22</f>
        <v>41678</v>
      </c>
      <c r="AY52" s="945"/>
      <c r="AZ52" s="341">
        <f>+AZ22</f>
        <v>7770</v>
      </c>
      <c r="BA52" s="1788"/>
      <c r="BB52" s="1788">
        <f>+BB22</f>
        <v>16663</v>
      </c>
      <c r="BC52" s="1133"/>
      <c r="BD52" s="1281">
        <f>+BD22</f>
        <v>32584</v>
      </c>
      <c r="BE52" s="1787"/>
      <c r="BF52" s="63">
        <f>+BF22</f>
        <v>49448</v>
      </c>
    </row>
    <row r="53" spans="3:58" ht="15" hidden="1" customHeight="1" x14ac:dyDescent="0.25">
      <c r="C53" s="1438" t="s">
        <v>1263</v>
      </c>
      <c r="D53" s="147" t="s">
        <v>53</v>
      </c>
      <c r="E53" s="945"/>
      <c r="F53" s="341">
        <f>SUM(F51:F52)</f>
        <v>5055</v>
      </c>
      <c r="G53" s="945"/>
      <c r="H53" s="341">
        <f>SUM(H51:H52)</f>
        <v>5481</v>
      </c>
      <c r="I53" s="1320"/>
      <c r="J53" s="63">
        <f>SUM(J51:J52)</f>
        <v>10536</v>
      </c>
      <c r="K53" s="945"/>
      <c r="L53" s="341">
        <f>SUM(L51:L52)</f>
        <v>13310</v>
      </c>
      <c r="M53" s="901"/>
      <c r="N53" s="154">
        <f>SUM(N51:N52)</f>
        <v>23846</v>
      </c>
      <c r="O53" s="945"/>
      <c r="P53" s="341">
        <f>SUM(P51:P52)</f>
        <v>13863</v>
      </c>
      <c r="Q53" s="1320"/>
      <c r="R53" s="63">
        <f>SUM(R51:R52)</f>
        <v>37709</v>
      </c>
      <c r="S53" s="945"/>
      <c r="T53" s="341">
        <f>SUM(T51:T52)</f>
        <v>9321</v>
      </c>
      <c r="U53" s="1729"/>
      <c r="V53" s="63">
        <f>SUM(V51:V52)</f>
        <v>47030</v>
      </c>
      <c r="W53" s="945"/>
      <c r="X53" s="341">
        <f>SUM(X51:X52)</f>
        <v>12035</v>
      </c>
      <c r="Y53" s="901"/>
      <c r="Z53" s="901">
        <f>SUM(Z51:Z52)</f>
        <v>35219</v>
      </c>
      <c r="AA53" s="1133"/>
      <c r="AB53" s="1281">
        <f>SUM(AB51:AB52)</f>
        <v>59064.999999999993</v>
      </c>
      <c r="AC53" s="945"/>
      <c r="AD53" s="341">
        <f>SUM(AD51:AD52)</f>
        <v>14000</v>
      </c>
      <c r="AE53" s="1787"/>
      <c r="AF53" s="63">
        <f>SUM(AF51:AF52)</f>
        <v>73065</v>
      </c>
      <c r="AG53" s="945"/>
      <c r="AH53" s="341">
        <f>SUM(AH51:AH52)</f>
        <v>11700</v>
      </c>
      <c r="AI53" s="1787"/>
      <c r="AJ53" s="63">
        <f>SUM(AJ51:AJ52)</f>
        <v>84765</v>
      </c>
      <c r="AK53" s="945"/>
      <c r="AL53" s="341">
        <f>SUM(AL51:AL52)</f>
        <v>14938</v>
      </c>
      <c r="AM53" s="1788"/>
      <c r="AN53" s="1788">
        <f>SUM(AN51:AN52)</f>
        <v>40638</v>
      </c>
      <c r="AO53" s="1787"/>
      <c r="AP53" s="63">
        <f>SUM(AP51:AP52)</f>
        <v>99702.999999999985</v>
      </c>
      <c r="AQ53" s="945"/>
      <c r="AR53" s="341">
        <f>SUM(AR51:AR52)</f>
        <v>13054</v>
      </c>
      <c r="AS53" s="1787"/>
      <c r="AT53" s="63">
        <f>SUM(AT51:AT52)</f>
        <v>112757</v>
      </c>
      <c r="AU53" s="945"/>
      <c r="AV53" s="341">
        <f>SUM(AV51:AV52)</f>
        <v>11441</v>
      </c>
      <c r="AW53" s="1787"/>
      <c r="AX53" s="63">
        <f>SUM(AX51:AX52)</f>
        <v>124198</v>
      </c>
      <c r="AY53" s="945"/>
      <c r="AZ53" s="341">
        <f>SUM(AZ51:AZ52)</f>
        <v>21300</v>
      </c>
      <c r="BA53" s="1788"/>
      <c r="BB53" s="1788">
        <f>SUM(BB51:BB52)</f>
        <v>45795</v>
      </c>
      <c r="BC53" s="1133"/>
      <c r="BD53" s="1281">
        <f>SUM(BD51:BD52)</f>
        <v>86433</v>
      </c>
      <c r="BE53" s="1787"/>
      <c r="BF53" s="63">
        <f>SUM(BF51:BF52)</f>
        <v>145498</v>
      </c>
    </row>
    <row r="54" spans="3:58" ht="15" hidden="1" customHeight="1" x14ac:dyDescent="0.25">
      <c r="C54" s="1438" t="s">
        <v>238</v>
      </c>
      <c r="D54" s="147" t="s">
        <v>52</v>
      </c>
      <c r="E54" s="945"/>
      <c r="F54" s="1436">
        <v>1.25</v>
      </c>
      <c r="G54" s="331"/>
      <c r="H54" s="1436">
        <v>1.25</v>
      </c>
      <c r="I54" s="321"/>
      <c r="J54" s="68">
        <v>1.25</v>
      </c>
      <c r="K54" s="331"/>
      <c r="L54" s="1436">
        <v>1.25</v>
      </c>
      <c r="M54" s="320"/>
      <c r="N54" s="1440">
        <v>1.25</v>
      </c>
      <c r="O54" s="331"/>
      <c r="P54" s="1436">
        <v>1.25</v>
      </c>
      <c r="Q54" s="321"/>
      <c r="R54" s="68">
        <v>1.25</v>
      </c>
      <c r="S54" s="331"/>
      <c r="T54" s="1436">
        <v>1.25</v>
      </c>
      <c r="U54" s="321"/>
      <c r="V54" s="68">
        <v>1.25</v>
      </c>
      <c r="W54" s="331"/>
      <c r="X54" s="1436">
        <v>1.25</v>
      </c>
      <c r="Y54" s="320"/>
      <c r="Z54" s="320">
        <v>1.25</v>
      </c>
      <c r="AA54" s="1280"/>
      <c r="AB54" s="1441">
        <v>1.25</v>
      </c>
      <c r="AC54" s="331"/>
      <c r="AD54" s="1436">
        <v>1.25</v>
      </c>
      <c r="AE54" s="321"/>
      <c r="AF54" s="68">
        <v>1.25</v>
      </c>
      <c r="AG54" s="331"/>
      <c r="AH54" s="1436">
        <v>1.25</v>
      </c>
      <c r="AI54" s="321"/>
      <c r="AJ54" s="68">
        <v>1.25</v>
      </c>
      <c r="AK54" s="331"/>
      <c r="AL54" s="1436">
        <v>1.25</v>
      </c>
      <c r="AM54" s="320"/>
      <c r="AN54" s="320">
        <v>1.25</v>
      </c>
      <c r="AO54" s="321"/>
      <c r="AP54" s="68">
        <v>1.25</v>
      </c>
      <c r="AQ54" s="331"/>
      <c r="AR54" s="1436">
        <v>1.25</v>
      </c>
      <c r="AS54" s="321"/>
      <c r="AT54" s="68">
        <v>1.25</v>
      </c>
      <c r="AU54" s="331"/>
      <c r="AV54" s="1436">
        <v>1.25</v>
      </c>
      <c r="AW54" s="321"/>
      <c r="AX54" s="68">
        <v>1.25</v>
      </c>
      <c r="AY54" s="331"/>
      <c r="AZ54" s="1436">
        <v>1.25</v>
      </c>
      <c r="BA54" s="320"/>
      <c r="BB54" s="320">
        <v>1.25</v>
      </c>
      <c r="BC54" s="1280"/>
      <c r="BD54" s="1441">
        <v>1.25</v>
      </c>
      <c r="BE54" s="321"/>
      <c r="BF54" s="68">
        <v>1.25</v>
      </c>
    </row>
    <row r="55" spans="3:58" ht="15" hidden="1" customHeight="1" x14ac:dyDescent="0.25">
      <c r="C55" s="1438" t="s">
        <v>238</v>
      </c>
      <c r="D55" s="147" t="s">
        <v>53</v>
      </c>
      <c r="E55" s="945"/>
      <c r="F55" s="1443">
        <f>+F53*F54/(100-F54)</f>
        <v>63.9873417721519</v>
      </c>
      <c r="G55" s="945"/>
      <c r="H55" s="1443">
        <f>+H53*H54/(100-H54)</f>
        <v>69.379746835443044</v>
      </c>
      <c r="I55" s="1320"/>
      <c r="J55" s="66">
        <f>+J53*J54/(100-J54)</f>
        <v>133.36708860759492</v>
      </c>
      <c r="K55" s="945"/>
      <c r="L55" s="1443">
        <f>+L53*L54/(100-L54)</f>
        <v>168.48101265822785</v>
      </c>
      <c r="M55" s="901"/>
      <c r="N55" s="155">
        <f>+N53*N54/(100-N54)</f>
        <v>301.84810126582278</v>
      </c>
      <c r="O55" s="945"/>
      <c r="P55" s="1443">
        <f>+P53*P54/(100-P54)</f>
        <v>175.48101265822785</v>
      </c>
      <c r="Q55" s="1320"/>
      <c r="R55" s="66">
        <f>+R53*R54/(100-R54)</f>
        <v>477.32911392405066</v>
      </c>
      <c r="S55" s="945"/>
      <c r="T55" s="1443">
        <f>+T53*T54/(100-T54)</f>
        <v>117.98734177215189</v>
      </c>
      <c r="U55" s="1729"/>
      <c r="V55" s="66">
        <f>+V53*V54/(100-V54)</f>
        <v>595.31645569620252</v>
      </c>
      <c r="W55" s="945"/>
      <c r="X55" s="1443">
        <f>+X53*X54/(100-X54)</f>
        <v>152.34177215189874</v>
      </c>
      <c r="Y55" s="901"/>
      <c r="Z55" s="901">
        <f>+Z53*Z54/(100-Z54)</f>
        <v>445.81012658227849</v>
      </c>
      <c r="AA55" s="1133"/>
      <c r="AB55" s="1115">
        <f>+AB53*AB54/(100-AB54)</f>
        <v>747.65822784810109</v>
      </c>
      <c r="AC55" s="945"/>
      <c r="AD55" s="1443">
        <f>+AD53*AD54/(100-AD54)</f>
        <v>177.21518987341773</v>
      </c>
      <c r="AE55" s="1787"/>
      <c r="AF55" s="66">
        <f>+AF53*AF54/(100-AF54)</f>
        <v>924.87341772151899</v>
      </c>
      <c r="AG55" s="945"/>
      <c r="AH55" s="1443">
        <f>+AH53*AH54/(100-AH54)</f>
        <v>148.1012658227848</v>
      </c>
      <c r="AI55" s="1787"/>
      <c r="AJ55" s="66">
        <f>+AJ53*AJ54/(100-AJ54)</f>
        <v>1072.9746835443038</v>
      </c>
      <c r="AK55" s="945"/>
      <c r="AL55" s="1443">
        <f>+AL53*AL54/(100-AL54)</f>
        <v>189.08860759493672</v>
      </c>
      <c r="AM55" s="1788"/>
      <c r="AN55" s="1788">
        <f>+AN53*AN54/(100-AN54)</f>
        <v>514.40506329113919</v>
      </c>
      <c r="AO55" s="1787"/>
      <c r="AP55" s="66">
        <f>+AP53*AP54/(100-AP54)</f>
        <v>1262.0632911392404</v>
      </c>
      <c r="AQ55" s="945"/>
      <c r="AR55" s="1443">
        <f>+AR53*AR54/(100-AR54)</f>
        <v>165.24050632911391</v>
      </c>
      <c r="AS55" s="1787"/>
      <c r="AT55" s="66">
        <f>+AT53*AT54/(100-AT54)</f>
        <v>1427.3037974683543</v>
      </c>
      <c r="AU55" s="945"/>
      <c r="AV55" s="1443">
        <f>+AV53*AV54/(100-AV54)</f>
        <v>144.82278481012659</v>
      </c>
      <c r="AW55" s="1787"/>
      <c r="AX55" s="66">
        <f>+AX53*AX54/(100-AX54)</f>
        <v>1572.126582278481</v>
      </c>
      <c r="AY55" s="945"/>
      <c r="AZ55" s="1443">
        <f>+AZ53*AZ54/(100-AZ54)</f>
        <v>269.62025316455697</v>
      </c>
      <c r="BA55" s="1788"/>
      <c r="BB55" s="1788">
        <f>+BB53*BB54/(100-BB54)</f>
        <v>579.68354430379748</v>
      </c>
      <c r="BC55" s="1133"/>
      <c r="BD55" s="1115">
        <f>+BD53*BD54/(100-BD54)</f>
        <v>1094.0886075949368</v>
      </c>
      <c r="BE55" s="1787"/>
      <c r="BF55" s="66">
        <f>+BF53*BF54/(100-BF54)</f>
        <v>1841.746835443038</v>
      </c>
    </row>
    <row r="56" spans="3:58" ht="15" hidden="1" customHeight="1" x14ac:dyDescent="0.25">
      <c r="C56" s="1438" t="s">
        <v>23</v>
      </c>
      <c r="D56" s="147" t="s">
        <v>53</v>
      </c>
      <c r="E56" s="945"/>
      <c r="F56" s="1443">
        <f>+F53+F55</f>
        <v>5118.9873417721519</v>
      </c>
      <c r="G56" s="945"/>
      <c r="H56" s="1443">
        <f>+H53+H55</f>
        <v>5550.3797468354433</v>
      </c>
      <c r="I56" s="1320"/>
      <c r="J56" s="66">
        <f>+J53+J55</f>
        <v>10669.367088607594</v>
      </c>
      <c r="K56" s="945"/>
      <c r="L56" s="1443">
        <f>+L53+L55</f>
        <v>13478.481012658227</v>
      </c>
      <c r="M56" s="901"/>
      <c r="N56" s="155">
        <f>+N53+N55</f>
        <v>24147.848101265823</v>
      </c>
      <c r="O56" s="945"/>
      <c r="P56" s="1443">
        <f>+P53+P55</f>
        <v>14038.481012658227</v>
      </c>
      <c r="Q56" s="1320"/>
      <c r="R56" s="66">
        <f>+R53+R55</f>
        <v>38186.329113924054</v>
      </c>
      <c r="S56" s="945"/>
      <c r="T56" s="1443">
        <f>+T53+T55</f>
        <v>9438.9873417721519</v>
      </c>
      <c r="U56" s="1729"/>
      <c r="V56" s="66">
        <f>+V53+V55</f>
        <v>47625.3164556962</v>
      </c>
      <c r="W56" s="945"/>
      <c r="X56" s="1443">
        <f>+X53+X55</f>
        <v>12187.341772151898</v>
      </c>
      <c r="Y56" s="901"/>
      <c r="Z56" s="901">
        <f>+Z53+Z55</f>
        <v>35664.810126582277</v>
      </c>
      <c r="AA56" s="1133"/>
      <c r="AB56" s="1115">
        <f>+AB53+AB55</f>
        <v>59812.658227848093</v>
      </c>
      <c r="AC56" s="945"/>
      <c r="AD56" s="1443">
        <f>+AD53+AD55</f>
        <v>14177.215189873417</v>
      </c>
      <c r="AE56" s="1787"/>
      <c r="AF56" s="66">
        <f>+AF53+AF55</f>
        <v>73989.873417721523</v>
      </c>
      <c r="AG56" s="945"/>
      <c r="AH56" s="1443">
        <f>+AH53+AH55</f>
        <v>11848.101265822785</v>
      </c>
      <c r="AI56" s="1787"/>
      <c r="AJ56" s="66">
        <f>+AJ53+AJ55</f>
        <v>85837.974683544307</v>
      </c>
      <c r="AK56" s="945"/>
      <c r="AL56" s="1443">
        <f>+AL53+AL55</f>
        <v>15127.088607594937</v>
      </c>
      <c r="AM56" s="1788"/>
      <c r="AN56" s="1788">
        <f>+AN53+AN55</f>
        <v>41152.405063291139</v>
      </c>
      <c r="AO56" s="1787"/>
      <c r="AP56" s="66">
        <f>+AP53+AP55</f>
        <v>100965.06329113923</v>
      </c>
      <c r="AQ56" s="945"/>
      <c r="AR56" s="1443">
        <f>+AR53+AR55</f>
        <v>13219.240506329113</v>
      </c>
      <c r="AS56" s="1787"/>
      <c r="AT56" s="66">
        <f>+AT53+AT55</f>
        <v>114184.30379746835</v>
      </c>
      <c r="AU56" s="945"/>
      <c r="AV56" s="1443">
        <f>+AV53+AV55</f>
        <v>11585.822784810127</v>
      </c>
      <c r="AW56" s="1787"/>
      <c r="AX56" s="66">
        <f>+AX53+AX55</f>
        <v>125770.12658227848</v>
      </c>
      <c r="AY56" s="945"/>
      <c r="AZ56" s="1443">
        <f>+AZ53+AZ55</f>
        <v>21569.620253164558</v>
      </c>
      <c r="BA56" s="1788"/>
      <c r="BB56" s="1788">
        <f>+BB53+BB55</f>
        <v>46374.6835443038</v>
      </c>
      <c r="BC56" s="1133"/>
      <c r="BD56" s="1115">
        <f>+BD53+BD55</f>
        <v>87527.088607594938</v>
      </c>
      <c r="BE56" s="1787"/>
      <c r="BF56" s="66">
        <f>+BF53+BF55</f>
        <v>147339.74683544305</v>
      </c>
    </row>
    <row r="57" spans="3:58" ht="15" hidden="1" customHeight="1" x14ac:dyDescent="0.25"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</row>
    <row r="58" spans="3:58" ht="15" hidden="1" customHeight="1" x14ac:dyDescent="0.25">
      <c r="C58" s="1437" t="s">
        <v>1269</v>
      </c>
      <c r="D58" s="147" t="s">
        <v>53</v>
      </c>
      <c r="E58" s="47"/>
      <c r="F58" s="1443">
        <f>+SMS!F67</f>
        <v>7590</v>
      </c>
      <c r="G58" s="945"/>
      <c r="H58" s="1443">
        <f>+SMS!H67</f>
        <v>5020</v>
      </c>
      <c r="I58" s="1320"/>
      <c r="J58" s="66">
        <f>+SMS!J67</f>
        <v>12610</v>
      </c>
      <c r="K58" s="945"/>
      <c r="L58" s="1443">
        <f>+SMS!L67</f>
        <v>14281</v>
      </c>
      <c r="M58" s="901"/>
      <c r="N58" s="155">
        <f>+SMS!N67</f>
        <v>26891</v>
      </c>
      <c r="O58" s="945"/>
      <c r="P58" s="1443">
        <f>+SMS!P67</f>
        <v>12774</v>
      </c>
      <c r="Q58" s="1320"/>
      <c r="R58" s="66">
        <f>+SMS!R67</f>
        <v>39665</v>
      </c>
      <c r="S58" s="945"/>
      <c r="T58" s="1443">
        <f>+SMS!T67</f>
        <v>12538</v>
      </c>
      <c r="U58" s="1729"/>
      <c r="V58" s="66">
        <f>+SMS!V67</f>
        <v>52203</v>
      </c>
      <c r="W58" s="945"/>
      <c r="X58" s="1443">
        <f>+SMS!X67</f>
        <v>12286</v>
      </c>
      <c r="Y58" s="901"/>
      <c r="Z58" s="901">
        <f>+SMS!Z67</f>
        <v>37598</v>
      </c>
      <c r="AA58" s="1133"/>
      <c r="AB58" s="1115">
        <f>+SMS!AB67</f>
        <v>64489</v>
      </c>
      <c r="AC58" s="945"/>
      <c r="AD58" s="1443">
        <f>+SMS!AD67</f>
        <v>13881</v>
      </c>
      <c r="AE58" s="1787"/>
      <c r="AF58" s="66">
        <f>+SMS!AF67</f>
        <v>78370</v>
      </c>
      <c r="AG58" s="945"/>
      <c r="AH58" s="1443">
        <f>+SMS!AH67</f>
        <v>12610</v>
      </c>
      <c r="AI58" s="1787"/>
      <c r="AJ58" s="66">
        <f>+SMS!AJ67</f>
        <v>90980</v>
      </c>
      <c r="AK58" s="945"/>
      <c r="AL58" s="1443">
        <f>+SMS!AL67</f>
        <v>14355.51</v>
      </c>
      <c r="AM58" s="1788"/>
      <c r="AN58" s="1788">
        <f>+SMS!AN67</f>
        <v>40846.51</v>
      </c>
      <c r="AO58" s="1787"/>
      <c r="AP58" s="66">
        <f>+SMS!AN67</f>
        <v>40846.51</v>
      </c>
      <c r="AQ58" s="945"/>
      <c r="AR58" s="1443">
        <f>+SMS!AR67</f>
        <v>13849</v>
      </c>
      <c r="AS58" s="1787"/>
      <c r="AT58" s="66">
        <f>+SMS!AT67</f>
        <v>119184.51</v>
      </c>
      <c r="AU58" s="945"/>
      <c r="AV58" s="1443">
        <f>+SMS!AV67</f>
        <v>11480</v>
      </c>
      <c r="AW58" s="1787"/>
      <c r="AX58" s="66">
        <f>+SMS!AX67</f>
        <v>130664.51</v>
      </c>
      <c r="AY58" s="945"/>
      <c r="AZ58" s="1443">
        <f>+SMS!AZ67</f>
        <v>14275</v>
      </c>
      <c r="BA58" s="1788"/>
      <c r="BB58" s="1788">
        <f>+SMS!BB67</f>
        <v>39604</v>
      </c>
      <c r="BC58" s="1133"/>
      <c r="BD58" s="1115">
        <f>+SMS!AZ67</f>
        <v>14275</v>
      </c>
      <c r="BE58" s="1787"/>
      <c r="BF58" s="66">
        <f>+SMS!BB67</f>
        <v>39604</v>
      </c>
    </row>
    <row r="59" spans="3:58" ht="15" hidden="1" customHeight="1" x14ac:dyDescent="0.25">
      <c r="C59" s="1437" t="s">
        <v>1268</v>
      </c>
      <c r="D59" s="147" t="s">
        <v>52</v>
      </c>
      <c r="E59" s="47"/>
      <c r="F59" s="1443">
        <f>+F14</f>
        <v>52.15141351221849</v>
      </c>
      <c r="G59" s="945"/>
      <c r="H59" s="1443">
        <f t="shared" ref="H59:AB59" si="53">+H14</f>
        <v>25.863294017336933</v>
      </c>
      <c r="I59" s="1320"/>
      <c r="J59" s="66">
        <f t="shared" si="53"/>
        <v>41.563644688644693</v>
      </c>
      <c r="K59" s="945"/>
      <c r="L59" s="1443">
        <f t="shared" si="53"/>
        <v>28.799130592284005</v>
      </c>
      <c r="M59" s="901"/>
      <c r="N59" s="155">
        <f t="shared" si="53"/>
        <v>34.437253514005462</v>
      </c>
      <c r="O59" s="945"/>
      <c r="P59" s="1443">
        <f t="shared" si="53"/>
        <v>32.038687462021471</v>
      </c>
      <c r="Q59" s="1320"/>
      <c r="R59" s="66">
        <f t="shared" si="53"/>
        <v>33.638540401996494</v>
      </c>
      <c r="S59" s="945"/>
      <c r="T59" s="1443">
        <f t="shared" ref="T59" si="54">+T14</f>
        <v>37.868328868740988</v>
      </c>
      <c r="U59" s="1729"/>
      <c r="V59" s="66">
        <f t="shared" ref="V59" si="55">+V14</f>
        <v>34.681640327252403</v>
      </c>
      <c r="W59" s="945"/>
      <c r="X59" s="1443">
        <f t="shared" si="53"/>
        <v>33.302190387210629</v>
      </c>
      <c r="Y59" s="901"/>
      <c r="Z59" s="901">
        <f t="shared" si="53"/>
        <v>34.392222640605205</v>
      </c>
      <c r="AA59" s="1133"/>
      <c r="AB59" s="1115">
        <f t="shared" si="53"/>
        <v>34.410401910555002</v>
      </c>
      <c r="AC59" s="945"/>
      <c r="AD59" s="1443">
        <f t="shared" ref="AD59" si="56">+AD14</f>
        <v>36.06479727169382</v>
      </c>
      <c r="AE59" s="1787"/>
      <c r="AF59" s="66">
        <f t="shared" ref="AF59" si="57">+AF14</f>
        <v>34.703679446487648</v>
      </c>
      <c r="AG59" s="945"/>
      <c r="AH59" s="1443">
        <f t="shared" ref="AH59" si="58">+AH14</f>
        <v>34.988769653107063</v>
      </c>
      <c r="AI59" s="1787"/>
      <c r="AJ59" s="66">
        <f t="shared" ref="AJ59" si="59">+AJ14</f>
        <v>34.744733305062212</v>
      </c>
      <c r="AK59" s="945"/>
      <c r="AL59" s="1443">
        <f t="shared" ref="AL59" si="60">+AL14</f>
        <v>35.520863448010019</v>
      </c>
      <c r="AM59" s="1788"/>
      <c r="AN59" s="1788">
        <f t="shared" ref="AN59" si="61">+AN14</f>
        <v>35.534159383531765</v>
      </c>
      <c r="AO59" s="1787"/>
      <c r="AP59" s="66">
        <f t="shared" ref="AP59" si="62">+AP14</f>
        <v>34.84548075780414</v>
      </c>
      <c r="AQ59" s="945"/>
      <c r="AR59" s="1443">
        <f t="shared" ref="AR59" si="63">+AR14</f>
        <v>37.827801210342933</v>
      </c>
      <c r="AS59" s="1787"/>
      <c r="AT59" s="66">
        <f t="shared" ref="AT59" si="64">+AT14</f>
        <v>35.203500371501697</v>
      </c>
      <c r="AU59" s="945"/>
      <c r="AV59" s="1443">
        <f t="shared" ref="AV59" si="65">+AV14</f>
        <v>38.959927507047922</v>
      </c>
      <c r="AW59" s="1787"/>
      <c r="AX59" s="66">
        <f t="shared" ref="AX59" si="66">+AX14</f>
        <v>35.573702985230135</v>
      </c>
      <c r="AY59" s="945"/>
      <c r="AZ59" s="1443">
        <f t="shared" ref="AZ59" si="67">+AZ14</f>
        <v>37.740798073615409</v>
      </c>
      <c r="BA59" s="1788"/>
      <c r="BB59" s="1788">
        <f t="shared" ref="BB59" si="68">+BB14</f>
        <v>38.142980348672459</v>
      </c>
      <c r="BC59" s="1133"/>
      <c r="BD59" s="1115">
        <f t="shared" ref="BD59:BF59" si="69">+BD14</f>
        <v>36.869742101818929</v>
      </c>
      <c r="BE59" s="1787"/>
      <c r="BF59" s="66">
        <f t="shared" si="69"/>
        <v>35.797878255454485</v>
      </c>
    </row>
    <row r="60" spans="3:58" ht="15" hidden="1" customHeight="1" x14ac:dyDescent="0.25">
      <c r="C60" s="1437" t="s">
        <v>1270</v>
      </c>
      <c r="D60" s="147" t="s">
        <v>53</v>
      </c>
      <c r="E60" s="47"/>
      <c r="F60" s="1443">
        <f>+F59*F58/(100-F59)</f>
        <v>8272.5375525736017</v>
      </c>
      <c r="G60" s="945"/>
      <c r="H60" s="1443">
        <f t="shared" ref="H60:AB60" si="70">+H59*H58/(100-H59)</f>
        <v>1751.2746789342532</v>
      </c>
      <c r="I60" s="1320"/>
      <c r="J60" s="66">
        <f t="shared" si="70"/>
        <v>8969.032321253675</v>
      </c>
      <c r="K60" s="945"/>
      <c r="L60" s="1443">
        <f t="shared" si="70"/>
        <v>5776.3393538539804</v>
      </c>
      <c r="M60" s="901"/>
      <c r="N60" s="155">
        <f t="shared" si="70"/>
        <v>14124.670394077273</v>
      </c>
      <c r="O60" s="945"/>
      <c r="P60" s="1443">
        <f t="shared" si="70"/>
        <v>6021.9877803442369</v>
      </c>
      <c r="Q60" s="1320"/>
      <c r="R60" s="66">
        <f t="shared" si="70"/>
        <v>20106.138610087663</v>
      </c>
      <c r="S60" s="945"/>
      <c r="T60" s="1443">
        <f t="shared" ref="T60" si="71">+T59*T58/(100-T59)</f>
        <v>7641.7244009617789</v>
      </c>
      <c r="U60" s="1729"/>
      <c r="V60" s="66">
        <f t="shared" ref="V60" si="72">+V59*V58/(100-V59)</f>
        <v>27717.867978839276</v>
      </c>
      <c r="W60" s="945"/>
      <c r="X60" s="1443">
        <f t="shared" si="70"/>
        <v>6134.3950194552526</v>
      </c>
      <c r="Y60" s="901"/>
      <c r="Z60" s="901">
        <f t="shared" si="70"/>
        <v>19709.230199311278</v>
      </c>
      <c r="AA60" s="1133"/>
      <c r="AB60" s="1115">
        <f t="shared" si="70"/>
        <v>33832.992935611372</v>
      </c>
      <c r="AC60" s="945"/>
      <c r="AD60" s="1443">
        <f t="shared" ref="AD60" si="73">+AD59*AD58/(100-AD59)</f>
        <v>7830.0440065194834</v>
      </c>
      <c r="AE60" s="1787"/>
      <c r="AF60" s="66">
        <f t="shared" ref="AF60" si="74">+AF59*AF58/(100-AF59)</f>
        <v>41652.076796461093</v>
      </c>
      <c r="AG60" s="945"/>
      <c r="AH60" s="1443">
        <f t="shared" ref="AH60" si="75">+AH59*AH58/(100-AH59)</f>
        <v>6786.6487523992319</v>
      </c>
      <c r="AI60" s="1787"/>
      <c r="AJ60" s="66">
        <f t="shared" ref="AJ60" si="76">+AJ59*AJ58/(100-AJ59)</f>
        <v>48441.696681316025</v>
      </c>
      <c r="AK60" s="945"/>
      <c r="AL60" s="1443">
        <f t="shared" ref="AL60" si="77">+AL59*AL58/(100-AL59)</f>
        <v>7908.2961978777448</v>
      </c>
      <c r="AM60" s="1788"/>
      <c r="AN60" s="1788">
        <f t="shared" ref="AN60" si="78">+AN59*AN58/(100-AN59)</f>
        <v>22514.968900137828</v>
      </c>
      <c r="AO60" s="1787"/>
      <c r="AP60" s="66">
        <f t="shared" ref="AP60" si="79">+AP59*AP58/(100-AP59)</f>
        <v>21845.242583060543</v>
      </c>
      <c r="AQ60" s="945"/>
      <c r="AR60" s="1443">
        <f t="shared" ref="AR60" si="80">+AR59*AR58/(100-AR59)</f>
        <v>8426.2295553425265</v>
      </c>
      <c r="AS60" s="1787"/>
      <c r="AT60" s="66">
        <f t="shared" ref="AT60" si="81">+AT59*AT58/(100-AT59)</f>
        <v>64752.138867342779</v>
      </c>
      <c r="AU60" s="945"/>
      <c r="AV60" s="1443">
        <f t="shared" ref="AV60" si="82">+AV59*AV58/(100-AV59)</f>
        <v>7327.3171134020604</v>
      </c>
      <c r="AW60" s="1787"/>
      <c r="AX60" s="66">
        <f t="shared" ref="AX60" si="83">+AX59*AX58/(100-AX59)</f>
        <v>72147.875709588261</v>
      </c>
      <c r="AY60" s="945"/>
      <c r="AZ60" s="1443">
        <f t="shared" ref="AZ60" si="84">+AZ59*AZ58/(100-AZ59)</f>
        <v>8653.3375923751628</v>
      </c>
      <c r="BA60" s="1788"/>
      <c r="BB60" s="1788">
        <f t="shared" ref="BB60" si="85">+BB59*BB58/(100-BB59)</f>
        <v>24421.069787128097</v>
      </c>
      <c r="BC60" s="1133"/>
      <c r="BD60" s="1115">
        <f t="shared" ref="BD60:BF60" si="86">+BD59*BD58/(100-BD59)</f>
        <v>8336.9779567878104</v>
      </c>
      <c r="BE60" s="1787"/>
      <c r="BF60" s="66">
        <f t="shared" si="86"/>
        <v>22082.434846469354</v>
      </c>
    </row>
    <row r="61" spans="3:58" ht="15" hidden="1" customHeight="1" x14ac:dyDescent="0.25">
      <c r="C61" s="1437" t="s">
        <v>549</v>
      </c>
      <c r="D61" s="147" t="s">
        <v>53</v>
      </c>
      <c r="E61" s="47"/>
      <c r="F61" s="1443">
        <f>+F58+F60</f>
        <v>15862.537552573602</v>
      </c>
      <c r="G61" s="945"/>
      <c r="H61" s="1443">
        <f t="shared" ref="H61:AB61" si="87">+H58+H60</f>
        <v>6771.2746789342527</v>
      </c>
      <c r="I61" s="1320"/>
      <c r="J61" s="66">
        <f t="shared" si="87"/>
        <v>21579.032321253675</v>
      </c>
      <c r="K61" s="945"/>
      <c r="L61" s="1443">
        <f t="shared" si="87"/>
        <v>20057.339353853982</v>
      </c>
      <c r="M61" s="901"/>
      <c r="N61" s="155">
        <f t="shared" si="87"/>
        <v>41015.670394077271</v>
      </c>
      <c r="O61" s="945"/>
      <c r="P61" s="1443">
        <f t="shared" si="87"/>
        <v>18795.987780344236</v>
      </c>
      <c r="Q61" s="1320"/>
      <c r="R61" s="66">
        <f t="shared" si="87"/>
        <v>59771.138610087663</v>
      </c>
      <c r="S61" s="945"/>
      <c r="T61" s="1443">
        <f t="shared" ref="T61" si="88">+T58+T60</f>
        <v>20179.724400961779</v>
      </c>
      <c r="U61" s="1729"/>
      <c r="V61" s="66">
        <f t="shared" ref="V61" si="89">+V58+V60</f>
        <v>79920.867978839276</v>
      </c>
      <c r="W61" s="945"/>
      <c r="X61" s="1443">
        <f t="shared" si="87"/>
        <v>18420.395019455253</v>
      </c>
      <c r="Y61" s="901"/>
      <c r="Z61" s="901">
        <f t="shared" si="87"/>
        <v>57307.230199311278</v>
      </c>
      <c r="AA61" s="1133"/>
      <c r="AB61" s="1115">
        <f t="shared" si="87"/>
        <v>98321.992935611372</v>
      </c>
      <c r="AC61" s="945"/>
      <c r="AD61" s="1443">
        <f t="shared" ref="AD61" si="90">+AD58+AD60</f>
        <v>21711.044006519485</v>
      </c>
      <c r="AE61" s="1787"/>
      <c r="AF61" s="66">
        <f t="shared" ref="AF61" si="91">+AF58+AF60</f>
        <v>120022.0767964611</v>
      </c>
      <c r="AG61" s="945"/>
      <c r="AH61" s="1443">
        <f t="shared" ref="AH61" si="92">+AH58+AH60</f>
        <v>19396.648752399233</v>
      </c>
      <c r="AI61" s="1787"/>
      <c r="AJ61" s="66">
        <f t="shared" ref="AJ61" si="93">+AJ58+AJ60</f>
        <v>139421.69668131601</v>
      </c>
      <c r="AK61" s="945"/>
      <c r="AL61" s="1443">
        <f t="shared" ref="AL61" si="94">+AL58+AL60</f>
        <v>22263.806197877744</v>
      </c>
      <c r="AM61" s="1788"/>
      <c r="AN61" s="1788">
        <f t="shared" ref="AN61" si="95">+AN58+AN60</f>
        <v>63361.47890013783</v>
      </c>
      <c r="AO61" s="1787"/>
      <c r="AP61" s="66">
        <f t="shared" ref="AP61" si="96">+AP58+AP60</f>
        <v>62691.752583060545</v>
      </c>
      <c r="AQ61" s="945"/>
      <c r="AR61" s="1443">
        <f t="shared" ref="AR61" si="97">+AR58+AR60</f>
        <v>22275.229555342528</v>
      </c>
      <c r="AS61" s="1787"/>
      <c r="AT61" s="66">
        <f t="shared" ref="AT61" si="98">+AT58+AT60</f>
        <v>183936.64886734277</v>
      </c>
      <c r="AU61" s="945"/>
      <c r="AV61" s="1443">
        <f t="shared" ref="AV61" si="99">+AV58+AV60</f>
        <v>18807.317113402059</v>
      </c>
      <c r="AW61" s="1787"/>
      <c r="AX61" s="66">
        <f t="shared" ref="AX61" si="100">+AX58+AX60</f>
        <v>202812.38570958824</v>
      </c>
      <c r="AY61" s="945"/>
      <c r="AZ61" s="1443">
        <f t="shared" ref="AZ61" si="101">+AZ58+AZ60</f>
        <v>22928.337592375163</v>
      </c>
      <c r="BA61" s="1788"/>
      <c r="BB61" s="1788">
        <f t="shared" ref="BB61" si="102">+BB58+BB60</f>
        <v>64025.069787128101</v>
      </c>
      <c r="BC61" s="1133"/>
      <c r="BD61" s="1115">
        <f t="shared" ref="BD61:BF61" si="103">+BD58+BD60</f>
        <v>22611.97795678781</v>
      </c>
      <c r="BE61" s="1787"/>
      <c r="BF61" s="66">
        <f t="shared" si="103"/>
        <v>61686.434846469354</v>
      </c>
    </row>
    <row r="62" spans="3:58" ht="15" hidden="1" customHeight="1" x14ac:dyDescent="0.25"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</row>
    <row r="63" spans="3:58" ht="15" hidden="1" customHeight="1" x14ac:dyDescent="0.25">
      <c r="C63" s="1437" t="s">
        <v>1271</v>
      </c>
      <c r="D63" s="147" t="s">
        <v>53</v>
      </c>
      <c r="E63" s="47"/>
      <c r="F63" s="1443">
        <f>+SMS!F62</f>
        <v>2555</v>
      </c>
      <c r="G63" s="945"/>
      <c r="H63" s="1443">
        <f>+SMS!H62</f>
        <v>2399</v>
      </c>
      <c r="I63" s="1320"/>
      <c r="J63" s="66">
        <f>+SMS!J62</f>
        <v>4954</v>
      </c>
      <c r="K63" s="945"/>
      <c r="L63" s="1443">
        <f>+SMS!L62</f>
        <v>5000</v>
      </c>
      <c r="M63" s="901"/>
      <c r="N63" s="155">
        <f>+SMS!N62</f>
        <v>9954</v>
      </c>
      <c r="O63" s="945"/>
      <c r="P63" s="1443">
        <f>+SMS!P62</f>
        <v>4272</v>
      </c>
      <c r="Q63" s="1320"/>
      <c r="R63" s="66">
        <f>+SMS!R62</f>
        <v>14226</v>
      </c>
      <c r="S63" s="945"/>
      <c r="T63" s="1443">
        <f>+SMS!T62</f>
        <v>4198</v>
      </c>
      <c r="U63" s="1729"/>
      <c r="V63" s="66">
        <f>+SMS!V62</f>
        <v>18424</v>
      </c>
      <c r="W63" s="945"/>
      <c r="X63" s="1443">
        <f>+SMS!X62</f>
        <v>4057.5</v>
      </c>
      <c r="Y63" s="901"/>
      <c r="Z63" s="901">
        <f>+SMS!Z62</f>
        <v>12527.5</v>
      </c>
      <c r="AA63" s="1133"/>
      <c r="AB63" s="1115">
        <f>+SMS!AB62</f>
        <v>22481.5</v>
      </c>
      <c r="AC63" s="945"/>
      <c r="AD63" s="1443">
        <f>+SMS!AD62</f>
        <v>4597</v>
      </c>
      <c r="AE63" s="1787"/>
      <c r="AF63" s="66">
        <f>+SMS!AF62</f>
        <v>27078.5</v>
      </c>
      <c r="AG63" s="945"/>
      <c r="AH63" s="1443">
        <f>+SMS!AH62</f>
        <v>4132</v>
      </c>
      <c r="AI63" s="1787"/>
      <c r="AJ63" s="66">
        <f>+SMS!AJ62</f>
        <v>31210.5</v>
      </c>
      <c r="AK63" s="945"/>
      <c r="AL63" s="1443">
        <f>+SMS!AL62</f>
        <v>5132</v>
      </c>
      <c r="AM63" s="1788"/>
      <c r="AN63" s="1788">
        <f>+SMS!AN62</f>
        <v>13861</v>
      </c>
      <c r="AO63" s="1787"/>
      <c r="AP63" s="66">
        <f>+SMS!AN62</f>
        <v>13861</v>
      </c>
      <c r="AQ63" s="945"/>
      <c r="AR63" s="1443">
        <f>+SMS!AR62</f>
        <v>3900</v>
      </c>
      <c r="AS63" s="1787"/>
      <c r="AT63" s="66">
        <f>+SMS!AT62</f>
        <v>40242.5</v>
      </c>
      <c r="AU63" s="945"/>
      <c r="AV63" s="1443">
        <f>+SMS!AV62</f>
        <v>3950</v>
      </c>
      <c r="AW63" s="1787"/>
      <c r="AX63" s="66">
        <f>+SMS!AX62</f>
        <v>44192.5</v>
      </c>
      <c r="AY63" s="945"/>
      <c r="AZ63" s="1443">
        <f>+SMS!AZ62</f>
        <v>5033.5</v>
      </c>
      <c r="BA63" s="1788"/>
      <c r="BB63" s="1788">
        <f>+SMS!BB62</f>
        <v>12883.5</v>
      </c>
      <c r="BC63" s="1133"/>
      <c r="BD63" s="1115">
        <f>+SMS!AZ62</f>
        <v>5033.5</v>
      </c>
      <c r="BE63" s="1787"/>
      <c r="BF63" s="66">
        <f>+SMS!BB62</f>
        <v>12883.5</v>
      </c>
    </row>
    <row r="64" spans="3:58" ht="15" hidden="1" customHeight="1" x14ac:dyDescent="0.25">
      <c r="C64" s="1437" t="s">
        <v>1272</v>
      </c>
      <c r="D64" s="147" t="s">
        <v>52</v>
      </c>
      <c r="E64" s="47"/>
      <c r="F64" s="1443">
        <f>+F28</f>
        <v>22.616407982261642</v>
      </c>
      <c r="G64" s="945"/>
      <c r="H64" s="1443">
        <f t="shared" ref="H64:AB64" si="104">+H28</f>
        <v>40.941658137154555</v>
      </c>
      <c r="I64" s="1320"/>
      <c r="J64" s="66">
        <f t="shared" si="104"/>
        <v>31.123782371109527</v>
      </c>
      <c r="K64" s="945"/>
      <c r="L64" s="1443">
        <f t="shared" si="104"/>
        <v>3.2009037845980042</v>
      </c>
      <c r="M64" s="901"/>
      <c r="N64" s="155">
        <f t="shared" si="104"/>
        <v>15.546218487394958</v>
      </c>
      <c r="O64" s="945"/>
      <c r="P64" s="1443">
        <f t="shared" si="104"/>
        <v>9.9088386841062235</v>
      </c>
      <c r="Q64" s="1320"/>
      <c r="R64" s="66">
        <f t="shared" si="104"/>
        <v>13.593299464506384</v>
      </c>
      <c r="S64" s="945"/>
      <c r="T64" s="1443">
        <f t="shared" ref="T64" si="105">+T28</f>
        <v>5.8560677328316091</v>
      </c>
      <c r="U64" s="1729"/>
      <c r="V64" s="66">
        <f t="shared" ref="V64" si="106">+V28</f>
        <v>11.845041981081943</v>
      </c>
      <c r="W64" s="945"/>
      <c r="X64" s="1443">
        <f t="shared" si="104"/>
        <v>2.1853146853146854</v>
      </c>
      <c r="Y64" s="901"/>
      <c r="Z64" s="901">
        <f t="shared" si="104"/>
        <v>6.119359953870549</v>
      </c>
      <c r="AA64" s="1133"/>
      <c r="AB64" s="1115">
        <f t="shared" si="104"/>
        <v>9.9555441566213556</v>
      </c>
      <c r="AC64" s="945"/>
      <c r="AD64" s="1443">
        <f t="shared" ref="AD64" si="107">+AD28</f>
        <v>4.4548154433602036</v>
      </c>
      <c r="AE64" s="1787"/>
      <c r="AF64" s="66">
        <f t="shared" ref="AF64" si="108">+AF28</f>
        <v>9.0330155115981228</v>
      </c>
      <c r="AG64" s="945"/>
      <c r="AH64" s="1443">
        <f t="shared" ref="AH64" si="109">+AH28</f>
        <v>5.6791292001893039</v>
      </c>
      <c r="AI64" s="1787"/>
      <c r="AJ64" s="66">
        <f t="shared" ref="AJ64" si="110">+AJ28</f>
        <v>8.5946681511721419</v>
      </c>
      <c r="AK64" s="945"/>
      <c r="AL64" s="1443">
        <f t="shared" ref="AL64" si="111">+AL28</f>
        <v>7.0281124497991971</v>
      </c>
      <c r="AM64" s="1788"/>
      <c r="AN64" s="1788">
        <f t="shared" ref="AN64" si="112">+AN28</f>
        <v>5.6484060662333642</v>
      </c>
      <c r="AO64" s="1787"/>
      <c r="AP64" s="66">
        <f t="shared" ref="AP64" si="113">+AP28</f>
        <v>8.4228206399030778</v>
      </c>
      <c r="AQ64" s="945"/>
      <c r="AR64" s="1443">
        <f t="shared" ref="AR64" si="114">+AR28</f>
        <v>6.9106731507550547</v>
      </c>
      <c r="AS64" s="1787"/>
      <c r="AT64" s="66">
        <f t="shared" ref="AT64" si="115">+AT28</f>
        <v>8.2759477936606576</v>
      </c>
      <c r="AU64" s="945"/>
      <c r="AV64" s="1443">
        <f t="shared" ref="AV64" si="116">+AV28</f>
        <v>7.1073205401563619</v>
      </c>
      <c r="AW64" s="1787"/>
      <c r="AX64" s="66">
        <f t="shared" ref="AX64" si="117">+AX28</f>
        <v>8.1649642262520814</v>
      </c>
      <c r="AY64" s="945"/>
      <c r="AZ64" s="1443">
        <f t="shared" ref="AZ64" si="118">+AZ28</f>
        <v>4.4015334374556296</v>
      </c>
      <c r="BA64" s="1788"/>
      <c r="BB64" s="1788">
        <f t="shared" ref="BB64" si="119">+BB28</f>
        <v>5.8005405049106846</v>
      </c>
      <c r="BC64" s="1133"/>
      <c r="BD64" s="1115">
        <f t="shared" ref="BD64:BF64" si="120">+BD28</f>
        <v>5.7305570386189713</v>
      </c>
      <c r="BE64" s="1787"/>
      <c r="BF64" s="66">
        <f t="shared" si="120"/>
        <v>7.6501777078599318</v>
      </c>
    </row>
    <row r="65" spans="3:58" ht="15" hidden="1" customHeight="1" x14ac:dyDescent="0.25">
      <c r="C65" s="1437" t="s">
        <v>1270</v>
      </c>
      <c r="D65" s="147" t="s">
        <v>53</v>
      </c>
      <c r="E65" s="47"/>
      <c r="F65" s="1443">
        <f>+F64*F63/(100-F64)</f>
        <v>746.73352435530091</v>
      </c>
      <c r="G65" s="945"/>
      <c r="H65" s="1443">
        <f t="shared" ref="H65" si="121">+H64*H63/(100-H64)</f>
        <v>1663.0849220103987</v>
      </c>
      <c r="I65" s="1320"/>
      <c r="J65" s="66">
        <f t="shared" ref="J65" si="122">+J64*J63/(100-J64)</f>
        <v>2238.6133149361849</v>
      </c>
      <c r="K65" s="945"/>
      <c r="L65" s="1443">
        <f t="shared" ref="L65" si="123">+L64*L63/(100-L64)</f>
        <v>165.33748297996499</v>
      </c>
      <c r="M65" s="901"/>
      <c r="N65" s="155">
        <f t="shared" ref="N65" si="124">+N64*N63/(100-N64)</f>
        <v>1832.328358208955</v>
      </c>
      <c r="O65" s="945"/>
      <c r="P65" s="1443">
        <f t="shared" ref="P65" si="125">+P64*P63/(100-P64)</f>
        <v>469.86361636603613</v>
      </c>
      <c r="Q65" s="1320"/>
      <c r="R65" s="66">
        <f t="shared" ref="R65" si="126">+R64*R63/(100-R64)</f>
        <v>2238.0009534403307</v>
      </c>
      <c r="S65" s="945"/>
      <c r="T65" s="1443">
        <f t="shared" ref="T65" si="127">+T64*T63/(100-T64)</f>
        <v>261.12965276042968</v>
      </c>
      <c r="U65" s="1729"/>
      <c r="V65" s="66">
        <f t="shared" ref="V65" si="128">+V64*V63/(100-V64)</f>
        <v>2475.5618783531258</v>
      </c>
      <c r="W65" s="945"/>
      <c r="X65" s="1443">
        <f t="shared" ref="X65" si="129">+X64*X63/(100-X64)</f>
        <v>90.650134048257371</v>
      </c>
      <c r="Y65" s="901"/>
      <c r="Z65" s="901">
        <f t="shared" ref="Z65" si="130">+Z64*Z63/(100-Z64)</f>
        <v>816.57178502879071</v>
      </c>
      <c r="AA65" s="1133"/>
      <c r="AB65" s="1115">
        <f t="shared" ref="AB65" si="131">+AB64*AB63/(100-AB64)</f>
        <v>2485.611844291479</v>
      </c>
      <c r="AC65" s="945"/>
      <c r="AD65" s="1443">
        <f t="shared" ref="AD65" si="132">+AD64*AD63/(100-AD64)</f>
        <v>214.33614564831262</v>
      </c>
      <c r="AE65" s="1787"/>
      <c r="AF65" s="66">
        <f t="shared" ref="AF65" si="133">+AF64*AF63/(100-AF64)</f>
        <v>2688.893249638234</v>
      </c>
      <c r="AG65" s="945"/>
      <c r="AH65" s="1443">
        <f t="shared" ref="AH65" si="134">+AH64*AH63/(100-AH64)</f>
        <v>248.79076768690416</v>
      </c>
      <c r="AI65" s="1787"/>
      <c r="AJ65" s="66">
        <f t="shared" ref="AJ65" si="135">+AJ64*AJ63/(100-AJ64)</f>
        <v>2934.6634917949591</v>
      </c>
      <c r="AK65" s="945"/>
      <c r="AL65" s="1443">
        <f t="shared" ref="AL65" si="136">+AL64*AL63/(100-AL64)</f>
        <v>387.94816414686824</v>
      </c>
      <c r="AM65" s="1788"/>
      <c r="AN65" s="1788">
        <f t="shared" ref="AN65" si="137">+AN64*AN63/(100-AN64)</f>
        <v>829.79580121371168</v>
      </c>
      <c r="AO65" s="1787"/>
      <c r="AP65" s="66">
        <f t="shared" ref="AP65" si="138">+AP64*AP63/(100-AP64)</f>
        <v>1274.8669232388224</v>
      </c>
      <c r="AQ65" s="945"/>
      <c r="AR65" s="1443">
        <f t="shared" ref="AR65" si="139">+AR64*AR63/(100-AR64)</f>
        <v>289.52433324168271</v>
      </c>
      <c r="AS65" s="1787"/>
      <c r="AT65" s="66">
        <f t="shared" ref="AT65" si="140">+AT64*AT63/(100-AT64)</f>
        <v>3630.943259431916</v>
      </c>
      <c r="AU65" s="945"/>
      <c r="AV65" s="1443">
        <f t="shared" ref="AV65" si="141">+AV64*AV63/(100-AV64)</f>
        <v>302.21882172915076</v>
      </c>
      <c r="AW65" s="1787"/>
      <c r="AX65" s="66">
        <f t="shared" ref="AX65" si="142">+AX64*AX63/(100-AX64)</f>
        <v>3929.1124408947253</v>
      </c>
      <c r="AY65" s="945"/>
      <c r="AZ65" s="1443">
        <f t="shared" ref="AZ65" si="143">+AZ64*AZ63/(100-AZ64)</f>
        <v>231.75181939699982</v>
      </c>
      <c r="BA65" s="1788"/>
      <c r="BB65" s="1788">
        <f t="shared" ref="BB65" si="144">+BB64*BB63/(100-BB64)</f>
        <v>793.33006787488625</v>
      </c>
      <c r="BC65" s="1133"/>
      <c r="BD65" s="1115">
        <f t="shared" ref="BD65:BF65" si="145">+BD64*BD63/(100-BD64)</f>
        <v>305.98206531999244</v>
      </c>
      <c r="BE65" s="1787"/>
      <c r="BF65" s="66">
        <f t="shared" si="145"/>
        <v>1067.2577602523661</v>
      </c>
    </row>
    <row r="66" spans="3:58" ht="15" hidden="1" customHeight="1" x14ac:dyDescent="0.25">
      <c r="C66" s="1437" t="s">
        <v>549</v>
      </c>
      <c r="D66" s="147" t="s">
        <v>53</v>
      </c>
      <c r="E66" s="47"/>
      <c r="F66" s="1443">
        <f>+F63+F65</f>
        <v>3301.7335243553007</v>
      </c>
      <c r="G66" s="945"/>
      <c r="H66" s="1443">
        <f t="shared" ref="H66" si="146">+H63+H65</f>
        <v>4062.0849220103987</v>
      </c>
      <c r="I66" s="1320"/>
      <c r="J66" s="66">
        <f t="shared" ref="J66" si="147">+J63+J65</f>
        <v>7192.6133149361849</v>
      </c>
      <c r="K66" s="945"/>
      <c r="L66" s="1443">
        <f t="shared" ref="L66" si="148">+L63+L65</f>
        <v>5165.337482979965</v>
      </c>
      <c r="M66" s="901"/>
      <c r="N66" s="155">
        <f t="shared" ref="N66" si="149">+N63+N65</f>
        <v>11786.328358208955</v>
      </c>
      <c r="O66" s="945"/>
      <c r="P66" s="1443">
        <f t="shared" ref="P66" si="150">+P63+P65</f>
        <v>4741.8636163660358</v>
      </c>
      <c r="Q66" s="1320"/>
      <c r="R66" s="66">
        <f t="shared" ref="R66" si="151">+R63+R65</f>
        <v>16464.000953440329</v>
      </c>
      <c r="S66" s="945"/>
      <c r="T66" s="1443">
        <f t="shared" ref="T66" si="152">+T63+T65</f>
        <v>4459.12965276043</v>
      </c>
      <c r="U66" s="1729"/>
      <c r="V66" s="66">
        <f t="shared" ref="V66" si="153">+V63+V65</f>
        <v>20899.561878353124</v>
      </c>
      <c r="W66" s="945"/>
      <c r="X66" s="1443">
        <f t="shared" ref="X66" si="154">+X63+X65</f>
        <v>4148.1501340482573</v>
      </c>
      <c r="Y66" s="901"/>
      <c r="Z66" s="901">
        <f t="shared" ref="Z66" si="155">+Z63+Z65</f>
        <v>13344.071785028791</v>
      </c>
      <c r="AA66" s="1133"/>
      <c r="AB66" s="1115">
        <f t="shared" ref="AB66" si="156">+AB63+AB65</f>
        <v>24967.111844291478</v>
      </c>
      <c r="AC66" s="945"/>
      <c r="AD66" s="1443">
        <f t="shared" ref="AD66" si="157">+AD63+AD65</f>
        <v>4811.3361456483126</v>
      </c>
      <c r="AE66" s="1787"/>
      <c r="AF66" s="66">
        <f t="shared" ref="AF66" si="158">+AF63+AF65</f>
        <v>29767.393249638233</v>
      </c>
      <c r="AG66" s="945"/>
      <c r="AH66" s="1443">
        <f t="shared" ref="AH66" si="159">+AH63+AH65</f>
        <v>4380.7907676869045</v>
      </c>
      <c r="AI66" s="1787"/>
      <c r="AJ66" s="66">
        <f t="shared" ref="AJ66" si="160">+AJ63+AJ65</f>
        <v>34145.163491794956</v>
      </c>
      <c r="AK66" s="945"/>
      <c r="AL66" s="1443">
        <f t="shared" ref="AL66" si="161">+AL63+AL65</f>
        <v>5519.9481641468683</v>
      </c>
      <c r="AM66" s="1788"/>
      <c r="AN66" s="1788">
        <f t="shared" ref="AN66" si="162">+AN63+AN65</f>
        <v>14690.795801213711</v>
      </c>
      <c r="AO66" s="1787"/>
      <c r="AP66" s="66">
        <f t="shared" ref="AP66" si="163">+AP63+AP65</f>
        <v>15135.866923238822</v>
      </c>
      <c r="AQ66" s="945"/>
      <c r="AR66" s="1443">
        <f t="shared" ref="AR66" si="164">+AR63+AR65</f>
        <v>4189.5243332416831</v>
      </c>
      <c r="AS66" s="1787"/>
      <c r="AT66" s="66">
        <f t="shared" ref="AT66" si="165">+AT63+AT65</f>
        <v>43873.443259431915</v>
      </c>
      <c r="AU66" s="945"/>
      <c r="AV66" s="1443">
        <f t="shared" ref="AV66" si="166">+AV63+AV65</f>
        <v>4252.2188217291505</v>
      </c>
      <c r="AW66" s="1787"/>
      <c r="AX66" s="66">
        <f t="shared" ref="AX66" si="167">+AX63+AX65</f>
        <v>48121.612440894722</v>
      </c>
      <c r="AY66" s="945"/>
      <c r="AZ66" s="1443">
        <f t="shared" ref="AZ66" si="168">+AZ63+AZ65</f>
        <v>5265.251819397</v>
      </c>
      <c r="BA66" s="1788"/>
      <c r="BB66" s="1788">
        <f t="shared" ref="BB66" si="169">+BB63+BB65</f>
        <v>13676.830067874886</v>
      </c>
      <c r="BC66" s="1133"/>
      <c r="BD66" s="1115">
        <f t="shared" ref="BD66:BF66" si="170">+BD63+BD65</f>
        <v>5339.4820653199922</v>
      </c>
      <c r="BE66" s="1787"/>
      <c r="BF66" s="66">
        <f t="shared" si="170"/>
        <v>13950.757760252367</v>
      </c>
    </row>
    <row r="67" spans="3:58" ht="15" hidden="1" customHeight="1" x14ac:dyDescent="0.25"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1270"/>
      <c r="X67" s="1270"/>
      <c r="Y67" s="5"/>
      <c r="Z67" s="5"/>
      <c r="AA67" s="1270"/>
      <c r="AB67" s="1270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E67" s="5"/>
      <c r="BF67" s="5"/>
    </row>
    <row r="68" spans="3:58" ht="15" hidden="1" customHeight="1" x14ac:dyDescent="0.25"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1270"/>
      <c r="X68" s="1270"/>
      <c r="Y68" s="5"/>
      <c r="Z68" s="5"/>
      <c r="AA68" s="1270"/>
      <c r="AB68" s="1270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E68" s="5"/>
      <c r="BF68" s="5"/>
    </row>
    <row r="69" spans="3:58" ht="15" hidden="1" customHeight="1" x14ac:dyDescent="0.25"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1270"/>
      <c r="X69" s="1270"/>
      <c r="Y69" s="5"/>
      <c r="Z69" s="5"/>
      <c r="AA69" s="1270"/>
      <c r="AB69" s="1270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E69" s="5"/>
      <c r="BF69" s="5"/>
    </row>
    <row r="70" spans="3:58" ht="15" hidden="1" customHeight="1" x14ac:dyDescent="0.25"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1270"/>
      <c r="X70" s="1270"/>
      <c r="Y70" s="5"/>
      <c r="Z70" s="5"/>
      <c r="AA70" s="1270"/>
      <c r="AB70" s="1270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E70" s="5"/>
      <c r="BF70" s="5"/>
    </row>
    <row r="71" spans="3:58" ht="15" hidden="1" customHeight="1" x14ac:dyDescent="0.25"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1270"/>
      <c r="X71" s="1270"/>
      <c r="Y71" s="5"/>
      <c r="Z71" s="5"/>
      <c r="AA71" s="1270"/>
      <c r="AB71" s="1270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E71" s="5"/>
      <c r="BF71" s="5"/>
    </row>
    <row r="72" spans="3:58" ht="15" hidden="1" customHeight="1" x14ac:dyDescent="0.25"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1270"/>
      <c r="X72" s="1270"/>
      <c r="Y72" s="5"/>
      <c r="Z72" s="5"/>
      <c r="AA72" s="1270"/>
      <c r="AB72" s="1270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E72" s="5"/>
      <c r="BF72" s="5"/>
    </row>
    <row r="73" spans="3:58" ht="15" hidden="1" customHeight="1" x14ac:dyDescent="0.25"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1270"/>
      <c r="X73" s="1270"/>
      <c r="Y73" s="5"/>
      <c r="Z73" s="5"/>
      <c r="AA73" s="1270"/>
      <c r="AB73" s="1270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E73" s="5"/>
      <c r="BF73" s="5"/>
    </row>
    <row r="74" spans="3:58" ht="15" hidden="1" customHeight="1" x14ac:dyDescent="0.25"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1270"/>
      <c r="X74" s="1270"/>
      <c r="Y74" s="5"/>
      <c r="Z74" s="5"/>
      <c r="AA74" s="1270"/>
      <c r="AB74" s="1270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E74" s="5"/>
      <c r="BF74" s="5"/>
    </row>
    <row r="75" spans="3:58" ht="15" hidden="1" customHeight="1" x14ac:dyDescent="0.25"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1270"/>
      <c r="X75" s="1270"/>
      <c r="Y75" s="5"/>
      <c r="Z75" s="5"/>
      <c r="AA75" s="1270"/>
      <c r="AB75" s="1270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E75" s="5"/>
      <c r="BF75" s="5"/>
    </row>
    <row r="76" spans="3:58" ht="15" hidden="1" customHeight="1" x14ac:dyDescent="0.25"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1270"/>
      <c r="X76" s="1270"/>
      <c r="Y76" s="5"/>
      <c r="Z76" s="5"/>
      <c r="AA76" s="1270"/>
      <c r="AB76" s="1270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W76" s="5"/>
      <c r="AX76" s="5"/>
      <c r="AY76" s="4606"/>
      <c r="AZ76" s="4606"/>
      <c r="BA76" s="5"/>
      <c r="BB76" s="5"/>
      <c r="BE76" s="5"/>
      <c r="BF76" s="5"/>
    </row>
    <row r="77" spans="3:58" ht="15" hidden="1" customHeight="1" x14ac:dyDescent="0.25"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1270"/>
      <c r="X77" s="1270"/>
      <c r="Y77" s="5"/>
      <c r="Z77" s="5"/>
      <c r="AA77" s="1270"/>
      <c r="AB77" s="1270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S77" s="5"/>
      <c r="AT77" s="5"/>
      <c r="AY77" s="4606"/>
      <c r="AZ77" s="4606"/>
      <c r="BA77" s="5"/>
      <c r="BB77" s="5"/>
      <c r="BE77" s="4606"/>
      <c r="BF77" s="4606"/>
    </row>
    <row r="78" spans="3:58" ht="15" hidden="1" customHeight="1" x14ac:dyDescent="0.25"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1270"/>
      <c r="X78" s="1270"/>
      <c r="Y78" s="5"/>
      <c r="Z78" s="5"/>
      <c r="AA78" s="1270"/>
      <c r="AB78" s="1270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S78" s="5"/>
      <c r="AT78" s="5"/>
      <c r="AY78" s="4606"/>
      <c r="AZ78" s="4606"/>
      <c r="BE78" s="4606"/>
      <c r="BF78" s="4606"/>
    </row>
    <row r="79" spans="3:58" ht="15" hidden="1" customHeight="1" x14ac:dyDescent="0.25">
      <c r="C79" s="5"/>
      <c r="D79" s="5"/>
      <c r="E79" s="5"/>
      <c r="F79" s="5"/>
      <c r="G79" s="5"/>
      <c r="H79" s="5"/>
      <c r="I79" s="5"/>
      <c r="J79" s="5"/>
      <c r="K79" s="900"/>
      <c r="L79" s="341"/>
      <c r="M79" s="5"/>
      <c r="N79" s="5"/>
      <c r="O79" s="5"/>
      <c r="P79" s="5"/>
      <c r="Q79" s="5"/>
      <c r="R79" s="5"/>
      <c r="S79" s="5"/>
      <c r="T79" s="5"/>
      <c r="U79" s="5"/>
      <c r="V79" s="5"/>
      <c r="W79" s="1270"/>
      <c r="X79" s="1270"/>
      <c r="Y79" s="5"/>
      <c r="Z79" s="5"/>
      <c r="AA79" s="1270"/>
      <c r="AB79" s="1270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S79" s="5"/>
      <c r="AT79" s="5"/>
      <c r="AY79" s="4606"/>
      <c r="AZ79" s="4606"/>
      <c r="BE79" s="4606"/>
      <c r="BF79" s="4606"/>
    </row>
    <row r="80" spans="3:58" ht="15" hidden="1" customHeight="1" x14ac:dyDescent="0.25"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1270"/>
      <c r="X80" s="1270"/>
      <c r="Y80" s="5"/>
      <c r="Z80" s="5"/>
      <c r="AA80" s="1270"/>
      <c r="AB80" s="1270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S80" s="5"/>
      <c r="AT80" s="5"/>
      <c r="AY80" s="4606"/>
      <c r="AZ80" s="4606"/>
      <c r="BE80" s="4606"/>
      <c r="BF80" s="4606"/>
    </row>
    <row r="81" spans="3:46" ht="15" hidden="1" customHeight="1" x14ac:dyDescent="0.25"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1270"/>
      <c r="X81" s="1270"/>
      <c r="Y81" s="5"/>
      <c r="Z81" s="5"/>
      <c r="AA81" s="1270"/>
      <c r="AB81" s="1270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S81" s="5"/>
      <c r="AT81" s="5"/>
    </row>
    <row r="82" spans="3:46" ht="15" hidden="1" customHeight="1" x14ac:dyDescent="0.25"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1270"/>
      <c r="X82" s="1270"/>
      <c r="Y82" s="5"/>
      <c r="Z82" s="5"/>
      <c r="AA82" s="1270"/>
      <c r="AB82" s="1270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S82" s="5"/>
      <c r="AT82" s="5"/>
    </row>
    <row r="83" spans="3:46" ht="15" hidden="1" customHeight="1" x14ac:dyDescent="0.25"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1270"/>
      <c r="X83" s="1270"/>
      <c r="AA83" s="1270"/>
      <c r="AB83" s="1270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S83" s="5"/>
      <c r="AT83" s="5"/>
    </row>
    <row r="84" spans="3:46" ht="15" hidden="1" customHeight="1" x14ac:dyDescent="0.25"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1270"/>
      <c r="X84" s="1270"/>
      <c r="AA84" s="1270"/>
      <c r="AB84" s="1270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S84" s="5"/>
      <c r="AT84" s="5"/>
    </row>
    <row r="85" spans="3:46" ht="15" hidden="1" customHeight="1" x14ac:dyDescent="0.25"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1270"/>
      <c r="X85" s="1270"/>
      <c r="AA85" s="1270"/>
      <c r="AB85" s="1270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S85" s="5"/>
      <c r="AT85" s="5"/>
    </row>
    <row r="86" spans="3:46" ht="15" hidden="1" customHeight="1" x14ac:dyDescent="0.25"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1270"/>
      <c r="X86" s="1270"/>
      <c r="AA86" s="1270"/>
      <c r="AB86" s="1270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S86" s="5"/>
      <c r="AT86" s="5"/>
    </row>
    <row r="87" spans="3:46" ht="15" hidden="1" customHeight="1" x14ac:dyDescent="0.25"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1270"/>
      <c r="X87" s="1270"/>
      <c r="AA87" s="1270"/>
      <c r="AB87" s="1270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S87" s="5"/>
      <c r="AT87" s="5"/>
    </row>
    <row r="88" spans="3:46" ht="15" hidden="1" customHeight="1" x14ac:dyDescent="0.25"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1270"/>
      <c r="X88" s="1270"/>
      <c r="AA88" s="1270"/>
      <c r="AB88" s="1270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S88" s="5"/>
      <c r="AT88" s="5"/>
    </row>
    <row r="89" spans="3:46" ht="15" hidden="1" customHeight="1" x14ac:dyDescent="0.25"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S89" s="5"/>
      <c r="AT89" s="5"/>
    </row>
    <row r="90" spans="3:46" ht="15" hidden="1" customHeight="1" x14ac:dyDescent="0.25"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S90" s="5"/>
      <c r="AT90" s="5"/>
    </row>
    <row r="91" spans="3:46" ht="15" hidden="1" customHeight="1" x14ac:dyDescent="0.25"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S91" s="5"/>
      <c r="AT91" s="5"/>
    </row>
    <row r="92" spans="3:46" ht="15" customHeight="1" x14ac:dyDescent="0.25"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S92" s="5"/>
      <c r="AT92" s="5"/>
    </row>
    <row r="93" spans="3:46" ht="15" customHeight="1" x14ac:dyDescent="0.25"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S93" s="5"/>
      <c r="AT93" s="5"/>
    </row>
    <row r="94" spans="3:46" ht="15" customHeight="1" x14ac:dyDescent="0.25"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S94" s="5"/>
      <c r="AT94" s="5"/>
    </row>
    <row r="95" spans="3:46" ht="15" customHeight="1" x14ac:dyDescent="0.25"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S95" s="5"/>
      <c r="AT95" s="5"/>
    </row>
    <row r="96" spans="3:46" ht="15" customHeight="1" x14ac:dyDescent="0.25"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S96" s="5"/>
      <c r="AT96" s="5"/>
    </row>
    <row r="97" spans="3:46" ht="15" customHeight="1" x14ac:dyDescent="0.25"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AC97" s="1726"/>
      <c r="AD97" s="1726"/>
      <c r="AE97" s="1726"/>
      <c r="AF97" s="1726"/>
      <c r="AG97" s="1726"/>
      <c r="AH97" s="1726"/>
      <c r="AI97" s="1726"/>
      <c r="AJ97" s="1726"/>
      <c r="AK97" s="1726"/>
      <c r="AL97" s="1726"/>
      <c r="AO97" s="1726"/>
      <c r="AP97" s="1726"/>
      <c r="AS97" s="1726"/>
      <c r="AT97" s="1726"/>
    </row>
    <row r="98" spans="3:46" ht="15" customHeight="1" x14ac:dyDescent="0.25"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AC98" s="1726"/>
      <c r="AD98" s="1726"/>
      <c r="AE98" s="1726"/>
      <c r="AF98" s="1726"/>
      <c r="AG98" s="1726"/>
      <c r="AH98" s="1726"/>
      <c r="AI98" s="1726"/>
      <c r="AJ98" s="1726"/>
      <c r="AK98" s="1726"/>
      <c r="AL98" s="1726"/>
      <c r="AO98" s="1726"/>
      <c r="AP98" s="1726"/>
      <c r="AS98" s="1726"/>
      <c r="AT98" s="1726"/>
    </row>
    <row r="99" spans="3:46" ht="15" customHeight="1" x14ac:dyDescent="0.25"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AC99" s="1726"/>
      <c r="AD99" s="1726"/>
      <c r="AE99" s="1726"/>
      <c r="AF99" s="1726"/>
      <c r="AG99" s="1726"/>
      <c r="AH99" s="1726"/>
      <c r="AI99" s="1726"/>
      <c r="AJ99" s="1726"/>
      <c r="AK99" s="1726"/>
      <c r="AL99" s="1726"/>
      <c r="AO99" s="1726"/>
      <c r="AP99" s="1726"/>
      <c r="AS99" s="1726"/>
      <c r="AT99" s="1726"/>
    </row>
    <row r="100" spans="3:46" ht="15" customHeight="1" x14ac:dyDescent="0.25"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AC100" s="1726"/>
      <c r="AD100" s="1726"/>
      <c r="AE100" s="1726"/>
      <c r="AF100" s="1726"/>
      <c r="AG100" s="1726"/>
      <c r="AH100" s="1726"/>
      <c r="AI100" s="1726"/>
      <c r="AJ100" s="1726"/>
      <c r="AK100" s="1726"/>
      <c r="AL100" s="1726"/>
      <c r="AO100" s="1726"/>
      <c r="AP100" s="1726"/>
      <c r="AS100" s="1726"/>
      <c r="AT100" s="1726"/>
    </row>
    <row r="101" spans="3:46" x14ac:dyDescent="0.25"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AC101" s="1726"/>
      <c r="AD101" s="1726"/>
      <c r="AE101" s="1726"/>
      <c r="AF101" s="1726"/>
      <c r="AG101" s="1726"/>
      <c r="AH101" s="1726"/>
      <c r="AI101" s="1726"/>
      <c r="AJ101" s="1726"/>
      <c r="AK101" s="1726"/>
      <c r="AL101" s="1726"/>
      <c r="AO101" s="1726"/>
      <c r="AP101" s="1726"/>
      <c r="AS101" s="1726"/>
      <c r="AT101" s="1726"/>
    </row>
    <row r="102" spans="3:46" x14ac:dyDescent="0.25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AC102" s="1726"/>
      <c r="AD102" s="1726"/>
      <c r="AE102" s="1726"/>
      <c r="AF102" s="1726"/>
      <c r="AG102" s="1726"/>
      <c r="AH102" s="1726"/>
      <c r="AI102" s="1726"/>
      <c r="AJ102" s="1726"/>
      <c r="AK102" s="1726"/>
      <c r="AL102" s="1726"/>
      <c r="AO102" s="1726"/>
      <c r="AP102" s="1726"/>
      <c r="AS102" s="1726"/>
      <c r="AT102" s="1726"/>
    </row>
    <row r="103" spans="3:46" x14ac:dyDescent="0.25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AC103" s="1726"/>
      <c r="AD103" s="1726"/>
      <c r="AE103" s="1726"/>
      <c r="AF103" s="1726"/>
      <c r="AG103" s="1726"/>
      <c r="AH103" s="1726"/>
      <c r="AI103" s="1726"/>
      <c r="AJ103" s="1726"/>
      <c r="AK103" s="1726"/>
      <c r="AL103" s="1726"/>
      <c r="AO103" s="1726"/>
      <c r="AP103" s="1726"/>
      <c r="AS103" s="1726"/>
      <c r="AT103" s="1726"/>
    </row>
    <row r="104" spans="3:46" x14ac:dyDescent="0.25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AC104" s="1726"/>
      <c r="AD104" s="1726"/>
      <c r="AE104" s="1726"/>
      <c r="AF104" s="1726"/>
      <c r="AG104" s="1726"/>
      <c r="AH104" s="1726"/>
      <c r="AI104" s="1726"/>
      <c r="AJ104" s="1726"/>
      <c r="AK104" s="1726"/>
      <c r="AL104" s="1726"/>
      <c r="AO104" s="1726"/>
      <c r="AP104" s="1726"/>
      <c r="AS104" s="1726"/>
      <c r="AT104" s="1726"/>
    </row>
    <row r="105" spans="3:46" x14ac:dyDescent="0.25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AC105" s="1726"/>
      <c r="AD105" s="1726"/>
      <c r="AE105" s="1726"/>
      <c r="AF105" s="1726"/>
      <c r="AK105" s="1726"/>
      <c r="AL105" s="1726"/>
      <c r="AO105" s="1726"/>
      <c r="AP105" s="1726"/>
      <c r="AS105" s="1726"/>
      <c r="AT105" s="1726"/>
    </row>
    <row r="106" spans="3:46" x14ac:dyDescent="0.25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AC106" s="1726"/>
      <c r="AD106" s="1726"/>
      <c r="AE106" s="1726"/>
      <c r="AF106" s="1726"/>
      <c r="AK106" s="1726"/>
      <c r="AL106" s="1726"/>
      <c r="AO106" s="1726"/>
      <c r="AP106" s="1726"/>
      <c r="AS106" s="1726"/>
      <c r="AT106" s="1726"/>
    </row>
    <row r="107" spans="3:46" x14ac:dyDescent="0.25">
      <c r="AC107" s="1726"/>
      <c r="AD107" s="1726"/>
      <c r="AE107" s="1726"/>
      <c r="AF107" s="1726"/>
      <c r="AK107" s="1726"/>
      <c r="AL107" s="1726"/>
      <c r="AO107" s="1726"/>
      <c r="AP107" s="1726"/>
      <c r="AS107" s="1726"/>
      <c r="AT107" s="1726"/>
    </row>
    <row r="108" spans="3:46" x14ac:dyDescent="0.25">
      <c r="AC108" s="1726"/>
      <c r="AD108" s="1726"/>
      <c r="AE108" s="1726"/>
      <c r="AF108" s="1726"/>
      <c r="AK108" s="1726"/>
      <c r="AL108" s="1726"/>
      <c r="AO108" s="1726"/>
      <c r="AP108" s="1726"/>
      <c r="AS108" s="1726"/>
      <c r="AT108" s="1726"/>
    </row>
    <row r="109" spans="3:46" x14ac:dyDescent="0.25">
      <c r="AC109" s="1726"/>
      <c r="AD109" s="1726"/>
      <c r="AE109" s="1726"/>
      <c r="AF109" s="1726"/>
      <c r="AK109" s="1726"/>
      <c r="AL109" s="1726"/>
      <c r="AO109" s="1726"/>
      <c r="AP109" s="1726"/>
      <c r="AS109" s="1726"/>
      <c r="AT109" s="1726"/>
    </row>
    <row r="110" spans="3:46" x14ac:dyDescent="0.25">
      <c r="AC110" s="1726"/>
      <c r="AD110" s="1726"/>
      <c r="AE110" s="1726"/>
      <c r="AF110" s="1726"/>
      <c r="AK110" s="1726"/>
      <c r="AL110" s="1726"/>
      <c r="AO110" s="1726"/>
      <c r="AP110" s="1726"/>
      <c r="AS110" s="1726"/>
      <c r="AT110" s="1726"/>
    </row>
    <row r="111" spans="3:46" x14ac:dyDescent="0.25">
      <c r="AC111" s="1726"/>
      <c r="AD111" s="1726"/>
      <c r="AE111" s="1726"/>
      <c r="AF111" s="1726"/>
      <c r="AK111" s="1726"/>
      <c r="AL111" s="1726"/>
      <c r="AO111" s="1726"/>
      <c r="AP111" s="1726"/>
    </row>
    <row r="112" spans="3:46" x14ac:dyDescent="0.25">
      <c r="AC112" s="1726"/>
      <c r="AD112" s="1726"/>
      <c r="AE112" s="1726"/>
      <c r="AF112" s="1726"/>
      <c r="AK112" s="1726"/>
      <c r="AL112" s="1726"/>
      <c r="AO112" s="1726"/>
      <c r="AP112" s="1726"/>
    </row>
    <row r="113" spans="29:42" x14ac:dyDescent="0.25">
      <c r="AC113" s="1726"/>
      <c r="AD113" s="1726"/>
      <c r="AE113" s="1726"/>
      <c r="AF113" s="1726"/>
      <c r="AK113" s="1726"/>
      <c r="AL113" s="1726"/>
      <c r="AO113" s="1726"/>
      <c r="AP113" s="1726"/>
    </row>
    <row r="114" spans="29:42" x14ac:dyDescent="0.25">
      <c r="AC114" s="1726"/>
      <c r="AD114" s="1726"/>
      <c r="AE114" s="1726"/>
      <c r="AF114" s="1726"/>
      <c r="AK114" s="1726"/>
      <c r="AL114" s="1726"/>
      <c r="AO114" s="1726"/>
      <c r="AP114" s="1726"/>
    </row>
    <row r="115" spans="29:42" x14ac:dyDescent="0.25">
      <c r="AC115" s="1726"/>
      <c r="AD115" s="1726"/>
      <c r="AE115" s="1726"/>
      <c r="AF115" s="1726"/>
      <c r="AK115" s="1726"/>
      <c r="AL115" s="1726"/>
      <c r="AO115" s="1726"/>
      <c r="AP115" s="1726"/>
    </row>
    <row r="116" spans="29:42" x14ac:dyDescent="0.25">
      <c r="AC116" s="1726"/>
      <c r="AD116" s="1726"/>
      <c r="AE116" s="1726"/>
      <c r="AF116" s="1726"/>
      <c r="AK116" s="1726"/>
      <c r="AL116" s="1726"/>
      <c r="AO116" s="1726"/>
      <c r="AP116" s="1726"/>
    </row>
    <row r="117" spans="29:42" x14ac:dyDescent="0.25">
      <c r="AC117" s="1726"/>
      <c r="AD117" s="1726"/>
      <c r="AE117" s="1726"/>
      <c r="AF117" s="1726"/>
      <c r="AK117" s="1726"/>
      <c r="AL117" s="1726"/>
      <c r="AO117" s="1726"/>
      <c r="AP117" s="1726"/>
    </row>
    <row r="118" spans="29:42" x14ac:dyDescent="0.25">
      <c r="AC118" s="1726"/>
      <c r="AD118" s="1726"/>
      <c r="AE118" s="1726"/>
      <c r="AF118" s="1726"/>
      <c r="AK118" s="1726"/>
      <c r="AL118" s="1726"/>
      <c r="AO118" s="1726"/>
      <c r="AP118" s="1726"/>
    </row>
    <row r="119" spans="29:42" x14ac:dyDescent="0.25">
      <c r="AC119" s="1726"/>
      <c r="AD119" s="1726"/>
      <c r="AE119" s="1726"/>
      <c r="AF119" s="1726"/>
      <c r="AK119" s="1726"/>
      <c r="AL119" s="1726"/>
      <c r="AO119" s="1726"/>
      <c r="AP119" s="1726"/>
    </row>
    <row r="120" spans="29:42" x14ac:dyDescent="0.25">
      <c r="AC120" s="1726"/>
      <c r="AD120" s="1726"/>
      <c r="AE120" s="1726"/>
      <c r="AF120" s="1726"/>
      <c r="AK120" s="1726"/>
      <c r="AL120" s="1726"/>
      <c r="AO120" s="1726"/>
      <c r="AP120" s="1726"/>
    </row>
    <row r="121" spans="29:42" x14ac:dyDescent="0.25">
      <c r="AC121" s="1726"/>
      <c r="AD121" s="1726"/>
      <c r="AE121" s="1726"/>
      <c r="AF121" s="1726"/>
    </row>
    <row r="122" spans="29:42" x14ac:dyDescent="0.25">
      <c r="AC122" s="1726"/>
      <c r="AD122" s="1726"/>
      <c r="AE122" s="1726"/>
      <c r="AF122" s="1726"/>
    </row>
    <row r="123" spans="29:42" x14ac:dyDescent="0.25">
      <c r="AC123" s="1726"/>
      <c r="AD123" s="1726"/>
      <c r="AE123" s="1726"/>
      <c r="AF123" s="1726"/>
    </row>
    <row r="124" spans="29:42" x14ac:dyDescent="0.25">
      <c r="AC124" s="1726"/>
      <c r="AD124" s="1726"/>
      <c r="AE124" s="1726"/>
      <c r="AF124" s="1726"/>
    </row>
    <row r="125" spans="29:42" x14ac:dyDescent="0.25">
      <c r="AC125" s="1726"/>
      <c r="AD125" s="1726"/>
      <c r="AE125" s="1726"/>
      <c r="AF125" s="1726"/>
    </row>
    <row r="126" spans="29:42" x14ac:dyDescent="0.25">
      <c r="AC126" s="1726"/>
      <c r="AD126" s="1726"/>
      <c r="AE126" s="1726"/>
      <c r="AF126" s="1726"/>
    </row>
    <row r="127" spans="29:42" x14ac:dyDescent="0.25">
      <c r="AC127" s="1726"/>
      <c r="AD127" s="1726"/>
      <c r="AE127" s="1726"/>
      <c r="AF127" s="1726"/>
    </row>
    <row r="128" spans="29:42" x14ac:dyDescent="0.25">
      <c r="AC128" s="1726"/>
      <c r="AD128" s="1726"/>
      <c r="AE128" s="1726"/>
      <c r="AF128" s="1726"/>
    </row>
    <row r="129" spans="29:32" x14ac:dyDescent="0.25">
      <c r="AC129" s="1726"/>
      <c r="AD129" s="1726"/>
      <c r="AE129" s="1726"/>
      <c r="AF129" s="1726"/>
    </row>
    <row r="130" spans="29:32" x14ac:dyDescent="0.25">
      <c r="AC130" s="1726"/>
      <c r="AD130" s="1726"/>
      <c r="AE130" s="1726"/>
      <c r="AF130" s="1726"/>
    </row>
    <row r="131" spans="29:32" x14ac:dyDescent="0.25">
      <c r="AC131" s="1726"/>
      <c r="AD131" s="1726"/>
      <c r="AE131" s="1726"/>
      <c r="AF131" s="1726"/>
    </row>
    <row r="132" spans="29:32" x14ac:dyDescent="0.25">
      <c r="AC132" s="1726"/>
      <c r="AD132" s="1726"/>
      <c r="AE132" s="1726"/>
      <c r="AF132" s="1726"/>
    </row>
    <row r="133" spans="29:32" x14ac:dyDescent="0.25">
      <c r="AC133" s="1726"/>
      <c r="AD133" s="1726"/>
      <c r="AE133" s="1726"/>
      <c r="AF133" s="1726"/>
    </row>
    <row r="134" spans="29:32" x14ac:dyDescent="0.25">
      <c r="AC134" s="1726"/>
      <c r="AD134" s="1726"/>
      <c r="AE134" s="1726"/>
      <c r="AF134" s="1726"/>
    </row>
  </sheetData>
  <mergeCells count="87">
    <mergeCell ref="AY4:AZ4"/>
    <mergeCell ref="BE4:BF4"/>
    <mergeCell ref="AY15:AY19"/>
    <mergeCell ref="BE15:BE19"/>
    <mergeCell ref="AY29:AY31"/>
    <mergeCell ref="BE29:BE31"/>
    <mergeCell ref="BA4:BB4"/>
    <mergeCell ref="BA15:BA19"/>
    <mergeCell ref="BA29:BA31"/>
    <mergeCell ref="BC4:BD4"/>
    <mergeCell ref="BC15:BC19"/>
    <mergeCell ref="BC29:BC31"/>
    <mergeCell ref="AQ4:AR4"/>
    <mergeCell ref="AQ15:AQ19"/>
    <mergeCell ref="AQ29:AQ31"/>
    <mergeCell ref="AS4:AT4"/>
    <mergeCell ref="AS15:AS19"/>
    <mergeCell ref="AS29:AS31"/>
    <mergeCell ref="AG4:AH4"/>
    <mergeCell ref="AI4:AJ4"/>
    <mergeCell ref="AG15:AG19"/>
    <mergeCell ref="AI15:AI19"/>
    <mergeCell ref="AG29:AG31"/>
    <mergeCell ref="AI29:AI31"/>
    <mergeCell ref="AC4:AD4"/>
    <mergeCell ref="AE4:AF4"/>
    <mergeCell ref="AC15:AC19"/>
    <mergeCell ref="AE15:AE19"/>
    <mergeCell ref="AC29:AC31"/>
    <mergeCell ref="AE29:AE31"/>
    <mergeCell ref="S4:T4"/>
    <mergeCell ref="U4:V4"/>
    <mergeCell ref="S15:S19"/>
    <mergeCell ref="U15:U19"/>
    <mergeCell ref="S29:S31"/>
    <mergeCell ref="U29:U31"/>
    <mergeCell ref="M29:M31"/>
    <mergeCell ref="E29:E31"/>
    <mergeCell ref="D16:D19"/>
    <mergeCell ref="O4:P4"/>
    <mergeCell ref="Q4:R4"/>
    <mergeCell ref="G29:G31"/>
    <mergeCell ref="I29:I31"/>
    <mergeCell ref="K15:K19"/>
    <mergeCell ref="K29:K31"/>
    <mergeCell ref="M15:M19"/>
    <mergeCell ref="O15:O19"/>
    <mergeCell ref="Q15:Q19"/>
    <mergeCell ref="O29:O31"/>
    <mergeCell ref="Q29:Q31"/>
    <mergeCell ref="I4:J4"/>
    <mergeCell ref="K4:L4"/>
    <mergeCell ref="C2:C3"/>
    <mergeCell ref="C4:C5"/>
    <mergeCell ref="D4:D5"/>
    <mergeCell ref="E4:F4"/>
    <mergeCell ref="G4:H4"/>
    <mergeCell ref="C8:C9"/>
    <mergeCell ref="C22:C23"/>
    <mergeCell ref="M4:N4"/>
    <mergeCell ref="E15:E19"/>
    <mergeCell ref="G15:G19"/>
    <mergeCell ref="I15:I19"/>
    <mergeCell ref="W4:X4"/>
    <mergeCell ref="AA4:AB4"/>
    <mergeCell ref="W15:W19"/>
    <mergeCell ref="AA15:AA19"/>
    <mergeCell ref="W29:W31"/>
    <mergeCell ref="AA29:AA31"/>
    <mergeCell ref="Y4:Z4"/>
    <mergeCell ref="Y15:Y19"/>
    <mergeCell ref="Y29:Y31"/>
    <mergeCell ref="AM29:AM31"/>
    <mergeCell ref="AO4:AP4"/>
    <mergeCell ref="AK15:AK19"/>
    <mergeCell ref="AO15:AO19"/>
    <mergeCell ref="AM4:AN4"/>
    <mergeCell ref="AM15:AM19"/>
    <mergeCell ref="AK29:AK31"/>
    <mergeCell ref="AO29:AO31"/>
    <mergeCell ref="AK4:AL4"/>
    <mergeCell ref="AU4:AV4"/>
    <mergeCell ref="AU15:AU19"/>
    <mergeCell ref="AU29:AU31"/>
    <mergeCell ref="AW4:AX4"/>
    <mergeCell ref="AW15:AW19"/>
    <mergeCell ref="AW29:AW31"/>
  </mergeCells>
  <pageMargins left="0.7" right="0.7" top="0.75" bottom="0.75" header="0.3" footer="0.3"/>
  <pageSetup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XBL78"/>
  <sheetViews>
    <sheetView workbookViewId="0">
      <pane xSplit="4" ySplit="3" topLeftCell="AA4" activePane="bottomRight" state="frozen"/>
      <selection pane="topRight" activeCell="E1" sqref="E1"/>
      <selection pane="bottomLeft" activeCell="A4" sqref="A4"/>
      <selection pane="bottomRight" activeCell="BA60" sqref="BA60"/>
    </sheetView>
  </sheetViews>
  <sheetFormatPr defaultRowHeight="15" x14ac:dyDescent="0.25"/>
  <cols>
    <col min="3" max="3" width="24.5703125" bestFit="1" customWidth="1"/>
    <col min="4" max="4" width="41.140625" bestFit="1" customWidth="1"/>
    <col min="5" max="5" width="9.85546875" bestFit="1" customWidth="1"/>
    <col min="6" max="6" width="15.42578125" style="1584" hidden="1" customWidth="1"/>
    <col min="7" max="7" width="12.5703125" bestFit="1" customWidth="1"/>
    <col min="8" max="8" width="8.42578125" style="1584" hidden="1" customWidth="1"/>
    <col min="9" max="9" width="9.85546875" bestFit="1" customWidth="1"/>
    <col min="10" max="12" width="10.140625" style="1584" hidden="1" customWidth="1"/>
    <col min="13" max="13" width="9.85546875" bestFit="1" customWidth="1"/>
    <col min="14" max="14" width="10.140625" style="1584" hidden="1" customWidth="1"/>
    <col min="15" max="15" width="9.85546875" bestFit="1" customWidth="1"/>
    <col min="16" max="16" width="9.85546875" hidden="1" customWidth="1"/>
    <col min="17" max="17" width="9.85546875" bestFit="1" customWidth="1"/>
    <col min="18" max="18" width="9.85546875" hidden="1" customWidth="1"/>
    <col min="19" max="19" width="14.28515625" hidden="1" customWidth="1"/>
    <col min="20" max="20" width="9.85546875" hidden="1" customWidth="1"/>
    <col min="21" max="21" width="9.85546875" bestFit="1" customWidth="1"/>
    <col min="22" max="22" width="9.85546875" hidden="1" customWidth="1"/>
    <col min="23" max="23" width="14.42578125" hidden="1" customWidth="1"/>
    <col min="24" max="24" width="9.85546875" hidden="1" customWidth="1"/>
    <col min="25" max="25" width="10.42578125" customWidth="1"/>
    <col min="26" max="26" width="9.85546875" hidden="1" customWidth="1"/>
    <col min="27" max="27" width="9.85546875" customWidth="1"/>
    <col min="28" max="28" width="11.28515625" hidden="1" customWidth="1"/>
    <col min="29" max="29" width="12.5703125" bestFit="1" customWidth="1"/>
    <col min="30" max="30" width="9.85546875" hidden="1" customWidth="1"/>
    <col min="31" max="31" width="9.85546875" bestFit="1" customWidth="1"/>
    <col min="32" max="33" width="11.28515625" hidden="1" customWidth="1"/>
    <col min="34" max="34" width="9.85546875" hidden="1" customWidth="1"/>
    <col min="35" max="35" width="9.85546875" bestFit="1" customWidth="1"/>
    <col min="36" max="36" width="11.28515625" hidden="1" customWidth="1"/>
    <col min="37" max="37" width="12.5703125" hidden="1" customWidth="1"/>
    <col min="38" max="38" width="9.85546875" hidden="1" customWidth="1"/>
    <col min="39" max="39" width="9.85546875" bestFit="1" customWidth="1"/>
    <col min="40" max="40" width="9.85546875" style="1726" hidden="1" customWidth="1"/>
    <col min="41" max="41" width="9.85546875" style="1726" customWidth="1"/>
    <col min="42" max="43" width="11.28515625" hidden="1" customWidth="1"/>
    <col min="44" max="44" width="9.85546875" hidden="1" customWidth="1"/>
    <col min="45" max="45" width="9.85546875" bestFit="1" customWidth="1"/>
    <col min="46" max="47" width="11.28515625" hidden="1" customWidth="1"/>
    <col min="48" max="48" width="9.85546875" hidden="1" customWidth="1"/>
    <col min="49" max="49" width="9.85546875" bestFit="1" customWidth="1"/>
    <col min="50" max="51" width="11.28515625" hidden="1" customWidth="1"/>
    <col min="52" max="52" width="9.85546875" hidden="1" customWidth="1"/>
    <col min="53" max="53" width="9.85546875" bestFit="1" customWidth="1"/>
    <col min="54" max="54" width="9.85546875" style="4240" hidden="1" customWidth="1"/>
    <col min="55" max="55" width="9.85546875" style="4240" customWidth="1"/>
    <col min="56" max="56" width="11.28515625" style="4240" hidden="1" customWidth="1"/>
    <col min="57" max="57" width="15.7109375" style="4240" hidden="1" customWidth="1"/>
    <col min="58" max="58" width="9.85546875" hidden="1" customWidth="1"/>
    <col min="59" max="59" width="11.28515625" bestFit="1" customWidth="1"/>
    <col min="60" max="60" width="9.85546875" bestFit="1" customWidth="1"/>
  </cols>
  <sheetData>
    <row r="1" spans="3:59" ht="23.25" x14ac:dyDescent="0.35">
      <c r="C1" s="5420" t="s">
        <v>1421</v>
      </c>
      <c r="D1" s="5420"/>
      <c r="E1" s="5420"/>
      <c r="F1" s="5420"/>
      <c r="G1" s="5420"/>
      <c r="H1" s="5420"/>
      <c r="I1" s="5420"/>
      <c r="J1" s="5420"/>
      <c r="K1" s="5420"/>
      <c r="L1" s="5420"/>
      <c r="M1" s="5420"/>
      <c r="N1" s="5420"/>
      <c r="O1" s="5420"/>
      <c r="P1" s="5420"/>
      <c r="Q1" s="5420"/>
      <c r="R1" s="5420"/>
      <c r="S1" s="5420"/>
      <c r="T1" s="5420"/>
      <c r="U1" s="5420"/>
      <c r="V1" s="5420"/>
      <c r="W1" s="5420"/>
      <c r="X1" s="5420"/>
      <c r="Y1" s="5420"/>
      <c r="Z1" s="5420"/>
      <c r="AA1" s="5420"/>
      <c r="AB1" s="5420"/>
      <c r="AC1" s="5420"/>
      <c r="AD1" s="5420"/>
      <c r="AE1" s="5420"/>
      <c r="AF1" s="5420"/>
      <c r="AG1" s="5420"/>
    </row>
    <row r="3" spans="3:59" ht="18.75" x14ac:dyDescent="0.3">
      <c r="C3" s="1519" t="s">
        <v>1348</v>
      </c>
      <c r="D3" s="1519" t="s">
        <v>1119</v>
      </c>
      <c r="E3" s="1519" t="s">
        <v>198</v>
      </c>
      <c r="F3" s="5425" t="s">
        <v>1349</v>
      </c>
      <c r="G3" s="5426"/>
      <c r="H3" s="5425" t="s">
        <v>1384</v>
      </c>
      <c r="I3" s="5426"/>
      <c r="J3" s="5431" t="s">
        <v>785</v>
      </c>
      <c r="K3" s="5432"/>
      <c r="L3" s="5425" t="s">
        <v>1397</v>
      </c>
      <c r="M3" s="5426"/>
      <c r="N3" s="5419" t="s">
        <v>741</v>
      </c>
      <c r="O3" s="5419"/>
      <c r="P3" s="5417" t="s">
        <v>1424</v>
      </c>
      <c r="Q3" s="5417"/>
      <c r="R3" s="5418" t="s">
        <v>770</v>
      </c>
      <c r="S3" s="5418"/>
      <c r="T3" s="5417" t="s">
        <v>1496</v>
      </c>
      <c r="U3" s="5417"/>
      <c r="V3" s="5418" t="s">
        <v>1068</v>
      </c>
      <c r="W3" s="5418"/>
      <c r="X3" s="5417" t="s">
        <v>1573</v>
      </c>
      <c r="Y3" s="5417"/>
      <c r="Z3" s="5419" t="s">
        <v>788</v>
      </c>
      <c r="AA3" s="5419"/>
      <c r="AB3" s="5427" t="s">
        <v>784</v>
      </c>
      <c r="AC3" s="5427"/>
      <c r="AD3" s="5417" t="s">
        <v>1634</v>
      </c>
      <c r="AE3" s="5417"/>
      <c r="AF3" s="5418" t="s">
        <v>1635</v>
      </c>
      <c r="AG3" s="5418"/>
      <c r="AH3" s="5417" t="s">
        <v>1671</v>
      </c>
      <c r="AI3" s="5417"/>
      <c r="AJ3" s="5418" t="s">
        <v>1672</v>
      </c>
      <c r="AK3" s="5418"/>
      <c r="AL3" s="5417" t="s">
        <v>1696</v>
      </c>
      <c r="AM3" s="5417"/>
      <c r="AN3" s="5419" t="s">
        <v>799</v>
      </c>
      <c r="AO3" s="5419"/>
      <c r="AP3" s="5418" t="s">
        <v>1221</v>
      </c>
      <c r="AQ3" s="5418"/>
      <c r="AR3" s="5417" t="s">
        <v>1760</v>
      </c>
      <c r="AS3" s="5417"/>
      <c r="AT3" s="5418" t="s">
        <v>1761</v>
      </c>
      <c r="AU3" s="5418"/>
      <c r="AV3" s="5417" t="s">
        <v>1812</v>
      </c>
      <c r="AW3" s="5417"/>
      <c r="AX3" s="5418" t="s">
        <v>809</v>
      </c>
      <c r="AY3" s="5418"/>
      <c r="AZ3" s="5417" t="s">
        <v>1844</v>
      </c>
      <c r="BA3" s="5417"/>
      <c r="BB3" s="5419" t="s">
        <v>800</v>
      </c>
      <c r="BC3" s="5419"/>
      <c r="BD3" s="5427" t="s">
        <v>817</v>
      </c>
      <c r="BE3" s="5427"/>
      <c r="BF3" s="5418" t="s">
        <v>1314</v>
      </c>
      <c r="BG3" s="5418"/>
    </row>
    <row r="4" spans="3:59" ht="18.75" x14ac:dyDescent="0.3">
      <c r="C4" s="1520" t="s">
        <v>17</v>
      </c>
      <c r="D4" s="1520" t="s">
        <v>1145</v>
      </c>
      <c r="E4" s="5428" t="s">
        <v>69</v>
      </c>
      <c r="F4" s="1520"/>
      <c r="G4" s="1521">
        <f>+SUMIF(WRM!$C$7:$C$87,$D4,WRM!$F$7:$F$87)</f>
        <v>6419.7980000000007</v>
      </c>
      <c r="H4" s="1521"/>
      <c r="I4" s="1521">
        <f>+SUMIF(WRM!$C$7:$C$87,$D4,WRM!$H$7:$H$87)</f>
        <v>3522.0819999999999</v>
      </c>
      <c r="J4" s="1738"/>
      <c r="K4" s="1738">
        <f>+G4+I4</f>
        <v>9941.880000000001</v>
      </c>
      <c r="L4" s="1521"/>
      <c r="M4" s="1521">
        <f>+SUMIF(WRM!$C$7:$C$87,$D4,WRM!$L$7:$L$87)</f>
        <v>7621.8999999999987</v>
      </c>
      <c r="N4" s="1743"/>
      <c r="O4" s="1743">
        <f>+K4+M4</f>
        <v>17563.78</v>
      </c>
      <c r="P4" s="421"/>
      <c r="Q4" s="1521">
        <f>+SUMIF(WRM!$C$7:$C$87,$D4,WRM!$P$7:$P$87)</f>
        <v>3366.1</v>
      </c>
      <c r="R4" s="1671"/>
      <c r="S4" s="1738">
        <f>+O4+Q4</f>
        <v>20929.879999999997</v>
      </c>
      <c r="T4" s="421"/>
      <c r="U4" s="1521">
        <f>+SUMIF(WRM!$C$7:$C$87,$D4,WRM!$T$7:$T$87)</f>
        <v>5395.6</v>
      </c>
      <c r="V4" s="1671"/>
      <c r="W4" s="1738">
        <f>+S4+U4</f>
        <v>26325.479999999996</v>
      </c>
      <c r="X4" s="421"/>
      <c r="Y4" s="1521">
        <f>+SUMIF(WRM!$C$7:$C$87,$D4,WRM!$X$7:$X$87)</f>
        <v>6635.8499999999995</v>
      </c>
      <c r="Z4" s="1672"/>
      <c r="AA4" s="1743">
        <f>+Y4+U4+Q4</f>
        <v>15397.550000000001</v>
      </c>
      <c r="AB4" s="1817"/>
      <c r="AC4" s="1954">
        <f>+O4+AA4</f>
        <v>32961.33</v>
      </c>
      <c r="AD4" s="421"/>
      <c r="AE4" s="1521">
        <f>+SUMIF(WRM!$C$7:$C$87,$D4,WRM!$AD$7:$AD$87)</f>
        <v>3339.45</v>
      </c>
      <c r="AF4" s="1671"/>
      <c r="AG4" s="1738">
        <f>+AC4+AE4</f>
        <v>36300.78</v>
      </c>
      <c r="AH4" s="421"/>
      <c r="AI4" s="1521">
        <f>+SUMIF(WRM!$C$7:$C$87,$D4,WRM!$AH$7:$AH$87)</f>
        <v>3284.1000000000004</v>
      </c>
      <c r="AJ4" s="1671"/>
      <c r="AK4" s="1738">
        <f>+AG4+AI4</f>
        <v>39584.879999999997</v>
      </c>
      <c r="AL4" s="421"/>
      <c r="AM4" s="1521">
        <f>+SUMIF(WRM!$C$7:$C$87,$D4,WRM!$AL$7:$AL$87)</f>
        <v>3253.3499999999995</v>
      </c>
      <c r="AN4" s="1672"/>
      <c r="AO4" s="1743">
        <f>+AM4+AI4+AE4</f>
        <v>9876.9</v>
      </c>
      <c r="AP4" s="1671"/>
      <c r="AQ4" s="1738">
        <f t="shared" ref="AQ4:AQ45" si="0">+AK4+AM4</f>
        <v>42838.229999999996</v>
      </c>
      <c r="AR4" s="421"/>
      <c r="AS4" s="1521">
        <f>+SUMIF(WRM!$C$7:$C$87,$D4,WRM!$AR$7:$AR$87)</f>
        <v>2355.4499999999998</v>
      </c>
      <c r="AT4" s="1671"/>
      <c r="AU4" s="1738">
        <f>+AQ4+AS4</f>
        <v>45193.679999999993</v>
      </c>
      <c r="AV4" s="421"/>
      <c r="AW4" s="1521">
        <f>+SUMIF(WRM!$C$7:$C$87,$D4,WRM!$AV$7:$AV$87)</f>
        <v>3171.3499999999995</v>
      </c>
      <c r="AX4" s="1671"/>
      <c r="AY4" s="1738">
        <f>+AU4+AW4</f>
        <v>48365.029999999992</v>
      </c>
      <c r="AZ4" s="421"/>
      <c r="BA4" s="1521">
        <f>+SUMIF(WRM!$C$7:$C$87,$D4,WRM!$AZ$7:$AZ$87)</f>
        <v>4801.1000000000004</v>
      </c>
      <c r="BB4" s="1672"/>
      <c r="BC4" s="1743">
        <f>+AS4+AW4+BA4</f>
        <v>10327.9</v>
      </c>
      <c r="BD4" s="1817"/>
      <c r="BE4" s="1954">
        <f>+AO4+BC4</f>
        <v>20204.8</v>
      </c>
      <c r="BF4" s="1671"/>
      <c r="BG4" s="1738">
        <f>+AY4+BA4</f>
        <v>53166.12999999999</v>
      </c>
    </row>
    <row r="5" spans="3:59" ht="18.75" x14ac:dyDescent="0.3">
      <c r="C5" s="1520" t="s">
        <v>17</v>
      </c>
      <c r="D5" s="1520" t="s">
        <v>1205</v>
      </c>
      <c r="E5" s="5429"/>
      <c r="F5" s="1520"/>
      <c r="G5" s="1521">
        <f>+SUMIF(WRM!$C$7:$C$87,$D5,WRM!$F$7:$F$87)</f>
        <v>220.45599999999999</v>
      </c>
      <c r="H5" s="1521"/>
      <c r="I5" s="1521">
        <f>+SUMIF(WRM!$C$7:$C$87,$D5,WRM!$H$7:$H$87)</f>
        <v>0</v>
      </c>
      <c r="J5" s="1738"/>
      <c r="K5" s="1738">
        <f t="shared" ref="K5:K32" si="1">+G5+I5</f>
        <v>220.45599999999999</v>
      </c>
      <c r="L5" s="1521"/>
      <c r="M5" s="1521">
        <f>+SUMIF(WRM!$C$7:$C$87,$D5,WRM!$L$7:$L$87)</f>
        <v>0</v>
      </c>
      <c r="N5" s="1743"/>
      <c r="O5" s="1743">
        <f t="shared" ref="O5:O32" si="2">+K5+M5</f>
        <v>220.45599999999999</v>
      </c>
      <c r="P5" s="421"/>
      <c r="Q5" s="1521">
        <f>+SUMIF(WRM!$C$7:$C$87,$D5,WRM!$P$7:$P$87)</f>
        <v>0</v>
      </c>
      <c r="R5" s="1671"/>
      <c r="S5" s="1738">
        <f t="shared" ref="S5:S23" si="3">+O5+Q5</f>
        <v>220.45599999999999</v>
      </c>
      <c r="T5" s="421"/>
      <c r="U5" s="1521">
        <f>+SUMIF(WRM!$C$7:$C$87,$D5,WRM!$T$7:$T$87)</f>
        <v>0</v>
      </c>
      <c r="V5" s="1671"/>
      <c r="W5" s="1738">
        <f t="shared" ref="W5:W32" si="4">+S5+U5</f>
        <v>220.45599999999999</v>
      </c>
      <c r="X5" s="421"/>
      <c r="Y5" s="1521">
        <f>+SUMIF(WRM!$C$7:$C$87,$D5,WRM!$X$7:$X$87)</f>
        <v>0</v>
      </c>
      <c r="Z5" s="1672"/>
      <c r="AA5" s="1743">
        <f t="shared" ref="AA5:AA32" si="5">+Y5+U5+Q5</f>
        <v>0</v>
      </c>
      <c r="AB5" s="1817"/>
      <c r="AC5" s="1954">
        <f t="shared" ref="AC5:AC32" si="6">+O5+AA5</f>
        <v>220.45599999999999</v>
      </c>
      <c r="AD5" s="421"/>
      <c r="AE5" s="1521">
        <f>+SUMIF(WRM!$C$7:$C$87,$D5,WRM!$AD$7:$AD$87)</f>
        <v>0</v>
      </c>
      <c r="AF5" s="1671"/>
      <c r="AG5" s="1738">
        <f t="shared" ref="AG5:AG32" si="7">+AC5+AE5</f>
        <v>220.45599999999999</v>
      </c>
      <c r="AH5" s="421"/>
      <c r="AI5" s="1521">
        <f>+SUMIF(WRM!$C$7:$C$87,$D5,WRM!$AH$7:$AH$87)</f>
        <v>0</v>
      </c>
      <c r="AJ5" s="1671"/>
      <c r="AK5" s="1738">
        <f t="shared" ref="AK5:AK32" si="8">+AG5+AI5</f>
        <v>220.45599999999999</v>
      </c>
      <c r="AL5" s="421"/>
      <c r="AM5" s="1521">
        <f>+SUMIF(WRM!$C$7:$C$87,$D5,WRM!$AL$7:$AL$87)</f>
        <v>0</v>
      </c>
      <c r="AN5" s="1672"/>
      <c r="AO5" s="1743">
        <f t="shared" ref="AO5:AO32" si="9">+AM5+AI5+AE5</f>
        <v>0</v>
      </c>
      <c r="AP5" s="1671"/>
      <c r="AQ5" s="1738">
        <f t="shared" si="0"/>
        <v>220.45599999999999</v>
      </c>
      <c r="AR5" s="421"/>
      <c r="AS5" s="1521">
        <f>+SUMIF(WRM!$C$7:$C$87,$D5,WRM!$AR$7:$AR$87)</f>
        <v>0</v>
      </c>
      <c r="AT5" s="1671"/>
      <c r="AU5" s="1738">
        <f t="shared" ref="AU5:AU71" si="10">+AQ5+AS5</f>
        <v>220.45599999999999</v>
      </c>
      <c r="AV5" s="421"/>
      <c r="AW5" s="1521">
        <f>+SUMIF(WRM!$C$7:$C$87,$D5,WRM!$AV$7:$AV$87)</f>
        <v>0</v>
      </c>
      <c r="AX5" s="1671"/>
      <c r="AY5" s="1738">
        <f t="shared" ref="AY5:AY71" si="11">+AU5+AW5</f>
        <v>220.45599999999999</v>
      </c>
      <c r="AZ5" s="421"/>
      <c r="BA5" s="1521">
        <f>+SUMIF(WRM!$C$7:$C$87,$D5,WRM!$AZ$7:$AZ$87)</f>
        <v>0</v>
      </c>
      <c r="BB5" s="1672"/>
      <c r="BC5" s="1743">
        <f t="shared" ref="BC5:BC69" si="12">+AS5+AW5+BA5</f>
        <v>0</v>
      </c>
      <c r="BD5" s="1817"/>
      <c r="BE5" s="1954">
        <f t="shared" ref="BE5:BE69" si="13">+AO5+BC5</f>
        <v>0</v>
      </c>
      <c r="BF5" s="1671"/>
      <c r="BG5" s="1738">
        <f t="shared" ref="BG5:BG61" si="14">+AY5+BA5</f>
        <v>220.45599999999999</v>
      </c>
    </row>
    <row r="6" spans="3:59" ht="18.75" x14ac:dyDescent="0.3">
      <c r="C6" s="1520" t="s">
        <v>17</v>
      </c>
      <c r="D6" s="1520" t="s">
        <v>1225</v>
      </c>
      <c r="E6" s="5429"/>
      <c r="F6" s="1520"/>
      <c r="G6" s="1521">
        <f>+SUMIF(WRM!$C$7:$C$87,$D6,WRM!$F$7:$F$87)</f>
        <v>121.54</v>
      </c>
      <c r="H6" s="1521"/>
      <c r="I6" s="1521">
        <f>+SUMIF(WRM!$C$7:$C$87,$D6,WRM!$H$7:$H$87)</f>
        <v>157.85</v>
      </c>
      <c r="J6" s="1738"/>
      <c r="K6" s="1738">
        <f t="shared" si="1"/>
        <v>279.39</v>
      </c>
      <c r="L6" s="1521"/>
      <c r="M6" s="1521">
        <f>+SUMIF(WRM!$C$7:$C$87,$D6,WRM!$L$7:$L$87)</f>
        <v>0</v>
      </c>
      <c r="N6" s="1743"/>
      <c r="O6" s="1743">
        <f t="shared" si="2"/>
        <v>279.39</v>
      </c>
      <c r="P6" s="421"/>
      <c r="Q6" s="1521">
        <f>+SUMIF(WRM!$C$7:$C$87,$D6,WRM!$P$7:$P$87)</f>
        <v>0</v>
      </c>
      <c r="R6" s="1671"/>
      <c r="S6" s="1738">
        <f t="shared" si="3"/>
        <v>279.39</v>
      </c>
      <c r="T6" s="421"/>
      <c r="U6" s="1521">
        <f>+SUMIF(WRM!$C$7:$C$87,$D6,WRM!$T$7:$T$87)</f>
        <v>0</v>
      </c>
      <c r="V6" s="1671"/>
      <c r="W6" s="1738">
        <f t="shared" si="4"/>
        <v>279.39</v>
      </c>
      <c r="X6" s="421"/>
      <c r="Y6" s="1521">
        <f>+SUMIF(WRM!$C$7:$C$87,$D6,WRM!$X$7:$X$87)</f>
        <v>20.5</v>
      </c>
      <c r="Z6" s="1672"/>
      <c r="AA6" s="1743">
        <f t="shared" si="5"/>
        <v>20.5</v>
      </c>
      <c r="AB6" s="1817"/>
      <c r="AC6" s="1954">
        <f t="shared" si="6"/>
        <v>299.89</v>
      </c>
      <c r="AD6" s="421"/>
      <c r="AE6" s="1521">
        <f>+SUMIF(WRM!$C$7:$C$87,$D6,WRM!$AD$7:$AD$87)</f>
        <v>0</v>
      </c>
      <c r="AF6" s="1671"/>
      <c r="AG6" s="1738">
        <f t="shared" si="7"/>
        <v>299.89</v>
      </c>
      <c r="AH6" s="421"/>
      <c r="AI6" s="1521">
        <f>+SUMIF(WRM!$C$7:$C$87,$D6,WRM!$AH$7:$AH$87)</f>
        <v>0</v>
      </c>
      <c r="AJ6" s="1671"/>
      <c r="AK6" s="1738">
        <f t="shared" si="8"/>
        <v>299.89</v>
      </c>
      <c r="AL6" s="421"/>
      <c r="AM6" s="1521">
        <f>+SUMIF(WRM!$C$7:$C$87,$D6,WRM!$AL$7:$AL$87)</f>
        <v>1176.6999999999998</v>
      </c>
      <c r="AN6" s="1672"/>
      <c r="AO6" s="1743">
        <f t="shared" si="9"/>
        <v>1176.6999999999998</v>
      </c>
      <c r="AP6" s="1671"/>
      <c r="AQ6" s="1738">
        <f t="shared" si="0"/>
        <v>1476.5899999999997</v>
      </c>
      <c r="AR6" s="421"/>
      <c r="AS6" s="1521">
        <f>+SUMIF(WRM!$C$7:$C$87,$D6,WRM!$AR$7:$AR$87)</f>
        <v>51.249999999999993</v>
      </c>
      <c r="AT6" s="1671"/>
      <c r="AU6" s="1738">
        <f t="shared" si="10"/>
        <v>1527.8399999999997</v>
      </c>
      <c r="AV6" s="421"/>
      <c r="AW6" s="1521">
        <f>+SUMIF(WRM!$C$7:$C$87,$D6,WRM!$AV$7:$AV$87)</f>
        <v>0</v>
      </c>
      <c r="AX6" s="1671"/>
      <c r="AY6" s="1738">
        <f t="shared" si="11"/>
        <v>1527.8399999999997</v>
      </c>
      <c r="AZ6" s="421"/>
      <c r="BA6" s="1521">
        <f>+SUMIF(WRM!$C$7:$C$87,$D6,WRM!$AZ$7:$AZ$87)</f>
        <v>0</v>
      </c>
      <c r="BB6" s="1672"/>
      <c r="BC6" s="1743">
        <f t="shared" si="12"/>
        <v>51.249999999999993</v>
      </c>
      <c r="BD6" s="1817"/>
      <c r="BE6" s="1954">
        <f t="shared" si="13"/>
        <v>1227.9499999999998</v>
      </c>
      <c r="BF6" s="1671"/>
      <c r="BG6" s="1738">
        <f t="shared" si="14"/>
        <v>1527.8399999999997</v>
      </c>
    </row>
    <row r="7" spans="3:59" s="1726" customFormat="1" ht="18.75" x14ac:dyDescent="0.3">
      <c r="C7" s="1520" t="s">
        <v>17</v>
      </c>
      <c r="D7" s="1520" t="s">
        <v>1650</v>
      </c>
      <c r="E7" s="5429"/>
      <c r="F7" s="1520"/>
      <c r="G7" s="1521">
        <f>+SUMIF(WRM!$C$7:$C$87,$D7,WRM!$F$7:$F$87)</f>
        <v>0</v>
      </c>
      <c r="H7" s="1521"/>
      <c r="I7" s="1521">
        <f>+SUMIF(WRM!$C$7:$C$87,$D7,WRM!$H$7:$H$87)</f>
        <v>0</v>
      </c>
      <c r="J7" s="1738"/>
      <c r="K7" s="1738">
        <f t="shared" si="1"/>
        <v>0</v>
      </c>
      <c r="L7" s="1521"/>
      <c r="M7" s="1521">
        <f>+SUMIF(WRM!$C$7:$C$87,$D7,WRM!$L$7:$L$87)</f>
        <v>0</v>
      </c>
      <c r="N7" s="1743"/>
      <c r="O7" s="1743">
        <f t="shared" si="2"/>
        <v>0</v>
      </c>
      <c r="P7" s="421"/>
      <c r="Q7" s="1521">
        <f>+SUMIF(WRM!$C$7:$C$87,$D7,WRM!$P$7:$P$87)</f>
        <v>0</v>
      </c>
      <c r="R7" s="1671"/>
      <c r="S7" s="1738">
        <f t="shared" si="3"/>
        <v>0</v>
      </c>
      <c r="T7" s="421"/>
      <c r="U7" s="1521">
        <f>+SUMIF(WRM!$C$7:$C$87,$D7,WRM!$T$7:$T$87)</f>
        <v>0</v>
      </c>
      <c r="V7" s="1671"/>
      <c r="W7" s="1738">
        <f t="shared" si="4"/>
        <v>0</v>
      </c>
      <c r="X7" s="421"/>
      <c r="Y7" s="1521">
        <f>+SUMIF(WRM!$C$7:$C$87,$D7,WRM!$X$7:$X$87)</f>
        <v>0</v>
      </c>
      <c r="Z7" s="1672"/>
      <c r="AA7" s="1743">
        <f t="shared" si="5"/>
        <v>0</v>
      </c>
      <c r="AB7" s="1817"/>
      <c r="AC7" s="1954">
        <f t="shared" si="6"/>
        <v>0</v>
      </c>
      <c r="AD7" s="421"/>
      <c r="AE7" s="1521">
        <f>+SUMIF(WRM!$C$7:$C$87,$D7,WRM!$AD$7:$AD$87)</f>
        <v>41</v>
      </c>
      <c r="AF7" s="1671"/>
      <c r="AG7" s="1738">
        <f t="shared" si="7"/>
        <v>41</v>
      </c>
      <c r="AH7" s="421"/>
      <c r="AI7" s="1521">
        <f>+SUMIF(WRM!$C$7:$C$87,$D7,WRM!$AH$7:$AH$87)</f>
        <v>0</v>
      </c>
      <c r="AJ7" s="1671"/>
      <c r="AK7" s="1738">
        <f t="shared" si="8"/>
        <v>41</v>
      </c>
      <c r="AL7" s="421"/>
      <c r="AM7" s="1521">
        <f>+SUMIF(WRM!$C$7:$C$87,$D7,WRM!$AL$7:$AL$87)</f>
        <v>0</v>
      </c>
      <c r="AN7" s="1672"/>
      <c r="AO7" s="1743">
        <f t="shared" si="9"/>
        <v>41</v>
      </c>
      <c r="AP7" s="1671"/>
      <c r="AQ7" s="1738">
        <f t="shared" si="0"/>
        <v>41</v>
      </c>
      <c r="AR7" s="421"/>
      <c r="AS7" s="1521">
        <f>+SUMIF(WRM!$C$7:$C$87,$D7,WRM!$AR$7:$AR$87)</f>
        <v>0</v>
      </c>
      <c r="AT7" s="1671"/>
      <c r="AU7" s="1738">
        <f t="shared" si="10"/>
        <v>41</v>
      </c>
      <c r="AV7" s="421"/>
      <c r="AW7" s="1521">
        <f>+SUMIF(WRM!$C$7:$C$87,$D7,WRM!$AV$7:$AV$87)</f>
        <v>0</v>
      </c>
      <c r="AX7" s="1671"/>
      <c r="AY7" s="1738">
        <f t="shared" si="11"/>
        <v>41</v>
      </c>
      <c r="AZ7" s="421"/>
      <c r="BA7" s="1521">
        <f>+SUMIF(WRM!$C$7:$C$87,$D7,WRM!$AZ$7:$AZ$87)</f>
        <v>0</v>
      </c>
      <c r="BB7" s="1672"/>
      <c r="BC7" s="1743">
        <f t="shared" si="12"/>
        <v>0</v>
      </c>
      <c r="BD7" s="1817"/>
      <c r="BE7" s="1954">
        <f t="shared" si="13"/>
        <v>41</v>
      </c>
      <c r="BF7" s="1671"/>
      <c r="BG7" s="1738">
        <f t="shared" si="14"/>
        <v>41</v>
      </c>
    </row>
    <row r="8" spans="3:59" s="1726" customFormat="1" ht="18.75" x14ac:dyDescent="0.3">
      <c r="C8" s="1520" t="s">
        <v>17</v>
      </c>
      <c r="D8" s="1520" t="s">
        <v>1714</v>
      </c>
      <c r="E8" s="5429"/>
      <c r="F8" s="1520"/>
      <c r="G8" s="1521"/>
      <c r="H8" s="1521"/>
      <c r="I8" s="1521"/>
      <c r="J8" s="1738"/>
      <c r="K8" s="1738">
        <f t="shared" si="1"/>
        <v>0</v>
      </c>
      <c r="L8" s="1521"/>
      <c r="M8" s="1521"/>
      <c r="N8" s="1743"/>
      <c r="O8" s="1743">
        <f t="shared" si="2"/>
        <v>0</v>
      </c>
      <c r="P8" s="421"/>
      <c r="Q8" s="1521"/>
      <c r="R8" s="1671"/>
      <c r="S8" s="1738">
        <f t="shared" si="3"/>
        <v>0</v>
      </c>
      <c r="T8" s="421"/>
      <c r="U8" s="1521"/>
      <c r="V8" s="1671"/>
      <c r="W8" s="1738">
        <f t="shared" si="4"/>
        <v>0</v>
      </c>
      <c r="X8" s="421"/>
      <c r="Y8" s="1521"/>
      <c r="Z8" s="1672"/>
      <c r="AA8" s="1743">
        <f t="shared" si="5"/>
        <v>0</v>
      </c>
      <c r="AB8" s="1817"/>
      <c r="AC8" s="1954">
        <f t="shared" si="6"/>
        <v>0</v>
      </c>
      <c r="AD8" s="421"/>
      <c r="AE8" s="1521"/>
      <c r="AF8" s="1671"/>
      <c r="AG8" s="1738">
        <f t="shared" si="7"/>
        <v>0</v>
      </c>
      <c r="AH8" s="421"/>
      <c r="AI8" s="1521"/>
      <c r="AJ8" s="1671"/>
      <c r="AK8" s="1738">
        <f t="shared" si="8"/>
        <v>0</v>
      </c>
      <c r="AL8" s="421"/>
      <c r="AM8" s="1521">
        <f>+SUMIF(WRM!$C$7:$C$87,$D8,WRM!$AL$7:$AL$87)</f>
        <v>219.35</v>
      </c>
      <c r="AN8" s="1672"/>
      <c r="AO8" s="1743">
        <f t="shared" si="9"/>
        <v>219.35</v>
      </c>
      <c r="AP8" s="1671"/>
      <c r="AQ8" s="1738">
        <f t="shared" si="0"/>
        <v>219.35</v>
      </c>
      <c r="AR8" s="421"/>
      <c r="AS8" s="1521">
        <f>+SUMIF(WRM!$C$7:$C$87,$D8,WRM!$AR$7:$AR$87)</f>
        <v>0</v>
      </c>
      <c r="AT8" s="1671"/>
      <c r="AU8" s="1738">
        <f t="shared" si="10"/>
        <v>219.35</v>
      </c>
      <c r="AV8" s="421"/>
      <c r="AW8" s="1521">
        <f>+SUMIF(WRM!$C$7:$C$87,$D8,WRM!$AV$7:$AV$87)</f>
        <v>0</v>
      </c>
      <c r="AX8" s="1671"/>
      <c r="AY8" s="1738">
        <f t="shared" si="11"/>
        <v>219.35</v>
      </c>
      <c r="AZ8" s="421"/>
      <c r="BA8" s="1521">
        <f>+SUMIF(WRM!$C$7:$C$87,$D8,WRM!$AZ$7:$AZ$87)</f>
        <v>0</v>
      </c>
      <c r="BB8" s="1672"/>
      <c r="BC8" s="1743">
        <f t="shared" si="12"/>
        <v>0</v>
      </c>
      <c r="BD8" s="1817"/>
      <c r="BE8" s="1954">
        <f t="shared" si="13"/>
        <v>219.35</v>
      </c>
      <c r="BF8" s="1671"/>
      <c r="BG8" s="1738">
        <f t="shared" si="14"/>
        <v>219.35</v>
      </c>
    </row>
    <row r="9" spans="3:59" s="1726" customFormat="1" ht="18.75" x14ac:dyDescent="0.3">
      <c r="C9" s="1520" t="s">
        <v>17</v>
      </c>
      <c r="D9" s="1520" t="s">
        <v>1326</v>
      </c>
      <c r="E9" s="5429"/>
      <c r="F9" s="1520"/>
      <c r="G9" s="1521"/>
      <c r="H9" s="1521"/>
      <c r="I9" s="1521"/>
      <c r="J9" s="1738"/>
      <c r="K9" s="1738"/>
      <c r="L9" s="1521"/>
      <c r="M9" s="1521"/>
      <c r="N9" s="1743"/>
      <c r="O9" s="1743"/>
      <c r="P9" s="421"/>
      <c r="Q9" s="1521"/>
      <c r="R9" s="1671"/>
      <c r="S9" s="1738"/>
      <c r="T9" s="421"/>
      <c r="U9" s="1521"/>
      <c r="V9" s="1671"/>
      <c r="W9" s="1738"/>
      <c r="X9" s="421"/>
      <c r="Y9" s="1521"/>
      <c r="Z9" s="1672"/>
      <c r="AA9" s="1743"/>
      <c r="AB9" s="1817"/>
      <c r="AC9" s="1954"/>
      <c r="AD9" s="421"/>
      <c r="AE9" s="1521"/>
      <c r="AF9" s="1671"/>
      <c r="AG9" s="1738"/>
      <c r="AH9" s="421"/>
      <c r="AI9" s="1521"/>
      <c r="AJ9" s="1671"/>
      <c r="AK9" s="1738"/>
      <c r="AL9" s="421"/>
      <c r="AM9" s="1521"/>
      <c r="AN9" s="1672"/>
      <c r="AO9" s="1743"/>
      <c r="AP9" s="1671"/>
      <c r="AQ9" s="1738"/>
      <c r="AR9" s="421"/>
      <c r="AS9" s="1521">
        <f>+SUMIF(WRM!$C$7:$C$87,$D9,WRM!$AR$7:$AR$87)</f>
        <v>707.25</v>
      </c>
      <c r="AT9" s="1671"/>
      <c r="AU9" s="1738">
        <f t="shared" si="10"/>
        <v>707.25</v>
      </c>
      <c r="AV9" s="421"/>
      <c r="AW9" s="1521">
        <f>+SUMIF(WRM!$C$7:$C$87,$D9,WRM!$AV$7:$AV$87)</f>
        <v>0</v>
      </c>
      <c r="AX9" s="1671"/>
      <c r="AY9" s="1738">
        <f t="shared" si="11"/>
        <v>707.25</v>
      </c>
      <c r="AZ9" s="421"/>
      <c r="BA9" s="1521">
        <f>+SUMIF(WRM!$C$7:$C$87,$D9,WRM!$AZ$7:$AZ$87)</f>
        <v>0</v>
      </c>
      <c r="BB9" s="1672"/>
      <c r="BC9" s="1743">
        <f t="shared" si="12"/>
        <v>707.25</v>
      </c>
      <c r="BD9" s="1817"/>
      <c r="BE9" s="1954">
        <f t="shared" si="13"/>
        <v>707.25</v>
      </c>
      <c r="BF9" s="1671"/>
      <c r="BG9" s="1738">
        <f t="shared" si="14"/>
        <v>707.25</v>
      </c>
    </row>
    <row r="10" spans="3:59" ht="18.75" x14ac:dyDescent="0.3">
      <c r="C10" s="1520" t="s">
        <v>17</v>
      </c>
      <c r="D10" s="1520" t="s">
        <v>1144</v>
      </c>
      <c r="E10" s="5429"/>
      <c r="F10" s="1520"/>
      <c r="G10" s="1521">
        <f>+SUMIF(WRM!$C$7:$C$87,$D10,WRM!$F$7:$F$87)</f>
        <v>9597.9720000000016</v>
      </c>
      <c r="H10" s="1521"/>
      <c r="I10" s="1521">
        <f>+SUMIF(WRM!$C$7:$C$87,$D10,WRM!$H$7:$H$87)</f>
        <v>2197.6260000000002</v>
      </c>
      <c r="J10" s="1738"/>
      <c r="K10" s="1738">
        <f t="shared" si="1"/>
        <v>11795.598000000002</v>
      </c>
      <c r="L10" s="1521"/>
      <c r="M10" s="1521">
        <f>+SUMIF(WRM!$C$7:$C$87,$D10,WRM!$L$7:$L$87)</f>
        <v>5981.9</v>
      </c>
      <c r="N10" s="1743"/>
      <c r="O10" s="1743">
        <f t="shared" si="2"/>
        <v>17777.498</v>
      </c>
      <c r="P10" s="421"/>
      <c r="Q10" s="1521">
        <f>+SUMIF(WRM!$C$7:$C$87,$D10,WRM!$P$7:$P$87)</f>
        <v>5498.1</v>
      </c>
      <c r="R10" s="1671"/>
      <c r="S10" s="1738">
        <f t="shared" si="3"/>
        <v>23275.597999999998</v>
      </c>
      <c r="T10" s="421"/>
      <c r="U10" s="1521">
        <f>+SUMIF(WRM!$C$7:$C$87,$D10,WRM!$T$7:$T$87)</f>
        <v>8411.15</v>
      </c>
      <c r="V10" s="1671"/>
      <c r="W10" s="1738">
        <f t="shared" si="4"/>
        <v>31686.748</v>
      </c>
      <c r="X10" s="421"/>
      <c r="Y10" s="1521">
        <f>+SUMIF(WRM!$C$7:$C$87,$D10,WRM!$X$7:$X$87)</f>
        <v>6789.6</v>
      </c>
      <c r="Z10" s="1672"/>
      <c r="AA10" s="1743">
        <f t="shared" si="5"/>
        <v>20698.849999999999</v>
      </c>
      <c r="AB10" s="1817"/>
      <c r="AC10" s="1954">
        <f t="shared" si="6"/>
        <v>38476.347999999998</v>
      </c>
      <c r="AD10" s="421"/>
      <c r="AE10" s="1521">
        <f>+SUMIF(WRM!$C$7:$C$87,$D10,WRM!$AD$7:$AD$87)</f>
        <v>5504.25</v>
      </c>
      <c r="AF10" s="1671"/>
      <c r="AG10" s="1738">
        <f t="shared" si="7"/>
        <v>43980.597999999998</v>
      </c>
      <c r="AH10" s="421"/>
      <c r="AI10" s="1521">
        <f>+SUMIF(WRM!$C$7:$C$87,$D10,WRM!$AH$7:$AH$87)</f>
        <v>9754.0820000000003</v>
      </c>
      <c r="AJ10" s="1671"/>
      <c r="AK10" s="1738">
        <f t="shared" si="8"/>
        <v>53734.68</v>
      </c>
      <c r="AL10" s="421"/>
      <c r="AM10" s="1521">
        <f>+SUMIF(WRM!$C$7:$C$87,$D10,WRM!$AL$7:$AL$87)</f>
        <v>5684.6499999999987</v>
      </c>
      <c r="AN10" s="1672"/>
      <c r="AO10" s="1743">
        <f t="shared" si="9"/>
        <v>20942.982</v>
      </c>
      <c r="AP10" s="1671"/>
      <c r="AQ10" s="1738">
        <f t="shared" si="0"/>
        <v>59419.33</v>
      </c>
      <c r="AR10" s="421"/>
      <c r="AS10" s="1521">
        <f>+SUMIF(WRM!$C$7:$C$87,$D10,WRM!$AR$7:$AR$87)</f>
        <v>3378.3999999999992</v>
      </c>
      <c r="AT10" s="1671"/>
      <c r="AU10" s="1738">
        <f t="shared" si="10"/>
        <v>62797.73</v>
      </c>
      <c r="AV10" s="421"/>
      <c r="AW10" s="1521">
        <f>+SUMIF(WRM!$C$7:$C$87,$D10,WRM!$AV$7:$AV$87)</f>
        <v>5221.3499999999995</v>
      </c>
      <c r="AX10" s="1671"/>
      <c r="AY10" s="1738">
        <f t="shared" si="11"/>
        <v>68019.08</v>
      </c>
      <c r="AZ10" s="421"/>
      <c r="BA10" s="1521">
        <f>+SUMIF(WRM!$C$7:$C$87,$D10,WRM!$AZ$7:$AZ$87)</f>
        <v>5512.45</v>
      </c>
      <c r="BB10" s="1672"/>
      <c r="BC10" s="1743">
        <f t="shared" si="12"/>
        <v>14112.199999999997</v>
      </c>
      <c r="BD10" s="1817"/>
      <c r="BE10" s="1954">
        <f t="shared" si="13"/>
        <v>35055.182000000001</v>
      </c>
      <c r="BF10" s="1671"/>
      <c r="BG10" s="1738">
        <f t="shared" si="14"/>
        <v>73531.53</v>
      </c>
    </row>
    <row r="11" spans="3:59" ht="18.75" x14ac:dyDescent="0.3">
      <c r="C11" s="1520" t="s">
        <v>17</v>
      </c>
      <c r="D11" s="1520" t="s">
        <v>1148</v>
      </c>
      <c r="E11" s="5429"/>
      <c r="F11" s="1520"/>
      <c r="G11" s="1521">
        <f>+SUMIF(WRM!$C$7:$C$87,$D11,WRM!$F$7:$F$87)</f>
        <v>0</v>
      </c>
      <c r="H11" s="1521"/>
      <c r="I11" s="1521">
        <f>+SUMIF(WRM!$C$7:$C$87,$D11,WRM!$H$7:$H$87)</f>
        <v>3030.0800000000004</v>
      </c>
      <c r="J11" s="1738"/>
      <c r="K11" s="1738">
        <f t="shared" si="1"/>
        <v>3030.0800000000004</v>
      </c>
      <c r="L11" s="1521"/>
      <c r="M11" s="1521">
        <f>+SUMIF(WRM!$C$7:$C$87,$D11,WRM!$L$7:$L$87)</f>
        <v>0</v>
      </c>
      <c r="N11" s="1743"/>
      <c r="O11" s="1743">
        <f t="shared" si="2"/>
        <v>3030.0800000000004</v>
      </c>
      <c r="P11" s="421"/>
      <c r="Q11" s="1521">
        <f>+SUMIF(WRM!$C$7:$C$87,$D11,WRM!$P$7:$P$87)</f>
        <v>0</v>
      </c>
      <c r="R11" s="1671"/>
      <c r="S11" s="1738">
        <f t="shared" si="3"/>
        <v>3030.0800000000004</v>
      </c>
      <c r="T11" s="421"/>
      <c r="U11" s="1521">
        <f>+SUMIF(WRM!$C$7:$C$87,$D11,WRM!$T$7:$T$87)</f>
        <v>0</v>
      </c>
      <c r="V11" s="1671"/>
      <c r="W11" s="1738">
        <f t="shared" si="4"/>
        <v>3030.0800000000004</v>
      </c>
      <c r="X11" s="421"/>
      <c r="Y11" s="1521">
        <f>+SUMIF(WRM!$C$7:$C$87,$D11,WRM!$X$7:$X$87)</f>
        <v>0</v>
      </c>
      <c r="Z11" s="1672"/>
      <c r="AA11" s="1743">
        <f t="shared" si="5"/>
        <v>0</v>
      </c>
      <c r="AB11" s="1817"/>
      <c r="AC11" s="1954">
        <f t="shared" si="6"/>
        <v>3030.0800000000004</v>
      </c>
      <c r="AD11" s="421"/>
      <c r="AE11" s="1521">
        <f>+SUMIF(WRM!$C$7:$C$87,$D11,WRM!$AD$7:$AD$87)</f>
        <v>0</v>
      </c>
      <c r="AF11" s="1671"/>
      <c r="AG11" s="1738">
        <f t="shared" si="7"/>
        <v>3030.0800000000004</v>
      </c>
      <c r="AH11" s="421"/>
      <c r="AI11" s="1521">
        <f>+SUMIF(WRM!$C$7:$C$87,$D11,WRM!$AH$7:$AH$87)</f>
        <v>0</v>
      </c>
      <c r="AJ11" s="1671"/>
      <c r="AK11" s="1738">
        <f t="shared" si="8"/>
        <v>3030.0800000000004</v>
      </c>
      <c r="AL11" s="421"/>
      <c r="AM11" s="1521">
        <f>+SUMIF(WRM!$C$7:$C$87,$D11,WRM!$AL$7:$AL$87)</f>
        <v>5938.85</v>
      </c>
      <c r="AN11" s="1672"/>
      <c r="AO11" s="1743">
        <f t="shared" si="9"/>
        <v>5938.85</v>
      </c>
      <c r="AP11" s="1671"/>
      <c r="AQ11" s="1738">
        <f t="shared" si="0"/>
        <v>8968.93</v>
      </c>
      <c r="AR11" s="421"/>
      <c r="AS11" s="1521">
        <f>+SUMIF(WRM!$C$7:$C$87,$D11,WRM!$AR$7:$AR$87)</f>
        <v>4633</v>
      </c>
      <c r="AT11" s="1671"/>
      <c r="AU11" s="1738">
        <f t="shared" si="10"/>
        <v>13601.93</v>
      </c>
      <c r="AV11" s="421"/>
      <c r="AW11" s="1521">
        <f>+SUMIF(WRM!$C$7:$C$87,$D11,WRM!$AV$7:$AV$87)</f>
        <v>0</v>
      </c>
      <c r="AX11" s="1671"/>
      <c r="AY11" s="1738">
        <f t="shared" si="11"/>
        <v>13601.93</v>
      </c>
      <c r="AZ11" s="421"/>
      <c r="BA11" s="1521">
        <f>+SUMIF(WRM!$C$7:$C$87,$D11,WRM!$AZ$7:$AZ$87)</f>
        <v>0</v>
      </c>
      <c r="BB11" s="1672"/>
      <c r="BC11" s="1743">
        <f t="shared" si="12"/>
        <v>4633</v>
      </c>
      <c r="BD11" s="1817"/>
      <c r="BE11" s="1954">
        <f t="shared" si="13"/>
        <v>10571.85</v>
      </c>
      <c r="BF11" s="1671"/>
      <c r="BG11" s="1738">
        <f t="shared" si="14"/>
        <v>13601.93</v>
      </c>
    </row>
    <row r="12" spans="3:59" s="1726" customFormat="1" ht="18.75" x14ac:dyDescent="0.3">
      <c r="C12" s="1520" t="s">
        <v>17</v>
      </c>
      <c r="D12" s="1520" t="s">
        <v>1780</v>
      </c>
      <c r="E12" s="5429"/>
      <c r="F12" s="1520"/>
      <c r="G12" s="1521"/>
      <c r="H12" s="1521"/>
      <c r="I12" s="1521"/>
      <c r="J12" s="1738"/>
      <c r="K12" s="1738"/>
      <c r="L12" s="1521"/>
      <c r="M12" s="1521"/>
      <c r="N12" s="1743"/>
      <c r="O12" s="1743"/>
      <c r="P12" s="421"/>
      <c r="Q12" s="1521"/>
      <c r="R12" s="1671"/>
      <c r="S12" s="1738"/>
      <c r="T12" s="421"/>
      <c r="U12" s="1521"/>
      <c r="V12" s="1671"/>
      <c r="W12" s="1738"/>
      <c r="X12" s="421"/>
      <c r="Y12" s="1521"/>
      <c r="Z12" s="1672"/>
      <c r="AA12" s="1743"/>
      <c r="AB12" s="1817"/>
      <c r="AC12" s="1954"/>
      <c r="AD12" s="421"/>
      <c r="AE12" s="1521"/>
      <c r="AF12" s="1671"/>
      <c r="AG12" s="1738"/>
      <c r="AH12" s="421"/>
      <c r="AI12" s="1521"/>
      <c r="AJ12" s="1671"/>
      <c r="AK12" s="1738"/>
      <c r="AL12" s="421"/>
      <c r="AM12" s="1521"/>
      <c r="AN12" s="1672"/>
      <c r="AO12" s="1743"/>
      <c r="AP12" s="1671"/>
      <c r="AQ12" s="1738"/>
      <c r="AR12" s="421"/>
      <c r="AS12" s="1521">
        <f>+SUMIF(WRM!$C$7:$C$87,$D12,WRM!$AR$7:$AR$87)</f>
        <v>1022.95</v>
      </c>
      <c r="AT12" s="1671"/>
      <c r="AU12" s="1738">
        <f t="shared" si="10"/>
        <v>1022.95</v>
      </c>
      <c r="AV12" s="421"/>
      <c r="AW12" s="1521">
        <f>+SUMIF(WRM!$C$7:$C$87,$D12,WRM!$AV$7:$AV$87)</f>
        <v>0</v>
      </c>
      <c r="AX12" s="1671"/>
      <c r="AY12" s="1738">
        <f t="shared" si="11"/>
        <v>1022.95</v>
      </c>
      <c r="AZ12" s="421"/>
      <c r="BA12" s="1521">
        <f>+SUMIF(WRM!$C$7:$C$87,$D12,WRM!$AZ$7:$AZ$87)</f>
        <v>0</v>
      </c>
      <c r="BB12" s="1672"/>
      <c r="BC12" s="1743">
        <f t="shared" si="12"/>
        <v>1022.95</v>
      </c>
      <c r="BD12" s="1817"/>
      <c r="BE12" s="1954">
        <f t="shared" si="13"/>
        <v>1022.95</v>
      </c>
      <c r="BF12" s="1671"/>
      <c r="BG12" s="1738">
        <f t="shared" si="14"/>
        <v>1022.95</v>
      </c>
    </row>
    <row r="13" spans="3:59" ht="18.75" x14ac:dyDescent="0.3">
      <c r="C13" s="1520" t="s">
        <v>17</v>
      </c>
      <c r="D13" s="1520" t="s">
        <v>1354</v>
      </c>
      <c r="E13" s="5429"/>
      <c r="F13" s="1520"/>
      <c r="G13" s="1521">
        <f>+SUMIF(WRM!$C$7:$C$87,$D13,WRM!$F$7:$F$87)</f>
        <v>0</v>
      </c>
      <c r="H13" s="1521"/>
      <c r="I13" s="1521">
        <f>+SUMIF(WRM!$C$7:$C$87,$D13,WRM!$H$7:$H$87)</f>
        <v>0</v>
      </c>
      <c r="J13" s="1738"/>
      <c r="K13" s="1738">
        <f t="shared" si="1"/>
        <v>0</v>
      </c>
      <c r="L13" s="1521"/>
      <c r="M13" s="1521">
        <f>+SUMIF(WRM!$C$7:$C$87,$D13,WRM!$L$7:$L$87)</f>
        <v>1279.2</v>
      </c>
      <c r="N13" s="1743"/>
      <c r="O13" s="1743">
        <f t="shared" si="2"/>
        <v>1279.2</v>
      </c>
      <c r="P13" s="421"/>
      <c r="Q13" s="1521">
        <f>+SUMIF(WRM!$C$7:$C$87,$D13,WRM!$P$7:$P$87)</f>
        <v>0</v>
      </c>
      <c r="R13" s="1671"/>
      <c r="S13" s="1738">
        <f t="shared" si="3"/>
        <v>1279.2</v>
      </c>
      <c r="T13" s="421"/>
      <c r="U13" s="1521">
        <f>+SUMIF(WRM!$C$7:$C$87,$D13,WRM!$T$7:$T$87)</f>
        <v>850.75</v>
      </c>
      <c r="V13" s="1671"/>
      <c r="W13" s="1738">
        <f t="shared" si="4"/>
        <v>2129.9499999999998</v>
      </c>
      <c r="X13" s="421"/>
      <c r="Y13" s="1521">
        <f>+SUMIF(WRM!$C$7:$C$87,$D13,WRM!$X$7:$X$87)</f>
        <v>1435</v>
      </c>
      <c r="Z13" s="1672"/>
      <c r="AA13" s="1743">
        <f t="shared" si="5"/>
        <v>2285.75</v>
      </c>
      <c r="AB13" s="1817"/>
      <c r="AC13" s="1954">
        <f t="shared" si="6"/>
        <v>3564.95</v>
      </c>
      <c r="AD13" s="421"/>
      <c r="AE13" s="1521">
        <f>+SUMIF(WRM!$C$7:$C$87,$D13,WRM!$AD$7:$AD$87)</f>
        <v>988.09999999999991</v>
      </c>
      <c r="AF13" s="1671"/>
      <c r="AG13" s="1738">
        <f t="shared" si="7"/>
        <v>4553.0499999999993</v>
      </c>
      <c r="AH13" s="421"/>
      <c r="AI13" s="1521">
        <f>+SUMIF(WRM!$C$7:$C$87,$D13,WRM!$AH$7:$AH$87)</f>
        <v>1277.1499999999999</v>
      </c>
      <c r="AJ13" s="1671"/>
      <c r="AK13" s="1738">
        <f t="shared" si="8"/>
        <v>5830.1999999999989</v>
      </c>
      <c r="AL13" s="421"/>
      <c r="AM13" s="1521">
        <f>+SUMIF(WRM!$C$7:$C$87,$D13,WRM!$AL$7:$AL$87)</f>
        <v>227.55</v>
      </c>
      <c r="AN13" s="1672"/>
      <c r="AO13" s="1743">
        <f t="shared" si="9"/>
        <v>2492.7999999999997</v>
      </c>
      <c r="AP13" s="1671"/>
      <c r="AQ13" s="1738">
        <f t="shared" si="0"/>
        <v>6057.7499999999991</v>
      </c>
      <c r="AR13" s="421"/>
      <c r="AS13" s="1521">
        <f>+SUMIF(WRM!$C$7:$C$87,$D13,WRM!$AR$7:$AR$87)</f>
        <v>504.29999999999995</v>
      </c>
      <c r="AT13" s="1671"/>
      <c r="AU13" s="1738">
        <f t="shared" si="10"/>
        <v>6562.0499999999993</v>
      </c>
      <c r="AV13" s="421"/>
      <c r="AW13" s="1521">
        <f>+SUMIF(WRM!$C$7:$C$87,$D13,WRM!$AV$7:$AV$87)</f>
        <v>0</v>
      </c>
      <c r="AX13" s="1671"/>
      <c r="AY13" s="1738">
        <f t="shared" si="11"/>
        <v>6562.0499999999993</v>
      </c>
      <c r="AZ13" s="421"/>
      <c r="BA13" s="1521">
        <f>+SUMIF(WRM!$C$7:$C$87,$D13,WRM!$AZ$7:$AZ$87)</f>
        <v>1213.5999999999999</v>
      </c>
      <c r="BB13" s="1672"/>
      <c r="BC13" s="1743">
        <f t="shared" si="12"/>
        <v>1717.8999999999999</v>
      </c>
      <c r="BD13" s="1817"/>
      <c r="BE13" s="1954">
        <f t="shared" si="13"/>
        <v>4210.7</v>
      </c>
      <c r="BF13" s="1671"/>
      <c r="BG13" s="1738">
        <f t="shared" si="14"/>
        <v>7775.65</v>
      </c>
    </row>
    <row r="14" spans="3:59" ht="18.75" x14ac:dyDescent="0.3">
      <c r="C14" s="1520" t="s">
        <v>17</v>
      </c>
      <c r="D14" s="1520" t="s">
        <v>1357</v>
      </c>
      <c r="E14" s="5429"/>
      <c r="F14" s="1520"/>
      <c r="G14" s="1521">
        <f>+SUMIF(WRM!$C$7:$C$87,$D14,WRM!$F$7:$F$87)</f>
        <v>516.12</v>
      </c>
      <c r="H14" s="1521"/>
      <c r="I14" s="1521">
        <f>+SUMIF(WRM!$C$7:$C$87,$D14,WRM!$H$7:$H$87)</f>
        <v>332.09999999999997</v>
      </c>
      <c r="J14" s="1738"/>
      <c r="K14" s="1738">
        <f t="shared" si="1"/>
        <v>848.22</v>
      </c>
      <c r="L14" s="1521"/>
      <c r="M14" s="1521">
        <f>+SUMIF(WRM!$C$7:$C$87,$D14,WRM!$L$7:$L$87)</f>
        <v>0</v>
      </c>
      <c r="N14" s="1743"/>
      <c r="O14" s="1743">
        <f t="shared" si="2"/>
        <v>848.22</v>
      </c>
      <c r="P14" s="421"/>
      <c r="Q14" s="1521">
        <f>+SUMIF(WRM!$C$7:$C$87,$D14,WRM!$P$7:$P$87)</f>
        <v>0</v>
      </c>
      <c r="R14" s="1671"/>
      <c r="S14" s="1738">
        <f t="shared" si="3"/>
        <v>848.22</v>
      </c>
      <c r="T14" s="421"/>
      <c r="U14" s="1521">
        <f>+SUMIF(WRM!$C$7:$C$87,$D14,WRM!$T$7:$T$87)</f>
        <v>0</v>
      </c>
      <c r="V14" s="1671"/>
      <c r="W14" s="1738">
        <f t="shared" si="4"/>
        <v>848.22</v>
      </c>
      <c r="X14" s="421"/>
      <c r="Y14" s="1521">
        <f>+SUMIF(WRM!$C$7:$C$87,$D14,WRM!$X$7:$X$87)</f>
        <v>528.9</v>
      </c>
      <c r="Z14" s="1672"/>
      <c r="AA14" s="1743">
        <f t="shared" si="5"/>
        <v>528.9</v>
      </c>
      <c r="AB14" s="1817"/>
      <c r="AC14" s="1954">
        <f t="shared" si="6"/>
        <v>1377.12</v>
      </c>
      <c r="AD14" s="421"/>
      <c r="AE14" s="1521">
        <f>+SUMIF(WRM!$C$7:$C$87,$D14,WRM!$AD$7:$AD$87)</f>
        <v>740.05</v>
      </c>
      <c r="AF14" s="1671"/>
      <c r="AG14" s="1738">
        <f t="shared" si="7"/>
        <v>2117.17</v>
      </c>
      <c r="AH14" s="421"/>
      <c r="AI14" s="1521">
        <f>+SUMIF(WRM!$C$7:$C$87,$D14,WRM!$AH$7:$AH$87)</f>
        <v>0</v>
      </c>
      <c r="AJ14" s="1671"/>
      <c r="AK14" s="1738">
        <f t="shared" si="8"/>
        <v>2117.17</v>
      </c>
      <c r="AL14" s="421"/>
      <c r="AM14" s="1521">
        <f>+SUMIF(WRM!$C$7:$C$87,$D14,WRM!$AL$7:$AL$87)</f>
        <v>0</v>
      </c>
      <c r="AN14" s="1672"/>
      <c r="AO14" s="1743">
        <f t="shared" si="9"/>
        <v>740.05</v>
      </c>
      <c r="AP14" s="1671"/>
      <c r="AQ14" s="1738">
        <f t="shared" si="0"/>
        <v>2117.17</v>
      </c>
      <c r="AR14" s="421"/>
      <c r="AS14" s="1521">
        <f>+SUMIF(WRM!$C$7:$C$87,$D14,WRM!$AR$7:$AR$87)</f>
        <v>0</v>
      </c>
      <c r="AT14" s="1671"/>
      <c r="AU14" s="1738">
        <f t="shared" si="10"/>
        <v>2117.17</v>
      </c>
      <c r="AV14" s="421"/>
      <c r="AW14" s="1521">
        <f>+SUMIF(WRM!$C$7:$C$87,$D14,WRM!$AV$7:$AV$87)</f>
        <v>0</v>
      </c>
      <c r="AX14" s="1671"/>
      <c r="AY14" s="1738">
        <f t="shared" si="11"/>
        <v>2117.17</v>
      </c>
      <c r="AZ14" s="421"/>
      <c r="BA14" s="1521">
        <f>+SUMIF(WRM!$C$7:$C$87,$D14,WRM!$AZ$7:$AZ$87)</f>
        <v>0</v>
      </c>
      <c r="BB14" s="1672"/>
      <c r="BC14" s="1743">
        <f t="shared" si="12"/>
        <v>0</v>
      </c>
      <c r="BD14" s="1817"/>
      <c r="BE14" s="1954">
        <f t="shared" si="13"/>
        <v>740.05</v>
      </c>
      <c r="BF14" s="1671"/>
      <c r="BG14" s="1738">
        <f t="shared" si="14"/>
        <v>2117.17</v>
      </c>
    </row>
    <row r="15" spans="3:59" ht="18.75" x14ac:dyDescent="0.3">
      <c r="C15" s="1520" t="s">
        <v>17</v>
      </c>
      <c r="D15" s="1520" t="s">
        <v>1356</v>
      </c>
      <c r="E15" s="5429"/>
      <c r="F15" s="1520"/>
      <c r="G15" s="1521">
        <f>+SUMIF(WRM!$C$7:$C$87,$D15,WRM!$F$7:$F$87)</f>
        <v>367.24799999999999</v>
      </c>
      <c r="H15" s="1521"/>
      <c r="I15" s="1521">
        <f>+SUMIF(WRM!$C$7:$C$87,$D15,WRM!$H$7:$H$87)</f>
        <v>0</v>
      </c>
      <c r="J15" s="1738"/>
      <c r="K15" s="1738">
        <f t="shared" si="1"/>
        <v>367.24799999999999</v>
      </c>
      <c r="L15" s="1521"/>
      <c r="M15" s="1521">
        <f>+SUMIF(WRM!$C$7:$C$87,$D15,WRM!$L$7:$L$87)</f>
        <v>393.6</v>
      </c>
      <c r="N15" s="1743"/>
      <c r="O15" s="1743">
        <f t="shared" si="2"/>
        <v>760.84799999999996</v>
      </c>
      <c r="P15" s="421"/>
      <c r="Q15" s="1521">
        <f>+SUMIF(WRM!$C$7:$C$87,$D15,WRM!$P$7:$P$87)</f>
        <v>1521.1</v>
      </c>
      <c r="R15" s="1671"/>
      <c r="S15" s="1738">
        <f t="shared" si="3"/>
        <v>2281.9479999999999</v>
      </c>
      <c r="T15" s="421"/>
      <c r="U15" s="1521">
        <f>+SUMIF(WRM!$C$7:$C$87,$D15,WRM!$T$7:$T$87)</f>
        <v>742.09999999999991</v>
      </c>
      <c r="V15" s="1671"/>
      <c r="W15" s="1738">
        <f t="shared" si="4"/>
        <v>3024.0479999999998</v>
      </c>
      <c r="X15" s="421"/>
      <c r="Y15" s="1521">
        <f>+SUMIF(WRM!$C$7:$C$87,$D15,WRM!$X$7:$X$87)</f>
        <v>844.6</v>
      </c>
      <c r="Z15" s="1672"/>
      <c r="AA15" s="1743">
        <f t="shared" si="5"/>
        <v>3107.7999999999997</v>
      </c>
      <c r="AB15" s="1817"/>
      <c r="AC15" s="1954">
        <f t="shared" si="6"/>
        <v>3868.6479999999997</v>
      </c>
      <c r="AD15" s="421"/>
      <c r="AE15" s="1521">
        <f>+SUMIF(WRM!$C$7:$C$87,$D15,WRM!$AD$7:$AD$87)</f>
        <v>1566.2</v>
      </c>
      <c r="AF15" s="1671"/>
      <c r="AG15" s="1738">
        <f t="shared" si="7"/>
        <v>5434.848</v>
      </c>
      <c r="AH15" s="421"/>
      <c r="AI15" s="1521">
        <f>+SUMIF(WRM!$C$7:$C$87,$D15,WRM!$AH$7:$AH$87)</f>
        <v>990.15</v>
      </c>
      <c r="AJ15" s="1671"/>
      <c r="AK15" s="1738">
        <f t="shared" si="8"/>
        <v>6424.9979999999996</v>
      </c>
      <c r="AL15" s="421"/>
      <c r="AM15" s="1521">
        <f>+SUMIF(WRM!$C$7:$C$87,$D15,WRM!$AL$7:$AL$87)</f>
        <v>1232.0499999999997</v>
      </c>
      <c r="AN15" s="1672"/>
      <c r="AO15" s="1743">
        <f t="shared" si="9"/>
        <v>3788.3999999999996</v>
      </c>
      <c r="AP15" s="1671"/>
      <c r="AQ15" s="1738">
        <f t="shared" si="0"/>
        <v>7657.0479999999989</v>
      </c>
      <c r="AR15" s="421"/>
      <c r="AS15" s="1521">
        <f>+SUMIF(WRM!$C$7:$C$87,$D15,WRM!$AR$7:$AR$87)</f>
        <v>1012.7</v>
      </c>
      <c r="AT15" s="1671"/>
      <c r="AU15" s="1738">
        <f t="shared" si="10"/>
        <v>8669.7479999999996</v>
      </c>
      <c r="AV15" s="421"/>
      <c r="AW15" s="1521">
        <f>+SUMIF(WRM!$C$7:$C$87,$D15,WRM!$AV$7:$AV$87)</f>
        <v>1371.4499999999998</v>
      </c>
      <c r="AX15" s="1671"/>
      <c r="AY15" s="1738">
        <f t="shared" si="11"/>
        <v>10041.198</v>
      </c>
      <c r="AZ15" s="421"/>
      <c r="BA15" s="1521">
        <f>+SUMIF(WRM!$C$7:$C$87,$D15,WRM!$AZ$7:$AZ$87)</f>
        <v>301.35000000000002</v>
      </c>
      <c r="BB15" s="1672"/>
      <c r="BC15" s="1743">
        <f t="shared" si="12"/>
        <v>2685.4999999999995</v>
      </c>
      <c r="BD15" s="1817"/>
      <c r="BE15" s="1954">
        <f t="shared" si="13"/>
        <v>6473.9</v>
      </c>
      <c r="BF15" s="1671"/>
      <c r="BG15" s="1738">
        <f t="shared" si="14"/>
        <v>10342.548000000001</v>
      </c>
    </row>
    <row r="16" spans="3:59" s="1726" customFormat="1" ht="18.75" x14ac:dyDescent="0.3">
      <c r="C16" s="1520" t="s">
        <v>17</v>
      </c>
      <c r="D16" s="1520" t="s">
        <v>1793</v>
      </c>
      <c r="E16" s="5429"/>
      <c r="F16" s="1520"/>
      <c r="G16" s="1521"/>
      <c r="H16" s="1521"/>
      <c r="I16" s="1521"/>
      <c r="J16" s="1738"/>
      <c r="K16" s="1738"/>
      <c r="L16" s="1521"/>
      <c r="M16" s="1521"/>
      <c r="N16" s="1743"/>
      <c r="O16" s="1743"/>
      <c r="P16" s="421"/>
      <c r="Q16" s="1521"/>
      <c r="R16" s="1671"/>
      <c r="S16" s="1738"/>
      <c r="T16" s="421"/>
      <c r="U16" s="1521"/>
      <c r="V16" s="1671"/>
      <c r="W16" s="1738"/>
      <c r="X16" s="421"/>
      <c r="Y16" s="1521"/>
      <c r="Z16" s="1672"/>
      <c r="AA16" s="1743"/>
      <c r="AB16" s="1817"/>
      <c r="AC16" s="1954"/>
      <c r="AD16" s="421"/>
      <c r="AE16" s="1521"/>
      <c r="AF16" s="1671"/>
      <c r="AG16" s="1738"/>
      <c r="AH16" s="421"/>
      <c r="AI16" s="1521"/>
      <c r="AJ16" s="1671"/>
      <c r="AK16" s="1738"/>
      <c r="AL16" s="421"/>
      <c r="AM16" s="1521"/>
      <c r="AN16" s="1672"/>
      <c r="AO16" s="1743"/>
      <c r="AP16" s="1671"/>
      <c r="AQ16" s="1738"/>
      <c r="AR16" s="421"/>
      <c r="AS16" s="1521">
        <f>+SUMIF(WRM!$C$7:$C$87,$D16,WRM!$AR$7:$AR$87)</f>
        <v>207.05</v>
      </c>
      <c r="AT16" s="1671"/>
      <c r="AU16" s="1738">
        <f t="shared" si="10"/>
        <v>207.05</v>
      </c>
      <c r="AV16" s="421"/>
      <c r="AW16" s="1521">
        <f>+SUMIF(WRM!$C$7:$C$87,$D16,WRM!$AV$7:$AV$87)</f>
        <v>0</v>
      </c>
      <c r="AX16" s="1671"/>
      <c r="AY16" s="1738">
        <f t="shared" si="11"/>
        <v>207.05</v>
      </c>
      <c r="AZ16" s="421"/>
      <c r="BA16" s="1521">
        <f>+SUMIF(WRM!$C$7:$C$87,$D16,WRM!$AZ$7:$AZ$87)</f>
        <v>0</v>
      </c>
      <c r="BB16" s="1672"/>
      <c r="BC16" s="1743">
        <f t="shared" si="12"/>
        <v>207.05</v>
      </c>
      <c r="BD16" s="1817"/>
      <c r="BE16" s="1954">
        <f t="shared" si="13"/>
        <v>207.05</v>
      </c>
      <c r="BF16" s="1671"/>
      <c r="BG16" s="1738">
        <f t="shared" si="14"/>
        <v>207.05</v>
      </c>
    </row>
    <row r="17" spans="3:59" s="1726" customFormat="1" ht="18.75" x14ac:dyDescent="0.3">
      <c r="C17" s="1520" t="s">
        <v>17</v>
      </c>
      <c r="D17" s="1520" t="s">
        <v>1794</v>
      </c>
      <c r="E17" s="5429"/>
      <c r="F17" s="1520"/>
      <c r="G17" s="1521"/>
      <c r="H17" s="1521"/>
      <c r="I17" s="1521"/>
      <c r="J17" s="1738"/>
      <c r="K17" s="1738"/>
      <c r="L17" s="1521"/>
      <c r="M17" s="1521"/>
      <c r="N17" s="1743"/>
      <c r="O17" s="1743"/>
      <c r="P17" s="421"/>
      <c r="Q17" s="1521"/>
      <c r="R17" s="1671"/>
      <c r="S17" s="1738"/>
      <c r="T17" s="421"/>
      <c r="U17" s="1521"/>
      <c r="V17" s="1671"/>
      <c r="W17" s="1738"/>
      <c r="X17" s="421"/>
      <c r="Y17" s="1521"/>
      <c r="Z17" s="1672"/>
      <c r="AA17" s="1743"/>
      <c r="AB17" s="1817"/>
      <c r="AC17" s="1954"/>
      <c r="AD17" s="421"/>
      <c r="AE17" s="1521"/>
      <c r="AF17" s="1671"/>
      <c r="AG17" s="1738"/>
      <c r="AH17" s="421"/>
      <c r="AI17" s="1521"/>
      <c r="AJ17" s="1671"/>
      <c r="AK17" s="1738"/>
      <c r="AL17" s="421"/>
      <c r="AM17" s="1521"/>
      <c r="AN17" s="1672"/>
      <c r="AO17" s="1743"/>
      <c r="AP17" s="1671"/>
      <c r="AQ17" s="1738"/>
      <c r="AR17" s="421"/>
      <c r="AS17" s="1521">
        <f>+SUMIF(WRM!$C$7:$C$87,$D17,WRM!$AR$7:$AR$87)</f>
        <v>104.55</v>
      </c>
      <c r="AT17" s="1671"/>
      <c r="AU17" s="1738">
        <f t="shared" si="10"/>
        <v>104.55</v>
      </c>
      <c r="AV17" s="421"/>
      <c r="AW17" s="1521">
        <f>+SUMIF(WRM!$C$7:$C$87,$D17,WRM!$AV$7:$AV$87)</f>
        <v>0</v>
      </c>
      <c r="AX17" s="1671"/>
      <c r="AY17" s="1738">
        <f t="shared" si="11"/>
        <v>104.55</v>
      </c>
      <c r="AZ17" s="421"/>
      <c r="BA17" s="1521">
        <f>+SUMIF(WRM!$C$7:$C$87,$D17,WRM!$AZ$7:$AZ$87)</f>
        <v>0</v>
      </c>
      <c r="BB17" s="1672"/>
      <c r="BC17" s="1743">
        <f t="shared" si="12"/>
        <v>104.55</v>
      </c>
      <c r="BD17" s="1817"/>
      <c r="BE17" s="1954">
        <f t="shared" si="13"/>
        <v>104.55</v>
      </c>
      <c r="BF17" s="1671"/>
      <c r="BG17" s="1738">
        <f t="shared" si="14"/>
        <v>104.55</v>
      </c>
    </row>
    <row r="18" spans="3:59" ht="18.75" x14ac:dyDescent="0.3">
      <c r="C18" s="1520" t="s">
        <v>17</v>
      </c>
      <c r="D18" s="1520" t="s">
        <v>1358</v>
      </c>
      <c r="E18" s="5429"/>
      <c r="F18" s="1520"/>
      <c r="G18" s="1521">
        <f>+SUMIF(WRM!$C$7:$C$87,$D18,WRM!$F$7:$F$87)</f>
        <v>1028.192</v>
      </c>
      <c r="H18" s="1521"/>
      <c r="I18" s="1521">
        <f>+SUMIF(WRM!$C$7:$C$87,$D18,WRM!$H$7:$H$87)</f>
        <v>313.64999999999998</v>
      </c>
      <c r="J18" s="1738"/>
      <c r="K18" s="1738">
        <f t="shared" si="1"/>
        <v>1341.8420000000001</v>
      </c>
      <c r="L18" s="1521"/>
      <c r="M18" s="1521">
        <f>+SUMIF(WRM!$C$7:$C$87,$D18,WRM!$L$7:$L$87)</f>
        <v>1558</v>
      </c>
      <c r="N18" s="1743"/>
      <c r="O18" s="1743">
        <f t="shared" si="2"/>
        <v>2899.8420000000001</v>
      </c>
      <c r="P18" s="421"/>
      <c r="Q18" s="1521">
        <f>+SUMIF(WRM!$C$7:$C$87,$D18,WRM!$P$7:$P$87)</f>
        <v>1033.1999999999998</v>
      </c>
      <c r="R18" s="1671"/>
      <c r="S18" s="1738">
        <f t="shared" si="3"/>
        <v>3933.0419999999999</v>
      </c>
      <c r="T18" s="421"/>
      <c r="U18" s="1521">
        <f>+SUMIF(WRM!$C$7:$C$87,$D18,WRM!$T$7:$T$87)</f>
        <v>491.99999999999994</v>
      </c>
      <c r="V18" s="1671"/>
      <c r="W18" s="1738">
        <f t="shared" si="4"/>
        <v>4425.0419999999995</v>
      </c>
      <c r="X18" s="421"/>
      <c r="Y18" s="1521">
        <f>+SUMIF(WRM!$C$7:$C$87,$D18,WRM!$X$7:$X$87)</f>
        <v>758.49999999999989</v>
      </c>
      <c r="Z18" s="1672"/>
      <c r="AA18" s="1743">
        <f t="shared" si="5"/>
        <v>2283.6999999999998</v>
      </c>
      <c r="AB18" s="1817"/>
      <c r="AC18" s="1954">
        <f t="shared" si="6"/>
        <v>5183.5419999999995</v>
      </c>
      <c r="AD18" s="421"/>
      <c r="AE18" s="1521">
        <f>+SUMIF(WRM!$C$7:$C$87,$D18,WRM!$AD$7:$AD$87)</f>
        <v>1221.8</v>
      </c>
      <c r="AF18" s="1671"/>
      <c r="AG18" s="1738">
        <f t="shared" si="7"/>
        <v>6405.3419999999996</v>
      </c>
      <c r="AH18" s="421"/>
      <c r="AI18" s="1521">
        <f>+SUMIF(WRM!$C$7:$C$87,$D18,WRM!$AH$7:$AH$87)</f>
        <v>984</v>
      </c>
      <c r="AJ18" s="1671"/>
      <c r="AK18" s="1738">
        <f t="shared" si="8"/>
        <v>7389.3419999999996</v>
      </c>
      <c r="AL18" s="421"/>
      <c r="AM18" s="1521">
        <f>+SUMIF(WRM!$C$7:$C$87,$D18,WRM!$AL$7:$AL$87)</f>
        <v>2535.8500000000004</v>
      </c>
      <c r="AN18" s="1672"/>
      <c r="AO18" s="1743">
        <f t="shared" si="9"/>
        <v>4741.6500000000005</v>
      </c>
      <c r="AP18" s="1671"/>
      <c r="AQ18" s="1738">
        <f t="shared" si="0"/>
        <v>9925.1919999999991</v>
      </c>
      <c r="AR18" s="421"/>
      <c r="AS18" s="1521">
        <f>+SUMIF(WRM!$C$7:$C$87,$D18,WRM!$AR$7:$AR$87)</f>
        <v>984</v>
      </c>
      <c r="AT18" s="1671"/>
      <c r="AU18" s="1738">
        <f t="shared" si="10"/>
        <v>10909.191999999999</v>
      </c>
      <c r="AV18" s="421"/>
      <c r="AW18" s="1521">
        <f>+SUMIF(WRM!$C$7:$C$87,$D18,WRM!$AV$7:$AV$87)</f>
        <v>0</v>
      </c>
      <c r="AX18" s="1671"/>
      <c r="AY18" s="1738">
        <f t="shared" si="11"/>
        <v>10909.191999999999</v>
      </c>
      <c r="AZ18" s="421"/>
      <c r="BA18" s="1521">
        <f>+SUMIF(WRM!$C$7:$C$87,$D18,WRM!$AZ$7:$AZ$87)</f>
        <v>709.30000000000007</v>
      </c>
      <c r="BB18" s="1672"/>
      <c r="BC18" s="1743">
        <f t="shared" si="12"/>
        <v>1693.3000000000002</v>
      </c>
      <c r="BD18" s="1817"/>
      <c r="BE18" s="1954">
        <f t="shared" si="13"/>
        <v>6434.9500000000007</v>
      </c>
      <c r="BF18" s="1671"/>
      <c r="BG18" s="1738">
        <f t="shared" si="14"/>
        <v>11618.491999999998</v>
      </c>
    </row>
    <row r="19" spans="3:59" s="1726" customFormat="1" ht="18.75" x14ac:dyDescent="0.3">
      <c r="C19" s="1520" t="s">
        <v>17</v>
      </c>
      <c r="D19" s="1520" t="s">
        <v>1836</v>
      </c>
      <c r="E19" s="5429"/>
      <c r="F19" s="1520"/>
      <c r="G19" s="1521"/>
      <c r="H19" s="1521"/>
      <c r="I19" s="1521"/>
      <c r="J19" s="1738"/>
      <c r="K19" s="1738"/>
      <c r="L19" s="1521"/>
      <c r="M19" s="1521"/>
      <c r="N19" s="1743"/>
      <c r="O19" s="1743"/>
      <c r="P19" s="421"/>
      <c r="Q19" s="1521"/>
      <c r="R19" s="1671"/>
      <c r="S19" s="1738"/>
      <c r="T19" s="421"/>
      <c r="U19" s="1521"/>
      <c r="V19" s="1671"/>
      <c r="W19" s="1738"/>
      <c r="X19" s="421"/>
      <c r="Y19" s="1521"/>
      <c r="Z19" s="1672"/>
      <c r="AA19" s="1743"/>
      <c r="AB19" s="1817"/>
      <c r="AC19" s="1954"/>
      <c r="AD19" s="421"/>
      <c r="AE19" s="1521"/>
      <c r="AF19" s="1671"/>
      <c r="AG19" s="1738"/>
      <c r="AH19" s="421"/>
      <c r="AI19" s="1521"/>
      <c r="AJ19" s="1671"/>
      <c r="AK19" s="1738"/>
      <c r="AL19" s="421"/>
      <c r="AM19" s="1521"/>
      <c r="AN19" s="1672"/>
      <c r="AO19" s="1743"/>
      <c r="AP19" s="1671"/>
      <c r="AQ19" s="1738"/>
      <c r="AR19" s="421"/>
      <c r="AS19" s="1521">
        <f>+SUMIF(WRM!$C$7:$C$87,$D19,WRM!$AR$7:$AR$87)</f>
        <v>0</v>
      </c>
      <c r="AT19" s="1671"/>
      <c r="AU19" s="1738">
        <f t="shared" ref="AU19" si="15">+AQ19+AS19</f>
        <v>0</v>
      </c>
      <c r="AV19" s="421"/>
      <c r="AW19" s="1521">
        <f>+SUMIF(WRM!$C$7:$C$87,$D19,WRM!$AV$7:$AV$87)</f>
        <v>397.7</v>
      </c>
      <c r="AX19" s="1671"/>
      <c r="AY19" s="1738">
        <f t="shared" ref="AY19" si="16">+AU19+AW19</f>
        <v>397.7</v>
      </c>
      <c r="AZ19" s="421"/>
      <c r="BA19" s="1521">
        <f>+SUMIF(WRM!$C$7:$C$87,$D19,WRM!$AZ$7:$AZ$87)</f>
        <v>0</v>
      </c>
      <c r="BB19" s="1672"/>
      <c r="BC19" s="1743">
        <f t="shared" si="12"/>
        <v>397.7</v>
      </c>
      <c r="BD19" s="1817"/>
      <c r="BE19" s="1954">
        <f t="shared" si="13"/>
        <v>397.7</v>
      </c>
      <c r="BF19" s="1671"/>
      <c r="BG19" s="1738">
        <f t="shared" si="14"/>
        <v>397.7</v>
      </c>
    </row>
    <row r="20" spans="3:59" ht="18.75" x14ac:dyDescent="0.3">
      <c r="C20" s="1520" t="s">
        <v>17</v>
      </c>
      <c r="D20" s="1520" t="s">
        <v>1385</v>
      </c>
      <c r="E20" s="5429"/>
      <c r="F20" s="1520"/>
      <c r="G20" s="1521">
        <f>+SUMIF(WRM!$C$7:$C$87,$D20,WRM!$F$7:$F$87)</f>
        <v>0</v>
      </c>
      <c r="H20" s="1521"/>
      <c r="I20" s="1521">
        <f>+SUMIF(WRM!$C$7:$C$87,$D20,WRM!$H$7:$H$87)</f>
        <v>143.5</v>
      </c>
      <c r="J20" s="1738"/>
      <c r="K20" s="1738">
        <f t="shared" si="1"/>
        <v>143.5</v>
      </c>
      <c r="L20" s="1521"/>
      <c r="M20" s="1521">
        <f>+SUMIF(WRM!$C$7:$C$87,$D20,WRM!$L$7:$L$87)</f>
        <v>0</v>
      </c>
      <c r="N20" s="1743"/>
      <c r="O20" s="1743">
        <f t="shared" si="2"/>
        <v>143.5</v>
      </c>
      <c r="P20" s="421"/>
      <c r="Q20" s="1521">
        <f>+SUMIF(WRM!$C$7:$C$87,$D20,WRM!$P$7:$P$87)</f>
        <v>0</v>
      </c>
      <c r="R20" s="1671"/>
      <c r="S20" s="1738">
        <f t="shared" si="3"/>
        <v>143.5</v>
      </c>
      <c r="T20" s="421"/>
      <c r="U20" s="1521">
        <f>+SUMIF(WRM!$C$7:$C$87,$D20,WRM!$T$7:$T$87)</f>
        <v>0</v>
      </c>
      <c r="V20" s="1671"/>
      <c r="W20" s="1738">
        <f t="shared" si="4"/>
        <v>143.5</v>
      </c>
      <c r="X20" s="421"/>
      <c r="Y20" s="1521">
        <f>+SUMIF(WRM!$C$7:$C$87,$D20,WRM!$X$7:$X$87)</f>
        <v>0</v>
      </c>
      <c r="Z20" s="1672"/>
      <c r="AA20" s="1743">
        <f t="shared" si="5"/>
        <v>0</v>
      </c>
      <c r="AB20" s="1817"/>
      <c r="AC20" s="1954">
        <f t="shared" si="6"/>
        <v>143.5</v>
      </c>
      <c r="AD20" s="421"/>
      <c r="AE20" s="1521">
        <f>+SUMIF(WRM!$C$7:$C$87,$D20,WRM!$AD$7:$AD$87)</f>
        <v>0</v>
      </c>
      <c r="AF20" s="1671"/>
      <c r="AG20" s="1738">
        <f t="shared" si="7"/>
        <v>143.5</v>
      </c>
      <c r="AH20" s="421"/>
      <c r="AI20" s="1521">
        <f>+SUMIF(WRM!$C$7:$C$87,$D20,WRM!$AH$7:$AH$87)</f>
        <v>0</v>
      </c>
      <c r="AJ20" s="1671"/>
      <c r="AK20" s="1738">
        <f t="shared" si="8"/>
        <v>143.5</v>
      </c>
      <c r="AL20" s="421"/>
      <c r="AM20" s="1521">
        <f>+SUMIF(WRM!$C$7:$C$87,$D20,WRM!$AL$7:$AL$87)</f>
        <v>0</v>
      </c>
      <c r="AN20" s="1672"/>
      <c r="AO20" s="1743">
        <f t="shared" si="9"/>
        <v>0</v>
      </c>
      <c r="AP20" s="1671"/>
      <c r="AQ20" s="1738">
        <f t="shared" si="0"/>
        <v>143.5</v>
      </c>
      <c r="AR20" s="421"/>
      <c r="AS20" s="1521">
        <f>+SUMIF(WRM!$C$7:$C$87,$D20,WRM!$AR$7:$AR$87)</f>
        <v>0</v>
      </c>
      <c r="AT20" s="1671"/>
      <c r="AU20" s="1738">
        <f t="shared" si="10"/>
        <v>143.5</v>
      </c>
      <c r="AV20" s="421"/>
      <c r="AW20" s="1521">
        <f>+SUMIF(WRM!$C$7:$C$87,$D20,WRM!$AV$7:$AV$87)</f>
        <v>0</v>
      </c>
      <c r="AX20" s="1671"/>
      <c r="AY20" s="1738">
        <f t="shared" si="11"/>
        <v>143.5</v>
      </c>
      <c r="AZ20" s="421"/>
      <c r="BA20" s="1521">
        <f>+SUMIF(WRM!$C$7:$C$87,$D20,WRM!$AZ$7:$AZ$87)</f>
        <v>0</v>
      </c>
      <c r="BB20" s="1672"/>
      <c r="BC20" s="1743">
        <f t="shared" si="12"/>
        <v>0</v>
      </c>
      <c r="BD20" s="1817"/>
      <c r="BE20" s="1954">
        <f t="shared" si="13"/>
        <v>0</v>
      </c>
      <c r="BF20" s="1671"/>
      <c r="BG20" s="1738">
        <f t="shared" si="14"/>
        <v>143.5</v>
      </c>
    </row>
    <row r="21" spans="3:59" ht="18.75" x14ac:dyDescent="0.3">
      <c r="C21" s="1520" t="s">
        <v>17</v>
      </c>
      <c r="D21" s="1520" t="s">
        <v>1359</v>
      </c>
      <c r="E21" s="5429"/>
      <c r="F21" s="1520"/>
      <c r="G21" s="1521">
        <f>+SUMIF(WRM!$C$7:$C$87,$D21,WRM!$F$7:$F$87)</f>
        <v>42.84</v>
      </c>
      <c r="H21" s="1521"/>
      <c r="I21" s="1521">
        <f>+SUMIF(WRM!$C$7:$C$87,$D21,WRM!$H$7:$H$87)</f>
        <v>0</v>
      </c>
      <c r="J21" s="1738"/>
      <c r="K21" s="1738">
        <f t="shared" si="1"/>
        <v>42.84</v>
      </c>
      <c r="L21" s="1521"/>
      <c r="M21" s="1521">
        <f>+SUMIF(WRM!$C$7:$C$87,$D21,WRM!$L$7:$L$87)</f>
        <v>0</v>
      </c>
      <c r="N21" s="1743"/>
      <c r="O21" s="1743">
        <f t="shared" si="2"/>
        <v>42.84</v>
      </c>
      <c r="P21" s="421"/>
      <c r="Q21" s="1521">
        <f>+SUMIF(WRM!$C$7:$C$87,$D21,WRM!$P$7:$P$87)</f>
        <v>0</v>
      </c>
      <c r="R21" s="1671"/>
      <c r="S21" s="1738">
        <f t="shared" si="3"/>
        <v>42.84</v>
      </c>
      <c r="T21" s="421"/>
      <c r="U21" s="1521">
        <f>+SUMIF(WRM!$C$7:$C$87,$D21,WRM!$T$7:$T$87)</f>
        <v>153.75</v>
      </c>
      <c r="V21" s="1671"/>
      <c r="W21" s="1738">
        <f t="shared" si="4"/>
        <v>196.59</v>
      </c>
      <c r="X21" s="421"/>
      <c r="Y21" s="1521">
        <f>+SUMIF(WRM!$C$7:$C$87,$D21,WRM!$X$7:$X$87)</f>
        <v>0</v>
      </c>
      <c r="Z21" s="1672"/>
      <c r="AA21" s="1743">
        <f t="shared" si="5"/>
        <v>153.75</v>
      </c>
      <c r="AB21" s="1817"/>
      <c r="AC21" s="1954">
        <f t="shared" si="6"/>
        <v>196.59</v>
      </c>
      <c r="AD21" s="421"/>
      <c r="AE21" s="1521">
        <f>+SUMIF(WRM!$C$7:$C$87,$D21,WRM!$AD$7:$AD$87)</f>
        <v>0</v>
      </c>
      <c r="AF21" s="1671"/>
      <c r="AG21" s="1738">
        <f t="shared" si="7"/>
        <v>196.59</v>
      </c>
      <c r="AH21" s="421"/>
      <c r="AI21" s="1521">
        <f>+SUMIF(WRM!$C$7:$C$87,$D21,WRM!$AH$7:$AH$87)</f>
        <v>405.9</v>
      </c>
      <c r="AJ21" s="1671"/>
      <c r="AK21" s="1738">
        <f t="shared" si="8"/>
        <v>602.49</v>
      </c>
      <c r="AL21" s="421"/>
      <c r="AM21" s="1521">
        <f>+SUMIF(WRM!$C$7:$C$87,$D21,WRM!$AL$7:$AL$87)</f>
        <v>0</v>
      </c>
      <c r="AN21" s="1672"/>
      <c r="AO21" s="1743">
        <f t="shared" si="9"/>
        <v>405.9</v>
      </c>
      <c r="AP21" s="1671"/>
      <c r="AQ21" s="1738">
        <f t="shared" si="0"/>
        <v>602.49</v>
      </c>
      <c r="AR21" s="421"/>
      <c r="AS21" s="1521">
        <f>+SUMIF(WRM!$C$7:$C$87,$D21,WRM!$AR$7:$AR$87)</f>
        <v>112.74999999999999</v>
      </c>
      <c r="AT21" s="1671"/>
      <c r="AU21" s="1738">
        <f t="shared" si="10"/>
        <v>715.24</v>
      </c>
      <c r="AV21" s="421"/>
      <c r="AW21" s="1521">
        <f>+SUMIF(WRM!$C$7:$C$87,$D21,WRM!$AV$7:$AV$87)</f>
        <v>0</v>
      </c>
      <c r="AX21" s="1671"/>
      <c r="AY21" s="1738">
        <f t="shared" si="11"/>
        <v>715.24</v>
      </c>
      <c r="AZ21" s="421"/>
      <c r="BA21" s="1521">
        <f>+SUMIF(WRM!$C$7:$C$87,$D21,WRM!$AZ$7:$AZ$87)</f>
        <v>0</v>
      </c>
      <c r="BB21" s="1672"/>
      <c r="BC21" s="1743">
        <f t="shared" si="12"/>
        <v>112.74999999999999</v>
      </c>
      <c r="BD21" s="1817"/>
      <c r="BE21" s="1954">
        <f t="shared" si="13"/>
        <v>518.65</v>
      </c>
      <c r="BF21" s="1671"/>
      <c r="BG21" s="1738">
        <f t="shared" si="14"/>
        <v>715.24</v>
      </c>
    </row>
    <row r="22" spans="3:59" s="1545" customFormat="1" ht="18.75" x14ac:dyDescent="0.3">
      <c r="C22" s="1520" t="s">
        <v>17</v>
      </c>
      <c r="D22" s="1520" t="s">
        <v>1842</v>
      </c>
      <c r="E22" s="5429"/>
      <c r="F22" s="1520"/>
      <c r="G22" s="1521">
        <f>+SUMIF(WRM!$C$7:$C$87,$D22,WRM!$F$7:$F$87)</f>
        <v>2756.5039999999999</v>
      </c>
      <c r="H22" s="1521"/>
      <c r="I22" s="1521">
        <f>+SUMIF(WRM!$C$7:$C$87,$D22,WRM!$H$7:$H$87)</f>
        <v>3013.4999999999995</v>
      </c>
      <c r="J22" s="1738"/>
      <c r="K22" s="1738">
        <f t="shared" si="1"/>
        <v>5770.003999999999</v>
      </c>
      <c r="L22" s="1521"/>
      <c r="M22" s="1521">
        <f>+SUMIF(WRM!$C$7:$C$87,$D22,WRM!$L$7:$L$87)</f>
        <v>6814.2</v>
      </c>
      <c r="N22" s="1743"/>
      <c r="O22" s="1743">
        <f t="shared" si="2"/>
        <v>12584.203999999998</v>
      </c>
      <c r="P22" s="421"/>
      <c r="Q22" s="1521">
        <f>+SUMIF(WRM!$C$7:$C$87,$D22,WRM!$P$7:$P$87)</f>
        <v>5334.0999999999995</v>
      </c>
      <c r="R22" s="1671"/>
      <c r="S22" s="1738">
        <f t="shared" si="3"/>
        <v>17918.303999999996</v>
      </c>
      <c r="T22" s="421"/>
      <c r="U22" s="1521">
        <f>+SUMIF(WRM!$C$7:$C$87,$D22,WRM!$T$7:$T$87)</f>
        <v>6262.75</v>
      </c>
      <c r="V22" s="1671"/>
      <c r="W22" s="1738">
        <f t="shared" si="4"/>
        <v>24181.053999999996</v>
      </c>
      <c r="X22" s="421"/>
      <c r="Y22" s="1521">
        <f>+SUMIF(WRM!$C$7:$C$87,$D22,WRM!$X$7:$X$87)</f>
        <v>9300.85</v>
      </c>
      <c r="Z22" s="1672"/>
      <c r="AA22" s="1743">
        <f t="shared" si="5"/>
        <v>20897.7</v>
      </c>
      <c r="AB22" s="1817"/>
      <c r="AC22" s="1954">
        <f t="shared" si="6"/>
        <v>33481.903999999995</v>
      </c>
      <c r="AD22" s="421"/>
      <c r="AE22" s="1521">
        <f>+SUMIF(WRM!$C$7:$C$87,$D22,WRM!$AD$7:$AD$87)</f>
        <v>7052</v>
      </c>
      <c r="AF22" s="1671"/>
      <c r="AG22" s="1738">
        <f t="shared" si="7"/>
        <v>40533.903999999995</v>
      </c>
      <c r="AH22" s="421"/>
      <c r="AI22" s="1521">
        <f>+SUMIF(WRM!$C$7:$C$87,$D22,WRM!$AH$7:$AH$87)</f>
        <v>10223.349999999999</v>
      </c>
      <c r="AJ22" s="1671"/>
      <c r="AK22" s="1738">
        <f t="shared" si="8"/>
        <v>50757.253999999994</v>
      </c>
      <c r="AL22" s="421"/>
      <c r="AM22" s="1521">
        <f>+SUMIF(WRM!$C$7:$C$87,$D22,WRM!$AL$7:$AL$87)</f>
        <v>3208.25</v>
      </c>
      <c r="AN22" s="1672"/>
      <c r="AO22" s="1743">
        <f t="shared" si="9"/>
        <v>20483.599999999999</v>
      </c>
      <c r="AP22" s="1671"/>
      <c r="AQ22" s="1738">
        <f t="shared" si="0"/>
        <v>53965.503999999994</v>
      </c>
      <c r="AR22" s="421"/>
      <c r="AS22" s="1521">
        <f>+SUMIF(WRM!$C$7:$C$87,$D22,WRM!$AR$7:$AR$87)</f>
        <v>5594.45</v>
      </c>
      <c r="AT22" s="1671"/>
      <c r="AU22" s="1738">
        <f t="shared" si="10"/>
        <v>59559.953999999991</v>
      </c>
      <c r="AV22" s="421"/>
      <c r="AW22" s="1521">
        <f>+SUMIF(WRM!$C$7:$C$87,$D22,WRM!$AV$7:$AV$87)</f>
        <v>8441.9</v>
      </c>
      <c r="AX22" s="1671"/>
      <c r="AY22" s="1738">
        <f t="shared" si="11"/>
        <v>68001.853999999992</v>
      </c>
      <c r="AZ22" s="421"/>
      <c r="BA22" s="1521">
        <f>+SUMIF(WRM!$C$7:$C$87,$D22,WRM!$AZ$7:$AZ$87)</f>
        <v>7994.9999999999991</v>
      </c>
      <c r="BB22" s="1672"/>
      <c r="BC22" s="1743">
        <f t="shared" si="12"/>
        <v>22031.35</v>
      </c>
      <c r="BD22" s="1817"/>
      <c r="BE22" s="1954">
        <f t="shared" si="13"/>
        <v>42514.95</v>
      </c>
      <c r="BF22" s="1671"/>
      <c r="BG22" s="1738">
        <f t="shared" si="14"/>
        <v>75996.853999999992</v>
      </c>
    </row>
    <row r="23" spans="3:59" ht="18.75" x14ac:dyDescent="0.3">
      <c r="C23" s="1520" t="s">
        <v>17</v>
      </c>
      <c r="D23" s="1520" t="s">
        <v>1146</v>
      </c>
      <c r="E23" s="5429"/>
      <c r="F23" s="1520"/>
      <c r="G23" s="1521">
        <f>+SUMIF(WRM!$C$7:$C$87,$D23,WRM!$F$7:$F$87)</f>
        <v>0</v>
      </c>
      <c r="H23" s="1521"/>
      <c r="I23" s="1521">
        <f>+SUMIF(WRM!$C$7:$C$87,$D23,WRM!$H$7:$H$87)</f>
        <v>0</v>
      </c>
      <c r="J23" s="1738"/>
      <c r="K23" s="1738">
        <f t="shared" si="1"/>
        <v>0</v>
      </c>
      <c r="L23" s="1521"/>
      <c r="M23" s="1521">
        <f>+SUMIF(WRM!$C$7:$C$87,$D23,WRM!$L$7:$L$87)</f>
        <v>243.95</v>
      </c>
      <c r="N23" s="1743"/>
      <c r="O23" s="1743">
        <f t="shared" si="2"/>
        <v>243.95</v>
      </c>
      <c r="P23" s="421"/>
      <c r="Q23" s="1521">
        <f>+SUMIF(WRM!$C$7:$C$87,$D23,WRM!$P$7:$P$87)</f>
        <v>586.29999999999995</v>
      </c>
      <c r="R23" s="1671"/>
      <c r="S23" s="1738">
        <f t="shared" si="3"/>
        <v>830.25</v>
      </c>
      <c r="T23" s="421"/>
      <c r="U23" s="1521">
        <f>+SUMIF(WRM!$C$7:$C$87,$D23,WRM!$T$7:$T$87)</f>
        <v>1252.5500000000002</v>
      </c>
      <c r="V23" s="1671"/>
      <c r="W23" s="1738">
        <f t="shared" si="4"/>
        <v>2082.8000000000002</v>
      </c>
      <c r="X23" s="421"/>
      <c r="Y23" s="1521">
        <f>+SUMIF(WRM!$C$7:$C$87,$D23,WRM!$X$7:$X$87)</f>
        <v>0</v>
      </c>
      <c r="Z23" s="1672"/>
      <c r="AA23" s="1743">
        <f t="shared" si="5"/>
        <v>1838.8500000000001</v>
      </c>
      <c r="AB23" s="1817"/>
      <c r="AC23" s="1954">
        <f t="shared" si="6"/>
        <v>2082.8000000000002</v>
      </c>
      <c r="AD23" s="421"/>
      <c r="AE23" s="1521">
        <f>+SUMIF(WRM!$C$7:$C$87,$D23,WRM!$AD$7:$AD$87)</f>
        <v>0</v>
      </c>
      <c r="AF23" s="1671"/>
      <c r="AG23" s="1738">
        <f t="shared" si="7"/>
        <v>2082.8000000000002</v>
      </c>
      <c r="AH23" s="421"/>
      <c r="AI23" s="1521">
        <f>+SUMIF(WRM!$C$7:$C$87,$D23,WRM!$AH$7:$AH$87)</f>
        <v>1135.7</v>
      </c>
      <c r="AJ23" s="1671"/>
      <c r="AK23" s="1738">
        <f t="shared" si="8"/>
        <v>3218.5</v>
      </c>
      <c r="AL23" s="421"/>
      <c r="AM23" s="1521">
        <f>+SUMIF(WRM!$C$7:$C$87,$D23,WRM!$AL$7:$AL$87)</f>
        <v>1185.0559999999998</v>
      </c>
      <c r="AN23" s="1672"/>
      <c r="AO23" s="1743">
        <f t="shared" si="9"/>
        <v>2320.7559999999999</v>
      </c>
      <c r="AP23" s="1671"/>
      <c r="AQ23" s="1738">
        <f t="shared" si="0"/>
        <v>4403.5559999999996</v>
      </c>
      <c r="AR23" s="421"/>
      <c r="AS23" s="1521">
        <f>+SUMIF(WRM!$C$7:$C$87,$D23,WRM!$AR$7:$AR$87)</f>
        <v>1018.85</v>
      </c>
      <c r="AT23" s="1671"/>
      <c r="AU23" s="1738">
        <f t="shared" si="10"/>
        <v>5422.4059999999999</v>
      </c>
      <c r="AV23" s="421"/>
      <c r="AW23" s="1521">
        <f>+SUMIF(WRM!$C$7:$C$87,$D23,WRM!$AV$7:$AV$87)</f>
        <v>0</v>
      </c>
      <c r="AX23" s="1671"/>
      <c r="AY23" s="1738">
        <f t="shared" si="11"/>
        <v>5422.4059999999999</v>
      </c>
      <c r="AZ23" s="421"/>
      <c r="BA23" s="1521">
        <f>+SUMIF(WRM!$C$7:$C$87,$D23,WRM!$AZ$7:$AZ$87)</f>
        <v>844.6</v>
      </c>
      <c r="BB23" s="1672"/>
      <c r="BC23" s="1743">
        <f t="shared" si="12"/>
        <v>1863.45</v>
      </c>
      <c r="BD23" s="1817"/>
      <c r="BE23" s="1954">
        <f t="shared" si="13"/>
        <v>4184.2060000000001</v>
      </c>
      <c r="BF23" s="1671"/>
      <c r="BG23" s="1738">
        <f t="shared" si="14"/>
        <v>6267.0060000000003</v>
      </c>
    </row>
    <row r="24" spans="3:59" ht="18.75" x14ac:dyDescent="0.3">
      <c r="C24" s="1520" t="s">
        <v>17</v>
      </c>
      <c r="D24" s="1520" t="s">
        <v>1353</v>
      </c>
      <c r="E24" s="5429"/>
      <c r="F24" s="1520"/>
      <c r="G24" s="1521">
        <f>+SUMIF(WRM!$C$7:$C$87,$D24,WRM!$F$7:$F$87)</f>
        <v>4101.4800000000005</v>
      </c>
      <c r="H24" s="1521"/>
      <c r="I24" s="1521">
        <f>+SUMIF(WRM!$C$7:$C$87,$D24,WRM!$H$7:$H$87)</f>
        <v>0</v>
      </c>
      <c r="J24" s="1738"/>
      <c r="K24" s="1738">
        <f t="shared" si="1"/>
        <v>4101.4800000000005</v>
      </c>
      <c r="L24" s="1521"/>
      <c r="M24" s="1521">
        <f>+SUMIF(WRM!$C$7:$C$87,$D24,WRM!$L$7:$L$87)</f>
        <v>2783.8999999999996</v>
      </c>
      <c r="N24" s="1743"/>
      <c r="O24" s="1743">
        <f t="shared" si="2"/>
        <v>6885.38</v>
      </c>
      <c r="P24" s="421"/>
      <c r="Q24" s="1521">
        <f>+SUMIF(WRM!$C$7:$C$87,$D24,WRM!$P$7:$P$87)</f>
        <v>813.85</v>
      </c>
      <c r="R24" s="1671"/>
      <c r="S24" s="1738">
        <f t="shared" ref="S24:S71" si="17">+O24+Q24</f>
        <v>7699.2300000000005</v>
      </c>
      <c r="T24" s="421"/>
      <c r="U24" s="1521">
        <f>+SUMIF(WRM!$C$7:$C$87,$D24,WRM!$T$7:$T$87)</f>
        <v>1445.25</v>
      </c>
      <c r="V24" s="1671"/>
      <c r="W24" s="1738">
        <f t="shared" si="4"/>
        <v>9144.48</v>
      </c>
      <c r="X24" s="421"/>
      <c r="Y24" s="1521">
        <f>+SUMIF(WRM!$C$7:$C$87,$D24,WRM!$X$7:$X$87)</f>
        <v>3292.2999999999997</v>
      </c>
      <c r="Z24" s="1672"/>
      <c r="AA24" s="1743">
        <f t="shared" si="5"/>
        <v>5551.4</v>
      </c>
      <c r="AB24" s="1817"/>
      <c r="AC24" s="1954">
        <f t="shared" si="6"/>
        <v>12436.779999999999</v>
      </c>
      <c r="AD24" s="421"/>
      <c r="AE24" s="1521">
        <f>+SUMIF(WRM!$C$7:$C$87,$D24,WRM!$AD$7:$AD$87)</f>
        <v>3396.85</v>
      </c>
      <c r="AF24" s="1671"/>
      <c r="AG24" s="1738">
        <f t="shared" si="7"/>
        <v>15833.63</v>
      </c>
      <c r="AH24" s="421"/>
      <c r="AI24" s="1521">
        <f>+SUMIF(WRM!$C$7:$C$87,$D24,WRM!$AH$7:$AH$87)</f>
        <v>3280</v>
      </c>
      <c r="AJ24" s="1671"/>
      <c r="AK24" s="1738">
        <f t="shared" si="8"/>
        <v>19113.629999999997</v>
      </c>
      <c r="AL24" s="421"/>
      <c r="AM24" s="1521">
        <f>+SUMIF(WRM!$C$7:$C$87,$D24,WRM!$AL$7:$AL$87)</f>
        <v>3987.2759999999998</v>
      </c>
      <c r="AN24" s="1672"/>
      <c r="AO24" s="1743">
        <f t="shared" si="9"/>
        <v>10664.126</v>
      </c>
      <c r="AP24" s="1671"/>
      <c r="AQ24" s="1738">
        <f t="shared" si="0"/>
        <v>23100.905999999995</v>
      </c>
      <c r="AR24" s="421"/>
      <c r="AS24" s="1521">
        <f>+SUMIF(WRM!$C$7:$C$87,$D24,WRM!$AR$7:$AR$87)</f>
        <v>2242.6999999999998</v>
      </c>
      <c r="AT24" s="1671"/>
      <c r="AU24" s="1738">
        <f t="shared" si="10"/>
        <v>25343.605999999996</v>
      </c>
      <c r="AV24" s="421"/>
      <c r="AW24" s="1521">
        <f>+SUMIF(WRM!$C$7:$C$87,$D24,WRM!$AV$7:$AV$87)</f>
        <v>8737.0999999999985</v>
      </c>
      <c r="AX24" s="1671"/>
      <c r="AY24" s="1738">
        <f t="shared" si="11"/>
        <v>34080.705999999991</v>
      </c>
      <c r="AZ24" s="421"/>
      <c r="BA24" s="1521">
        <f>+SUMIF(WRM!$C$7:$C$87,$D24,WRM!$AZ$7:$AZ$87)</f>
        <v>4952.7999999999984</v>
      </c>
      <c r="BB24" s="1672"/>
      <c r="BC24" s="1743">
        <f t="shared" si="12"/>
        <v>15932.599999999999</v>
      </c>
      <c r="BD24" s="1817"/>
      <c r="BE24" s="1954">
        <f t="shared" si="13"/>
        <v>26596.725999999999</v>
      </c>
      <c r="BF24" s="1671"/>
      <c r="BG24" s="1738">
        <f t="shared" si="14"/>
        <v>39033.505999999987</v>
      </c>
    </row>
    <row r="25" spans="3:59" s="1726" customFormat="1" ht="18.75" x14ac:dyDescent="0.3">
      <c r="C25" s="1520" t="s">
        <v>17</v>
      </c>
      <c r="D25" s="1520" t="s">
        <v>1355</v>
      </c>
      <c r="E25" s="5429"/>
      <c r="F25" s="1520"/>
      <c r="G25" s="1521">
        <f>+SUMIF(WRM!$C$7:$C$87,$D25,WRM!$F$7:$F$87)</f>
        <v>5174.7460000000001</v>
      </c>
      <c r="H25" s="1521"/>
      <c r="I25" s="1521">
        <f>+SUMIF(WRM!$C$7:$C$87,$D25,WRM!$H$7:$H$87)</f>
        <v>1697.5300000000002</v>
      </c>
      <c r="J25" s="1738"/>
      <c r="K25" s="1738">
        <f t="shared" si="1"/>
        <v>6872.2759999999998</v>
      </c>
      <c r="L25" s="1521"/>
      <c r="M25" s="1521">
        <f>+SUMIF(WRM!$C$7:$C$87,$D25,WRM!$L$7:$L$87)</f>
        <v>2570.7000000000003</v>
      </c>
      <c r="N25" s="1743"/>
      <c r="O25" s="1743">
        <f t="shared" si="2"/>
        <v>9442.9760000000006</v>
      </c>
      <c r="P25" s="421"/>
      <c r="Q25" s="1521">
        <f>+SUMIF(WRM!$C$7:$C$87,$D25,WRM!$P$7:$P$87)</f>
        <v>16748.603999999999</v>
      </c>
      <c r="R25" s="1671"/>
      <c r="S25" s="1738">
        <f t="shared" si="17"/>
        <v>26191.58</v>
      </c>
      <c r="T25" s="421"/>
      <c r="U25" s="1521">
        <f>+SUMIF(WRM!$C$7:$C$87,$D25,WRM!$T$7:$T$87)</f>
        <v>4719.1000000000004</v>
      </c>
      <c r="V25" s="1671"/>
      <c r="W25" s="1738">
        <f t="shared" si="4"/>
        <v>30910.68</v>
      </c>
      <c r="X25" s="421"/>
      <c r="Y25" s="1521">
        <f>+SUMIF(WRM!$C$7:$C$87,$D25,WRM!$X$7:$X$87)</f>
        <v>3370.2</v>
      </c>
      <c r="Z25" s="1672"/>
      <c r="AA25" s="1743">
        <f t="shared" si="5"/>
        <v>24837.903999999999</v>
      </c>
      <c r="AB25" s="1817"/>
      <c r="AC25" s="1954">
        <f t="shared" si="6"/>
        <v>34280.879999999997</v>
      </c>
      <c r="AD25" s="421"/>
      <c r="AE25" s="1521">
        <f>+SUMIF(WRM!$C$7:$C$87,$D25,WRM!$AD$7:$AD$87)</f>
        <v>2958.15</v>
      </c>
      <c r="AF25" s="1671"/>
      <c r="AG25" s="1738">
        <f t="shared" si="7"/>
        <v>37239.03</v>
      </c>
      <c r="AH25" s="421"/>
      <c r="AI25" s="1521">
        <f>+SUMIF(WRM!$C$7:$C$87,$D25,WRM!$AH$7:$AH$87)</f>
        <v>2665</v>
      </c>
      <c r="AJ25" s="1671"/>
      <c r="AK25" s="1738">
        <f t="shared" si="8"/>
        <v>39904.03</v>
      </c>
      <c r="AL25" s="421"/>
      <c r="AM25" s="1521">
        <f>+SUMIF(WRM!$C$7:$C$87,$D25,WRM!$AL$7:$AL$87)</f>
        <v>5434.5499999999993</v>
      </c>
      <c r="AN25" s="1672"/>
      <c r="AO25" s="1743">
        <f t="shared" si="9"/>
        <v>11057.699999999999</v>
      </c>
      <c r="AP25" s="1671"/>
      <c r="AQ25" s="1738">
        <f t="shared" si="0"/>
        <v>45338.58</v>
      </c>
      <c r="AR25" s="421"/>
      <c r="AS25" s="1521">
        <f>+SUMIF(WRM!$C$7:$C$87,$D25,WRM!$AR$7:$AR$87)</f>
        <v>3157.0000000000005</v>
      </c>
      <c r="AT25" s="1671"/>
      <c r="AU25" s="1738">
        <f t="shared" si="10"/>
        <v>48495.58</v>
      </c>
      <c r="AV25" s="421"/>
      <c r="AW25" s="1521">
        <f>+SUMIF(WRM!$C$7:$C$87,$D25,WRM!$AV$7:$AV$87)</f>
        <v>1234.0999999999999</v>
      </c>
      <c r="AX25" s="1671"/>
      <c r="AY25" s="1738">
        <f t="shared" si="11"/>
        <v>49729.68</v>
      </c>
      <c r="AZ25" s="421"/>
      <c r="BA25" s="1521">
        <f>+SUMIF(WRM!$C$7:$C$87,$D25,WRM!$AZ$7:$AZ$87)</f>
        <v>2150.4499999999998</v>
      </c>
      <c r="BB25" s="1672"/>
      <c r="BC25" s="1743">
        <f t="shared" si="12"/>
        <v>6541.55</v>
      </c>
      <c r="BD25" s="1817"/>
      <c r="BE25" s="1954">
        <f t="shared" si="13"/>
        <v>17599.25</v>
      </c>
      <c r="BF25" s="1671"/>
      <c r="BG25" s="1738">
        <f t="shared" si="14"/>
        <v>51880.13</v>
      </c>
    </row>
    <row r="26" spans="3:59" s="1726" customFormat="1" ht="18.75" x14ac:dyDescent="0.3">
      <c r="C26" s="1520" t="s">
        <v>17</v>
      </c>
      <c r="D26" s="1520" t="s">
        <v>1736</v>
      </c>
      <c r="E26" s="5429"/>
      <c r="F26" s="1520"/>
      <c r="G26" s="1521"/>
      <c r="H26" s="1521"/>
      <c r="I26" s="1521"/>
      <c r="J26" s="1738"/>
      <c r="K26" s="1738">
        <f t="shared" si="1"/>
        <v>0</v>
      </c>
      <c r="L26" s="1521"/>
      <c r="M26" s="1521"/>
      <c r="N26" s="1743"/>
      <c r="O26" s="1743">
        <f t="shared" si="2"/>
        <v>0</v>
      </c>
      <c r="P26" s="421"/>
      <c r="Q26" s="1521"/>
      <c r="R26" s="1671"/>
      <c r="S26" s="1738">
        <f t="shared" si="17"/>
        <v>0</v>
      </c>
      <c r="T26" s="421"/>
      <c r="U26" s="1521"/>
      <c r="V26" s="1671"/>
      <c r="W26" s="1738">
        <f t="shared" si="4"/>
        <v>0</v>
      </c>
      <c r="X26" s="421"/>
      <c r="Y26" s="1521"/>
      <c r="Z26" s="1672"/>
      <c r="AA26" s="1743">
        <f t="shared" si="5"/>
        <v>0</v>
      </c>
      <c r="AB26" s="1817"/>
      <c r="AC26" s="1954">
        <f t="shared" si="6"/>
        <v>0</v>
      </c>
      <c r="AD26" s="421"/>
      <c r="AE26" s="1521"/>
      <c r="AF26" s="1671"/>
      <c r="AG26" s="1738">
        <f t="shared" si="7"/>
        <v>0</v>
      </c>
      <c r="AH26" s="421"/>
      <c r="AI26" s="1521"/>
      <c r="AJ26" s="1671"/>
      <c r="AK26" s="1738">
        <f t="shared" si="8"/>
        <v>0</v>
      </c>
      <c r="AL26" s="421"/>
      <c r="AM26" s="1521">
        <f>+SUMIF(WRM!$C$7:$C$87,$D26,WRM!$AL$7:$AL$87)</f>
        <v>516.678</v>
      </c>
      <c r="AN26" s="1672"/>
      <c r="AO26" s="1743">
        <f t="shared" si="9"/>
        <v>516.678</v>
      </c>
      <c r="AP26" s="1671"/>
      <c r="AQ26" s="1738">
        <f t="shared" si="0"/>
        <v>516.678</v>
      </c>
      <c r="AR26" s="421"/>
      <c r="AS26" s="1521">
        <f>+SUMIF(WRM!$C$7:$C$87,$D26,WRM!$AR$7:$AR$87)</f>
        <v>0</v>
      </c>
      <c r="AT26" s="1671"/>
      <c r="AU26" s="1738">
        <f t="shared" si="10"/>
        <v>516.678</v>
      </c>
      <c r="AV26" s="421"/>
      <c r="AW26" s="1521">
        <f>+SUMIF(WRM!$C$7:$C$87,$D26,WRM!$AV$7:$AV$87)</f>
        <v>530.94999999999993</v>
      </c>
      <c r="AX26" s="1671"/>
      <c r="AY26" s="1738">
        <f t="shared" si="11"/>
        <v>1047.6279999999999</v>
      </c>
      <c r="AZ26" s="421"/>
      <c r="BA26" s="1521">
        <f>+SUMIF(WRM!$C$7:$C$87,$D26,WRM!$AZ$7:$AZ$87)</f>
        <v>592.45000000000005</v>
      </c>
      <c r="BB26" s="1672"/>
      <c r="BC26" s="1743">
        <f t="shared" si="12"/>
        <v>1123.4000000000001</v>
      </c>
      <c r="BD26" s="1817"/>
      <c r="BE26" s="1954">
        <f t="shared" si="13"/>
        <v>1640.078</v>
      </c>
      <c r="BF26" s="1671"/>
      <c r="BG26" s="1738">
        <f t="shared" si="14"/>
        <v>1640.078</v>
      </c>
    </row>
    <row r="27" spans="3:59" ht="18.75" x14ac:dyDescent="0.3">
      <c r="C27" s="1520" t="s">
        <v>17</v>
      </c>
      <c r="D27" s="1520" t="s">
        <v>1527</v>
      </c>
      <c r="E27" s="5429"/>
      <c r="F27" s="1520"/>
      <c r="G27" s="1521">
        <f>+SUMIF(WRM!$C$7:$C$87,$D27,WRM!$F$7:$F$87)</f>
        <v>0</v>
      </c>
      <c r="H27" s="1521"/>
      <c r="I27" s="1521">
        <f>+SUMIF(WRM!$C$7:$C$87,$D27,WRM!$H$7:$H$87)</f>
        <v>98.399999999999991</v>
      </c>
      <c r="J27" s="1738"/>
      <c r="K27" s="1738">
        <f t="shared" si="1"/>
        <v>98.399999999999991</v>
      </c>
      <c r="L27" s="1521"/>
      <c r="M27" s="1521">
        <f>+SUMIF(WRM!$C$7:$C$87,$D27,WRM!$L$7:$L$87)</f>
        <v>3776.0999999999995</v>
      </c>
      <c r="N27" s="1743"/>
      <c r="O27" s="1743">
        <f t="shared" si="2"/>
        <v>3874.4999999999995</v>
      </c>
      <c r="P27" s="421"/>
      <c r="Q27" s="1521">
        <f>+SUMIF(WRM!$C$7:$C$87,$D27,WRM!$P$7:$P$87)</f>
        <v>12.299999999999999</v>
      </c>
      <c r="R27" s="1671"/>
      <c r="S27" s="1738">
        <f t="shared" si="17"/>
        <v>3886.7999999999997</v>
      </c>
      <c r="T27" s="421"/>
      <c r="U27" s="1521">
        <f>+SUMIF(WRM!$C$7:$C$87,$D27,WRM!$T$7:$T$87)</f>
        <v>0</v>
      </c>
      <c r="V27" s="1671"/>
      <c r="W27" s="1738">
        <f t="shared" si="4"/>
        <v>3886.7999999999997</v>
      </c>
      <c r="X27" s="421"/>
      <c r="Y27" s="1521">
        <f>+SUMIF(WRM!$C$7:$C$87,$D27,WRM!$X$7:$X$87)</f>
        <v>0</v>
      </c>
      <c r="Z27" s="1672"/>
      <c r="AA27" s="1743">
        <f t="shared" si="5"/>
        <v>12.299999999999999</v>
      </c>
      <c r="AB27" s="1817"/>
      <c r="AC27" s="1954">
        <f t="shared" si="6"/>
        <v>3886.7999999999997</v>
      </c>
      <c r="AD27" s="421"/>
      <c r="AE27" s="1521">
        <f>+SUMIF(WRM!$C$7:$C$87,$D27,WRM!$AD$7:$AD$87)</f>
        <v>2390.3000000000002</v>
      </c>
      <c r="AF27" s="1671"/>
      <c r="AG27" s="1738">
        <f t="shared" si="7"/>
        <v>6277.1</v>
      </c>
      <c r="AH27" s="421"/>
      <c r="AI27" s="1521">
        <f>+SUMIF(WRM!$C$7:$C$87,$D27,WRM!$AH$7:$AH$87)</f>
        <v>0</v>
      </c>
      <c r="AJ27" s="1671"/>
      <c r="AK27" s="1738">
        <f t="shared" si="8"/>
        <v>6277.1</v>
      </c>
      <c r="AL27" s="421"/>
      <c r="AM27" s="1521">
        <f>+SUMIF(WRM!$C$7:$C$87,$D27,WRM!$AL$7:$AL$87)</f>
        <v>760.55</v>
      </c>
      <c r="AN27" s="1672"/>
      <c r="AO27" s="1743">
        <f t="shared" si="9"/>
        <v>3150.8500000000004</v>
      </c>
      <c r="AP27" s="1671"/>
      <c r="AQ27" s="1738">
        <f t="shared" si="0"/>
        <v>7037.6500000000005</v>
      </c>
      <c r="AR27" s="421"/>
      <c r="AS27" s="1521">
        <f>+SUMIF(WRM!$C$7:$C$87,$D27,WRM!$AR$7:$AR$87)</f>
        <v>1430.8999999999999</v>
      </c>
      <c r="AT27" s="1671"/>
      <c r="AU27" s="1738">
        <f t="shared" si="10"/>
        <v>8468.5500000000011</v>
      </c>
      <c r="AV27" s="421"/>
      <c r="AW27" s="1521">
        <f>+SUMIF(WRM!$C$7:$C$87,$D27,WRM!$AV$7:$AV$87)</f>
        <v>0</v>
      </c>
      <c r="AX27" s="1671"/>
      <c r="AY27" s="1738">
        <f t="shared" si="11"/>
        <v>8468.5500000000011</v>
      </c>
      <c r="AZ27" s="421"/>
      <c r="BA27" s="1521">
        <f>+SUMIF(WRM!$C$7:$C$87,$D27,WRM!$AZ$7:$AZ$87)</f>
        <v>0</v>
      </c>
      <c r="BB27" s="1672"/>
      <c r="BC27" s="1743">
        <f t="shared" si="12"/>
        <v>1430.8999999999999</v>
      </c>
      <c r="BD27" s="1817"/>
      <c r="BE27" s="1954">
        <f t="shared" si="13"/>
        <v>4581.75</v>
      </c>
      <c r="BF27" s="1671"/>
      <c r="BG27" s="1738">
        <f t="shared" si="14"/>
        <v>8468.5500000000011</v>
      </c>
    </row>
    <row r="28" spans="3:59" s="1545" customFormat="1" ht="18.75" x14ac:dyDescent="0.3">
      <c r="C28" s="1520" t="s">
        <v>17</v>
      </c>
      <c r="D28" s="1520" t="s">
        <v>1528</v>
      </c>
      <c r="E28" s="5429"/>
      <c r="F28" s="1520"/>
      <c r="G28" s="1521">
        <f>+SUMIF(WRM!$C$7:$C$87,$D28,WRM!$F$7:$F$87)</f>
        <v>0</v>
      </c>
      <c r="H28" s="1521"/>
      <c r="I28" s="1521">
        <f>+SUMIF(WRM!$C$7:$C$87,$D28,WRM!$H$7:$H$87)</f>
        <v>0</v>
      </c>
      <c r="J28" s="1738"/>
      <c r="K28" s="1738">
        <f t="shared" si="1"/>
        <v>0</v>
      </c>
      <c r="L28" s="1521"/>
      <c r="M28" s="1521">
        <f>+SUMIF(WRM!$C$7:$C$87,$D28,WRM!$L$7:$L$87)</f>
        <v>4568.43</v>
      </c>
      <c r="N28" s="1743"/>
      <c r="O28" s="1743">
        <f t="shared" si="2"/>
        <v>4568.43</v>
      </c>
      <c r="P28" s="421"/>
      <c r="Q28" s="1521">
        <f>+SUMIF(WRM!$C$7:$C$87,$D28,WRM!$P$7:$P$87)</f>
        <v>0</v>
      </c>
      <c r="R28" s="1671"/>
      <c r="S28" s="1738">
        <f t="shared" si="17"/>
        <v>4568.43</v>
      </c>
      <c r="T28" s="421"/>
      <c r="U28" s="1521">
        <f>+SUMIF(WRM!$C$7:$C$87,$D28,WRM!$T$7:$T$87)</f>
        <v>0</v>
      </c>
      <c r="V28" s="1671"/>
      <c r="W28" s="1738">
        <f t="shared" si="4"/>
        <v>4568.43</v>
      </c>
      <c r="X28" s="421"/>
      <c r="Y28" s="1521">
        <f>+SUMIF(WRM!$C$7:$C$87,$D28,WRM!$X$7:$X$87)</f>
        <v>2669.1</v>
      </c>
      <c r="Z28" s="1672"/>
      <c r="AA28" s="1743">
        <f t="shared" si="5"/>
        <v>2669.1</v>
      </c>
      <c r="AB28" s="1817"/>
      <c r="AC28" s="1954">
        <f t="shared" si="6"/>
        <v>7237.5300000000007</v>
      </c>
      <c r="AD28" s="421"/>
      <c r="AE28" s="1521">
        <f>+SUMIF(WRM!$C$7:$C$87,$D28,WRM!$AD$7:$AD$87)</f>
        <v>4126.6500000000005</v>
      </c>
      <c r="AF28" s="1671"/>
      <c r="AG28" s="1738">
        <f t="shared" si="7"/>
        <v>11364.18</v>
      </c>
      <c r="AH28" s="421"/>
      <c r="AI28" s="1521">
        <f>+SUMIF(WRM!$C$7:$C$87,$D28,WRM!$AH$7:$AH$87)</f>
        <v>0</v>
      </c>
      <c r="AJ28" s="1671"/>
      <c r="AK28" s="1738">
        <f t="shared" si="8"/>
        <v>11364.18</v>
      </c>
      <c r="AL28" s="421"/>
      <c r="AM28" s="1521">
        <f>+SUMIF(WRM!$C$7:$C$87,$D28,WRM!$AL$7:$AL$87)</f>
        <v>4052.8499999999995</v>
      </c>
      <c r="AN28" s="1672"/>
      <c r="AO28" s="1743">
        <f t="shared" si="9"/>
        <v>8179.5</v>
      </c>
      <c r="AP28" s="1671"/>
      <c r="AQ28" s="1738">
        <f t="shared" si="0"/>
        <v>15417.029999999999</v>
      </c>
      <c r="AR28" s="421"/>
      <c r="AS28" s="1521">
        <f>+SUMIF(WRM!$C$7:$C$87,$D28,WRM!$AR$7:$AR$87)</f>
        <v>524.79999999999995</v>
      </c>
      <c r="AT28" s="1671"/>
      <c r="AU28" s="1738">
        <f t="shared" si="10"/>
        <v>15941.829999999998</v>
      </c>
      <c r="AV28" s="421"/>
      <c r="AW28" s="1521">
        <f>+SUMIF(WRM!$C$7:$C$87,$D28,WRM!$AV$7:$AV$87)</f>
        <v>0</v>
      </c>
      <c r="AX28" s="1671"/>
      <c r="AY28" s="1738">
        <f t="shared" si="11"/>
        <v>15941.829999999998</v>
      </c>
      <c r="AZ28" s="421"/>
      <c r="BA28" s="1521">
        <f>+SUMIF(WRM!$C$7:$C$87,$D28,WRM!$AZ$7:$AZ$87)</f>
        <v>0</v>
      </c>
      <c r="BB28" s="1672"/>
      <c r="BC28" s="1743">
        <f t="shared" si="12"/>
        <v>524.79999999999995</v>
      </c>
      <c r="BD28" s="1817"/>
      <c r="BE28" s="1954">
        <f t="shared" si="13"/>
        <v>8704.2999999999993</v>
      </c>
      <c r="BF28" s="1671"/>
      <c r="BG28" s="1738">
        <f t="shared" si="14"/>
        <v>15941.829999999998</v>
      </c>
    </row>
    <row r="29" spans="3:59" s="1726" customFormat="1" ht="18.75" x14ac:dyDescent="0.3">
      <c r="C29" s="1520" t="s">
        <v>17</v>
      </c>
      <c r="D29" s="1520" t="s">
        <v>1583</v>
      </c>
      <c r="E29" s="5429"/>
      <c r="F29" s="1520"/>
      <c r="G29" s="1521">
        <f>+SUMIF(WRM!$C$7:$C$87,$D29,WRM!$F$7:$F$87)</f>
        <v>0</v>
      </c>
      <c r="H29" s="1521"/>
      <c r="I29" s="1521">
        <f>+SUMIF(WRM!$C$7:$C$87,$D29,WRM!$H$7:$H$87)</f>
        <v>0</v>
      </c>
      <c r="J29" s="1738"/>
      <c r="K29" s="1738">
        <f t="shared" si="1"/>
        <v>0</v>
      </c>
      <c r="L29" s="1521"/>
      <c r="M29" s="1521">
        <f>+SUMIF(WRM!$C$7:$C$87,$D29,WRM!$L$7:$L$87)</f>
        <v>0</v>
      </c>
      <c r="N29" s="1743"/>
      <c r="O29" s="1743">
        <f t="shared" si="2"/>
        <v>0</v>
      </c>
      <c r="P29" s="421"/>
      <c r="Q29" s="1521">
        <f>+SUMIF(WRM!$C$7:$C$87,$D29,WRM!$P$7:$P$87)</f>
        <v>0</v>
      </c>
      <c r="R29" s="1671"/>
      <c r="S29" s="1738">
        <f t="shared" si="17"/>
        <v>0</v>
      </c>
      <c r="T29" s="421"/>
      <c r="U29" s="1521">
        <f>+SUMIF(WRM!$C$7:$C$87,$D29,WRM!$T$7:$T$87)</f>
        <v>0</v>
      </c>
      <c r="V29" s="1671"/>
      <c r="W29" s="1738">
        <f t="shared" si="4"/>
        <v>0</v>
      </c>
      <c r="X29" s="421"/>
      <c r="Y29" s="1521">
        <f>+SUMIF(WRM!$C$7:$C$87,$D29,WRM!$X$7:$X$87)</f>
        <v>143.5</v>
      </c>
      <c r="Z29" s="1672"/>
      <c r="AA29" s="1743">
        <f t="shared" si="5"/>
        <v>143.5</v>
      </c>
      <c r="AB29" s="1817"/>
      <c r="AC29" s="1954">
        <f t="shared" si="6"/>
        <v>143.5</v>
      </c>
      <c r="AD29" s="421"/>
      <c r="AE29" s="1521">
        <f>+SUMIF(WRM!$C$7:$C$87,$D29,WRM!$AD$7:$AD$87)</f>
        <v>0</v>
      </c>
      <c r="AF29" s="1671"/>
      <c r="AG29" s="1738">
        <f t="shared" si="7"/>
        <v>143.5</v>
      </c>
      <c r="AH29" s="421"/>
      <c r="AI29" s="1521">
        <f>+SUMIF(WRM!$C$7:$C$87,$D29,WRM!$AH$7:$AH$87)</f>
        <v>0</v>
      </c>
      <c r="AJ29" s="1671"/>
      <c r="AK29" s="1738">
        <f t="shared" si="8"/>
        <v>143.5</v>
      </c>
      <c r="AL29" s="421"/>
      <c r="AM29" s="1521">
        <f>+SUMIF(WRM!$C$7:$C$87,$D29,WRM!$AL$7:$AL$87)</f>
        <v>0</v>
      </c>
      <c r="AN29" s="1672"/>
      <c r="AO29" s="1743">
        <f t="shared" si="9"/>
        <v>0</v>
      </c>
      <c r="AP29" s="1671"/>
      <c r="AQ29" s="1738">
        <f t="shared" si="0"/>
        <v>143.5</v>
      </c>
      <c r="AR29" s="421"/>
      <c r="AS29" s="1521">
        <f>+SUMIF(WRM!$C$7:$C$87,$D29,WRM!$AR$7:$AR$87)</f>
        <v>0</v>
      </c>
      <c r="AT29" s="1671"/>
      <c r="AU29" s="1738">
        <f t="shared" si="10"/>
        <v>143.5</v>
      </c>
      <c r="AV29" s="421"/>
      <c r="AW29" s="1521">
        <f>+SUMIF(WRM!$C$7:$C$87,$D29,WRM!$AV$7:$AV$87)</f>
        <v>0</v>
      </c>
      <c r="AX29" s="1671"/>
      <c r="AY29" s="1738">
        <f t="shared" si="11"/>
        <v>143.5</v>
      </c>
      <c r="AZ29" s="421"/>
      <c r="BA29" s="1521">
        <f>+SUMIF(WRM!$C$7:$C$87,$D29,WRM!$AZ$7:$AZ$87)</f>
        <v>0</v>
      </c>
      <c r="BB29" s="1672"/>
      <c r="BC29" s="1743">
        <f t="shared" si="12"/>
        <v>0</v>
      </c>
      <c r="BD29" s="1817"/>
      <c r="BE29" s="1954">
        <f t="shared" si="13"/>
        <v>0</v>
      </c>
      <c r="BF29" s="1671"/>
      <c r="BG29" s="1738">
        <f t="shared" si="14"/>
        <v>143.5</v>
      </c>
    </row>
    <row r="30" spans="3:59" s="1726" customFormat="1" ht="18.75" x14ac:dyDescent="0.3">
      <c r="C30" s="1520" t="s">
        <v>17</v>
      </c>
      <c r="D30" s="1520" t="s">
        <v>1584</v>
      </c>
      <c r="E30" s="5429"/>
      <c r="F30" s="1520"/>
      <c r="G30" s="1521">
        <f>+SUMIF(WRM!$C$7:$C$87,$D30,WRM!$F$7:$F$87)</f>
        <v>0</v>
      </c>
      <c r="H30" s="1521"/>
      <c r="I30" s="1521">
        <f>+SUMIF(WRM!$C$7:$C$87,$D30,WRM!$H$7:$H$87)</f>
        <v>0</v>
      </c>
      <c r="J30" s="1738"/>
      <c r="K30" s="1738">
        <f t="shared" si="1"/>
        <v>0</v>
      </c>
      <c r="L30" s="1521"/>
      <c r="M30" s="1521">
        <f>+SUMIF(WRM!$C$7:$C$87,$D30,WRM!$L$7:$L$87)</f>
        <v>0</v>
      </c>
      <c r="N30" s="1743"/>
      <c r="O30" s="1743">
        <f t="shared" si="2"/>
        <v>0</v>
      </c>
      <c r="P30" s="421"/>
      <c r="Q30" s="1521">
        <f>+SUMIF(WRM!$C$7:$C$87,$D30,WRM!$P$7:$P$87)</f>
        <v>0</v>
      </c>
      <c r="R30" s="1671"/>
      <c r="S30" s="1738">
        <f t="shared" si="17"/>
        <v>0</v>
      </c>
      <c r="T30" s="421"/>
      <c r="U30" s="1521">
        <f>+SUMIF(WRM!$C$7:$C$87,$D30,WRM!$T$7:$T$87)</f>
        <v>0</v>
      </c>
      <c r="V30" s="1671"/>
      <c r="W30" s="1738">
        <f t="shared" si="4"/>
        <v>0</v>
      </c>
      <c r="X30" s="421"/>
      <c r="Y30" s="1521">
        <f>+SUMIF(WRM!$C$7:$C$87,$D30,WRM!$X$7:$X$87)</f>
        <v>8.1999999999999993</v>
      </c>
      <c r="Z30" s="1672"/>
      <c r="AA30" s="1743">
        <f t="shared" si="5"/>
        <v>8.1999999999999993</v>
      </c>
      <c r="AB30" s="1817"/>
      <c r="AC30" s="1954">
        <f t="shared" si="6"/>
        <v>8.1999999999999993</v>
      </c>
      <c r="AD30" s="421"/>
      <c r="AE30" s="1521">
        <f>+SUMIF(WRM!$C$7:$C$87,$D30,WRM!$AD$7:$AD$87)</f>
        <v>0</v>
      </c>
      <c r="AF30" s="1671"/>
      <c r="AG30" s="1738">
        <f t="shared" si="7"/>
        <v>8.1999999999999993</v>
      </c>
      <c r="AH30" s="421"/>
      <c r="AI30" s="1521">
        <f>+SUMIF(WRM!$C$7:$C$87,$D30,WRM!$AH$7:$AH$87)</f>
        <v>0</v>
      </c>
      <c r="AJ30" s="1671"/>
      <c r="AK30" s="1738">
        <f t="shared" si="8"/>
        <v>8.1999999999999993</v>
      </c>
      <c r="AL30" s="421"/>
      <c r="AM30" s="1521">
        <f>+SUMIF(WRM!$C$7:$C$87,$D30,WRM!$AL$7:$AL$87)</f>
        <v>0</v>
      </c>
      <c r="AN30" s="1672"/>
      <c r="AO30" s="1743">
        <f t="shared" si="9"/>
        <v>0</v>
      </c>
      <c r="AP30" s="1671"/>
      <c r="AQ30" s="1738">
        <f t="shared" si="0"/>
        <v>8.1999999999999993</v>
      </c>
      <c r="AR30" s="421"/>
      <c r="AS30" s="1521">
        <f>+SUMIF(WRM!$C$7:$C$87,$D30,WRM!$AR$7:$AR$87)</f>
        <v>0</v>
      </c>
      <c r="AT30" s="1671"/>
      <c r="AU30" s="1738">
        <f t="shared" si="10"/>
        <v>8.1999999999999993</v>
      </c>
      <c r="AV30" s="421"/>
      <c r="AW30" s="1521">
        <f>+SUMIF(WRM!$C$7:$C$87,$D30,WRM!$AV$7:$AV$87)</f>
        <v>0</v>
      </c>
      <c r="AX30" s="1671"/>
      <c r="AY30" s="1738">
        <f t="shared" si="11"/>
        <v>8.1999999999999993</v>
      </c>
      <c r="AZ30" s="421"/>
      <c r="BA30" s="1521">
        <f>+SUMIF(WRM!$C$7:$C$87,$D30,WRM!$AZ$7:$AZ$87)</f>
        <v>0</v>
      </c>
      <c r="BB30" s="1672"/>
      <c r="BC30" s="1743">
        <f t="shared" si="12"/>
        <v>0</v>
      </c>
      <c r="BD30" s="1817"/>
      <c r="BE30" s="1954">
        <f t="shared" si="13"/>
        <v>0</v>
      </c>
      <c r="BF30" s="1671"/>
      <c r="BG30" s="1738">
        <f t="shared" si="14"/>
        <v>8.1999999999999993</v>
      </c>
    </row>
    <row r="31" spans="3:59" s="1726" customFormat="1" ht="18.75" x14ac:dyDescent="0.3">
      <c r="C31" s="1520" t="s">
        <v>17</v>
      </c>
      <c r="D31" s="1520" t="s">
        <v>1737</v>
      </c>
      <c r="E31" s="5429"/>
      <c r="F31" s="1520"/>
      <c r="G31" s="1521"/>
      <c r="H31" s="1521"/>
      <c r="I31" s="1521"/>
      <c r="J31" s="1738"/>
      <c r="K31" s="1738">
        <f t="shared" si="1"/>
        <v>0</v>
      </c>
      <c r="L31" s="1521"/>
      <c r="M31" s="1521"/>
      <c r="N31" s="1743"/>
      <c r="O31" s="1743">
        <f t="shared" si="2"/>
        <v>0</v>
      </c>
      <c r="P31" s="421"/>
      <c r="Q31" s="1521"/>
      <c r="R31" s="1671"/>
      <c r="S31" s="1738">
        <f t="shared" si="17"/>
        <v>0</v>
      </c>
      <c r="T31" s="421"/>
      <c r="U31" s="1521"/>
      <c r="V31" s="1671"/>
      <c r="W31" s="1738">
        <f t="shared" si="4"/>
        <v>0</v>
      </c>
      <c r="X31" s="421"/>
      <c r="Y31" s="1521"/>
      <c r="Z31" s="1672"/>
      <c r="AA31" s="1743">
        <f t="shared" si="5"/>
        <v>0</v>
      </c>
      <c r="AB31" s="1817"/>
      <c r="AC31" s="1954">
        <f t="shared" si="6"/>
        <v>0</v>
      </c>
      <c r="AD31" s="421"/>
      <c r="AE31" s="1521"/>
      <c r="AF31" s="1671"/>
      <c r="AG31" s="1738">
        <f t="shared" si="7"/>
        <v>0</v>
      </c>
      <c r="AH31" s="421"/>
      <c r="AI31" s="1521"/>
      <c r="AJ31" s="1671"/>
      <c r="AK31" s="1738">
        <f t="shared" si="8"/>
        <v>0</v>
      </c>
      <c r="AL31" s="421"/>
      <c r="AM31" s="1521">
        <f>+SUMIF(WRM!$C$7:$C$87,$D31,WRM!$AL$7:$AL$87)</f>
        <v>86.1</v>
      </c>
      <c r="AN31" s="1672"/>
      <c r="AO31" s="1743">
        <f t="shared" si="9"/>
        <v>86.1</v>
      </c>
      <c r="AP31" s="1671"/>
      <c r="AQ31" s="1738">
        <f t="shared" si="0"/>
        <v>86.1</v>
      </c>
      <c r="AR31" s="421"/>
      <c r="AS31" s="1521">
        <f>+SUMIF(WRM!$C$7:$C$87,$D31,WRM!$AR$7:$AR$87)</f>
        <v>0</v>
      </c>
      <c r="AT31" s="1671"/>
      <c r="AU31" s="1738">
        <f t="shared" si="10"/>
        <v>86.1</v>
      </c>
      <c r="AV31" s="421"/>
      <c r="AW31" s="1521">
        <f>+SUMIF(WRM!$C$7:$C$87,$D31,WRM!$AV$7:$AV$87)</f>
        <v>0</v>
      </c>
      <c r="AX31" s="1671"/>
      <c r="AY31" s="1738">
        <f t="shared" si="11"/>
        <v>86.1</v>
      </c>
      <c r="AZ31" s="421"/>
      <c r="BA31" s="1521">
        <f>+SUMIF(WRM!$C$7:$C$87,$D31,WRM!$AZ$7:$AZ$87)</f>
        <v>0</v>
      </c>
      <c r="BB31" s="1672"/>
      <c r="BC31" s="1743">
        <f t="shared" si="12"/>
        <v>0</v>
      </c>
      <c r="BD31" s="1817"/>
      <c r="BE31" s="1954">
        <f t="shared" si="13"/>
        <v>86.1</v>
      </c>
      <c r="BF31" s="1671"/>
      <c r="BG31" s="1738">
        <f t="shared" si="14"/>
        <v>86.1</v>
      </c>
    </row>
    <row r="32" spans="3:59" ht="18.75" x14ac:dyDescent="0.3">
      <c r="C32" s="1520" t="s">
        <v>17</v>
      </c>
      <c r="D32" s="1520" t="s">
        <v>1444</v>
      </c>
      <c r="E32" s="5429"/>
      <c r="F32" s="1520"/>
      <c r="G32" s="1521">
        <f>+SUMIF(WRM!$C$7:$C$87,$D32,WRM!$F$7:$F$87)</f>
        <v>0</v>
      </c>
      <c r="H32" s="1521"/>
      <c r="I32" s="1521">
        <f>+SUMIF(WRM!$C$7:$C$87,$D32,WRM!$H$7:$H$87)</f>
        <v>0</v>
      </c>
      <c r="J32" s="1738"/>
      <c r="K32" s="1738">
        <f t="shared" si="1"/>
        <v>0</v>
      </c>
      <c r="L32" s="1521"/>
      <c r="M32" s="1521">
        <f>+SUMIF(WRM!$C$7:$C$87,$D32,WRM!$L$7:$L$87)</f>
        <v>0</v>
      </c>
      <c r="N32" s="1743"/>
      <c r="O32" s="1743">
        <f t="shared" si="2"/>
        <v>0</v>
      </c>
      <c r="P32" s="421"/>
      <c r="Q32" s="1521">
        <f>+SUMIF(WRM!$C$7:$C$87,$D32,WRM!$P$7:$P$87)</f>
        <v>586.29999999999995</v>
      </c>
      <c r="R32" s="1671"/>
      <c r="S32" s="1738">
        <f t="shared" si="17"/>
        <v>586.29999999999995</v>
      </c>
      <c r="T32" s="421"/>
      <c r="U32" s="1521">
        <f>+SUMIF(WRM!$C$7:$C$87,$D32,WRM!$T$7:$T$87)</f>
        <v>0</v>
      </c>
      <c r="V32" s="1671"/>
      <c r="W32" s="1738">
        <f t="shared" si="4"/>
        <v>586.29999999999995</v>
      </c>
      <c r="X32" s="421"/>
      <c r="Y32" s="1521">
        <f>+SUMIF(WRM!$C$7:$C$87,$D32,WRM!$X$7:$X$87)</f>
        <v>0</v>
      </c>
      <c r="Z32" s="1672"/>
      <c r="AA32" s="1743">
        <f t="shared" si="5"/>
        <v>586.29999999999995</v>
      </c>
      <c r="AB32" s="1817"/>
      <c r="AC32" s="1954">
        <f t="shared" si="6"/>
        <v>586.29999999999995</v>
      </c>
      <c r="AD32" s="421"/>
      <c r="AE32" s="1521">
        <f>+SUMIF(WRM!$C$7:$C$87,$D32,WRM!$AD$7:$AD$87)</f>
        <v>508.4</v>
      </c>
      <c r="AF32" s="1671"/>
      <c r="AG32" s="1738">
        <f t="shared" si="7"/>
        <v>1094.6999999999998</v>
      </c>
      <c r="AH32" s="421"/>
      <c r="AI32" s="1521">
        <f>+SUMIF(WRM!$C$7:$C$87,$D32,WRM!$AH$7:$AH$87)</f>
        <v>0</v>
      </c>
      <c r="AJ32" s="1671"/>
      <c r="AK32" s="1738">
        <f t="shared" si="8"/>
        <v>1094.6999999999998</v>
      </c>
      <c r="AL32" s="421"/>
      <c r="AM32" s="1521">
        <f>+SUMIF(WRM!$C$7:$C$87,$D32,WRM!$AL$7:$AL$87)</f>
        <v>0</v>
      </c>
      <c r="AN32" s="1672"/>
      <c r="AO32" s="1743">
        <f t="shared" si="9"/>
        <v>508.4</v>
      </c>
      <c r="AP32" s="1671"/>
      <c r="AQ32" s="1738">
        <f t="shared" si="0"/>
        <v>1094.6999999999998</v>
      </c>
      <c r="AR32" s="421"/>
      <c r="AS32" s="1521">
        <f>+SUMIF(WRM!$C$7:$C$87,$D32,WRM!$AR$7:$AR$87)</f>
        <v>0</v>
      </c>
      <c r="AT32" s="1671"/>
      <c r="AU32" s="1738">
        <f t="shared" si="10"/>
        <v>1094.6999999999998</v>
      </c>
      <c r="AV32" s="421"/>
      <c r="AW32" s="1521">
        <f>+SUMIF(WRM!$C$7:$C$87,$D32,WRM!$AV$7:$AV$87)</f>
        <v>0</v>
      </c>
      <c r="AX32" s="1671"/>
      <c r="AY32" s="1738">
        <f t="shared" si="11"/>
        <v>1094.6999999999998</v>
      </c>
      <c r="AZ32" s="421"/>
      <c r="BA32" s="1521">
        <f>+SUMIF(WRM!$C$7:$C$87,$D32,WRM!$AZ$7:$AZ$87)</f>
        <v>0</v>
      </c>
      <c r="BB32" s="1672"/>
      <c r="BC32" s="1743">
        <f t="shared" si="12"/>
        <v>0</v>
      </c>
      <c r="BD32" s="1817"/>
      <c r="BE32" s="1954">
        <f t="shared" si="13"/>
        <v>508.4</v>
      </c>
      <c r="BF32" s="1671"/>
      <c r="BG32" s="1738">
        <f t="shared" si="14"/>
        <v>1094.6999999999998</v>
      </c>
    </row>
    <row r="33" spans="3:59" ht="18.75" x14ac:dyDescent="0.3">
      <c r="C33" s="5424" t="s">
        <v>1350</v>
      </c>
      <c r="D33" s="5424"/>
      <c r="E33" s="5429"/>
      <c r="F33" s="1748"/>
      <c r="G33" s="1749">
        <f>SUM(G4:G32)</f>
        <v>30346.896000000001</v>
      </c>
      <c r="H33" s="1749"/>
      <c r="I33" s="1749">
        <f>SUM(I4:I32)</f>
        <v>14506.318000000001</v>
      </c>
      <c r="J33" s="1749"/>
      <c r="K33" s="1750">
        <f t="shared" ref="K33:K71" si="18">+G33+I33</f>
        <v>44853.214</v>
      </c>
      <c r="L33" s="1749"/>
      <c r="M33" s="1749">
        <f>SUM(M4:M32)</f>
        <v>37591.880000000005</v>
      </c>
      <c r="N33" s="1749"/>
      <c r="O33" s="1750">
        <f t="shared" ref="O33:O71" si="19">+K33+M33</f>
        <v>82445.094000000012</v>
      </c>
      <c r="P33" s="1751"/>
      <c r="Q33" s="1749">
        <f>SUM(Q4:Q32)</f>
        <v>35499.953999999998</v>
      </c>
      <c r="R33" s="1752"/>
      <c r="S33" s="1750">
        <f t="shared" si="17"/>
        <v>117945.04800000001</v>
      </c>
      <c r="T33" s="1751"/>
      <c r="U33" s="1749">
        <f>SUM(U4:U32)</f>
        <v>29725</v>
      </c>
      <c r="V33" s="1752"/>
      <c r="W33" s="1750">
        <f t="shared" ref="W33:W71" si="20">+S33+U33</f>
        <v>147670.04800000001</v>
      </c>
      <c r="X33" s="1751"/>
      <c r="Y33" s="1749">
        <f>SUM(Y4:Y32)</f>
        <v>35797.1</v>
      </c>
      <c r="Z33" s="1749">
        <f>SUM(Z4:Z32)</f>
        <v>0</v>
      </c>
      <c r="AA33" s="1749">
        <f>SUM(AA4:AA32)</f>
        <v>101022.054</v>
      </c>
      <c r="AB33" s="1749">
        <f>SUM(AB4:AB32)</f>
        <v>0</v>
      </c>
      <c r="AC33" s="1749">
        <f>SUM(AC4:AC32)</f>
        <v>183467.14799999999</v>
      </c>
      <c r="AD33" s="1751"/>
      <c r="AE33" s="1749">
        <f>SUM(AE4:AE32)</f>
        <v>33833.199999999997</v>
      </c>
      <c r="AF33" s="1752"/>
      <c r="AG33" s="1750">
        <f t="shared" ref="AG33:AG46" si="21">+AC33+AE33</f>
        <v>217300.348</v>
      </c>
      <c r="AH33" s="1751"/>
      <c r="AI33" s="1749">
        <f>SUM(AI4:AI32)</f>
        <v>33999.432000000001</v>
      </c>
      <c r="AJ33" s="1752"/>
      <c r="AK33" s="1750">
        <f t="shared" ref="AK33:AK71" si="22">+AG33+AI33</f>
        <v>251299.78</v>
      </c>
      <c r="AL33" s="1751"/>
      <c r="AM33" s="1749">
        <f>SUM(AM4:AM32)</f>
        <v>39499.660000000003</v>
      </c>
      <c r="AN33" s="1749"/>
      <c r="AO33" s="1749">
        <f>SUM(AO4:AO32)</f>
        <v>107332.292</v>
      </c>
      <c r="AP33" s="1752"/>
      <c r="AQ33" s="1749">
        <f>SUM(AQ4:AQ32)</f>
        <v>290799.44000000006</v>
      </c>
      <c r="AR33" s="1751"/>
      <c r="AS33" s="1749">
        <f>SUM(AS4:AS32)</f>
        <v>29042.35</v>
      </c>
      <c r="AT33" s="1752"/>
      <c r="AU33" s="1750">
        <f t="shared" si="10"/>
        <v>319841.79000000004</v>
      </c>
      <c r="AV33" s="1751"/>
      <c r="AW33" s="1749">
        <f>SUM(AW4:AW32)</f>
        <v>29105.899999999998</v>
      </c>
      <c r="AX33" s="1752"/>
      <c r="AY33" s="1750">
        <f t="shared" si="11"/>
        <v>348947.69000000006</v>
      </c>
      <c r="AZ33" s="1751"/>
      <c r="BA33" s="1749">
        <f>SUM(BA4:BA32)</f>
        <v>29073.1</v>
      </c>
      <c r="BB33" s="1749"/>
      <c r="BC33" s="1749">
        <f>SUM(BC4:BC32)</f>
        <v>87221.349999999991</v>
      </c>
      <c r="BD33" s="1749">
        <f>SUM(BD4:BD32)</f>
        <v>0</v>
      </c>
      <c r="BE33" s="1749">
        <f>SUM(BE4:BE32)</f>
        <v>194553.64199999996</v>
      </c>
      <c r="BF33" s="1752"/>
      <c r="BG33" s="1750">
        <f t="shared" si="14"/>
        <v>378020.79000000004</v>
      </c>
    </row>
    <row r="34" spans="3:59" ht="18.75" x14ac:dyDescent="0.3">
      <c r="C34" s="1524" t="s">
        <v>95</v>
      </c>
      <c r="D34" s="1520" t="s">
        <v>1532</v>
      </c>
      <c r="E34" s="5429"/>
      <c r="F34" s="1520"/>
      <c r="G34" s="1521">
        <f>+SUMIF(BM!$C$7:$C$43,$D34,BM!$F$7:$F$43)</f>
        <v>23352.690000000002</v>
      </c>
      <c r="H34" s="1521"/>
      <c r="I34" s="1521">
        <f>+SUMIF(BM!$C$7:$C$43,$D34,BM!$H$7:$H$43)</f>
        <v>16616.96</v>
      </c>
      <c r="J34" s="1738"/>
      <c r="K34" s="1738">
        <f t="shared" si="18"/>
        <v>39969.65</v>
      </c>
      <c r="L34" s="1521"/>
      <c r="M34" s="1521">
        <f>+SUMIF(BM!$C$7:$C$43,$D34,BM!$L$7:$L$43)</f>
        <v>29644.144999999997</v>
      </c>
      <c r="N34" s="1743"/>
      <c r="O34" s="1743">
        <f t="shared" si="19"/>
        <v>69613.794999999998</v>
      </c>
      <c r="P34" s="421"/>
      <c r="Q34" s="1521">
        <f>+SUMIF(BM!$C$7:$C$43,$D34,BM!$P$7:$P$43)</f>
        <v>27864.445</v>
      </c>
      <c r="R34" s="1671"/>
      <c r="S34" s="1738">
        <f t="shared" si="17"/>
        <v>97478.239999999991</v>
      </c>
      <c r="T34" s="421"/>
      <c r="U34" s="1521">
        <f>+SUMIF(BM!$C$7:$C$43,$D34,BM!$T$7:$T$43)</f>
        <v>29456.180000000004</v>
      </c>
      <c r="V34" s="1671"/>
      <c r="W34" s="1738">
        <f t="shared" si="20"/>
        <v>126934.42</v>
      </c>
      <c r="X34" s="421"/>
      <c r="Y34" s="1521">
        <f>+SUMIF(BM!$C$7:$C$43,$D34,BM!$X$7:$X$43)</f>
        <v>33006.925000000003</v>
      </c>
      <c r="Z34" s="1672"/>
      <c r="AA34" s="1743">
        <f t="shared" ref="AA34:AA71" si="23">+Y34+U34+Q34</f>
        <v>90327.550000000017</v>
      </c>
      <c r="AB34" s="1817"/>
      <c r="AC34" s="1954">
        <f t="shared" ref="AC34:AC71" si="24">+O34+AA34</f>
        <v>159941.34500000003</v>
      </c>
      <c r="AD34" s="421"/>
      <c r="AE34" s="1521">
        <f>+SUMIF(BM!$C$7:$C$43,$D34,BM!$AD$7:$AD$43)</f>
        <v>28107.327999999998</v>
      </c>
      <c r="AF34" s="1671"/>
      <c r="AG34" s="1738">
        <f t="shared" si="21"/>
        <v>188048.67300000004</v>
      </c>
      <c r="AH34" s="421"/>
      <c r="AI34" s="1521">
        <f>+SUMIF(BM!$C$7:$C$43,$D34,BM!$AH$7:$AH$43)</f>
        <v>30351.434999999998</v>
      </c>
      <c r="AJ34" s="1671"/>
      <c r="AK34" s="1738">
        <f t="shared" si="22"/>
        <v>218400.10800000004</v>
      </c>
      <c r="AL34" s="421"/>
      <c r="AM34" s="1521">
        <f>+SUMIF(BM!$C$7:$C$43,$D34,BM!$AL$7:$AL$43)</f>
        <v>45641.78</v>
      </c>
      <c r="AN34" s="1672"/>
      <c r="AO34" s="1743">
        <f t="shared" ref="AO34:AO40" si="25">+AM34+AI34+AE34</f>
        <v>104100.54299999999</v>
      </c>
      <c r="AP34" s="1671"/>
      <c r="AQ34" s="1738">
        <f t="shared" si="0"/>
        <v>264041.88800000004</v>
      </c>
      <c r="AR34" s="421"/>
      <c r="AS34" s="1521">
        <f>+SUMIF(BM!$C$7:$C$43,$D34,BM!$AR$7:$AR$43)</f>
        <v>35545.216</v>
      </c>
      <c r="AT34" s="1671"/>
      <c r="AU34" s="1738">
        <f t="shared" si="10"/>
        <v>299587.10400000005</v>
      </c>
      <c r="AV34" s="421"/>
      <c r="AW34" s="1521">
        <f>+SUMIF(BM!$C$7:$C$43,$D34,BM!$AV$7:$AV$43)</f>
        <v>25744.14</v>
      </c>
      <c r="AX34" s="1671"/>
      <c r="AY34" s="1738">
        <f t="shared" si="11"/>
        <v>325331.24400000006</v>
      </c>
      <c r="AZ34" s="421"/>
      <c r="BA34" s="1521">
        <f>+SUMIF(BM!$C$7:$C$43,$D34,BM!$AZ$7:$AZ$43)</f>
        <v>41151.879999999997</v>
      </c>
      <c r="BB34" s="1672"/>
      <c r="BC34" s="1743">
        <f t="shared" si="12"/>
        <v>102441.236</v>
      </c>
      <c r="BD34" s="1817"/>
      <c r="BE34" s="1954">
        <f t="shared" si="13"/>
        <v>206541.77899999998</v>
      </c>
      <c r="BF34" s="1671"/>
      <c r="BG34" s="1738">
        <f t="shared" si="14"/>
        <v>366483.12400000007</v>
      </c>
    </row>
    <row r="35" spans="3:59" ht="18.75" x14ac:dyDescent="0.3">
      <c r="C35" s="1524" t="s">
        <v>95</v>
      </c>
      <c r="D35" s="1520" t="s">
        <v>1533</v>
      </c>
      <c r="E35" s="5429"/>
      <c r="F35" s="1520"/>
      <c r="G35" s="1521">
        <f>+SUMIF(BM!$C$7:$C$43,$D35,BM!$F$7:$F$43)</f>
        <v>2740.31</v>
      </c>
      <c r="H35" s="1521"/>
      <c r="I35" s="1521">
        <f>+SUMIF(BM!$C$7:$C$43,$D35,BM!$H$7:$H$43)</f>
        <v>4824.8</v>
      </c>
      <c r="J35" s="1738"/>
      <c r="K35" s="1738">
        <f t="shared" si="18"/>
        <v>7565.1100000000006</v>
      </c>
      <c r="L35" s="1521"/>
      <c r="M35" s="1521">
        <f>+SUMIF(BM!$C$7:$C$43,$D35,BM!$L$7:$L$43)</f>
        <v>5912.0950000000003</v>
      </c>
      <c r="N35" s="1743"/>
      <c r="O35" s="1743">
        <f t="shared" si="19"/>
        <v>13477.205000000002</v>
      </c>
      <c r="P35" s="421"/>
      <c r="Q35" s="1521">
        <f>+SUMIF(BM!$C$7:$C$43,$D35,BM!$P$7:$P$43)</f>
        <v>6592.73</v>
      </c>
      <c r="R35" s="1671"/>
      <c r="S35" s="1738">
        <f t="shared" si="17"/>
        <v>20069.935000000001</v>
      </c>
      <c r="T35" s="421"/>
      <c r="U35" s="1521">
        <f>+SUMIF(BM!$C$7:$C$43,$D35,BM!$T$7:$T$43)</f>
        <v>5590.8850000000002</v>
      </c>
      <c r="V35" s="1671"/>
      <c r="W35" s="1738">
        <f t="shared" si="20"/>
        <v>25660.82</v>
      </c>
      <c r="X35" s="421"/>
      <c r="Y35" s="1521">
        <f>+SUMIF(BM!$C$7:$C$43,$D35,BM!$X$7:$X$43)</f>
        <v>4208.99</v>
      </c>
      <c r="Z35" s="1672"/>
      <c r="AA35" s="1743">
        <f t="shared" ref="AA35:AA40" si="26">+Y35+U35+Q35</f>
        <v>16392.605</v>
      </c>
      <c r="AB35" s="1817"/>
      <c r="AC35" s="1954">
        <f t="shared" ref="AC35:AC40" si="27">+O35+AA35</f>
        <v>29869.81</v>
      </c>
      <c r="AD35" s="421"/>
      <c r="AE35" s="1521">
        <f>+SUMIF(BM!$C$7:$C$43,$D35,BM!$AD$7:$AD$43)</f>
        <v>19241.316999999995</v>
      </c>
      <c r="AF35" s="1671"/>
      <c r="AG35" s="1738">
        <f t="shared" si="21"/>
        <v>49111.126999999993</v>
      </c>
      <c r="AH35" s="421"/>
      <c r="AI35" s="1521">
        <f>+SUMIF(BM!$C$7:$C$43,$D35,BM!$AH$7:$AH$43)</f>
        <v>5079.78</v>
      </c>
      <c r="AJ35" s="1671"/>
      <c r="AK35" s="1738">
        <f t="shared" si="22"/>
        <v>54190.906999999992</v>
      </c>
      <c r="AL35" s="421"/>
      <c r="AM35" s="1521">
        <f>+SUMIF(BM!$C$7:$C$43,$D35,BM!$AL$7:$AL$43)</f>
        <v>9274.0750000000007</v>
      </c>
      <c r="AN35" s="1672"/>
      <c r="AO35" s="1743">
        <f t="shared" si="25"/>
        <v>33595.171999999991</v>
      </c>
      <c r="AP35" s="1671"/>
      <c r="AQ35" s="1738">
        <f t="shared" si="0"/>
        <v>63464.981999999989</v>
      </c>
      <c r="AR35" s="421"/>
      <c r="AS35" s="1521">
        <f>+SUMIF(BM!$C$7:$C$43,$D35,BM!$AR$7:$AR$43)</f>
        <v>13511.64</v>
      </c>
      <c r="AT35" s="1671"/>
      <c r="AU35" s="1738">
        <f t="shared" si="10"/>
        <v>76976.621999999988</v>
      </c>
      <c r="AV35" s="421"/>
      <c r="AW35" s="1521">
        <f>+SUMIF(BM!$C$7:$C$43,$D35,BM!$AV$7:$AV$43)</f>
        <v>2523.71</v>
      </c>
      <c r="AX35" s="1671"/>
      <c r="AY35" s="1738">
        <f t="shared" si="11"/>
        <v>79500.331999999995</v>
      </c>
      <c r="AZ35" s="421"/>
      <c r="BA35" s="1521">
        <f>+SUMIF(BM!$C$7:$C$43,$D35,BM!$AZ$7:$AZ$43)</f>
        <v>5267.8499999999995</v>
      </c>
      <c r="BB35" s="1672"/>
      <c r="BC35" s="1743">
        <f t="shared" si="12"/>
        <v>21303.199999999997</v>
      </c>
      <c r="BD35" s="1817"/>
      <c r="BE35" s="1954">
        <f t="shared" si="13"/>
        <v>54898.371999999988</v>
      </c>
      <c r="BF35" s="1671"/>
      <c r="BG35" s="1738">
        <f t="shared" si="14"/>
        <v>84768.182000000001</v>
      </c>
    </row>
    <row r="36" spans="3:59" ht="18.75" x14ac:dyDescent="0.3">
      <c r="C36" s="1524" t="s">
        <v>95</v>
      </c>
      <c r="D36" s="1520" t="s">
        <v>1163</v>
      </c>
      <c r="E36" s="5429"/>
      <c r="F36" s="1520"/>
      <c r="G36" s="1521">
        <f>+SUMIF(BM!$C$7:$C$43,$D36,BM!$F$7:$F$43)</f>
        <v>4756.67</v>
      </c>
      <c r="H36" s="1521"/>
      <c r="I36" s="1521">
        <f>+SUMIF(BM!$C$7:$C$43,$D36,BM!$H$7:$H$43)</f>
        <v>18608.920000000002</v>
      </c>
      <c r="J36" s="1738"/>
      <c r="K36" s="1738">
        <f t="shared" si="18"/>
        <v>23365.590000000004</v>
      </c>
      <c r="L36" s="1521"/>
      <c r="M36" s="1521">
        <f>+SUMIF(BM!$C$7:$C$43,$D36,BM!$L$7:$L$43)</f>
        <v>12085.949999999999</v>
      </c>
      <c r="N36" s="1743"/>
      <c r="O36" s="1743">
        <f t="shared" si="19"/>
        <v>35451.54</v>
      </c>
      <c r="P36" s="421"/>
      <c r="Q36" s="1521">
        <f>+SUMIF(BM!$C$7:$C$43,$D36,BM!$P$7:$P$43)</f>
        <v>8707.61</v>
      </c>
      <c r="R36" s="1671"/>
      <c r="S36" s="1738">
        <f t="shared" si="17"/>
        <v>44159.15</v>
      </c>
      <c r="T36" s="421"/>
      <c r="U36" s="1521">
        <f>+SUMIF(BM!$C$7:$C$43,$D36,BM!$T$7:$T$43)</f>
        <v>11551.64</v>
      </c>
      <c r="V36" s="1671"/>
      <c r="W36" s="1738">
        <f t="shared" si="20"/>
        <v>55710.79</v>
      </c>
      <c r="X36" s="421"/>
      <c r="Y36" s="1521">
        <f>+SUMIF(BM!$C$7:$C$43,$D36,BM!$X$7:$X$43)</f>
        <v>14511.415000000001</v>
      </c>
      <c r="Z36" s="1672"/>
      <c r="AA36" s="1743">
        <f t="shared" si="26"/>
        <v>34770.665000000001</v>
      </c>
      <c r="AB36" s="1817"/>
      <c r="AC36" s="1954">
        <f t="shared" si="27"/>
        <v>70222.205000000002</v>
      </c>
      <c r="AD36" s="421"/>
      <c r="AE36" s="1521">
        <f>+SUMIF(BM!$C$7:$C$43,$D36,BM!$AD$7:$AD$43)</f>
        <v>13610.994999999999</v>
      </c>
      <c r="AF36" s="1671"/>
      <c r="AG36" s="1738">
        <f t="shared" si="21"/>
        <v>83833.2</v>
      </c>
      <c r="AH36" s="421"/>
      <c r="AI36" s="1521">
        <f>+SUMIF(BM!$C$7:$C$43,$D36,BM!$AH$7:$AH$43)</f>
        <v>17464.22</v>
      </c>
      <c r="AJ36" s="1671"/>
      <c r="AK36" s="1738">
        <f t="shared" si="22"/>
        <v>101297.42</v>
      </c>
      <c r="AL36" s="421"/>
      <c r="AM36" s="1521">
        <f>+SUMIF(BM!$C$7:$C$43,$D36,BM!$AL$7:$AL$43)</f>
        <v>8261.7999999999993</v>
      </c>
      <c r="AN36" s="1672"/>
      <c r="AO36" s="1743">
        <f t="shared" si="25"/>
        <v>39337.014999999999</v>
      </c>
      <c r="AP36" s="1671"/>
      <c r="AQ36" s="1738">
        <f t="shared" si="0"/>
        <v>109559.22</v>
      </c>
      <c r="AR36" s="421"/>
      <c r="AS36" s="1521">
        <f>+SUMIF(BM!$C$7:$C$43,$D36,BM!$AR$7:$AR$43)</f>
        <v>17671.574999999997</v>
      </c>
      <c r="AT36" s="1671"/>
      <c r="AU36" s="1738">
        <f t="shared" si="10"/>
        <v>127230.795</v>
      </c>
      <c r="AV36" s="421"/>
      <c r="AW36" s="1521">
        <f>+SUMIF(BM!$C$7:$C$43,$D36,BM!$AV$7:$AV$43)</f>
        <v>15660.627999999999</v>
      </c>
      <c r="AX36" s="1671"/>
      <c r="AY36" s="1738">
        <f t="shared" si="11"/>
        <v>142891.42300000001</v>
      </c>
      <c r="AZ36" s="421"/>
      <c r="BA36" s="1521">
        <f>+SUMIF(BM!$C$7:$C$43,$D36,BM!$AZ$7:$AZ$43)</f>
        <v>10005.869999999999</v>
      </c>
      <c r="BB36" s="1672"/>
      <c r="BC36" s="1743">
        <f t="shared" si="12"/>
        <v>43338.072999999989</v>
      </c>
      <c r="BD36" s="1817"/>
      <c r="BE36" s="1954">
        <f t="shared" si="13"/>
        <v>82675.087999999989</v>
      </c>
      <c r="BF36" s="1671"/>
      <c r="BG36" s="1738">
        <f t="shared" si="14"/>
        <v>152897.29300000001</v>
      </c>
    </row>
    <row r="37" spans="3:59" s="4468" customFormat="1" ht="18.75" x14ac:dyDescent="0.3">
      <c r="C37" s="1524" t="s">
        <v>95</v>
      </c>
      <c r="D37" s="1520" t="s">
        <v>1860</v>
      </c>
      <c r="E37" s="5429"/>
      <c r="F37" s="1520"/>
      <c r="G37" s="1521"/>
      <c r="H37" s="1521"/>
      <c r="I37" s="1521"/>
      <c r="J37" s="1738"/>
      <c r="K37" s="1738"/>
      <c r="L37" s="1521"/>
      <c r="M37" s="1521"/>
      <c r="N37" s="1743"/>
      <c r="O37" s="1743"/>
      <c r="P37" s="421"/>
      <c r="Q37" s="1521"/>
      <c r="R37" s="1671"/>
      <c r="S37" s="1738"/>
      <c r="T37" s="421"/>
      <c r="U37" s="1521"/>
      <c r="V37" s="1671"/>
      <c r="W37" s="1738"/>
      <c r="X37" s="421"/>
      <c r="Y37" s="1521"/>
      <c r="Z37" s="1672"/>
      <c r="AA37" s="1743"/>
      <c r="AB37" s="1817"/>
      <c r="AC37" s="1954"/>
      <c r="AD37" s="421"/>
      <c r="AE37" s="1521">
        <f>+SUMIF(BM!$C$7:$C$43,$D37,BM!$AD$7:$AD$43)</f>
        <v>0</v>
      </c>
      <c r="AF37" s="1671"/>
      <c r="AG37" s="1738">
        <f t="shared" ref="AG37" si="28">+AC37+AE37</f>
        <v>0</v>
      </c>
      <c r="AH37" s="421"/>
      <c r="AI37" s="1521">
        <f>+SUMIF(BM!$C$7:$C$43,$D37,BM!$AH$7:$AH$43)</f>
        <v>0</v>
      </c>
      <c r="AJ37" s="1671"/>
      <c r="AK37" s="1738">
        <f t="shared" ref="AK37" si="29">+AG37+AI37</f>
        <v>0</v>
      </c>
      <c r="AL37" s="421"/>
      <c r="AM37" s="1521">
        <f>+SUMIF(BM!$C$7:$C$43,$D37,BM!$AL$7:$AL$43)</f>
        <v>0</v>
      </c>
      <c r="AN37" s="1672"/>
      <c r="AO37" s="1743">
        <f t="shared" si="25"/>
        <v>0</v>
      </c>
      <c r="AP37" s="1671"/>
      <c r="AQ37" s="1738"/>
      <c r="AR37" s="421"/>
      <c r="AS37" s="1521">
        <f>+SUMIF(BM!$C$7:$C$43,$D37,BM!$AR$7:$AR$43)</f>
        <v>0</v>
      </c>
      <c r="AT37" s="1671"/>
      <c r="AU37" s="1738">
        <f t="shared" ref="AU37" si="30">+AQ37+AS37</f>
        <v>0</v>
      </c>
      <c r="AV37" s="421"/>
      <c r="AW37" s="1521">
        <f>+SUMIF(BM!$C$7:$C$43,$D37,BM!$AV$7:$AV$43)</f>
        <v>0</v>
      </c>
      <c r="AX37" s="1671"/>
      <c r="AY37" s="1738"/>
      <c r="AZ37" s="421"/>
      <c r="BA37" s="1521">
        <f>+SUMIF(BM!$C$7:$C$43,$D37,BM!$AZ$7:$AZ$43)</f>
        <v>8274.2799999999988</v>
      </c>
      <c r="BB37" s="1672"/>
      <c r="BC37" s="1743">
        <f t="shared" ref="BC37" si="31">+AS37+AW37+BA37</f>
        <v>8274.2799999999988</v>
      </c>
      <c r="BD37" s="1817"/>
      <c r="BE37" s="1954">
        <f t="shared" ref="BE37" si="32">+AO37+BC37</f>
        <v>8274.2799999999988</v>
      </c>
      <c r="BF37" s="1671"/>
      <c r="BG37" s="1738">
        <f t="shared" ref="BG37" si="33">+AY37+BA37</f>
        <v>8274.2799999999988</v>
      </c>
    </row>
    <row r="38" spans="3:59" s="1726" customFormat="1" ht="18.75" x14ac:dyDescent="0.3">
      <c r="C38" s="1524" t="s">
        <v>95</v>
      </c>
      <c r="D38" s="1520" t="s">
        <v>1745</v>
      </c>
      <c r="E38" s="5429"/>
      <c r="F38" s="1520"/>
      <c r="G38" s="1521"/>
      <c r="H38" s="1521"/>
      <c r="I38" s="1521"/>
      <c r="J38" s="1738"/>
      <c r="K38" s="1738">
        <f t="shared" si="18"/>
        <v>0</v>
      </c>
      <c r="L38" s="1521"/>
      <c r="M38" s="1521"/>
      <c r="N38" s="1743"/>
      <c r="O38" s="1743">
        <f t="shared" si="19"/>
        <v>0</v>
      </c>
      <c r="P38" s="421"/>
      <c r="Q38" s="1521"/>
      <c r="R38" s="1671"/>
      <c r="S38" s="1738">
        <f t="shared" si="17"/>
        <v>0</v>
      </c>
      <c r="T38" s="421"/>
      <c r="U38" s="1521"/>
      <c r="V38" s="1671"/>
      <c r="W38" s="1738">
        <f t="shared" si="20"/>
        <v>0</v>
      </c>
      <c r="X38" s="421"/>
      <c r="Y38" s="1521"/>
      <c r="Z38" s="1672"/>
      <c r="AA38" s="1743">
        <f t="shared" si="26"/>
        <v>0</v>
      </c>
      <c r="AB38" s="1817"/>
      <c r="AC38" s="1954">
        <f t="shared" si="27"/>
        <v>0</v>
      </c>
      <c r="AD38" s="421"/>
      <c r="AE38" s="1521"/>
      <c r="AF38" s="1671"/>
      <c r="AG38" s="1738">
        <f t="shared" si="21"/>
        <v>0</v>
      </c>
      <c r="AH38" s="421"/>
      <c r="AI38" s="1521"/>
      <c r="AJ38" s="1671"/>
      <c r="AK38" s="1738">
        <f t="shared" si="22"/>
        <v>0</v>
      </c>
      <c r="AL38" s="421"/>
      <c r="AM38" s="1521">
        <f>+SUMIF(BM!$C$7:$C$43,$D38,BM!$AL$7:$AL$43)</f>
        <v>1059.31</v>
      </c>
      <c r="AN38" s="1672"/>
      <c r="AO38" s="1743">
        <f t="shared" si="25"/>
        <v>1059.31</v>
      </c>
      <c r="AP38" s="1671"/>
      <c r="AQ38" s="1738">
        <f t="shared" si="0"/>
        <v>1059.31</v>
      </c>
      <c r="AR38" s="421"/>
      <c r="AS38" s="1521">
        <f>+SUMIF(BM!$C$7:$C$43,$D38,BM!$AR$7:$AR$43)</f>
        <v>1038.8599999999999</v>
      </c>
      <c r="AT38" s="1671"/>
      <c r="AU38" s="1738">
        <f t="shared" si="10"/>
        <v>2098.17</v>
      </c>
      <c r="AV38" s="421"/>
      <c r="AW38" s="1521">
        <f>+SUMIF(BM!$C$7:$C$43,$D38,BM!$AV$7:$AV$43)</f>
        <v>0</v>
      </c>
      <c r="AX38" s="1671"/>
      <c r="AY38" s="1738">
        <f t="shared" si="11"/>
        <v>2098.17</v>
      </c>
      <c r="AZ38" s="421"/>
      <c r="BA38" s="1521">
        <f>+SUMIF(BM!$C$7:$C$43,$D38,BM!$AZ$7:$AZ$43)</f>
        <v>0</v>
      </c>
      <c r="BB38" s="1672"/>
      <c r="BC38" s="1743">
        <f t="shared" si="12"/>
        <v>1038.8599999999999</v>
      </c>
      <c r="BD38" s="1817"/>
      <c r="BE38" s="1954">
        <f t="shared" si="13"/>
        <v>2098.17</v>
      </c>
      <c r="BF38" s="1671"/>
      <c r="BG38" s="1738">
        <f t="shared" si="14"/>
        <v>2098.17</v>
      </c>
    </row>
    <row r="39" spans="3:59" s="1623" customFormat="1" ht="18.75" x14ac:dyDescent="0.3">
      <c r="C39" s="1524" t="s">
        <v>95</v>
      </c>
      <c r="D39" s="1520" t="s">
        <v>1534</v>
      </c>
      <c r="E39" s="5429"/>
      <c r="F39" s="1520"/>
      <c r="G39" s="1521">
        <f>+SUMIF(BM!$C$7:$C$43,$D39,BM!$F$7:$F$43)</f>
        <v>0</v>
      </c>
      <c r="H39" s="1521"/>
      <c r="I39" s="1521">
        <f>+SUMIF(BM!$C$7:$C$43,$D39,BM!$H$7:$H$43)</f>
        <v>0</v>
      </c>
      <c r="J39" s="1738"/>
      <c r="K39" s="1738">
        <f t="shared" si="18"/>
        <v>0</v>
      </c>
      <c r="L39" s="1521"/>
      <c r="M39" s="1521">
        <f>+SUMIF(BM!$C$7:$C$43,$D39,BM!$L$7:$L$43)</f>
        <v>0</v>
      </c>
      <c r="N39" s="1743"/>
      <c r="O39" s="1743">
        <f t="shared" si="19"/>
        <v>0</v>
      </c>
      <c r="P39" s="421"/>
      <c r="Q39" s="1521">
        <f>+SUMIF(BM!$C$7:$C$43,$D39,BM!$P$7:$P$43)</f>
        <v>2302.67</v>
      </c>
      <c r="R39" s="1671"/>
      <c r="S39" s="1738">
        <f t="shared" si="17"/>
        <v>2302.67</v>
      </c>
      <c r="T39" s="421"/>
      <c r="U39" s="1521">
        <f>+SUMIF(BM!$C$7:$C$43,$D39,BM!$T$7:$T$43)</f>
        <v>0</v>
      </c>
      <c r="V39" s="1671"/>
      <c r="W39" s="1738">
        <f t="shared" si="20"/>
        <v>2302.67</v>
      </c>
      <c r="X39" s="421"/>
      <c r="Y39" s="1521">
        <f>+SUMIF(BM!$C$7:$C$43,$D39,BM!$X$7:$X$43)</f>
        <v>0</v>
      </c>
      <c r="Z39" s="1672"/>
      <c r="AA39" s="1743">
        <f t="shared" si="26"/>
        <v>2302.67</v>
      </c>
      <c r="AB39" s="1817"/>
      <c r="AC39" s="1954">
        <f t="shared" si="27"/>
        <v>2302.67</v>
      </c>
      <c r="AD39" s="421"/>
      <c r="AE39" s="1521">
        <f>+SUMIF(BM!$C$7:$C$43,$D39,BM!$AD$7:$AD$43)</f>
        <v>0</v>
      </c>
      <c r="AF39" s="1671"/>
      <c r="AG39" s="1738">
        <f t="shared" si="21"/>
        <v>2302.67</v>
      </c>
      <c r="AH39" s="421"/>
      <c r="AI39" s="1521">
        <f>+SUMIF(BM!$C$7:$C$43,$D39,BM!$AH$7:$AH$43)</f>
        <v>989.78</v>
      </c>
      <c r="AJ39" s="1671"/>
      <c r="AK39" s="1738">
        <f t="shared" si="22"/>
        <v>3292.45</v>
      </c>
      <c r="AL39" s="421"/>
      <c r="AM39" s="1521">
        <f>+SUMIF(BM!$C$7:$C$43,$D39,BM!$AL$7:$AL$43)</f>
        <v>2184.75</v>
      </c>
      <c r="AN39" s="1672"/>
      <c r="AO39" s="1743">
        <f t="shared" si="25"/>
        <v>3174.5299999999997</v>
      </c>
      <c r="AP39" s="1671"/>
      <c r="AQ39" s="1738">
        <f t="shared" si="0"/>
        <v>5477.2</v>
      </c>
      <c r="AR39" s="421"/>
      <c r="AS39" s="1521">
        <f>+SUMIF(BM!$C$7:$C$43,$D39,BM!$AR$7:$AR$43)</f>
        <v>0</v>
      </c>
      <c r="AT39" s="1671"/>
      <c r="AU39" s="1738">
        <f t="shared" si="10"/>
        <v>5477.2</v>
      </c>
      <c r="AV39" s="421"/>
      <c r="AW39" s="1521">
        <f>+SUMIF(BM!$C$7:$C$43,$D39,BM!$AV$7:$AV$43)</f>
        <v>0</v>
      </c>
      <c r="AX39" s="1671"/>
      <c r="AY39" s="1738">
        <f t="shared" si="11"/>
        <v>5477.2</v>
      </c>
      <c r="AZ39" s="421"/>
      <c r="BA39" s="1521">
        <f>+SUMIF(BM!$C$7:$C$43,$D39,BM!$AZ$7:$AZ$43)</f>
        <v>0</v>
      </c>
      <c r="BB39" s="1672"/>
      <c r="BC39" s="1743">
        <f t="shared" si="12"/>
        <v>0</v>
      </c>
      <c r="BD39" s="1817"/>
      <c r="BE39" s="1954">
        <f t="shared" si="13"/>
        <v>3174.5299999999997</v>
      </c>
      <c r="BF39" s="1671"/>
      <c r="BG39" s="1738">
        <f t="shared" si="14"/>
        <v>5477.2</v>
      </c>
    </row>
    <row r="40" spans="3:59" ht="18.75" x14ac:dyDescent="0.3">
      <c r="C40" s="1524" t="s">
        <v>95</v>
      </c>
      <c r="D40" s="1520" t="s">
        <v>1449</v>
      </c>
      <c r="E40" s="5429"/>
      <c r="F40" s="1520"/>
      <c r="G40" s="1521">
        <f>+SUMIF(BM!$C$7:$C$43,$D40,BM!$F$7:$F$43)</f>
        <v>621.67999999999995</v>
      </c>
      <c r="H40" s="1521"/>
      <c r="I40" s="1521">
        <f>+SUMIF(BM!$C$7:$C$43,$D40,BM!$H$7:$H$43)</f>
        <v>0</v>
      </c>
      <c r="J40" s="1738"/>
      <c r="K40" s="1738">
        <f t="shared" si="18"/>
        <v>621.67999999999995</v>
      </c>
      <c r="L40" s="1521"/>
      <c r="M40" s="1521">
        <f>+SUMIF(BM!$C$7:$C$43,$D40,BM!$L$7:$L$43)</f>
        <v>4257.6899999999996</v>
      </c>
      <c r="N40" s="1743"/>
      <c r="O40" s="1743">
        <f t="shared" si="19"/>
        <v>4879.37</v>
      </c>
      <c r="P40" s="421"/>
      <c r="Q40" s="1521">
        <f>+SUMIF(BM!$C$7:$C$43,$D40,BM!$P$7:$P$43)</f>
        <v>5184.0749999999998</v>
      </c>
      <c r="R40" s="1671"/>
      <c r="S40" s="1738">
        <f t="shared" si="17"/>
        <v>10063.445</v>
      </c>
      <c r="T40" s="421"/>
      <c r="U40" s="1521">
        <f>+SUMIF(BM!$C$7:$C$43,$D40,BM!$T$7:$T$43)</f>
        <v>3364.0250000000001</v>
      </c>
      <c r="V40" s="1671"/>
      <c r="W40" s="1738">
        <f t="shared" si="20"/>
        <v>13427.47</v>
      </c>
      <c r="X40" s="421"/>
      <c r="Y40" s="1521">
        <f>+SUMIF(BM!$C$7:$C$43,$D40,BM!$X$7:$X$43)</f>
        <v>3361.9799999999996</v>
      </c>
      <c r="Z40" s="1672"/>
      <c r="AA40" s="1743">
        <f t="shared" si="26"/>
        <v>11910.079999999998</v>
      </c>
      <c r="AB40" s="1817"/>
      <c r="AC40" s="1954">
        <f t="shared" si="27"/>
        <v>16789.449999999997</v>
      </c>
      <c r="AD40" s="421"/>
      <c r="AE40" s="1521">
        <f>+SUMIF(BM!$C$7:$C$43,$D40,BM!$AD$7:$AD$43)</f>
        <v>1388.5550000000001</v>
      </c>
      <c r="AF40" s="1671"/>
      <c r="AG40" s="1738">
        <f t="shared" si="21"/>
        <v>18178.004999999997</v>
      </c>
      <c r="AH40" s="421"/>
      <c r="AI40" s="1521">
        <f>+SUMIF(BM!$C$7:$C$43,$D40,BM!$AH$7:$AH$43)</f>
        <v>640.08499999999992</v>
      </c>
      <c r="AJ40" s="1671"/>
      <c r="AK40" s="1738">
        <f t="shared" si="22"/>
        <v>18818.089999999997</v>
      </c>
      <c r="AL40" s="421"/>
      <c r="AM40" s="1521">
        <f>+SUMIF(BM!$C$7:$C$43,$D40,BM!$AL$7:$AL$43)</f>
        <v>1699.395</v>
      </c>
      <c r="AN40" s="1672"/>
      <c r="AO40" s="1743">
        <f t="shared" si="25"/>
        <v>3728.0349999999999</v>
      </c>
      <c r="AP40" s="1671"/>
      <c r="AQ40" s="1738">
        <f t="shared" si="0"/>
        <v>20517.484999999997</v>
      </c>
      <c r="AR40" s="421"/>
      <c r="AS40" s="1521">
        <f>+SUMIF(BM!$C$7:$C$43,$D40,BM!$AR$7:$AR$43)</f>
        <v>2264.89</v>
      </c>
      <c r="AT40" s="1671"/>
      <c r="AU40" s="1738">
        <f t="shared" si="10"/>
        <v>22782.374999999996</v>
      </c>
      <c r="AV40" s="421"/>
      <c r="AW40" s="1521">
        <f>+SUMIF(BM!$C$7:$C$43,$D40,BM!$AV$7:$AV$43)</f>
        <v>4193.9799999999996</v>
      </c>
      <c r="AX40" s="1671"/>
      <c r="AY40" s="1738">
        <f t="shared" si="11"/>
        <v>26976.354999999996</v>
      </c>
      <c r="AZ40" s="421"/>
      <c r="BA40" s="1521">
        <f>+SUMIF(BM!$C$7:$C$43,$D40,BM!$AZ$7:$AZ$43)</f>
        <v>2866.3599999999997</v>
      </c>
      <c r="BB40" s="1672"/>
      <c r="BC40" s="1743">
        <f t="shared" si="12"/>
        <v>9325.23</v>
      </c>
      <c r="BD40" s="1817"/>
      <c r="BE40" s="1954">
        <f t="shared" si="13"/>
        <v>13053.264999999999</v>
      </c>
      <c r="BF40" s="1671"/>
      <c r="BG40" s="1738">
        <f t="shared" si="14"/>
        <v>29842.714999999997</v>
      </c>
    </row>
    <row r="41" spans="3:59" ht="18.75" x14ac:dyDescent="0.3">
      <c r="C41" s="5424" t="s">
        <v>1351</v>
      </c>
      <c r="D41" s="5424"/>
      <c r="E41" s="5429"/>
      <c r="F41" s="1748"/>
      <c r="G41" s="1749">
        <f>SUM(G34:G40)</f>
        <v>31471.350000000006</v>
      </c>
      <c r="H41" s="1749"/>
      <c r="I41" s="1749">
        <f>SUM(I34:I40)</f>
        <v>40050.68</v>
      </c>
      <c r="J41" s="1749"/>
      <c r="K41" s="1750">
        <f t="shared" si="18"/>
        <v>71522.03</v>
      </c>
      <c r="L41" s="1749"/>
      <c r="M41" s="1749">
        <f>SUM(M34:M40)</f>
        <v>51899.88</v>
      </c>
      <c r="N41" s="1749"/>
      <c r="O41" s="1750">
        <f t="shared" si="19"/>
        <v>123421.91</v>
      </c>
      <c r="P41" s="1752"/>
      <c r="Q41" s="1749">
        <f>SUM(Q34:Q40)</f>
        <v>50651.53</v>
      </c>
      <c r="R41" s="1752"/>
      <c r="S41" s="1750">
        <f t="shared" si="17"/>
        <v>174073.44</v>
      </c>
      <c r="T41" s="1752"/>
      <c r="U41" s="1749">
        <f>SUM(U34:U40)</f>
        <v>49962.73</v>
      </c>
      <c r="V41" s="1752"/>
      <c r="W41" s="1750">
        <f t="shared" si="20"/>
        <v>224036.17</v>
      </c>
      <c r="X41" s="1752"/>
      <c r="Y41" s="1749">
        <f>SUM(Y34:Y40)</f>
        <v>55089.31</v>
      </c>
      <c r="Z41" s="1749">
        <f t="shared" ref="Z41:AC41" si="34">SUM(Z34:Z40)</f>
        <v>0</v>
      </c>
      <c r="AA41" s="1749">
        <f t="shared" si="34"/>
        <v>155703.57</v>
      </c>
      <c r="AB41" s="1749">
        <f t="shared" si="34"/>
        <v>0</v>
      </c>
      <c r="AC41" s="1749">
        <f t="shared" si="34"/>
        <v>279125.48000000004</v>
      </c>
      <c r="AD41" s="1752"/>
      <c r="AE41" s="1749">
        <f>SUM(AE34:AE40)</f>
        <v>62348.194999999985</v>
      </c>
      <c r="AF41" s="1752"/>
      <c r="AG41" s="1750">
        <f t="shared" si="21"/>
        <v>341473.67500000005</v>
      </c>
      <c r="AH41" s="1752"/>
      <c r="AI41" s="1749">
        <f>SUM(AI34:AI40)</f>
        <v>54525.299999999996</v>
      </c>
      <c r="AJ41" s="1752"/>
      <c r="AK41" s="1750">
        <f t="shared" si="22"/>
        <v>395998.97500000003</v>
      </c>
      <c r="AL41" s="1752"/>
      <c r="AM41" s="1749">
        <f>SUM(AM34:AM40)</f>
        <v>68121.11</v>
      </c>
      <c r="AN41" s="1749"/>
      <c r="AO41" s="1749">
        <f>SUM(AO34:AO40)</f>
        <v>184994.60499999998</v>
      </c>
      <c r="AP41" s="1752"/>
      <c r="AQ41" s="1749">
        <f>SUM(AQ34:AQ40)</f>
        <v>464120.08499999996</v>
      </c>
      <c r="AR41" s="1752"/>
      <c r="AS41" s="1749">
        <f>SUM(AS34:AS40)</f>
        <v>70032.180999999997</v>
      </c>
      <c r="AT41" s="1752"/>
      <c r="AU41" s="1750">
        <f t="shared" si="10"/>
        <v>534152.26599999995</v>
      </c>
      <c r="AV41" s="1752"/>
      <c r="AW41" s="1749">
        <f>SUM(AW34:AW40)</f>
        <v>48122.457999999999</v>
      </c>
      <c r="AX41" s="1752"/>
      <c r="AY41" s="1750">
        <f t="shared" si="11"/>
        <v>582274.72399999993</v>
      </c>
      <c r="AZ41" s="1752"/>
      <c r="BA41" s="1749">
        <f>SUM(BA34:BA40)</f>
        <v>67566.239999999991</v>
      </c>
      <c r="BB41" s="1749"/>
      <c r="BC41" s="1749">
        <f>SUM(BC34:BC40)</f>
        <v>185720.87899999999</v>
      </c>
      <c r="BD41" s="1749">
        <f t="shared" ref="BD41:BE41" si="35">SUM(BD34:BD40)</f>
        <v>0</v>
      </c>
      <c r="BE41" s="1749">
        <f t="shared" si="35"/>
        <v>370715.484</v>
      </c>
      <c r="BF41" s="1752"/>
      <c r="BG41" s="1750">
        <f t="shared" si="14"/>
        <v>649840.96399999992</v>
      </c>
    </row>
    <row r="42" spans="3:59" ht="18.75" x14ac:dyDescent="0.3">
      <c r="C42" s="1524" t="s">
        <v>115</v>
      </c>
      <c r="D42" s="1520" t="s">
        <v>1451</v>
      </c>
      <c r="E42" s="5429"/>
      <c r="F42" s="1520"/>
      <c r="G42" s="1521">
        <f>SUMIF(USM!$C$6:$C$36,$D42,USM!$G$6:$G$36)</f>
        <v>2017.1501073373001</v>
      </c>
      <c r="H42" s="1521"/>
      <c r="I42" s="1521">
        <f>SUMIF(USM!$C$6:$C$36,$D42,USM!$I$6:$I$36)</f>
        <v>2071.50717021425</v>
      </c>
      <c r="J42" s="1738"/>
      <c r="K42" s="1738">
        <f t="shared" si="18"/>
        <v>4088.6572775515501</v>
      </c>
      <c r="L42" s="1521"/>
      <c r="M42" s="1521">
        <f>SUMIF(USM!$C$6:$C$36,$D42,USM!$M$6:$M$36)</f>
        <v>8414.6040193199515</v>
      </c>
      <c r="N42" s="1743"/>
      <c r="O42" s="1743">
        <f t="shared" si="19"/>
        <v>12503.261296871502</v>
      </c>
      <c r="P42" s="421"/>
      <c r="Q42" s="1521">
        <f>SUMIF(USM!$C$6:$C$36,$D42,USM!$Q$6:$Q$36)</f>
        <v>20449.930978175551</v>
      </c>
      <c r="R42" s="1671"/>
      <c r="S42" s="1738">
        <f t="shared" si="17"/>
        <v>32953.192275047055</v>
      </c>
      <c r="T42" s="421"/>
      <c r="U42" s="1521">
        <f>SUMIF(USM!$C$6:$C$36,$D42,USM!$U$6:$U$36)</f>
        <v>10541.541318435</v>
      </c>
      <c r="V42" s="1671"/>
      <c r="W42" s="1738">
        <f t="shared" si="20"/>
        <v>43494.733593482058</v>
      </c>
      <c r="X42" s="421"/>
      <c r="Y42" s="1521">
        <f>SUMIF(USM!$C$6:$C$36,$D42,USM!$Y$6:$Y$36)</f>
        <v>2152.0485670499997</v>
      </c>
      <c r="Z42" s="1672"/>
      <c r="AA42" s="1743">
        <f t="shared" si="23"/>
        <v>33143.520863660553</v>
      </c>
      <c r="AB42" s="1817"/>
      <c r="AC42" s="1954">
        <f t="shared" si="24"/>
        <v>45646.782160532057</v>
      </c>
      <c r="AD42" s="421"/>
      <c r="AE42" s="1521">
        <f>SUMIF(USM!$C$6:$C$36,$D42,USM!$AE$6:$AE$36)</f>
        <v>7668.8644301999993</v>
      </c>
      <c r="AF42" s="1671"/>
      <c r="AG42" s="1738">
        <f t="shared" si="21"/>
        <v>53315.646590732053</v>
      </c>
      <c r="AH42" s="421"/>
      <c r="AI42" s="1521">
        <f>SUMIF(USM!$C$6:$C$36,$D42,USM!$AI$6:$AI$36)</f>
        <v>9981.1166675000004</v>
      </c>
      <c r="AJ42" s="1671"/>
      <c r="AK42" s="1738">
        <f t="shared" si="22"/>
        <v>63296.763258232051</v>
      </c>
      <c r="AL42" s="421"/>
      <c r="AM42" s="1521">
        <f>SUMIF(USM!$C$6:$C$36,$D42,USM!$AM$6:$AM$36)</f>
        <v>6932.1029808000003</v>
      </c>
      <c r="AN42" s="1672"/>
      <c r="AO42" s="1743">
        <f t="shared" ref="AO42:AO45" si="36">+AM42+AI42+AE42</f>
        <v>24582.0840785</v>
      </c>
      <c r="AP42" s="1671"/>
      <c r="AQ42" s="1738">
        <f t="shared" si="0"/>
        <v>70228.866239032053</v>
      </c>
      <c r="AR42" s="421"/>
      <c r="AS42" s="1521">
        <f>SUMIF(USM!$C$6:$C$36,$D42,USM!$AS$6:$AS$36)</f>
        <v>7824.8514357499998</v>
      </c>
      <c r="AT42" s="1671"/>
      <c r="AU42" s="1738">
        <f t="shared" si="10"/>
        <v>78053.717674782049</v>
      </c>
      <c r="AV42" s="421"/>
      <c r="AW42" s="1521">
        <f>SUMIF(USM!$C$6:$C$36,$D42,USM!$AW$6:$AW$36)</f>
        <v>6876.8208735500011</v>
      </c>
      <c r="AX42" s="1671"/>
      <c r="AY42" s="1738">
        <f t="shared" si="11"/>
        <v>84930.538548332057</v>
      </c>
      <c r="AZ42" s="421"/>
      <c r="BA42" s="1521">
        <f>SUMIF(USM!$C$6:$C$36,$D42,USM!$BA$6:$BA$36)</f>
        <v>6894.0920000000015</v>
      </c>
      <c r="BB42" s="1672"/>
      <c r="BC42" s="1743">
        <f t="shared" si="12"/>
        <v>21595.764309300001</v>
      </c>
      <c r="BD42" s="1817"/>
      <c r="BE42" s="1954">
        <f t="shared" si="13"/>
        <v>46177.848387799997</v>
      </c>
      <c r="BF42" s="1671"/>
      <c r="BG42" s="1738">
        <f t="shared" si="14"/>
        <v>91824.630548332061</v>
      </c>
    </row>
    <row r="43" spans="3:59" ht="18.75" x14ac:dyDescent="0.3">
      <c r="C43" s="1524" t="s">
        <v>115</v>
      </c>
      <c r="D43" s="1520" t="s">
        <v>1315</v>
      </c>
      <c r="E43" s="5429"/>
      <c r="F43" s="1520"/>
      <c r="G43" s="1521">
        <f>SUMIF(USM!$C$6:$C$36,$D43,USM!$G$6:$G$36)</f>
        <v>5852.1698183433</v>
      </c>
      <c r="H43" s="1521"/>
      <c r="I43" s="1521">
        <f>SUMIF(USM!$C$6:$C$36,$D43,USM!$I$6:$I$36)</f>
        <v>656.99976166499994</v>
      </c>
      <c r="J43" s="1738"/>
      <c r="K43" s="1738">
        <f t="shared" si="18"/>
        <v>6509.1695800082998</v>
      </c>
      <c r="L43" s="1521"/>
      <c r="M43" s="1521">
        <f>SUMIF(USM!$C$6:$C$36,$D43,USM!$M$6:$M$36)</f>
        <v>1031.67493687004</v>
      </c>
      <c r="N43" s="1743"/>
      <c r="O43" s="1743">
        <f t="shared" si="19"/>
        <v>7540.8445168783401</v>
      </c>
      <c r="P43" s="421"/>
      <c r="Q43" s="1521">
        <f>SUMIF(USM!$C$6:$C$36,$D43,USM!$Q$6:$Q$36)</f>
        <v>2535.5527144390999</v>
      </c>
      <c r="R43" s="1671"/>
      <c r="S43" s="1738">
        <f t="shared" si="17"/>
        <v>10076.39723131744</v>
      </c>
      <c r="T43" s="421"/>
      <c r="U43" s="1521">
        <f>SUMIF(USM!$C$6:$C$36,$D43,USM!$U$6:$U$36)</f>
        <v>8067.1435461000001</v>
      </c>
      <c r="V43" s="1671"/>
      <c r="W43" s="1738">
        <f t="shared" si="20"/>
        <v>18143.540777417438</v>
      </c>
      <c r="X43" s="421"/>
      <c r="Y43" s="1521">
        <f>SUMIF(USM!$C$6:$C$36,$D43,USM!$Y$6:$Y$36)</f>
        <v>5847.3877719499997</v>
      </c>
      <c r="Z43" s="1672"/>
      <c r="AA43" s="1743">
        <f t="shared" ref="AA43:AA45" si="37">+Y43+U43+Q43</f>
        <v>16450.0840324891</v>
      </c>
      <c r="AB43" s="1817"/>
      <c r="AC43" s="1954">
        <f t="shared" ref="AC43:AC45" si="38">+O43+AA43</f>
        <v>23990.92854936744</v>
      </c>
      <c r="AD43" s="421"/>
      <c r="AE43" s="1521">
        <f>SUMIF(USM!$C$6:$C$36,$D43,USM!$AE$6:$AE$36)</f>
        <v>14233.605339014999</v>
      </c>
      <c r="AF43" s="1671"/>
      <c r="AG43" s="1738">
        <f t="shared" si="21"/>
        <v>38224.533888382437</v>
      </c>
      <c r="AH43" s="421"/>
      <c r="AI43" s="1521">
        <f>SUMIF(USM!$C$6:$C$36,$D43,USM!$AI$6:$AI$36)</f>
        <v>10276.848007500001</v>
      </c>
      <c r="AJ43" s="1671"/>
      <c r="AK43" s="1738">
        <f t="shared" si="22"/>
        <v>48501.381895882441</v>
      </c>
      <c r="AL43" s="421"/>
      <c r="AM43" s="1521">
        <f>SUMIF(USM!$C$6:$C$36,$D43,USM!$AM$6:$AM$36)</f>
        <v>12175.968139500001</v>
      </c>
      <c r="AN43" s="1672"/>
      <c r="AO43" s="1743">
        <f t="shared" si="36"/>
        <v>36686.421486015002</v>
      </c>
      <c r="AP43" s="1671"/>
      <c r="AQ43" s="1738">
        <f t="shared" si="0"/>
        <v>60677.350035382442</v>
      </c>
      <c r="AR43" s="421"/>
      <c r="AS43" s="1521">
        <f>SUMIF(USM!$C$6:$C$36,$D43,USM!$AS$6:$AS$36)</f>
        <v>12557.650363029999</v>
      </c>
      <c r="AT43" s="1671"/>
      <c r="AU43" s="1738">
        <f t="shared" si="10"/>
        <v>73235.000398412434</v>
      </c>
      <c r="AV43" s="421"/>
      <c r="AW43" s="1521">
        <f>SUMIF(USM!$C$6:$C$36,$D43,USM!$AW$6:$AW$36)</f>
        <v>17187.831583899999</v>
      </c>
      <c r="AX43" s="1671"/>
      <c r="AY43" s="1738">
        <f t="shared" si="11"/>
        <v>90422.831982312433</v>
      </c>
      <c r="AZ43" s="421"/>
      <c r="BA43" s="1521">
        <f>SUMIF(USM!$C$6:$C$36,$D43,USM!$BA$6:$BA$36)</f>
        <v>18215.627</v>
      </c>
      <c r="BB43" s="1672"/>
      <c r="BC43" s="1743">
        <f t="shared" si="12"/>
        <v>47961.108946929999</v>
      </c>
      <c r="BD43" s="1817"/>
      <c r="BE43" s="1954">
        <f t="shared" si="13"/>
        <v>84647.530432945001</v>
      </c>
      <c r="BF43" s="1671"/>
      <c r="BG43" s="1738">
        <f t="shared" si="14"/>
        <v>108638.45898231244</v>
      </c>
    </row>
    <row r="44" spans="3:59" s="1726" customFormat="1" ht="18.75" x14ac:dyDescent="0.3">
      <c r="C44" s="1524" t="s">
        <v>115</v>
      </c>
      <c r="D44" s="1520" t="s">
        <v>1752</v>
      </c>
      <c r="E44" s="5429"/>
      <c r="F44" s="1520"/>
      <c r="G44" s="1521"/>
      <c r="H44" s="1521"/>
      <c r="I44" s="1521"/>
      <c r="J44" s="1738"/>
      <c r="K44" s="1738">
        <f t="shared" si="18"/>
        <v>0</v>
      </c>
      <c r="L44" s="1521"/>
      <c r="M44" s="1521"/>
      <c r="N44" s="1743"/>
      <c r="O44" s="1743">
        <f t="shared" si="19"/>
        <v>0</v>
      </c>
      <c r="P44" s="421"/>
      <c r="Q44" s="1521"/>
      <c r="R44" s="1671"/>
      <c r="S44" s="1738">
        <f t="shared" si="17"/>
        <v>0</v>
      </c>
      <c r="T44" s="421"/>
      <c r="U44" s="1521"/>
      <c r="V44" s="1671"/>
      <c r="W44" s="1738">
        <f t="shared" si="20"/>
        <v>0</v>
      </c>
      <c r="X44" s="421"/>
      <c r="Y44" s="1521"/>
      <c r="Z44" s="1672"/>
      <c r="AA44" s="1743">
        <f t="shared" si="37"/>
        <v>0</v>
      </c>
      <c r="AB44" s="1817"/>
      <c r="AC44" s="1954">
        <f t="shared" si="38"/>
        <v>0</v>
      </c>
      <c r="AD44" s="421"/>
      <c r="AE44" s="1521"/>
      <c r="AF44" s="1671"/>
      <c r="AG44" s="1738">
        <f t="shared" si="21"/>
        <v>0</v>
      </c>
      <c r="AH44" s="421"/>
      <c r="AI44" s="1521"/>
      <c r="AJ44" s="1671"/>
      <c r="AK44" s="1738">
        <f t="shared" si="22"/>
        <v>0</v>
      </c>
      <c r="AL44" s="421"/>
      <c r="AM44" s="1521">
        <f>SUMIF(USM!$C$6:$C$36,$D44,USM!$AM$6:$AM$36)</f>
        <v>10437.742138199999</v>
      </c>
      <c r="AN44" s="1672"/>
      <c r="AO44" s="1743">
        <f t="shared" si="36"/>
        <v>10437.742138199999</v>
      </c>
      <c r="AP44" s="1671"/>
      <c r="AQ44" s="1738">
        <f t="shared" ref="AQ44" si="39">+AK44+AM44</f>
        <v>10437.742138199999</v>
      </c>
      <c r="AR44" s="421"/>
      <c r="AS44" s="1521">
        <f>SUMIF(USM!$C$6:$C$36,$D44,USM!$AS$6:$AS$36)</f>
        <v>0</v>
      </c>
      <c r="AT44" s="1671"/>
      <c r="AU44" s="1738">
        <f t="shared" si="10"/>
        <v>10437.742138199999</v>
      </c>
      <c r="AV44" s="421"/>
      <c r="AW44" s="1521">
        <f>SUMIF(USM!$C$6:$C$36,$D44,USM!$AW$6:$AW$36)</f>
        <v>0</v>
      </c>
      <c r="AX44" s="1671"/>
      <c r="AY44" s="1738">
        <f t="shared" si="11"/>
        <v>10437.742138199999</v>
      </c>
      <c r="AZ44" s="421"/>
      <c r="BA44" s="1521">
        <f>SUMIF(USM!$C$6:$C$36,$D44,USM!$BA$6:$BA$36)</f>
        <v>0</v>
      </c>
      <c r="BB44" s="1672"/>
      <c r="BC44" s="1743">
        <f t="shared" si="12"/>
        <v>0</v>
      </c>
      <c r="BD44" s="1817"/>
      <c r="BE44" s="1954">
        <f t="shared" si="13"/>
        <v>10437.742138199999</v>
      </c>
      <c r="BF44" s="1671"/>
      <c r="BG44" s="1738">
        <f t="shared" si="14"/>
        <v>10437.742138199999</v>
      </c>
    </row>
    <row r="45" spans="3:59" s="1566" customFormat="1" ht="18.75" x14ac:dyDescent="0.3">
      <c r="C45" s="1524" t="s">
        <v>115</v>
      </c>
      <c r="D45" s="1520" t="s">
        <v>1452</v>
      </c>
      <c r="E45" s="5429"/>
      <c r="F45" s="1520"/>
      <c r="G45" s="1521">
        <f>SUMIF(USM!$C$6:$C$36,$D45,USM!$G$6:$G$36)</f>
        <v>0</v>
      </c>
      <c r="H45" s="1521"/>
      <c r="I45" s="1521">
        <f>SUMIF(USM!$C$6:$C$36,$D45,USM!$I$6:$I$36)</f>
        <v>0</v>
      </c>
      <c r="J45" s="1738"/>
      <c r="K45" s="1738">
        <f t="shared" si="18"/>
        <v>0</v>
      </c>
      <c r="L45" s="1521"/>
      <c r="M45" s="1521">
        <f>SUMIF(USM!$C$6:$C$36,$D45,USM!$M$6:$M$36)</f>
        <v>0</v>
      </c>
      <c r="N45" s="1743"/>
      <c r="O45" s="1743">
        <f t="shared" si="19"/>
        <v>0</v>
      </c>
      <c r="P45" s="421"/>
      <c r="Q45" s="1521">
        <f>SUMIF(USM!$C$6:$C$36,$D45,USM!$Q$6:$Q$36)</f>
        <v>297.59893486940001</v>
      </c>
      <c r="R45" s="1671"/>
      <c r="S45" s="1738">
        <f t="shared" si="17"/>
        <v>297.59893486940001</v>
      </c>
      <c r="T45" s="421"/>
      <c r="U45" s="1521">
        <f>SUMIF(USM!$C$6:$C$36,$D45,USM!$U$6:$U$36)</f>
        <v>0</v>
      </c>
      <c r="V45" s="1671"/>
      <c r="W45" s="1738">
        <f t="shared" si="20"/>
        <v>297.59893486940001</v>
      </c>
      <c r="X45" s="421"/>
      <c r="Y45" s="1521">
        <f>SUMIF(USM!$C$6:$C$36,$D45,USM!$Y$6:$Y$36)</f>
        <v>0</v>
      </c>
      <c r="Z45" s="1672"/>
      <c r="AA45" s="1743">
        <f t="shared" si="37"/>
        <v>297.59893486940001</v>
      </c>
      <c r="AB45" s="1817"/>
      <c r="AC45" s="1954">
        <f t="shared" si="38"/>
        <v>297.59893486940001</v>
      </c>
      <c r="AD45" s="421"/>
      <c r="AE45" s="1521">
        <f>SUMIF(USM!$C$6:$C$36,$D45,USM!$AE$6:$AE$36)</f>
        <v>583.19754749999993</v>
      </c>
      <c r="AF45" s="1671"/>
      <c r="AG45" s="1738">
        <f t="shared" si="21"/>
        <v>880.79648236939988</v>
      </c>
      <c r="AH45" s="421"/>
      <c r="AI45" s="1521">
        <f>SUMIF(USM!$C$6:$C$36,$D45,USM!$AI$6:$AI$36)</f>
        <v>651.5775000000001</v>
      </c>
      <c r="AJ45" s="1671"/>
      <c r="AK45" s="1738">
        <f t="shared" si="22"/>
        <v>1532.3739823694</v>
      </c>
      <c r="AL45" s="421"/>
      <c r="AM45" s="1521">
        <f>SUMIF(USM!$C$6:$C$36,$D45,USM!$AM$6:$AM$36)</f>
        <v>0</v>
      </c>
      <c r="AN45" s="1672"/>
      <c r="AO45" s="1743">
        <f t="shared" si="36"/>
        <v>1234.7750475</v>
      </c>
      <c r="AP45" s="1671"/>
      <c r="AQ45" s="1738">
        <f t="shared" si="0"/>
        <v>1532.3739823694</v>
      </c>
      <c r="AR45" s="421"/>
      <c r="AS45" s="1521">
        <f>SUMIF(USM!$C$6:$C$36,$D45,USM!$AS$6:$AS$36)</f>
        <v>0</v>
      </c>
      <c r="AT45" s="1671"/>
      <c r="AU45" s="1738">
        <f t="shared" si="10"/>
        <v>1532.3739823694</v>
      </c>
      <c r="AV45" s="421"/>
      <c r="AW45" s="1521">
        <f>SUMIF(USM!$C$6:$C$36,$D45,USM!$AW$6:$AW$36)</f>
        <v>0</v>
      </c>
      <c r="AX45" s="1671"/>
      <c r="AY45" s="1738">
        <f t="shared" si="11"/>
        <v>1532.3739823694</v>
      </c>
      <c r="AZ45" s="421"/>
      <c r="BA45" s="1521">
        <f>SUMIF(USM!$C$6:$C$36,$D45,USM!$BA$6:$BA$36)</f>
        <v>731.71</v>
      </c>
      <c r="BB45" s="1672"/>
      <c r="BC45" s="1743">
        <f t="shared" si="12"/>
        <v>731.71</v>
      </c>
      <c r="BD45" s="1817"/>
      <c r="BE45" s="1954">
        <f t="shared" si="13"/>
        <v>1966.4850475000001</v>
      </c>
      <c r="BF45" s="1671"/>
      <c r="BG45" s="1738">
        <f t="shared" si="14"/>
        <v>2264.0839823694</v>
      </c>
    </row>
    <row r="46" spans="3:59" ht="18.75" x14ac:dyDescent="0.3">
      <c r="C46" s="5424" t="s">
        <v>1352</v>
      </c>
      <c r="D46" s="5424"/>
      <c r="E46" s="5429"/>
      <c r="F46" s="1748"/>
      <c r="G46" s="1749">
        <f>SUM(G42:G45)</f>
        <v>7869.3199256806001</v>
      </c>
      <c r="H46" s="1749"/>
      <c r="I46" s="1749">
        <f>SUM(I42:I45)</f>
        <v>2728.5069318792498</v>
      </c>
      <c r="J46" s="1749"/>
      <c r="K46" s="1750">
        <f t="shared" si="18"/>
        <v>10597.82685755985</v>
      </c>
      <c r="L46" s="1749"/>
      <c r="M46" s="1749">
        <f>SUM(M42:M45)</f>
        <v>9446.2789561899917</v>
      </c>
      <c r="N46" s="1749"/>
      <c r="O46" s="1750">
        <f t="shared" si="19"/>
        <v>20044.10581374984</v>
      </c>
      <c r="P46" s="1752"/>
      <c r="Q46" s="1749">
        <f>SUM(Q42:Q45)</f>
        <v>23283.082627484051</v>
      </c>
      <c r="R46" s="1752"/>
      <c r="S46" s="1750">
        <f t="shared" si="17"/>
        <v>43327.188441233891</v>
      </c>
      <c r="T46" s="1752"/>
      <c r="U46" s="1749">
        <f>SUM(U42:U45)</f>
        <v>18608.684864535</v>
      </c>
      <c r="V46" s="1752"/>
      <c r="W46" s="1750">
        <f t="shared" si="20"/>
        <v>61935.873305768895</v>
      </c>
      <c r="X46" s="1752"/>
      <c r="Y46" s="1749">
        <f>SUM(Y42:Y45)</f>
        <v>7999.4363389999999</v>
      </c>
      <c r="Z46" s="1749">
        <f t="shared" ref="Z46:AC46" si="40">SUM(Z42:Z45)</f>
        <v>0</v>
      </c>
      <c r="AA46" s="1749">
        <f t="shared" si="40"/>
        <v>49891.203831019055</v>
      </c>
      <c r="AB46" s="1749">
        <f t="shared" si="40"/>
        <v>0</v>
      </c>
      <c r="AC46" s="1749">
        <f t="shared" si="40"/>
        <v>69935.309644768888</v>
      </c>
      <c r="AD46" s="1752"/>
      <c r="AE46" s="1749">
        <f>SUM(AE42:AE45)</f>
        <v>22485.667316715</v>
      </c>
      <c r="AF46" s="1752"/>
      <c r="AG46" s="1750">
        <f t="shared" si="21"/>
        <v>92420.976961483888</v>
      </c>
      <c r="AH46" s="1752"/>
      <c r="AI46" s="1749">
        <f>SUM(AI42:AI45)</f>
        <v>20909.542175000002</v>
      </c>
      <c r="AJ46" s="1752"/>
      <c r="AK46" s="1750">
        <f t="shared" si="22"/>
        <v>113330.5191364839</v>
      </c>
      <c r="AL46" s="1752"/>
      <c r="AM46" s="1749">
        <f>SUM(AM42:AM45)</f>
        <v>29545.813258500002</v>
      </c>
      <c r="AN46" s="1749"/>
      <c r="AO46" s="1749">
        <f>SUM(AO42:AO45)</f>
        <v>72941.022750215008</v>
      </c>
      <c r="AP46" s="1752"/>
      <c r="AQ46" s="1749">
        <f>SUM(AQ42:AQ45)</f>
        <v>142876.33239498391</v>
      </c>
      <c r="AR46" s="1752"/>
      <c r="AS46" s="1749">
        <f>SUM(AS42:AS45)</f>
        <v>20382.501798779998</v>
      </c>
      <c r="AT46" s="1752"/>
      <c r="AU46" s="1750">
        <f t="shared" si="10"/>
        <v>163258.83419376391</v>
      </c>
      <c r="AV46" s="1752"/>
      <c r="AW46" s="1749">
        <f>SUM(AW42:AW45)</f>
        <v>24064.65245745</v>
      </c>
      <c r="AX46" s="1752"/>
      <c r="AY46" s="1750">
        <f t="shared" si="11"/>
        <v>187323.4866512139</v>
      </c>
      <c r="AZ46" s="1752"/>
      <c r="BA46" s="1749">
        <f>SUM(BA42:BA45)</f>
        <v>25841.429</v>
      </c>
      <c r="BB46" s="1749"/>
      <c r="BC46" s="1749">
        <f>SUM(BC42:BC45)</f>
        <v>70288.583256230006</v>
      </c>
      <c r="BD46" s="1749">
        <f t="shared" ref="BD46:BE46" si="41">SUM(BD42:BD45)</f>
        <v>0</v>
      </c>
      <c r="BE46" s="1749">
        <f t="shared" si="41"/>
        <v>143229.60600644498</v>
      </c>
      <c r="BF46" s="1752"/>
      <c r="BG46" s="1750">
        <f t="shared" si="14"/>
        <v>213164.9156512139</v>
      </c>
    </row>
    <row r="47" spans="3:59" ht="18.75" x14ac:dyDescent="0.3">
      <c r="C47" s="1524" t="s">
        <v>1361</v>
      </c>
      <c r="D47" s="1520" t="s">
        <v>751</v>
      </c>
      <c r="E47" s="5429"/>
      <c r="F47" s="1520"/>
      <c r="G47" s="1579">
        <v>1107.0285709860837</v>
      </c>
      <c r="H47" s="1579"/>
      <c r="I47" s="1579">
        <v>4855.9730681207402</v>
      </c>
      <c r="J47" s="1738"/>
      <c r="K47" s="1738">
        <f t="shared" si="18"/>
        <v>5963.0016391068239</v>
      </c>
      <c r="L47" s="1579"/>
      <c r="M47" s="1579">
        <v>3233.5499966666539</v>
      </c>
      <c r="N47" s="1743"/>
      <c r="O47" s="1743">
        <f t="shared" si="19"/>
        <v>9196.5516357734778</v>
      </c>
      <c r="P47" s="1081"/>
      <c r="Q47" s="1579">
        <v>8214.5199966667496</v>
      </c>
      <c r="R47" s="1671"/>
      <c r="S47" s="1738">
        <f>+O47+Q47</f>
        <v>17411.071632440227</v>
      </c>
      <c r="T47" s="1081"/>
      <c r="U47" s="1579">
        <v>7995.6289966666372</v>
      </c>
      <c r="V47" s="1671"/>
      <c r="W47" s="1738">
        <f>+S47+U47</f>
        <v>25406.700629106865</v>
      </c>
      <c r="X47" s="1081"/>
      <c r="Y47" s="1579">
        <v>12250.819996666629</v>
      </c>
      <c r="Z47" s="1672"/>
      <c r="AA47" s="1743">
        <f t="shared" si="23"/>
        <v>28460.968990000016</v>
      </c>
      <c r="AB47" s="1817"/>
      <c r="AC47" s="1954">
        <f t="shared" si="24"/>
        <v>37657.520625773497</v>
      </c>
      <c r="AD47" s="1081"/>
      <c r="AE47" s="1579">
        <v>9842.6299966666847</v>
      </c>
      <c r="AF47" s="1671"/>
      <c r="AG47" s="1738">
        <f>+AC47+AE47</f>
        <v>47500.150622440182</v>
      </c>
      <c r="AH47" s="1081"/>
      <c r="AI47" s="1579">
        <v>9184.0219966666482</v>
      </c>
      <c r="AJ47" s="1671"/>
      <c r="AK47" s="1738">
        <f>+AG47+AI47</f>
        <v>56684.17261910683</v>
      </c>
      <c r="AL47" s="1081"/>
      <c r="AM47" s="1579">
        <v>6278.2399966667217</v>
      </c>
      <c r="AN47" s="1672"/>
      <c r="AO47" s="1743">
        <f t="shared" ref="AO47:AO59" si="42">+AM47+AI47+AE47</f>
        <v>25304.891990000055</v>
      </c>
      <c r="AP47" s="1671"/>
      <c r="AQ47" s="1738">
        <f t="shared" ref="AQ47:AQ69" si="43">+AK47+AM47</f>
        <v>62962.412615773552</v>
      </c>
      <c r="AR47" s="1081"/>
      <c r="AS47" s="1579">
        <v>4161.8399966666911</v>
      </c>
      <c r="AT47" s="1671"/>
      <c r="AU47" s="1738">
        <f>+AQ47+AS47</f>
        <v>67124.252612440236</v>
      </c>
      <c r="AV47" s="1081"/>
      <c r="AW47" s="1579">
        <v>11371.456996666631</v>
      </c>
      <c r="AX47" s="1671"/>
      <c r="AY47" s="1738">
        <f>+AU47+AW47</f>
        <v>78495.709609106867</v>
      </c>
      <c r="AZ47" s="1081"/>
      <c r="BA47" s="1579">
        <v>10979.729996666669</v>
      </c>
      <c r="BB47" s="1672"/>
      <c r="BC47" s="1743">
        <f t="shared" si="12"/>
        <v>26513.026989999991</v>
      </c>
      <c r="BD47" s="1817"/>
      <c r="BE47" s="1954">
        <f t="shared" si="13"/>
        <v>51817.918980000046</v>
      </c>
      <c r="BF47" s="1671"/>
      <c r="BG47" s="1738">
        <f>+BE47+AC47</f>
        <v>89475.439605773543</v>
      </c>
    </row>
    <row r="48" spans="3:59" s="1726" customFormat="1" ht="18.75" x14ac:dyDescent="0.3">
      <c r="C48" s="1524" t="s">
        <v>1361</v>
      </c>
      <c r="D48" s="1520" t="s">
        <v>1309</v>
      </c>
      <c r="E48" s="5429"/>
      <c r="F48" s="1520"/>
      <c r="G48" s="1579">
        <v>0</v>
      </c>
      <c r="H48" s="1579"/>
      <c r="I48" s="1579">
        <v>0</v>
      </c>
      <c r="J48" s="1738"/>
      <c r="K48" s="1738">
        <f t="shared" si="18"/>
        <v>0</v>
      </c>
      <c r="L48" s="1579"/>
      <c r="M48" s="1579">
        <v>0</v>
      </c>
      <c r="N48" s="1743"/>
      <c r="O48" s="1743">
        <f t="shared" si="19"/>
        <v>0</v>
      </c>
      <c r="P48" s="1081"/>
      <c r="Q48" s="1579">
        <v>0</v>
      </c>
      <c r="R48" s="1671"/>
      <c r="S48" s="1738">
        <f t="shared" ref="S48:S69" si="44">+O48+Q48</f>
        <v>0</v>
      </c>
      <c r="T48" s="1081"/>
      <c r="U48" s="1579">
        <v>0</v>
      </c>
      <c r="V48" s="1671"/>
      <c r="W48" s="1738">
        <f t="shared" ref="W48:W69" si="45">+S48+U48</f>
        <v>0</v>
      </c>
      <c r="X48" s="1081"/>
      <c r="Y48" s="1579">
        <v>0</v>
      </c>
      <c r="Z48" s="1672"/>
      <c r="AA48" s="1743">
        <f t="shared" ref="AA48:AA57" si="46">+Y48+U48+Q48</f>
        <v>0</v>
      </c>
      <c r="AB48" s="1817"/>
      <c r="AC48" s="1954">
        <f t="shared" ref="AC48:AC57" si="47">+O48+AA48</f>
        <v>0</v>
      </c>
      <c r="AD48" s="1081"/>
      <c r="AE48" s="1579">
        <v>1069.26</v>
      </c>
      <c r="AF48" s="1671"/>
      <c r="AG48" s="1738">
        <f t="shared" ref="AG48:AG69" si="48">+AC48+AE48</f>
        <v>1069.26</v>
      </c>
      <c r="AH48" s="1081"/>
      <c r="AI48" s="1579">
        <v>0</v>
      </c>
      <c r="AJ48" s="1671"/>
      <c r="AK48" s="1738">
        <f t="shared" ref="AK48:AK69" si="49">+AG48+AI48</f>
        <v>1069.26</v>
      </c>
      <c r="AL48" s="1081"/>
      <c r="AM48" s="1579">
        <v>0</v>
      </c>
      <c r="AN48" s="1672"/>
      <c r="AO48" s="1743">
        <f t="shared" si="42"/>
        <v>1069.26</v>
      </c>
      <c r="AP48" s="1671"/>
      <c r="AQ48" s="1738">
        <f t="shared" si="43"/>
        <v>1069.26</v>
      </c>
      <c r="AR48" s="1081"/>
      <c r="AS48" s="1579">
        <v>0</v>
      </c>
      <c r="AT48" s="1671"/>
      <c r="AU48" s="1738">
        <f t="shared" ref="AU48:AU69" si="50">+AQ48+AS48</f>
        <v>1069.26</v>
      </c>
      <c r="AV48" s="1081"/>
      <c r="AW48" s="1579">
        <v>0</v>
      </c>
      <c r="AX48" s="1671"/>
      <c r="AY48" s="1738">
        <f t="shared" ref="AY48:AY69" si="51">+AU48+AW48</f>
        <v>1069.26</v>
      </c>
      <c r="AZ48" s="1081"/>
      <c r="BA48" s="1579">
        <v>0</v>
      </c>
      <c r="BB48" s="1672"/>
      <c r="BC48" s="1743">
        <f t="shared" si="12"/>
        <v>0</v>
      </c>
      <c r="BD48" s="1817"/>
      <c r="BE48" s="1954">
        <f t="shared" si="13"/>
        <v>1069.26</v>
      </c>
      <c r="BF48" s="1671"/>
      <c r="BG48" s="1738">
        <f t="shared" ref="BG48:BG59" si="52">+BE48+AC48</f>
        <v>1069.26</v>
      </c>
    </row>
    <row r="49" spans="3:60" s="1726" customFormat="1" ht="18.75" x14ac:dyDescent="0.3">
      <c r="C49" s="1524" t="s">
        <v>1361</v>
      </c>
      <c r="D49" s="1520" t="s">
        <v>1685</v>
      </c>
      <c r="E49" s="5429"/>
      <c r="F49" s="1520"/>
      <c r="G49" s="1579">
        <v>0</v>
      </c>
      <c r="H49" s="1579"/>
      <c r="I49" s="1579">
        <v>0</v>
      </c>
      <c r="J49" s="1738"/>
      <c r="K49" s="1738">
        <f t="shared" si="18"/>
        <v>0</v>
      </c>
      <c r="L49" s="1579"/>
      <c r="M49" s="1579">
        <v>0</v>
      </c>
      <c r="N49" s="1743"/>
      <c r="O49" s="1743">
        <f t="shared" si="19"/>
        <v>0</v>
      </c>
      <c r="P49" s="1081"/>
      <c r="Q49" s="1579">
        <v>0</v>
      </c>
      <c r="R49" s="1671"/>
      <c r="S49" s="1738">
        <f t="shared" si="44"/>
        <v>0</v>
      </c>
      <c r="T49" s="1081"/>
      <c r="U49" s="1579">
        <v>0</v>
      </c>
      <c r="V49" s="1671"/>
      <c r="W49" s="1738">
        <f t="shared" si="45"/>
        <v>0</v>
      </c>
      <c r="X49" s="1081"/>
      <c r="Y49" s="1579">
        <v>0</v>
      </c>
      <c r="Z49" s="1672"/>
      <c r="AA49" s="1743">
        <f t="shared" si="46"/>
        <v>0</v>
      </c>
      <c r="AB49" s="1817"/>
      <c r="AC49" s="1954">
        <f t="shared" si="47"/>
        <v>0</v>
      </c>
      <c r="AD49" s="1081"/>
      <c r="AE49" s="1579">
        <v>0</v>
      </c>
      <c r="AF49" s="1671"/>
      <c r="AG49" s="1738">
        <f t="shared" si="48"/>
        <v>0</v>
      </c>
      <c r="AH49" s="1081"/>
      <c r="AI49" s="1579">
        <v>434.52</v>
      </c>
      <c r="AJ49" s="1671"/>
      <c r="AK49" s="1738">
        <f t="shared" si="49"/>
        <v>434.52</v>
      </c>
      <c r="AL49" s="1081"/>
      <c r="AM49" s="1579">
        <v>0</v>
      </c>
      <c r="AN49" s="1672"/>
      <c r="AO49" s="1743">
        <f t="shared" si="42"/>
        <v>434.52</v>
      </c>
      <c r="AP49" s="1671"/>
      <c r="AQ49" s="1738">
        <f t="shared" si="43"/>
        <v>434.52</v>
      </c>
      <c r="AR49" s="1081"/>
      <c r="AS49" s="1579">
        <v>0</v>
      </c>
      <c r="AT49" s="1671"/>
      <c r="AU49" s="1738">
        <f t="shared" si="50"/>
        <v>434.52</v>
      </c>
      <c r="AV49" s="1081"/>
      <c r="AW49" s="1579">
        <v>242.82</v>
      </c>
      <c r="AX49" s="1671"/>
      <c r="AY49" s="1738">
        <f t="shared" si="51"/>
        <v>677.33999999999992</v>
      </c>
      <c r="AZ49" s="1081"/>
      <c r="BA49" s="1579">
        <v>0</v>
      </c>
      <c r="BB49" s="1672"/>
      <c r="BC49" s="1743">
        <f t="shared" si="12"/>
        <v>242.82</v>
      </c>
      <c r="BD49" s="1817"/>
      <c r="BE49" s="1954">
        <f t="shared" si="13"/>
        <v>677.33999999999992</v>
      </c>
      <c r="BF49" s="1671"/>
      <c r="BG49" s="1738">
        <f t="shared" si="52"/>
        <v>677.33999999999992</v>
      </c>
    </row>
    <row r="50" spans="3:60" s="1726" customFormat="1" ht="18.75" x14ac:dyDescent="0.3">
      <c r="C50" s="1524" t="s">
        <v>1361</v>
      </c>
      <c r="D50" s="1520" t="s">
        <v>1655</v>
      </c>
      <c r="E50" s="5429"/>
      <c r="F50" s="1520"/>
      <c r="G50" s="1579">
        <v>0</v>
      </c>
      <c r="H50" s="1579"/>
      <c r="I50" s="1579">
        <v>0</v>
      </c>
      <c r="J50" s="1738"/>
      <c r="K50" s="1738">
        <f t="shared" si="18"/>
        <v>0</v>
      </c>
      <c r="L50" s="1579"/>
      <c r="M50" s="1579">
        <v>0</v>
      </c>
      <c r="N50" s="1743"/>
      <c r="O50" s="1743">
        <f t="shared" si="19"/>
        <v>0</v>
      </c>
      <c r="P50" s="1081"/>
      <c r="Q50" s="1579">
        <v>0</v>
      </c>
      <c r="R50" s="1671"/>
      <c r="S50" s="1738">
        <f t="shared" si="44"/>
        <v>0</v>
      </c>
      <c r="T50" s="1081"/>
      <c r="U50" s="1579">
        <v>0</v>
      </c>
      <c r="V50" s="1671"/>
      <c r="W50" s="1738">
        <f t="shared" si="45"/>
        <v>0</v>
      </c>
      <c r="X50" s="1081"/>
      <c r="Y50" s="1579">
        <v>0</v>
      </c>
      <c r="Z50" s="1672"/>
      <c r="AA50" s="1743">
        <f t="shared" si="46"/>
        <v>0</v>
      </c>
      <c r="AB50" s="1817"/>
      <c r="AC50" s="1954">
        <f t="shared" si="47"/>
        <v>0</v>
      </c>
      <c r="AD50" s="1081"/>
      <c r="AE50" s="1579">
        <v>1065</v>
      </c>
      <c r="AF50" s="1671"/>
      <c r="AG50" s="1738">
        <f t="shared" si="48"/>
        <v>1065</v>
      </c>
      <c r="AH50" s="1081"/>
      <c r="AI50" s="1579">
        <v>4498.5600000000013</v>
      </c>
      <c r="AJ50" s="1671"/>
      <c r="AK50" s="1738">
        <f t="shared" si="49"/>
        <v>5563.5600000000013</v>
      </c>
      <c r="AL50" s="1081"/>
      <c r="AM50" s="1579">
        <v>5540.1299999999992</v>
      </c>
      <c r="AN50" s="1672"/>
      <c r="AO50" s="1743">
        <f t="shared" si="42"/>
        <v>11103.69</v>
      </c>
      <c r="AP50" s="1671"/>
      <c r="AQ50" s="1738">
        <f t="shared" si="43"/>
        <v>11103.69</v>
      </c>
      <c r="AR50" s="1081"/>
      <c r="AS50" s="1579">
        <v>2749.83</v>
      </c>
      <c r="AT50" s="1671"/>
      <c r="AU50" s="1738">
        <f t="shared" si="50"/>
        <v>13853.52</v>
      </c>
      <c r="AV50" s="1081"/>
      <c r="AW50" s="1579">
        <v>0</v>
      </c>
      <c r="AX50" s="1671"/>
      <c r="AY50" s="1738">
        <f t="shared" si="51"/>
        <v>13853.52</v>
      </c>
      <c r="AZ50" s="1081"/>
      <c r="BA50" s="1579">
        <v>0</v>
      </c>
      <c r="BB50" s="1672"/>
      <c r="BC50" s="1743">
        <f t="shared" si="12"/>
        <v>2749.83</v>
      </c>
      <c r="BD50" s="1817"/>
      <c r="BE50" s="1954">
        <f t="shared" si="13"/>
        <v>13853.52</v>
      </c>
      <c r="BF50" s="1671"/>
      <c r="BG50" s="1738">
        <f t="shared" si="52"/>
        <v>13853.52</v>
      </c>
    </row>
    <row r="51" spans="3:60" s="1726" customFormat="1" ht="18.75" x14ac:dyDescent="0.3">
      <c r="C51" s="1524" t="s">
        <v>1361</v>
      </c>
      <c r="D51" s="1520" t="s">
        <v>1693</v>
      </c>
      <c r="E51" s="5429"/>
      <c r="F51" s="1520"/>
      <c r="G51" s="1579">
        <v>0</v>
      </c>
      <c r="H51" s="1579"/>
      <c r="I51" s="1579">
        <v>0</v>
      </c>
      <c r="J51" s="1738"/>
      <c r="K51" s="1738">
        <f t="shared" si="18"/>
        <v>0</v>
      </c>
      <c r="L51" s="1579"/>
      <c r="M51" s="1579">
        <v>0</v>
      </c>
      <c r="N51" s="1743"/>
      <c r="O51" s="1743"/>
      <c r="P51" s="1081"/>
      <c r="Q51" s="1579">
        <v>0</v>
      </c>
      <c r="R51" s="1671"/>
      <c r="S51" s="1738">
        <f t="shared" si="44"/>
        <v>0</v>
      </c>
      <c r="T51" s="1081"/>
      <c r="U51" s="1579">
        <v>0</v>
      </c>
      <c r="V51" s="1671"/>
      <c r="W51" s="1738">
        <f t="shared" si="45"/>
        <v>0</v>
      </c>
      <c r="X51" s="1081"/>
      <c r="Y51" s="1579">
        <v>0</v>
      </c>
      <c r="Z51" s="1672"/>
      <c r="AA51" s="1743"/>
      <c r="AB51" s="1817"/>
      <c r="AC51" s="1954"/>
      <c r="AD51" s="1081"/>
      <c r="AE51" s="1579">
        <v>0</v>
      </c>
      <c r="AF51" s="1671"/>
      <c r="AG51" s="1738">
        <f t="shared" si="48"/>
        <v>0</v>
      </c>
      <c r="AH51" s="1081"/>
      <c r="AI51" s="1579">
        <v>434.52</v>
      </c>
      <c r="AJ51" s="1671"/>
      <c r="AK51" s="1738">
        <f t="shared" si="49"/>
        <v>434.52</v>
      </c>
      <c r="AL51" s="1081"/>
      <c r="AM51" s="1579">
        <v>0</v>
      </c>
      <c r="AN51" s="1672"/>
      <c r="AO51" s="1743">
        <f t="shared" si="42"/>
        <v>434.52</v>
      </c>
      <c r="AP51" s="1671"/>
      <c r="AQ51" s="1738"/>
      <c r="AR51" s="1081"/>
      <c r="AS51" s="1579">
        <v>0</v>
      </c>
      <c r="AT51" s="1671"/>
      <c r="AU51" s="1738">
        <f t="shared" si="50"/>
        <v>0</v>
      </c>
      <c r="AV51" s="1081"/>
      <c r="AW51" s="1579">
        <v>242.82</v>
      </c>
      <c r="AX51" s="1671"/>
      <c r="AY51" s="1738">
        <f t="shared" si="51"/>
        <v>242.82</v>
      </c>
      <c r="AZ51" s="1081"/>
      <c r="BA51" s="1579"/>
      <c r="BB51" s="1672"/>
      <c r="BC51" s="1743">
        <f t="shared" si="12"/>
        <v>242.82</v>
      </c>
      <c r="BD51" s="1817"/>
      <c r="BE51" s="1954">
        <f t="shared" si="13"/>
        <v>677.33999999999992</v>
      </c>
      <c r="BF51" s="1671"/>
      <c r="BG51" s="1738">
        <f t="shared" si="52"/>
        <v>677.33999999999992</v>
      </c>
    </row>
    <row r="52" spans="3:60" s="1726" customFormat="1" ht="18.75" x14ac:dyDescent="0.3">
      <c r="C52" s="1524" t="s">
        <v>1361</v>
      </c>
      <c r="D52" s="1520" t="s">
        <v>1591</v>
      </c>
      <c r="E52" s="5429"/>
      <c r="F52" s="1520"/>
      <c r="G52" s="1579">
        <v>0</v>
      </c>
      <c r="H52" s="1579"/>
      <c r="I52" s="1579">
        <v>0</v>
      </c>
      <c r="J52" s="1738"/>
      <c r="K52" s="1738">
        <f t="shared" si="18"/>
        <v>0</v>
      </c>
      <c r="L52" s="1579"/>
      <c r="M52" s="1579">
        <v>0</v>
      </c>
      <c r="N52" s="1743"/>
      <c r="O52" s="1743">
        <f t="shared" si="19"/>
        <v>0</v>
      </c>
      <c r="P52" s="1081"/>
      <c r="Q52" s="1579">
        <v>0</v>
      </c>
      <c r="R52" s="1671"/>
      <c r="S52" s="1738">
        <f t="shared" si="44"/>
        <v>0</v>
      </c>
      <c r="T52" s="1081"/>
      <c r="U52" s="1579">
        <v>1135</v>
      </c>
      <c r="V52" s="1671"/>
      <c r="W52" s="1738">
        <f t="shared" si="45"/>
        <v>1135</v>
      </c>
      <c r="X52" s="1081"/>
      <c r="Y52" s="1579">
        <v>3079.9800000000009</v>
      </c>
      <c r="Z52" s="1672"/>
      <c r="AA52" s="1743">
        <f t="shared" si="46"/>
        <v>4214.9800000000014</v>
      </c>
      <c r="AB52" s="1817"/>
      <c r="AC52" s="1954">
        <f t="shared" si="47"/>
        <v>4214.9800000000014</v>
      </c>
      <c r="AD52" s="1081"/>
      <c r="AE52" s="1579">
        <v>1910.61</v>
      </c>
      <c r="AF52" s="1671"/>
      <c r="AG52" s="1738">
        <f t="shared" si="48"/>
        <v>6125.5900000000011</v>
      </c>
      <c r="AH52" s="1081"/>
      <c r="AI52" s="1579">
        <v>545.28</v>
      </c>
      <c r="AJ52" s="1671"/>
      <c r="AK52" s="1738">
        <f t="shared" si="49"/>
        <v>6670.8700000000008</v>
      </c>
      <c r="AL52" s="1081"/>
      <c r="AM52" s="1579">
        <v>3273.8099999999995</v>
      </c>
      <c r="AN52" s="1672"/>
      <c r="AO52" s="1743">
        <f t="shared" si="42"/>
        <v>5729.6999999999989</v>
      </c>
      <c r="AP52" s="1671"/>
      <c r="AQ52" s="1738">
        <f t="shared" si="43"/>
        <v>9944.68</v>
      </c>
      <c r="AR52" s="1081"/>
      <c r="AS52" s="1579">
        <v>2364.3000000000002</v>
      </c>
      <c r="AT52" s="1671"/>
      <c r="AU52" s="1738">
        <f t="shared" si="50"/>
        <v>12308.98</v>
      </c>
      <c r="AV52" s="1081"/>
      <c r="AW52" s="1579">
        <v>3891.51</v>
      </c>
      <c r="AX52" s="1671"/>
      <c r="AY52" s="1738">
        <f t="shared" si="51"/>
        <v>16200.49</v>
      </c>
      <c r="AZ52" s="1081"/>
      <c r="BA52" s="1579">
        <v>7731.8999999999987</v>
      </c>
      <c r="BB52" s="1672"/>
      <c r="BC52" s="1743">
        <f t="shared" si="12"/>
        <v>13987.71</v>
      </c>
      <c r="BD52" s="1817"/>
      <c r="BE52" s="1954">
        <f t="shared" si="13"/>
        <v>19717.409999999996</v>
      </c>
      <c r="BF52" s="1671"/>
      <c r="BG52" s="1738">
        <f t="shared" si="52"/>
        <v>23932.39</v>
      </c>
    </row>
    <row r="53" spans="3:60" s="1726" customFormat="1" ht="18.75" x14ac:dyDescent="0.3">
      <c r="C53" s="1524" t="s">
        <v>1361</v>
      </c>
      <c r="D53" s="1520" t="s">
        <v>1592</v>
      </c>
      <c r="E53" s="5429"/>
      <c r="F53" s="1520"/>
      <c r="G53" s="1579">
        <v>0</v>
      </c>
      <c r="H53" s="1579"/>
      <c r="I53" s="1579">
        <v>0</v>
      </c>
      <c r="J53" s="1738"/>
      <c r="K53" s="1738">
        <f t="shared" si="18"/>
        <v>0</v>
      </c>
      <c r="L53" s="1579"/>
      <c r="M53" s="1579">
        <v>0</v>
      </c>
      <c r="N53" s="1743"/>
      <c r="O53" s="1743">
        <f t="shared" si="19"/>
        <v>0</v>
      </c>
      <c r="P53" s="1081"/>
      <c r="Q53" s="1579">
        <v>0</v>
      </c>
      <c r="R53" s="1671"/>
      <c r="S53" s="1738">
        <f t="shared" si="44"/>
        <v>0</v>
      </c>
      <c r="T53" s="1081"/>
      <c r="U53" s="1579">
        <v>0</v>
      </c>
      <c r="V53" s="1671"/>
      <c r="W53" s="1738">
        <f t="shared" si="45"/>
        <v>0</v>
      </c>
      <c r="X53" s="1081"/>
      <c r="Y53" s="1579">
        <v>1350.42</v>
      </c>
      <c r="Z53" s="1672"/>
      <c r="AA53" s="1743">
        <f t="shared" si="46"/>
        <v>1350.42</v>
      </c>
      <c r="AB53" s="1817"/>
      <c r="AC53" s="1954">
        <f t="shared" si="47"/>
        <v>1350.42</v>
      </c>
      <c r="AD53" s="1081"/>
      <c r="AE53" s="1579">
        <v>0</v>
      </c>
      <c r="AF53" s="1671"/>
      <c r="AG53" s="1738">
        <f t="shared" si="48"/>
        <v>1350.42</v>
      </c>
      <c r="AH53" s="1081"/>
      <c r="AI53" s="1579">
        <v>0</v>
      </c>
      <c r="AJ53" s="1671"/>
      <c r="AK53" s="1738">
        <f t="shared" si="49"/>
        <v>1350.42</v>
      </c>
      <c r="AL53" s="1081"/>
      <c r="AM53" s="1579">
        <v>0</v>
      </c>
      <c r="AN53" s="1672"/>
      <c r="AO53" s="1743">
        <f t="shared" si="42"/>
        <v>0</v>
      </c>
      <c r="AP53" s="1671"/>
      <c r="AQ53" s="1738">
        <f t="shared" si="43"/>
        <v>1350.42</v>
      </c>
      <c r="AR53" s="1081"/>
      <c r="AS53" s="1579">
        <v>0</v>
      </c>
      <c r="AT53" s="1671"/>
      <c r="AU53" s="1738">
        <f t="shared" si="50"/>
        <v>1350.42</v>
      </c>
      <c r="AV53" s="1081"/>
      <c r="AW53" s="1579">
        <v>549.54</v>
      </c>
      <c r="AX53" s="1671"/>
      <c r="AY53" s="1738">
        <f t="shared" si="51"/>
        <v>1899.96</v>
      </c>
      <c r="AZ53" s="1081"/>
      <c r="BA53" s="1579">
        <v>0</v>
      </c>
      <c r="BB53" s="1672"/>
      <c r="BC53" s="1743">
        <f t="shared" si="12"/>
        <v>549.54</v>
      </c>
      <c r="BD53" s="1817"/>
      <c r="BE53" s="1954">
        <f t="shared" si="13"/>
        <v>549.54</v>
      </c>
      <c r="BF53" s="1671"/>
      <c r="BG53" s="1738">
        <f t="shared" si="52"/>
        <v>1899.96</v>
      </c>
    </row>
    <row r="54" spans="3:60" s="1726" customFormat="1" ht="18.75" x14ac:dyDescent="0.3">
      <c r="C54" s="1524" t="s">
        <v>1361</v>
      </c>
      <c r="D54" s="1520" t="s">
        <v>1785</v>
      </c>
      <c r="E54" s="5429"/>
      <c r="F54" s="1520"/>
      <c r="G54" s="1579">
        <v>0</v>
      </c>
      <c r="H54" s="1579"/>
      <c r="I54" s="1579">
        <v>0</v>
      </c>
      <c r="J54" s="1738"/>
      <c r="K54" s="1738">
        <f t="shared" si="18"/>
        <v>0</v>
      </c>
      <c r="L54" s="1579"/>
      <c r="M54" s="1579">
        <v>0</v>
      </c>
      <c r="N54" s="1743"/>
      <c r="O54" s="1743"/>
      <c r="P54" s="1081"/>
      <c r="Q54" s="1579">
        <v>0</v>
      </c>
      <c r="R54" s="1671"/>
      <c r="S54" s="1738">
        <f t="shared" si="44"/>
        <v>0</v>
      </c>
      <c r="T54" s="1081"/>
      <c r="U54" s="1579">
        <v>0</v>
      </c>
      <c r="V54" s="1671"/>
      <c r="W54" s="1738">
        <f t="shared" si="45"/>
        <v>0</v>
      </c>
      <c r="X54" s="1081"/>
      <c r="Y54" s="1579">
        <v>0</v>
      </c>
      <c r="Z54" s="1672"/>
      <c r="AA54" s="1743"/>
      <c r="AB54" s="1817"/>
      <c r="AC54" s="1954"/>
      <c r="AD54" s="1081"/>
      <c r="AE54" s="1579">
        <v>0</v>
      </c>
      <c r="AF54" s="1671"/>
      <c r="AG54" s="1738">
        <f t="shared" si="48"/>
        <v>0</v>
      </c>
      <c r="AH54" s="1081"/>
      <c r="AI54" s="1579">
        <v>0</v>
      </c>
      <c r="AJ54" s="1671"/>
      <c r="AK54" s="1738">
        <f t="shared" si="49"/>
        <v>0</v>
      </c>
      <c r="AL54" s="1081"/>
      <c r="AM54" s="1579">
        <v>0</v>
      </c>
      <c r="AN54" s="1672"/>
      <c r="AO54" s="1743"/>
      <c r="AP54" s="1671"/>
      <c r="AQ54" s="1738"/>
      <c r="AR54" s="1081"/>
      <c r="AS54" s="1579">
        <v>155.49</v>
      </c>
      <c r="AT54" s="1671"/>
      <c r="AU54" s="1738">
        <f t="shared" si="50"/>
        <v>155.49</v>
      </c>
      <c r="AV54" s="1081"/>
      <c r="AW54" s="1579">
        <v>0</v>
      </c>
      <c r="AX54" s="1671"/>
      <c r="AY54" s="1738">
        <f t="shared" si="51"/>
        <v>155.49</v>
      </c>
      <c r="AZ54" s="1081"/>
      <c r="BA54" s="1579">
        <v>0</v>
      </c>
      <c r="BB54" s="1672"/>
      <c r="BC54" s="1743">
        <f t="shared" si="12"/>
        <v>155.49</v>
      </c>
      <c r="BD54" s="1817"/>
      <c r="BE54" s="1954">
        <f t="shared" si="13"/>
        <v>155.49</v>
      </c>
      <c r="BF54" s="1671"/>
      <c r="BG54" s="1738">
        <f t="shared" si="52"/>
        <v>155.49</v>
      </c>
    </row>
    <row r="55" spans="3:60" ht="18.75" x14ac:dyDescent="0.3">
      <c r="C55" s="1524" t="s">
        <v>1361</v>
      </c>
      <c r="D55" s="1520" t="s">
        <v>1308</v>
      </c>
      <c r="E55" s="5429"/>
      <c r="F55" s="1520"/>
      <c r="G55" s="1578">
        <v>7930.0000033333272</v>
      </c>
      <c r="H55" s="1578"/>
      <c r="I55" s="1578">
        <v>16698.483333333337</v>
      </c>
      <c r="J55" s="1740"/>
      <c r="K55" s="1738">
        <f t="shared" si="18"/>
        <v>24628.483336666664</v>
      </c>
      <c r="L55" s="1578"/>
      <c r="M55" s="1578">
        <v>45025.950003333346</v>
      </c>
      <c r="N55" s="1745"/>
      <c r="O55" s="1743">
        <f t="shared" si="19"/>
        <v>69654.433340000018</v>
      </c>
      <c r="P55" s="421"/>
      <c r="Q55" s="1579">
        <v>15487.750003333304</v>
      </c>
      <c r="R55" s="1671"/>
      <c r="S55" s="1738">
        <f t="shared" si="44"/>
        <v>85142.183343333323</v>
      </c>
      <c r="T55" s="421"/>
      <c r="U55" s="1579">
        <v>19377.000003333349</v>
      </c>
      <c r="V55" s="1671"/>
      <c r="W55" s="1738">
        <f t="shared" si="45"/>
        <v>104519.18334666667</v>
      </c>
      <c r="X55" s="421"/>
      <c r="Y55" s="1579">
        <v>15273.09000333338</v>
      </c>
      <c r="Z55" s="1672"/>
      <c r="AA55" s="1743">
        <f t="shared" si="46"/>
        <v>50137.840010000036</v>
      </c>
      <c r="AB55" s="1817"/>
      <c r="AC55" s="1954">
        <f t="shared" si="47"/>
        <v>119792.27335000006</v>
      </c>
      <c r="AD55" s="421"/>
      <c r="AE55" s="1579">
        <v>29229.600003333351</v>
      </c>
      <c r="AF55" s="1671"/>
      <c r="AG55" s="1738">
        <f t="shared" si="48"/>
        <v>149021.87335333342</v>
      </c>
      <c r="AH55" s="421"/>
      <c r="AI55" s="1579">
        <v>30016.710003333355</v>
      </c>
      <c r="AJ55" s="1671"/>
      <c r="AK55" s="1738">
        <f t="shared" si="49"/>
        <v>179038.58335666679</v>
      </c>
      <c r="AL55" s="421"/>
      <c r="AM55" s="1579">
        <v>22860.1900033333</v>
      </c>
      <c r="AN55" s="1672"/>
      <c r="AO55" s="1743">
        <f t="shared" si="42"/>
        <v>82106.500010000003</v>
      </c>
      <c r="AP55" s="1671"/>
      <c r="AQ55" s="1738">
        <f t="shared" si="43"/>
        <v>201898.77336000008</v>
      </c>
      <c r="AR55" s="421"/>
      <c r="AS55" s="1579">
        <v>16225.150003333305</v>
      </c>
      <c r="AT55" s="1671"/>
      <c r="AU55" s="1738">
        <f t="shared" si="50"/>
        <v>218123.92336333339</v>
      </c>
      <c r="AV55" s="421"/>
      <c r="AW55" s="1579">
        <v>31885.990003333376</v>
      </c>
      <c r="AX55" s="1671"/>
      <c r="AY55" s="1738">
        <f t="shared" si="51"/>
        <v>250009.91336666676</v>
      </c>
      <c r="AZ55" s="421"/>
      <c r="BA55" s="1579">
        <v>24162.240003333325</v>
      </c>
      <c r="BB55" s="1672"/>
      <c r="BC55" s="1743">
        <f t="shared" si="12"/>
        <v>72273.380010000008</v>
      </c>
      <c r="BD55" s="1817"/>
      <c r="BE55" s="1954">
        <f t="shared" si="13"/>
        <v>154379.88002000001</v>
      </c>
      <c r="BF55" s="1671"/>
      <c r="BG55" s="1738">
        <f t="shared" si="52"/>
        <v>274172.15337000007</v>
      </c>
    </row>
    <row r="56" spans="3:60" s="1726" customFormat="1" ht="18.75" x14ac:dyDescent="0.3">
      <c r="C56" s="1524" t="s">
        <v>1361</v>
      </c>
      <c r="D56" s="1520" t="s">
        <v>1504</v>
      </c>
      <c r="E56" s="5429"/>
      <c r="F56" s="1520"/>
      <c r="G56" s="1578">
        <v>0</v>
      </c>
      <c r="H56" s="1578"/>
      <c r="I56" s="1578">
        <v>0</v>
      </c>
      <c r="J56" s="1740"/>
      <c r="K56" s="1738">
        <f t="shared" si="18"/>
        <v>0</v>
      </c>
      <c r="L56" s="1578"/>
      <c r="M56" s="1578">
        <v>0</v>
      </c>
      <c r="N56" s="1745"/>
      <c r="O56" s="1743">
        <f t="shared" si="19"/>
        <v>0</v>
      </c>
      <c r="P56" s="421"/>
      <c r="Q56" s="1579">
        <v>0</v>
      </c>
      <c r="R56" s="1671"/>
      <c r="S56" s="1738">
        <f t="shared" si="44"/>
        <v>0</v>
      </c>
      <c r="T56" s="421"/>
      <c r="U56" s="1579">
        <v>18337</v>
      </c>
      <c r="V56" s="1671"/>
      <c r="W56" s="1738">
        <f t="shared" si="45"/>
        <v>18337</v>
      </c>
      <c r="X56" s="421"/>
      <c r="Y56" s="1579">
        <v>0</v>
      </c>
      <c r="Z56" s="1672"/>
      <c r="AA56" s="1743">
        <f t="shared" si="46"/>
        <v>18337</v>
      </c>
      <c r="AB56" s="1817"/>
      <c r="AC56" s="1954">
        <f t="shared" si="47"/>
        <v>18337</v>
      </c>
      <c r="AD56" s="421"/>
      <c r="AE56" s="1579">
        <v>0</v>
      </c>
      <c r="AF56" s="1671"/>
      <c r="AG56" s="1738">
        <f t="shared" si="48"/>
        <v>18337</v>
      </c>
      <c r="AH56" s="421"/>
      <c r="AI56" s="1579">
        <v>0</v>
      </c>
      <c r="AJ56" s="1671"/>
      <c r="AK56" s="1738">
        <f t="shared" si="49"/>
        <v>18337</v>
      </c>
      <c r="AL56" s="421"/>
      <c r="AM56" s="1579">
        <v>0</v>
      </c>
      <c r="AN56" s="1672"/>
      <c r="AO56" s="1743">
        <f t="shared" si="42"/>
        <v>0</v>
      </c>
      <c r="AP56" s="1671"/>
      <c r="AQ56" s="1738">
        <f t="shared" si="43"/>
        <v>18337</v>
      </c>
      <c r="AR56" s="421"/>
      <c r="AS56" s="1579">
        <v>0</v>
      </c>
      <c r="AT56" s="1671"/>
      <c r="AU56" s="1738">
        <f t="shared" si="50"/>
        <v>18337</v>
      </c>
      <c r="AV56" s="421"/>
      <c r="AW56" s="1579">
        <v>0</v>
      </c>
      <c r="AX56" s="1671"/>
      <c r="AY56" s="1738">
        <f t="shared" si="51"/>
        <v>18337</v>
      </c>
      <c r="AZ56" s="421"/>
      <c r="BA56" s="1579">
        <v>0</v>
      </c>
      <c r="BB56" s="1672"/>
      <c r="BC56" s="1743">
        <f t="shared" si="12"/>
        <v>0</v>
      </c>
      <c r="BD56" s="1817"/>
      <c r="BE56" s="1954">
        <f t="shared" si="13"/>
        <v>0</v>
      </c>
      <c r="BF56" s="1671"/>
      <c r="BG56" s="1738">
        <f t="shared" si="52"/>
        <v>18337</v>
      </c>
    </row>
    <row r="57" spans="3:60" s="1726" customFormat="1" ht="18.75" x14ac:dyDescent="0.3">
      <c r="C57" s="1524" t="s">
        <v>1361</v>
      </c>
      <c r="D57" s="1520" t="s">
        <v>1590</v>
      </c>
      <c r="E57" s="5429"/>
      <c r="F57" s="1520"/>
      <c r="G57" s="1578">
        <v>0</v>
      </c>
      <c r="H57" s="1578"/>
      <c r="I57" s="1578">
        <v>0</v>
      </c>
      <c r="J57" s="1740"/>
      <c r="K57" s="1738">
        <f t="shared" si="18"/>
        <v>0</v>
      </c>
      <c r="L57" s="1578"/>
      <c r="M57" s="1578">
        <v>0</v>
      </c>
      <c r="N57" s="1745"/>
      <c r="O57" s="1743">
        <f t="shared" si="19"/>
        <v>0</v>
      </c>
      <c r="P57" s="421"/>
      <c r="Q57" s="1579">
        <v>0</v>
      </c>
      <c r="R57" s="1671"/>
      <c r="S57" s="1738">
        <f t="shared" si="44"/>
        <v>0</v>
      </c>
      <c r="T57" s="421"/>
      <c r="U57" s="1579">
        <v>0</v>
      </c>
      <c r="V57" s="1671"/>
      <c r="W57" s="1738">
        <f t="shared" si="45"/>
        <v>0</v>
      </c>
      <c r="X57" s="421"/>
      <c r="Y57" s="1579">
        <v>18654.539999999994</v>
      </c>
      <c r="Z57" s="1672"/>
      <c r="AA57" s="1743">
        <f t="shared" si="46"/>
        <v>18654.539999999994</v>
      </c>
      <c r="AB57" s="1817"/>
      <c r="AC57" s="1954">
        <f t="shared" si="47"/>
        <v>18654.539999999994</v>
      </c>
      <c r="AD57" s="421"/>
      <c r="AE57" s="1579">
        <v>0</v>
      </c>
      <c r="AF57" s="1671"/>
      <c r="AG57" s="1738">
        <f t="shared" si="48"/>
        <v>18654.539999999994</v>
      </c>
      <c r="AH57" s="421"/>
      <c r="AI57" s="1579">
        <v>0</v>
      </c>
      <c r="AJ57" s="1671"/>
      <c r="AK57" s="1738">
        <f t="shared" si="49"/>
        <v>18654.539999999994</v>
      </c>
      <c r="AL57" s="421"/>
      <c r="AM57" s="1579">
        <v>0</v>
      </c>
      <c r="AN57" s="1672"/>
      <c r="AO57" s="1743">
        <f t="shared" si="42"/>
        <v>0</v>
      </c>
      <c r="AP57" s="1671"/>
      <c r="AQ57" s="1738">
        <f t="shared" si="43"/>
        <v>18654.539999999994</v>
      </c>
      <c r="AR57" s="421"/>
      <c r="AS57" s="1579">
        <v>0</v>
      </c>
      <c r="AT57" s="1671"/>
      <c r="AU57" s="1738">
        <f t="shared" si="50"/>
        <v>18654.539999999994</v>
      </c>
      <c r="AV57" s="421"/>
      <c r="AW57" s="1579">
        <v>0</v>
      </c>
      <c r="AX57" s="1671"/>
      <c r="AY57" s="1738">
        <f t="shared" si="51"/>
        <v>18654.539999999994</v>
      </c>
      <c r="AZ57" s="421"/>
      <c r="BA57" s="1579">
        <v>0</v>
      </c>
      <c r="BB57" s="1672"/>
      <c r="BC57" s="1743">
        <f t="shared" si="12"/>
        <v>0</v>
      </c>
      <c r="BD57" s="1817"/>
      <c r="BE57" s="1954">
        <f t="shared" si="13"/>
        <v>0</v>
      </c>
      <c r="BF57" s="1671"/>
      <c r="BG57" s="1738">
        <f t="shared" si="52"/>
        <v>18654.539999999994</v>
      </c>
    </row>
    <row r="58" spans="3:60" s="1623" customFormat="1" ht="18.75" x14ac:dyDescent="0.3">
      <c r="C58" s="1524" t="s">
        <v>1361</v>
      </c>
      <c r="D58" s="1520" t="s">
        <v>1453</v>
      </c>
      <c r="E58" s="5429"/>
      <c r="F58" s="1520"/>
      <c r="G58" s="1578">
        <v>0</v>
      </c>
      <c r="H58" s="1578"/>
      <c r="I58" s="1578">
        <v>0</v>
      </c>
      <c r="J58" s="1740"/>
      <c r="K58" s="1738">
        <f t="shared" si="18"/>
        <v>0</v>
      </c>
      <c r="L58" s="1578"/>
      <c r="M58" s="1578">
        <v>0</v>
      </c>
      <c r="N58" s="1745"/>
      <c r="O58" s="1743">
        <f t="shared" si="19"/>
        <v>0</v>
      </c>
      <c r="P58" s="421"/>
      <c r="Q58" s="1579">
        <v>19440.509999999984</v>
      </c>
      <c r="R58" s="1671"/>
      <c r="S58" s="1738">
        <f t="shared" si="44"/>
        <v>19440.509999999984</v>
      </c>
      <c r="T58" s="421"/>
      <c r="U58" s="1579">
        <v>0</v>
      </c>
      <c r="V58" s="1671"/>
      <c r="W58" s="1738">
        <f t="shared" si="45"/>
        <v>19440.509999999984</v>
      </c>
      <c r="X58" s="421"/>
      <c r="Y58" s="1579">
        <v>0</v>
      </c>
      <c r="Z58" s="1672"/>
      <c r="AA58" s="1743">
        <f t="shared" si="23"/>
        <v>19440.509999999984</v>
      </c>
      <c r="AB58" s="1817"/>
      <c r="AC58" s="1954">
        <f t="shared" si="24"/>
        <v>19440.509999999984</v>
      </c>
      <c r="AD58" s="421"/>
      <c r="AE58" s="1579">
        <v>0</v>
      </c>
      <c r="AF58" s="1671"/>
      <c r="AG58" s="1738">
        <f t="shared" si="48"/>
        <v>19440.509999999984</v>
      </c>
      <c r="AH58" s="421"/>
      <c r="AI58" s="1579">
        <v>0</v>
      </c>
      <c r="AJ58" s="1671"/>
      <c r="AK58" s="1738">
        <f t="shared" si="49"/>
        <v>19440.509999999984</v>
      </c>
      <c r="AL58" s="421"/>
      <c r="AM58" s="1579">
        <v>0</v>
      </c>
      <c r="AN58" s="1672"/>
      <c r="AO58" s="1743">
        <f t="shared" si="42"/>
        <v>0</v>
      </c>
      <c r="AP58" s="1671"/>
      <c r="AQ58" s="1738">
        <f t="shared" si="43"/>
        <v>19440.509999999984</v>
      </c>
      <c r="AR58" s="421"/>
      <c r="AS58" s="1579">
        <v>18273.270000000004</v>
      </c>
      <c r="AT58" s="1671"/>
      <c r="AU58" s="1738">
        <f t="shared" si="50"/>
        <v>37713.779999999984</v>
      </c>
      <c r="AV58" s="421"/>
      <c r="AW58" s="1579">
        <v>0</v>
      </c>
      <c r="AX58" s="1671"/>
      <c r="AY58" s="1738">
        <f t="shared" si="51"/>
        <v>37713.779999999984</v>
      </c>
      <c r="AZ58" s="421"/>
      <c r="BA58" s="1579">
        <v>0</v>
      </c>
      <c r="BB58" s="1672"/>
      <c r="BC58" s="1743">
        <f t="shared" si="12"/>
        <v>18273.270000000004</v>
      </c>
      <c r="BD58" s="1817"/>
      <c r="BE58" s="1954">
        <f t="shared" si="13"/>
        <v>18273.270000000004</v>
      </c>
      <c r="BF58" s="1671"/>
      <c r="BG58" s="1738">
        <f t="shared" si="52"/>
        <v>37713.779999999984</v>
      </c>
    </row>
    <row r="59" spans="3:60" s="1545" customFormat="1" ht="18.75" x14ac:dyDescent="0.3">
      <c r="C59" s="1524" t="s">
        <v>1361</v>
      </c>
      <c r="D59" s="1520" t="s">
        <v>1386</v>
      </c>
      <c r="E59" s="5429"/>
      <c r="F59" s="1520"/>
      <c r="G59" s="1578">
        <v>0</v>
      </c>
      <c r="H59" s="1578"/>
      <c r="I59" s="1578">
        <v>3025</v>
      </c>
      <c r="J59" s="1740"/>
      <c r="K59" s="1738">
        <f t="shared" si="18"/>
        <v>3025</v>
      </c>
      <c r="L59" s="1578"/>
      <c r="M59" s="1578">
        <v>6665</v>
      </c>
      <c r="N59" s="1745"/>
      <c r="O59" s="1743">
        <f t="shared" si="19"/>
        <v>9690</v>
      </c>
      <c r="P59" s="421"/>
      <c r="Q59" s="1578">
        <v>12773.609999999999</v>
      </c>
      <c r="R59" s="1671"/>
      <c r="S59" s="1738">
        <f t="shared" si="44"/>
        <v>22463.61</v>
      </c>
      <c r="T59" s="421"/>
      <c r="U59" s="1578">
        <v>13975</v>
      </c>
      <c r="V59" s="1671"/>
      <c r="W59" s="1738">
        <f t="shared" si="45"/>
        <v>36438.61</v>
      </c>
      <c r="X59" s="421"/>
      <c r="Y59" s="1579">
        <v>6649.86</v>
      </c>
      <c r="Z59" s="1672"/>
      <c r="AA59" s="1743">
        <f t="shared" si="23"/>
        <v>33398.47</v>
      </c>
      <c r="AB59" s="1817"/>
      <c r="AC59" s="1954">
        <f t="shared" si="24"/>
        <v>43088.47</v>
      </c>
      <c r="AD59" s="421"/>
      <c r="AE59" s="1579">
        <v>9883.2000000000007</v>
      </c>
      <c r="AF59" s="1671"/>
      <c r="AG59" s="1738">
        <f t="shared" si="48"/>
        <v>52971.67</v>
      </c>
      <c r="AH59" s="421"/>
      <c r="AI59" s="1579">
        <v>9065.2799999999988</v>
      </c>
      <c r="AJ59" s="1671"/>
      <c r="AK59" s="1738">
        <f t="shared" si="49"/>
        <v>62036.95</v>
      </c>
      <c r="AL59" s="421"/>
      <c r="AM59" s="1579">
        <v>14047.349999999999</v>
      </c>
      <c r="AN59" s="1672"/>
      <c r="AO59" s="1743">
        <f t="shared" si="42"/>
        <v>32995.83</v>
      </c>
      <c r="AP59" s="1671"/>
      <c r="AQ59" s="1738">
        <f t="shared" si="43"/>
        <v>76084.299999999988</v>
      </c>
      <c r="AR59" s="421"/>
      <c r="AS59" s="1579">
        <v>5691.3600000000006</v>
      </c>
      <c r="AT59" s="1671"/>
      <c r="AU59" s="1738">
        <f t="shared" si="50"/>
        <v>81775.659999999989</v>
      </c>
      <c r="AV59" s="421"/>
      <c r="AW59" s="1579">
        <v>5094.96</v>
      </c>
      <c r="AX59" s="1671"/>
      <c r="AY59" s="1738">
        <f t="shared" si="51"/>
        <v>86870.62</v>
      </c>
      <c r="AZ59" s="421"/>
      <c r="BA59" s="1579">
        <v>7450.7400000000007</v>
      </c>
      <c r="BB59" s="1672"/>
      <c r="BC59" s="1743">
        <f t="shared" si="12"/>
        <v>18237.060000000001</v>
      </c>
      <c r="BD59" s="1817"/>
      <c r="BE59" s="1954">
        <f t="shared" si="13"/>
        <v>51232.89</v>
      </c>
      <c r="BF59" s="1671"/>
      <c r="BG59" s="1738">
        <f t="shared" si="52"/>
        <v>94321.36</v>
      </c>
    </row>
    <row r="60" spans="3:60" ht="18.75" x14ac:dyDescent="0.3">
      <c r="C60" s="5424" t="s">
        <v>1530</v>
      </c>
      <c r="D60" s="5424"/>
      <c r="E60" s="5429"/>
      <c r="F60" s="1748"/>
      <c r="G60" s="1749">
        <f>SUM(G47:G59)</f>
        <v>9037.0285743194108</v>
      </c>
      <c r="H60" s="1749"/>
      <c r="I60" s="1749">
        <f>SUM(I47:I59)</f>
        <v>24579.456401454077</v>
      </c>
      <c r="J60" s="1749"/>
      <c r="K60" s="1750">
        <f t="shared" si="18"/>
        <v>33616.484975773492</v>
      </c>
      <c r="L60" s="1749"/>
      <c r="M60" s="1749">
        <f>SUM(M47:M59)</f>
        <v>54924.5</v>
      </c>
      <c r="N60" s="1749"/>
      <c r="O60" s="1750">
        <f t="shared" si="19"/>
        <v>88540.984975773492</v>
      </c>
      <c r="P60" s="1752"/>
      <c r="Q60" s="1749">
        <f>SUM(Q47:Q59)</f>
        <v>55916.390000000043</v>
      </c>
      <c r="R60" s="1752"/>
      <c r="S60" s="1750">
        <f t="shared" si="44"/>
        <v>144457.37497577353</v>
      </c>
      <c r="T60" s="1752"/>
      <c r="U60" s="1749">
        <f>SUM(U47:U59)</f>
        <v>60819.628999999986</v>
      </c>
      <c r="V60" s="1752"/>
      <c r="W60" s="1750">
        <f t="shared" si="45"/>
        <v>205277.00397577352</v>
      </c>
      <c r="X60" s="1752"/>
      <c r="Y60" s="1749">
        <f>SUM(Y47:Y59)</f>
        <v>57258.710000000006</v>
      </c>
      <c r="Z60" s="1749">
        <f>SUM(Z47:Z59)</f>
        <v>0</v>
      </c>
      <c r="AA60" s="1749">
        <f>SUM(AA47:AA59)</f>
        <v>173994.72900000005</v>
      </c>
      <c r="AB60" s="1749">
        <f>SUM(AB47:AB59)</f>
        <v>0</v>
      </c>
      <c r="AC60" s="1749">
        <f>SUM(AC47:AC59)</f>
        <v>262535.71397577354</v>
      </c>
      <c r="AD60" s="1752"/>
      <c r="AE60" s="1749">
        <f>SUM(AE47:AE59)</f>
        <v>53000.300000000032</v>
      </c>
      <c r="AF60" s="1752"/>
      <c r="AG60" s="1750">
        <f t="shared" si="48"/>
        <v>315536.01397577359</v>
      </c>
      <c r="AH60" s="1752"/>
      <c r="AI60" s="1749">
        <f>SUM(AI47:AI59)</f>
        <v>54178.892000000007</v>
      </c>
      <c r="AJ60" s="1752"/>
      <c r="AK60" s="1750">
        <f t="shared" si="49"/>
        <v>369714.90597577358</v>
      </c>
      <c r="AL60" s="1752"/>
      <c r="AM60" s="1749">
        <f>SUM(AM47:AM59)</f>
        <v>51999.720000000023</v>
      </c>
      <c r="AN60" s="1749">
        <f>SUM(AN47:AN59)</f>
        <v>0</v>
      </c>
      <c r="AO60" s="1749">
        <f>SUM(AO47:AO59)</f>
        <v>159178.91200000007</v>
      </c>
      <c r="AP60" s="1752"/>
      <c r="AQ60" s="1749">
        <f>SUM(AQ47:AQ59)</f>
        <v>421280.10597577359</v>
      </c>
      <c r="AR60" s="1752"/>
      <c r="AS60" s="1749">
        <f>SUM(AS47:AS59)</f>
        <v>49621.240000000005</v>
      </c>
      <c r="AT60" s="1752"/>
      <c r="AU60" s="1750">
        <f t="shared" si="50"/>
        <v>470901.34597577358</v>
      </c>
      <c r="AV60" s="1752"/>
      <c r="AW60" s="1749">
        <f>SUM(AW47:AW59)</f>
        <v>53279.097000000002</v>
      </c>
      <c r="AX60" s="1752"/>
      <c r="AY60" s="1750">
        <f t="shared" si="51"/>
        <v>524180.44297577359</v>
      </c>
      <c r="AZ60" s="1752"/>
      <c r="BA60" s="1749">
        <f>SUM(BA47:BA59)</f>
        <v>50324.609999999993</v>
      </c>
      <c r="BB60" s="1749">
        <f>SUM(BB47:BB59)</f>
        <v>0</v>
      </c>
      <c r="BC60" s="1749">
        <f>SUM(BC47:BC59)</f>
        <v>153224.94699999999</v>
      </c>
      <c r="BD60" s="1749">
        <f>SUM(BD47:BD59)</f>
        <v>0</v>
      </c>
      <c r="BE60" s="1749">
        <f>SUM(BE47:BE59)</f>
        <v>312403.85900000005</v>
      </c>
      <c r="BF60" s="1752"/>
      <c r="BG60" s="1750">
        <f>SUM(BG47:BG59)</f>
        <v>574939.5729757736</v>
      </c>
      <c r="BH60" s="4714"/>
    </row>
    <row r="61" spans="3:60" ht="18.75" x14ac:dyDescent="0.3">
      <c r="C61" s="1524" t="s">
        <v>1364</v>
      </c>
      <c r="D61" s="1520" t="s">
        <v>751</v>
      </c>
      <c r="E61" s="5429"/>
      <c r="F61" s="1520"/>
      <c r="G61" s="1521">
        <v>2050</v>
      </c>
      <c r="H61" s="3356"/>
      <c r="I61" s="1521">
        <v>442</v>
      </c>
      <c r="J61" s="1740"/>
      <c r="K61" s="1738">
        <f t="shared" si="18"/>
        <v>2492</v>
      </c>
      <c r="L61" s="3356"/>
      <c r="M61" s="3356">
        <v>0</v>
      </c>
      <c r="N61" s="1745"/>
      <c r="O61" s="1743">
        <f>+K61+M61</f>
        <v>2492</v>
      </c>
      <c r="P61" s="421"/>
      <c r="Q61" s="1521">
        <v>219.34</v>
      </c>
      <c r="R61" s="1671"/>
      <c r="S61" s="1738">
        <f t="shared" si="44"/>
        <v>2711.34</v>
      </c>
      <c r="T61" s="421"/>
      <c r="U61" s="1579">
        <v>4318</v>
      </c>
      <c r="V61" s="1671"/>
      <c r="W61" s="1738">
        <f t="shared" si="45"/>
        <v>7029.34</v>
      </c>
      <c r="X61" s="421"/>
      <c r="Y61" s="1579">
        <v>3453.4540000000002</v>
      </c>
      <c r="Z61" s="1672"/>
      <c r="AA61" s="1743">
        <f t="shared" ref="AA61" si="53">+Y61+U61+Q61</f>
        <v>7990.7939999999999</v>
      </c>
      <c r="AB61" s="1817"/>
      <c r="AC61" s="1954">
        <f t="shared" ref="AC61" si="54">+O61+AA61</f>
        <v>10482.794</v>
      </c>
      <c r="AD61" s="421"/>
      <c r="AE61" s="1579">
        <v>1122.346</v>
      </c>
      <c r="AF61" s="1671"/>
      <c r="AG61" s="1738">
        <f t="shared" si="48"/>
        <v>11605.14</v>
      </c>
      <c r="AH61" s="421"/>
      <c r="AI61" s="1579">
        <v>1006.4340000000002</v>
      </c>
      <c r="AJ61" s="1671"/>
      <c r="AK61" s="1738">
        <f t="shared" si="49"/>
        <v>12611.574000000001</v>
      </c>
      <c r="AL61" s="421"/>
      <c r="AM61" s="1579">
        <v>6743.8099999999904</v>
      </c>
      <c r="AN61" s="1672"/>
      <c r="AO61" s="1743">
        <f t="shared" ref="AO61:AO69" si="55">+AM61+AI61+AE61</f>
        <v>8872.5899999999911</v>
      </c>
      <c r="AP61" s="1671"/>
      <c r="AQ61" s="1738">
        <f t="shared" si="43"/>
        <v>19355.383999999991</v>
      </c>
      <c r="AR61" s="421"/>
      <c r="AS61" s="1579">
        <v>11614.536</v>
      </c>
      <c r="AT61" s="1671"/>
      <c r="AU61" s="1738">
        <f t="shared" si="50"/>
        <v>30969.919999999991</v>
      </c>
      <c r="AV61" s="421"/>
      <c r="AW61" s="1579">
        <v>5260.0159999999996</v>
      </c>
      <c r="AX61" s="1671"/>
      <c r="AY61" s="1738">
        <f t="shared" si="51"/>
        <v>36229.935999999987</v>
      </c>
      <c r="AZ61" s="421"/>
      <c r="BA61" s="1579">
        <v>5786.39</v>
      </c>
      <c r="BB61" s="1672"/>
      <c r="BC61" s="1743">
        <f t="shared" si="12"/>
        <v>22660.941999999999</v>
      </c>
      <c r="BD61" s="1817"/>
      <c r="BE61" s="1954">
        <f t="shared" si="13"/>
        <v>31533.531999999992</v>
      </c>
      <c r="BF61" s="1671"/>
      <c r="BG61" s="1738">
        <f t="shared" si="14"/>
        <v>42016.325999999986</v>
      </c>
      <c r="BH61" s="4090">
        <f>+'GRD SUMM RCL CASTER 3'!AB7</f>
        <v>42016.325999999986</v>
      </c>
    </row>
    <row r="62" spans="3:60" ht="18.75" x14ac:dyDescent="0.3">
      <c r="C62" s="1524" t="s">
        <v>1364</v>
      </c>
      <c r="D62" s="1520" t="s">
        <v>1387</v>
      </c>
      <c r="E62" s="5429"/>
      <c r="F62" s="1520"/>
      <c r="G62" s="3356">
        <v>0</v>
      </c>
      <c r="H62" s="3356"/>
      <c r="I62" s="1521">
        <v>2610</v>
      </c>
      <c r="J62" s="1740"/>
      <c r="K62" s="1738">
        <f t="shared" si="18"/>
        <v>2610</v>
      </c>
      <c r="L62" s="3356"/>
      <c r="M62" s="1521">
        <v>17809</v>
      </c>
      <c r="N62" s="1745"/>
      <c r="O62" s="1743">
        <f t="shared" si="19"/>
        <v>20419</v>
      </c>
      <c r="P62" s="421"/>
      <c r="Q62" s="3356">
        <v>0</v>
      </c>
      <c r="R62" s="1671"/>
      <c r="S62" s="1738">
        <f t="shared" si="44"/>
        <v>20419</v>
      </c>
      <c r="T62" s="421"/>
      <c r="U62" s="1578">
        <v>0</v>
      </c>
      <c r="V62" s="1671"/>
      <c r="W62" s="1738">
        <f t="shared" si="45"/>
        <v>20419</v>
      </c>
      <c r="X62" s="421"/>
      <c r="Y62" s="1579">
        <v>16682.536</v>
      </c>
      <c r="Z62" s="1672"/>
      <c r="AA62" s="1743">
        <f t="shared" ref="AA62:AA69" si="56">+Y62+U62+Q62</f>
        <v>16682.536</v>
      </c>
      <c r="AB62" s="1817"/>
      <c r="AC62" s="1954">
        <f t="shared" ref="AC62:AC69" si="57">+O62+AA62</f>
        <v>37101.536</v>
      </c>
      <c r="AD62" s="421"/>
      <c r="AE62" s="1579">
        <v>2402.712</v>
      </c>
      <c r="AF62" s="1671"/>
      <c r="AG62" s="1738">
        <f t="shared" si="48"/>
        <v>39504.248</v>
      </c>
      <c r="AH62" s="421"/>
      <c r="AI62" s="1579">
        <v>18594.952000000001</v>
      </c>
      <c r="AJ62" s="1671"/>
      <c r="AK62" s="1738">
        <f t="shared" si="49"/>
        <v>58099.199999999997</v>
      </c>
      <c r="AL62" s="421"/>
      <c r="AM62" s="1579">
        <v>0</v>
      </c>
      <c r="AN62" s="1672"/>
      <c r="AO62" s="1743">
        <f t="shared" si="55"/>
        <v>20997.664000000001</v>
      </c>
      <c r="AP62" s="1671"/>
      <c r="AQ62" s="1738">
        <f t="shared" si="43"/>
        <v>58099.199999999997</v>
      </c>
      <c r="AR62" s="421"/>
      <c r="AS62" s="1579">
        <v>0</v>
      </c>
      <c r="AT62" s="1671"/>
      <c r="AU62" s="1738">
        <f t="shared" si="50"/>
        <v>58099.199999999997</v>
      </c>
      <c r="AV62" s="421"/>
      <c r="AW62" s="421">
        <v>0</v>
      </c>
      <c r="AX62" s="1671"/>
      <c r="AY62" s="1738">
        <f t="shared" si="51"/>
        <v>58099.199999999997</v>
      </c>
      <c r="AZ62" s="421"/>
      <c r="BA62" s="4626">
        <v>0</v>
      </c>
      <c r="BB62" s="1672"/>
      <c r="BC62" s="1743">
        <f t="shared" si="12"/>
        <v>0</v>
      </c>
      <c r="BD62" s="1817"/>
      <c r="BE62" s="1954">
        <f t="shared" si="13"/>
        <v>20997.664000000001</v>
      </c>
      <c r="BF62" s="1671"/>
      <c r="BG62" s="1738">
        <f>+AY62+BA62</f>
        <v>58099.199999999997</v>
      </c>
      <c r="BH62" s="4090">
        <f>+'GRD SUMM RCL CASTER 3'!AB11</f>
        <v>58099.199999999997</v>
      </c>
    </row>
    <row r="63" spans="3:60" ht="18.75" x14ac:dyDescent="0.3">
      <c r="C63" s="1524" t="s">
        <v>1364</v>
      </c>
      <c r="D63" s="1520" t="s">
        <v>825</v>
      </c>
      <c r="E63" s="5429"/>
      <c r="F63" s="1520"/>
      <c r="G63" s="3356">
        <v>0</v>
      </c>
      <c r="H63" s="3356"/>
      <c r="I63" s="1521">
        <v>5476</v>
      </c>
      <c r="J63" s="1740"/>
      <c r="K63" s="1738">
        <f t="shared" si="18"/>
        <v>5476</v>
      </c>
      <c r="L63" s="3356"/>
      <c r="M63" s="3356">
        <v>1993</v>
      </c>
      <c r="N63" s="1745"/>
      <c r="O63" s="1743">
        <f t="shared" si="19"/>
        <v>7469</v>
      </c>
      <c r="P63" s="421"/>
      <c r="Q63" s="1521">
        <v>2689.6779999999999</v>
      </c>
      <c r="R63" s="1671"/>
      <c r="S63" s="1738">
        <f t="shared" si="44"/>
        <v>10158.678</v>
      </c>
      <c r="T63" s="421"/>
      <c r="U63" s="1579">
        <v>0</v>
      </c>
      <c r="V63" s="1671"/>
      <c r="W63" s="1738">
        <f t="shared" si="45"/>
        <v>10158.678</v>
      </c>
      <c r="X63" s="421"/>
      <c r="Y63" s="1579">
        <v>0</v>
      </c>
      <c r="Z63" s="1672"/>
      <c r="AA63" s="1743">
        <f t="shared" si="56"/>
        <v>2689.6779999999999</v>
      </c>
      <c r="AB63" s="1817"/>
      <c r="AC63" s="1954">
        <f t="shared" si="57"/>
        <v>10158.678</v>
      </c>
      <c r="AD63" s="421"/>
      <c r="AE63" s="1579">
        <v>147.18600000000001</v>
      </c>
      <c r="AF63" s="1671"/>
      <c r="AG63" s="1738">
        <f t="shared" si="48"/>
        <v>10305.864</v>
      </c>
      <c r="AH63" s="421"/>
      <c r="AI63" s="1579">
        <v>0</v>
      </c>
      <c r="AJ63" s="1671"/>
      <c r="AK63" s="1738">
        <f t="shared" si="49"/>
        <v>10305.864</v>
      </c>
      <c r="AL63" s="421"/>
      <c r="AM63" s="1579">
        <v>0</v>
      </c>
      <c r="AN63" s="1672"/>
      <c r="AO63" s="1743">
        <f t="shared" si="55"/>
        <v>147.18600000000001</v>
      </c>
      <c r="AP63" s="1671"/>
      <c r="AQ63" s="1738">
        <f t="shared" si="43"/>
        <v>10305.864</v>
      </c>
      <c r="AR63" s="421"/>
      <c r="AS63" s="1579">
        <v>0</v>
      </c>
      <c r="AT63" s="1671"/>
      <c r="AU63" s="1738">
        <f t="shared" si="50"/>
        <v>10305.864</v>
      </c>
      <c r="AV63" s="421"/>
      <c r="AW63" s="1579">
        <v>5578.2560000000003</v>
      </c>
      <c r="AX63" s="1671"/>
      <c r="AY63" s="1738">
        <f t="shared" si="51"/>
        <v>15884.119999999999</v>
      </c>
      <c r="AZ63" s="421"/>
      <c r="BA63" s="1579">
        <v>2550.4479999999999</v>
      </c>
      <c r="BB63" s="1672"/>
      <c r="BC63" s="1743">
        <f t="shared" si="12"/>
        <v>8128.7039999999997</v>
      </c>
      <c r="BD63" s="1817"/>
      <c r="BE63" s="1954">
        <f t="shared" si="13"/>
        <v>8275.89</v>
      </c>
      <c r="BF63" s="1671"/>
      <c r="BG63" s="1738">
        <f t="shared" ref="BG63:BG70" si="58">+AY63+BA63</f>
        <v>18434.567999999999</v>
      </c>
      <c r="BH63" s="4090">
        <f>+'GRD SUMM RCL CASTER 3'!AB13+'GRD SUMM RCL CASTER 3'!AB16</f>
        <v>18434.567999999999</v>
      </c>
    </row>
    <row r="64" spans="3:60" s="1726" customFormat="1" ht="18.75" x14ac:dyDescent="0.3">
      <c r="C64" s="1524" t="s">
        <v>1364</v>
      </c>
      <c r="D64" s="1520" t="s">
        <v>1726</v>
      </c>
      <c r="E64" s="5429"/>
      <c r="F64" s="1520"/>
      <c r="G64" s="3476">
        <v>0</v>
      </c>
      <c r="H64" s="3476"/>
      <c r="I64" s="3476">
        <v>0</v>
      </c>
      <c r="J64" s="1740"/>
      <c r="K64" s="1738">
        <f t="shared" si="18"/>
        <v>0</v>
      </c>
      <c r="L64" s="3476"/>
      <c r="M64" s="3476">
        <v>0</v>
      </c>
      <c r="N64" s="1745"/>
      <c r="O64" s="1743">
        <f t="shared" si="19"/>
        <v>0</v>
      </c>
      <c r="P64" s="421"/>
      <c r="Q64" s="1521">
        <v>0</v>
      </c>
      <c r="R64" s="1671"/>
      <c r="S64" s="1738">
        <f t="shared" si="44"/>
        <v>0</v>
      </c>
      <c r="T64" s="421"/>
      <c r="U64" s="1579">
        <v>0</v>
      </c>
      <c r="V64" s="1671"/>
      <c r="W64" s="1738">
        <f t="shared" si="45"/>
        <v>0</v>
      </c>
      <c r="X64" s="421"/>
      <c r="Y64" s="1579">
        <v>0</v>
      </c>
      <c r="Z64" s="1672"/>
      <c r="AA64" s="1743">
        <f t="shared" si="56"/>
        <v>0</v>
      </c>
      <c r="AB64" s="1817"/>
      <c r="AC64" s="1954">
        <f t="shared" si="57"/>
        <v>0</v>
      </c>
      <c r="AD64" s="421"/>
      <c r="AE64" s="1579">
        <v>0</v>
      </c>
      <c r="AF64" s="1671"/>
      <c r="AG64" s="1738">
        <f t="shared" si="48"/>
        <v>0</v>
      </c>
      <c r="AH64" s="421"/>
      <c r="AI64" s="1579">
        <v>0</v>
      </c>
      <c r="AJ64" s="1671"/>
      <c r="AK64" s="1738">
        <f t="shared" si="49"/>
        <v>0</v>
      </c>
      <c r="AL64" s="421"/>
      <c r="AM64" s="1579">
        <v>1694.6279999999999</v>
      </c>
      <c r="AN64" s="1672"/>
      <c r="AO64" s="1743">
        <f t="shared" si="55"/>
        <v>1694.6279999999999</v>
      </c>
      <c r="AP64" s="1671"/>
      <c r="AQ64" s="1738">
        <f t="shared" si="43"/>
        <v>1694.6279999999999</v>
      </c>
      <c r="AR64" s="421"/>
      <c r="AS64" s="1579">
        <v>0</v>
      </c>
      <c r="AT64" s="1671"/>
      <c r="AU64" s="1738">
        <f t="shared" si="50"/>
        <v>1694.6279999999999</v>
      </c>
      <c r="AV64" s="421"/>
      <c r="AW64" s="1579">
        <v>0</v>
      </c>
      <c r="AX64" s="1671"/>
      <c r="AY64" s="1738">
        <f t="shared" si="51"/>
        <v>1694.6279999999999</v>
      </c>
      <c r="AZ64" s="421"/>
      <c r="BA64" s="1579">
        <v>0</v>
      </c>
      <c r="BB64" s="1672"/>
      <c r="BC64" s="1743">
        <f t="shared" si="12"/>
        <v>0</v>
      </c>
      <c r="BD64" s="1817"/>
      <c r="BE64" s="1954">
        <f t="shared" si="13"/>
        <v>1694.6279999999999</v>
      </c>
      <c r="BF64" s="1671"/>
      <c r="BG64" s="1738">
        <f t="shared" si="58"/>
        <v>1694.6279999999999</v>
      </c>
      <c r="BH64" s="4090">
        <f>+'GRD SUMM RCL CASTER 3'!AB12</f>
        <v>1694.6279999999999</v>
      </c>
    </row>
    <row r="65" spans="1:16288" ht="18.75" x14ac:dyDescent="0.3">
      <c r="C65" s="1524" t="s">
        <v>1364</v>
      </c>
      <c r="D65" s="1520" t="s">
        <v>824</v>
      </c>
      <c r="E65" s="5429"/>
      <c r="F65" s="1520"/>
      <c r="G65" s="3356">
        <v>0</v>
      </c>
      <c r="H65" s="3356"/>
      <c r="I65" s="3356">
        <v>0</v>
      </c>
      <c r="J65" s="1740"/>
      <c r="K65" s="1738">
        <f t="shared" si="18"/>
        <v>0</v>
      </c>
      <c r="L65" s="3356"/>
      <c r="M65" s="3356">
        <v>1022</v>
      </c>
      <c r="N65" s="1745"/>
      <c r="O65" s="1743">
        <f t="shared" si="19"/>
        <v>1022</v>
      </c>
      <c r="P65" s="421"/>
      <c r="Q65" s="1521">
        <v>2120.8240000000001</v>
      </c>
      <c r="R65" s="1671"/>
      <c r="S65" s="1738">
        <f t="shared" si="44"/>
        <v>3142.8240000000001</v>
      </c>
      <c r="T65" s="421"/>
      <c r="U65" s="1579">
        <v>2927</v>
      </c>
      <c r="V65" s="1671"/>
      <c r="W65" s="1738">
        <f t="shared" si="45"/>
        <v>6069.8240000000005</v>
      </c>
      <c r="X65" s="421"/>
      <c r="Y65" s="1579">
        <v>1066.104</v>
      </c>
      <c r="Z65" s="1672"/>
      <c r="AA65" s="1743">
        <f t="shared" si="56"/>
        <v>6113.9279999999999</v>
      </c>
      <c r="AB65" s="1817"/>
      <c r="AC65" s="1954">
        <f t="shared" si="57"/>
        <v>7135.9279999999999</v>
      </c>
      <c r="AD65" s="421"/>
      <c r="AE65" s="1579">
        <v>127.29600000000001</v>
      </c>
      <c r="AF65" s="1671"/>
      <c r="AG65" s="1738">
        <f t="shared" si="48"/>
        <v>7263.2240000000002</v>
      </c>
      <c r="AH65" s="421"/>
      <c r="AI65" s="1579">
        <v>0</v>
      </c>
      <c r="AJ65" s="1671"/>
      <c r="AK65" s="1738">
        <f t="shared" si="49"/>
        <v>7263.2240000000002</v>
      </c>
      <c r="AL65" s="421"/>
      <c r="AM65" s="1579">
        <v>4465.5479999999998</v>
      </c>
      <c r="AN65" s="1672"/>
      <c r="AO65" s="1743">
        <f t="shared" si="55"/>
        <v>4592.8440000000001</v>
      </c>
      <c r="AP65" s="1671"/>
      <c r="AQ65" s="1738">
        <f t="shared" si="43"/>
        <v>11728.772000000001</v>
      </c>
      <c r="AR65" s="421"/>
      <c r="AS65" s="1579">
        <v>7284.8179999999993</v>
      </c>
      <c r="AT65" s="1671"/>
      <c r="AU65" s="1738">
        <f t="shared" si="50"/>
        <v>19013.59</v>
      </c>
      <c r="AV65" s="421"/>
      <c r="AW65" s="1579">
        <v>425.64599999999996</v>
      </c>
      <c r="AX65" s="1671"/>
      <c r="AY65" s="1738">
        <f t="shared" si="51"/>
        <v>19439.236000000001</v>
      </c>
      <c r="AZ65" s="421"/>
      <c r="BA65" s="1579">
        <v>684.21599999999989</v>
      </c>
      <c r="BB65" s="1672"/>
      <c r="BC65" s="1743">
        <f t="shared" si="12"/>
        <v>8394.6799999999985</v>
      </c>
      <c r="BD65" s="1817"/>
      <c r="BE65" s="1954">
        <f t="shared" si="13"/>
        <v>12987.523999999998</v>
      </c>
      <c r="BF65" s="1671"/>
      <c r="BG65" s="1738">
        <f t="shared" si="58"/>
        <v>20123.452000000001</v>
      </c>
      <c r="BH65" s="4090">
        <f>+'GRD SUMM RCL CASTER 3'!AB14+'GRD SUMM RCL CASTER 3'!AB15</f>
        <v>20123.451999999997</v>
      </c>
    </row>
    <row r="66" spans="1:16288" s="1726" customFormat="1" ht="18.75" x14ac:dyDescent="0.3">
      <c r="C66" s="1524" t="s">
        <v>1364</v>
      </c>
      <c r="D66" s="1520" t="s">
        <v>1599</v>
      </c>
      <c r="E66" s="5429"/>
      <c r="F66" s="1520"/>
      <c r="G66" s="4099">
        <v>0</v>
      </c>
      <c r="H66" s="4099"/>
      <c r="I66" s="4099">
        <v>0</v>
      </c>
      <c r="J66" s="1740"/>
      <c r="K66" s="1738">
        <f t="shared" si="18"/>
        <v>0</v>
      </c>
      <c r="L66" s="4099"/>
      <c r="M66" s="4099">
        <v>0</v>
      </c>
      <c r="N66" s="1745"/>
      <c r="O66" s="1743"/>
      <c r="P66" s="421"/>
      <c r="Q66" s="1521">
        <v>0</v>
      </c>
      <c r="R66" s="1671"/>
      <c r="S66" s="1738">
        <f t="shared" si="44"/>
        <v>0</v>
      </c>
      <c r="T66" s="421"/>
      <c r="U66" s="1579">
        <v>0</v>
      </c>
      <c r="V66" s="1671"/>
      <c r="W66" s="1738">
        <f t="shared" si="45"/>
        <v>0</v>
      </c>
      <c r="X66" s="421"/>
      <c r="Y66" s="1579">
        <v>0</v>
      </c>
      <c r="Z66" s="1672"/>
      <c r="AA66" s="1743"/>
      <c r="AB66" s="1817"/>
      <c r="AC66" s="1954"/>
      <c r="AD66" s="421"/>
      <c r="AE66" s="1579">
        <v>0</v>
      </c>
      <c r="AF66" s="1671"/>
      <c r="AG66" s="1738">
        <f t="shared" si="48"/>
        <v>0</v>
      </c>
      <c r="AH66" s="421"/>
      <c r="AI66" s="1579">
        <v>0</v>
      </c>
      <c r="AJ66" s="1671"/>
      <c r="AK66" s="1738">
        <f t="shared" si="49"/>
        <v>0</v>
      </c>
      <c r="AL66" s="421"/>
      <c r="AM66" s="1579">
        <v>0</v>
      </c>
      <c r="AN66" s="1672"/>
      <c r="AO66" s="1743">
        <f t="shared" si="55"/>
        <v>0</v>
      </c>
      <c r="AP66" s="1671"/>
      <c r="AQ66" s="1738">
        <f t="shared" si="43"/>
        <v>0</v>
      </c>
      <c r="AR66" s="421"/>
      <c r="AS66" s="1579">
        <v>0</v>
      </c>
      <c r="AT66" s="1671"/>
      <c r="AU66" s="1738">
        <f t="shared" si="50"/>
        <v>0</v>
      </c>
      <c r="AV66" s="421"/>
      <c r="AW66" s="1579">
        <v>696.15</v>
      </c>
      <c r="AX66" s="1671"/>
      <c r="AY66" s="1738">
        <f t="shared" si="51"/>
        <v>696.15</v>
      </c>
      <c r="AZ66" s="421"/>
      <c r="BA66" s="1579">
        <v>1413.8720000000001</v>
      </c>
      <c r="BB66" s="1672"/>
      <c r="BC66" s="1743">
        <f t="shared" si="12"/>
        <v>2110.0219999999999</v>
      </c>
      <c r="BD66" s="1817"/>
      <c r="BE66" s="1954">
        <f t="shared" si="13"/>
        <v>2110.0219999999999</v>
      </c>
      <c r="BF66" s="1671"/>
      <c r="BG66" s="1738">
        <f t="shared" si="58"/>
        <v>2110.0219999999999</v>
      </c>
      <c r="BH66" s="4090">
        <f>+'GRD SUMM RCL CASTER 3'!AB9</f>
        <v>2110.0219999999999</v>
      </c>
    </row>
    <row r="67" spans="1:16288" ht="18.75" x14ac:dyDescent="0.3">
      <c r="C67" s="1524" t="s">
        <v>1364</v>
      </c>
      <c r="D67" s="1520" t="s">
        <v>755</v>
      </c>
      <c r="E67" s="5429"/>
      <c r="F67" s="1520"/>
      <c r="G67" s="1521">
        <v>3358</v>
      </c>
      <c r="H67" s="3356"/>
      <c r="I67" s="3356">
        <v>754</v>
      </c>
      <c r="J67" s="1740"/>
      <c r="K67" s="1738">
        <f t="shared" si="18"/>
        <v>4112</v>
      </c>
      <c r="L67" s="3356"/>
      <c r="M67" s="3356">
        <v>1684</v>
      </c>
      <c r="N67" s="1745"/>
      <c r="O67" s="1743">
        <f t="shared" si="19"/>
        <v>5796</v>
      </c>
      <c r="P67" s="421"/>
      <c r="Q67" s="1521">
        <v>4968.4160000000002</v>
      </c>
      <c r="R67" s="1671"/>
      <c r="S67" s="1738">
        <f t="shared" si="44"/>
        <v>10764.416000000001</v>
      </c>
      <c r="T67" s="421"/>
      <c r="U67" s="1579">
        <v>4123</v>
      </c>
      <c r="V67" s="1671"/>
      <c r="W67" s="1738">
        <f t="shared" si="45"/>
        <v>14887.416000000001</v>
      </c>
      <c r="X67" s="421"/>
      <c r="Y67" s="1579">
        <v>4112.9160000000002</v>
      </c>
      <c r="Z67" s="1672"/>
      <c r="AA67" s="1743">
        <f t="shared" si="56"/>
        <v>13204.332000000002</v>
      </c>
      <c r="AB67" s="1817"/>
      <c r="AC67" s="1954">
        <f t="shared" si="57"/>
        <v>19000.332000000002</v>
      </c>
      <c r="AD67" s="421"/>
      <c r="AE67" s="1579">
        <v>3597.56</v>
      </c>
      <c r="AF67" s="1671"/>
      <c r="AG67" s="1738">
        <f t="shared" si="48"/>
        <v>22597.892000000003</v>
      </c>
      <c r="AH67" s="421"/>
      <c r="AI67" s="1579">
        <v>259.35199999999998</v>
      </c>
      <c r="AJ67" s="1671"/>
      <c r="AK67" s="1738">
        <f t="shared" si="49"/>
        <v>22857.244000000002</v>
      </c>
      <c r="AL67" s="421"/>
      <c r="AM67" s="1579">
        <v>2354.8240000000001</v>
      </c>
      <c r="AN67" s="1672"/>
      <c r="AO67" s="1743">
        <f t="shared" si="55"/>
        <v>6211.7359999999999</v>
      </c>
      <c r="AP67" s="1671"/>
      <c r="AQ67" s="1738">
        <f t="shared" si="43"/>
        <v>25212.068000000003</v>
      </c>
      <c r="AR67" s="421"/>
      <c r="AS67" s="1579">
        <v>4591.5640000000003</v>
      </c>
      <c r="AT67" s="1671"/>
      <c r="AU67" s="1738">
        <f t="shared" si="50"/>
        <v>29803.632000000005</v>
      </c>
      <c r="AV67" s="421"/>
      <c r="AW67" s="1579">
        <v>2942.5</v>
      </c>
      <c r="AX67" s="1671"/>
      <c r="AY67" s="1738">
        <f t="shared" si="51"/>
        <v>32746.132000000005</v>
      </c>
      <c r="AZ67" s="421"/>
      <c r="BA67" s="1579">
        <v>4238.3440000000001</v>
      </c>
      <c r="BB67" s="1672"/>
      <c r="BC67" s="1743">
        <f t="shared" si="12"/>
        <v>11772.407999999999</v>
      </c>
      <c r="BD67" s="1817"/>
      <c r="BE67" s="1954">
        <f t="shared" si="13"/>
        <v>17984.144</v>
      </c>
      <c r="BF67" s="1671"/>
      <c r="BG67" s="1738">
        <f t="shared" si="58"/>
        <v>36984.476000000002</v>
      </c>
      <c r="BH67" s="4090">
        <f>+'GRD SUMM RCL CASTER 3'!AB17</f>
        <v>36984.476000000002</v>
      </c>
    </row>
    <row r="68" spans="1:16288" s="1726" customFormat="1" ht="18.75" x14ac:dyDescent="0.3">
      <c r="A68" s="1755"/>
      <c r="B68" s="1755"/>
      <c r="C68" s="1524" t="s">
        <v>1364</v>
      </c>
      <c r="D68" s="1520" t="s">
        <v>1505</v>
      </c>
      <c r="E68" s="5429"/>
      <c r="F68" s="1520"/>
      <c r="G68" s="3356">
        <v>0</v>
      </c>
      <c r="H68" s="3356"/>
      <c r="I68" s="3356">
        <v>0</v>
      </c>
      <c r="J68" s="1740"/>
      <c r="K68" s="1738">
        <f t="shared" si="18"/>
        <v>0</v>
      </c>
      <c r="L68" s="3356"/>
      <c r="M68" s="3356">
        <v>0</v>
      </c>
      <c r="N68" s="1745"/>
      <c r="O68" s="1743">
        <f t="shared" si="19"/>
        <v>0</v>
      </c>
      <c r="P68" s="421"/>
      <c r="Q68" s="1521">
        <v>0</v>
      </c>
      <c r="R68" s="1671"/>
      <c r="S68" s="1738">
        <f t="shared" si="44"/>
        <v>0</v>
      </c>
      <c r="T68" s="421"/>
      <c r="U68" s="1579">
        <v>7834</v>
      </c>
      <c r="V68" s="1671"/>
      <c r="W68" s="1738">
        <f t="shared" si="45"/>
        <v>7834</v>
      </c>
      <c r="X68" s="421"/>
      <c r="Y68" s="1579">
        <v>190.94399999999999</v>
      </c>
      <c r="Z68" s="1672"/>
      <c r="AA68" s="1743">
        <f t="shared" si="56"/>
        <v>8024.9440000000004</v>
      </c>
      <c r="AB68" s="1817"/>
      <c r="AC68" s="1954">
        <f t="shared" si="57"/>
        <v>8024.9440000000004</v>
      </c>
      <c r="AD68" s="421"/>
      <c r="AE68" s="1579">
        <v>0</v>
      </c>
      <c r="AF68" s="1671"/>
      <c r="AG68" s="1738">
        <f t="shared" si="48"/>
        <v>8024.9440000000004</v>
      </c>
      <c r="AH68" s="421"/>
      <c r="AI68" s="1579">
        <v>291.72000000000003</v>
      </c>
      <c r="AJ68" s="1671"/>
      <c r="AK68" s="1738">
        <f t="shared" si="49"/>
        <v>8316.6640000000007</v>
      </c>
      <c r="AL68" s="421"/>
      <c r="AM68" s="1579">
        <v>0</v>
      </c>
      <c r="AN68" s="1672"/>
      <c r="AO68" s="1743">
        <f t="shared" si="55"/>
        <v>291.72000000000003</v>
      </c>
      <c r="AP68" s="1671"/>
      <c r="AQ68" s="1738">
        <f t="shared" si="43"/>
        <v>8316.6640000000007</v>
      </c>
      <c r="AR68" s="421"/>
      <c r="AS68" s="1579">
        <v>0</v>
      </c>
      <c r="AT68" s="1671"/>
      <c r="AU68" s="1738">
        <f t="shared" si="50"/>
        <v>8316.6640000000007</v>
      </c>
      <c r="AV68" s="421"/>
      <c r="AW68" s="1579">
        <v>0</v>
      </c>
      <c r="AX68" s="1671"/>
      <c r="AY68" s="1738">
        <f t="shared" si="51"/>
        <v>8316.6640000000007</v>
      </c>
      <c r="AZ68" s="421"/>
      <c r="BA68" s="1579">
        <v>0</v>
      </c>
      <c r="BB68" s="1672"/>
      <c r="BC68" s="1743">
        <f t="shared" si="12"/>
        <v>0</v>
      </c>
      <c r="BD68" s="1817"/>
      <c r="BE68" s="1954">
        <f t="shared" si="13"/>
        <v>291.72000000000003</v>
      </c>
      <c r="BF68" s="1671"/>
      <c r="BG68" s="1738">
        <f t="shared" si="58"/>
        <v>8316.6640000000007</v>
      </c>
      <c r="BH68" s="4715">
        <f>+'GRD SUMM RCL CASTER 3'!AB18</f>
        <v>8316.6640000000007</v>
      </c>
      <c r="BI68" s="3418"/>
      <c r="BJ68" s="3418"/>
      <c r="BK68" s="3418"/>
      <c r="BL68" s="3418"/>
      <c r="BM68" s="3418"/>
      <c r="BN68" s="3418"/>
      <c r="BO68" s="3418"/>
      <c r="BP68" s="3418"/>
      <c r="BQ68" s="3418"/>
      <c r="BR68" s="3418"/>
      <c r="BS68" s="3418"/>
      <c r="BT68" s="3418"/>
      <c r="BU68" s="3418"/>
      <c r="BV68" s="3418"/>
      <c r="BW68" s="561" t="s">
        <v>1505</v>
      </c>
      <c r="BX68" s="561" t="s">
        <v>1505</v>
      </c>
      <c r="BY68" s="561" t="s">
        <v>1505</v>
      </c>
      <c r="BZ68" s="561" t="s">
        <v>1505</v>
      </c>
      <c r="CA68" s="561" t="s">
        <v>1505</v>
      </c>
      <c r="CB68" s="561" t="s">
        <v>1505</v>
      </c>
      <c r="CC68" s="561" t="s">
        <v>1505</v>
      </c>
      <c r="CD68" s="561" t="s">
        <v>1505</v>
      </c>
      <c r="CE68" s="561" t="s">
        <v>1505</v>
      </c>
      <c r="CF68" s="561" t="s">
        <v>1505</v>
      </c>
      <c r="CG68" s="561" t="s">
        <v>1505</v>
      </c>
      <c r="CH68" s="561" t="s">
        <v>1505</v>
      </c>
      <c r="CI68" s="561" t="s">
        <v>1505</v>
      </c>
      <c r="CJ68" s="561" t="s">
        <v>1505</v>
      </c>
      <c r="CK68" s="561" t="s">
        <v>1505</v>
      </c>
      <c r="CL68" s="561" t="s">
        <v>1505</v>
      </c>
      <c r="CM68" s="561" t="s">
        <v>1505</v>
      </c>
      <c r="CN68" s="561" t="s">
        <v>1505</v>
      </c>
      <c r="CO68" s="561" t="s">
        <v>1505</v>
      </c>
      <c r="CP68" s="561" t="s">
        <v>1505</v>
      </c>
      <c r="CQ68" s="561" t="s">
        <v>1505</v>
      </c>
      <c r="CR68" s="561" t="s">
        <v>1505</v>
      </c>
      <c r="CS68" s="561" t="s">
        <v>1505</v>
      </c>
      <c r="CT68" s="561" t="s">
        <v>1505</v>
      </c>
      <c r="CU68" s="561" t="s">
        <v>1505</v>
      </c>
      <c r="CV68" s="561" t="s">
        <v>1505</v>
      </c>
      <c r="CW68" s="561" t="s">
        <v>1505</v>
      </c>
      <c r="CX68" s="561" t="s">
        <v>1505</v>
      </c>
      <c r="CY68" s="561" t="s">
        <v>1505</v>
      </c>
      <c r="CZ68" s="561" t="s">
        <v>1505</v>
      </c>
      <c r="DA68" s="561" t="s">
        <v>1505</v>
      </c>
      <c r="DB68" s="561" t="s">
        <v>1505</v>
      </c>
      <c r="DC68" s="561" t="s">
        <v>1505</v>
      </c>
      <c r="DD68" s="561" t="s">
        <v>1505</v>
      </c>
      <c r="DE68" s="561" t="s">
        <v>1505</v>
      </c>
      <c r="DF68" s="561" t="s">
        <v>1505</v>
      </c>
      <c r="DG68" s="561" t="s">
        <v>1505</v>
      </c>
      <c r="DH68" s="561" t="s">
        <v>1505</v>
      </c>
      <c r="DI68" s="561" t="s">
        <v>1505</v>
      </c>
      <c r="DJ68" s="561" t="s">
        <v>1505</v>
      </c>
      <c r="DK68" s="561" t="s">
        <v>1505</v>
      </c>
      <c r="DL68" s="561" t="s">
        <v>1505</v>
      </c>
      <c r="DM68" s="561" t="s">
        <v>1505</v>
      </c>
      <c r="DN68" s="561" t="s">
        <v>1505</v>
      </c>
      <c r="DO68" s="561" t="s">
        <v>1505</v>
      </c>
      <c r="DP68" s="561" t="s">
        <v>1505</v>
      </c>
      <c r="DQ68" s="561" t="s">
        <v>1505</v>
      </c>
      <c r="DR68" s="561" t="s">
        <v>1505</v>
      </c>
      <c r="DS68" s="561" t="s">
        <v>1505</v>
      </c>
      <c r="DT68" s="561" t="s">
        <v>1505</v>
      </c>
      <c r="DU68" s="561" t="s">
        <v>1505</v>
      </c>
      <c r="DV68" s="561" t="s">
        <v>1505</v>
      </c>
      <c r="DW68" s="561" t="s">
        <v>1505</v>
      </c>
      <c r="DX68" s="561" t="s">
        <v>1505</v>
      </c>
      <c r="DY68" s="561" t="s">
        <v>1505</v>
      </c>
      <c r="DZ68" s="561" t="s">
        <v>1505</v>
      </c>
      <c r="EA68" s="561" t="s">
        <v>1505</v>
      </c>
      <c r="EB68" s="561" t="s">
        <v>1505</v>
      </c>
      <c r="EC68" s="561" t="s">
        <v>1505</v>
      </c>
      <c r="ED68" s="561" t="s">
        <v>1505</v>
      </c>
      <c r="EE68" s="561" t="s">
        <v>1505</v>
      </c>
      <c r="EF68" s="561" t="s">
        <v>1505</v>
      </c>
      <c r="EG68" s="561" t="s">
        <v>1505</v>
      </c>
      <c r="EH68" s="561" t="s">
        <v>1505</v>
      </c>
      <c r="EI68" s="561" t="s">
        <v>1505</v>
      </c>
      <c r="EJ68" s="561" t="s">
        <v>1505</v>
      </c>
      <c r="EK68" s="561" t="s">
        <v>1505</v>
      </c>
      <c r="EL68" s="561" t="s">
        <v>1505</v>
      </c>
      <c r="EM68" s="561" t="s">
        <v>1505</v>
      </c>
      <c r="EN68" s="561" t="s">
        <v>1505</v>
      </c>
      <c r="EO68" s="561" t="s">
        <v>1505</v>
      </c>
      <c r="EP68" s="561" t="s">
        <v>1505</v>
      </c>
      <c r="EQ68" s="561" t="s">
        <v>1505</v>
      </c>
      <c r="ER68" s="561" t="s">
        <v>1505</v>
      </c>
      <c r="ES68" s="561" t="s">
        <v>1505</v>
      </c>
      <c r="ET68" s="561" t="s">
        <v>1505</v>
      </c>
      <c r="EU68" s="561" t="s">
        <v>1505</v>
      </c>
      <c r="EV68" s="561" t="s">
        <v>1505</v>
      </c>
      <c r="EW68" s="561" t="s">
        <v>1505</v>
      </c>
      <c r="EX68" s="561" t="s">
        <v>1505</v>
      </c>
      <c r="EY68" s="561" t="s">
        <v>1505</v>
      </c>
      <c r="EZ68" s="561" t="s">
        <v>1505</v>
      </c>
      <c r="FA68" s="561" t="s">
        <v>1505</v>
      </c>
      <c r="FB68" s="561" t="s">
        <v>1505</v>
      </c>
      <c r="FC68" s="561" t="s">
        <v>1505</v>
      </c>
      <c r="FD68" s="561" t="s">
        <v>1505</v>
      </c>
      <c r="FE68" s="561" t="s">
        <v>1505</v>
      </c>
      <c r="FF68" s="561" t="s">
        <v>1505</v>
      </c>
      <c r="FG68" s="561" t="s">
        <v>1505</v>
      </c>
      <c r="FH68" s="561" t="s">
        <v>1505</v>
      </c>
      <c r="FI68" s="561" t="s">
        <v>1505</v>
      </c>
      <c r="FJ68" s="561" t="s">
        <v>1505</v>
      </c>
      <c r="FK68" s="561" t="s">
        <v>1505</v>
      </c>
      <c r="FL68" s="561" t="s">
        <v>1505</v>
      </c>
      <c r="FM68" s="561" t="s">
        <v>1505</v>
      </c>
      <c r="FN68" s="561" t="s">
        <v>1505</v>
      </c>
      <c r="FO68" s="561" t="s">
        <v>1505</v>
      </c>
      <c r="FP68" s="561" t="s">
        <v>1505</v>
      </c>
      <c r="FQ68" s="561" t="s">
        <v>1505</v>
      </c>
      <c r="FR68" s="561" t="s">
        <v>1505</v>
      </c>
      <c r="FS68" s="561" t="s">
        <v>1505</v>
      </c>
      <c r="FT68" s="561" t="s">
        <v>1505</v>
      </c>
      <c r="FU68" s="561" t="s">
        <v>1505</v>
      </c>
      <c r="FV68" s="561" t="s">
        <v>1505</v>
      </c>
      <c r="FW68" s="561" t="s">
        <v>1505</v>
      </c>
      <c r="FX68" s="561" t="s">
        <v>1505</v>
      </c>
      <c r="FY68" s="561" t="s">
        <v>1505</v>
      </c>
      <c r="FZ68" s="561" t="s">
        <v>1505</v>
      </c>
      <c r="GA68" s="561" t="s">
        <v>1505</v>
      </c>
      <c r="GB68" s="561" t="s">
        <v>1505</v>
      </c>
      <c r="GC68" s="561" t="s">
        <v>1505</v>
      </c>
      <c r="GD68" s="561" t="s">
        <v>1505</v>
      </c>
      <c r="GE68" s="561" t="s">
        <v>1505</v>
      </c>
      <c r="GF68" s="561" t="s">
        <v>1505</v>
      </c>
      <c r="GG68" s="561" t="s">
        <v>1505</v>
      </c>
      <c r="GH68" s="561" t="s">
        <v>1505</v>
      </c>
      <c r="GI68" s="561" t="s">
        <v>1505</v>
      </c>
      <c r="GJ68" s="561" t="s">
        <v>1505</v>
      </c>
      <c r="GK68" s="561" t="s">
        <v>1505</v>
      </c>
      <c r="GL68" s="561" t="s">
        <v>1505</v>
      </c>
      <c r="GM68" s="561" t="s">
        <v>1505</v>
      </c>
      <c r="GN68" s="561" t="s">
        <v>1505</v>
      </c>
      <c r="GO68" s="561" t="s">
        <v>1505</v>
      </c>
      <c r="GP68" s="561" t="s">
        <v>1505</v>
      </c>
      <c r="GQ68" s="561" t="s">
        <v>1505</v>
      </c>
      <c r="GR68" s="561" t="s">
        <v>1505</v>
      </c>
      <c r="GS68" s="561" t="s">
        <v>1505</v>
      </c>
      <c r="GT68" s="561" t="s">
        <v>1505</v>
      </c>
      <c r="GU68" s="561" t="s">
        <v>1505</v>
      </c>
      <c r="GV68" s="561" t="s">
        <v>1505</v>
      </c>
      <c r="GW68" s="561" t="s">
        <v>1505</v>
      </c>
      <c r="GX68" s="561" t="s">
        <v>1505</v>
      </c>
      <c r="GY68" s="561" t="s">
        <v>1505</v>
      </c>
      <c r="GZ68" s="561" t="s">
        <v>1505</v>
      </c>
      <c r="HA68" s="561" t="s">
        <v>1505</v>
      </c>
      <c r="HB68" s="561" t="s">
        <v>1505</v>
      </c>
      <c r="HC68" s="561" t="s">
        <v>1505</v>
      </c>
      <c r="HD68" s="561" t="s">
        <v>1505</v>
      </c>
      <c r="HE68" s="561" t="s">
        <v>1505</v>
      </c>
      <c r="HF68" s="561" t="s">
        <v>1505</v>
      </c>
      <c r="HG68" s="561" t="s">
        <v>1505</v>
      </c>
      <c r="HH68" s="561" t="s">
        <v>1505</v>
      </c>
      <c r="HI68" s="561" t="s">
        <v>1505</v>
      </c>
      <c r="HJ68" s="561" t="s">
        <v>1505</v>
      </c>
      <c r="HK68" s="561" t="s">
        <v>1505</v>
      </c>
      <c r="HL68" s="561" t="s">
        <v>1505</v>
      </c>
      <c r="HM68" s="561" t="s">
        <v>1505</v>
      </c>
      <c r="HN68" s="561" t="s">
        <v>1505</v>
      </c>
      <c r="HO68" s="561" t="s">
        <v>1505</v>
      </c>
      <c r="HP68" s="561" t="s">
        <v>1505</v>
      </c>
      <c r="HQ68" s="561" t="s">
        <v>1505</v>
      </c>
      <c r="HR68" s="561" t="s">
        <v>1505</v>
      </c>
      <c r="HS68" s="561" t="s">
        <v>1505</v>
      </c>
      <c r="HT68" s="561" t="s">
        <v>1505</v>
      </c>
      <c r="HU68" s="561" t="s">
        <v>1505</v>
      </c>
      <c r="HV68" s="561" t="s">
        <v>1505</v>
      </c>
      <c r="HW68" s="561" t="s">
        <v>1505</v>
      </c>
      <c r="HX68" s="561" t="s">
        <v>1505</v>
      </c>
      <c r="HY68" s="561" t="s">
        <v>1505</v>
      </c>
      <c r="HZ68" s="561" t="s">
        <v>1505</v>
      </c>
      <c r="IA68" s="561" t="s">
        <v>1505</v>
      </c>
      <c r="IB68" s="561" t="s">
        <v>1505</v>
      </c>
      <c r="IC68" s="561" t="s">
        <v>1505</v>
      </c>
      <c r="ID68" s="561" t="s">
        <v>1505</v>
      </c>
      <c r="IE68" s="561" t="s">
        <v>1505</v>
      </c>
      <c r="IF68" s="561" t="s">
        <v>1505</v>
      </c>
      <c r="IG68" s="561" t="s">
        <v>1505</v>
      </c>
      <c r="IH68" s="561" t="s">
        <v>1505</v>
      </c>
      <c r="II68" s="561" t="s">
        <v>1505</v>
      </c>
      <c r="IJ68" s="561" t="s">
        <v>1505</v>
      </c>
      <c r="IK68" s="561" t="s">
        <v>1505</v>
      </c>
      <c r="IL68" s="561" t="s">
        <v>1505</v>
      </c>
      <c r="IM68" s="561" t="s">
        <v>1505</v>
      </c>
      <c r="IN68" s="561" t="s">
        <v>1505</v>
      </c>
      <c r="IO68" s="561" t="s">
        <v>1505</v>
      </c>
      <c r="IP68" s="561" t="s">
        <v>1505</v>
      </c>
      <c r="IQ68" s="561" t="s">
        <v>1505</v>
      </c>
      <c r="IR68" s="561" t="s">
        <v>1505</v>
      </c>
      <c r="IS68" s="561" t="s">
        <v>1505</v>
      </c>
      <c r="IT68" s="561" t="s">
        <v>1505</v>
      </c>
      <c r="IU68" s="561" t="s">
        <v>1505</v>
      </c>
      <c r="IV68" s="561" t="s">
        <v>1505</v>
      </c>
      <c r="IW68" s="561" t="s">
        <v>1505</v>
      </c>
      <c r="IX68" s="561" t="s">
        <v>1505</v>
      </c>
      <c r="IY68" s="561" t="s">
        <v>1505</v>
      </c>
      <c r="IZ68" s="561" t="s">
        <v>1505</v>
      </c>
      <c r="JA68" s="561" t="s">
        <v>1505</v>
      </c>
      <c r="JB68" s="561" t="s">
        <v>1505</v>
      </c>
      <c r="JC68" s="561" t="s">
        <v>1505</v>
      </c>
      <c r="JD68" s="561" t="s">
        <v>1505</v>
      </c>
      <c r="JE68" s="561" t="s">
        <v>1505</v>
      </c>
      <c r="JF68" s="561" t="s">
        <v>1505</v>
      </c>
      <c r="JG68" s="561" t="s">
        <v>1505</v>
      </c>
      <c r="JH68" s="561" t="s">
        <v>1505</v>
      </c>
      <c r="JI68" s="561" t="s">
        <v>1505</v>
      </c>
      <c r="JJ68" s="561" t="s">
        <v>1505</v>
      </c>
      <c r="JK68" s="561" t="s">
        <v>1505</v>
      </c>
      <c r="JL68" s="561" t="s">
        <v>1505</v>
      </c>
      <c r="JM68" s="561" t="s">
        <v>1505</v>
      </c>
      <c r="JN68" s="561" t="s">
        <v>1505</v>
      </c>
      <c r="JO68" s="561" t="s">
        <v>1505</v>
      </c>
      <c r="JP68" s="561" t="s">
        <v>1505</v>
      </c>
      <c r="JQ68" s="561" t="s">
        <v>1505</v>
      </c>
      <c r="JR68" s="561" t="s">
        <v>1505</v>
      </c>
      <c r="JS68" s="561" t="s">
        <v>1505</v>
      </c>
      <c r="JT68" s="561" t="s">
        <v>1505</v>
      </c>
      <c r="JU68" s="561" t="s">
        <v>1505</v>
      </c>
      <c r="JV68" s="561" t="s">
        <v>1505</v>
      </c>
      <c r="JW68" s="561" t="s">
        <v>1505</v>
      </c>
      <c r="JX68" s="561" t="s">
        <v>1505</v>
      </c>
      <c r="JY68" s="561" t="s">
        <v>1505</v>
      </c>
      <c r="JZ68" s="561" t="s">
        <v>1505</v>
      </c>
      <c r="KA68" s="561" t="s">
        <v>1505</v>
      </c>
      <c r="KB68" s="561" t="s">
        <v>1505</v>
      </c>
      <c r="KC68" s="561" t="s">
        <v>1505</v>
      </c>
      <c r="KD68" s="561" t="s">
        <v>1505</v>
      </c>
      <c r="KE68" s="561" t="s">
        <v>1505</v>
      </c>
      <c r="KF68" s="561" t="s">
        <v>1505</v>
      </c>
      <c r="KG68" s="561" t="s">
        <v>1505</v>
      </c>
      <c r="KH68" s="561" t="s">
        <v>1505</v>
      </c>
      <c r="KI68" s="561" t="s">
        <v>1505</v>
      </c>
      <c r="KJ68" s="561" t="s">
        <v>1505</v>
      </c>
      <c r="KK68" s="561" t="s">
        <v>1505</v>
      </c>
      <c r="KL68" s="561" t="s">
        <v>1505</v>
      </c>
      <c r="KM68" s="561" t="s">
        <v>1505</v>
      </c>
      <c r="KN68" s="561" t="s">
        <v>1505</v>
      </c>
      <c r="KO68" s="561" t="s">
        <v>1505</v>
      </c>
      <c r="KP68" s="561" t="s">
        <v>1505</v>
      </c>
      <c r="KQ68" s="561" t="s">
        <v>1505</v>
      </c>
      <c r="KR68" s="561" t="s">
        <v>1505</v>
      </c>
      <c r="KS68" s="561" t="s">
        <v>1505</v>
      </c>
      <c r="KT68" s="561" t="s">
        <v>1505</v>
      </c>
      <c r="KU68" s="561" t="s">
        <v>1505</v>
      </c>
      <c r="KV68" s="561" t="s">
        <v>1505</v>
      </c>
      <c r="KW68" s="561" t="s">
        <v>1505</v>
      </c>
      <c r="KX68" s="561" t="s">
        <v>1505</v>
      </c>
      <c r="KY68" s="561" t="s">
        <v>1505</v>
      </c>
      <c r="KZ68" s="561" t="s">
        <v>1505</v>
      </c>
      <c r="LA68" s="561" t="s">
        <v>1505</v>
      </c>
      <c r="LB68" s="561" t="s">
        <v>1505</v>
      </c>
      <c r="LC68" s="561" t="s">
        <v>1505</v>
      </c>
      <c r="LD68" s="561" t="s">
        <v>1505</v>
      </c>
      <c r="LE68" s="561" t="s">
        <v>1505</v>
      </c>
      <c r="LF68" s="561" t="s">
        <v>1505</v>
      </c>
      <c r="LG68" s="561" t="s">
        <v>1505</v>
      </c>
      <c r="LH68" s="561" t="s">
        <v>1505</v>
      </c>
      <c r="LI68" s="561" t="s">
        <v>1505</v>
      </c>
      <c r="LJ68" s="561" t="s">
        <v>1505</v>
      </c>
      <c r="LK68" s="561" t="s">
        <v>1505</v>
      </c>
      <c r="LL68" s="561" t="s">
        <v>1505</v>
      </c>
      <c r="LM68" s="561" t="s">
        <v>1505</v>
      </c>
      <c r="LN68" s="561" t="s">
        <v>1505</v>
      </c>
      <c r="LO68" s="561" t="s">
        <v>1505</v>
      </c>
      <c r="LP68" s="561" t="s">
        <v>1505</v>
      </c>
      <c r="LQ68" s="561" t="s">
        <v>1505</v>
      </c>
      <c r="LR68" s="561" t="s">
        <v>1505</v>
      </c>
      <c r="LS68" s="561" t="s">
        <v>1505</v>
      </c>
      <c r="LT68" s="561" t="s">
        <v>1505</v>
      </c>
      <c r="LU68" s="561" t="s">
        <v>1505</v>
      </c>
      <c r="LV68" s="561" t="s">
        <v>1505</v>
      </c>
      <c r="LW68" s="561" t="s">
        <v>1505</v>
      </c>
      <c r="LX68" s="561" t="s">
        <v>1505</v>
      </c>
      <c r="LY68" s="561" t="s">
        <v>1505</v>
      </c>
      <c r="LZ68" s="561" t="s">
        <v>1505</v>
      </c>
      <c r="MA68" s="561" t="s">
        <v>1505</v>
      </c>
      <c r="MB68" s="561" t="s">
        <v>1505</v>
      </c>
      <c r="MC68" s="561" t="s">
        <v>1505</v>
      </c>
      <c r="MD68" s="561" t="s">
        <v>1505</v>
      </c>
      <c r="ME68" s="561" t="s">
        <v>1505</v>
      </c>
      <c r="MF68" s="561" t="s">
        <v>1505</v>
      </c>
      <c r="MG68" s="561" t="s">
        <v>1505</v>
      </c>
      <c r="MH68" s="561" t="s">
        <v>1505</v>
      </c>
      <c r="MI68" s="561" t="s">
        <v>1505</v>
      </c>
      <c r="MJ68" s="561" t="s">
        <v>1505</v>
      </c>
      <c r="MK68" s="561" t="s">
        <v>1505</v>
      </c>
      <c r="ML68" s="561" t="s">
        <v>1505</v>
      </c>
      <c r="MM68" s="561" t="s">
        <v>1505</v>
      </c>
      <c r="MN68" s="561" t="s">
        <v>1505</v>
      </c>
      <c r="MO68" s="561" t="s">
        <v>1505</v>
      </c>
      <c r="MP68" s="561" t="s">
        <v>1505</v>
      </c>
      <c r="MQ68" s="561" t="s">
        <v>1505</v>
      </c>
      <c r="MR68" s="561" t="s">
        <v>1505</v>
      </c>
      <c r="MS68" s="561" t="s">
        <v>1505</v>
      </c>
      <c r="MT68" s="561" t="s">
        <v>1505</v>
      </c>
      <c r="MU68" s="561" t="s">
        <v>1505</v>
      </c>
      <c r="MV68" s="561" t="s">
        <v>1505</v>
      </c>
      <c r="MW68" s="561" t="s">
        <v>1505</v>
      </c>
      <c r="MX68" s="561" t="s">
        <v>1505</v>
      </c>
      <c r="MY68" s="561" t="s">
        <v>1505</v>
      </c>
      <c r="MZ68" s="561" t="s">
        <v>1505</v>
      </c>
      <c r="NA68" s="561" t="s">
        <v>1505</v>
      </c>
      <c r="NB68" s="561" t="s">
        <v>1505</v>
      </c>
      <c r="NC68" s="561" t="s">
        <v>1505</v>
      </c>
      <c r="ND68" s="561" t="s">
        <v>1505</v>
      </c>
      <c r="NE68" s="561" t="s">
        <v>1505</v>
      </c>
      <c r="NF68" s="561" t="s">
        <v>1505</v>
      </c>
      <c r="NG68" s="561" t="s">
        <v>1505</v>
      </c>
      <c r="NH68" s="561" t="s">
        <v>1505</v>
      </c>
      <c r="NI68" s="561" t="s">
        <v>1505</v>
      </c>
      <c r="NJ68" s="561" t="s">
        <v>1505</v>
      </c>
      <c r="NK68" s="561" t="s">
        <v>1505</v>
      </c>
      <c r="NL68" s="561" t="s">
        <v>1505</v>
      </c>
      <c r="NM68" s="561" t="s">
        <v>1505</v>
      </c>
      <c r="NN68" s="561" t="s">
        <v>1505</v>
      </c>
      <c r="NO68" s="561" t="s">
        <v>1505</v>
      </c>
      <c r="NP68" s="561" t="s">
        <v>1505</v>
      </c>
      <c r="NQ68" s="561" t="s">
        <v>1505</v>
      </c>
      <c r="NR68" s="561" t="s">
        <v>1505</v>
      </c>
      <c r="NS68" s="561" t="s">
        <v>1505</v>
      </c>
      <c r="NT68" s="561" t="s">
        <v>1505</v>
      </c>
      <c r="NU68" s="561" t="s">
        <v>1505</v>
      </c>
      <c r="NV68" s="561" t="s">
        <v>1505</v>
      </c>
      <c r="NW68" s="561" t="s">
        <v>1505</v>
      </c>
      <c r="NX68" s="561" t="s">
        <v>1505</v>
      </c>
      <c r="NY68" s="561" t="s">
        <v>1505</v>
      </c>
      <c r="NZ68" s="561" t="s">
        <v>1505</v>
      </c>
      <c r="OA68" s="561" t="s">
        <v>1505</v>
      </c>
      <c r="OB68" s="561" t="s">
        <v>1505</v>
      </c>
      <c r="OC68" s="561" t="s">
        <v>1505</v>
      </c>
      <c r="OD68" s="561" t="s">
        <v>1505</v>
      </c>
      <c r="OE68" s="561" t="s">
        <v>1505</v>
      </c>
      <c r="OF68" s="561" t="s">
        <v>1505</v>
      </c>
      <c r="OG68" s="561" t="s">
        <v>1505</v>
      </c>
      <c r="OH68" s="561" t="s">
        <v>1505</v>
      </c>
      <c r="OI68" s="561" t="s">
        <v>1505</v>
      </c>
      <c r="OJ68" s="561" t="s">
        <v>1505</v>
      </c>
      <c r="OK68" s="561" t="s">
        <v>1505</v>
      </c>
      <c r="OL68" s="561" t="s">
        <v>1505</v>
      </c>
      <c r="OM68" s="561" t="s">
        <v>1505</v>
      </c>
      <c r="ON68" s="561" t="s">
        <v>1505</v>
      </c>
      <c r="OO68" s="561" t="s">
        <v>1505</v>
      </c>
      <c r="OP68" s="561" t="s">
        <v>1505</v>
      </c>
      <c r="OQ68" s="561" t="s">
        <v>1505</v>
      </c>
      <c r="OR68" s="561" t="s">
        <v>1505</v>
      </c>
      <c r="OS68" s="561" t="s">
        <v>1505</v>
      </c>
      <c r="OT68" s="561" t="s">
        <v>1505</v>
      </c>
      <c r="OU68" s="561" t="s">
        <v>1505</v>
      </c>
      <c r="OV68" s="561" t="s">
        <v>1505</v>
      </c>
      <c r="OW68" s="561" t="s">
        <v>1505</v>
      </c>
      <c r="OX68" s="561" t="s">
        <v>1505</v>
      </c>
      <c r="OY68" s="561" t="s">
        <v>1505</v>
      </c>
      <c r="OZ68" s="561" t="s">
        <v>1505</v>
      </c>
      <c r="PA68" s="561" t="s">
        <v>1505</v>
      </c>
      <c r="PB68" s="561" t="s">
        <v>1505</v>
      </c>
      <c r="PC68" s="561" t="s">
        <v>1505</v>
      </c>
      <c r="PD68" s="561" t="s">
        <v>1505</v>
      </c>
      <c r="PE68" s="561" t="s">
        <v>1505</v>
      </c>
      <c r="PF68" s="561" t="s">
        <v>1505</v>
      </c>
      <c r="PG68" s="561" t="s">
        <v>1505</v>
      </c>
      <c r="PH68" s="561" t="s">
        <v>1505</v>
      </c>
      <c r="PI68" s="561" t="s">
        <v>1505</v>
      </c>
      <c r="PJ68" s="561" t="s">
        <v>1505</v>
      </c>
      <c r="PK68" s="561" t="s">
        <v>1505</v>
      </c>
      <c r="PL68" s="561" t="s">
        <v>1505</v>
      </c>
      <c r="PM68" s="561" t="s">
        <v>1505</v>
      </c>
      <c r="PN68" s="561" t="s">
        <v>1505</v>
      </c>
      <c r="PO68" s="561" t="s">
        <v>1505</v>
      </c>
      <c r="PP68" s="561" t="s">
        <v>1505</v>
      </c>
      <c r="PQ68" s="561" t="s">
        <v>1505</v>
      </c>
      <c r="PR68" s="561" t="s">
        <v>1505</v>
      </c>
      <c r="PS68" s="561" t="s">
        <v>1505</v>
      </c>
      <c r="PT68" s="561" t="s">
        <v>1505</v>
      </c>
      <c r="PU68" s="561" t="s">
        <v>1505</v>
      </c>
      <c r="PV68" s="561" t="s">
        <v>1505</v>
      </c>
      <c r="PW68" s="561" t="s">
        <v>1505</v>
      </c>
      <c r="PX68" s="561" t="s">
        <v>1505</v>
      </c>
      <c r="PY68" s="561" t="s">
        <v>1505</v>
      </c>
      <c r="PZ68" s="561" t="s">
        <v>1505</v>
      </c>
      <c r="QA68" s="561" t="s">
        <v>1505</v>
      </c>
      <c r="QB68" s="561" t="s">
        <v>1505</v>
      </c>
      <c r="QC68" s="561" t="s">
        <v>1505</v>
      </c>
      <c r="QD68" s="561" t="s">
        <v>1505</v>
      </c>
      <c r="QE68" s="561" t="s">
        <v>1505</v>
      </c>
      <c r="QF68" s="561" t="s">
        <v>1505</v>
      </c>
      <c r="QG68" s="561" t="s">
        <v>1505</v>
      </c>
      <c r="QH68" s="561" t="s">
        <v>1505</v>
      </c>
      <c r="QI68" s="561" t="s">
        <v>1505</v>
      </c>
      <c r="QJ68" s="561" t="s">
        <v>1505</v>
      </c>
      <c r="QK68" s="561" t="s">
        <v>1505</v>
      </c>
      <c r="QL68" s="561" t="s">
        <v>1505</v>
      </c>
      <c r="QM68" s="561" t="s">
        <v>1505</v>
      </c>
      <c r="QN68" s="561" t="s">
        <v>1505</v>
      </c>
      <c r="QO68" s="561" t="s">
        <v>1505</v>
      </c>
      <c r="QP68" s="561" t="s">
        <v>1505</v>
      </c>
      <c r="QQ68" s="561" t="s">
        <v>1505</v>
      </c>
      <c r="QR68" s="561" t="s">
        <v>1505</v>
      </c>
      <c r="QS68" s="561" t="s">
        <v>1505</v>
      </c>
      <c r="QT68" s="561" t="s">
        <v>1505</v>
      </c>
      <c r="QU68" s="561" t="s">
        <v>1505</v>
      </c>
      <c r="QV68" s="561" t="s">
        <v>1505</v>
      </c>
      <c r="QW68" s="561" t="s">
        <v>1505</v>
      </c>
      <c r="QX68" s="561" t="s">
        <v>1505</v>
      </c>
      <c r="QY68" s="561" t="s">
        <v>1505</v>
      </c>
      <c r="QZ68" s="561" t="s">
        <v>1505</v>
      </c>
      <c r="RA68" s="561" t="s">
        <v>1505</v>
      </c>
      <c r="RB68" s="561" t="s">
        <v>1505</v>
      </c>
      <c r="RC68" s="561" t="s">
        <v>1505</v>
      </c>
      <c r="RD68" s="561" t="s">
        <v>1505</v>
      </c>
      <c r="RE68" s="561" t="s">
        <v>1505</v>
      </c>
      <c r="RF68" s="561" t="s">
        <v>1505</v>
      </c>
      <c r="RG68" s="561" t="s">
        <v>1505</v>
      </c>
      <c r="RH68" s="561" t="s">
        <v>1505</v>
      </c>
      <c r="RI68" s="561" t="s">
        <v>1505</v>
      </c>
      <c r="RJ68" s="561" t="s">
        <v>1505</v>
      </c>
      <c r="RK68" s="561" t="s">
        <v>1505</v>
      </c>
      <c r="RL68" s="561" t="s">
        <v>1505</v>
      </c>
      <c r="RM68" s="561" t="s">
        <v>1505</v>
      </c>
      <c r="RN68" s="561" t="s">
        <v>1505</v>
      </c>
      <c r="RO68" s="561" t="s">
        <v>1505</v>
      </c>
      <c r="RP68" s="561" t="s">
        <v>1505</v>
      </c>
      <c r="RQ68" s="561" t="s">
        <v>1505</v>
      </c>
      <c r="RR68" s="561" t="s">
        <v>1505</v>
      </c>
      <c r="RS68" s="561" t="s">
        <v>1505</v>
      </c>
      <c r="RT68" s="561" t="s">
        <v>1505</v>
      </c>
      <c r="RU68" s="561" t="s">
        <v>1505</v>
      </c>
      <c r="RV68" s="561" t="s">
        <v>1505</v>
      </c>
      <c r="RW68" s="561" t="s">
        <v>1505</v>
      </c>
      <c r="RX68" s="561" t="s">
        <v>1505</v>
      </c>
      <c r="RY68" s="561" t="s">
        <v>1505</v>
      </c>
      <c r="RZ68" s="561" t="s">
        <v>1505</v>
      </c>
      <c r="SA68" s="561" t="s">
        <v>1505</v>
      </c>
      <c r="SB68" s="561" t="s">
        <v>1505</v>
      </c>
      <c r="SC68" s="561" t="s">
        <v>1505</v>
      </c>
      <c r="SD68" s="561" t="s">
        <v>1505</v>
      </c>
      <c r="SE68" s="561" t="s">
        <v>1505</v>
      </c>
      <c r="SF68" s="561" t="s">
        <v>1505</v>
      </c>
      <c r="SG68" s="561" t="s">
        <v>1505</v>
      </c>
      <c r="SH68" s="561" t="s">
        <v>1505</v>
      </c>
      <c r="SI68" s="561" t="s">
        <v>1505</v>
      </c>
      <c r="SJ68" s="561" t="s">
        <v>1505</v>
      </c>
      <c r="SK68" s="561" t="s">
        <v>1505</v>
      </c>
      <c r="SL68" s="561" t="s">
        <v>1505</v>
      </c>
      <c r="SM68" s="561" t="s">
        <v>1505</v>
      </c>
      <c r="SN68" s="561" t="s">
        <v>1505</v>
      </c>
      <c r="SO68" s="561" t="s">
        <v>1505</v>
      </c>
      <c r="SP68" s="561" t="s">
        <v>1505</v>
      </c>
      <c r="SQ68" s="561" t="s">
        <v>1505</v>
      </c>
      <c r="SR68" s="561" t="s">
        <v>1505</v>
      </c>
      <c r="SS68" s="561" t="s">
        <v>1505</v>
      </c>
      <c r="ST68" s="561" t="s">
        <v>1505</v>
      </c>
      <c r="SU68" s="561" t="s">
        <v>1505</v>
      </c>
      <c r="SV68" s="561" t="s">
        <v>1505</v>
      </c>
      <c r="SW68" s="561" t="s">
        <v>1505</v>
      </c>
      <c r="SX68" s="561" t="s">
        <v>1505</v>
      </c>
      <c r="SY68" s="561" t="s">
        <v>1505</v>
      </c>
      <c r="SZ68" s="561" t="s">
        <v>1505</v>
      </c>
      <c r="TA68" s="561" t="s">
        <v>1505</v>
      </c>
      <c r="TB68" s="561" t="s">
        <v>1505</v>
      </c>
      <c r="TC68" s="561" t="s">
        <v>1505</v>
      </c>
      <c r="TD68" s="561" t="s">
        <v>1505</v>
      </c>
      <c r="TE68" s="561" t="s">
        <v>1505</v>
      </c>
      <c r="TF68" s="561" t="s">
        <v>1505</v>
      </c>
      <c r="TG68" s="561" t="s">
        <v>1505</v>
      </c>
      <c r="TH68" s="561" t="s">
        <v>1505</v>
      </c>
      <c r="TI68" s="561" t="s">
        <v>1505</v>
      </c>
      <c r="TJ68" s="561" t="s">
        <v>1505</v>
      </c>
      <c r="TK68" s="561" t="s">
        <v>1505</v>
      </c>
      <c r="TL68" s="561" t="s">
        <v>1505</v>
      </c>
      <c r="TM68" s="561" t="s">
        <v>1505</v>
      </c>
      <c r="TN68" s="561" t="s">
        <v>1505</v>
      </c>
      <c r="TO68" s="561" t="s">
        <v>1505</v>
      </c>
      <c r="TP68" s="561" t="s">
        <v>1505</v>
      </c>
      <c r="TQ68" s="561" t="s">
        <v>1505</v>
      </c>
      <c r="TR68" s="561" t="s">
        <v>1505</v>
      </c>
      <c r="TS68" s="561" t="s">
        <v>1505</v>
      </c>
      <c r="TT68" s="561" t="s">
        <v>1505</v>
      </c>
      <c r="TU68" s="561" t="s">
        <v>1505</v>
      </c>
      <c r="TV68" s="561" t="s">
        <v>1505</v>
      </c>
      <c r="TW68" s="561" t="s">
        <v>1505</v>
      </c>
      <c r="TX68" s="561" t="s">
        <v>1505</v>
      </c>
      <c r="TY68" s="561" t="s">
        <v>1505</v>
      </c>
      <c r="TZ68" s="561" t="s">
        <v>1505</v>
      </c>
      <c r="UA68" s="561" t="s">
        <v>1505</v>
      </c>
      <c r="UB68" s="561" t="s">
        <v>1505</v>
      </c>
      <c r="UC68" s="561" t="s">
        <v>1505</v>
      </c>
      <c r="UD68" s="561" t="s">
        <v>1505</v>
      </c>
      <c r="UE68" s="561" t="s">
        <v>1505</v>
      </c>
      <c r="UF68" s="561" t="s">
        <v>1505</v>
      </c>
      <c r="UG68" s="561" t="s">
        <v>1505</v>
      </c>
      <c r="UH68" s="561" t="s">
        <v>1505</v>
      </c>
      <c r="UI68" s="561" t="s">
        <v>1505</v>
      </c>
      <c r="UJ68" s="561" t="s">
        <v>1505</v>
      </c>
      <c r="UK68" s="561" t="s">
        <v>1505</v>
      </c>
      <c r="UL68" s="561" t="s">
        <v>1505</v>
      </c>
      <c r="UM68" s="561" t="s">
        <v>1505</v>
      </c>
      <c r="UN68" s="561" t="s">
        <v>1505</v>
      </c>
      <c r="UO68" s="561" t="s">
        <v>1505</v>
      </c>
      <c r="UP68" s="561" t="s">
        <v>1505</v>
      </c>
      <c r="UQ68" s="561" t="s">
        <v>1505</v>
      </c>
      <c r="UR68" s="561" t="s">
        <v>1505</v>
      </c>
      <c r="US68" s="561" t="s">
        <v>1505</v>
      </c>
      <c r="UT68" s="561" t="s">
        <v>1505</v>
      </c>
      <c r="UU68" s="561" t="s">
        <v>1505</v>
      </c>
      <c r="UV68" s="561" t="s">
        <v>1505</v>
      </c>
      <c r="UW68" s="561" t="s">
        <v>1505</v>
      </c>
      <c r="UX68" s="561" t="s">
        <v>1505</v>
      </c>
      <c r="UY68" s="561" t="s">
        <v>1505</v>
      </c>
      <c r="UZ68" s="561" t="s">
        <v>1505</v>
      </c>
      <c r="VA68" s="561" t="s">
        <v>1505</v>
      </c>
      <c r="VB68" s="561" t="s">
        <v>1505</v>
      </c>
      <c r="VC68" s="561" t="s">
        <v>1505</v>
      </c>
      <c r="VD68" s="561" t="s">
        <v>1505</v>
      </c>
      <c r="VE68" s="561" t="s">
        <v>1505</v>
      </c>
      <c r="VF68" s="561" t="s">
        <v>1505</v>
      </c>
      <c r="VG68" s="561" t="s">
        <v>1505</v>
      </c>
      <c r="VH68" s="561" t="s">
        <v>1505</v>
      </c>
      <c r="VI68" s="561" t="s">
        <v>1505</v>
      </c>
      <c r="VJ68" s="561" t="s">
        <v>1505</v>
      </c>
      <c r="VK68" s="561" t="s">
        <v>1505</v>
      </c>
      <c r="VL68" s="561" t="s">
        <v>1505</v>
      </c>
      <c r="VM68" s="561" t="s">
        <v>1505</v>
      </c>
      <c r="VN68" s="561" t="s">
        <v>1505</v>
      </c>
      <c r="VO68" s="561" t="s">
        <v>1505</v>
      </c>
      <c r="VP68" s="561" t="s">
        <v>1505</v>
      </c>
      <c r="VQ68" s="561" t="s">
        <v>1505</v>
      </c>
      <c r="VR68" s="561" t="s">
        <v>1505</v>
      </c>
      <c r="VS68" s="561" t="s">
        <v>1505</v>
      </c>
      <c r="VT68" s="561" t="s">
        <v>1505</v>
      </c>
      <c r="VU68" s="561" t="s">
        <v>1505</v>
      </c>
      <c r="VV68" s="561" t="s">
        <v>1505</v>
      </c>
      <c r="VW68" s="561" t="s">
        <v>1505</v>
      </c>
      <c r="VX68" s="561" t="s">
        <v>1505</v>
      </c>
      <c r="VY68" s="561" t="s">
        <v>1505</v>
      </c>
      <c r="VZ68" s="561" t="s">
        <v>1505</v>
      </c>
      <c r="WA68" s="561" t="s">
        <v>1505</v>
      </c>
      <c r="WB68" s="561" t="s">
        <v>1505</v>
      </c>
      <c r="WC68" s="561" t="s">
        <v>1505</v>
      </c>
      <c r="WD68" s="561" t="s">
        <v>1505</v>
      </c>
      <c r="WE68" s="561" t="s">
        <v>1505</v>
      </c>
      <c r="WF68" s="561" t="s">
        <v>1505</v>
      </c>
      <c r="WG68" s="561" t="s">
        <v>1505</v>
      </c>
      <c r="WH68" s="561" t="s">
        <v>1505</v>
      </c>
      <c r="WI68" s="561" t="s">
        <v>1505</v>
      </c>
      <c r="WJ68" s="561" t="s">
        <v>1505</v>
      </c>
      <c r="WK68" s="561" t="s">
        <v>1505</v>
      </c>
      <c r="WL68" s="561" t="s">
        <v>1505</v>
      </c>
      <c r="WM68" s="561" t="s">
        <v>1505</v>
      </c>
      <c r="WN68" s="561" t="s">
        <v>1505</v>
      </c>
      <c r="WO68" s="561" t="s">
        <v>1505</v>
      </c>
      <c r="WP68" s="561" t="s">
        <v>1505</v>
      </c>
      <c r="WQ68" s="561" t="s">
        <v>1505</v>
      </c>
      <c r="WR68" s="561" t="s">
        <v>1505</v>
      </c>
      <c r="WS68" s="561" t="s">
        <v>1505</v>
      </c>
      <c r="WT68" s="561" t="s">
        <v>1505</v>
      </c>
      <c r="WU68" s="561" t="s">
        <v>1505</v>
      </c>
      <c r="WV68" s="561" t="s">
        <v>1505</v>
      </c>
      <c r="WW68" s="561" t="s">
        <v>1505</v>
      </c>
      <c r="WX68" s="561" t="s">
        <v>1505</v>
      </c>
      <c r="WY68" s="561" t="s">
        <v>1505</v>
      </c>
      <c r="WZ68" s="561" t="s">
        <v>1505</v>
      </c>
      <c r="XA68" s="561" t="s">
        <v>1505</v>
      </c>
      <c r="XB68" s="561" t="s">
        <v>1505</v>
      </c>
      <c r="XC68" s="561" t="s">
        <v>1505</v>
      </c>
      <c r="XD68" s="561" t="s">
        <v>1505</v>
      </c>
      <c r="XE68" s="561" t="s">
        <v>1505</v>
      </c>
      <c r="XF68" s="561" t="s">
        <v>1505</v>
      </c>
      <c r="XG68" s="561" t="s">
        <v>1505</v>
      </c>
      <c r="XH68" s="561" t="s">
        <v>1505</v>
      </c>
      <c r="XI68" s="561" t="s">
        <v>1505</v>
      </c>
      <c r="XJ68" s="561" t="s">
        <v>1505</v>
      </c>
      <c r="XK68" s="561" t="s">
        <v>1505</v>
      </c>
      <c r="XL68" s="561" t="s">
        <v>1505</v>
      </c>
      <c r="XM68" s="561" t="s">
        <v>1505</v>
      </c>
      <c r="XN68" s="561" t="s">
        <v>1505</v>
      </c>
      <c r="XO68" s="561" t="s">
        <v>1505</v>
      </c>
      <c r="XP68" s="561" t="s">
        <v>1505</v>
      </c>
      <c r="XQ68" s="561" t="s">
        <v>1505</v>
      </c>
      <c r="XR68" s="561" t="s">
        <v>1505</v>
      </c>
      <c r="XS68" s="561" t="s">
        <v>1505</v>
      </c>
      <c r="XT68" s="561" t="s">
        <v>1505</v>
      </c>
      <c r="XU68" s="561" t="s">
        <v>1505</v>
      </c>
      <c r="XV68" s="561" t="s">
        <v>1505</v>
      </c>
      <c r="XW68" s="561" t="s">
        <v>1505</v>
      </c>
      <c r="XX68" s="561" t="s">
        <v>1505</v>
      </c>
      <c r="XY68" s="561" t="s">
        <v>1505</v>
      </c>
      <c r="XZ68" s="561" t="s">
        <v>1505</v>
      </c>
      <c r="YA68" s="561" t="s">
        <v>1505</v>
      </c>
      <c r="YB68" s="561" t="s">
        <v>1505</v>
      </c>
      <c r="YC68" s="561" t="s">
        <v>1505</v>
      </c>
      <c r="YD68" s="561" t="s">
        <v>1505</v>
      </c>
      <c r="YE68" s="561" t="s">
        <v>1505</v>
      </c>
      <c r="YF68" s="561" t="s">
        <v>1505</v>
      </c>
      <c r="YG68" s="561" t="s">
        <v>1505</v>
      </c>
      <c r="YH68" s="561" t="s">
        <v>1505</v>
      </c>
      <c r="YI68" s="561" t="s">
        <v>1505</v>
      </c>
      <c r="YJ68" s="561" t="s">
        <v>1505</v>
      </c>
      <c r="YK68" s="561" t="s">
        <v>1505</v>
      </c>
      <c r="YL68" s="561" t="s">
        <v>1505</v>
      </c>
      <c r="YM68" s="561" t="s">
        <v>1505</v>
      </c>
      <c r="YN68" s="561" t="s">
        <v>1505</v>
      </c>
      <c r="YO68" s="561" t="s">
        <v>1505</v>
      </c>
      <c r="YP68" s="561" t="s">
        <v>1505</v>
      </c>
      <c r="YQ68" s="561" t="s">
        <v>1505</v>
      </c>
      <c r="YR68" s="561" t="s">
        <v>1505</v>
      </c>
      <c r="YS68" s="561" t="s">
        <v>1505</v>
      </c>
      <c r="YT68" s="561" t="s">
        <v>1505</v>
      </c>
      <c r="YU68" s="561" t="s">
        <v>1505</v>
      </c>
      <c r="YV68" s="561" t="s">
        <v>1505</v>
      </c>
      <c r="YW68" s="561" t="s">
        <v>1505</v>
      </c>
      <c r="YX68" s="561" t="s">
        <v>1505</v>
      </c>
      <c r="YY68" s="561" t="s">
        <v>1505</v>
      </c>
      <c r="YZ68" s="561" t="s">
        <v>1505</v>
      </c>
      <c r="ZA68" s="561" t="s">
        <v>1505</v>
      </c>
      <c r="ZB68" s="561" t="s">
        <v>1505</v>
      </c>
      <c r="ZC68" s="561" t="s">
        <v>1505</v>
      </c>
      <c r="ZD68" s="561" t="s">
        <v>1505</v>
      </c>
      <c r="ZE68" s="561" t="s">
        <v>1505</v>
      </c>
      <c r="ZF68" s="561" t="s">
        <v>1505</v>
      </c>
      <c r="ZG68" s="561" t="s">
        <v>1505</v>
      </c>
      <c r="ZH68" s="561" t="s">
        <v>1505</v>
      </c>
      <c r="ZI68" s="561" t="s">
        <v>1505</v>
      </c>
      <c r="ZJ68" s="561" t="s">
        <v>1505</v>
      </c>
      <c r="ZK68" s="561" t="s">
        <v>1505</v>
      </c>
      <c r="ZL68" s="561" t="s">
        <v>1505</v>
      </c>
      <c r="ZM68" s="561" t="s">
        <v>1505</v>
      </c>
      <c r="ZN68" s="561" t="s">
        <v>1505</v>
      </c>
      <c r="ZO68" s="561" t="s">
        <v>1505</v>
      </c>
      <c r="ZP68" s="561" t="s">
        <v>1505</v>
      </c>
      <c r="ZQ68" s="561" t="s">
        <v>1505</v>
      </c>
      <c r="ZR68" s="561" t="s">
        <v>1505</v>
      </c>
      <c r="ZS68" s="561" t="s">
        <v>1505</v>
      </c>
      <c r="ZT68" s="561" t="s">
        <v>1505</v>
      </c>
      <c r="ZU68" s="561" t="s">
        <v>1505</v>
      </c>
      <c r="ZV68" s="561" t="s">
        <v>1505</v>
      </c>
      <c r="ZW68" s="561" t="s">
        <v>1505</v>
      </c>
      <c r="ZX68" s="561" t="s">
        <v>1505</v>
      </c>
      <c r="ZY68" s="561" t="s">
        <v>1505</v>
      </c>
      <c r="ZZ68" s="561" t="s">
        <v>1505</v>
      </c>
      <c r="AAA68" s="561" t="s">
        <v>1505</v>
      </c>
      <c r="AAB68" s="561" t="s">
        <v>1505</v>
      </c>
      <c r="AAC68" s="561" t="s">
        <v>1505</v>
      </c>
      <c r="AAD68" s="561" t="s">
        <v>1505</v>
      </c>
      <c r="AAE68" s="561" t="s">
        <v>1505</v>
      </c>
      <c r="AAF68" s="561" t="s">
        <v>1505</v>
      </c>
      <c r="AAG68" s="561" t="s">
        <v>1505</v>
      </c>
      <c r="AAH68" s="561" t="s">
        <v>1505</v>
      </c>
      <c r="AAI68" s="561" t="s">
        <v>1505</v>
      </c>
      <c r="AAJ68" s="561" t="s">
        <v>1505</v>
      </c>
      <c r="AAK68" s="561" t="s">
        <v>1505</v>
      </c>
      <c r="AAL68" s="561" t="s">
        <v>1505</v>
      </c>
      <c r="AAM68" s="561" t="s">
        <v>1505</v>
      </c>
      <c r="AAN68" s="561" t="s">
        <v>1505</v>
      </c>
      <c r="AAO68" s="561" t="s">
        <v>1505</v>
      </c>
      <c r="AAP68" s="561" t="s">
        <v>1505</v>
      </c>
      <c r="AAQ68" s="561" t="s">
        <v>1505</v>
      </c>
      <c r="AAR68" s="561" t="s">
        <v>1505</v>
      </c>
      <c r="AAS68" s="561" t="s">
        <v>1505</v>
      </c>
      <c r="AAT68" s="561" t="s">
        <v>1505</v>
      </c>
      <c r="AAU68" s="561" t="s">
        <v>1505</v>
      </c>
      <c r="AAV68" s="561" t="s">
        <v>1505</v>
      </c>
      <c r="AAW68" s="561" t="s">
        <v>1505</v>
      </c>
      <c r="AAX68" s="561" t="s">
        <v>1505</v>
      </c>
      <c r="AAY68" s="561" t="s">
        <v>1505</v>
      </c>
      <c r="AAZ68" s="561" t="s">
        <v>1505</v>
      </c>
      <c r="ABA68" s="561" t="s">
        <v>1505</v>
      </c>
      <c r="ABB68" s="561" t="s">
        <v>1505</v>
      </c>
      <c r="ABC68" s="561" t="s">
        <v>1505</v>
      </c>
      <c r="ABD68" s="561" t="s">
        <v>1505</v>
      </c>
      <c r="ABE68" s="561" t="s">
        <v>1505</v>
      </c>
      <c r="ABF68" s="561" t="s">
        <v>1505</v>
      </c>
      <c r="ABG68" s="561" t="s">
        <v>1505</v>
      </c>
      <c r="ABH68" s="561" t="s">
        <v>1505</v>
      </c>
      <c r="ABI68" s="561" t="s">
        <v>1505</v>
      </c>
      <c r="ABJ68" s="561" t="s">
        <v>1505</v>
      </c>
      <c r="ABK68" s="561" t="s">
        <v>1505</v>
      </c>
      <c r="ABL68" s="561" t="s">
        <v>1505</v>
      </c>
      <c r="ABM68" s="561" t="s">
        <v>1505</v>
      </c>
      <c r="ABN68" s="561" t="s">
        <v>1505</v>
      </c>
      <c r="ABO68" s="561" t="s">
        <v>1505</v>
      </c>
      <c r="ABP68" s="561" t="s">
        <v>1505</v>
      </c>
      <c r="ABQ68" s="561" t="s">
        <v>1505</v>
      </c>
      <c r="ABR68" s="561" t="s">
        <v>1505</v>
      </c>
      <c r="ABS68" s="561" t="s">
        <v>1505</v>
      </c>
      <c r="ABT68" s="561" t="s">
        <v>1505</v>
      </c>
      <c r="ABU68" s="561" t="s">
        <v>1505</v>
      </c>
      <c r="ABV68" s="561" t="s">
        <v>1505</v>
      </c>
      <c r="ABW68" s="561" t="s">
        <v>1505</v>
      </c>
      <c r="ABX68" s="561" t="s">
        <v>1505</v>
      </c>
      <c r="ABY68" s="561" t="s">
        <v>1505</v>
      </c>
      <c r="ABZ68" s="561" t="s">
        <v>1505</v>
      </c>
      <c r="ACA68" s="561" t="s">
        <v>1505</v>
      </c>
      <c r="ACB68" s="561" t="s">
        <v>1505</v>
      </c>
      <c r="ACC68" s="561" t="s">
        <v>1505</v>
      </c>
      <c r="ACD68" s="561" t="s">
        <v>1505</v>
      </c>
      <c r="ACE68" s="561" t="s">
        <v>1505</v>
      </c>
      <c r="ACF68" s="561" t="s">
        <v>1505</v>
      </c>
      <c r="ACG68" s="561" t="s">
        <v>1505</v>
      </c>
      <c r="ACH68" s="561" t="s">
        <v>1505</v>
      </c>
      <c r="ACI68" s="561" t="s">
        <v>1505</v>
      </c>
      <c r="ACJ68" s="561" t="s">
        <v>1505</v>
      </c>
      <c r="ACK68" s="561" t="s">
        <v>1505</v>
      </c>
      <c r="ACL68" s="561" t="s">
        <v>1505</v>
      </c>
      <c r="ACM68" s="561" t="s">
        <v>1505</v>
      </c>
      <c r="ACN68" s="561" t="s">
        <v>1505</v>
      </c>
      <c r="ACO68" s="561" t="s">
        <v>1505</v>
      </c>
      <c r="ACP68" s="561" t="s">
        <v>1505</v>
      </c>
      <c r="ACQ68" s="561" t="s">
        <v>1505</v>
      </c>
      <c r="ACR68" s="561" t="s">
        <v>1505</v>
      </c>
      <c r="ACS68" s="561" t="s">
        <v>1505</v>
      </c>
      <c r="ACT68" s="561" t="s">
        <v>1505</v>
      </c>
      <c r="ACU68" s="561" t="s">
        <v>1505</v>
      </c>
      <c r="ACV68" s="561" t="s">
        <v>1505</v>
      </c>
      <c r="ACW68" s="561" t="s">
        <v>1505</v>
      </c>
      <c r="ACX68" s="561" t="s">
        <v>1505</v>
      </c>
      <c r="ACY68" s="561" t="s">
        <v>1505</v>
      </c>
      <c r="ACZ68" s="561" t="s">
        <v>1505</v>
      </c>
      <c r="ADA68" s="561" t="s">
        <v>1505</v>
      </c>
      <c r="ADB68" s="561" t="s">
        <v>1505</v>
      </c>
      <c r="ADC68" s="561" t="s">
        <v>1505</v>
      </c>
      <c r="ADD68" s="561" t="s">
        <v>1505</v>
      </c>
      <c r="ADE68" s="561" t="s">
        <v>1505</v>
      </c>
      <c r="ADF68" s="561" t="s">
        <v>1505</v>
      </c>
      <c r="ADG68" s="561" t="s">
        <v>1505</v>
      </c>
      <c r="ADH68" s="561" t="s">
        <v>1505</v>
      </c>
      <c r="ADI68" s="561" t="s">
        <v>1505</v>
      </c>
      <c r="ADJ68" s="561" t="s">
        <v>1505</v>
      </c>
      <c r="ADK68" s="561" t="s">
        <v>1505</v>
      </c>
      <c r="ADL68" s="561" t="s">
        <v>1505</v>
      </c>
      <c r="ADM68" s="561" t="s">
        <v>1505</v>
      </c>
      <c r="ADN68" s="561" t="s">
        <v>1505</v>
      </c>
      <c r="ADO68" s="561" t="s">
        <v>1505</v>
      </c>
      <c r="ADP68" s="561" t="s">
        <v>1505</v>
      </c>
      <c r="ADQ68" s="561" t="s">
        <v>1505</v>
      </c>
      <c r="ADR68" s="561" t="s">
        <v>1505</v>
      </c>
      <c r="ADS68" s="561" t="s">
        <v>1505</v>
      </c>
      <c r="ADT68" s="561" t="s">
        <v>1505</v>
      </c>
      <c r="ADU68" s="561" t="s">
        <v>1505</v>
      </c>
      <c r="ADV68" s="561" t="s">
        <v>1505</v>
      </c>
      <c r="ADW68" s="561" t="s">
        <v>1505</v>
      </c>
      <c r="ADX68" s="561" t="s">
        <v>1505</v>
      </c>
      <c r="ADY68" s="561" t="s">
        <v>1505</v>
      </c>
      <c r="ADZ68" s="561" t="s">
        <v>1505</v>
      </c>
      <c r="AEA68" s="561" t="s">
        <v>1505</v>
      </c>
      <c r="AEB68" s="561" t="s">
        <v>1505</v>
      </c>
      <c r="AEC68" s="561" t="s">
        <v>1505</v>
      </c>
      <c r="AED68" s="561" t="s">
        <v>1505</v>
      </c>
      <c r="AEE68" s="561" t="s">
        <v>1505</v>
      </c>
      <c r="AEF68" s="561" t="s">
        <v>1505</v>
      </c>
      <c r="AEG68" s="561" t="s">
        <v>1505</v>
      </c>
      <c r="AEH68" s="561" t="s">
        <v>1505</v>
      </c>
      <c r="AEI68" s="561" t="s">
        <v>1505</v>
      </c>
      <c r="AEJ68" s="561" t="s">
        <v>1505</v>
      </c>
      <c r="AEK68" s="561" t="s">
        <v>1505</v>
      </c>
      <c r="AEL68" s="561" t="s">
        <v>1505</v>
      </c>
      <c r="AEM68" s="561" t="s">
        <v>1505</v>
      </c>
      <c r="AEN68" s="561" t="s">
        <v>1505</v>
      </c>
      <c r="AEO68" s="561" t="s">
        <v>1505</v>
      </c>
      <c r="AEP68" s="561" t="s">
        <v>1505</v>
      </c>
      <c r="AEQ68" s="561" t="s">
        <v>1505</v>
      </c>
      <c r="AER68" s="561" t="s">
        <v>1505</v>
      </c>
      <c r="AES68" s="561" t="s">
        <v>1505</v>
      </c>
      <c r="AET68" s="561" t="s">
        <v>1505</v>
      </c>
      <c r="AEU68" s="561" t="s">
        <v>1505</v>
      </c>
      <c r="AEV68" s="561" t="s">
        <v>1505</v>
      </c>
      <c r="AEW68" s="561" t="s">
        <v>1505</v>
      </c>
      <c r="AEX68" s="561" t="s">
        <v>1505</v>
      </c>
      <c r="AEY68" s="561" t="s">
        <v>1505</v>
      </c>
      <c r="AEZ68" s="561" t="s">
        <v>1505</v>
      </c>
      <c r="AFA68" s="561" t="s">
        <v>1505</v>
      </c>
      <c r="AFB68" s="561" t="s">
        <v>1505</v>
      </c>
      <c r="AFC68" s="561" t="s">
        <v>1505</v>
      </c>
      <c r="AFD68" s="561" t="s">
        <v>1505</v>
      </c>
      <c r="AFE68" s="561" t="s">
        <v>1505</v>
      </c>
      <c r="AFF68" s="561" t="s">
        <v>1505</v>
      </c>
      <c r="AFG68" s="561" t="s">
        <v>1505</v>
      </c>
      <c r="AFH68" s="561" t="s">
        <v>1505</v>
      </c>
      <c r="AFI68" s="561" t="s">
        <v>1505</v>
      </c>
      <c r="AFJ68" s="561" t="s">
        <v>1505</v>
      </c>
      <c r="AFK68" s="561" t="s">
        <v>1505</v>
      </c>
      <c r="AFL68" s="561" t="s">
        <v>1505</v>
      </c>
      <c r="AFM68" s="561" t="s">
        <v>1505</v>
      </c>
      <c r="AFN68" s="561" t="s">
        <v>1505</v>
      </c>
      <c r="AFO68" s="561" t="s">
        <v>1505</v>
      </c>
      <c r="AFP68" s="561" t="s">
        <v>1505</v>
      </c>
      <c r="AFQ68" s="561" t="s">
        <v>1505</v>
      </c>
      <c r="AFR68" s="561" t="s">
        <v>1505</v>
      </c>
      <c r="AFS68" s="561" t="s">
        <v>1505</v>
      </c>
      <c r="AFT68" s="561" t="s">
        <v>1505</v>
      </c>
      <c r="AFU68" s="561" t="s">
        <v>1505</v>
      </c>
      <c r="AFV68" s="561" t="s">
        <v>1505</v>
      </c>
      <c r="AFW68" s="561" t="s">
        <v>1505</v>
      </c>
      <c r="AFX68" s="561" t="s">
        <v>1505</v>
      </c>
      <c r="AFY68" s="561" t="s">
        <v>1505</v>
      </c>
      <c r="AFZ68" s="561" t="s">
        <v>1505</v>
      </c>
      <c r="AGA68" s="561" t="s">
        <v>1505</v>
      </c>
      <c r="AGB68" s="561" t="s">
        <v>1505</v>
      </c>
      <c r="AGC68" s="561" t="s">
        <v>1505</v>
      </c>
      <c r="AGD68" s="561" t="s">
        <v>1505</v>
      </c>
      <c r="AGE68" s="561" t="s">
        <v>1505</v>
      </c>
      <c r="AGF68" s="561" t="s">
        <v>1505</v>
      </c>
      <c r="AGG68" s="561" t="s">
        <v>1505</v>
      </c>
      <c r="AGH68" s="561" t="s">
        <v>1505</v>
      </c>
      <c r="AGI68" s="561" t="s">
        <v>1505</v>
      </c>
      <c r="AGJ68" s="561" t="s">
        <v>1505</v>
      </c>
      <c r="AGK68" s="561" t="s">
        <v>1505</v>
      </c>
      <c r="AGL68" s="561" t="s">
        <v>1505</v>
      </c>
      <c r="AGM68" s="561" t="s">
        <v>1505</v>
      </c>
      <c r="AGN68" s="561" t="s">
        <v>1505</v>
      </c>
      <c r="AGO68" s="561" t="s">
        <v>1505</v>
      </c>
      <c r="AGP68" s="561" t="s">
        <v>1505</v>
      </c>
      <c r="AGQ68" s="561" t="s">
        <v>1505</v>
      </c>
      <c r="AGR68" s="561" t="s">
        <v>1505</v>
      </c>
      <c r="AGS68" s="561" t="s">
        <v>1505</v>
      </c>
      <c r="AGT68" s="561" t="s">
        <v>1505</v>
      </c>
      <c r="AGU68" s="561" t="s">
        <v>1505</v>
      </c>
      <c r="AGV68" s="561" t="s">
        <v>1505</v>
      </c>
      <c r="AGW68" s="561" t="s">
        <v>1505</v>
      </c>
      <c r="AGX68" s="561" t="s">
        <v>1505</v>
      </c>
      <c r="AGY68" s="561" t="s">
        <v>1505</v>
      </c>
      <c r="AGZ68" s="561" t="s">
        <v>1505</v>
      </c>
      <c r="AHA68" s="561" t="s">
        <v>1505</v>
      </c>
      <c r="AHB68" s="561" t="s">
        <v>1505</v>
      </c>
      <c r="AHC68" s="561" t="s">
        <v>1505</v>
      </c>
      <c r="AHD68" s="561" t="s">
        <v>1505</v>
      </c>
      <c r="AHE68" s="561" t="s">
        <v>1505</v>
      </c>
      <c r="AHF68" s="561" t="s">
        <v>1505</v>
      </c>
      <c r="AHG68" s="561" t="s">
        <v>1505</v>
      </c>
      <c r="AHH68" s="561" t="s">
        <v>1505</v>
      </c>
      <c r="AHI68" s="561" t="s">
        <v>1505</v>
      </c>
      <c r="AHJ68" s="561" t="s">
        <v>1505</v>
      </c>
      <c r="AHK68" s="561" t="s">
        <v>1505</v>
      </c>
      <c r="AHL68" s="561" t="s">
        <v>1505</v>
      </c>
      <c r="AHM68" s="561" t="s">
        <v>1505</v>
      </c>
      <c r="AHN68" s="561" t="s">
        <v>1505</v>
      </c>
      <c r="AHO68" s="561" t="s">
        <v>1505</v>
      </c>
      <c r="AHP68" s="561" t="s">
        <v>1505</v>
      </c>
      <c r="AHQ68" s="561" t="s">
        <v>1505</v>
      </c>
      <c r="AHR68" s="561" t="s">
        <v>1505</v>
      </c>
      <c r="AHS68" s="561" t="s">
        <v>1505</v>
      </c>
      <c r="AHT68" s="561" t="s">
        <v>1505</v>
      </c>
      <c r="AHU68" s="561" t="s">
        <v>1505</v>
      </c>
      <c r="AHV68" s="561" t="s">
        <v>1505</v>
      </c>
      <c r="AHW68" s="561" t="s">
        <v>1505</v>
      </c>
      <c r="AHX68" s="561" t="s">
        <v>1505</v>
      </c>
      <c r="AHY68" s="561" t="s">
        <v>1505</v>
      </c>
      <c r="AHZ68" s="561" t="s">
        <v>1505</v>
      </c>
      <c r="AIA68" s="561" t="s">
        <v>1505</v>
      </c>
      <c r="AIB68" s="561" t="s">
        <v>1505</v>
      </c>
      <c r="AIC68" s="561" t="s">
        <v>1505</v>
      </c>
      <c r="AID68" s="561" t="s">
        <v>1505</v>
      </c>
      <c r="AIE68" s="561" t="s">
        <v>1505</v>
      </c>
      <c r="AIF68" s="561" t="s">
        <v>1505</v>
      </c>
      <c r="AIG68" s="561" t="s">
        <v>1505</v>
      </c>
      <c r="AIH68" s="561" t="s">
        <v>1505</v>
      </c>
      <c r="AII68" s="561" t="s">
        <v>1505</v>
      </c>
      <c r="AIJ68" s="561" t="s">
        <v>1505</v>
      </c>
      <c r="AIK68" s="561" t="s">
        <v>1505</v>
      </c>
      <c r="AIL68" s="561" t="s">
        <v>1505</v>
      </c>
      <c r="AIM68" s="561" t="s">
        <v>1505</v>
      </c>
      <c r="AIN68" s="561" t="s">
        <v>1505</v>
      </c>
      <c r="AIO68" s="561" t="s">
        <v>1505</v>
      </c>
      <c r="AIP68" s="561" t="s">
        <v>1505</v>
      </c>
      <c r="AIQ68" s="561" t="s">
        <v>1505</v>
      </c>
      <c r="AIR68" s="561" t="s">
        <v>1505</v>
      </c>
      <c r="AIS68" s="561" t="s">
        <v>1505</v>
      </c>
      <c r="AIT68" s="561" t="s">
        <v>1505</v>
      </c>
      <c r="AIU68" s="561" t="s">
        <v>1505</v>
      </c>
      <c r="AIV68" s="561" t="s">
        <v>1505</v>
      </c>
      <c r="AIW68" s="561" t="s">
        <v>1505</v>
      </c>
      <c r="AIX68" s="561" t="s">
        <v>1505</v>
      </c>
      <c r="AIY68" s="561" t="s">
        <v>1505</v>
      </c>
      <c r="AIZ68" s="561" t="s">
        <v>1505</v>
      </c>
      <c r="AJA68" s="561" t="s">
        <v>1505</v>
      </c>
      <c r="AJB68" s="561" t="s">
        <v>1505</v>
      </c>
      <c r="AJC68" s="561" t="s">
        <v>1505</v>
      </c>
      <c r="AJD68" s="561" t="s">
        <v>1505</v>
      </c>
      <c r="AJE68" s="561" t="s">
        <v>1505</v>
      </c>
      <c r="AJF68" s="561" t="s">
        <v>1505</v>
      </c>
      <c r="AJG68" s="561" t="s">
        <v>1505</v>
      </c>
      <c r="AJH68" s="561" t="s">
        <v>1505</v>
      </c>
      <c r="AJI68" s="561" t="s">
        <v>1505</v>
      </c>
      <c r="AJJ68" s="561" t="s">
        <v>1505</v>
      </c>
      <c r="AJK68" s="561" t="s">
        <v>1505</v>
      </c>
      <c r="AJL68" s="561" t="s">
        <v>1505</v>
      </c>
      <c r="AJM68" s="561" t="s">
        <v>1505</v>
      </c>
      <c r="AJN68" s="561" t="s">
        <v>1505</v>
      </c>
      <c r="AJO68" s="561" t="s">
        <v>1505</v>
      </c>
      <c r="AJP68" s="561" t="s">
        <v>1505</v>
      </c>
      <c r="AJQ68" s="561" t="s">
        <v>1505</v>
      </c>
      <c r="AJR68" s="561" t="s">
        <v>1505</v>
      </c>
      <c r="AJS68" s="561" t="s">
        <v>1505</v>
      </c>
      <c r="AJT68" s="561" t="s">
        <v>1505</v>
      </c>
      <c r="AJU68" s="561" t="s">
        <v>1505</v>
      </c>
      <c r="AJV68" s="561" t="s">
        <v>1505</v>
      </c>
      <c r="AJW68" s="561" t="s">
        <v>1505</v>
      </c>
      <c r="AJX68" s="561" t="s">
        <v>1505</v>
      </c>
      <c r="AJY68" s="561" t="s">
        <v>1505</v>
      </c>
      <c r="AJZ68" s="561" t="s">
        <v>1505</v>
      </c>
      <c r="AKA68" s="561" t="s">
        <v>1505</v>
      </c>
      <c r="AKB68" s="561" t="s">
        <v>1505</v>
      </c>
      <c r="AKC68" s="561" t="s">
        <v>1505</v>
      </c>
      <c r="AKD68" s="561" t="s">
        <v>1505</v>
      </c>
      <c r="AKE68" s="561" t="s">
        <v>1505</v>
      </c>
      <c r="AKF68" s="561" t="s">
        <v>1505</v>
      </c>
      <c r="AKG68" s="561" t="s">
        <v>1505</v>
      </c>
      <c r="AKH68" s="561" t="s">
        <v>1505</v>
      </c>
      <c r="AKI68" s="561" t="s">
        <v>1505</v>
      </c>
      <c r="AKJ68" s="561" t="s">
        <v>1505</v>
      </c>
      <c r="AKK68" s="561" t="s">
        <v>1505</v>
      </c>
      <c r="AKL68" s="561" t="s">
        <v>1505</v>
      </c>
      <c r="AKM68" s="561" t="s">
        <v>1505</v>
      </c>
      <c r="AKN68" s="561" t="s">
        <v>1505</v>
      </c>
      <c r="AKO68" s="561" t="s">
        <v>1505</v>
      </c>
      <c r="AKP68" s="561" t="s">
        <v>1505</v>
      </c>
      <c r="AKQ68" s="561" t="s">
        <v>1505</v>
      </c>
      <c r="AKR68" s="561" t="s">
        <v>1505</v>
      </c>
      <c r="AKS68" s="561" t="s">
        <v>1505</v>
      </c>
      <c r="AKT68" s="561" t="s">
        <v>1505</v>
      </c>
      <c r="AKU68" s="561" t="s">
        <v>1505</v>
      </c>
      <c r="AKV68" s="561" t="s">
        <v>1505</v>
      </c>
      <c r="AKW68" s="561" t="s">
        <v>1505</v>
      </c>
      <c r="AKX68" s="561" t="s">
        <v>1505</v>
      </c>
      <c r="AKY68" s="561" t="s">
        <v>1505</v>
      </c>
      <c r="AKZ68" s="561" t="s">
        <v>1505</v>
      </c>
      <c r="ALA68" s="561" t="s">
        <v>1505</v>
      </c>
      <c r="ALB68" s="561" t="s">
        <v>1505</v>
      </c>
      <c r="ALC68" s="561" t="s">
        <v>1505</v>
      </c>
      <c r="ALD68" s="561" t="s">
        <v>1505</v>
      </c>
      <c r="ALE68" s="561" t="s">
        <v>1505</v>
      </c>
      <c r="ALF68" s="561" t="s">
        <v>1505</v>
      </c>
      <c r="ALG68" s="561" t="s">
        <v>1505</v>
      </c>
      <c r="ALH68" s="561" t="s">
        <v>1505</v>
      </c>
      <c r="ALI68" s="561" t="s">
        <v>1505</v>
      </c>
      <c r="ALJ68" s="561" t="s">
        <v>1505</v>
      </c>
      <c r="ALK68" s="561" t="s">
        <v>1505</v>
      </c>
      <c r="ALL68" s="561" t="s">
        <v>1505</v>
      </c>
      <c r="ALM68" s="561" t="s">
        <v>1505</v>
      </c>
      <c r="ALN68" s="561" t="s">
        <v>1505</v>
      </c>
      <c r="ALO68" s="561" t="s">
        <v>1505</v>
      </c>
      <c r="ALP68" s="561" t="s">
        <v>1505</v>
      </c>
      <c r="ALQ68" s="561" t="s">
        <v>1505</v>
      </c>
      <c r="ALR68" s="561" t="s">
        <v>1505</v>
      </c>
      <c r="ALS68" s="561" t="s">
        <v>1505</v>
      </c>
      <c r="ALT68" s="561" t="s">
        <v>1505</v>
      </c>
      <c r="ALU68" s="561" t="s">
        <v>1505</v>
      </c>
      <c r="ALV68" s="561" t="s">
        <v>1505</v>
      </c>
      <c r="ALW68" s="561" t="s">
        <v>1505</v>
      </c>
      <c r="ALX68" s="561" t="s">
        <v>1505</v>
      </c>
      <c r="ALY68" s="561" t="s">
        <v>1505</v>
      </c>
      <c r="ALZ68" s="561" t="s">
        <v>1505</v>
      </c>
      <c r="AMA68" s="561" t="s">
        <v>1505</v>
      </c>
      <c r="AMB68" s="561" t="s">
        <v>1505</v>
      </c>
      <c r="AMC68" s="561" t="s">
        <v>1505</v>
      </c>
      <c r="AMD68" s="561" t="s">
        <v>1505</v>
      </c>
      <c r="AME68" s="561" t="s">
        <v>1505</v>
      </c>
      <c r="AMF68" s="561" t="s">
        <v>1505</v>
      </c>
      <c r="AMG68" s="561" t="s">
        <v>1505</v>
      </c>
      <c r="AMH68" s="561" t="s">
        <v>1505</v>
      </c>
      <c r="AMI68" s="561" t="s">
        <v>1505</v>
      </c>
      <c r="AMJ68" s="561" t="s">
        <v>1505</v>
      </c>
      <c r="AMK68" s="561" t="s">
        <v>1505</v>
      </c>
      <c r="AML68" s="561" t="s">
        <v>1505</v>
      </c>
      <c r="AMM68" s="561" t="s">
        <v>1505</v>
      </c>
      <c r="AMN68" s="561" t="s">
        <v>1505</v>
      </c>
      <c r="AMO68" s="561" t="s">
        <v>1505</v>
      </c>
      <c r="AMP68" s="561" t="s">
        <v>1505</v>
      </c>
      <c r="AMQ68" s="561" t="s">
        <v>1505</v>
      </c>
      <c r="AMR68" s="561" t="s">
        <v>1505</v>
      </c>
      <c r="AMS68" s="561" t="s">
        <v>1505</v>
      </c>
      <c r="AMT68" s="561" t="s">
        <v>1505</v>
      </c>
      <c r="AMU68" s="561" t="s">
        <v>1505</v>
      </c>
      <c r="AMV68" s="561" t="s">
        <v>1505</v>
      </c>
      <c r="AMW68" s="561" t="s">
        <v>1505</v>
      </c>
      <c r="AMX68" s="561" t="s">
        <v>1505</v>
      </c>
      <c r="AMY68" s="561" t="s">
        <v>1505</v>
      </c>
      <c r="AMZ68" s="561" t="s">
        <v>1505</v>
      </c>
      <c r="ANA68" s="561" t="s">
        <v>1505</v>
      </c>
      <c r="ANB68" s="561" t="s">
        <v>1505</v>
      </c>
      <c r="ANC68" s="561" t="s">
        <v>1505</v>
      </c>
      <c r="AND68" s="561" t="s">
        <v>1505</v>
      </c>
      <c r="ANE68" s="561" t="s">
        <v>1505</v>
      </c>
      <c r="ANF68" s="561" t="s">
        <v>1505</v>
      </c>
      <c r="ANG68" s="561" t="s">
        <v>1505</v>
      </c>
      <c r="ANH68" s="561" t="s">
        <v>1505</v>
      </c>
      <c r="ANI68" s="561" t="s">
        <v>1505</v>
      </c>
      <c r="ANJ68" s="561" t="s">
        <v>1505</v>
      </c>
      <c r="ANK68" s="561" t="s">
        <v>1505</v>
      </c>
      <c r="ANL68" s="561" t="s">
        <v>1505</v>
      </c>
      <c r="ANM68" s="561" t="s">
        <v>1505</v>
      </c>
      <c r="ANN68" s="561" t="s">
        <v>1505</v>
      </c>
      <c r="ANO68" s="561" t="s">
        <v>1505</v>
      </c>
      <c r="ANP68" s="561" t="s">
        <v>1505</v>
      </c>
      <c r="ANQ68" s="561" t="s">
        <v>1505</v>
      </c>
      <c r="ANR68" s="561" t="s">
        <v>1505</v>
      </c>
      <c r="ANS68" s="561" t="s">
        <v>1505</v>
      </c>
      <c r="ANT68" s="561" t="s">
        <v>1505</v>
      </c>
      <c r="ANU68" s="561" t="s">
        <v>1505</v>
      </c>
      <c r="ANV68" s="561" t="s">
        <v>1505</v>
      </c>
      <c r="ANW68" s="561" t="s">
        <v>1505</v>
      </c>
      <c r="ANX68" s="561" t="s">
        <v>1505</v>
      </c>
      <c r="ANY68" s="561" t="s">
        <v>1505</v>
      </c>
      <c r="ANZ68" s="561" t="s">
        <v>1505</v>
      </c>
      <c r="AOA68" s="561" t="s">
        <v>1505</v>
      </c>
      <c r="AOB68" s="561" t="s">
        <v>1505</v>
      </c>
      <c r="AOC68" s="561" t="s">
        <v>1505</v>
      </c>
      <c r="AOD68" s="561" t="s">
        <v>1505</v>
      </c>
      <c r="AOE68" s="561" t="s">
        <v>1505</v>
      </c>
      <c r="AOF68" s="561" t="s">
        <v>1505</v>
      </c>
      <c r="AOG68" s="561" t="s">
        <v>1505</v>
      </c>
      <c r="AOH68" s="561" t="s">
        <v>1505</v>
      </c>
      <c r="AOI68" s="561" t="s">
        <v>1505</v>
      </c>
      <c r="AOJ68" s="561" t="s">
        <v>1505</v>
      </c>
      <c r="AOK68" s="561" t="s">
        <v>1505</v>
      </c>
      <c r="AOL68" s="561" t="s">
        <v>1505</v>
      </c>
      <c r="AOM68" s="561" t="s">
        <v>1505</v>
      </c>
      <c r="AON68" s="561" t="s">
        <v>1505</v>
      </c>
      <c r="AOO68" s="561" t="s">
        <v>1505</v>
      </c>
      <c r="AOP68" s="561" t="s">
        <v>1505</v>
      </c>
      <c r="AOQ68" s="561" t="s">
        <v>1505</v>
      </c>
      <c r="AOR68" s="561" t="s">
        <v>1505</v>
      </c>
      <c r="AOS68" s="561" t="s">
        <v>1505</v>
      </c>
      <c r="AOT68" s="561" t="s">
        <v>1505</v>
      </c>
      <c r="AOU68" s="561" t="s">
        <v>1505</v>
      </c>
      <c r="AOV68" s="561" t="s">
        <v>1505</v>
      </c>
      <c r="AOW68" s="561" t="s">
        <v>1505</v>
      </c>
      <c r="AOX68" s="561" t="s">
        <v>1505</v>
      </c>
      <c r="AOY68" s="561" t="s">
        <v>1505</v>
      </c>
      <c r="AOZ68" s="561" t="s">
        <v>1505</v>
      </c>
      <c r="APA68" s="561" t="s">
        <v>1505</v>
      </c>
      <c r="APB68" s="561" t="s">
        <v>1505</v>
      </c>
      <c r="APC68" s="561" t="s">
        <v>1505</v>
      </c>
      <c r="APD68" s="561" t="s">
        <v>1505</v>
      </c>
      <c r="APE68" s="561" t="s">
        <v>1505</v>
      </c>
      <c r="APF68" s="561" t="s">
        <v>1505</v>
      </c>
      <c r="APG68" s="561" t="s">
        <v>1505</v>
      </c>
      <c r="APH68" s="561" t="s">
        <v>1505</v>
      </c>
      <c r="API68" s="561" t="s">
        <v>1505</v>
      </c>
      <c r="APJ68" s="561" t="s">
        <v>1505</v>
      </c>
      <c r="APK68" s="561" t="s">
        <v>1505</v>
      </c>
      <c r="APL68" s="561" t="s">
        <v>1505</v>
      </c>
      <c r="APM68" s="561" t="s">
        <v>1505</v>
      </c>
      <c r="APN68" s="561" t="s">
        <v>1505</v>
      </c>
      <c r="APO68" s="561" t="s">
        <v>1505</v>
      </c>
      <c r="APP68" s="561" t="s">
        <v>1505</v>
      </c>
      <c r="APQ68" s="561" t="s">
        <v>1505</v>
      </c>
      <c r="APR68" s="561" t="s">
        <v>1505</v>
      </c>
      <c r="APS68" s="561" t="s">
        <v>1505</v>
      </c>
      <c r="APT68" s="561" t="s">
        <v>1505</v>
      </c>
      <c r="APU68" s="561" t="s">
        <v>1505</v>
      </c>
      <c r="APV68" s="561" t="s">
        <v>1505</v>
      </c>
      <c r="APW68" s="561" t="s">
        <v>1505</v>
      </c>
      <c r="APX68" s="561" t="s">
        <v>1505</v>
      </c>
      <c r="APY68" s="561" t="s">
        <v>1505</v>
      </c>
      <c r="APZ68" s="561" t="s">
        <v>1505</v>
      </c>
      <c r="AQA68" s="561" t="s">
        <v>1505</v>
      </c>
      <c r="AQB68" s="561" t="s">
        <v>1505</v>
      </c>
      <c r="AQC68" s="561" t="s">
        <v>1505</v>
      </c>
      <c r="AQD68" s="561" t="s">
        <v>1505</v>
      </c>
      <c r="AQE68" s="561" t="s">
        <v>1505</v>
      </c>
      <c r="AQF68" s="561" t="s">
        <v>1505</v>
      </c>
      <c r="AQG68" s="561" t="s">
        <v>1505</v>
      </c>
      <c r="AQH68" s="561" t="s">
        <v>1505</v>
      </c>
      <c r="AQI68" s="561" t="s">
        <v>1505</v>
      </c>
      <c r="AQJ68" s="561" t="s">
        <v>1505</v>
      </c>
      <c r="AQK68" s="561" t="s">
        <v>1505</v>
      </c>
      <c r="AQL68" s="561" t="s">
        <v>1505</v>
      </c>
      <c r="AQM68" s="561" t="s">
        <v>1505</v>
      </c>
      <c r="AQN68" s="561" t="s">
        <v>1505</v>
      </c>
      <c r="AQO68" s="561" t="s">
        <v>1505</v>
      </c>
      <c r="AQP68" s="561" t="s">
        <v>1505</v>
      </c>
      <c r="AQQ68" s="561" t="s">
        <v>1505</v>
      </c>
      <c r="AQR68" s="561" t="s">
        <v>1505</v>
      </c>
      <c r="AQS68" s="561" t="s">
        <v>1505</v>
      </c>
      <c r="AQT68" s="561" t="s">
        <v>1505</v>
      </c>
      <c r="AQU68" s="561" t="s">
        <v>1505</v>
      </c>
      <c r="AQV68" s="561" t="s">
        <v>1505</v>
      </c>
      <c r="AQW68" s="561" t="s">
        <v>1505</v>
      </c>
      <c r="AQX68" s="561" t="s">
        <v>1505</v>
      </c>
      <c r="AQY68" s="561" t="s">
        <v>1505</v>
      </c>
      <c r="AQZ68" s="561" t="s">
        <v>1505</v>
      </c>
      <c r="ARA68" s="561" t="s">
        <v>1505</v>
      </c>
      <c r="ARB68" s="561" t="s">
        <v>1505</v>
      </c>
      <c r="ARC68" s="561" t="s">
        <v>1505</v>
      </c>
      <c r="ARD68" s="561" t="s">
        <v>1505</v>
      </c>
      <c r="ARE68" s="561" t="s">
        <v>1505</v>
      </c>
      <c r="ARF68" s="561" t="s">
        <v>1505</v>
      </c>
      <c r="ARG68" s="561" t="s">
        <v>1505</v>
      </c>
      <c r="ARH68" s="561" t="s">
        <v>1505</v>
      </c>
      <c r="ARI68" s="561" t="s">
        <v>1505</v>
      </c>
      <c r="ARJ68" s="561" t="s">
        <v>1505</v>
      </c>
      <c r="ARK68" s="561" t="s">
        <v>1505</v>
      </c>
      <c r="ARL68" s="561" t="s">
        <v>1505</v>
      </c>
      <c r="ARM68" s="561" t="s">
        <v>1505</v>
      </c>
      <c r="ARN68" s="561" t="s">
        <v>1505</v>
      </c>
      <c r="ARO68" s="561" t="s">
        <v>1505</v>
      </c>
      <c r="ARP68" s="561" t="s">
        <v>1505</v>
      </c>
      <c r="ARQ68" s="561" t="s">
        <v>1505</v>
      </c>
      <c r="ARR68" s="561" t="s">
        <v>1505</v>
      </c>
      <c r="ARS68" s="561" t="s">
        <v>1505</v>
      </c>
      <c r="ART68" s="561" t="s">
        <v>1505</v>
      </c>
      <c r="ARU68" s="561" t="s">
        <v>1505</v>
      </c>
      <c r="ARV68" s="561" t="s">
        <v>1505</v>
      </c>
      <c r="ARW68" s="561" t="s">
        <v>1505</v>
      </c>
      <c r="ARX68" s="561" t="s">
        <v>1505</v>
      </c>
      <c r="ARY68" s="561" t="s">
        <v>1505</v>
      </c>
      <c r="ARZ68" s="561" t="s">
        <v>1505</v>
      </c>
      <c r="ASA68" s="561" t="s">
        <v>1505</v>
      </c>
      <c r="ASB68" s="561" t="s">
        <v>1505</v>
      </c>
      <c r="ASC68" s="561" t="s">
        <v>1505</v>
      </c>
      <c r="ASD68" s="561" t="s">
        <v>1505</v>
      </c>
      <c r="ASE68" s="561" t="s">
        <v>1505</v>
      </c>
      <c r="ASF68" s="561" t="s">
        <v>1505</v>
      </c>
      <c r="ASG68" s="561" t="s">
        <v>1505</v>
      </c>
      <c r="ASH68" s="561" t="s">
        <v>1505</v>
      </c>
      <c r="ASI68" s="561" t="s">
        <v>1505</v>
      </c>
      <c r="ASJ68" s="561" t="s">
        <v>1505</v>
      </c>
      <c r="ASK68" s="561" t="s">
        <v>1505</v>
      </c>
      <c r="ASL68" s="561" t="s">
        <v>1505</v>
      </c>
      <c r="ASM68" s="561" t="s">
        <v>1505</v>
      </c>
      <c r="ASN68" s="561" t="s">
        <v>1505</v>
      </c>
      <c r="ASO68" s="561" t="s">
        <v>1505</v>
      </c>
      <c r="ASP68" s="561" t="s">
        <v>1505</v>
      </c>
      <c r="ASQ68" s="561" t="s">
        <v>1505</v>
      </c>
      <c r="ASR68" s="561" t="s">
        <v>1505</v>
      </c>
      <c r="ASS68" s="561" t="s">
        <v>1505</v>
      </c>
      <c r="AST68" s="561" t="s">
        <v>1505</v>
      </c>
      <c r="ASU68" s="561" t="s">
        <v>1505</v>
      </c>
      <c r="ASV68" s="561" t="s">
        <v>1505</v>
      </c>
      <c r="ASW68" s="561" t="s">
        <v>1505</v>
      </c>
      <c r="ASX68" s="561" t="s">
        <v>1505</v>
      </c>
      <c r="ASY68" s="561" t="s">
        <v>1505</v>
      </c>
      <c r="ASZ68" s="561" t="s">
        <v>1505</v>
      </c>
      <c r="ATA68" s="561" t="s">
        <v>1505</v>
      </c>
      <c r="ATB68" s="561" t="s">
        <v>1505</v>
      </c>
      <c r="ATC68" s="561" t="s">
        <v>1505</v>
      </c>
      <c r="ATD68" s="561" t="s">
        <v>1505</v>
      </c>
      <c r="ATE68" s="561" t="s">
        <v>1505</v>
      </c>
      <c r="ATF68" s="561" t="s">
        <v>1505</v>
      </c>
      <c r="ATG68" s="561" t="s">
        <v>1505</v>
      </c>
      <c r="ATH68" s="561" t="s">
        <v>1505</v>
      </c>
      <c r="ATI68" s="561" t="s">
        <v>1505</v>
      </c>
      <c r="ATJ68" s="561" t="s">
        <v>1505</v>
      </c>
      <c r="ATK68" s="561" t="s">
        <v>1505</v>
      </c>
      <c r="ATL68" s="561" t="s">
        <v>1505</v>
      </c>
      <c r="ATM68" s="561" t="s">
        <v>1505</v>
      </c>
      <c r="ATN68" s="561" t="s">
        <v>1505</v>
      </c>
      <c r="ATO68" s="561" t="s">
        <v>1505</v>
      </c>
      <c r="ATP68" s="561" t="s">
        <v>1505</v>
      </c>
      <c r="ATQ68" s="561" t="s">
        <v>1505</v>
      </c>
      <c r="ATR68" s="561" t="s">
        <v>1505</v>
      </c>
      <c r="ATS68" s="561" t="s">
        <v>1505</v>
      </c>
      <c r="ATT68" s="561" t="s">
        <v>1505</v>
      </c>
      <c r="ATU68" s="561" t="s">
        <v>1505</v>
      </c>
      <c r="ATV68" s="561" t="s">
        <v>1505</v>
      </c>
      <c r="ATW68" s="561" t="s">
        <v>1505</v>
      </c>
      <c r="ATX68" s="561" t="s">
        <v>1505</v>
      </c>
      <c r="ATY68" s="561" t="s">
        <v>1505</v>
      </c>
      <c r="ATZ68" s="561" t="s">
        <v>1505</v>
      </c>
      <c r="AUA68" s="561" t="s">
        <v>1505</v>
      </c>
      <c r="AUB68" s="561" t="s">
        <v>1505</v>
      </c>
      <c r="AUC68" s="561" t="s">
        <v>1505</v>
      </c>
      <c r="AUD68" s="561" t="s">
        <v>1505</v>
      </c>
      <c r="AUE68" s="561" t="s">
        <v>1505</v>
      </c>
      <c r="AUF68" s="561" t="s">
        <v>1505</v>
      </c>
      <c r="AUG68" s="561" t="s">
        <v>1505</v>
      </c>
      <c r="AUH68" s="561" t="s">
        <v>1505</v>
      </c>
      <c r="AUI68" s="561" t="s">
        <v>1505</v>
      </c>
      <c r="AUJ68" s="561" t="s">
        <v>1505</v>
      </c>
      <c r="AUK68" s="561" t="s">
        <v>1505</v>
      </c>
      <c r="AUL68" s="561" t="s">
        <v>1505</v>
      </c>
      <c r="AUM68" s="561" t="s">
        <v>1505</v>
      </c>
      <c r="AUN68" s="561" t="s">
        <v>1505</v>
      </c>
      <c r="AUO68" s="561" t="s">
        <v>1505</v>
      </c>
      <c r="AUP68" s="561" t="s">
        <v>1505</v>
      </c>
      <c r="AUQ68" s="561" t="s">
        <v>1505</v>
      </c>
      <c r="AUR68" s="561" t="s">
        <v>1505</v>
      </c>
      <c r="AUS68" s="561" t="s">
        <v>1505</v>
      </c>
      <c r="AUT68" s="561" t="s">
        <v>1505</v>
      </c>
      <c r="AUU68" s="561" t="s">
        <v>1505</v>
      </c>
      <c r="AUV68" s="561" t="s">
        <v>1505</v>
      </c>
      <c r="AUW68" s="561" t="s">
        <v>1505</v>
      </c>
      <c r="AUX68" s="561" t="s">
        <v>1505</v>
      </c>
      <c r="AUY68" s="561" t="s">
        <v>1505</v>
      </c>
      <c r="AUZ68" s="561" t="s">
        <v>1505</v>
      </c>
      <c r="AVA68" s="561" t="s">
        <v>1505</v>
      </c>
      <c r="AVB68" s="561" t="s">
        <v>1505</v>
      </c>
      <c r="AVC68" s="561" t="s">
        <v>1505</v>
      </c>
      <c r="AVD68" s="561" t="s">
        <v>1505</v>
      </c>
      <c r="AVE68" s="561" t="s">
        <v>1505</v>
      </c>
      <c r="AVF68" s="561" t="s">
        <v>1505</v>
      </c>
      <c r="AVG68" s="561" t="s">
        <v>1505</v>
      </c>
      <c r="AVH68" s="561" t="s">
        <v>1505</v>
      </c>
      <c r="AVI68" s="561" t="s">
        <v>1505</v>
      </c>
      <c r="AVJ68" s="561" t="s">
        <v>1505</v>
      </c>
      <c r="AVK68" s="561" t="s">
        <v>1505</v>
      </c>
      <c r="AVL68" s="561" t="s">
        <v>1505</v>
      </c>
      <c r="AVM68" s="561" t="s">
        <v>1505</v>
      </c>
      <c r="AVN68" s="561" t="s">
        <v>1505</v>
      </c>
      <c r="AVO68" s="561" t="s">
        <v>1505</v>
      </c>
      <c r="AVP68" s="561" t="s">
        <v>1505</v>
      </c>
      <c r="AVQ68" s="561" t="s">
        <v>1505</v>
      </c>
      <c r="AVR68" s="561" t="s">
        <v>1505</v>
      </c>
      <c r="AVS68" s="561" t="s">
        <v>1505</v>
      </c>
      <c r="AVT68" s="561" t="s">
        <v>1505</v>
      </c>
      <c r="AVU68" s="561" t="s">
        <v>1505</v>
      </c>
      <c r="AVV68" s="561" t="s">
        <v>1505</v>
      </c>
      <c r="AVW68" s="561" t="s">
        <v>1505</v>
      </c>
      <c r="AVX68" s="561" t="s">
        <v>1505</v>
      </c>
      <c r="AVY68" s="561" t="s">
        <v>1505</v>
      </c>
      <c r="AVZ68" s="561" t="s">
        <v>1505</v>
      </c>
      <c r="AWA68" s="561" t="s">
        <v>1505</v>
      </c>
      <c r="AWB68" s="561" t="s">
        <v>1505</v>
      </c>
      <c r="AWC68" s="561" t="s">
        <v>1505</v>
      </c>
      <c r="AWD68" s="561" t="s">
        <v>1505</v>
      </c>
      <c r="AWE68" s="561" t="s">
        <v>1505</v>
      </c>
      <c r="AWF68" s="561" t="s">
        <v>1505</v>
      </c>
      <c r="AWG68" s="561" t="s">
        <v>1505</v>
      </c>
      <c r="AWH68" s="561" t="s">
        <v>1505</v>
      </c>
      <c r="AWI68" s="561" t="s">
        <v>1505</v>
      </c>
      <c r="AWJ68" s="561" t="s">
        <v>1505</v>
      </c>
      <c r="AWK68" s="561" t="s">
        <v>1505</v>
      </c>
      <c r="AWL68" s="561" t="s">
        <v>1505</v>
      </c>
      <c r="AWM68" s="561" t="s">
        <v>1505</v>
      </c>
      <c r="AWN68" s="561" t="s">
        <v>1505</v>
      </c>
      <c r="AWO68" s="561" t="s">
        <v>1505</v>
      </c>
      <c r="AWP68" s="561" t="s">
        <v>1505</v>
      </c>
      <c r="AWQ68" s="561" t="s">
        <v>1505</v>
      </c>
      <c r="AWR68" s="561" t="s">
        <v>1505</v>
      </c>
      <c r="AWS68" s="561" t="s">
        <v>1505</v>
      </c>
      <c r="AWT68" s="561" t="s">
        <v>1505</v>
      </c>
      <c r="AWU68" s="561" t="s">
        <v>1505</v>
      </c>
      <c r="AWV68" s="561" t="s">
        <v>1505</v>
      </c>
      <c r="AWW68" s="561" t="s">
        <v>1505</v>
      </c>
      <c r="AWX68" s="561" t="s">
        <v>1505</v>
      </c>
      <c r="AWY68" s="561" t="s">
        <v>1505</v>
      </c>
      <c r="AWZ68" s="561" t="s">
        <v>1505</v>
      </c>
      <c r="AXA68" s="561" t="s">
        <v>1505</v>
      </c>
      <c r="AXB68" s="561" t="s">
        <v>1505</v>
      </c>
      <c r="AXC68" s="561" t="s">
        <v>1505</v>
      </c>
      <c r="AXD68" s="561" t="s">
        <v>1505</v>
      </c>
      <c r="AXE68" s="561" t="s">
        <v>1505</v>
      </c>
      <c r="AXF68" s="561" t="s">
        <v>1505</v>
      </c>
      <c r="AXG68" s="561" t="s">
        <v>1505</v>
      </c>
      <c r="AXH68" s="561" t="s">
        <v>1505</v>
      </c>
      <c r="AXI68" s="561" t="s">
        <v>1505</v>
      </c>
      <c r="AXJ68" s="561" t="s">
        <v>1505</v>
      </c>
      <c r="AXK68" s="561" t="s">
        <v>1505</v>
      </c>
      <c r="AXL68" s="561" t="s">
        <v>1505</v>
      </c>
      <c r="AXM68" s="561" t="s">
        <v>1505</v>
      </c>
      <c r="AXN68" s="561" t="s">
        <v>1505</v>
      </c>
      <c r="AXO68" s="561" t="s">
        <v>1505</v>
      </c>
      <c r="AXP68" s="561" t="s">
        <v>1505</v>
      </c>
      <c r="AXQ68" s="561" t="s">
        <v>1505</v>
      </c>
      <c r="AXR68" s="561" t="s">
        <v>1505</v>
      </c>
      <c r="AXS68" s="561" t="s">
        <v>1505</v>
      </c>
      <c r="AXT68" s="561" t="s">
        <v>1505</v>
      </c>
      <c r="AXU68" s="561" t="s">
        <v>1505</v>
      </c>
      <c r="AXV68" s="561" t="s">
        <v>1505</v>
      </c>
      <c r="AXW68" s="561" t="s">
        <v>1505</v>
      </c>
      <c r="AXX68" s="561" t="s">
        <v>1505</v>
      </c>
      <c r="AXY68" s="561" t="s">
        <v>1505</v>
      </c>
      <c r="AXZ68" s="561" t="s">
        <v>1505</v>
      </c>
      <c r="AYA68" s="561" t="s">
        <v>1505</v>
      </c>
      <c r="AYB68" s="561" t="s">
        <v>1505</v>
      </c>
      <c r="AYC68" s="561" t="s">
        <v>1505</v>
      </c>
      <c r="AYD68" s="561" t="s">
        <v>1505</v>
      </c>
      <c r="AYE68" s="561" t="s">
        <v>1505</v>
      </c>
      <c r="AYF68" s="561" t="s">
        <v>1505</v>
      </c>
      <c r="AYG68" s="561" t="s">
        <v>1505</v>
      </c>
      <c r="AYH68" s="561" t="s">
        <v>1505</v>
      </c>
      <c r="AYI68" s="561" t="s">
        <v>1505</v>
      </c>
      <c r="AYJ68" s="561" t="s">
        <v>1505</v>
      </c>
      <c r="AYK68" s="561" t="s">
        <v>1505</v>
      </c>
      <c r="AYL68" s="561" t="s">
        <v>1505</v>
      </c>
      <c r="AYM68" s="561" t="s">
        <v>1505</v>
      </c>
      <c r="AYN68" s="561" t="s">
        <v>1505</v>
      </c>
      <c r="AYO68" s="561" t="s">
        <v>1505</v>
      </c>
      <c r="AYP68" s="561" t="s">
        <v>1505</v>
      </c>
      <c r="AYQ68" s="561" t="s">
        <v>1505</v>
      </c>
      <c r="AYR68" s="561" t="s">
        <v>1505</v>
      </c>
      <c r="AYS68" s="561" t="s">
        <v>1505</v>
      </c>
      <c r="AYT68" s="561" t="s">
        <v>1505</v>
      </c>
      <c r="AYU68" s="561" t="s">
        <v>1505</v>
      </c>
      <c r="AYV68" s="561" t="s">
        <v>1505</v>
      </c>
      <c r="AYW68" s="561" t="s">
        <v>1505</v>
      </c>
      <c r="AYX68" s="561" t="s">
        <v>1505</v>
      </c>
      <c r="AYY68" s="561" t="s">
        <v>1505</v>
      </c>
      <c r="AYZ68" s="561" t="s">
        <v>1505</v>
      </c>
      <c r="AZA68" s="561" t="s">
        <v>1505</v>
      </c>
      <c r="AZB68" s="561" t="s">
        <v>1505</v>
      </c>
      <c r="AZC68" s="561" t="s">
        <v>1505</v>
      </c>
      <c r="AZD68" s="561" t="s">
        <v>1505</v>
      </c>
      <c r="AZE68" s="561" t="s">
        <v>1505</v>
      </c>
      <c r="AZF68" s="561" t="s">
        <v>1505</v>
      </c>
      <c r="AZG68" s="561" t="s">
        <v>1505</v>
      </c>
      <c r="AZH68" s="561" t="s">
        <v>1505</v>
      </c>
      <c r="AZI68" s="561" t="s">
        <v>1505</v>
      </c>
      <c r="AZJ68" s="561" t="s">
        <v>1505</v>
      </c>
      <c r="AZK68" s="561" t="s">
        <v>1505</v>
      </c>
      <c r="AZL68" s="561" t="s">
        <v>1505</v>
      </c>
      <c r="AZM68" s="561" t="s">
        <v>1505</v>
      </c>
      <c r="AZN68" s="561" t="s">
        <v>1505</v>
      </c>
      <c r="AZO68" s="561" t="s">
        <v>1505</v>
      </c>
      <c r="AZP68" s="561" t="s">
        <v>1505</v>
      </c>
      <c r="AZQ68" s="561" t="s">
        <v>1505</v>
      </c>
      <c r="AZR68" s="561" t="s">
        <v>1505</v>
      </c>
      <c r="AZS68" s="561" t="s">
        <v>1505</v>
      </c>
      <c r="AZT68" s="561" t="s">
        <v>1505</v>
      </c>
      <c r="AZU68" s="561" t="s">
        <v>1505</v>
      </c>
      <c r="AZV68" s="561" t="s">
        <v>1505</v>
      </c>
      <c r="AZW68" s="561" t="s">
        <v>1505</v>
      </c>
      <c r="AZX68" s="561" t="s">
        <v>1505</v>
      </c>
      <c r="AZY68" s="561" t="s">
        <v>1505</v>
      </c>
      <c r="AZZ68" s="561" t="s">
        <v>1505</v>
      </c>
      <c r="BAA68" s="561" t="s">
        <v>1505</v>
      </c>
      <c r="BAB68" s="561" t="s">
        <v>1505</v>
      </c>
      <c r="BAC68" s="561" t="s">
        <v>1505</v>
      </c>
      <c r="BAD68" s="561" t="s">
        <v>1505</v>
      </c>
      <c r="BAE68" s="561" t="s">
        <v>1505</v>
      </c>
      <c r="BAF68" s="561" t="s">
        <v>1505</v>
      </c>
      <c r="BAG68" s="561" t="s">
        <v>1505</v>
      </c>
      <c r="BAH68" s="561" t="s">
        <v>1505</v>
      </c>
      <c r="BAI68" s="561" t="s">
        <v>1505</v>
      </c>
      <c r="BAJ68" s="561" t="s">
        <v>1505</v>
      </c>
      <c r="BAK68" s="561" t="s">
        <v>1505</v>
      </c>
      <c r="BAL68" s="561" t="s">
        <v>1505</v>
      </c>
      <c r="BAM68" s="561" t="s">
        <v>1505</v>
      </c>
      <c r="BAN68" s="561" t="s">
        <v>1505</v>
      </c>
      <c r="BAO68" s="561" t="s">
        <v>1505</v>
      </c>
      <c r="BAP68" s="561" t="s">
        <v>1505</v>
      </c>
      <c r="BAQ68" s="561" t="s">
        <v>1505</v>
      </c>
      <c r="BAR68" s="561" t="s">
        <v>1505</v>
      </c>
      <c r="BAS68" s="561" t="s">
        <v>1505</v>
      </c>
      <c r="BAT68" s="561" t="s">
        <v>1505</v>
      </c>
      <c r="BAU68" s="561" t="s">
        <v>1505</v>
      </c>
      <c r="BAV68" s="561" t="s">
        <v>1505</v>
      </c>
      <c r="BAW68" s="561" t="s">
        <v>1505</v>
      </c>
      <c r="BAX68" s="561" t="s">
        <v>1505</v>
      </c>
      <c r="BAY68" s="561" t="s">
        <v>1505</v>
      </c>
      <c r="BAZ68" s="561" t="s">
        <v>1505</v>
      </c>
      <c r="BBA68" s="561" t="s">
        <v>1505</v>
      </c>
      <c r="BBB68" s="561" t="s">
        <v>1505</v>
      </c>
      <c r="BBC68" s="561" t="s">
        <v>1505</v>
      </c>
      <c r="BBD68" s="561" t="s">
        <v>1505</v>
      </c>
      <c r="BBE68" s="561" t="s">
        <v>1505</v>
      </c>
      <c r="BBF68" s="561" t="s">
        <v>1505</v>
      </c>
      <c r="BBG68" s="561" t="s">
        <v>1505</v>
      </c>
      <c r="BBH68" s="561" t="s">
        <v>1505</v>
      </c>
      <c r="BBI68" s="561" t="s">
        <v>1505</v>
      </c>
      <c r="BBJ68" s="561" t="s">
        <v>1505</v>
      </c>
      <c r="BBK68" s="561" t="s">
        <v>1505</v>
      </c>
      <c r="BBL68" s="561" t="s">
        <v>1505</v>
      </c>
      <c r="BBM68" s="561" t="s">
        <v>1505</v>
      </c>
      <c r="BBN68" s="561" t="s">
        <v>1505</v>
      </c>
      <c r="BBO68" s="561" t="s">
        <v>1505</v>
      </c>
      <c r="BBP68" s="561" t="s">
        <v>1505</v>
      </c>
      <c r="BBQ68" s="561" t="s">
        <v>1505</v>
      </c>
      <c r="BBR68" s="561" t="s">
        <v>1505</v>
      </c>
      <c r="BBS68" s="561" t="s">
        <v>1505</v>
      </c>
      <c r="BBT68" s="561" t="s">
        <v>1505</v>
      </c>
      <c r="BBU68" s="561" t="s">
        <v>1505</v>
      </c>
      <c r="BBV68" s="561" t="s">
        <v>1505</v>
      </c>
      <c r="BBW68" s="561" t="s">
        <v>1505</v>
      </c>
      <c r="BBX68" s="561" t="s">
        <v>1505</v>
      </c>
      <c r="BBY68" s="561" t="s">
        <v>1505</v>
      </c>
      <c r="BBZ68" s="561" t="s">
        <v>1505</v>
      </c>
      <c r="BCA68" s="561" t="s">
        <v>1505</v>
      </c>
      <c r="BCB68" s="561" t="s">
        <v>1505</v>
      </c>
      <c r="BCC68" s="561" t="s">
        <v>1505</v>
      </c>
      <c r="BCD68" s="561" t="s">
        <v>1505</v>
      </c>
      <c r="BCE68" s="561" t="s">
        <v>1505</v>
      </c>
      <c r="BCF68" s="561" t="s">
        <v>1505</v>
      </c>
      <c r="BCG68" s="561" t="s">
        <v>1505</v>
      </c>
      <c r="BCH68" s="561" t="s">
        <v>1505</v>
      </c>
      <c r="BCI68" s="561" t="s">
        <v>1505</v>
      </c>
      <c r="BCJ68" s="561" t="s">
        <v>1505</v>
      </c>
      <c r="BCK68" s="561" t="s">
        <v>1505</v>
      </c>
      <c r="BCL68" s="561" t="s">
        <v>1505</v>
      </c>
      <c r="BCM68" s="561" t="s">
        <v>1505</v>
      </c>
      <c r="BCN68" s="561" t="s">
        <v>1505</v>
      </c>
      <c r="BCO68" s="561" t="s">
        <v>1505</v>
      </c>
      <c r="BCP68" s="561" t="s">
        <v>1505</v>
      </c>
      <c r="BCQ68" s="561" t="s">
        <v>1505</v>
      </c>
      <c r="BCR68" s="561" t="s">
        <v>1505</v>
      </c>
      <c r="BCS68" s="561" t="s">
        <v>1505</v>
      </c>
      <c r="BCT68" s="561" t="s">
        <v>1505</v>
      </c>
      <c r="BCU68" s="561" t="s">
        <v>1505</v>
      </c>
      <c r="BCV68" s="561" t="s">
        <v>1505</v>
      </c>
      <c r="BCW68" s="561" t="s">
        <v>1505</v>
      </c>
      <c r="BCX68" s="561" t="s">
        <v>1505</v>
      </c>
      <c r="BCY68" s="561" t="s">
        <v>1505</v>
      </c>
      <c r="BCZ68" s="561" t="s">
        <v>1505</v>
      </c>
      <c r="BDA68" s="561" t="s">
        <v>1505</v>
      </c>
      <c r="BDB68" s="561" t="s">
        <v>1505</v>
      </c>
      <c r="BDC68" s="561" t="s">
        <v>1505</v>
      </c>
      <c r="BDD68" s="561" t="s">
        <v>1505</v>
      </c>
      <c r="BDE68" s="561" t="s">
        <v>1505</v>
      </c>
      <c r="BDF68" s="561" t="s">
        <v>1505</v>
      </c>
      <c r="BDG68" s="561" t="s">
        <v>1505</v>
      </c>
      <c r="BDH68" s="561" t="s">
        <v>1505</v>
      </c>
      <c r="BDI68" s="561" t="s">
        <v>1505</v>
      </c>
      <c r="BDJ68" s="561" t="s">
        <v>1505</v>
      </c>
      <c r="BDK68" s="561" t="s">
        <v>1505</v>
      </c>
      <c r="BDL68" s="561" t="s">
        <v>1505</v>
      </c>
      <c r="BDM68" s="561" t="s">
        <v>1505</v>
      </c>
      <c r="BDN68" s="561" t="s">
        <v>1505</v>
      </c>
      <c r="BDO68" s="561" t="s">
        <v>1505</v>
      </c>
      <c r="BDP68" s="561" t="s">
        <v>1505</v>
      </c>
      <c r="BDQ68" s="561" t="s">
        <v>1505</v>
      </c>
      <c r="BDR68" s="561" t="s">
        <v>1505</v>
      </c>
      <c r="BDS68" s="561" t="s">
        <v>1505</v>
      </c>
      <c r="BDT68" s="561" t="s">
        <v>1505</v>
      </c>
      <c r="BDU68" s="561" t="s">
        <v>1505</v>
      </c>
      <c r="BDV68" s="561" t="s">
        <v>1505</v>
      </c>
      <c r="BDW68" s="561" t="s">
        <v>1505</v>
      </c>
      <c r="BDX68" s="561" t="s">
        <v>1505</v>
      </c>
      <c r="BDY68" s="561" t="s">
        <v>1505</v>
      </c>
      <c r="BDZ68" s="561" t="s">
        <v>1505</v>
      </c>
      <c r="BEA68" s="561" t="s">
        <v>1505</v>
      </c>
      <c r="BEB68" s="561" t="s">
        <v>1505</v>
      </c>
      <c r="BEC68" s="561" t="s">
        <v>1505</v>
      </c>
      <c r="BED68" s="561" t="s">
        <v>1505</v>
      </c>
      <c r="BEE68" s="561" t="s">
        <v>1505</v>
      </c>
      <c r="BEF68" s="561" t="s">
        <v>1505</v>
      </c>
      <c r="BEG68" s="561" t="s">
        <v>1505</v>
      </c>
      <c r="BEH68" s="561" t="s">
        <v>1505</v>
      </c>
      <c r="BEI68" s="561" t="s">
        <v>1505</v>
      </c>
      <c r="BEJ68" s="561" t="s">
        <v>1505</v>
      </c>
      <c r="BEK68" s="561" t="s">
        <v>1505</v>
      </c>
      <c r="BEL68" s="561" t="s">
        <v>1505</v>
      </c>
      <c r="BEM68" s="561" t="s">
        <v>1505</v>
      </c>
      <c r="BEN68" s="561" t="s">
        <v>1505</v>
      </c>
      <c r="BEO68" s="561" t="s">
        <v>1505</v>
      </c>
      <c r="BEP68" s="561" t="s">
        <v>1505</v>
      </c>
      <c r="BEQ68" s="561" t="s">
        <v>1505</v>
      </c>
      <c r="BER68" s="561" t="s">
        <v>1505</v>
      </c>
      <c r="BES68" s="561" t="s">
        <v>1505</v>
      </c>
      <c r="BET68" s="561" t="s">
        <v>1505</v>
      </c>
      <c r="BEU68" s="561" t="s">
        <v>1505</v>
      </c>
      <c r="BEV68" s="561" t="s">
        <v>1505</v>
      </c>
      <c r="BEW68" s="561" t="s">
        <v>1505</v>
      </c>
      <c r="BEX68" s="561" t="s">
        <v>1505</v>
      </c>
      <c r="BEY68" s="561" t="s">
        <v>1505</v>
      </c>
      <c r="BEZ68" s="561" t="s">
        <v>1505</v>
      </c>
      <c r="BFA68" s="561" t="s">
        <v>1505</v>
      </c>
      <c r="BFB68" s="561" t="s">
        <v>1505</v>
      </c>
      <c r="BFC68" s="561" t="s">
        <v>1505</v>
      </c>
      <c r="BFD68" s="561" t="s">
        <v>1505</v>
      </c>
      <c r="BFE68" s="561" t="s">
        <v>1505</v>
      </c>
      <c r="BFF68" s="561" t="s">
        <v>1505</v>
      </c>
      <c r="BFG68" s="561" t="s">
        <v>1505</v>
      </c>
      <c r="BFH68" s="561" t="s">
        <v>1505</v>
      </c>
      <c r="BFI68" s="561" t="s">
        <v>1505</v>
      </c>
      <c r="BFJ68" s="561" t="s">
        <v>1505</v>
      </c>
      <c r="BFK68" s="561" t="s">
        <v>1505</v>
      </c>
      <c r="BFL68" s="561" t="s">
        <v>1505</v>
      </c>
      <c r="BFM68" s="561" t="s">
        <v>1505</v>
      </c>
      <c r="BFN68" s="561" t="s">
        <v>1505</v>
      </c>
      <c r="BFO68" s="561" t="s">
        <v>1505</v>
      </c>
      <c r="BFP68" s="561" t="s">
        <v>1505</v>
      </c>
      <c r="BFQ68" s="561" t="s">
        <v>1505</v>
      </c>
      <c r="BFR68" s="561" t="s">
        <v>1505</v>
      </c>
      <c r="BFS68" s="561" t="s">
        <v>1505</v>
      </c>
      <c r="BFT68" s="561" t="s">
        <v>1505</v>
      </c>
      <c r="BFU68" s="561" t="s">
        <v>1505</v>
      </c>
      <c r="BFV68" s="561" t="s">
        <v>1505</v>
      </c>
      <c r="BFW68" s="561" t="s">
        <v>1505</v>
      </c>
      <c r="BFX68" s="561" t="s">
        <v>1505</v>
      </c>
      <c r="BFY68" s="561" t="s">
        <v>1505</v>
      </c>
      <c r="BFZ68" s="561" t="s">
        <v>1505</v>
      </c>
      <c r="BGA68" s="561" t="s">
        <v>1505</v>
      </c>
      <c r="BGB68" s="561" t="s">
        <v>1505</v>
      </c>
      <c r="BGC68" s="561" t="s">
        <v>1505</v>
      </c>
      <c r="BGD68" s="561" t="s">
        <v>1505</v>
      </c>
      <c r="BGE68" s="561" t="s">
        <v>1505</v>
      </c>
      <c r="BGF68" s="561" t="s">
        <v>1505</v>
      </c>
      <c r="BGG68" s="561" t="s">
        <v>1505</v>
      </c>
      <c r="BGH68" s="561" t="s">
        <v>1505</v>
      </c>
      <c r="BGI68" s="561" t="s">
        <v>1505</v>
      </c>
      <c r="BGJ68" s="561" t="s">
        <v>1505</v>
      </c>
      <c r="BGK68" s="561" t="s">
        <v>1505</v>
      </c>
      <c r="BGL68" s="561" t="s">
        <v>1505</v>
      </c>
      <c r="BGM68" s="561" t="s">
        <v>1505</v>
      </c>
      <c r="BGN68" s="561" t="s">
        <v>1505</v>
      </c>
      <c r="BGO68" s="561" t="s">
        <v>1505</v>
      </c>
      <c r="BGP68" s="561" t="s">
        <v>1505</v>
      </c>
      <c r="BGQ68" s="561" t="s">
        <v>1505</v>
      </c>
      <c r="BGR68" s="561" t="s">
        <v>1505</v>
      </c>
      <c r="BGS68" s="561" t="s">
        <v>1505</v>
      </c>
      <c r="BGT68" s="561" t="s">
        <v>1505</v>
      </c>
      <c r="BGU68" s="561" t="s">
        <v>1505</v>
      </c>
      <c r="BGV68" s="561" t="s">
        <v>1505</v>
      </c>
      <c r="BGW68" s="561" t="s">
        <v>1505</v>
      </c>
      <c r="BGX68" s="561" t="s">
        <v>1505</v>
      </c>
      <c r="BGY68" s="561" t="s">
        <v>1505</v>
      </c>
      <c r="BGZ68" s="561" t="s">
        <v>1505</v>
      </c>
      <c r="BHA68" s="561" t="s">
        <v>1505</v>
      </c>
      <c r="BHB68" s="561" t="s">
        <v>1505</v>
      </c>
      <c r="BHC68" s="561" t="s">
        <v>1505</v>
      </c>
      <c r="BHD68" s="561" t="s">
        <v>1505</v>
      </c>
      <c r="BHE68" s="561" t="s">
        <v>1505</v>
      </c>
      <c r="BHF68" s="561" t="s">
        <v>1505</v>
      </c>
      <c r="BHG68" s="561" t="s">
        <v>1505</v>
      </c>
      <c r="BHH68" s="561" t="s">
        <v>1505</v>
      </c>
      <c r="BHI68" s="561" t="s">
        <v>1505</v>
      </c>
      <c r="BHJ68" s="561" t="s">
        <v>1505</v>
      </c>
      <c r="BHK68" s="561" t="s">
        <v>1505</v>
      </c>
      <c r="BHL68" s="561" t="s">
        <v>1505</v>
      </c>
      <c r="BHM68" s="561" t="s">
        <v>1505</v>
      </c>
      <c r="BHN68" s="561" t="s">
        <v>1505</v>
      </c>
      <c r="BHO68" s="561" t="s">
        <v>1505</v>
      </c>
      <c r="BHP68" s="561" t="s">
        <v>1505</v>
      </c>
      <c r="BHQ68" s="561" t="s">
        <v>1505</v>
      </c>
      <c r="BHR68" s="561" t="s">
        <v>1505</v>
      </c>
      <c r="BHS68" s="561" t="s">
        <v>1505</v>
      </c>
      <c r="BHT68" s="561" t="s">
        <v>1505</v>
      </c>
      <c r="BHU68" s="561" t="s">
        <v>1505</v>
      </c>
      <c r="BHV68" s="561" t="s">
        <v>1505</v>
      </c>
      <c r="BHW68" s="561" t="s">
        <v>1505</v>
      </c>
      <c r="BHX68" s="561" t="s">
        <v>1505</v>
      </c>
      <c r="BHY68" s="561" t="s">
        <v>1505</v>
      </c>
      <c r="BHZ68" s="561" t="s">
        <v>1505</v>
      </c>
      <c r="BIA68" s="561" t="s">
        <v>1505</v>
      </c>
      <c r="BIB68" s="561" t="s">
        <v>1505</v>
      </c>
      <c r="BIC68" s="561" t="s">
        <v>1505</v>
      </c>
      <c r="BID68" s="561" t="s">
        <v>1505</v>
      </c>
      <c r="BIE68" s="561" t="s">
        <v>1505</v>
      </c>
      <c r="BIF68" s="561" t="s">
        <v>1505</v>
      </c>
      <c r="BIG68" s="561" t="s">
        <v>1505</v>
      </c>
      <c r="BIH68" s="561" t="s">
        <v>1505</v>
      </c>
      <c r="BII68" s="561" t="s">
        <v>1505</v>
      </c>
      <c r="BIJ68" s="561" t="s">
        <v>1505</v>
      </c>
      <c r="BIK68" s="561" t="s">
        <v>1505</v>
      </c>
      <c r="BIL68" s="561" t="s">
        <v>1505</v>
      </c>
      <c r="BIM68" s="561" t="s">
        <v>1505</v>
      </c>
      <c r="BIN68" s="561" t="s">
        <v>1505</v>
      </c>
      <c r="BIO68" s="561" t="s">
        <v>1505</v>
      </c>
      <c r="BIP68" s="561" t="s">
        <v>1505</v>
      </c>
      <c r="BIQ68" s="561" t="s">
        <v>1505</v>
      </c>
      <c r="BIR68" s="561" t="s">
        <v>1505</v>
      </c>
      <c r="BIS68" s="561" t="s">
        <v>1505</v>
      </c>
      <c r="BIT68" s="561" t="s">
        <v>1505</v>
      </c>
      <c r="BIU68" s="561" t="s">
        <v>1505</v>
      </c>
      <c r="BIV68" s="561" t="s">
        <v>1505</v>
      </c>
      <c r="BIW68" s="561" t="s">
        <v>1505</v>
      </c>
      <c r="BIX68" s="561" t="s">
        <v>1505</v>
      </c>
      <c r="BIY68" s="561" t="s">
        <v>1505</v>
      </c>
      <c r="BIZ68" s="561" t="s">
        <v>1505</v>
      </c>
      <c r="BJA68" s="561" t="s">
        <v>1505</v>
      </c>
      <c r="BJB68" s="561" t="s">
        <v>1505</v>
      </c>
      <c r="BJC68" s="561" t="s">
        <v>1505</v>
      </c>
      <c r="BJD68" s="561" t="s">
        <v>1505</v>
      </c>
      <c r="BJE68" s="561" t="s">
        <v>1505</v>
      </c>
      <c r="BJF68" s="561" t="s">
        <v>1505</v>
      </c>
      <c r="BJG68" s="561" t="s">
        <v>1505</v>
      </c>
      <c r="BJH68" s="561" t="s">
        <v>1505</v>
      </c>
      <c r="BJI68" s="561" t="s">
        <v>1505</v>
      </c>
      <c r="BJJ68" s="561" t="s">
        <v>1505</v>
      </c>
      <c r="BJK68" s="561" t="s">
        <v>1505</v>
      </c>
      <c r="BJL68" s="561" t="s">
        <v>1505</v>
      </c>
      <c r="BJM68" s="561" t="s">
        <v>1505</v>
      </c>
      <c r="BJN68" s="561" t="s">
        <v>1505</v>
      </c>
      <c r="BJO68" s="561" t="s">
        <v>1505</v>
      </c>
      <c r="BJP68" s="561" t="s">
        <v>1505</v>
      </c>
      <c r="BJQ68" s="561" t="s">
        <v>1505</v>
      </c>
      <c r="BJR68" s="561" t="s">
        <v>1505</v>
      </c>
      <c r="BJS68" s="561" t="s">
        <v>1505</v>
      </c>
      <c r="BJT68" s="561" t="s">
        <v>1505</v>
      </c>
      <c r="BJU68" s="561" t="s">
        <v>1505</v>
      </c>
      <c r="BJV68" s="561" t="s">
        <v>1505</v>
      </c>
      <c r="BJW68" s="561" t="s">
        <v>1505</v>
      </c>
      <c r="BJX68" s="561" t="s">
        <v>1505</v>
      </c>
      <c r="BJY68" s="561" t="s">
        <v>1505</v>
      </c>
      <c r="BJZ68" s="561" t="s">
        <v>1505</v>
      </c>
      <c r="BKA68" s="561" t="s">
        <v>1505</v>
      </c>
      <c r="BKB68" s="561" t="s">
        <v>1505</v>
      </c>
      <c r="BKC68" s="561" t="s">
        <v>1505</v>
      </c>
      <c r="BKD68" s="561" t="s">
        <v>1505</v>
      </c>
      <c r="BKE68" s="561" t="s">
        <v>1505</v>
      </c>
      <c r="BKF68" s="561" t="s">
        <v>1505</v>
      </c>
      <c r="BKG68" s="561" t="s">
        <v>1505</v>
      </c>
      <c r="BKH68" s="561" t="s">
        <v>1505</v>
      </c>
      <c r="BKI68" s="561" t="s">
        <v>1505</v>
      </c>
      <c r="BKJ68" s="561" t="s">
        <v>1505</v>
      </c>
      <c r="BKK68" s="561" t="s">
        <v>1505</v>
      </c>
      <c r="BKL68" s="561" t="s">
        <v>1505</v>
      </c>
      <c r="BKM68" s="561" t="s">
        <v>1505</v>
      </c>
      <c r="BKN68" s="561" t="s">
        <v>1505</v>
      </c>
      <c r="BKO68" s="561" t="s">
        <v>1505</v>
      </c>
      <c r="BKP68" s="561" t="s">
        <v>1505</v>
      </c>
      <c r="BKQ68" s="561" t="s">
        <v>1505</v>
      </c>
      <c r="BKR68" s="561" t="s">
        <v>1505</v>
      </c>
      <c r="BKS68" s="561" t="s">
        <v>1505</v>
      </c>
      <c r="BKT68" s="561" t="s">
        <v>1505</v>
      </c>
      <c r="BKU68" s="561" t="s">
        <v>1505</v>
      </c>
      <c r="BKV68" s="561" t="s">
        <v>1505</v>
      </c>
      <c r="BKW68" s="561" t="s">
        <v>1505</v>
      </c>
      <c r="BKX68" s="561" t="s">
        <v>1505</v>
      </c>
      <c r="BKY68" s="561" t="s">
        <v>1505</v>
      </c>
      <c r="BKZ68" s="561" t="s">
        <v>1505</v>
      </c>
      <c r="BLA68" s="561" t="s">
        <v>1505</v>
      </c>
      <c r="BLB68" s="561" t="s">
        <v>1505</v>
      </c>
      <c r="BLC68" s="561" t="s">
        <v>1505</v>
      </c>
      <c r="BLD68" s="561" t="s">
        <v>1505</v>
      </c>
      <c r="BLE68" s="561" t="s">
        <v>1505</v>
      </c>
      <c r="BLF68" s="561" t="s">
        <v>1505</v>
      </c>
      <c r="BLG68" s="561" t="s">
        <v>1505</v>
      </c>
      <c r="BLH68" s="561" t="s">
        <v>1505</v>
      </c>
      <c r="BLI68" s="561" t="s">
        <v>1505</v>
      </c>
      <c r="BLJ68" s="561" t="s">
        <v>1505</v>
      </c>
      <c r="BLK68" s="561" t="s">
        <v>1505</v>
      </c>
      <c r="BLL68" s="561" t="s">
        <v>1505</v>
      </c>
      <c r="BLM68" s="561" t="s">
        <v>1505</v>
      </c>
      <c r="BLN68" s="561" t="s">
        <v>1505</v>
      </c>
      <c r="BLO68" s="561" t="s">
        <v>1505</v>
      </c>
      <c r="BLP68" s="561" t="s">
        <v>1505</v>
      </c>
      <c r="BLQ68" s="561" t="s">
        <v>1505</v>
      </c>
      <c r="BLR68" s="561" t="s">
        <v>1505</v>
      </c>
      <c r="BLS68" s="561" t="s">
        <v>1505</v>
      </c>
      <c r="BLT68" s="561" t="s">
        <v>1505</v>
      </c>
      <c r="BLU68" s="561" t="s">
        <v>1505</v>
      </c>
      <c r="BLV68" s="561" t="s">
        <v>1505</v>
      </c>
      <c r="BLW68" s="561" t="s">
        <v>1505</v>
      </c>
      <c r="BLX68" s="561" t="s">
        <v>1505</v>
      </c>
      <c r="BLY68" s="561" t="s">
        <v>1505</v>
      </c>
      <c r="BLZ68" s="561" t="s">
        <v>1505</v>
      </c>
      <c r="BMA68" s="561" t="s">
        <v>1505</v>
      </c>
      <c r="BMB68" s="561" t="s">
        <v>1505</v>
      </c>
      <c r="BMC68" s="561" t="s">
        <v>1505</v>
      </c>
      <c r="BMD68" s="561" t="s">
        <v>1505</v>
      </c>
      <c r="BME68" s="561" t="s">
        <v>1505</v>
      </c>
      <c r="BMF68" s="561" t="s">
        <v>1505</v>
      </c>
      <c r="BMG68" s="561" t="s">
        <v>1505</v>
      </c>
      <c r="BMH68" s="561" t="s">
        <v>1505</v>
      </c>
      <c r="BMI68" s="561" t="s">
        <v>1505</v>
      </c>
      <c r="BMJ68" s="561" t="s">
        <v>1505</v>
      </c>
      <c r="BMK68" s="561" t="s">
        <v>1505</v>
      </c>
      <c r="BML68" s="561" t="s">
        <v>1505</v>
      </c>
      <c r="BMM68" s="561" t="s">
        <v>1505</v>
      </c>
      <c r="BMN68" s="561" t="s">
        <v>1505</v>
      </c>
      <c r="BMO68" s="561" t="s">
        <v>1505</v>
      </c>
      <c r="BMP68" s="561" t="s">
        <v>1505</v>
      </c>
      <c r="BMQ68" s="561" t="s">
        <v>1505</v>
      </c>
      <c r="BMR68" s="561" t="s">
        <v>1505</v>
      </c>
      <c r="BMS68" s="561" t="s">
        <v>1505</v>
      </c>
      <c r="BMT68" s="561" t="s">
        <v>1505</v>
      </c>
      <c r="BMU68" s="561" t="s">
        <v>1505</v>
      </c>
      <c r="BMV68" s="561" t="s">
        <v>1505</v>
      </c>
      <c r="BMW68" s="561" t="s">
        <v>1505</v>
      </c>
      <c r="BMX68" s="561" t="s">
        <v>1505</v>
      </c>
      <c r="BMY68" s="561" t="s">
        <v>1505</v>
      </c>
      <c r="BMZ68" s="561" t="s">
        <v>1505</v>
      </c>
      <c r="BNA68" s="561" t="s">
        <v>1505</v>
      </c>
      <c r="BNB68" s="561" t="s">
        <v>1505</v>
      </c>
      <c r="BNC68" s="561" t="s">
        <v>1505</v>
      </c>
      <c r="BND68" s="561" t="s">
        <v>1505</v>
      </c>
      <c r="BNE68" s="561" t="s">
        <v>1505</v>
      </c>
      <c r="BNF68" s="561" t="s">
        <v>1505</v>
      </c>
      <c r="BNG68" s="561" t="s">
        <v>1505</v>
      </c>
      <c r="BNH68" s="561" t="s">
        <v>1505</v>
      </c>
      <c r="BNI68" s="561" t="s">
        <v>1505</v>
      </c>
      <c r="BNJ68" s="561" t="s">
        <v>1505</v>
      </c>
      <c r="BNK68" s="561" t="s">
        <v>1505</v>
      </c>
      <c r="BNL68" s="561" t="s">
        <v>1505</v>
      </c>
      <c r="BNM68" s="561" t="s">
        <v>1505</v>
      </c>
      <c r="BNN68" s="561" t="s">
        <v>1505</v>
      </c>
      <c r="BNO68" s="561" t="s">
        <v>1505</v>
      </c>
      <c r="BNP68" s="561" t="s">
        <v>1505</v>
      </c>
      <c r="BNQ68" s="561" t="s">
        <v>1505</v>
      </c>
      <c r="BNR68" s="561" t="s">
        <v>1505</v>
      </c>
      <c r="BNS68" s="561" t="s">
        <v>1505</v>
      </c>
      <c r="BNT68" s="561" t="s">
        <v>1505</v>
      </c>
      <c r="BNU68" s="561" t="s">
        <v>1505</v>
      </c>
      <c r="BNV68" s="561" t="s">
        <v>1505</v>
      </c>
      <c r="BNW68" s="561" t="s">
        <v>1505</v>
      </c>
      <c r="BNX68" s="561" t="s">
        <v>1505</v>
      </c>
      <c r="BNY68" s="561" t="s">
        <v>1505</v>
      </c>
      <c r="BNZ68" s="561" t="s">
        <v>1505</v>
      </c>
      <c r="BOA68" s="561" t="s">
        <v>1505</v>
      </c>
      <c r="BOB68" s="561" t="s">
        <v>1505</v>
      </c>
      <c r="BOC68" s="561" t="s">
        <v>1505</v>
      </c>
      <c r="BOD68" s="561" t="s">
        <v>1505</v>
      </c>
      <c r="BOE68" s="561" t="s">
        <v>1505</v>
      </c>
      <c r="BOF68" s="561" t="s">
        <v>1505</v>
      </c>
      <c r="BOG68" s="561" t="s">
        <v>1505</v>
      </c>
      <c r="BOH68" s="561" t="s">
        <v>1505</v>
      </c>
      <c r="BOI68" s="561" t="s">
        <v>1505</v>
      </c>
      <c r="BOJ68" s="561" t="s">
        <v>1505</v>
      </c>
      <c r="BOK68" s="561" t="s">
        <v>1505</v>
      </c>
      <c r="BOL68" s="561" t="s">
        <v>1505</v>
      </c>
      <c r="BOM68" s="561" t="s">
        <v>1505</v>
      </c>
      <c r="BON68" s="561" t="s">
        <v>1505</v>
      </c>
      <c r="BOO68" s="561" t="s">
        <v>1505</v>
      </c>
      <c r="BOP68" s="561" t="s">
        <v>1505</v>
      </c>
      <c r="BOQ68" s="561" t="s">
        <v>1505</v>
      </c>
      <c r="BOR68" s="561" t="s">
        <v>1505</v>
      </c>
      <c r="BOS68" s="561" t="s">
        <v>1505</v>
      </c>
      <c r="BOT68" s="561" t="s">
        <v>1505</v>
      </c>
      <c r="BOU68" s="561" t="s">
        <v>1505</v>
      </c>
      <c r="BOV68" s="561" t="s">
        <v>1505</v>
      </c>
      <c r="BOW68" s="561" t="s">
        <v>1505</v>
      </c>
      <c r="BOX68" s="561" t="s">
        <v>1505</v>
      </c>
      <c r="BOY68" s="561" t="s">
        <v>1505</v>
      </c>
      <c r="BOZ68" s="561" t="s">
        <v>1505</v>
      </c>
      <c r="BPA68" s="561" t="s">
        <v>1505</v>
      </c>
      <c r="BPB68" s="561" t="s">
        <v>1505</v>
      </c>
      <c r="BPC68" s="561" t="s">
        <v>1505</v>
      </c>
      <c r="BPD68" s="561" t="s">
        <v>1505</v>
      </c>
      <c r="BPE68" s="561" t="s">
        <v>1505</v>
      </c>
      <c r="BPF68" s="561" t="s">
        <v>1505</v>
      </c>
      <c r="BPG68" s="561" t="s">
        <v>1505</v>
      </c>
      <c r="BPH68" s="561" t="s">
        <v>1505</v>
      </c>
      <c r="BPI68" s="561" t="s">
        <v>1505</v>
      </c>
      <c r="BPJ68" s="561" t="s">
        <v>1505</v>
      </c>
      <c r="BPK68" s="561" t="s">
        <v>1505</v>
      </c>
      <c r="BPL68" s="561" t="s">
        <v>1505</v>
      </c>
      <c r="BPM68" s="561" t="s">
        <v>1505</v>
      </c>
      <c r="BPN68" s="561" t="s">
        <v>1505</v>
      </c>
      <c r="BPO68" s="561" t="s">
        <v>1505</v>
      </c>
      <c r="BPP68" s="561" t="s">
        <v>1505</v>
      </c>
      <c r="BPQ68" s="561" t="s">
        <v>1505</v>
      </c>
      <c r="BPR68" s="561" t="s">
        <v>1505</v>
      </c>
      <c r="BPS68" s="561" t="s">
        <v>1505</v>
      </c>
      <c r="BPT68" s="561" t="s">
        <v>1505</v>
      </c>
      <c r="BPU68" s="561" t="s">
        <v>1505</v>
      </c>
      <c r="BPV68" s="561" t="s">
        <v>1505</v>
      </c>
      <c r="BPW68" s="561" t="s">
        <v>1505</v>
      </c>
      <c r="BPX68" s="561" t="s">
        <v>1505</v>
      </c>
      <c r="BPY68" s="561" t="s">
        <v>1505</v>
      </c>
      <c r="BPZ68" s="561" t="s">
        <v>1505</v>
      </c>
      <c r="BQA68" s="561" t="s">
        <v>1505</v>
      </c>
      <c r="BQB68" s="561" t="s">
        <v>1505</v>
      </c>
      <c r="BQC68" s="561" t="s">
        <v>1505</v>
      </c>
      <c r="BQD68" s="561" t="s">
        <v>1505</v>
      </c>
      <c r="BQE68" s="561" t="s">
        <v>1505</v>
      </c>
      <c r="BQF68" s="561" t="s">
        <v>1505</v>
      </c>
      <c r="BQG68" s="561" t="s">
        <v>1505</v>
      </c>
      <c r="BQH68" s="561" t="s">
        <v>1505</v>
      </c>
      <c r="BQI68" s="561" t="s">
        <v>1505</v>
      </c>
      <c r="BQJ68" s="561" t="s">
        <v>1505</v>
      </c>
      <c r="BQK68" s="561" t="s">
        <v>1505</v>
      </c>
      <c r="BQL68" s="561" t="s">
        <v>1505</v>
      </c>
      <c r="BQM68" s="561" t="s">
        <v>1505</v>
      </c>
      <c r="BQN68" s="561" t="s">
        <v>1505</v>
      </c>
      <c r="BQO68" s="561" t="s">
        <v>1505</v>
      </c>
      <c r="BQP68" s="561" t="s">
        <v>1505</v>
      </c>
      <c r="BQQ68" s="561" t="s">
        <v>1505</v>
      </c>
      <c r="BQR68" s="561" t="s">
        <v>1505</v>
      </c>
      <c r="BQS68" s="561" t="s">
        <v>1505</v>
      </c>
      <c r="BQT68" s="561" t="s">
        <v>1505</v>
      </c>
      <c r="BQU68" s="561" t="s">
        <v>1505</v>
      </c>
      <c r="BQV68" s="561" t="s">
        <v>1505</v>
      </c>
      <c r="BQW68" s="561" t="s">
        <v>1505</v>
      </c>
      <c r="BQX68" s="561" t="s">
        <v>1505</v>
      </c>
      <c r="BQY68" s="561" t="s">
        <v>1505</v>
      </c>
      <c r="BQZ68" s="561" t="s">
        <v>1505</v>
      </c>
      <c r="BRA68" s="561" t="s">
        <v>1505</v>
      </c>
      <c r="BRB68" s="561" t="s">
        <v>1505</v>
      </c>
      <c r="BRC68" s="561" t="s">
        <v>1505</v>
      </c>
      <c r="BRD68" s="561" t="s">
        <v>1505</v>
      </c>
      <c r="BRE68" s="561" t="s">
        <v>1505</v>
      </c>
      <c r="BRF68" s="561" t="s">
        <v>1505</v>
      </c>
      <c r="BRG68" s="561" t="s">
        <v>1505</v>
      </c>
      <c r="BRH68" s="561" t="s">
        <v>1505</v>
      </c>
      <c r="BRI68" s="561" t="s">
        <v>1505</v>
      </c>
      <c r="BRJ68" s="561" t="s">
        <v>1505</v>
      </c>
      <c r="BRK68" s="561" t="s">
        <v>1505</v>
      </c>
      <c r="BRL68" s="561" t="s">
        <v>1505</v>
      </c>
      <c r="BRM68" s="561" t="s">
        <v>1505</v>
      </c>
      <c r="BRN68" s="561" t="s">
        <v>1505</v>
      </c>
      <c r="BRO68" s="561" t="s">
        <v>1505</v>
      </c>
      <c r="BRP68" s="561" t="s">
        <v>1505</v>
      </c>
      <c r="BRQ68" s="561" t="s">
        <v>1505</v>
      </c>
      <c r="BRR68" s="561" t="s">
        <v>1505</v>
      </c>
      <c r="BRS68" s="561" t="s">
        <v>1505</v>
      </c>
      <c r="BRT68" s="561" t="s">
        <v>1505</v>
      </c>
      <c r="BRU68" s="561" t="s">
        <v>1505</v>
      </c>
      <c r="BRV68" s="561" t="s">
        <v>1505</v>
      </c>
      <c r="BRW68" s="561" t="s">
        <v>1505</v>
      </c>
      <c r="BRX68" s="561" t="s">
        <v>1505</v>
      </c>
      <c r="BRY68" s="561" t="s">
        <v>1505</v>
      </c>
      <c r="BRZ68" s="561" t="s">
        <v>1505</v>
      </c>
      <c r="BSA68" s="561" t="s">
        <v>1505</v>
      </c>
      <c r="BSB68" s="561" t="s">
        <v>1505</v>
      </c>
      <c r="BSC68" s="561" t="s">
        <v>1505</v>
      </c>
      <c r="BSD68" s="561" t="s">
        <v>1505</v>
      </c>
      <c r="BSE68" s="561" t="s">
        <v>1505</v>
      </c>
      <c r="BSF68" s="561" t="s">
        <v>1505</v>
      </c>
      <c r="BSG68" s="561" t="s">
        <v>1505</v>
      </c>
      <c r="BSH68" s="561" t="s">
        <v>1505</v>
      </c>
      <c r="BSI68" s="561" t="s">
        <v>1505</v>
      </c>
      <c r="BSJ68" s="561" t="s">
        <v>1505</v>
      </c>
      <c r="BSK68" s="561" t="s">
        <v>1505</v>
      </c>
      <c r="BSL68" s="561" t="s">
        <v>1505</v>
      </c>
      <c r="BSM68" s="561" t="s">
        <v>1505</v>
      </c>
      <c r="BSN68" s="561" t="s">
        <v>1505</v>
      </c>
      <c r="BSO68" s="561" t="s">
        <v>1505</v>
      </c>
      <c r="BSP68" s="561" t="s">
        <v>1505</v>
      </c>
      <c r="BSQ68" s="561" t="s">
        <v>1505</v>
      </c>
      <c r="BSR68" s="561" t="s">
        <v>1505</v>
      </c>
      <c r="BSS68" s="561" t="s">
        <v>1505</v>
      </c>
      <c r="BST68" s="561" t="s">
        <v>1505</v>
      </c>
      <c r="BSU68" s="561" t="s">
        <v>1505</v>
      </c>
      <c r="BSV68" s="561" t="s">
        <v>1505</v>
      </c>
      <c r="BSW68" s="561" t="s">
        <v>1505</v>
      </c>
      <c r="BSX68" s="561" t="s">
        <v>1505</v>
      </c>
      <c r="BSY68" s="561" t="s">
        <v>1505</v>
      </c>
      <c r="BSZ68" s="561" t="s">
        <v>1505</v>
      </c>
      <c r="BTA68" s="561" t="s">
        <v>1505</v>
      </c>
      <c r="BTB68" s="561" t="s">
        <v>1505</v>
      </c>
      <c r="BTC68" s="561" t="s">
        <v>1505</v>
      </c>
      <c r="BTD68" s="561" t="s">
        <v>1505</v>
      </c>
      <c r="BTE68" s="561" t="s">
        <v>1505</v>
      </c>
      <c r="BTF68" s="561" t="s">
        <v>1505</v>
      </c>
      <c r="BTG68" s="561" t="s">
        <v>1505</v>
      </c>
      <c r="BTH68" s="561" t="s">
        <v>1505</v>
      </c>
      <c r="BTI68" s="561" t="s">
        <v>1505</v>
      </c>
      <c r="BTJ68" s="561" t="s">
        <v>1505</v>
      </c>
      <c r="BTK68" s="561" t="s">
        <v>1505</v>
      </c>
      <c r="BTL68" s="561" t="s">
        <v>1505</v>
      </c>
      <c r="BTM68" s="561" t="s">
        <v>1505</v>
      </c>
      <c r="BTN68" s="561" t="s">
        <v>1505</v>
      </c>
      <c r="BTO68" s="561" t="s">
        <v>1505</v>
      </c>
      <c r="BTP68" s="561" t="s">
        <v>1505</v>
      </c>
      <c r="BTQ68" s="561" t="s">
        <v>1505</v>
      </c>
      <c r="BTR68" s="561" t="s">
        <v>1505</v>
      </c>
      <c r="BTS68" s="561" t="s">
        <v>1505</v>
      </c>
      <c r="BTT68" s="561" t="s">
        <v>1505</v>
      </c>
      <c r="BTU68" s="561" t="s">
        <v>1505</v>
      </c>
      <c r="BTV68" s="561" t="s">
        <v>1505</v>
      </c>
      <c r="BTW68" s="561" t="s">
        <v>1505</v>
      </c>
      <c r="BTX68" s="561" t="s">
        <v>1505</v>
      </c>
      <c r="BTY68" s="561" t="s">
        <v>1505</v>
      </c>
      <c r="BTZ68" s="561" t="s">
        <v>1505</v>
      </c>
      <c r="BUA68" s="561" t="s">
        <v>1505</v>
      </c>
      <c r="BUB68" s="561" t="s">
        <v>1505</v>
      </c>
      <c r="BUC68" s="561" t="s">
        <v>1505</v>
      </c>
      <c r="BUD68" s="561" t="s">
        <v>1505</v>
      </c>
      <c r="BUE68" s="561" t="s">
        <v>1505</v>
      </c>
      <c r="BUF68" s="561" t="s">
        <v>1505</v>
      </c>
      <c r="BUG68" s="561" t="s">
        <v>1505</v>
      </c>
      <c r="BUH68" s="561" t="s">
        <v>1505</v>
      </c>
      <c r="BUI68" s="561" t="s">
        <v>1505</v>
      </c>
      <c r="BUJ68" s="561" t="s">
        <v>1505</v>
      </c>
      <c r="BUK68" s="561" t="s">
        <v>1505</v>
      </c>
      <c r="BUL68" s="561" t="s">
        <v>1505</v>
      </c>
      <c r="BUM68" s="561" t="s">
        <v>1505</v>
      </c>
      <c r="BUN68" s="561" t="s">
        <v>1505</v>
      </c>
      <c r="BUO68" s="561" t="s">
        <v>1505</v>
      </c>
      <c r="BUP68" s="561" t="s">
        <v>1505</v>
      </c>
      <c r="BUQ68" s="561" t="s">
        <v>1505</v>
      </c>
      <c r="BUR68" s="561" t="s">
        <v>1505</v>
      </c>
      <c r="BUS68" s="561" t="s">
        <v>1505</v>
      </c>
      <c r="BUT68" s="561" t="s">
        <v>1505</v>
      </c>
      <c r="BUU68" s="561" t="s">
        <v>1505</v>
      </c>
      <c r="BUV68" s="561" t="s">
        <v>1505</v>
      </c>
      <c r="BUW68" s="561" t="s">
        <v>1505</v>
      </c>
      <c r="BUX68" s="561" t="s">
        <v>1505</v>
      </c>
      <c r="BUY68" s="561" t="s">
        <v>1505</v>
      </c>
      <c r="BUZ68" s="561" t="s">
        <v>1505</v>
      </c>
      <c r="BVA68" s="561" t="s">
        <v>1505</v>
      </c>
      <c r="BVB68" s="561" t="s">
        <v>1505</v>
      </c>
      <c r="BVC68" s="561" t="s">
        <v>1505</v>
      </c>
      <c r="BVD68" s="561" t="s">
        <v>1505</v>
      </c>
      <c r="BVE68" s="561" t="s">
        <v>1505</v>
      </c>
      <c r="BVF68" s="561" t="s">
        <v>1505</v>
      </c>
      <c r="BVG68" s="561" t="s">
        <v>1505</v>
      </c>
      <c r="BVH68" s="561" t="s">
        <v>1505</v>
      </c>
      <c r="BVI68" s="561" t="s">
        <v>1505</v>
      </c>
      <c r="BVJ68" s="561" t="s">
        <v>1505</v>
      </c>
      <c r="BVK68" s="561" t="s">
        <v>1505</v>
      </c>
      <c r="BVL68" s="561" t="s">
        <v>1505</v>
      </c>
      <c r="BVM68" s="561" t="s">
        <v>1505</v>
      </c>
      <c r="BVN68" s="561" t="s">
        <v>1505</v>
      </c>
      <c r="BVO68" s="561" t="s">
        <v>1505</v>
      </c>
      <c r="BVP68" s="561" t="s">
        <v>1505</v>
      </c>
      <c r="BVQ68" s="561" t="s">
        <v>1505</v>
      </c>
      <c r="BVR68" s="561" t="s">
        <v>1505</v>
      </c>
      <c r="BVS68" s="561" t="s">
        <v>1505</v>
      </c>
      <c r="BVT68" s="561" t="s">
        <v>1505</v>
      </c>
      <c r="BVU68" s="561" t="s">
        <v>1505</v>
      </c>
      <c r="BVV68" s="561" t="s">
        <v>1505</v>
      </c>
      <c r="BVW68" s="561" t="s">
        <v>1505</v>
      </c>
      <c r="BVX68" s="561" t="s">
        <v>1505</v>
      </c>
      <c r="BVY68" s="561" t="s">
        <v>1505</v>
      </c>
      <c r="BVZ68" s="561" t="s">
        <v>1505</v>
      </c>
      <c r="BWA68" s="561" t="s">
        <v>1505</v>
      </c>
      <c r="BWB68" s="561" t="s">
        <v>1505</v>
      </c>
      <c r="BWC68" s="561" t="s">
        <v>1505</v>
      </c>
      <c r="BWD68" s="561" t="s">
        <v>1505</v>
      </c>
      <c r="BWE68" s="561" t="s">
        <v>1505</v>
      </c>
      <c r="BWF68" s="561" t="s">
        <v>1505</v>
      </c>
      <c r="BWG68" s="561" t="s">
        <v>1505</v>
      </c>
      <c r="BWH68" s="561" t="s">
        <v>1505</v>
      </c>
      <c r="BWI68" s="561" t="s">
        <v>1505</v>
      </c>
      <c r="BWJ68" s="561" t="s">
        <v>1505</v>
      </c>
      <c r="BWK68" s="561" t="s">
        <v>1505</v>
      </c>
      <c r="BWL68" s="561" t="s">
        <v>1505</v>
      </c>
      <c r="BWM68" s="561" t="s">
        <v>1505</v>
      </c>
      <c r="BWN68" s="561" t="s">
        <v>1505</v>
      </c>
      <c r="BWO68" s="561" t="s">
        <v>1505</v>
      </c>
      <c r="BWP68" s="561" t="s">
        <v>1505</v>
      </c>
      <c r="BWQ68" s="561" t="s">
        <v>1505</v>
      </c>
      <c r="BWR68" s="561" t="s">
        <v>1505</v>
      </c>
      <c r="BWS68" s="561" t="s">
        <v>1505</v>
      </c>
      <c r="BWT68" s="561" t="s">
        <v>1505</v>
      </c>
      <c r="BWU68" s="561" t="s">
        <v>1505</v>
      </c>
      <c r="BWV68" s="561" t="s">
        <v>1505</v>
      </c>
      <c r="BWW68" s="561" t="s">
        <v>1505</v>
      </c>
      <c r="BWX68" s="561" t="s">
        <v>1505</v>
      </c>
      <c r="BWY68" s="561" t="s">
        <v>1505</v>
      </c>
      <c r="BWZ68" s="561" t="s">
        <v>1505</v>
      </c>
      <c r="BXA68" s="561" t="s">
        <v>1505</v>
      </c>
      <c r="BXB68" s="561" t="s">
        <v>1505</v>
      </c>
      <c r="BXC68" s="561" t="s">
        <v>1505</v>
      </c>
      <c r="BXD68" s="561" t="s">
        <v>1505</v>
      </c>
      <c r="BXE68" s="561" t="s">
        <v>1505</v>
      </c>
      <c r="BXF68" s="561" t="s">
        <v>1505</v>
      </c>
      <c r="BXG68" s="561" t="s">
        <v>1505</v>
      </c>
      <c r="BXH68" s="561" t="s">
        <v>1505</v>
      </c>
      <c r="BXI68" s="561" t="s">
        <v>1505</v>
      </c>
      <c r="BXJ68" s="561" t="s">
        <v>1505</v>
      </c>
      <c r="BXK68" s="561" t="s">
        <v>1505</v>
      </c>
      <c r="BXL68" s="561" t="s">
        <v>1505</v>
      </c>
      <c r="BXM68" s="561" t="s">
        <v>1505</v>
      </c>
      <c r="BXN68" s="561" t="s">
        <v>1505</v>
      </c>
      <c r="BXO68" s="561" t="s">
        <v>1505</v>
      </c>
      <c r="BXP68" s="561" t="s">
        <v>1505</v>
      </c>
      <c r="BXQ68" s="561" t="s">
        <v>1505</v>
      </c>
      <c r="BXR68" s="561" t="s">
        <v>1505</v>
      </c>
      <c r="BXS68" s="561" t="s">
        <v>1505</v>
      </c>
      <c r="BXT68" s="561" t="s">
        <v>1505</v>
      </c>
      <c r="BXU68" s="561" t="s">
        <v>1505</v>
      </c>
      <c r="BXV68" s="561" t="s">
        <v>1505</v>
      </c>
      <c r="BXW68" s="561" t="s">
        <v>1505</v>
      </c>
      <c r="BXX68" s="561" t="s">
        <v>1505</v>
      </c>
      <c r="BXY68" s="561" t="s">
        <v>1505</v>
      </c>
      <c r="BXZ68" s="561" t="s">
        <v>1505</v>
      </c>
      <c r="BYA68" s="561" t="s">
        <v>1505</v>
      </c>
      <c r="BYB68" s="561" t="s">
        <v>1505</v>
      </c>
      <c r="BYC68" s="561" t="s">
        <v>1505</v>
      </c>
      <c r="BYD68" s="561" t="s">
        <v>1505</v>
      </c>
      <c r="BYE68" s="561" t="s">
        <v>1505</v>
      </c>
      <c r="BYF68" s="561" t="s">
        <v>1505</v>
      </c>
      <c r="BYG68" s="561" t="s">
        <v>1505</v>
      </c>
      <c r="BYH68" s="561" t="s">
        <v>1505</v>
      </c>
      <c r="BYI68" s="561" t="s">
        <v>1505</v>
      </c>
      <c r="BYJ68" s="561" t="s">
        <v>1505</v>
      </c>
      <c r="BYK68" s="561" t="s">
        <v>1505</v>
      </c>
      <c r="BYL68" s="561" t="s">
        <v>1505</v>
      </c>
      <c r="BYM68" s="561" t="s">
        <v>1505</v>
      </c>
      <c r="BYN68" s="561" t="s">
        <v>1505</v>
      </c>
      <c r="BYO68" s="561" t="s">
        <v>1505</v>
      </c>
      <c r="BYP68" s="561" t="s">
        <v>1505</v>
      </c>
      <c r="BYQ68" s="561" t="s">
        <v>1505</v>
      </c>
      <c r="BYR68" s="561" t="s">
        <v>1505</v>
      </c>
      <c r="BYS68" s="561" t="s">
        <v>1505</v>
      </c>
      <c r="BYT68" s="561" t="s">
        <v>1505</v>
      </c>
      <c r="BYU68" s="561" t="s">
        <v>1505</v>
      </c>
      <c r="BYV68" s="561" t="s">
        <v>1505</v>
      </c>
      <c r="BYW68" s="561" t="s">
        <v>1505</v>
      </c>
      <c r="BYX68" s="561" t="s">
        <v>1505</v>
      </c>
      <c r="BYY68" s="561" t="s">
        <v>1505</v>
      </c>
      <c r="BYZ68" s="561" t="s">
        <v>1505</v>
      </c>
      <c r="BZA68" s="561" t="s">
        <v>1505</v>
      </c>
      <c r="BZB68" s="561" t="s">
        <v>1505</v>
      </c>
      <c r="BZC68" s="561" t="s">
        <v>1505</v>
      </c>
      <c r="BZD68" s="561" t="s">
        <v>1505</v>
      </c>
      <c r="BZE68" s="561" t="s">
        <v>1505</v>
      </c>
      <c r="BZF68" s="561" t="s">
        <v>1505</v>
      </c>
      <c r="BZG68" s="561" t="s">
        <v>1505</v>
      </c>
      <c r="BZH68" s="561" t="s">
        <v>1505</v>
      </c>
      <c r="BZI68" s="561" t="s">
        <v>1505</v>
      </c>
      <c r="BZJ68" s="561" t="s">
        <v>1505</v>
      </c>
      <c r="BZK68" s="561" t="s">
        <v>1505</v>
      </c>
      <c r="BZL68" s="561" t="s">
        <v>1505</v>
      </c>
      <c r="BZM68" s="561" t="s">
        <v>1505</v>
      </c>
      <c r="BZN68" s="561" t="s">
        <v>1505</v>
      </c>
      <c r="BZO68" s="561" t="s">
        <v>1505</v>
      </c>
      <c r="BZP68" s="561" t="s">
        <v>1505</v>
      </c>
      <c r="BZQ68" s="561" t="s">
        <v>1505</v>
      </c>
      <c r="BZR68" s="561" t="s">
        <v>1505</v>
      </c>
      <c r="BZS68" s="561" t="s">
        <v>1505</v>
      </c>
      <c r="BZT68" s="561" t="s">
        <v>1505</v>
      </c>
      <c r="BZU68" s="561" t="s">
        <v>1505</v>
      </c>
      <c r="BZV68" s="561" t="s">
        <v>1505</v>
      </c>
      <c r="BZW68" s="561" t="s">
        <v>1505</v>
      </c>
      <c r="BZX68" s="561" t="s">
        <v>1505</v>
      </c>
      <c r="BZY68" s="561" t="s">
        <v>1505</v>
      </c>
      <c r="BZZ68" s="561" t="s">
        <v>1505</v>
      </c>
      <c r="CAA68" s="561" t="s">
        <v>1505</v>
      </c>
      <c r="CAB68" s="561" t="s">
        <v>1505</v>
      </c>
      <c r="CAC68" s="561" t="s">
        <v>1505</v>
      </c>
      <c r="CAD68" s="561" t="s">
        <v>1505</v>
      </c>
      <c r="CAE68" s="561" t="s">
        <v>1505</v>
      </c>
      <c r="CAF68" s="561" t="s">
        <v>1505</v>
      </c>
      <c r="CAG68" s="561" t="s">
        <v>1505</v>
      </c>
      <c r="CAH68" s="561" t="s">
        <v>1505</v>
      </c>
      <c r="CAI68" s="561" t="s">
        <v>1505</v>
      </c>
      <c r="CAJ68" s="561" t="s">
        <v>1505</v>
      </c>
      <c r="CAK68" s="561" t="s">
        <v>1505</v>
      </c>
      <c r="CAL68" s="561" t="s">
        <v>1505</v>
      </c>
      <c r="CAM68" s="561" t="s">
        <v>1505</v>
      </c>
      <c r="CAN68" s="561" t="s">
        <v>1505</v>
      </c>
      <c r="CAO68" s="561" t="s">
        <v>1505</v>
      </c>
      <c r="CAP68" s="561" t="s">
        <v>1505</v>
      </c>
      <c r="CAQ68" s="561" t="s">
        <v>1505</v>
      </c>
      <c r="CAR68" s="561" t="s">
        <v>1505</v>
      </c>
      <c r="CAS68" s="561" t="s">
        <v>1505</v>
      </c>
      <c r="CAT68" s="561" t="s">
        <v>1505</v>
      </c>
      <c r="CAU68" s="561" t="s">
        <v>1505</v>
      </c>
      <c r="CAV68" s="561" t="s">
        <v>1505</v>
      </c>
      <c r="CAW68" s="561" t="s">
        <v>1505</v>
      </c>
      <c r="CAX68" s="561" t="s">
        <v>1505</v>
      </c>
      <c r="CAY68" s="561" t="s">
        <v>1505</v>
      </c>
      <c r="CAZ68" s="561" t="s">
        <v>1505</v>
      </c>
      <c r="CBA68" s="561" t="s">
        <v>1505</v>
      </c>
      <c r="CBB68" s="561" t="s">
        <v>1505</v>
      </c>
      <c r="CBC68" s="561" t="s">
        <v>1505</v>
      </c>
      <c r="CBD68" s="561" t="s">
        <v>1505</v>
      </c>
      <c r="CBE68" s="561" t="s">
        <v>1505</v>
      </c>
      <c r="CBF68" s="561" t="s">
        <v>1505</v>
      </c>
      <c r="CBG68" s="561" t="s">
        <v>1505</v>
      </c>
      <c r="CBH68" s="561" t="s">
        <v>1505</v>
      </c>
      <c r="CBI68" s="561" t="s">
        <v>1505</v>
      </c>
      <c r="CBJ68" s="561" t="s">
        <v>1505</v>
      </c>
      <c r="CBK68" s="561" t="s">
        <v>1505</v>
      </c>
      <c r="CBL68" s="561" t="s">
        <v>1505</v>
      </c>
      <c r="CBM68" s="561" t="s">
        <v>1505</v>
      </c>
      <c r="CBN68" s="561" t="s">
        <v>1505</v>
      </c>
      <c r="CBO68" s="561" t="s">
        <v>1505</v>
      </c>
      <c r="CBP68" s="561" t="s">
        <v>1505</v>
      </c>
      <c r="CBQ68" s="561" t="s">
        <v>1505</v>
      </c>
      <c r="CBR68" s="561" t="s">
        <v>1505</v>
      </c>
      <c r="CBS68" s="561" t="s">
        <v>1505</v>
      </c>
      <c r="CBT68" s="561" t="s">
        <v>1505</v>
      </c>
      <c r="CBU68" s="561" t="s">
        <v>1505</v>
      </c>
      <c r="CBV68" s="561" t="s">
        <v>1505</v>
      </c>
      <c r="CBW68" s="561" t="s">
        <v>1505</v>
      </c>
      <c r="CBX68" s="561" t="s">
        <v>1505</v>
      </c>
      <c r="CBY68" s="561" t="s">
        <v>1505</v>
      </c>
      <c r="CBZ68" s="561" t="s">
        <v>1505</v>
      </c>
      <c r="CCA68" s="561" t="s">
        <v>1505</v>
      </c>
      <c r="CCB68" s="561" t="s">
        <v>1505</v>
      </c>
      <c r="CCC68" s="561" t="s">
        <v>1505</v>
      </c>
      <c r="CCD68" s="561" t="s">
        <v>1505</v>
      </c>
      <c r="CCE68" s="561" t="s">
        <v>1505</v>
      </c>
      <c r="CCF68" s="561" t="s">
        <v>1505</v>
      </c>
      <c r="CCG68" s="561" t="s">
        <v>1505</v>
      </c>
      <c r="CCH68" s="561" t="s">
        <v>1505</v>
      </c>
      <c r="CCI68" s="561" t="s">
        <v>1505</v>
      </c>
      <c r="CCJ68" s="561" t="s">
        <v>1505</v>
      </c>
      <c r="CCK68" s="561" t="s">
        <v>1505</v>
      </c>
      <c r="CCL68" s="561" t="s">
        <v>1505</v>
      </c>
      <c r="CCM68" s="561" t="s">
        <v>1505</v>
      </c>
      <c r="CCN68" s="561" t="s">
        <v>1505</v>
      </c>
      <c r="CCO68" s="561" t="s">
        <v>1505</v>
      </c>
      <c r="CCP68" s="561" t="s">
        <v>1505</v>
      </c>
      <c r="CCQ68" s="561" t="s">
        <v>1505</v>
      </c>
      <c r="CCR68" s="561" t="s">
        <v>1505</v>
      </c>
      <c r="CCS68" s="561" t="s">
        <v>1505</v>
      </c>
      <c r="CCT68" s="561" t="s">
        <v>1505</v>
      </c>
      <c r="CCU68" s="561" t="s">
        <v>1505</v>
      </c>
      <c r="CCV68" s="561" t="s">
        <v>1505</v>
      </c>
      <c r="CCW68" s="561" t="s">
        <v>1505</v>
      </c>
      <c r="CCX68" s="561" t="s">
        <v>1505</v>
      </c>
      <c r="CCY68" s="561" t="s">
        <v>1505</v>
      </c>
      <c r="CCZ68" s="561" t="s">
        <v>1505</v>
      </c>
      <c r="CDA68" s="561" t="s">
        <v>1505</v>
      </c>
      <c r="CDB68" s="561" t="s">
        <v>1505</v>
      </c>
      <c r="CDC68" s="561" t="s">
        <v>1505</v>
      </c>
      <c r="CDD68" s="561" t="s">
        <v>1505</v>
      </c>
      <c r="CDE68" s="561" t="s">
        <v>1505</v>
      </c>
      <c r="CDF68" s="561" t="s">
        <v>1505</v>
      </c>
      <c r="CDG68" s="561" t="s">
        <v>1505</v>
      </c>
      <c r="CDH68" s="561" t="s">
        <v>1505</v>
      </c>
      <c r="CDI68" s="561" t="s">
        <v>1505</v>
      </c>
      <c r="CDJ68" s="561" t="s">
        <v>1505</v>
      </c>
      <c r="CDK68" s="561" t="s">
        <v>1505</v>
      </c>
      <c r="CDL68" s="561" t="s">
        <v>1505</v>
      </c>
      <c r="CDM68" s="561" t="s">
        <v>1505</v>
      </c>
      <c r="CDN68" s="561" t="s">
        <v>1505</v>
      </c>
      <c r="CDO68" s="561" t="s">
        <v>1505</v>
      </c>
      <c r="CDP68" s="561" t="s">
        <v>1505</v>
      </c>
      <c r="CDQ68" s="561" t="s">
        <v>1505</v>
      </c>
      <c r="CDR68" s="561" t="s">
        <v>1505</v>
      </c>
      <c r="CDS68" s="561" t="s">
        <v>1505</v>
      </c>
      <c r="CDT68" s="561" t="s">
        <v>1505</v>
      </c>
      <c r="CDU68" s="561" t="s">
        <v>1505</v>
      </c>
      <c r="CDV68" s="561" t="s">
        <v>1505</v>
      </c>
      <c r="CDW68" s="561" t="s">
        <v>1505</v>
      </c>
      <c r="CDX68" s="561" t="s">
        <v>1505</v>
      </c>
      <c r="CDY68" s="561" t="s">
        <v>1505</v>
      </c>
      <c r="CDZ68" s="561" t="s">
        <v>1505</v>
      </c>
      <c r="CEA68" s="561" t="s">
        <v>1505</v>
      </c>
      <c r="CEB68" s="561" t="s">
        <v>1505</v>
      </c>
      <c r="CEC68" s="561" t="s">
        <v>1505</v>
      </c>
      <c r="CED68" s="561" t="s">
        <v>1505</v>
      </c>
      <c r="CEE68" s="561" t="s">
        <v>1505</v>
      </c>
      <c r="CEF68" s="561" t="s">
        <v>1505</v>
      </c>
      <c r="CEG68" s="561" t="s">
        <v>1505</v>
      </c>
      <c r="CEH68" s="561" t="s">
        <v>1505</v>
      </c>
      <c r="CEI68" s="561" t="s">
        <v>1505</v>
      </c>
      <c r="CEJ68" s="561" t="s">
        <v>1505</v>
      </c>
      <c r="CEK68" s="561" t="s">
        <v>1505</v>
      </c>
      <c r="CEL68" s="561" t="s">
        <v>1505</v>
      </c>
      <c r="CEM68" s="561" t="s">
        <v>1505</v>
      </c>
      <c r="CEN68" s="561" t="s">
        <v>1505</v>
      </c>
      <c r="CEO68" s="561" t="s">
        <v>1505</v>
      </c>
      <c r="CEP68" s="561" t="s">
        <v>1505</v>
      </c>
      <c r="CEQ68" s="561" t="s">
        <v>1505</v>
      </c>
      <c r="CER68" s="561" t="s">
        <v>1505</v>
      </c>
      <c r="CES68" s="561" t="s">
        <v>1505</v>
      </c>
      <c r="CET68" s="561" t="s">
        <v>1505</v>
      </c>
      <c r="CEU68" s="561" t="s">
        <v>1505</v>
      </c>
      <c r="CEV68" s="561" t="s">
        <v>1505</v>
      </c>
      <c r="CEW68" s="561" t="s">
        <v>1505</v>
      </c>
      <c r="CEX68" s="561" t="s">
        <v>1505</v>
      </c>
      <c r="CEY68" s="561" t="s">
        <v>1505</v>
      </c>
      <c r="CEZ68" s="561" t="s">
        <v>1505</v>
      </c>
      <c r="CFA68" s="561" t="s">
        <v>1505</v>
      </c>
      <c r="CFB68" s="561" t="s">
        <v>1505</v>
      </c>
      <c r="CFC68" s="561" t="s">
        <v>1505</v>
      </c>
      <c r="CFD68" s="561" t="s">
        <v>1505</v>
      </c>
      <c r="CFE68" s="561" t="s">
        <v>1505</v>
      </c>
      <c r="CFF68" s="561" t="s">
        <v>1505</v>
      </c>
      <c r="CFG68" s="561" t="s">
        <v>1505</v>
      </c>
      <c r="CFH68" s="561" t="s">
        <v>1505</v>
      </c>
      <c r="CFI68" s="561" t="s">
        <v>1505</v>
      </c>
      <c r="CFJ68" s="561" t="s">
        <v>1505</v>
      </c>
      <c r="CFK68" s="561" t="s">
        <v>1505</v>
      </c>
      <c r="CFL68" s="561" t="s">
        <v>1505</v>
      </c>
      <c r="CFM68" s="561" t="s">
        <v>1505</v>
      </c>
      <c r="CFN68" s="561" t="s">
        <v>1505</v>
      </c>
      <c r="CFO68" s="561" t="s">
        <v>1505</v>
      </c>
      <c r="CFP68" s="561" t="s">
        <v>1505</v>
      </c>
      <c r="CFQ68" s="561" t="s">
        <v>1505</v>
      </c>
      <c r="CFR68" s="561" t="s">
        <v>1505</v>
      </c>
      <c r="CFS68" s="561" t="s">
        <v>1505</v>
      </c>
      <c r="CFT68" s="561" t="s">
        <v>1505</v>
      </c>
      <c r="CFU68" s="561" t="s">
        <v>1505</v>
      </c>
      <c r="CFV68" s="561" t="s">
        <v>1505</v>
      </c>
      <c r="CFW68" s="561" t="s">
        <v>1505</v>
      </c>
      <c r="CFX68" s="561" t="s">
        <v>1505</v>
      </c>
      <c r="CFY68" s="561" t="s">
        <v>1505</v>
      </c>
      <c r="CFZ68" s="561" t="s">
        <v>1505</v>
      </c>
      <c r="CGA68" s="561" t="s">
        <v>1505</v>
      </c>
      <c r="CGB68" s="561" t="s">
        <v>1505</v>
      </c>
      <c r="CGC68" s="561" t="s">
        <v>1505</v>
      </c>
      <c r="CGD68" s="561" t="s">
        <v>1505</v>
      </c>
      <c r="CGE68" s="561" t="s">
        <v>1505</v>
      </c>
      <c r="CGF68" s="561" t="s">
        <v>1505</v>
      </c>
      <c r="CGG68" s="561" t="s">
        <v>1505</v>
      </c>
      <c r="CGH68" s="561" t="s">
        <v>1505</v>
      </c>
      <c r="CGI68" s="561" t="s">
        <v>1505</v>
      </c>
      <c r="CGJ68" s="561" t="s">
        <v>1505</v>
      </c>
      <c r="CGK68" s="561" t="s">
        <v>1505</v>
      </c>
      <c r="CGL68" s="561" t="s">
        <v>1505</v>
      </c>
      <c r="CGM68" s="561" t="s">
        <v>1505</v>
      </c>
      <c r="CGN68" s="561" t="s">
        <v>1505</v>
      </c>
      <c r="CGO68" s="561" t="s">
        <v>1505</v>
      </c>
      <c r="CGP68" s="561" t="s">
        <v>1505</v>
      </c>
      <c r="CGQ68" s="561" t="s">
        <v>1505</v>
      </c>
      <c r="CGR68" s="561" t="s">
        <v>1505</v>
      </c>
      <c r="CGS68" s="561" t="s">
        <v>1505</v>
      </c>
      <c r="CGT68" s="561" t="s">
        <v>1505</v>
      </c>
      <c r="CGU68" s="561" t="s">
        <v>1505</v>
      </c>
      <c r="CGV68" s="561" t="s">
        <v>1505</v>
      </c>
      <c r="CGW68" s="561" t="s">
        <v>1505</v>
      </c>
      <c r="CGX68" s="561" t="s">
        <v>1505</v>
      </c>
      <c r="CGY68" s="561" t="s">
        <v>1505</v>
      </c>
      <c r="CGZ68" s="561" t="s">
        <v>1505</v>
      </c>
      <c r="CHA68" s="561" t="s">
        <v>1505</v>
      </c>
      <c r="CHB68" s="561" t="s">
        <v>1505</v>
      </c>
      <c r="CHC68" s="561" t="s">
        <v>1505</v>
      </c>
      <c r="CHD68" s="561" t="s">
        <v>1505</v>
      </c>
      <c r="CHE68" s="561" t="s">
        <v>1505</v>
      </c>
      <c r="CHF68" s="561" t="s">
        <v>1505</v>
      </c>
      <c r="CHG68" s="561" t="s">
        <v>1505</v>
      </c>
      <c r="CHH68" s="561" t="s">
        <v>1505</v>
      </c>
      <c r="CHI68" s="561" t="s">
        <v>1505</v>
      </c>
      <c r="CHJ68" s="561" t="s">
        <v>1505</v>
      </c>
      <c r="CHK68" s="561" t="s">
        <v>1505</v>
      </c>
      <c r="CHL68" s="561" t="s">
        <v>1505</v>
      </c>
      <c r="CHM68" s="561" t="s">
        <v>1505</v>
      </c>
      <c r="CHN68" s="561" t="s">
        <v>1505</v>
      </c>
      <c r="CHO68" s="561" t="s">
        <v>1505</v>
      </c>
      <c r="CHP68" s="561" t="s">
        <v>1505</v>
      </c>
      <c r="CHQ68" s="561" t="s">
        <v>1505</v>
      </c>
      <c r="CHR68" s="561" t="s">
        <v>1505</v>
      </c>
      <c r="CHS68" s="561" t="s">
        <v>1505</v>
      </c>
      <c r="CHT68" s="561" t="s">
        <v>1505</v>
      </c>
      <c r="CHU68" s="561" t="s">
        <v>1505</v>
      </c>
      <c r="CHV68" s="561" t="s">
        <v>1505</v>
      </c>
      <c r="CHW68" s="561" t="s">
        <v>1505</v>
      </c>
      <c r="CHX68" s="561" t="s">
        <v>1505</v>
      </c>
      <c r="CHY68" s="561" t="s">
        <v>1505</v>
      </c>
      <c r="CHZ68" s="561" t="s">
        <v>1505</v>
      </c>
      <c r="CIA68" s="561" t="s">
        <v>1505</v>
      </c>
      <c r="CIB68" s="561" t="s">
        <v>1505</v>
      </c>
      <c r="CIC68" s="561" t="s">
        <v>1505</v>
      </c>
      <c r="CID68" s="561" t="s">
        <v>1505</v>
      </c>
      <c r="CIE68" s="561" t="s">
        <v>1505</v>
      </c>
      <c r="CIF68" s="561" t="s">
        <v>1505</v>
      </c>
      <c r="CIG68" s="561" t="s">
        <v>1505</v>
      </c>
      <c r="CIH68" s="561" t="s">
        <v>1505</v>
      </c>
      <c r="CII68" s="561" t="s">
        <v>1505</v>
      </c>
      <c r="CIJ68" s="561" t="s">
        <v>1505</v>
      </c>
      <c r="CIK68" s="561" t="s">
        <v>1505</v>
      </c>
      <c r="CIL68" s="561" t="s">
        <v>1505</v>
      </c>
      <c r="CIM68" s="561" t="s">
        <v>1505</v>
      </c>
      <c r="CIN68" s="561" t="s">
        <v>1505</v>
      </c>
      <c r="CIO68" s="561" t="s">
        <v>1505</v>
      </c>
      <c r="CIP68" s="561" t="s">
        <v>1505</v>
      </c>
      <c r="CIQ68" s="561" t="s">
        <v>1505</v>
      </c>
      <c r="CIR68" s="561" t="s">
        <v>1505</v>
      </c>
      <c r="CIS68" s="561" t="s">
        <v>1505</v>
      </c>
      <c r="CIT68" s="561" t="s">
        <v>1505</v>
      </c>
      <c r="CIU68" s="561" t="s">
        <v>1505</v>
      </c>
      <c r="CIV68" s="561" t="s">
        <v>1505</v>
      </c>
      <c r="CIW68" s="561" t="s">
        <v>1505</v>
      </c>
      <c r="CIX68" s="561" t="s">
        <v>1505</v>
      </c>
      <c r="CIY68" s="561" t="s">
        <v>1505</v>
      </c>
      <c r="CIZ68" s="561" t="s">
        <v>1505</v>
      </c>
      <c r="CJA68" s="561" t="s">
        <v>1505</v>
      </c>
      <c r="CJB68" s="561" t="s">
        <v>1505</v>
      </c>
      <c r="CJC68" s="561" t="s">
        <v>1505</v>
      </c>
      <c r="CJD68" s="561" t="s">
        <v>1505</v>
      </c>
      <c r="CJE68" s="561" t="s">
        <v>1505</v>
      </c>
      <c r="CJF68" s="561" t="s">
        <v>1505</v>
      </c>
      <c r="CJG68" s="561" t="s">
        <v>1505</v>
      </c>
      <c r="CJH68" s="561" t="s">
        <v>1505</v>
      </c>
      <c r="CJI68" s="561" t="s">
        <v>1505</v>
      </c>
      <c r="CJJ68" s="561" t="s">
        <v>1505</v>
      </c>
      <c r="CJK68" s="561" t="s">
        <v>1505</v>
      </c>
      <c r="CJL68" s="561" t="s">
        <v>1505</v>
      </c>
      <c r="CJM68" s="561" t="s">
        <v>1505</v>
      </c>
      <c r="CJN68" s="561" t="s">
        <v>1505</v>
      </c>
      <c r="CJO68" s="561" t="s">
        <v>1505</v>
      </c>
      <c r="CJP68" s="561" t="s">
        <v>1505</v>
      </c>
      <c r="CJQ68" s="561" t="s">
        <v>1505</v>
      </c>
      <c r="CJR68" s="561" t="s">
        <v>1505</v>
      </c>
      <c r="CJS68" s="561" t="s">
        <v>1505</v>
      </c>
      <c r="CJT68" s="561" t="s">
        <v>1505</v>
      </c>
      <c r="CJU68" s="561" t="s">
        <v>1505</v>
      </c>
      <c r="CJV68" s="561" t="s">
        <v>1505</v>
      </c>
      <c r="CJW68" s="561" t="s">
        <v>1505</v>
      </c>
      <c r="CJX68" s="561" t="s">
        <v>1505</v>
      </c>
      <c r="CJY68" s="561" t="s">
        <v>1505</v>
      </c>
      <c r="CJZ68" s="561" t="s">
        <v>1505</v>
      </c>
      <c r="CKA68" s="561" t="s">
        <v>1505</v>
      </c>
      <c r="CKB68" s="561" t="s">
        <v>1505</v>
      </c>
      <c r="CKC68" s="561" t="s">
        <v>1505</v>
      </c>
      <c r="CKD68" s="561" t="s">
        <v>1505</v>
      </c>
      <c r="CKE68" s="561" t="s">
        <v>1505</v>
      </c>
      <c r="CKF68" s="561" t="s">
        <v>1505</v>
      </c>
      <c r="CKG68" s="561" t="s">
        <v>1505</v>
      </c>
      <c r="CKH68" s="561" t="s">
        <v>1505</v>
      </c>
      <c r="CKI68" s="561" t="s">
        <v>1505</v>
      </c>
      <c r="CKJ68" s="561" t="s">
        <v>1505</v>
      </c>
      <c r="CKK68" s="561" t="s">
        <v>1505</v>
      </c>
      <c r="CKL68" s="561" t="s">
        <v>1505</v>
      </c>
      <c r="CKM68" s="561" t="s">
        <v>1505</v>
      </c>
      <c r="CKN68" s="561" t="s">
        <v>1505</v>
      </c>
      <c r="CKO68" s="561" t="s">
        <v>1505</v>
      </c>
      <c r="CKP68" s="561" t="s">
        <v>1505</v>
      </c>
      <c r="CKQ68" s="561" t="s">
        <v>1505</v>
      </c>
      <c r="CKR68" s="561" t="s">
        <v>1505</v>
      </c>
      <c r="CKS68" s="561" t="s">
        <v>1505</v>
      </c>
      <c r="CKT68" s="561" t="s">
        <v>1505</v>
      </c>
      <c r="CKU68" s="561" t="s">
        <v>1505</v>
      </c>
      <c r="CKV68" s="561" t="s">
        <v>1505</v>
      </c>
      <c r="CKW68" s="561" t="s">
        <v>1505</v>
      </c>
      <c r="CKX68" s="561" t="s">
        <v>1505</v>
      </c>
      <c r="CKY68" s="561" t="s">
        <v>1505</v>
      </c>
      <c r="CKZ68" s="561" t="s">
        <v>1505</v>
      </c>
      <c r="CLA68" s="561" t="s">
        <v>1505</v>
      </c>
      <c r="CLB68" s="561" t="s">
        <v>1505</v>
      </c>
      <c r="CLC68" s="561" t="s">
        <v>1505</v>
      </c>
      <c r="CLD68" s="561" t="s">
        <v>1505</v>
      </c>
      <c r="CLE68" s="561" t="s">
        <v>1505</v>
      </c>
      <c r="CLF68" s="561" t="s">
        <v>1505</v>
      </c>
      <c r="CLG68" s="561" t="s">
        <v>1505</v>
      </c>
      <c r="CLH68" s="561" t="s">
        <v>1505</v>
      </c>
      <c r="CLI68" s="561" t="s">
        <v>1505</v>
      </c>
      <c r="CLJ68" s="561" t="s">
        <v>1505</v>
      </c>
      <c r="CLK68" s="561" t="s">
        <v>1505</v>
      </c>
      <c r="CLL68" s="561" t="s">
        <v>1505</v>
      </c>
      <c r="CLM68" s="561" t="s">
        <v>1505</v>
      </c>
      <c r="CLN68" s="561" t="s">
        <v>1505</v>
      </c>
      <c r="CLO68" s="561" t="s">
        <v>1505</v>
      </c>
      <c r="CLP68" s="561" t="s">
        <v>1505</v>
      </c>
      <c r="CLQ68" s="561" t="s">
        <v>1505</v>
      </c>
      <c r="CLR68" s="561" t="s">
        <v>1505</v>
      </c>
      <c r="CLS68" s="561" t="s">
        <v>1505</v>
      </c>
      <c r="CLT68" s="561" t="s">
        <v>1505</v>
      </c>
      <c r="CLU68" s="561" t="s">
        <v>1505</v>
      </c>
      <c r="CLV68" s="561" t="s">
        <v>1505</v>
      </c>
      <c r="CLW68" s="561" t="s">
        <v>1505</v>
      </c>
      <c r="CLX68" s="561" t="s">
        <v>1505</v>
      </c>
      <c r="CLY68" s="561" t="s">
        <v>1505</v>
      </c>
      <c r="CLZ68" s="561" t="s">
        <v>1505</v>
      </c>
      <c r="CMA68" s="561" t="s">
        <v>1505</v>
      </c>
      <c r="CMB68" s="561" t="s">
        <v>1505</v>
      </c>
      <c r="CMC68" s="561" t="s">
        <v>1505</v>
      </c>
      <c r="CMD68" s="561" t="s">
        <v>1505</v>
      </c>
      <c r="CME68" s="561" t="s">
        <v>1505</v>
      </c>
      <c r="CMF68" s="561" t="s">
        <v>1505</v>
      </c>
      <c r="CMG68" s="561" t="s">
        <v>1505</v>
      </c>
      <c r="CMH68" s="561" t="s">
        <v>1505</v>
      </c>
      <c r="CMI68" s="561" t="s">
        <v>1505</v>
      </c>
      <c r="CMJ68" s="561" t="s">
        <v>1505</v>
      </c>
      <c r="CMK68" s="561" t="s">
        <v>1505</v>
      </c>
      <c r="CML68" s="561" t="s">
        <v>1505</v>
      </c>
      <c r="CMM68" s="561" t="s">
        <v>1505</v>
      </c>
      <c r="CMN68" s="561" t="s">
        <v>1505</v>
      </c>
      <c r="CMO68" s="561" t="s">
        <v>1505</v>
      </c>
      <c r="CMP68" s="561" t="s">
        <v>1505</v>
      </c>
      <c r="CMQ68" s="561" t="s">
        <v>1505</v>
      </c>
      <c r="CMR68" s="561" t="s">
        <v>1505</v>
      </c>
      <c r="CMS68" s="561" t="s">
        <v>1505</v>
      </c>
      <c r="CMT68" s="561" t="s">
        <v>1505</v>
      </c>
      <c r="CMU68" s="561" t="s">
        <v>1505</v>
      </c>
      <c r="CMV68" s="561" t="s">
        <v>1505</v>
      </c>
      <c r="CMW68" s="561" t="s">
        <v>1505</v>
      </c>
      <c r="CMX68" s="561" t="s">
        <v>1505</v>
      </c>
      <c r="CMY68" s="561" t="s">
        <v>1505</v>
      </c>
      <c r="CMZ68" s="561" t="s">
        <v>1505</v>
      </c>
      <c r="CNA68" s="561" t="s">
        <v>1505</v>
      </c>
      <c r="CNB68" s="561" t="s">
        <v>1505</v>
      </c>
      <c r="CNC68" s="561" t="s">
        <v>1505</v>
      </c>
      <c r="CND68" s="561" t="s">
        <v>1505</v>
      </c>
      <c r="CNE68" s="561" t="s">
        <v>1505</v>
      </c>
      <c r="CNF68" s="561" t="s">
        <v>1505</v>
      </c>
      <c r="CNG68" s="561" t="s">
        <v>1505</v>
      </c>
      <c r="CNH68" s="561" t="s">
        <v>1505</v>
      </c>
      <c r="CNI68" s="561" t="s">
        <v>1505</v>
      </c>
      <c r="CNJ68" s="561" t="s">
        <v>1505</v>
      </c>
      <c r="CNK68" s="561" t="s">
        <v>1505</v>
      </c>
      <c r="CNL68" s="561" t="s">
        <v>1505</v>
      </c>
      <c r="CNM68" s="561" t="s">
        <v>1505</v>
      </c>
      <c r="CNN68" s="561" t="s">
        <v>1505</v>
      </c>
      <c r="CNO68" s="561" t="s">
        <v>1505</v>
      </c>
      <c r="CNP68" s="561" t="s">
        <v>1505</v>
      </c>
      <c r="CNQ68" s="561" t="s">
        <v>1505</v>
      </c>
      <c r="CNR68" s="561" t="s">
        <v>1505</v>
      </c>
      <c r="CNS68" s="561" t="s">
        <v>1505</v>
      </c>
      <c r="CNT68" s="561" t="s">
        <v>1505</v>
      </c>
      <c r="CNU68" s="561" t="s">
        <v>1505</v>
      </c>
      <c r="CNV68" s="561" t="s">
        <v>1505</v>
      </c>
      <c r="CNW68" s="561" t="s">
        <v>1505</v>
      </c>
      <c r="CNX68" s="561" t="s">
        <v>1505</v>
      </c>
      <c r="CNY68" s="561" t="s">
        <v>1505</v>
      </c>
      <c r="CNZ68" s="561" t="s">
        <v>1505</v>
      </c>
      <c r="COA68" s="561" t="s">
        <v>1505</v>
      </c>
      <c r="COB68" s="561" t="s">
        <v>1505</v>
      </c>
      <c r="COC68" s="561" t="s">
        <v>1505</v>
      </c>
      <c r="COD68" s="561" t="s">
        <v>1505</v>
      </c>
      <c r="COE68" s="561" t="s">
        <v>1505</v>
      </c>
      <c r="COF68" s="561" t="s">
        <v>1505</v>
      </c>
      <c r="COG68" s="561" t="s">
        <v>1505</v>
      </c>
      <c r="COH68" s="561" t="s">
        <v>1505</v>
      </c>
      <c r="COI68" s="561" t="s">
        <v>1505</v>
      </c>
      <c r="COJ68" s="561" t="s">
        <v>1505</v>
      </c>
      <c r="COK68" s="561" t="s">
        <v>1505</v>
      </c>
      <c r="COL68" s="561" t="s">
        <v>1505</v>
      </c>
      <c r="COM68" s="561" t="s">
        <v>1505</v>
      </c>
      <c r="CON68" s="561" t="s">
        <v>1505</v>
      </c>
      <c r="COO68" s="561" t="s">
        <v>1505</v>
      </c>
      <c r="COP68" s="561" t="s">
        <v>1505</v>
      </c>
      <c r="COQ68" s="561" t="s">
        <v>1505</v>
      </c>
      <c r="COR68" s="561" t="s">
        <v>1505</v>
      </c>
      <c r="COS68" s="561" t="s">
        <v>1505</v>
      </c>
      <c r="COT68" s="561" t="s">
        <v>1505</v>
      </c>
      <c r="COU68" s="561" t="s">
        <v>1505</v>
      </c>
      <c r="COV68" s="561" t="s">
        <v>1505</v>
      </c>
      <c r="COW68" s="561" t="s">
        <v>1505</v>
      </c>
      <c r="COX68" s="561" t="s">
        <v>1505</v>
      </c>
      <c r="COY68" s="561" t="s">
        <v>1505</v>
      </c>
      <c r="COZ68" s="561" t="s">
        <v>1505</v>
      </c>
      <c r="CPA68" s="561" t="s">
        <v>1505</v>
      </c>
      <c r="CPB68" s="561" t="s">
        <v>1505</v>
      </c>
      <c r="CPC68" s="561" t="s">
        <v>1505</v>
      </c>
      <c r="CPD68" s="561" t="s">
        <v>1505</v>
      </c>
      <c r="CPE68" s="561" t="s">
        <v>1505</v>
      </c>
      <c r="CPF68" s="561" t="s">
        <v>1505</v>
      </c>
      <c r="CPG68" s="561" t="s">
        <v>1505</v>
      </c>
      <c r="CPH68" s="561" t="s">
        <v>1505</v>
      </c>
      <c r="CPI68" s="561" t="s">
        <v>1505</v>
      </c>
      <c r="CPJ68" s="561" t="s">
        <v>1505</v>
      </c>
      <c r="CPK68" s="561" t="s">
        <v>1505</v>
      </c>
      <c r="CPL68" s="561" t="s">
        <v>1505</v>
      </c>
      <c r="CPM68" s="561" t="s">
        <v>1505</v>
      </c>
      <c r="CPN68" s="561" t="s">
        <v>1505</v>
      </c>
      <c r="CPO68" s="561" t="s">
        <v>1505</v>
      </c>
      <c r="CPP68" s="561" t="s">
        <v>1505</v>
      </c>
      <c r="CPQ68" s="561" t="s">
        <v>1505</v>
      </c>
      <c r="CPR68" s="561" t="s">
        <v>1505</v>
      </c>
      <c r="CPS68" s="561" t="s">
        <v>1505</v>
      </c>
      <c r="CPT68" s="561" t="s">
        <v>1505</v>
      </c>
      <c r="CPU68" s="561" t="s">
        <v>1505</v>
      </c>
      <c r="CPV68" s="561" t="s">
        <v>1505</v>
      </c>
      <c r="CPW68" s="561" t="s">
        <v>1505</v>
      </c>
      <c r="CPX68" s="561" t="s">
        <v>1505</v>
      </c>
      <c r="CPY68" s="561" t="s">
        <v>1505</v>
      </c>
      <c r="CPZ68" s="561" t="s">
        <v>1505</v>
      </c>
      <c r="CQA68" s="561" t="s">
        <v>1505</v>
      </c>
      <c r="CQB68" s="561" t="s">
        <v>1505</v>
      </c>
      <c r="CQC68" s="561" t="s">
        <v>1505</v>
      </c>
      <c r="CQD68" s="561" t="s">
        <v>1505</v>
      </c>
      <c r="CQE68" s="561" t="s">
        <v>1505</v>
      </c>
      <c r="CQF68" s="561" t="s">
        <v>1505</v>
      </c>
      <c r="CQG68" s="561" t="s">
        <v>1505</v>
      </c>
      <c r="CQH68" s="561" t="s">
        <v>1505</v>
      </c>
      <c r="CQI68" s="561" t="s">
        <v>1505</v>
      </c>
      <c r="CQJ68" s="561" t="s">
        <v>1505</v>
      </c>
      <c r="CQK68" s="561" t="s">
        <v>1505</v>
      </c>
      <c r="CQL68" s="561" t="s">
        <v>1505</v>
      </c>
      <c r="CQM68" s="561" t="s">
        <v>1505</v>
      </c>
      <c r="CQN68" s="561" t="s">
        <v>1505</v>
      </c>
      <c r="CQO68" s="561" t="s">
        <v>1505</v>
      </c>
      <c r="CQP68" s="561" t="s">
        <v>1505</v>
      </c>
      <c r="CQQ68" s="561" t="s">
        <v>1505</v>
      </c>
      <c r="CQR68" s="561" t="s">
        <v>1505</v>
      </c>
      <c r="CQS68" s="561" t="s">
        <v>1505</v>
      </c>
      <c r="CQT68" s="561" t="s">
        <v>1505</v>
      </c>
      <c r="CQU68" s="561" t="s">
        <v>1505</v>
      </c>
      <c r="CQV68" s="561" t="s">
        <v>1505</v>
      </c>
      <c r="CQW68" s="561" t="s">
        <v>1505</v>
      </c>
      <c r="CQX68" s="561" t="s">
        <v>1505</v>
      </c>
      <c r="CQY68" s="561" t="s">
        <v>1505</v>
      </c>
      <c r="CQZ68" s="561" t="s">
        <v>1505</v>
      </c>
      <c r="CRA68" s="561" t="s">
        <v>1505</v>
      </c>
      <c r="CRB68" s="561" t="s">
        <v>1505</v>
      </c>
      <c r="CRC68" s="561" t="s">
        <v>1505</v>
      </c>
      <c r="CRD68" s="561" t="s">
        <v>1505</v>
      </c>
      <c r="CRE68" s="561" t="s">
        <v>1505</v>
      </c>
      <c r="CRF68" s="561" t="s">
        <v>1505</v>
      </c>
      <c r="CRG68" s="561" t="s">
        <v>1505</v>
      </c>
      <c r="CRH68" s="561" t="s">
        <v>1505</v>
      </c>
      <c r="CRI68" s="561" t="s">
        <v>1505</v>
      </c>
      <c r="CRJ68" s="561" t="s">
        <v>1505</v>
      </c>
      <c r="CRK68" s="561" t="s">
        <v>1505</v>
      </c>
      <c r="CRL68" s="561" t="s">
        <v>1505</v>
      </c>
      <c r="CRM68" s="561" t="s">
        <v>1505</v>
      </c>
      <c r="CRN68" s="561" t="s">
        <v>1505</v>
      </c>
      <c r="CRO68" s="561" t="s">
        <v>1505</v>
      </c>
      <c r="CRP68" s="561" t="s">
        <v>1505</v>
      </c>
      <c r="CRQ68" s="561" t="s">
        <v>1505</v>
      </c>
      <c r="CRR68" s="561" t="s">
        <v>1505</v>
      </c>
      <c r="CRS68" s="561" t="s">
        <v>1505</v>
      </c>
      <c r="CRT68" s="561" t="s">
        <v>1505</v>
      </c>
      <c r="CRU68" s="561" t="s">
        <v>1505</v>
      </c>
      <c r="CRV68" s="561" t="s">
        <v>1505</v>
      </c>
      <c r="CRW68" s="561" t="s">
        <v>1505</v>
      </c>
      <c r="CRX68" s="561" t="s">
        <v>1505</v>
      </c>
      <c r="CRY68" s="561" t="s">
        <v>1505</v>
      </c>
      <c r="CRZ68" s="561" t="s">
        <v>1505</v>
      </c>
      <c r="CSA68" s="561" t="s">
        <v>1505</v>
      </c>
      <c r="CSB68" s="561" t="s">
        <v>1505</v>
      </c>
      <c r="CSC68" s="561" t="s">
        <v>1505</v>
      </c>
      <c r="CSD68" s="561" t="s">
        <v>1505</v>
      </c>
      <c r="CSE68" s="561" t="s">
        <v>1505</v>
      </c>
      <c r="CSF68" s="561" t="s">
        <v>1505</v>
      </c>
      <c r="CSG68" s="561" t="s">
        <v>1505</v>
      </c>
      <c r="CSH68" s="561" t="s">
        <v>1505</v>
      </c>
      <c r="CSI68" s="561" t="s">
        <v>1505</v>
      </c>
      <c r="CSJ68" s="561" t="s">
        <v>1505</v>
      </c>
      <c r="CSK68" s="561" t="s">
        <v>1505</v>
      </c>
      <c r="CSL68" s="561" t="s">
        <v>1505</v>
      </c>
      <c r="CSM68" s="561" t="s">
        <v>1505</v>
      </c>
      <c r="CSN68" s="561" t="s">
        <v>1505</v>
      </c>
      <c r="CSO68" s="561" t="s">
        <v>1505</v>
      </c>
      <c r="CSP68" s="561" t="s">
        <v>1505</v>
      </c>
      <c r="CSQ68" s="561" t="s">
        <v>1505</v>
      </c>
      <c r="CSR68" s="561" t="s">
        <v>1505</v>
      </c>
      <c r="CSS68" s="561" t="s">
        <v>1505</v>
      </c>
      <c r="CST68" s="561" t="s">
        <v>1505</v>
      </c>
      <c r="CSU68" s="561" t="s">
        <v>1505</v>
      </c>
      <c r="CSV68" s="561" t="s">
        <v>1505</v>
      </c>
      <c r="CSW68" s="561" t="s">
        <v>1505</v>
      </c>
      <c r="CSX68" s="561" t="s">
        <v>1505</v>
      </c>
      <c r="CSY68" s="561" t="s">
        <v>1505</v>
      </c>
      <c r="CSZ68" s="561" t="s">
        <v>1505</v>
      </c>
      <c r="CTA68" s="561" t="s">
        <v>1505</v>
      </c>
      <c r="CTB68" s="561" t="s">
        <v>1505</v>
      </c>
      <c r="CTC68" s="561" t="s">
        <v>1505</v>
      </c>
      <c r="CTD68" s="561" t="s">
        <v>1505</v>
      </c>
      <c r="CTE68" s="561" t="s">
        <v>1505</v>
      </c>
      <c r="CTF68" s="561" t="s">
        <v>1505</v>
      </c>
      <c r="CTG68" s="561" t="s">
        <v>1505</v>
      </c>
      <c r="CTH68" s="561" t="s">
        <v>1505</v>
      </c>
      <c r="CTI68" s="561" t="s">
        <v>1505</v>
      </c>
      <c r="CTJ68" s="561" t="s">
        <v>1505</v>
      </c>
      <c r="CTK68" s="561" t="s">
        <v>1505</v>
      </c>
      <c r="CTL68" s="561" t="s">
        <v>1505</v>
      </c>
      <c r="CTM68" s="561" t="s">
        <v>1505</v>
      </c>
      <c r="CTN68" s="561" t="s">
        <v>1505</v>
      </c>
      <c r="CTO68" s="561" t="s">
        <v>1505</v>
      </c>
      <c r="CTP68" s="561" t="s">
        <v>1505</v>
      </c>
      <c r="CTQ68" s="561" t="s">
        <v>1505</v>
      </c>
      <c r="CTR68" s="561" t="s">
        <v>1505</v>
      </c>
      <c r="CTS68" s="561" t="s">
        <v>1505</v>
      </c>
      <c r="CTT68" s="561" t="s">
        <v>1505</v>
      </c>
      <c r="CTU68" s="561" t="s">
        <v>1505</v>
      </c>
      <c r="CTV68" s="561" t="s">
        <v>1505</v>
      </c>
      <c r="CTW68" s="561" t="s">
        <v>1505</v>
      </c>
      <c r="CTX68" s="561" t="s">
        <v>1505</v>
      </c>
      <c r="CTY68" s="561" t="s">
        <v>1505</v>
      </c>
      <c r="CTZ68" s="561" t="s">
        <v>1505</v>
      </c>
      <c r="CUA68" s="561" t="s">
        <v>1505</v>
      </c>
      <c r="CUB68" s="561" t="s">
        <v>1505</v>
      </c>
      <c r="CUC68" s="561" t="s">
        <v>1505</v>
      </c>
      <c r="CUD68" s="561" t="s">
        <v>1505</v>
      </c>
      <c r="CUE68" s="561" t="s">
        <v>1505</v>
      </c>
      <c r="CUF68" s="561" t="s">
        <v>1505</v>
      </c>
      <c r="CUG68" s="561" t="s">
        <v>1505</v>
      </c>
      <c r="CUH68" s="561" t="s">
        <v>1505</v>
      </c>
      <c r="CUI68" s="561" t="s">
        <v>1505</v>
      </c>
      <c r="CUJ68" s="561" t="s">
        <v>1505</v>
      </c>
      <c r="CUK68" s="561" t="s">
        <v>1505</v>
      </c>
      <c r="CUL68" s="561" t="s">
        <v>1505</v>
      </c>
      <c r="CUM68" s="561" t="s">
        <v>1505</v>
      </c>
      <c r="CUN68" s="561" t="s">
        <v>1505</v>
      </c>
      <c r="CUO68" s="561" t="s">
        <v>1505</v>
      </c>
      <c r="CUP68" s="561" t="s">
        <v>1505</v>
      </c>
      <c r="CUQ68" s="561" t="s">
        <v>1505</v>
      </c>
      <c r="CUR68" s="561" t="s">
        <v>1505</v>
      </c>
      <c r="CUS68" s="561" t="s">
        <v>1505</v>
      </c>
      <c r="CUT68" s="561" t="s">
        <v>1505</v>
      </c>
      <c r="CUU68" s="561" t="s">
        <v>1505</v>
      </c>
      <c r="CUV68" s="561" t="s">
        <v>1505</v>
      </c>
      <c r="CUW68" s="561" t="s">
        <v>1505</v>
      </c>
      <c r="CUX68" s="561" t="s">
        <v>1505</v>
      </c>
      <c r="CUY68" s="561" t="s">
        <v>1505</v>
      </c>
      <c r="CUZ68" s="561" t="s">
        <v>1505</v>
      </c>
      <c r="CVA68" s="561" t="s">
        <v>1505</v>
      </c>
      <c r="CVB68" s="561" t="s">
        <v>1505</v>
      </c>
      <c r="CVC68" s="561" t="s">
        <v>1505</v>
      </c>
      <c r="CVD68" s="561" t="s">
        <v>1505</v>
      </c>
      <c r="CVE68" s="561" t="s">
        <v>1505</v>
      </c>
      <c r="CVF68" s="561" t="s">
        <v>1505</v>
      </c>
      <c r="CVG68" s="561" t="s">
        <v>1505</v>
      </c>
      <c r="CVH68" s="561" t="s">
        <v>1505</v>
      </c>
      <c r="CVI68" s="561" t="s">
        <v>1505</v>
      </c>
      <c r="CVJ68" s="561" t="s">
        <v>1505</v>
      </c>
      <c r="CVK68" s="561" t="s">
        <v>1505</v>
      </c>
      <c r="CVL68" s="561" t="s">
        <v>1505</v>
      </c>
      <c r="CVM68" s="561" t="s">
        <v>1505</v>
      </c>
      <c r="CVN68" s="561" t="s">
        <v>1505</v>
      </c>
      <c r="CVO68" s="561" t="s">
        <v>1505</v>
      </c>
      <c r="CVP68" s="561" t="s">
        <v>1505</v>
      </c>
      <c r="CVQ68" s="561" t="s">
        <v>1505</v>
      </c>
      <c r="CVR68" s="561" t="s">
        <v>1505</v>
      </c>
      <c r="CVS68" s="561" t="s">
        <v>1505</v>
      </c>
      <c r="CVT68" s="561" t="s">
        <v>1505</v>
      </c>
      <c r="CVU68" s="561" t="s">
        <v>1505</v>
      </c>
      <c r="CVV68" s="561" t="s">
        <v>1505</v>
      </c>
      <c r="CVW68" s="561" t="s">
        <v>1505</v>
      </c>
      <c r="CVX68" s="561" t="s">
        <v>1505</v>
      </c>
      <c r="CVY68" s="561" t="s">
        <v>1505</v>
      </c>
      <c r="CVZ68" s="561" t="s">
        <v>1505</v>
      </c>
      <c r="CWA68" s="561" t="s">
        <v>1505</v>
      </c>
      <c r="CWB68" s="561" t="s">
        <v>1505</v>
      </c>
      <c r="CWC68" s="561" t="s">
        <v>1505</v>
      </c>
      <c r="CWD68" s="561" t="s">
        <v>1505</v>
      </c>
      <c r="CWE68" s="561" t="s">
        <v>1505</v>
      </c>
      <c r="CWF68" s="561" t="s">
        <v>1505</v>
      </c>
      <c r="CWG68" s="561" t="s">
        <v>1505</v>
      </c>
      <c r="CWH68" s="561" t="s">
        <v>1505</v>
      </c>
      <c r="CWI68" s="561" t="s">
        <v>1505</v>
      </c>
      <c r="CWJ68" s="561" t="s">
        <v>1505</v>
      </c>
      <c r="CWK68" s="561" t="s">
        <v>1505</v>
      </c>
      <c r="CWL68" s="561" t="s">
        <v>1505</v>
      </c>
      <c r="CWM68" s="561" t="s">
        <v>1505</v>
      </c>
      <c r="CWN68" s="561" t="s">
        <v>1505</v>
      </c>
      <c r="CWO68" s="561" t="s">
        <v>1505</v>
      </c>
      <c r="CWP68" s="561" t="s">
        <v>1505</v>
      </c>
      <c r="CWQ68" s="561" t="s">
        <v>1505</v>
      </c>
      <c r="CWR68" s="561" t="s">
        <v>1505</v>
      </c>
      <c r="CWS68" s="561" t="s">
        <v>1505</v>
      </c>
      <c r="CWT68" s="561" t="s">
        <v>1505</v>
      </c>
      <c r="CWU68" s="561" t="s">
        <v>1505</v>
      </c>
      <c r="CWV68" s="561" t="s">
        <v>1505</v>
      </c>
      <c r="CWW68" s="561" t="s">
        <v>1505</v>
      </c>
      <c r="CWX68" s="561" t="s">
        <v>1505</v>
      </c>
      <c r="CWY68" s="561" t="s">
        <v>1505</v>
      </c>
      <c r="CWZ68" s="561" t="s">
        <v>1505</v>
      </c>
      <c r="CXA68" s="561" t="s">
        <v>1505</v>
      </c>
      <c r="CXB68" s="561" t="s">
        <v>1505</v>
      </c>
      <c r="CXC68" s="561" t="s">
        <v>1505</v>
      </c>
      <c r="CXD68" s="561" t="s">
        <v>1505</v>
      </c>
      <c r="CXE68" s="561" t="s">
        <v>1505</v>
      </c>
      <c r="CXF68" s="561" t="s">
        <v>1505</v>
      </c>
      <c r="CXG68" s="561" t="s">
        <v>1505</v>
      </c>
      <c r="CXH68" s="561" t="s">
        <v>1505</v>
      </c>
      <c r="CXI68" s="561" t="s">
        <v>1505</v>
      </c>
      <c r="CXJ68" s="561" t="s">
        <v>1505</v>
      </c>
      <c r="CXK68" s="561" t="s">
        <v>1505</v>
      </c>
      <c r="CXL68" s="561" t="s">
        <v>1505</v>
      </c>
      <c r="CXM68" s="561" t="s">
        <v>1505</v>
      </c>
      <c r="CXN68" s="561" t="s">
        <v>1505</v>
      </c>
      <c r="CXO68" s="561" t="s">
        <v>1505</v>
      </c>
      <c r="CXP68" s="561" t="s">
        <v>1505</v>
      </c>
      <c r="CXQ68" s="561" t="s">
        <v>1505</v>
      </c>
      <c r="CXR68" s="561" t="s">
        <v>1505</v>
      </c>
      <c r="CXS68" s="561" t="s">
        <v>1505</v>
      </c>
      <c r="CXT68" s="561" t="s">
        <v>1505</v>
      </c>
      <c r="CXU68" s="561" t="s">
        <v>1505</v>
      </c>
      <c r="CXV68" s="561" t="s">
        <v>1505</v>
      </c>
      <c r="CXW68" s="561" t="s">
        <v>1505</v>
      </c>
      <c r="CXX68" s="561" t="s">
        <v>1505</v>
      </c>
      <c r="CXY68" s="561" t="s">
        <v>1505</v>
      </c>
      <c r="CXZ68" s="561" t="s">
        <v>1505</v>
      </c>
      <c r="CYA68" s="561" t="s">
        <v>1505</v>
      </c>
      <c r="CYB68" s="561" t="s">
        <v>1505</v>
      </c>
      <c r="CYC68" s="561" t="s">
        <v>1505</v>
      </c>
      <c r="CYD68" s="561" t="s">
        <v>1505</v>
      </c>
      <c r="CYE68" s="561" t="s">
        <v>1505</v>
      </c>
      <c r="CYF68" s="561" t="s">
        <v>1505</v>
      </c>
      <c r="CYG68" s="561" t="s">
        <v>1505</v>
      </c>
      <c r="CYH68" s="561" t="s">
        <v>1505</v>
      </c>
      <c r="CYI68" s="561" t="s">
        <v>1505</v>
      </c>
      <c r="CYJ68" s="561" t="s">
        <v>1505</v>
      </c>
      <c r="CYK68" s="561" t="s">
        <v>1505</v>
      </c>
      <c r="CYL68" s="561" t="s">
        <v>1505</v>
      </c>
      <c r="CYM68" s="561" t="s">
        <v>1505</v>
      </c>
      <c r="CYN68" s="561" t="s">
        <v>1505</v>
      </c>
      <c r="CYO68" s="561" t="s">
        <v>1505</v>
      </c>
      <c r="CYP68" s="561" t="s">
        <v>1505</v>
      </c>
      <c r="CYQ68" s="561" t="s">
        <v>1505</v>
      </c>
      <c r="CYR68" s="561" t="s">
        <v>1505</v>
      </c>
      <c r="CYS68" s="561" t="s">
        <v>1505</v>
      </c>
      <c r="CYT68" s="561" t="s">
        <v>1505</v>
      </c>
      <c r="CYU68" s="561" t="s">
        <v>1505</v>
      </c>
      <c r="CYV68" s="561" t="s">
        <v>1505</v>
      </c>
      <c r="CYW68" s="561" t="s">
        <v>1505</v>
      </c>
      <c r="CYX68" s="561" t="s">
        <v>1505</v>
      </c>
      <c r="CYY68" s="561" t="s">
        <v>1505</v>
      </c>
      <c r="CYZ68" s="561" t="s">
        <v>1505</v>
      </c>
      <c r="CZA68" s="561" t="s">
        <v>1505</v>
      </c>
      <c r="CZB68" s="561" t="s">
        <v>1505</v>
      </c>
      <c r="CZC68" s="561" t="s">
        <v>1505</v>
      </c>
      <c r="CZD68" s="561" t="s">
        <v>1505</v>
      </c>
      <c r="CZE68" s="561" t="s">
        <v>1505</v>
      </c>
      <c r="CZF68" s="561" t="s">
        <v>1505</v>
      </c>
      <c r="CZG68" s="561" t="s">
        <v>1505</v>
      </c>
      <c r="CZH68" s="561" t="s">
        <v>1505</v>
      </c>
      <c r="CZI68" s="561" t="s">
        <v>1505</v>
      </c>
      <c r="CZJ68" s="561" t="s">
        <v>1505</v>
      </c>
      <c r="CZK68" s="561" t="s">
        <v>1505</v>
      </c>
      <c r="CZL68" s="561" t="s">
        <v>1505</v>
      </c>
      <c r="CZM68" s="561" t="s">
        <v>1505</v>
      </c>
      <c r="CZN68" s="561" t="s">
        <v>1505</v>
      </c>
      <c r="CZO68" s="561" t="s">
        <v>1505</v>
      </c>
      <c r="CZP68" s="561" t="s">
        <v>1505</v>
      </c>
      <c r="CZQ68" s="561" t="s">
        <v>1505</v>
      </c>
      <c r="CZR68" s="561" t="s">
        <v>1505</v>
      </c>
      <c r="CZS68" s="561" t="s">
        <v>1505</v>
      </c>
      <c r="CZT68" s="561" t="s">
        <v>1505</v>
      </c>
      <c r="CZU68" s="561" t="s">
        <v>1505</v>
      </c>
      <c r="CZV68" s="561" t="s">
        <v>1505</v>
      </c>
      <c r="CZW68" s="561" t="s">
        <v>1505</v>
      </c>
      <c r="CZX68" s="561" t="s">
        <v>1505</v>
      </c>
      <c r="CZY68" s="561" t="s">
        <v>1505</v>
      </c>
      <c r="CZZ68" s="561" t="s">
        <v>1505</v>
      </c>
      <c r="DAA68" s="561" t="s">
        <v>1505</v>
      </c>
      <c r="DAB68" s="561" t="s">
        <v>1505</v>
      </c>
      <c r="DAC68" s="561" t="s">
        <v>1505</v>
      </c>
      <c r="DAD68" s="561" t="s">
        <v>1505</v>
      </c>
      <c r="DAE68" s="561" t="s">
        <v>1505</v>
      </c>
      <c r="DAF68" s="561" t="s">
        <v>1505</v>
      </c>
      <c r="DAG68" s="561" t="s">
        <v>1505</v>
      </c>
      <c r="DAH68" s="561" t="s">
        <v>1505</v>
      </c>
      <c r="DAI68" s="561" t="s">
        <v>1505</v>
      </c>
      <c r="DAJ68" s="561" t="s">
        <v>1505</v>
      </c>
      <c r="DAK68" s="561" t="s">
        <v>1505</v>
      </c>
      <c r="DAL68" s="561" t="s">
        <v>1505</v>
      </c>
      <c r="DAM68" s="561" t="s">
        <v>1505</v>
      </c>
      <c r="DAN68" s="561" t="s">
        <v>1505</v>
      </c>
      <c r="DAO68" s="561" t="s">
        <v>1505</v>
      </c>
      <c r="DAP68" s="561" t="s">
        <v>1505</v>
      </c>
      <c r="DAQ68" s="561" t="s">
        <v>1505</v>
      </c>
      <c r="DAR68" s="561" t="s">
        <v>1505</v>
      </c>
      <c r="DAS68" s="561" t="s">
        <v>1505</v>
      </c>
      <c r="DAT68" s="561" t="s">
        <v>1505</v>
      </c>
      <c r="DAU68" s="561" t="s">
        <v>1505</v>
      </c>
      <c r="DAV68" s="561" t="s">
        <v>1505</v>
      </c>
      <c r="DAW68" s="561" t="s">
        <v>1505</v>
      </c>
      <c r="DAX68" s="561" t="s">
        <v>1505</v>
      </c>
      <c r="DAY68" s="561" t="s">
        <v>1505</v>
      </c>
      <c r="DAZ68" s="561" t="s">
        <v>1505</v>
      </c>
      <c r="DBA68" s="561" t="s">
        <v>1505</v>
      </c>
      <c r="DBB68" s="561" t="s">
        <v>1505</v>
      </c>
      <c r="DBC68" s="561" t="s">
        <v>1505</v>
      </c>
      <c r="DBD68" s="561" t="s">
        <v>1505</v>
      </c>
      <c r="DBE68" s="561" t="s">
        <v>1505</v>
      </c>
      <c r="DBF68" s="561" t="s">
        <v>1505</v>
      </c>
      <c r="DBG68" s="561" t="s">
        <v>1505</v>
      </c>
      <c r="DBH68" s="561" t="s">
        <v>1505</v>
      </c>
      <c r="DBI68" s="561" t="s">
        <v>1505</v>
      </c>
      <c r="DBJ68" s="561" t="s">
        <v>1505</v>
      </c>
      <c r="DBK68" s="561" t="s">
        <v>1505</v>
      </c>
      <c r="DBL68" s="561" t="s">
        <v>1505</v>
      </c>
      <c r="DBM68" s="561" t="s">
        <v>1505</v>
      </c>
      <c r="DBN68" s="561" t="s">
        <v>1505</v>
      </c>
      <c r="DBO68" s="561" t="s">
        <v>1505</v>
      </c>
      <c r="DBP68" s="561" t="s">
        <v>1505</v>
      </c>
      <c r="DBQ68" s="561" t="s">
        <v>1505</v>
      </c>
      <c r="DBR68" s="561" t="s">
        <v>1505</v>
      </c>
      <c r="DBS68" s="561" t="s">
        <v>1505</v>
      </c>
      <c r="DBT68" s="561" t="s">
        <v>1505</v>
      </c>
      <c r="DBU68" s="561" t="s">
        <v>1505</v>
      </c>
      <c r="DBV68" s="561" t="s">
        <v>1505</v>
      </c>
      <c r="DBW68" s="561" t="s">
        <v>1505</v>
      </c>
      <c r="DBX68" s="561" t="s">
        <v>1505</v>
      </c>
      <c r="DBY68" s="561" t="s">
        <v>1505</v>
      </c>
      <c r="DBZ68" s="561" t="s">
        <v>1505</v>
      </c>
      <c r="DCA68" s="561" t="s">
        <v>1505</v>
      </c>
      <c r="DCB68" s="561" t="s">
        <v>1505</v>
      </c>
      <c r="DCC68" s="561" t="s">
        <v>1505</v>
      </c>
      <c r="DCD68" s="561" t="s">
        <v>1505</v>
      </c>
      <c r="DCE68" s="561" t="s">
        <v>1505</v>
      </c>
      <c r="DCF68" s="561" t="s">
        <v>1505</v>
      </c>
      <c r="DCG68" s="561" t="s">
        <v>1505</v>
      </c>
      <c r="DCH68" s="561" t="s">
        <v>1505</v>
      </c>
      <c r="DCI68" s="561" t="s">
        <v>1505</v>
      </c>
      <c r="DCJ68" s="561" t="s">
        <v>1505</v>
      </c>
      <c r="DCK68" s="561" t="s">
        <v>1505</v>
      </c>
      <c r="DCL68" s="561" t="s">
        <v>1505</v>
      </c>
      <c r="DCM68" s="561" t="s">
        <v>1505</v>
      </c>
      <c r="DCN68" s="561" t="s">
        <v>1505</v>
      </c>
      <c r="DCO68" s="561" t="s">
        <v>1505</v>
      </c>
      <c r="DCP68" s="561" t="s">
        <v>1505</v>
      </c>
      <c r="DCQ68" s="561" t="s">
        <v>1505</v>
      </c>
      <c r="DCR68" s="561" t="s">
        <v>1505</v>
      </c>
      <c r="DCS68" s="561" t="s">
        <v>1505</v>
      </c>
      <c r="DCT68" s="561" t="s">
        <v>1505</v>
      </c>
      <c r="DCU68" s="561" t="s">
        <v>1505</v>
      </c>
      <c r="DCV68" s="561" t="s">
        <v>1505</v>
      </c>
      <c r="DCW68" s="561" t="s">
        <v>1505</v>
      </c>
      <c r="DCX68" s="561" t="s">
        <v>1505</v>
      </c>
      <c r="DCY68" s="561" t="s">
        <v>1505</v>
      </c>
      <c r="DCZ68" s="561" t="s">
        <v>1505</v>
      </c>
      <c r="DDA68" s="561" t="s">
        <v>1505</v>
      </c>
      <c r="DDB68" s="561" t="s">
        <v>1505</v>
      </c>
      <c r="DDC68" s="561" t="s">
        <v>1505</v>
      </c>
      <c r="DDD68" s="561" t="s">
        <v>1505</v>
      </c>
      <c r="DDE68" s="561" t="s">
        <v>1505</v>
      </c>
      <c r="DDF68" s="561" t="s">
        <v>1505</v>
      </c>
      <c r="DDG68" s="561" t="s">
        <v>1505</v>
      </c>
      <c r="DDH68" s="561" t="s">
        <v>1505</v>
      </c>
      <c r="DDI68" s="561" t="s">
        <v>1505</v>
      </c>
      <c r="DDJ68" s="561" t="s">
        <v>1505</v>
      </c>
      <c r="DDK68" s="561" t="s">
        <v>1505</v>
      </c>
      <c r="DDL68" s="561" t="s">
        <v>1505</v>
      </c>
      <c r="DDM68" s="561" t="s">
        <v>1505</v>
      </c>
      <c r="DDN68" s="561" t="s">
        <v>1505</v>
      </c>
      <c r="DDO68" s="561" t="s">
        <v>1505</v>
      </c>
      <c r="DDP68" s="561" t="s">
        <v>1505</v>
      </c>
      <c r="DDQ68" s="561" t="s">
        <v>1505</v>
      </c>
      <c r="DDR68" s="561" t="s">
        <v>1505</v>
      </c>
      <c r="DDS68" s="561" t="s">
        <v>1505</v>
      </c>
      <c r="DDT68" s="561" t="s">
        <v>1505</v>
      </c>
      <c r="DDU68" s="561" t="s">
        <v>1505</v>
      </c>
      <c r="DDV68" s="561" t="s">
        <v>1505</v>
      </c>
      <c r="DDW68" s="561" t="s">
        <v>1505</v>
      </c>
      <c r="DDX68" s="561" t="s">
        <v>1505</v>
      </c>
      <c r="DDY68" s="561" t="s">
        <v>1505</v>
      </c>
      <c r="DDZ68" s="561" t="s">
        <v>1505</v>
      </c>
      <c r="DEA68" s="561" t="s">
        <v>1505</v>
      </c>
      <c r="DEB68" s="561" t="s">
        <v>1505</v>
      </c>
      <c r="DEC68" s="561" t="s">
        <v>1505</v>
      </c>
      <c r="DED68" s="561" t="s">
        <v>1505</v>
      </c>
      <c r="DEE68" s="561" t="s">
        <v>1505</v>
      </c>
      <c r="DEF68" s="561" t="s">
        <v>1505</v>
      </c>
      <c r="DEG68" s="561" t="s">
        <v>1505</v>
      </c>
      <c r="DEH68" s="561" t="s">
        <v>1505</v>
      </c>
      <c r="DEI68" s="561" t="s">
        <v>1505</v>
      </c>
      <c r="DEJ68" s="561" t="s">
        <v>1505</v>
      </c>
      <c r="DEK68" s="561" t="s">
        <v>1505</v>
      </c>
      <c r="DEL68" s="561" t="s">
        <v>1505</v>
      </c>
      <c r="DEM68" s="561" t="s">
        <v>1505</v>
      </c>
      <c r="DEN68" s="561" t="s">
        <v>1505</v>
      </c>
      <c r="DEO68" s="561" t="s">
        <v>1505</v>
      </c>
      <c r="DEP68" s="561" t="s">
        <v>1505</v>
      </c>
      <c r="DEQ68" s="561" t="s">
        <v>1505</v>
      </c>
      <c r="DER68" s="561" t="s">
        <v>1505</v>
      </c>
      <c r="DES68" s="561" t="s">
        <v>1505</v>
      </c>
      <c r="DET68" s="561" t="s">
        <v>1505</v>
      </c>
      <c r="DEU68" s="561" t="s">
        <v>1505</v>
      </c>
      <c r="DEV68" s="561" t="s">
        <v>1505</v>
      </c>
      <c r="DEW68" s="561" t="s">
        <v>1505</v>
      </c>
      <c r="DEX68" s="561" t="s">
        <v>1505</v>
      </c>
      <c r="DEY68" s="561" t="s">
        <v>1505</v>
      </c>
      <c r="DEZ68" s="561" t="s">
        <v>1505</v>
      </c>
      <c r="DFA68" s="561" t="s">
        <v>1505</v>
      </c>
      <c r="DFB68" s="561" t="s">
        <v>1505</v>
      </c>
      <c r="DFC68" s="561" t="s">
        <v>1505</v>
      </c>
      <c r="DFD68" s="561" t="s">
        <v>1505</v>
      </c>
      <c r="DFE68" s="561" t="s">
        <v>1505</v>
      </c>
      <c r="DFF68" s="561" t="s">
        <v>1505</v>
      </c>
      <c r="DFG68" s="561" t="s">
        <v>1505</v>
      </c>
      <c r="DFH68" s="561" t="s">
        <v>1505</v>
      </c>
      <c r="DFI68" s="561" t="s">
        <v>1505</v>
      </c>
      <c r="DFJ68" s="561" t="s">
        <v>1505</v>
      </c>
      <c r="DFK68" s="561" t="s">
        <v>1505</v>
      </c>
      <c r="DFL68" s="561" t="s">
        <v>1505</v>
      </c>
      <c r="DFM68" s="561" t="s">
        <v>1505</v>
      </c>
      <c r="DFN68" s="561" t="s">
        <v>1505</v>
      </c>
      <c r="DFO68" s="561" t="s">
        <v>1505</v>
      </c>
      <c r="DFP68" s="561" t="s">
        <v>1505</v>
      </c>
      <c r="DFQ68" s="561" t="s">
        <v>1505</v>
      </c>
      <c r="DFR68" s="561" t="s">
        <v>1505</v>
      </c>
      <c r="DFS68" s="561" t="s">
        <v>1505</v>
      </c>
      <c r="DFT68" s="561" t="s">
        <v>1505</v>
      </c>
      <c r="DFU68" s="561" t="s">
        <v>1505</v>
      </c>
      <c r="DFV68" s="561" t="s">
        <v>1505</v>
      </c>
      <c r="DFW68" s="561" t="s">
        <v>1505</v>
      </c>
      <c r="DFX68" s="561" t="s">
        <v>1505</v>
      </c>
      <c r="DFY68" s="561" t="s">
        <v>1505</v>
      </c>
      <c r="DFZ68" s="561" t="s">
        <v>1505</v>
      </c>
      <c r="DGA68" s="561" t="s">
        <v>1505</v>
      </c>
      <c r="DGB68" s="561" t="s">
        <v>1505</v>
      </c>
      <c r="DGC68" s="561" t="s">
        <v>1505</v>
      </c>
      <c r="DGD68" s="561" t="s">
        <v>1505</v>
      </c>
      <c r="DGE68" s="561" t="s">
        <v>1505</v>
      </c>
      <c r="DGF68" s="561" t="s">
        <v>1505</v>
      </c>
      <c r="DGG68" s="561" t="s">
        <v>1505</v>
      </c>
      <c r="DGH68" s="561" t="s">
        <v>1505</v>
      </c>
      <c r="DGI68" s="561" t="s">
        <v>1505</v>
      </c>
      <c r="DGJ68" s="561" t="s">
        <v>1505</v>
      </c>
      <c r="DGK68" s="561" t="s">
        <v>1505</v>
      </c>
      <c r="DGL68" s="561" t="s">
        <v>1505</v>
      </c>
      <c r="DGM68" s="561" t="s">
        <v>1505</v>
      </c>
      <c r="DGN68" s="561" t="s">
        <v>1505</v>
      </c>
      <c r="DGO68" s="561" t="s">
        <v>1505</v>
      </c>
      <c r="DGP68" s="561" t="s">
        <v>1505</v>
      </c>
      <c r="DGQ68" s="561" t="s">
        <v>1505</v>
      </c>
      <c r="DGR68" s="561" t="s">
        <v>1505</v>
      </c>
      <c r="DGS68" s="561" t="s">
        <v>1505</v>
      </c>
      <c r="DGT68" s="561" t="s">
        <v>1505</v>
      </c>
      <c r="DGU68" s="561" t="s">
        <v>1505</v>
      </c>
      <c r="DGV68" s="561" t="s">
        <v>1505</v>
      </c>
      <c r="DGW68" s="561" t="s">
        <v>1505</v>
      </c>
      <c r="DGX68" s="561" t="s">
        <v>1505</v>
      </c>
      <c r="DGY68" s="561" t="s">
        <v>1505</v>
      </c>
      <c r="DGZ68" s="561" t="s">
        <v>1505</v>
      </c>
      <c r="DHA68" s="561" t="s">
        <v>1505</v>
      </c>
      <c r="DHB68" s="561" t="s">
        <v>1505</v>
      </c>
      <c r="DHC68" s="561" t="s">
        <v>1505</v>
      </c>
      <c r="DHD68" s="561" t="s">
        <v>1505</v>
      </c>
      <c r="DHE68" s="561" t="s">
        <v>1505</v>
      </c>
      <c r="DHF68" s="561" t="s">
        <v>1505</v>
      </c>
      <c r="DHG68" s="561" t="s">
        <v>1505</v>
      </c>
      <c r="DHH68" s="561" t="s">
        <v>1505</v>
      </c>
      <c r="DHI68" s="561" t="s">
        <v>1505</v>
      </c>
      <c r="DHJ68" s="561" t="s">
        <v>1505</v>
      </c>
      <c r="DHK68" s="561" t="s">
        <v>1505</v>
      </c>
      <c r="DHL68" s="561" t="s">
        <v>1505</v>
      </c>
      <c r="DHM68" s="561" t="s">
        <v>1505</v>
      </c>
      <c r="DHN68" s="561" t="s">
        <v>1505</v>
      </c>
      <c r="DHO68" s="561" t="s">
        <v>1505</v>
      </c>
      <c r="DHP68" s="561" t="s">
        <v>1505</v>
      </c>
      <c r="DHQ68" s="561" t="s">
        <v>1505</v>
      </c>
      <c r="DHR68" s="561" t="s">
        <v>1505</v>
      </c>
      <c r="DHS68" s="561" t="s">
        <v>1505</v>
      </c>
      <c r="DHT68" s="561" t="s">
        <v>1505</v>
      </c>
      <c r="DHU68" s="561" t="s">
        <v>1505</v>
      </c>
      <c r="DHV68" s="561" t="s">
        <v>1505</v>
      </c>
      <c r="DHW68" s="561" t="s">
        <v>1505</v>
      </c>
      <c r="DHX68" s="561" t="s">
        <v>1505</v>
      </c>
      <c r="DHY68" s="561" t="s">
        <v>1505</v>
      </c>
      <c r="DHZ68" s="561" t="s">
        <v>1505</v>
      </c>
      <c r="DIA68" s="561" t="s">
        <v>1505</v>
      </c>
      <c r="DIB68" s="561" t="s">
        <v>1505</v>
      </c>
      <c r="DIC68" s="561" t="s">
        <v>1505</v>
      </c>
      <c r="DID68" s="561" t="s">
        <v>1505</v>
      </c>
      <c r="DIE68" s="561" t="s">
        <v>1505</v>
      </c>
      <c r="DIF68" s="561" t="s">
        <v>1505</v>
      </c>
      <c r="DIG68" s="561" t="s">
        <v>1505</v>
      </c>
      <c r="DIH68" s="561" t="s">
        <v>1505</v>
      </c>
      <c r="DII68" s="561" t="s">
        <v>1505</v>
      </c>
      <c r="DIJ68" s="561" t="s">
        <v>1505</v>
      </c>
      <c r="DIK68" s="561" t="s">
        <v>1505</v>
      </c>
      <c r="DIL68" s="561" t="s">
        <v>1505</v>
      </c>
      <c r="DIM68" s="561" t="s">
        <v>1505</v>
      </c>
      <c r="DIN68" s="561" t="s">
        <v>1505</v>
      </c>
      <c r="DIO68" s="561" t="s">
        <v>1505</v>
      </c>
      <c r="DIP68" s="561" t="s">
        <v>1505</v>
      </c>
      <c r="DIQ68" s="561" t="s">
        <v>1505</v>
      </c>
      <c r="DIR68" s="561" t="s">
        <v>1505</v>
      </c>
      <c r="DIS68" s="561" t="s">
        <v>1505</v>
      </c>
      <c r="DIT68" s="561" t="s">
        <v>1505</v>
      </c>
      <c r="DIU68" s="561" t="s">
        <v>1505</v>
      </c>
      <c r="DIV68" s="561" t="s">
        <v>1505</v>
      </c>
      <c r="DIW68" s="561" t="s">
        <v>1505</v>
      </c>
      <c r="DIX68" s="561" t="s">
        <v>1505</v>
      </c>
      <c r="DIY68" s="561" t="s">
        <v>1505</v>
      </c>
      <c r="DIZ68" s="561" t="s">
        <v>1505</v>
      </c>
      <c r="DJA68" s="561" t="s">
        <v>1505</v>
      </c>
      <c r="DJB68" s="561" t="s">
        <v>1505</v>
      </c>
      <c r="DJC68" s="561" t="s">
        <v>1505</v>
      </c>
      <c r="DJD68" s="561" t="s">
        <v>1505</v>
      </c>
      <c r="DJE68" s="561" t="s">
        <v>1505</v>
      </c>
      <c r="DJF68" s="561" t="s">
        <v>1505</v>
      </c>
      <c r="DJG68" s="561" t="s">
        <v>1505</v>
      </c>
      <c r="DJH68" s="561" t="s">
        <v>1505</v>
      </c>
      <c r="DJI68" s="561" t="s">
        <v>1505</v>
      </c>
      <c r="DJJ68" s="561" t="s">
        <v>1505</v>
      </c>
      <c r="DJK68" s="561" t="s">
        <v>1505</v>
      </c>
      <c r="DJL68" s="561" t="s">
        <v>1505</v>
      </c>
      <c r="DJM68" s="561" t="s">
        <v>1505</v>
      </c>
      <c r="DJN68" s="561" t="s">
        <v>1505</v>
      </c>
      <c r="DJO68" s="561" t="s">
        <v>1505</v>
      </c>
      <c r="DJP68" s="561" t="s">
        <v>1505</v>
      </c>
      <c r="DJQ68" s="561" t="s">
        <v>1505</v>
      </c>
      <c r="DJR68" s="561" t="s">
        <v>1505</v>
      </c>
      <c r="DJS68" s="561" t="s">
        <v>1505</v>
      </c>
      <c r="DJT68" s="561" t="s">
        <v>1505</v>
      </c>
      <c r="DJU68" s="561" t="s">
        <v>1505</v>
      </c>
      <c r="DJV68" s="561" t="s">
        <v>1505</v>
      </c>
      <c r="DJW68" s="561" t="s">
        <v>1505</v>
      </c>
      <c r="DJX68" s="561" t="s">
        <v>1505</v>
      </c>
      <c r="DJY68" s="561" t="s">
        <v>1505</v>
      </c>
      <c r="DJZ68" s="561" t="s">
        <v>1505</v>
      </c>
      <c r="DKA68" s="561" t="s">
        <v>1505</v>
      </c>
      <c r="DKB68" s="561" t="s">
        <v>1505</v>
      </c>
      <c r="DKC68" s="561" t="s">
        <v>1505</v>
      </c>
      <c r="DKD68" s="561" t="s">
        <v>1505</v>
      </c>
      <c r="DKE68" s="561" t="s">
        <v>1505</v>
      </c>
      <c r="DKF68" s="561" t="s">
        <v>1505</v>
      </c>
      <c r="DKG68" s="561" t="s">
        <v>1505</v>
      </c>
      <c r="DKH68" s="561" t="s">
        <v>1505</v>
      </c>
      <c r="DKI68" s="561" t="s">
        <v>1505</v>
      </c>
      <c r="DKJ68" s="561" t="s">
        <v>1505</v>
      </c>
      <c r="DKK68" s="561" t="s">
        <v>1505</v>
      </c>
      <c r="DKL68" s="561" t="s">
        <v>1505</v>
      </c>
      <c r="DKM68" s="561" t="s">
        <v>1505</v>
      </c>
      <c r="DKN68" s="561" t="s">
        <v>1505</v>
      </c>
      <c r="DKO68" s="561" t="s">
        <v>1505</v>
      </c>
      <c r="DKP68" s="561" t="s">
        <v>1505</v>
      </c>
      <c r="DKQ68" s="561" t="s">
        <v>1505</v>
      </c>
      <c r="DKR68" s="561" t="s">
        <v>1505</v>
      </c>
      <c r="DKS68" s="561" t="s">
        <v>1505</v>
      </c>
      <c r="DKT68" s="561" t="s">
        <v>1505</v>
      </c>
      <c r="DKU68" s="561" t="s">
        <v>1505</v>
      </c>
      <c r="DKV68" s="561" t="s">
        <v>1505</v>
      </c>
      <c r="DKW68" s="561" t="s">
        <v>1505</v>
      </c>
      <c r="DKX68" s="561" t="s">
        <v>1505</v>
      </c>
      <c r="DKY68" s="561" t="s">
        <v>1505</v>
      </c>
      <c r="DKZ68" s="561" t="s">
        <v>1505</v>
      </c>
      <c r="DLA68" s="561" t="s">
        <v>1505</v>
      </c>
      <c r="DLB68" s="561" t="s">
        <v>1505</v>
      </c>
      <c r="DLC68" s="561" t="s">
        <v>1505</v>
      </c>
      <c r="DLD68" s="561" t="s">
        <v>1505</v>
      </c>
      <c r="DLE68" s="561" t="s">
        <v>1505</v>
      </c>
      <c r="DLF68" s="561" t="s">
        <v>1505</v>
      </c>
      <c r="DLG68" s="561" t="s">
        <v>1505</v>
      </c>
      <c r="DLH68" s="561" t="s">
        <v>1505</v>
      </c>
      <c r="DLI68" s="561" t="s">
        <v>1505</v>
      </c>
      <c r="DLJ68" s="561" t="s">
        <v>1505</v>
      </c>
      <c r="DLK68" s="561" t="s">
        <v>1505</v>
      </c>
      <c r="DLL68" s="561" t="s">
        <v>1505</v>
      </c>
      <c r="DLM68" s="561" t="s">
        <v>1505</v>
      </c>
      <c r="DLN68" s="561" t="s">
        <v>1505</v>
      </c>
      <c r="DLO68" s="561" t="s">
        <v>1505</v>
      </c>
      <c r="DLP68" s="561" t="s">
        <v>1505</v>
      </c>
      <c r="DLQ68" s="561" t="s">
        <v>1505</v>
      </c>
      <c r="DLR68" s="561" t="s">
        <v>1505</v>
      </c>
      <c r="DLS68" s="561" t="s">
        <v>1505</v>
      </c>
      <c r="DLT68" s="561" t="s">
        <v>1505</v>
      </c>
      <c r="DLU68" s="561" t="s">
        <v>1505</v>
      </c>
      <c r="DLV68" s="561" t="s">
        <v>1505</v>
      </c>
      <c r="DLW68" s="561" t="s">
        <v>1505</v>
      </c>
      <c r="DLX68" s="561" t="s">
        <v>1505</v>
      </c>
      <c r="DLY68" s="561" t="s">
        <v>1505</v>
      </c>
      <c r="DLZ68" s="561" t="s">
        <v>1505</v>
      </c>
      <c r="DMA68" s="561" t="s">
        <v>1505</v>
      </c>
      <c r="DMB68" s="561" t="s">
        <v>1505</v>
      </c>
      <c r="DMC68" s="561" t="s">
        <v>1505</v>
      </c>
      <c r="DMD68" s="561" t="s">
        <v>1505</v>
      </c>
      <c r="DME68" s="561" t="s">
        <v>1505</v>
      </c>
      <c r="DMF68" s="561" t="s">
        <v>1505</v>
      </c>
      <c r="DMG68" s="561" t="s">
        <v>1505</v>
      </c>
      <c r="DMH68" s="561" t="s">
        <v>1505</v>
      </c>
      <c r="DMI68" s="561" t="s">
        <v>1505</v>
      </c>
      <c r="DMJ68" s="561" t="s">
        <v>1505</v>
      </c>
      <c r="DMK68" s="561" t="s">
        <v>1505</v>
      </c>
      <c r="DML68" s="561" t="s">
        <v>1505</v>
      </c>
      <c r="DMM68" s="561" t="s">
        <v>1505</v>
      </c>
      <c r="DMN68" s="561" t="s">
        <v>1505</v>
      </c>
      <c r="DMO68" s="561" t="s">
        <v>1505</v>
      </c>
      <c r="DMP68" s="561" t="s">
        <v>1505</v>
      </c>
      <c r="DMQ68" s="561" t="s">
        <v>1505</v>
      </c>
      <c r="DMR68" s="561" t="s">
        <v>1505</v>
      </c>
      <c r="DMS68" s="561" t="s">
        <v>1505</v>
      </c>
      <c r="DMT68" s="561" t="s">
        <v>1505</v>
      </c>
      <c r="DMU68" s="561" t="s">
        <v>1505</v>
      </c>
      <c r="DMV68" s="561" t="s">
        <v>1505</v>
      </c>
      <c r="DMW68" s="561" t="s">
        <v>1505</v>
      </c>
      <c r="DMX68" s="561" t="s">
        <v>1505</v>
      </c>
      <c r="DMY68" s="561" t="s">
        <v>1505</v>
      </c>
      <c r="DMZ68" s="561" t="s">
        <v>1505</v>
      </c>
      <c r="DNA68" s="561" t="s">
        <v>1505</v>
      </c>
      <c r="DNB68" s="561" t="s">
        <v>1505</v>
      </c>
      <c r="DNC68" s="561" t="s">
        <v>1505</v>
      </c>
      <c r="DND68" s="561" t="s">
        <v>1505</v>
      </c>
      <c r="DNE68" s="561" t="s">
        <v>1505</v>
      </c>
      <c r="DNF68" s="561" t="s">
        <v>1505</v>
      </c>
      <c r="DNG68" s="561" t="s">
        <v>1505</v>
      </c>
      <c r="DNH68" s="561" t="s">
        <v>1505</v>
      </c>
      <c r="DNI68" s="561" t="s">
        <v>1505</v>
      </c>
      <c r="DNJ68" s="561" t="s">
        <v>1505</v>
      </c>
      <c r="DNK68" s="561" t="s">
        <v>1505</v>
      </c>
      <c r="DNL68" s="561" t="s">
        <v>1505</v>
      </c>
      <c r="DNM68" s="561" t="s">
        <v>1505</v>
      </c>
      <c r="DNN68" s="561" t="s">
        <v>1505</v>
      </c>
      <c r="DNO68" s="561" t="s">
        <v>1505</v>
      </c>
      <c r="DNP68" s="561" t="s">
        <v>1505</v>
      </c>
      <c r="DNQ68" s="561" t="s">
        <v>1505</v>
      </c>
      <c r="DNR68" s="561" t="s">
        <v>1505</v>
      </c>
      <c r="DNS68" s="561" t="s">
        <v>1505</v>
      </c>
      <c r="DNT68" s="561" t="s">
        <v>1505</v>
      </c>
      <c r="DNU68" s="561" t="s">
        <v>1505</v>
      </c>
      <c r="DNV68" s="561" t="s">
        <v>1505</v>
      </c>
      <c r="DNW68" s="561" t="s">
        <v>1505</v>
      </c>
      <c r="DNX68" s="561" t="s">
        <v>1505</v>
      </c>
      <c r="DNY68" s="561" t="s">
        <v>1505</v>
      </c>
      <c r="DNZ68" s="561" t="s">
        <v>1505</v>
      </c>
      <c r="DOA68" s="561" t="s">
        <v>1505</v>
      </c>
      <c r="DOB68" s="561" t="s">
        <v>1505</v>
      </c>
      <c r="DOC68" s="561" t="s">
        <v>1505</v>
      </c>
      <c r="DOD68" s="561" t="s">
        <v>1505</v>
      </c>
      <c r="DOE68" s="561" t="s">
        <v>1505</v>
      </c>
      <c r="DOF68" s="561" t="s">
        <v>1505</v>
      </c>
      <c r="DOG68" s="561" t="s">
        <v>1505</v>
      </c>
      <c r="DOH68" s="561" t="s">
        <v>1505</v>
      </c>
      <c r="DOI68" s="561" t="s">
        <v>1505</v>
      </c>
      <c r="DOJ68" s="561" t="s">
        <v>1505</v>
      </c>
      <c r="DOK68" s="561" t="s">
        <v>1505</v>
      </c>
      <c r="DOL68" s="561" t="s">
        <v>1505</v>
      </c>
      <c r="DOM68" s="561" t="s">
        <v>1505</v>
      </c>
      <c r="DON68" s="561" t="s">
        <v>1505</v>
      </c>
      <c r="DOO68" s="561" t="s">
        <v>1505</v>
      </c>
      <c r="DOP68" s="561" t="s">
        <v>1505</v>
      </c>
      <c r="DOQ68" s="561" t="s">
        <v>1505</v>
      </c>
      <c r="DOR68" s="561" t="s">
        <v>1505</v>
      </c>
      <c r="DOS68" s="561" t="s">
        <v>1505</v>
      </c>
      <c r="DOT68" s="561" t="s">
        <v>1505</v>
      </c>
      <c r="DOU68" s="561" t="s">
        <v>1505</v>
      </c>
      <c r="DOV68" s="561" t="s">
        <v>1505</v>
      </c>
      <c r="DOW68" s="561" t="s">
        <v>1505</v>
      </c>
      <c r="DOX68" s="561" t="s">
        <v>1505</v>
      </c>
      <c r="DOY68" s="561" t="s">
        <v>1505</v>
      </c>
      <c r="DOZ68" s="561" t="s">
        <v>1505</v>
      </c>
      <c r="DPA68" s="561" t="s">
        <v>1505</v>
      </c>
      <c r="DPB68" s="561" t="s">
        <v>1505</v>
      </c>
      <c r="DPC68" s="561" t="s">
        <v>1505</v>
      </c>
      <c r="DPD68" s="561" t="s">
        <v>1505</v>
      </c>
      <c r="DPE68" s="561" t="s">
        <v>1505</v>
      </c>
      <c r="DPF68" s="561" t="s">
        <v>1505</v>
      </c>
      <c r="DPG68" s="561" t="s">
        <v>1505</v>
      </c>
      <c r="DPH68" s="561" t="s">
        <v>1505</v>
      </c>
      <c r="DPI68" s="561" t="s">
        <v>1505</v>
      </c>
      <c r="DPJ68" s="561" t="s">
        <v>1505</v>
      </c>
      <c r="DPK68" s="561" t="s">
        <v>1505</v>
      </c>
      <c r="DPL68" s="561" t="s">
        <v>1505</v>
      </c>
      <c r="DPM68" s="561" t="s">
        <v>1505</v>
      </c>
      <c r="DPN68" s="561" t="s">
        <v>1505</v>
      </c>
      <c r="DPO68" s="561" t="s">
        <v>1505</v>
      </c>
      <c r="DPP68" s="561" t="s">
        <v>1505</v>
      </c>
      <c r="DPQ68" s="561" t="s">
        <v>1505</v>
      </c>
      <c r="DPR68" s="561" t="s">
        <v>1505</v>
      </c>
      <c r="DPS68" s="561" t="s">
        <v>1505</v>
      </c>
      <c r="DPT68" s="561" t="s">
        <v>1505</v>
      </c>
      <c r="DPU68" s="561" t="s">
        <v>1505</v>
      </c>
      <c r="DPV68" s="561" t="s">
        <v>1505</v>
      </c>
      <c r="DPW68" s="561" t="s">
        <v>1505</v>
      </c>
      <c r="DPX68" s="561" t="s">
        <v>1505</v>
      </c>
      <c r="DPY68" s="561" t="s">
        <v>1505</v>
      </c>
      <c r="DPZ68" s="561" t="s">
        <v>1505</v>
      </c>
      <c r="DQA68" s="561" t="s">
        <v>1505</v>
      </c>
      <c r="DQB68" s="561" t="s">
        <v>1505</v>
      </c>
      <c r="DQC68" s="561" t="s">
        <v>1505</v>
      </c>
      <c r="DQD68" s="561" t="s">
        <v>1505</v>
      </c>
      <c r="DQE68" s="561" t="s">
        <v>1505</v>
      </c>
      <c r="DQF68" s="561" t="s">
        <v>1505</v>
      </c>
      <c r="DQG68" s="561" t="s">
        <v>1505</v>
      </c>
      <c r="DQH68" s="561" t="s">
        <v>1505</v>
      </c>
      <c r="DQI68" s="561" t="s">
        <v>1505</v>
      </c>
      <c r="DQJ68" s="561" t="s">
        <v>1505</v>
      </c>
      <c r="DQK68" s="561" t="s">
        <v>1505</v>
      </c>
      <c r="DQL68" s="561" t="s">
        <v>1505</v>
      </c>
      <c r="DQM68" s="561" t="s">
        <v>1505</v>
      </c>
      <c r="DQN68" s="561" t="s">
        <v>1505</v>
      </c>
      <c r="DQO68" s="561" t="s">
        <v>1505</v>
      </c>
      <c r="DQP68" s="561" t="s">
        <v>1505</v>
      </c>
      <c r="DQQ68" s="561" t="s">
        <v>1505</v>
      </c>
      <c r="DQR68" s="561" t="s">
        <v>1505</v>
      </c>
      <c r="DQS68" s="561" t="s">
        <v>1505</v>
      </c>
      <c r="DQT68" s="561" t="s">
        <v>1505</v>
      </c>
      <c r="DQU68" s="561" t="s">
        <v>1505</v>
      </c>
      <c r="DQV68" s="561" t="s">
        <v>1505</v>
      </c>
      <c r="DQW68" s="561" t="s">
        <v>1505</v>
      </c>
      <c r="DQX68" s="561" t="s">
        <v>1505</v>
      </c>
      <c r="DQY68" s="561" t="s">
        <v>1505</v>
      </c>
      <c r="DQZ68" s="561" t="s">
        <v>1505</v>
      </c>
      <c r="DRA68" s="561" t="s">
        <v>1505</v>
      </c>
      <c r="DRB68" s="561" t="s">
        <v>1505</v>
      </c>
      <c r="DRC68" s="561" t="s">
        <v>1505</v>
      </c>
      <c r="DRD68" s="561" t="s">
        <v>1505</v>
      </c>
      <c r="DRE68" s="561" t="s">
        <v>1505</v>
      </c>
      <c r="DRF68" s="561" t="s">
        <v>1505</v>
      </c>
      <c r="DRG68" s="561" t="s">
        <v>1505</v>
      </c>
      <c r="DRH68" s="561" t="s">
        <v>1505</v>
      </c>
      <c r="DRI68" s="561" t="s">
        <v>1505</v>
      </c>
      <c r="DRJ68" s="561" t="s">
        <v>1505</v>
      </c>
      <c r="DRK68" s="561" t="s">
        <v>1505</v>
      </c>
      <c r="DRL68" s="561" t="s">
        <v>1505</v>
      </c>
      <c r="DRM68" s="561" t="s">
        <v>1505</v>
      </c>
      <c r="DRN68" s="561" t="s">
        <v>1505</v>
      </c>
      <c r="DRO68" s="561" t="s">
        <v>1505</v>
      </c>
      <c r="DRP68" s="561" t="s">
        <v>1505</v>
      </c>
      <c r="DRQ68" s="561" t="s">
        <v>1505</v>
      </c>
      <c r="DRR68" s="561" t="s">
        <v>1505</v>
      </c>
      <c r="DRS68" s="561" t="s">
        <v>1505</v>
      </c>
      <c r="DRT68" s="561" t="s">
        <v>1505</v>
      </c>
      <c r="DRU68" s="561" t="s">
        <v>1505</v>
      </c>
      <c r="DRV68" s="561" t="s">
        <v>1505</v>
      </c>
      <c r="DRW68" s="561" t="s">
        <v>1505</v>
      </c>
      <c r="DRX68" s="561" t="s">
        <v>1505</v>
      </c>
      <c r="DRY68" s="561" t="s">
        <v>1505</v>
      </c>
      <c r="DRZ68" s="561" t="s">
        <v>1505</v>
      </c>
      <c r="DSA68" s="561" t="s">
        <v>1505</v>
      </c>
      <c r="DSB68" s="561" t="s">
        <v>1505</v>
      </c>
      <c r="DSC68" s="561" t="s">
        <v>1505</v>
      </c>
      <c r="DSD68" s="561" t="s">
        <v>1505</v>
      </c>
      <c r="DSE68" s="561" t="s">
        <v>1505</v>
      </c>
      <c r="DSF68" s="561" t="s">
        <v>1505</v>
      </c>
      <c r="DSG68" s="561" t="s">
        <v>1505</v>
      </c>
      <c r="DSH68" s="561" t="s">
        <v>1505</v>
      </c>
      <c r="DSI68" s="561" t="s">
        <v>1505</v>
      </c>
      <c r="DSJ68" s="561" t="s">
        <v>1505</v>
      </c>
      <c r="DSK68" s="561" t="s">
        <v>1505</v>
      </c>
      <c r="DSL68" s="561" t="s">
        <v>1505</v>
      </c>
      <c r="DSM68" s="561" t="s">
        <v>1505</v>
      </c>
      <c r="DSN68" s="561" t="s">
        <v>1505</v>
      </c>
      <c r="DSO68" s="561" t="s">
        <v>1505</v>
      </c>
      <c r="DSP68" s="561" t="s">
        <v>1505</v>
      </c>
      <c r="DSQ68" s="561" t="s">
        <v>1505</v>
      </c>
      <c r="DSR68" s="561" t="s">
        <v>1505</v>
      </c>
      <c r="DSS68" s="561" t="s">
        <v>1505</v>
      </c>
      <c r="DST68" s="561" t="s">
        <v>1505</v>
      </c>
      <c r="DSU68" s="561" t="s">
        <v>1505</v>
      </c>
      <c r="DSV68" s="561" t="s">
        <v>1505</v>
      </c>
      <c r="DSW68" s="561" t="s">
        <v>1505</v>
      </c>
      <c r="DSX68" s="561" t="s">
        <v>1505</v>
      </c>
      <c r="DSY68" s="561" t="s">
        <v>1505</v>
      </c>
      <c r="DSZ68" s="561" t="s">
        <v>1505</v>
      </c>
      <c r="DTA68" s="561" t="s">
        <v>1505</v>
      </c>
      <c r="DTB68" s="561" t="s">
        <v>1505</v>
      </c>
      <c r="DTC68" s="561" t="s">
        <v>1505</v>
      </c>
      <c r="DTD68" s="561" t="s">
        <v>1505</v>
      </c>
      <c r="DTE68" s="561" t="s">
        <v>1505</v>
      </c>
      <c r="DTF68" s="561" t="s">
        <v>1505</v>
      </c>
      <c r="DTG68" s="561" t="s">
        <v>1505</v>
      </c>
      <c r="DTH68" s="561" t="s">
        <v>1505</v>
      </c>
      <c r="DTI68" s="561" t="s">
        <v>1505</v>
      </c>
      <c r="DTJ68" s="561" t="s">
        <v>1505</v>
      </c>
      <c r="DTK68" s="561" t="s">
        <v>1505</v>
      </c>
      <c r="DTL68" s="561" t="s">
        <v>1505</v>
      </c>
      <c r="DTM68" s="561" t="s">
        <v>1505</v>
      </c>
      <c r="DTN68" s="561" t="s">
        <v>1505</v>
      </c>
      <c r="DTO68" s="561" t="s">
        <v>1505</v>
      </c>
      <c r="DTP68" s="561" t="s">
        <v>1505</v>
      </c>
      <c r="DTQ68" s="561" t="s">
        <v>1505</v>
      </c>
      <c r="DTR68" s="561" t="s">
        <v>1505</v>
      </c>
      <c r="DTS68" s="561" t="s">
        <v>1505</v>
      </c>
      <c r="DTT68" s="561" t="s">
        <v>1505</v>
      </c>
      <c r="DTU68" s="561" t="s">
        <v>1505</v>
      </c>
      <c r="DTV68" s="561" t="s">
        <v>1505</v>
      </c>
      <c r="DTW68" s="561" t="s">
        <v>1505</v>
      </c>
      <c r="DTX68" s="561" t="s">
        <v>1505</v>
      </c>
      <c r="DTY68" s="561" t="s">
        <v>1505</v>
      </c>
      <c r="DTZ68" s="561" t="s">
        <v>1505</v>
      </c>
      <c r="DUA68" s="561" t="s">
        <v>1505</v>
      </c>
      <c r="DUB68" s="561" t="s">
        <v>1505</v>
      </c>
      <c r="DUC68" s="561" t="s">
        <v>1505</v>
      </c>
      <c r="DUD68" s="561" t="s">
        <v>1505</v>
      </c>
      <c r="DUE68" s="561" t="s">
        <v>1505</v>
      </c>
      <c r="DUF68" s="561" t="s">
        <v>1505</v>
      </c>
      <c r="DUG68" s="561" t="s">
        <v>1505</v>
      </c>
      <c r="DUH68" s="561" t="s">
        <v>1505</v>
      </c>
      <c r="DUI68" s="561" t="s">
        <v>1505</v>
      </c>
      <c r="DUJ68" s="561" t="s">
        <v>1505</v>
      </c>
      <c r="DUK68" s="561" t="s">
        <v>1505</v>
      </c>
      <c r="DUL68" s="561" t="s">
        <v>1505</v>
      </c>
      <c r="DUM68" s="561" t="s">
        <v>1505</v>
      </c>
      <c r="DUN68" s="561" t="s">
        <v>1505</v>
      </c>
      <c r="DUO68" s="561" t="s">
        <v>1505</v>
      </c>
      <c r="DUP68" s="561" t="s">
        <v>1505</v>
      </c>
      <c r="DUQ68" s="561" t="s">
        <v>1505</v>
      </c>
      <c r="DUR68" s="561" t="s">
        <v>1505</v>
      </c>
      <c r="DUS68" s="561" t="s">
        <v>1505</v>
      </c>
      <c r="DUT68" s="561" t="s">
        <v>1505</v>
      </c>
      <c r="DUU68" s="561" t="s">
        <v>1505</v>
      </c>
      <c r="DUV68" s="561" t="s">
        <v>1505</v>
      </c>
      <c r="DUW68" s="561" t="s">
        <v>1505</v>
      </c>
      <c r="DUX68" s="561" t="s">
        <v>1505</v>
      </c>
      <c r="DUY68" s="561" t="s">
        <v>1505</v>
      </c>
      <c r="DUZ68" s="561" t="s">
        <v>1505</v>
      </c>
      <c r="DVA68" s="561" t="s">
        <v>1505</v>
      </c>
      <c r="DVB68" s="561" t="s">
        <v>1505</v>
      </c>
      <c r="DVC68" s="561" t="s">
        <v>1505</v>
      </c>
      <c r="DVD68" s="561" t="s">
        <v>1505</v>
      </c>
      <c r="DVE68" s="561" t="s">
        <v>1505</v>
      </c>
      <c r="DVF68" s="561" t="s">
        <v>1505</v>
      </c>
      <c r="DVG68" s="561" t="s">
        <v>1505</v>
      </c>
      <c r="DVH68" s="561" t="s">
        <v>1505</v>
      </c>
      <c r="DVI68" s="561" t="s">
        <v>1505</v>
      </c>
      <c r="DVJ68" s="561" t="s">
        <v>1505</v>
      </c>
      <c r="DVK68" s="561" t="s">
        <v>1505</v>
      </c>
      <c r="DVL68" s="561" t="s">
        <v>1505</v>
      </c>
      <c r="DVM68" s="561" t="s">
        <v>1505</v>
      </c>
      <c r="DVN68" s="561" t="s">
        <v>1505</v>
      </c>
      <c r="DVO68" s="561" t="s">
        <v>1505</v>
      </c>
      <c r="DVP68" s="561" t="s">
        <v>1505</v>
      </c>
      <c r="DVQ68" s="561" t="s">
        <v>1505</v>
      </c>
      <c r="DVR68" s="561" t="s">
        <v>1505</v>
      </c>
      <c r="DVS68" s="561" t="s">
        <v>1505</v>
      </c>
      <c r="DVT68" s="561" t="s">
        <v>1505</v>
      </c>
      <c r="DVU68" s="561" t="s">
        <v>1505</v>
      </c>
      <c r="DVV68" s="561" t="s">
        <v>1505</v>
      </c>
      <c r="DVW68" s="561" t="s">
        <v>1505</v>
      </c>
      <c r="DVX68" s="561" t="s">
        <v>1505</v>
      </c>
      <c r="DVY68" s="561" t="s">
        <v>1505</v>
      </c>
      <c r="DVZ68" s="561" t="s">
        <v>1505</v>
      </c>
      <c r="DWA68" s="561" t="s">
        <v>1505</v>
      </c>
      <c r="DWB68" s="561" t="s">
        <v>1505</v>
      </c>
      <c r="DWC68" s="561" t="s">
        <v>1505</v>
      </c>
      <c r="DWD68" s="561" t="s">
        <v>1505</v>
      </c>
      <c r="DWE68" s="561" t="s">
        <v>1505</v>
      </c>
      <c r="DWF68" s="561" t="s">
        <v>1505</v>
      </c>
      <c r="DWG68" s="561" t="s">
        <v>1505</v>
      </c>
      <c r="DWH68" s="561" t="s">
        <v>1505</v>
      </c>
      <c r="DWI68" s="561" t="s">
        <v>1505</v>
      </c>
      <c r="DWJ68" s="561" t="s">
        <v>1505</v>
      </c>
      <c r="DWK68" s="561" t="s">
        <v>1505</v>
      </c>
      <c r="DWL68" s="561" t="s">
        <v>1505</v>
      </c>
      <c r="DWM68" s="561" t="s">
        <v>1505</v>
      </c>
      <c r="DWN68" s="561" t="s">
        <v>1505</v>
      </c>
      <c r="DWO68" s="561" t="s">
        <v>1505</v>
      </c>
      <c r="DWP68" s="561" t="s">
        <v>1505</v>
      </c>
      <c r="DWQ68" s="561" t="s">
        <v>1505</v>
      </c>
      <c r="DWR68" s="561" t="s">
        <v>1505</v>
      </c>
      <c r="DWS68" s="561" t="s">
        <v>1505</v>
      </c>
      <c r="DWT68" s="561" t="s">
        <v>1505</v>
      </c>
      <c r="DWU68" s="561" t="s">
        <v>1505</v>
      </c>
      <c r="DWV68" s="561" t="s">
        <v>1505</v>
      </c>
      <c r="DWW68" s="561" t="s">
        <v>1505</v>
      </c>
      <c r="DWX68" s="561" t="s">
        <v>1505</v>
      </c>
      <c r="DWY68" s="561" t="s">
        <v>1505</v>
      </c>
      <c r="DWZ68" s="561" t="s">
        <v>1505</v>
      </c>
      <c r="DXA68" s="561" t="s">
        <v>1505</v>
      </c>
      <c r="DXB68" s="561" t="s">
        <v>1505</v>
      </c>
      <c r="DXC68" s="561" t="s">
        <v>1505</v>
      </c>
      <c r="DXD68" s="561" t="s">
        <v>1505</v>
      </c>
      <c r="DXE68" s="561" t="s">
        <v>1505</v>
      </c>
      <c r="DXF68" s="561" t="s">
        <v>1505</v>
      </c>
      <c r="DXG68" s="561" t="s">
        <v>1505</v>
      </c>
      <c r="DXH68" s="561" t="s">
        <v>1505</v>
      </c>
      <c r="DXI68" s="561" t="s">
        <v>1505</v>
      </c>
      <c r="DXJ68" s="561" t="s">
        <v>1505</v>
      </c>
      <c r="DXK68" s="561" t="s">
        <v>1505</v>
      </c>
      <c r="DXL68" s="561" t="s">
        <v>1505</v>
      </c>
      <c r="DXM68" s="561" t="s">
        <v>1505</v>
      </c>
      <c r="DXN68" s="561" t="s">
        <v>1505</v>
      </c>
      <c r="DXO68" s="561" t="s">
        <v>1505</v>
      </c>
      <c r="DXP68" s="561" t="s">
        <v>1505</v>
      </c>
      <c r="DXQ68" s="561" t="s">
        <v>1505</v>
      </c>
      <c r="DXR68" s="561" t="s">
        <v>1505</v>
      </c>
      <c r="DXS68" s="561" t="s">
        <v>1505</v>
      </c>
      <c r="DXT68" s="561" t="s">
        <v>1505</v>
      </c>
      <c r="DXU68" s="561" t="s">
        <v>1505</v>
      </c>
      <c r="DXV68" s="561" t="s">
        <v>1505</v>
      </c>
      <c r="DXW68" s="561" t="s">
        <v>1505</v>
      </c>
      <c r="DXX68" s="561" t="s">
        <v>1505</v>
      </c>
      <c r="DXY68" s="561" t="s">
        <v>1505</v>
      </c>
      <c r="DXZ68" s="561" t="s">
        <v>1505</v>
      </c>
      <c r="DYA68" s="561" t="s">
        <v>1505</v>
      </c>
      <c r="DYB68" s="561" t="s">
        <v>1505</v>
      </c>
      <c r="DYC68" s="561" t="s">
        <v>1505</v>
      </c>
      <c r="DYD68" s="561" t="s">
        <v>1505</v>
      </c>
      <c r="DYE68" s="561" t="s">
        <v>1505</v>
      </c>
      <c r="DYF68" s="561" t="s">
        <v>1505</v>
      </c>
      <c r="DYG68" s="561" t="s">
        <v>1505</v>
      </c>
      <c r="DYH68" s="561" t="s">
        <v>1505</v>
      </c>
      <c r="DYI68" s="561" t="s">
        <v>1505</v>
      </c>
      <c r="DYJ68" s="561" t="s">
        <v>1505</v>
      </c>
      <c r="DYK68" s="561" t="s">
        <v>1505</v>
      </c>
      <c r="DYL68" s="561" t="s">
        <v>1505</v>
      </c>
      <c r="DYM68" s="561" t="s">
        <v>1505</v>
      </c>
      <c r="DYN68" s="561" t="s">
        <v>1505</v>
      </c>
      <c r="DYO68" s="561" t="s">
        <v>1505</v>
      </c>
      <c r="DYP68" s="561" t="s">
        <v>1505</v>
      </c>
      <c r="DYQ68" s="561" t="s">
        <v>1505</v>
      </c>
      <c r="DYR68" s="561" t="s">
        <v>1505</v>
      </c>
      <c r="DYS68" s="561" t="s">
        <v>1505</v>
      </c>
      <c r="DYT68" s="561" t="s">
        <v>1505</v>
      </c>
      <c r="DYU68" s="561" t="s">
        <v>1505</v>
      </c>
      <c r="DYV68" s="561" t="s">
        <v>1505</v>
      </c>
      <c r="DYW68" s="561" t="s">
        <v>1505</v>
      </c>
      <c r="DYX68" s="561" t="s">
        <v>1505</v>
      </c>
      <c r="DYY68" s="561" t="s">
        <v>1505</v>
      </c>
      <c r="DYZ68" s="561" t="s">
        <v>1505</v>
      </c>
      <c r="DZA68" s="561" t="s">
        <v>1505</v>
      </c>
      <c r="DZB68" s="561" t="s">
        <v>1505</v>
      </c>
      <c r="DZC68" s="561" t="s">
        <v>1505</v>
      </c>
      <c r="DZD68" s="561" t="s">
        <v>1505</v>
      </c>
      <c r="DZE68" s="561" t="s">
        <v>1505</v>
      </c>
      <c r="DZF68" s="561" t="s">
        <v>1505</v>
      </c>
      <c r="DZG68" s="561" t="s">
        <v>1505</v>
      </c>
      <c r="DZH68" s="561" t="s">
        <v>1505</v>
      </c>
      <c r="DZI68" s="561" t="s">
        <v>1505</v>
      </c>
      <c r="DZJ68" s="561" t="s">
        <v>1505</v>
      </c>
      <c r="DZK68" s="561" t="s">
        <v>1505</v>
      </c>
      <c r="DZL68" s="561" t="s">
        <v>1505</v>
      </c>
      <c r="DZM68" s="561" t="s">
        <v>1505</v>
      </c>
      <c r="DZN68" s="561" t="s">
        <v>1505</v>
      </c>
      <c r="DZO68" s="561" t="s">
        <v>1505</v>
      </c>
      <c r="DZP68" s="561" t="s">
        <v>1505</v>
      </c>
      <c r="DZQ68" s="561" t="s">
        <v>1505</v>
      </c>
      <c r="DZR68" s="561" t="s">
        <v>1505</v>
      </c>
      <c r="DZS68" s="561" t="s">
        <v>1505</v>
      </c>
      <c r="DZT68" s="561" t="s">
        <v>1505</v>
      </c>
      <c r="DZU68" s="561" t="s">
        <v>1505</v>
      </c>
      <c r="DZV68" s="561" t="s">
        <v>1505</v>
      </c>
      <c r="DZW68" s="561" t="s">
        <v>1505</v>
      </c>
      <c r="DZX68" s="561" t="s">
        <v>1505</v>
      </c>
      <c r="DZY68" s="561" t="s">
        <v>1505</v>
      </c>
      <c r="DZZ68" s="561" t="s">
        <v>1505</v>
      </c>
      <c r="EAA68" s="561" t="s">
        <v>1505</v>
      </c>
      <c r="EAB68" s="561" t="s">
        <v>1505</v>
      </c>
      <c r="EAC68" s="561" t="s">
        <v>1505</v>
      </c>
      <c r="EAD68" s="561" t="s">
        <v>1505</v>
      </c>
      <c r="EAE68" s="561" t="s">
        <v>1505</v>
      </c>
      <c r="EAF68" s="561" t="s">
        <v>1505</v>
      </c>
      <c r="EAG68" s="561" t="s">
        <v>1505</v>
      </c>
      <c r="EAH68" s="561" t="s">
        <v>1505</v>
      </c>
      <c r="EAI68" s="561" t="s">
        <v>1505</v>
      </c>
      <c r="EAJ68" s="561" t="s">
        <v>1505</v>
      </c>
      <c r="EAK68" s="561" t="s">
        <v>1505</v>
      </c>
      <c r="EAL68" s="561" t="s">
        <v>1505</v>
      </c>
      <c r="EAM68" s="561" t="s">
        <v>1505</v>
      </c>
      <c r="EAN68" s="561" t="s">
        <v>1505</v>
      </c>
      <c r="EAO68" s="561" t="s">
        <v>1505</v>
      </c>
      <c r="EAP68" s="561" t="s">
        <v>1505</v>
      </c>
      <c r="EAQ68" s="561" t="s">
        <v>1505</v>
      </c>
      <c r="EAR68" s="561" t="s">
        <v>1505</v>
      </c>
      <c r="EAS68" s="561" t="s">
        <v>1505</v>
      </c>
      <c r="EAT68" s="561" t="s">
        <v>1505</v>
      </c>
      <c r="EAU68" s="561" t="s">
        <v>1505</v>
      </c>
      <c r="EAV68" s="561" t="s">
        <v>1505</v>
      </c>
      <c r="EAW68" s="561" t="s">
        <v>1505</v>
      </c>
      <c r="EAX68" s="561" t="s">
        <v>1505</v>
      </c>
      <c r="EAY68" s="561" t="s">
        <v>1505</v>
      </c>
      <c r="EAZ68" s="561" t="s">
        <v>1505</v>
      </c>
      <c r="EBA68" s="561" t="s">
        <v>1505</v>
      </c>
      <c r="EBB68" s="561" t="s">
        <v>1505</v>
      </c>
      <c r="EBC68" s="561" t="s">
        <v>1505</v>
      </c>
      <c r="EBD68" s="561" t="s">
        <v>1505</v>
      </c>
      <c r="EBE68" s="561" t="s">
        <v>1505</v>
      </c>
      <c r="EBF68" s="561" t="s">
        <v>1505</v>
      </c>
      <c r="EBG68" s="561" t="s">
        <v>1505</v>
      </c>
      <c r="EBH68" s="561" t="s">
        <v>1505</v>
      </c>
      <c r="EBI68" s="561" t="s">
        <v>1505</v>
      </c>
      <c r="EBJ68" s="561" t="s">
        <v>1505</v>
      </c>
      <c r="EBK68" s="561" t="s">
        <v>1505</v>
      </c>
      <c r="EBL68" s="561" t="s">
        <v>1505</v>
      </c>
      <c r="EBM68" s="561" t="s">
        <v>1505</v>
      </c>
      <c r="EBN68" s="561" t="s">
        <v>1505</v>
      </c>
      <c r="EBO68" s="561" t="s">
        <v>1505</v>
      </c>
      <c r="EBP68" s="561" t="s">
        <v>1505</v>
      </c>
      <c r="EBQ68" s="561" t="s">
        <v>1505</v>
      </c>
      <c r="EBR68" s="561" t="s">
        <v>1505</v>
      </c>
      <c r="EBS68" s="561" t="s">
        <v>1505</v>
      </c>
      <c r="EBT68" s="561" t="s">
        <v>1505</v>
      </c>
      <c r="EBU68" s="561" t="s">
        <v>1505</v>
      </c>
      <c r="EBV68" s="561" t="s">
        <v>1505</v>
      </c>
      <c r="EBW68" s="561" t="s">
        <v>1505</v>
      </c>
      <c r="EBX68" s="561" t="s">
        <v>1505</v>
      </c>
      <c r="EBY68" s="561" t="s">
        <v>1505</v>
      </c>
      <c r="EBZ68" s="561" t="s">
        <v>1505</v>
      </c>
      <c r="ECA68" s="561" t="s">
        <v>1505</v>
      </c>
      <c r="ECB68" s="561" t="s">
        <v>1505</v>
      </c>
      <c r="ECC68" s="561" t="s">
        <v>1505</v>
      </c>
      <c r="ECD68" s="561" t="s">
        <v>1505</v>
      </c>
      <c r="ECE68" s="561" t="s">
        <v>1505</v>
      </c>
      <c r="ECF68" s="561" t="s">
        <v>1505</v>
      </c>
      <c r="ECG68" s="561" t="s">
        <v>1505</v>
      </c>
      <c r="ECH68" s="561" t="s">
        <v>1505</v>
      </c>
      <c r="ECI68" s="561" t="s">
        <v>1505</v>
      </c>
      <c r="ECJ68" s="561" t="s">
        <v>1505</v>
      </c>
      <c r="ECK68" s="561" t="s">
        <v>1505</v>
      </c>
      <c r="ECL68" s="561" t="s">
        <v>1505</v>
      </c>
      <c r="ECM68" s="561" t="s">
        <v>1505</v>
      </c>
      <c r="ECN68" s="561" t="s">
        <v>1505</v>
      </c>
      <c r="ECO68" s="561" t="s">
        <v>1505</v>
      </c>
      <c r="ECP68" s="561" t="s">
        <v>1505</v>
      </c>
      <c r="ECQ68" s="561" t="s">
        <v>1505</v>
      </c>
      <c r="ECR68" s="561" t="s">
        <v>1505</v>
      </c>
      <c r="ECS68" s="561" t="s">
        <v>1505</v>
      </c>
      <c r="ECT68" s="561" t="s">
        <v>1505</v>
      </c>
      <c r="ECU68" s="561" t="s">
        <v>1505</v>
      </c>
      <c r="ECV68" s="561" t="s">
        <v>1505</v>
      </c>
      <c r="ECW68" s="561" t="s">
        <v>1505</v>
      </c>
      <c r="ECX68" s="561" t="s">
        <v>1505</v>
      </c>
      <c r="ECY68" s="561" t="s">
        <v>1505</v>
      </c>
      <c r="ECZ68" s="561" t="s">
        <v>1505</v>
      </c>
      <c r="EDA68" s="561" t="s">
        <v>1505</v>
      </c>
      <c r="EDB68" s="561" t="s">
        <v>1505</v>
      </c>
      <c r="EDC68" s="561" t="s">
        <v>1505</v>
      </c>
      <c r="EDD68" s="561" t="s">
        <v>1505</v>
      </c>
      <c r="EDE68" s="561" t="s">
        <v>1505</v>
      </c>
      <c r="EDF68" s="561" t="s">
        <v>1505</v>
      </c>
      <c r="EDG68" s="561" t="s">
        <v>1505</v>
      </c>
      <c r="EDH68" s="561" t="s">
        <v>1505</v>
      </c>
      <c r="EDI68" s="561" t="s">
        <v>1505</v>
      </c>
      <c r="EDJ68" s="561" t="s">
        <v>1505</v>
      </c>
      <c r="EDK68" s="561" t="s">
        <v>1505</v>
      </c>
      <c r="EDL68" s="561" t="s">
        <v>1505</v>
      </c>
      <c r="EDM68" s="561" t="s">
        <v>1505</v>
      </c>
      <c r="EDN68" s="561" t="s">
        <v>1505</v>
      </c>
      <c r="EDO68" s="561" t="s">
        <v>1505</v>
      </c>
      <c r="EDP68" s="561" t="s">
        <v>1505</v>
      </c>
      <c r="EDQ68" s="561" t="s">
        <v>1505</v>
      </c>
      <c r="EDR68" s="561" t="s">
        <v>1505</v>
      </c>
      <c r="EDS68" s="561" t="s">
        <v>1505</v>
      </c>
      <c r="EDT68" s="561" t="s">
        <v>1505</v>
      </c>
      <c r="EDU68" s="561" t="s">
        <v>1505</v>
      </c>
      <c r="EDV68" s="561" t="s">
        <v>1505</v>
      </c>
      <c r="EDW68" s="561" t="s">
        <v>1505</v>
      </c>
      <c r="EDX68" s="561" t="s">
        <v>1505</v>
      </c>
      <c r="EDY68" s="561" t="s">
        <v>1505</v>
      </c>
      <c r="EDZ68" s="561" t="s">
        <v>1505</v>
      </c>
      <c r="EEA68" s="561" t="s">
        <v>1505</v>
      </c>
      <c r="EEB68" s="561" t="s">
        <v>1505</v>
      </c>
      <c r="EEC68" s="561" t="s">
        <v>1505</v>
      </c>
      <c r="EED68" s="561" t="s">
        <v>1505</v>
      </c>
      <c r="EEE68" s="561" t="s">
        <v>1505</v>
      </c>
      <c r="EEF68" s="561" t="s">
        <v>1505</v>
      </c>
      <c r="EEG68" s="561" t="s">
        <v>1505</v>
      </c>
      <c r="EEH68" s="561" t="s">
        <v>1505</v>
      </c>
      <c r="EEI68" s="561" t="s">
        <v>1505</v>
      </c>
      <c r="EEJ68" s="561" t="s">
        <v>1505</v>
      </c>
      <c r="EEK68" s="561" t="s">
        <v>1505</v>
      </c>
      <c r="EEL68" s="561" t="s">
        <v>1505</v>
      </c>
      <c r="EEM68" s="561" t="s">
        <v>1505</v>
      </c>
      <c r="EEN68" s="561" t="s">
        <v>1505</v>
      </c>
      <c r="EEO68" s="561" t="s">
        <v>1505</v>
      </c>
      <c r="EEP68" s="561" t="s">
        <v>1505</v>
      </c>
      <c r="EEQ68" s="561" t="s">
        <v>1505</v>
      </c>
      <c r="EER68" s="561" t="s">
        <v>1505</v>
      </c>
      <c r="EES68" s="561" t="s">
        <v>1505</v>
      </c>
      <c r="EET68" s="561" t="s">
        <v>1505</v>
      </c>
      <c r="EEU68" s="561" t="s">
        <v>1505</v>
      </c>
      <c r="EEV68" s="561" t="s">
        <v>1505</v>
      </c>
      <c r="EEW68" s="561" t="s">
        <v>1505</v>
      </c>
      <c r="EEX68" s="561" t="s">
        <v>1505</v>
      </c>
      <c r="EEY68" s="561" t="s">
        <v>1505</v>
      </c>
      <c r="EEZ68" s="561" t="s">
        <v>1505</v>
      </c>
      <c r="EFA68" s="561" t="s">
        <v>1505</v>
      </c>
      <c r="EFB68" s="561" t="s">
        <v>1505</v>
      </c>
      <c r="EFC68" s="561" t="s">
        <v>1505</v>
      </c>
      <c r="EFD68" s="561" t="s">
        <v>1505</v>
      </c>
      <c r="EFE68" s="561" t="s">
        <v>1505</v>
      </c>
      <c r="EFF68" s="561" t="s">
        <v>1505</v>
      </c>
      <c r="EFG68" s="561" t="s">
        <v>1505</v>
      </c>
      <c r="EFH68" s="561" t="s">
        <v>1505</v>
      </c>
      <c r="EFI68" s="561" t="s">
        <v>1505</v>
      </c>
      <c r="EFJ68" s="561" t="s">
        <v>1505</v>
      </c>
      <c r="EFK68" s="561" t="s">
        <v>1505</v>
      </c>
      <c r="EFL68" s="561" t="s">
        <v>1505</v>
      </c>
      <c r="EFM68" s="561" t="s">
        <v>1505</v>
      </c>
      <c r="EFN68" s="561" t="s">
        <v>1505</v>
      </c>
      <c r="EFO68" s="561" t="s">
        <v>1505</v>
      </c>
      <c r="EFP68" s="561" t="s">
        <v>1505</v>
      </c>
      <c r="EFQ68" s="561" t="s">
        <v>1505</v>
      </c>
      <c r="EFR68" s="561" t="s">
        <v>1505</v>
      </c>
      <c r="EFS68" s="561" t="s">
        <v>1505</v>
      </c>
      <c r="EFT68" s="561" t="s">
        <v>1505</v>
      </c>
      <c r="EFU68" s="561" t="s">
        <v>1505</v>
      </c>
      <c r="EFV68" s="561" t="s">
        <v>1505</v>
      </c>
      <c r="EFW68" s="561" t="s">
        <v>1505</v>
      </c>
      <c r="EFX68" s="561" t="s">
        <v>1505</v>
      </c>
      <c r="EFY68" s="561" t="s">
        <v>1505</v>
      </c>
      <c r="EFZ68" s="561" t="s">
        <v>1505</v>
      </c>
      <c r="EGA68" s="561" t="s">
        <v>1505</v>
      </c>
      <c r="EGB68" s="561" t="s">
        <v>1505</v>
      </c>
      <c r="EGC68" s="561" t="s">
        <v>1505</v>
      </c>
      <c r="EGD68" s="561" t="s">
        <v>1505</v>
      </c>
      <c r="EGE68" s="561" t="s">
        <v>1505</v>
      </c>
      <c r="EGF68" s="561" t="s">
        <v>1505</v>
      </c>
      <c r="EGG68" s="561" t="s">
        <v>1505</v>
      </c>
      <c r="EGH68" s="561" t="s">
        <v>1505</v>
      </c>
      <c r="EGI68" s="561" t="s">
        <v>1505</v>
      </c>
      <c r="EGJ68" s="561" t="s">
        <v>1505</v>
      </c>
      <c r="EGK68" s="561" t="s">
        <v>1505</v>
      </c>
      <c r="EGL68" s="561" t="s">
        <v>1505</v>
      </c>
      <c r="EGM68" s="561" t="s">
        <v>1505</v>
      </c>
      <c r="EGN68" s="561" t="s">
        <v>1505</v>
      </c>
      <c r="EGO68" s="561" t="s">
        <v>1505</v>
      </c>
      <c r="EGP68" s="561" t="s">
        <v>1505</v>
      </c>
      <c r="EGQ68" s="561" t="s">
        <v>1505</v>
      </c>
      <c r="EGR68" s="561" t="s">
        <v>1505</v>
      </c>
      <c r="EGS68" s="561" t="s">
        <v>1505</v>
      </c>
      <c r="EGT68" s="561" t="s">
        <v>1505</v>
      </c>
      <c r="EGU68" s="561" t="s">
        <v>1505</v>
      </c>
      <c r="EGV68" s="561" t="s">
        <v>1505</v>
      </c>
      <c r="EGW68" s="561" t="s">
        <v>1505</v>
      </c>
      <c r="EGX68" s="561" t="s">
        <v>1505</v>
      </c>
      <c r="EGY68" s="561" t="s">
        <v>1505</v>
      </c>
      <c r="EGZ68" s="561" t="s">
        <v>1505</v>
      </c>
      <c r="EHA68" s="561" t="s">
        <v>1505</v>
      </c>
      <c r="EHB68" s="561" t="s">
        <v>1505</v>
      </c>
      <c r="EHC68" s="561" t="s">
        <v>1505</v>
      </c>
      <c r="EHD68" s="561" t="s">
        <v>1505</v>
      </c>
      <c r="EHE68" s="561" t="s">
        <v>1505</v>
      </c>
      <c r="EHF68" s="561" t="s">
        <v>1505</v>
      </c>
      <c r="EHG68" s="561" t="s">
        <v>1505</v>
      </c>
      <c r="EHH68" s="561" t="s">
        <v>1505</v>
      </c>
      <c r="EHI68" s="561" t="s">
        <v>1505</v>
      </c>
      <c r="EHJ68" s="561" t="s">
        <v>1505</v>
      </c>
      <c r="EHK68" s="561" t="s">
        <v>1505</v>
      </c>
      <c r="EHL68" s="561" t="s">
        <v>1505</v>
      </c>
      <c r="EHM68" s="561" t="s">
        <v>1505</v>
      </c>
      <c r="EHN68" s="561" t="s">
        <v>1505</v>
      </c>
      <c r="EHO68" s="561" t="s">
        <v>1505</v>
      </c>
      <c r="EHP68" s="561" t="s">
        <v>1505</v>
      </c>
      <c r="EHQ68" s="561" t="s">
        <v>1505</v>
      </c>
      <c r="EHR68" s="561" t="s">
        <v>1505</v>
      </c>
      <c r="EHS68" s="561" t="s">
        <v>1505</v>
      </c>
      <c r="EHT68" s="561" t="s">
        <v>1505</v>
      </c>
      <c r="EHU68" s="561" t="s">
        <v>1505</v>
      </c>
      <c r="EHV68" s="561" t="s">
        <v>1505</v>
      </c>
      <c r="EHW68" s="561" t="s">
        <v>1505</v>
      </c>
      <c r="EHX68" s="561" t="s">
        <v>1505</v>
      </c>
      <c r="EHY68" s="561" t="s">
        <v>1505</v>
      </c>
      <c r="EHZ68" s="561" t="s">
        <v>1505</v>
      </c>
      <c r="EIA68" s="561" t="s">
        <v>1505</v>
      </c>
      <c r="EIB68" s="561" t="s">
        <v>1505</v>
      </c>
      <c r="EIC68" s="561" t="s">
        <v>1505</v>
      </c>
      <c r="EID68" s="561" t="s">
        <v>1505</v>
      </c>
      <c r="EIE68" s="561" t="s">
        <v>1505</v>
      </c>
      <c r="EIF68" s="561" t="s">
        <v>1505</v>
      </c>
      <c r="EIG68" s="561" t="s">
        <v>1505</v>
      </c>
      <c r="EIH68" s="561" t="s">
        <v>1505</v>
      </c>
      <c r="EII68" s="561" t="s">
        <v>1505</v>
      </c>
      <c r="EIJ68" s="561" t="s">
        <v>1505</v>
      </c>
      <c r="EIK68" s="561" t="s">
        <v>1505</v>
      </c>
      <c r="EIL68" s="561" t="s">
        <v>1505</v>
      </c>
      <c r="EIM68" s="561" t="s">
        <v>1505</v>
      </c>
      <c r="EIN68" s="561" t="s">
        <v>1505</v>
      </c>
      <c r="EIO68" s="561" t="s">
        <v>1505</v>
      </c>
      <c r="EIP68" s="561" t="s">
        <v>1505</v>
      </c>
      <c r="EIQ68" s="561" t="s">
        <v>1505</v>
      </c>
      <c r="EIR68" s="561" t="s">
        <v>1505</v>
      </c>
      <c r="EIS68" s="561" t="s">
        <v>1505</v>
      </c>
      <c r="EIT68" s="561" t="s">
        <v>1505</v>
      </c>
      <c r="EIU68" s="561" t="s">
        <v>1505</v>
      </c>
      <c r="EIV68" s="561" t="s">
        <v>1505</v>
      </c>
      <c r="EIW68" s="561" t="s">
        <v>1505</v>
      </c>
      <c r="EIX68" s="561" t="s">
        <v>1505</v>
      </c>
      <c r="EIY68" s="561" t="s">
        <v>1505</v>
      </c>
      <c r="EIZ68" s="561" t="s">
        <v>1505</v>
      </c>
      <c r="EJA68" s="561" t="s">
        <v>1505</v>
      </c>
      <c r="EJB68" s="561" t="s">
        <v>1505</v>
      </c>
      <c r="EJC68" s="561" t="s">
        <v>1505</v>
      </c>
      <c r="EJD68" s="561" t="s">
        <v>1505</v>
      </c>
      <c r="EJE68" s="561" t="s">
        <v>1505</v>
      </c>
      <c r="EJF68" s="561" t="s">
        <v>1505</v>
      </c>
      <c r="EJG68" s="561" t="s">
        <v>1505</v>
      </c>
      <c r="EJH68" s="561" t="s">
        <v>1505</v>
      </c>
      <c r="EJI68" s="561" t="s">
        <v>1505</v>
      </c>
      <c r="EJJ68" s="561" t="s">
        <v>1505</v>
      </c>
      <c r="EJK68" s="561" t="s">
        <v>1505</v>
      </c>
      <c r="EJL68" s="561" t="s">
        <v>1505</v>
      </c>
      <c r="EJM68" s="561" t="s">
        <v>1505</v>
      </c>
      <c r="EJN68" s="561" t="s">
        <v>1505</v>
      </c>
      <c r="EJO68" s="561" t="s">
        <v>1505</v>
      </c>
      <c r="EJP68" s="561" t="s">
        <v>1505</v>
      </c>
      <c r="EJQ68" s="561" t="s">
        <v>1505</v>
      </c>
      <c r="EJR68" s="561" t="s">
        <v>1505</v>
      </c>
      <c r="EJS68" s="561" t="s">
        <v>1505</v>
      </c>
      <c r="EJT68" s="561" t="s">
        <v>1505</v>
      </c>
      <c r="EJU68" s="561" t="s">
        <v>1505</v>
      </c>
      <c r="EJV68" s="561" t="s">
        <v>1505</v>
      </c>
      <c r="EJW68" s="561" t="s">
        <v>1505</v>
      </c>
      <c r="EJX68" s="561" t="s">
        <v>1505</v>
      </c>
      <c r="EJY68" s="561" t="s">
        <v>1505</v>
      </c>
      <c r="EJZ68" s="561" t="s">
        <v>1505</v>
      </c>
      <c r="EKA68" s="561" t="s">
        <v>1505</v>
      </c>
      <c r="EKB68" s="561" t="s">
        <v>1505</v>
      </c>
      <c r="EKC68" s="561" t="s">
        <v>1505</v>
      </c>
      <c r="EKD68" s="561" t="s">
        <v>1505</v>
      </c>
      <c r="EKE68" s="561" t="s">
        <v>1505</v>
      </c>
      <c r="EKF68" s="561" t="s">
        <v>1505</v>
      </c>
      <c r="EKG68" s="561" t="s">
        <v>1505</v>
      </c>
      <c r="EKH68" s="561" t="s">
        <v>1505</v>
      </c>
      <c r="EKI68" s="561" t="s">
        <v>1505</v>
      </c>
      <c r="EKJ68" s="561" t="s">
        <v>1505</v>
      </c>
      <c r="EKK68" s="561" t="s">
        <v>1505</v>
      </c>
      <c r="EKL68" s="561" t="s">
        <v>1505</v>
      </c>
      <c r="EKM68" s="561" t="s">
        <v>1505</v>
      </c>
      <c r="EKN68" s="561" t="s">
        <v>1505</v>
      </c>
      <c r="EKO68" s="561" t="s">
        <v>1505</v>
      </c>
      <c r="EKP68" s="561" t="s">
        <v>1505</v>
      </c>
      <c r="EKQ68" s="561" t="s">
        <v>1505</v>
      </c>
      <c r="EKR68" s="561" t="s">
        <v>1505</v>
      </c>
      <c r="EKS68" s="561" t="s">
        <v>1505</v>
      </c>
      <c r="EKT68" s="561" t="s">
        <v>1505</v>
      </c>
      <c r="EKU68" s="561" t="s">
        <v>1505</v>
      </c>
      <c r="EKV68" s="561" t="s">
        <v>1505</v>
      </c>
      <c r="EKW68" s="561" t="s">
        <v>1505</v>
      </c>
      <c r="EKX68" s="561" t="s">
        <v>1505</v>
      </c>
      <c r="EKY68" s="561" t="s">
        <v>1505</v>
      </c>
      <c r="EKZ68" s="561" t="s">
        <v>1505</v>
      </c>
      <c r="ELA68" s="561" t="s">
        <v>1505</v>
      </c>
      <c r="ELB68" s="561" t="s">
        <v>1505</v>
      </c>
      <c r="ELC68" s="561" t="s">
        <v>1505</v>
      </c>
      <c r="ELD68" s="561" t="s">
        <v>1505</v>
      </c>
      <c r="ELE68" s="561" t="s">
        <v>1505</v>
      </c>
      <c r="ELF68" s="561" t="s">
        <v>1505</v>
      </c>
      <c r="ELG68" s="561" t="s">
        <v>1505</v>
      </c>
      <c r="ELH68" s="561" t="s">
        <v>1505</v>
      </c>
      <c r="ELI68" s="561" t="s">
        <v>1505</v>
      </c>
      <c r="ELJ68" s="561" t="s">
        <v>1505</v>
      </c>
      <c r="ELK68" s="561" t="s">
        <v>1505</v>
      </c>
      <c r="ELL68" s="561" t="s">
        <v>1505</v>
      </c>
      <c r="ELM68" s="561" t="s">
        <v>1505</v>
      </c>
      <c r="ELN68" s="561" t="s">
        <v>1505</v>
      </c>
      <c r="ELO68" s="561" t="s">
        <v>1505</v>
      </c>
      <c r="ELP68" s="561" t="s">
        <v>1505</v>
      </c>
      <c r="ELQ68" s="561" t="s">
        <v>1505</v>
      </c>
      <c r="ELR68" s="561" t="s">
        <v>1505</v>
      </c>
      <c r="ELS68" s="561" t="s">
        <v>1505</v>
      </c>
      <c r="ELT68" s="561" t="s">
        <v>1505</v>
      </c>
      <c r="ELU68" s="561" t="s">
        <v>1505</v>
      </c>
      <c r="ELV68" s="561" t="s">
        <v>1505</v>
      </c>
      <c r="ELW68" s="561" t="s">
        <v>1505</v>
      </c>
      <c r="ELX68" s="561" t="s">
        <v>1505</v>
      </c>
      <c r="ELY68" s="561" t="s">
        <v>1505</v>
      </c>
      <c r="ELZ68" s="561" t="s">
        <v>1505</v>
      </c>
      <c r="EMA68" s="561" t="s">
        <v>1505</v>
      </c>
      <c r="EMB68" s="561" t="s">
        <v>1505</v>
      </c>
      <c r="EMC68" s="561" t="s">
        <v>1505</v>
      </c>
      <c r="EMD68" s="561" t="s">
        <v>1505</v>
      </c>
      <c r="EME68" s="561" t="s">
        <v>1505</v>
      </c>
      <c r="EMF68" s="561" t="s">
        <v>1505</v>
      </c>
      <c r="EMG68" s="561" t="s">
        <v>1505</v>
      </c>
      <c r="EMH68" s="561" t="s">
        <v>1505</v>
      </c>
      <c r="EMI68" s="561" t="s">
        <v>1505</v>
      </c>
      <c r="EMJ68" s="561" t="s">
        <v>1505</v>
      </c>
      <c r="EMK68" s="561" t="s">
        <v>1505</v>
      </c>
      <c r="EML68" s="561" t="s">
        <v>1505</v>
      </c>
      <c r="EMM68" s="561" t="s">
        <v>1505</v>
      </c>
      <c r="EMN68" s="561" t="s">
        <v>1505</v>
      </c>
      <c r="EMO68" s="561" t="s">
        <v>1505</v>
      </c>
      <c r="EMP68" s="561" t="s">
        <v>1505</v>
      </c>
      <c r="EMQ68" s="561" t="s">
        <v>1505</v>
      </c>
      <c r="EMR68" s="561" t="s">
        <v>1505</v>
      </c>
      <c r="EMS68" s="561" t="s">
        <v>1505</v>
      </c>
      <c r="EMT68" s="561" t="s">
        <v>1505</v>
      </c>
      <c r="EMU68" s="561" t="s">
        <v>1505</v>
      </c>
      <c r="EMV68" s="561" t="s">
        <v>1505</v>
      </c>
      <c r="EMW68" s="561" t="s">
        <v>1505</v>
      </c>
      <c r="EMX68" s="561" t="s">
        <v>1505</v>
      </c>
      <c r="EMY68" s="561" t="s">
        <v>1505</v>
      </c>
      <c r="EMZ68" s="561" t="s">
        <v>1505</v>
      </c>
      <c r="ENA68" s="561" t="s">
        <v>1505</v>
      </c>
      <c r="ENB68" s="561" t="s">
        <v>1505</v>
      </c>
      <c r="ENC68" s="561" t="s">
        <v>1505</v>
      </c>
      <c r="END68" s="561" t="s">
        <v>1505</v>
      </c>
      <c r="ENE68" s="561" t="s">
        <v>1505</v>
      </c>
      <c r="ENF68" s="561" t="s">
        <v>1505</v>
      </c>
      <c r="ENG68" s="561" t="s">
        <v>1505</v>
      </c>
      <c r="ENH68" s="561" t="s">
        <v>1505</v>
      </c>
      <c r="ENI68" s="561" t="s">
        <v>1505</v>
      </c>
      <c r="ENJ68" s="561" t="s">
        <v>1505</v>
      </c>
      <c r="ENK68" s="561" t="s">
        <v>1505</v>
      </c>
      <c r="ENL68" s="561" t="s">
        <v>1505</v>
      </c>
      <c r="ENM68" s="561" t="s">
        <v>1505</v>
      </c>
      <c r="ENN68" s="561" t="s">
        <v>1505</v>
      </c>
      <c r="ENO68" s="561" t="s">
        <v>1505</v>
      </c>
      <c r="ENP68" s="561" t="s">
        <v>1505</v>
      </c>
      <c r="ENQ68" s="561" t="s">
        <v>1505</v>
      </c>
      <c r="ENR68" s="561" t="s">
        <v>1505</v>
      </c>
      <c r="ENS68" s="561" t="s">
        <v>1505</v>
      </c>
      <c r="ENT68" s="561" t="s">
        <v>1505</v>
      </c>
      <c r="ENU68" s="561" t="s">
        <v>1505</v>
      </c>
      <c r="ENV68" s="561" t="s">
        <v>1505</v>
      </c>
      <c r="ENW68" s="561" t="s">
        <v>1505</v>
      </c>
      <c r="ENX68" s="561" t="s">
        <v>1505</v>
      </c>
      <c r="ENY68" s="561" t="s">
        <v>1505</v>
      </c>
      <c r="ENZ68" s="561" t="s">
        <v>1505</v>
      </c>
      <c r="EOA68" s="561" t="s">
        <v>1505</v>
      </c>
      <c r="EOB68" s="561" t="s">
        <v>1505</v>
      </c>
      <c r="EOC68" s="561" t="s">
        <v>1505</v>
      </c>
      <c r="EOD68" s="561" t="s">
        <v>1505</v>
      </c>
      <c r="EOE68" s="561" t="s">
        <v>1505</v>
      </c>
      <c r="EOF68" s="561" t="s">
        <v>1505</v>
      </c>
      <c r="EOG68" s="561" t="s">
        <v>1505</v>
      </c>
      <c r="EOH68" s="561" t="s">
        <v>1505</v>
      </c>
      <c r="EOI68" s="561" t="s">
        <v>1505</v>
      </c>
      <c r="EOJ68" s="561" t="s">
        <v>1505</v>
      </c>
      <c r="EOK68" s="561" t="s">
        <v>1505</v>
      </c>
      <c r="EOL68" s="561" t="s">
        <v>1505</v>
      </c>
      <c r="EOM68" s="561" t="s">
        <v>1505</v>
      </c>
      <c r="EON68" s="561" t="s">
        <v>1505</v>
      </c>
      <c r="EOO68" s="561" t="s">
        <v>1505</v>
      </c>
      <c r="EOP68" s="561" t="s">
        <v>1505</v>
      </c>
      <c r="EOQ68" s="561" t="s">
        <v>1505</v>
      </c>
      <c r="EOR68" s="561" t="s">
        <v>1505</v>
      </c>
      <c r="EOS68" s="561" t="s">
        <v>1505</v>
      </c>
      <c r="EOT68" s="561" t="s">
        <v>1505</v>
      </c>
      <c r="EOU68" s="561" t="s">
        <v>1505</v>
      </c>
      <c r="EOV68" s="561" t="s">
        <v>1505</v>
      </c>
      <c r="EOW68" s="561" t="s">
        <v>1505</v>
      </c>
      <c r="EOX68" s="561" t="s">
        <v>1505</v>
      </c>
      <c r="EOY68" s="561" t="s">
        <v>1505</v>
      </c>
      <c r="EOZ68" s="561" t="s">
        <v>1505</v>
      </c>
      <c r="EPA68" s="561" t="s">
        <v>1505</v>
      </c>
      <c r="EPB68" s="561" t="s">
        <v>1505</v>
      </c>
      <c r="EPC68" s="561" t="s">
        <v>1505</v>
      </c>
      <c r="EPD68" s="561" t="s">
        <v>1505</v>
      </c>
      <c r="EPE68" s="561" t="s">
        <v>1505</v>
      </c>
      <c r="EPF68" s="561" t="s">
        <v>1505</v>
      </c>
      <c r="EPG68" s="561" t="s">
        <v>1505</v>
      </c>
      <c r="EPH68" s="561" t="s">
        <v>1505</v>
      </c>
      <c r="EPI68" s="561" t="s">
        <v>1505</v>
      </c>
      <c r="EPJ68" s="561" t="s">
        <v>1505</v>
      </c>
      <c r="EPK68" s="561" t="s">
        <v>1505</v>
      </c>
      <c r="EPL68" s="561" t="s">
        <v>1505</v>
      </c>
      <c r="EPM68" s="561" t="s">
        <v>1505</v>
      </c>
      <c r="EPN68" s="561" t="s">
        <v>1505</v>
      </c>
      <c r="EPO68" s="561" t="s">
        <v>1505</v>
      </c>
      <c r="EPP68" s="561" t="s">
        <v>1505</v>
      </c>
      <c r="EPQ68" s="561" t="s">
        <v>1505</v>
      </c>
      <c r="EPR68" s="561" t="s">
        <v>1505</v>
      </c>
      <c r="EPS68" s="561" t="s">
        <v>1505</v>
      </c>
      <c r="EPT68" s="561" t="s">
        <v>1505</v>
      </c>
      <c r="EPU68" s="561" t="s">
        <v>1505</v>
      </c>
      <c r="EPV68" s="561" t="s">
        <v>1505</v>
      </c>
      <c r="EPW68" s="561" t="s">
        <v>1505</v>
      </c>
      <c r="EPX68" s="561" t="s">
        <v>1505</v>
      </c>
      <c r="EPY68" s="561" t="s">
        <v>1505</v>
      </c>
      <c r="EPZ68" s="561" t="s">
        <v>1505</v>
      </c>
      <c r="EQA68" s="561" t="s">
        <v>1505</v>
      </c>
      <c r="EQB68" s="561" t="s">
        <v>1505</v>
      </c>
      <c r="EQC68" s="561" t="s">
        <v>1505</v>
      </c>
      <c r="EQD68" s="561" t="s">
        <v>1505</v>
      </c>
      <c r="EQE68" s="561" t="s">
        <v>1505</v>
      </c>
      <c r="EQF68" s="561" t="s">
        <v>1505</v>
      </c>
      <c r="EQG68" s="561" t="s">
        <v>1505</v>
      </c>
      <c r="EQH68" s="561" t="s">
        <v>1505</v>
      </c>
      <c r="EQI68" s="561" t="s">
        <v>1505</v>
      </c>
      <c r="EQJ68" s="561" t="s">
        <v>1505</v>
      </c>
      <c r="EQK68" s="561" t="s">
        <v>1505</v>
      </c>
      <c r="EQL68" s="561" t="s">
        <v>1505</v>
      </c>
      <c r="EQM68" s="561" t="s">
        <v>1505</v>
      </c>
      <c r="EQN68" s="561" t="s">
        <v>1505</v>
      </c>
      <c r="EQO68" s="561" t="s">
        <v>1505</v>
      </c>
      <c r="EQP68" s="561" t="s">
        <v>1505</v>
      </c>
      <c r="EQQ68" s="561" t="s">
        <v>1505</v>
      </c>
      <c r="EQR68" s="561" t="s">
        <v>1505</v>
      </c>
      <c r="EQS68" s="561" t="s">
        <v>1505</v>
      </c>
      <c r="EQT68" s="561" t="s">
        <v>1505</v>
      </c>
      <c r="EQU68" s="561" t="s">
        <v>1505</v>
      </c>
      <c r="EQV68" s="561" t="s">
        <v>1505</v>
      </c>
      <c r="EQW68" s="561" t="s">
        <v>1505</v>
      </c>
      <c r="EQX68" s="561" t="s">
        <v>1505</v>
      </c>
      <c r="EQY68" s="561" t="s">
        <v>1505</v>
      </c>
      <c r="EQZ68" s="561" t="s">
        <v>1505</v>
      </c>
      <c r="ERA68" s="561" t="s">
        <v>1505</v>
      </c>
      <c r="ERB68" s="561" t="s">
        <v>1505</v>
      </c>
      <c r="ERC68" s="561" t="s">
        <v>1505</v>
      </c>
      <c r="ERD68" s="561" t="s">
        <v>1505</v>
      </c>
      <c r="ERE68" s="561" t="s">
        <v>1505</v>
      </c>
      <c r="ERF68" s="561" t="s">
        <v>1505</v>
      </c>
      <c r="ERG68" s="561" t="s">
        <v>1505</v>
      </c>
      <c r="ERH68" s="561" t="s">
        <v>1505</v>
      </c>
      <c r="ERI68" s="561" t="s">
        <v>1505</v>
      </c>
      <c r="ERJ68" s="561" t="s">
        <v>1505</v>
      </c>
      <c r="ERK68" s="561" t="s">
        <v>1505</v>
      </c>
      <c r="ERL68" s="561" t="s">
        <v>1505</v>
      </c>
      <c r="ERM68" s="561" t="s">
        <v>1505</v>
      </c>
      <c r="ERN68" s="561" t="s">
        <v>1505</v>
      </c>
      <c r="ERO68" s="561" t="s">
        <v>1505</v>
      </c>
      <c r="ERP68" s="561" t="s">
        <v>1505</v>
      </c>
      <c r="ERQ68" s="561" t="s">
        <v>1505</v>
      </c>
      <c r="ERR68" s="561" t="s">
        <v>1505</v>
      </c>
      <c r="ERS68" s="561" t="s">
        <v>1505</v>
      </c>
      <c r="ERT68" s="561" t="s">
        <v>1505</v>
      </c>
      <c r="ERU68" s="561" t="s">
        <v>1505</v>
      </c>
      <c r="ERV68" s="561" t="s">
        <v>1505</v>
      </c>
      <c r="ERW68" s="561" t="s">
        <v>1505</v>
      </c>
      <c r="ERX68" s="561" t="s">
        <v>1505</v>
      </c>
      <c r="ERY68" s="561" t="s">
        <v>1505</v>
      </c>
      <c r="ERZ68" s="561" t="s">
        <v>1505</v>
      </c>
      <c r="ESA68" s="561" t="s">
        <v>1505</v>
      </c>
      <c r="ESB68" s="561" t="s">
        <v>1505</v>
      </c>
      <c r="ESC68" s="561" t="s">
        <v>1505</v>
      </c>
      <c r="ESD68" s="561" t="s">
        <v>1505</v>
      </c>
      <c r="ESE68" s="561" t="s">
        <v>1505</v>
      </c>
      <c r="ESF68" s="561" t="s">
        <v>1505</v>
      </c>
      <c r="ESG68" s="561" t="s">
        <v>1505</v>
      </c>
      <c r="ESH68" s="561" t="s">
        <v>1505</v>
      </c>
      <c r="ESI68" s="561" t="s">
        <v>1505</v>
      </c>
      <c r="ESJ68" s="561" t="s">
        <v>1505</v>
      </c>
      <c r="ESK68" s="561" t="s">
        <v>1505</v>
      </c>
      <c r="ESL68" s="561" t="s">
        <v>1505</v>
      </c>
      <c r="ESM68" s="561" t="s">
        <v>1505</v>
      </c>
      <c r="ESN68" s="561" t="s">
        <v>1505</v>
      </c>
      <c r="ESO68" s="561" t="s">
        <v>1505</v>
      </c>
      <c r="ESP68" s="561" t="s">
        <v>1505</v>
      </c>
      <c r="ESQ68" s="561" t="s">
        <v>1505</v>
      </c>
      <c r="ESR68" s="561" t="s">
        <v>1505</v>
      </c>
      <c r="ESS68" s="561" t="s">
        <v>1505</v>
      </c>
      <c r="EST68" s="561" t="s">
        <v>1505</v>
      </c>
      <c r="ESU68" s="561" t="s">
        <v>1505</v>
      </c>
      <c r="ESV68" s="561" t="s">
        <v>1505</v>
      </c>
      <c r="ESW68" s="561" t="s">
        <v>1505</v>
      </c>
      <c r="ESX68" s="561" t="s">
        <v>1505</v>
      </c>
      <c r="ESY68" s="561" t="s">
        <v>1505</v>
      </c>
      <c r="ESZ68" s="561" t="s">
        <v>1505</v>
      </c>
      <c r="ETA68" s="561" t="s">
        <v>1505</v>
      </c>
      <c r="ETB68" s="561" t="s">
        <v>1505</v>
      </c>
      <c r="ETC68" s="561" t="s">
        <v>1505</v>
      </c>
      <c r="ETD68" s="561" t="s">
        <v>1505</v>
      </c>
      <c r="ETE68" s="561" t="s">
        <v>1505</v>
      </c>
      <c r="ETF68" s="561" t="s">
        <v>1505</v>
      </c>
      <c r="ETG68" s="561" t="s">
        <v>1505</v>
      </c>
      <c r="ETH68" s="561" t="s">
        <v>1505</v>
      </c>
      <c r="ETI68" s="561" t="s">
        <v>1505</v>
      </c>
      <c r="ETJ68" s="561" t="s">
        <v>1505</v>
      </c>
      <c r="ETK68" s="561" t="s">
        <v>1505</v>
      </c>
      <c r="ETL68" s="561" t="s">
        <v>1505</v>
      </c>
      <c r="ETM68" s="561" t="s">
        <v>1505</v>
      </c>
      <c r="ETN68" s="561" t="s">
        <v>1505</v>
      </c>
      <c r="ETO68" s="561" t="s">
        <v>1505</v>
      </c>
      <c r="ETP68" s="561" t="s">
        <v>1505</v>
      </c>
      <c r="ETQ68" s="561" t="s">
        <v>1505</v>
      </c>
      <c r="ETR68" s="561" t="s">
        <v>1505</v>
      </c>
      <c r="ETS68" s="561" t="s">
        <v>1505</v>
      </c>
      <c r="ETT68" s="561" t="s">
        <v>1505</v>
      </c>
      <c r="ETU68" s="561" t="s">
        <v>1505</v>
      </c>
      <c r="ETV68" s="561" t="s">
        <v>1505</v>
      </c>
      <c r="ETW68" s="561" t="s">
        <v>1505</v>
      </c>
      <c r="ETX68" s="561" t="s">
        <v>1505</v>
      </c>
      <c r="ETY68" s="561" t="s">
        <v>1505</v>
      </c>
      <c r="ETZ68" s="561" t="s">
        <v>1505</v>
      </c>
      <c r="EUA68" s="561" t="s">
        <v>1505</v>
      </c>
      <c r="EUB68" s="561" t="s">
        <v>1505</v>
      </c>
      <c r="EUC68" s="561" t="s">
        <v>1505</v>
      </c>
      <c r="EUD68" s="561" t="s">
        <v>1505</v>
      </c>
      <c r="EUE68" s="561" t="s">
        <v>1505</v>
      </c>
      <c r="EUF68" s="561" t="s">
        <v>1505</v>
      </c>
      <c r="EUG68" s="561" t="s">
        <v>1505</v>
      </c>
      <c r="EUH68" s="561" t="s">
        <v>1505</v>
      </c>
      <c r="EUI68" s="561" t="s">
        <v>1505</v>
      </c>
      <c r="EUJ68" s="561" t="s">
        <v>1505</v>
      </c>
      <c r="EUK68" s="561" t="s">
        <v>1505</v>
      </c>
      <c r="EUL68" s="561" t="s">
        <v>1505</v>
      </c>
      <c r="EUM68" s="561" t="s">
        <v>1505</v>
      </c>
      <c r="EUN68" s="561" t="s">
        <v>1505</v>
      </c>
      <c r="EUO68" s="561" t="s">
        <v>1505</v>
      </c>
      <c r="EUP68" s="561" t="s">
        <v>1505</v>
      </c>
      <c r="EUQ68" s="561" t="s">
        <v>1505</v>
      </c>
      <c r="EUR68" s="561" t="s">
        <v>1505</v>
      </c>
      <c r="EUS68" s="561" t="s">
        <v>1505</v>
      </c>
      <c r="EUT68" s="561" t="s">
        <v>1505</v>
      </c>
      <c r="EUU68" s="561" t="s">
        <v>1505</v>
      </c>
      <c r="EUV68" s="561" t="s">
        <v>1505</v>
      </c>
      <c r="EUW68" s="561" t="s">
        <v>1505</v>
      </c>
      <c r="EUX68" s="561" t="s">
        <v>1505</v>
      </c>
      <c r="EUY68" s="561" t="s">
        <v>1505</v>
      </c>
      <c r="EUZ68" s="561" t="s">
        <v>1505</v>
      </c>
      <c r="EVA68" s="561" t="s">
        <v>1505</v>
      </c>
      <c r="EVB68" s="561" t="s">
        <v>1505</v>
      </c>
      <c r="EVC68" s="561" t="s">
        <v>1505</v>
      </c>
      <c r="EVD68" s="561" t="s">
        <v>1505</v>
      </c>
      <c r="EVE68" s="561" t="s">
        <v>1505</v>
      </c>
      <c r="EVF68" s="561" t="s">
        <v>1505</v>
      </c>
      <c r="EVG68" s="561" t="s">
        <v>1505</v>
      </c>
      <c r="EVH68" s="561" t="s">
        <v>1505</v>
      </c>
      <c r="EVI68" s="561" t="s">
        <v>1505</v>
      </c>
      <c r="EVJ68" s="561" t="s">
        <v>1505</v>
      </c>
      <c r="EVK68" s="561" t="s">
        <v>1505</v>
      </c>
      <c r="EVL68" s="561" t="s">
        <v>1505</v>
      </c>
      <c r="EVM68" s="561" t="s">
        <v>1505</v>
      </c>
      <c r="EVN68" s="561" t="s">
        <v>1505</v>
      </c>
      <c r="EVO68" s="561" t="s">
        <v>1505</v>
      </c>
      <c r="EVP68" s="561" t="s">
        <v>1505</v>
      </c>
      <c r="EVQ68" s="561" t="s">
        <v>1505</v>
      </c>
      <c r="EVR68" s="561" t="s">
        <v>1505</v>
      </c>
      <c r="EVS68" s="561" t="s">
        <v>1505</v>
      </c>
      <c r="EVT68" s="561" t="s">
        <v>1505</v>
      </c>
      <c r="EVU68" s="561" t="s">
        <v>1505</v>
      </c>
      <c r="EVV68" s="561" t="s">
        <v>1505</v>
      </c>
      <c r="EVW68" s="561" t="s">
        <v>1505</v>
      </c>
      <c r="EVX68" s="561" t="s">
        <v>1505</v>
      </c>
      <c r="EVY68" s="561" t="s">
        <v>1505</v>
      </c>
      <c r="EVZ68" s="561" t="s">
        <v>1505</v>
      </c>
      <c r="EWA68" s="561" t="s">
        <v>1505</v>
      </c>
      <c r="EWB68" s="561" t="s">
        <v>1505</v>
      </c>
      <c r="EWC68" s="561" t="s">
        <v>1505</v>
      </c>
      <c r="EWD68" s="561" t="s">
        <v>1505</v>
      </c>
      <c r="EWE68" s="561" t="s">
        <v>1505</v>
      </c>
      <c r="EWF68" s="561" t="s">
        <v>1505</v>
      </c>
      <c r="EWG68" s="561" t="s">
        <v>1505</v>
      </c>
      <c r="EWH68" s="561" t="s">
        <v>1505</v>
      </c>
      <c r="EWI68" s="561" t="s">
        <v>1505</v>
      </c>
      <c r="EWJ68" s="561" t="s">
        <v>1505</v>
      </c>
      <c r="EWK68" s="561" t="s">
        <v>1505</v>
      </c>
      <c r="EWL68" s="561" t="s">
        <v>1505</v>
      </c>
      <c r="EWM68" s="561" t="s">
        <v>1505</v>
      </c>
      <c r="EWN68" s="561" t="s">
        <v>1505</v>
      </c>
      <c r="EWO68" s="561" t="s">
        <v>1505</v>
      </c>
      <c r="EWP68" s="561" t="s">
        <v>1505</v>
      </c>
      <c r="EWQ68" s="561" t="s">
        <v>1505</v>
      </c>
      <c r="EWR68" s="561" t="s">
        <v>1505</v>
      </c>
      <c r="EWS68" s="561" t="s">
        <v>1505</v>
      </c>
      <c r="EWT68" s="561" t="s">
        <v>1505</v>
      </c>
      <c r="EWU68" s="561" t="s">
        <v>1505</v>
      </c>
      <c r="EWV68" s="561" t="s">
        <v>1505</v>
      </c>
      <c r="EWW68" s="561" t="s">
        <v>1505</v>
      </c>
      <c r="EWX68" s="561" t="s">
        <v>1505</v>
      </c>
      <c r="EWY68" s="561" t="s">
        <v>1505</v>
      </c>
      <c r="EWZ68" s="561" t="s">
        <v>1505</v>
      </c>
      <c r="EXA68" s="561" t="s">
        <v>1505</v>
      </c>
      <c r="EXB68" s="561" t="s">
        <v>1505</v>
      </c>
      <c r="EXC68" s="561" t="s">
        <v>1505</v>
      </c>
      <c r="EXD68" s="561" t="s">
        <v>1505</v>
      </c>
      <c r="EXE68" s="561" t="s">
        <v>1505</v>
      </c>
      <c r="EXF68" s="561" t="s">
        <v>1505</v>
      </c>
      <c r="EXG68" s="561" t="s">
        <v>1505</v>
      </c>
      <c r="EXH68" s="561" t="s">
        <v>1505</v>
      </c>
      <c r="EXI68" s="561" t="s">
        <v>1505</v>
      </c>
      <c r="EXJ68" s="561" t="s">
        <v>1505</v>
      </c>
      <c r="EXK68" s="561" t="s">
        <v>1505</v>
      </c>
      <c r="EXL68" s="561" t="s">
        <v>1505</v>
      </c>
      <c r="EXM68" s="561" t="s">
        <v>1505</v>
      </c>
      <c r="EXN68" s="561" t="s">
        <v>1505</v>
      </c>
      <c r="EXO68" s="561" t="s">
        <v>1505</v>
      </c>
      <c r="EXP68" s="561" t="s">
        <v>1505</v>
      </c>
      <c r="EXQ68" s="561" t="s">
        <v>1505</v>
      </c>
      <c r="EXR68" s="561" t="s">
        <v>1505</v>
      </c>
      <c r="EXS68" s="561" t="s">
        <v>1505</v>
      </c>
      <c r="EXT68" s="561" t="s">
        <v>1505</v>
      </c>
      <c r="EXU68" s="561" t="s">
        <v>1505</v>
      </c>
      <c r="EXV68" s="561" t="s">
        <v>1505</v>
      </c>
      <c r="EXW68" s="561" t="s">
        <v>1505</v>
      </c>
      <c r="EXX68" s="561" t="s">
        <v>1505</v>
      </c>
      <c r="EXY68" s="561" t="s">
        <v>1505</v>
      </c>
      <c r="EXZ68" s="561" t="s">
        <v>1505</v>
      </c>
      <c r="EYA68" s="561" t="s">
        <v>1505</v>
      </c>
      <c r="EYB68" s="561" t="s">
        <v>1505</v>
      </c>
      <c r="EYC68" s="561" t="s">
        <v>1505</v>
      </c>
      <c r="EYD68" s="561" t="s">
        <v>1505</v>
      </c>
      <c r="EYE68" s="561" t="s">
        <v>1505</v>
      </c>
      <c r="EYF68" s="561" t="s">
        <v>1505</v>
      </c>
      <c r="EYG68" s="561" t="s">
        <v>1505</v>
      </c>
      <c r="EYH68" s="561" t="s">
        <v>1505</v>
      </c>
      <c r="EYI68" s="561" t="s">
        <v>1505</v>
      </c>
      <c r="EYJ68" s="561" t="s">
        <v>1505</v>
      </c>
      <c r="EYK68" s="561" t="s">
        <v>1505</v>
      </c>
      <c r="EYL68" s="561" t="s">
        <v>1505</v>
      </c>
      <c r="EYM68" s="561" t="s">
        <v>1505</v>
      </c>
      <c r="EYN68" s="561" t="s">
        <v>1505</v>
      </c>
      <c r="EYO68" s="561" t="s">
        <v>1505</v>
      </c>
      <c r="EYP68" s="561" t="s">
        <v>1505</v>
      </c>
      <c r="EYQ68" s="561" t="s">
        <v>1505</v>
      </c>
      <c r="EYR68" s="561" t="s">
        <v>1505</v>
      </c>
      <c r="EYS68" s="561" t="s">
        <v>1505</v>
      </c>
      <c r="EYT68" s="561" t="s">
        <v>1505</v>
      </c>
      <c r="EYU68" s="561" t="s">
        <v>1505</v>
      </c>
      <c r="EYV68" s="561" t="s">
        <v>1505</v>
      </c>
      <c r="EYW68" s="561" t="s">
        <v>1505</v>
      </c>
      <c r="EYX68" s="561" t="s">
        <v>1505</v>
      </c>
      <c r="EYY68" s="561" t="s">
        <v>1505</v>
      </c>
      <c r="EYZ68" s="561" t="s">
        <v>1505</v>
      </c>
      <c r="EZA68" s="561" t="s">
        <v>1505</v>
      </c>
      <c r="EZB68" s="561" t="s">
        <v>1505</v>
      </c>
      <c r="EZC68" s="561" t="s">
        <v>1505</v>
      </c>
      <c r="EZD68" s="561" t="s">
        <v>1505</v>
      </c>
      <c r="EZE68" s="561" t="s">
        <v>1505</v>
      </c>
      <c r="EZF68" s="561" t="s">
        <v>1505</v>
      </c>
      <c r="EZG68" s="561" t="s">
        <v>1505</v>
      </c>
      <c r="EZH68" s="561" t="s">
        <v>1505</v>
      </c>
      <c r="EZI68" s="561" t="s">
        <v>1505</v>
      </c>
      <c r="EZJ68" s="561" t="s">
        <v>1505</v>
      </c>
      <c r="EZK68" s="561" t="s">
        <v>1505</v>
      </c>
      <c r="EZL68" s="561" t="s">
        <v>1505</v>
      </c>
      <c r="EZM68" s="561" t="s">
        <v>1505</v>
      </c>
      <c r="EZN68" s="561" t="s">
        <v>1505</v>
      </c>
      <c r="EZO68" s="561" t="s">
        <v>1505</v>
      </c>
      <c r="EZP68" s="561" t="s">
        <v>1505</v>
      </c>
      <c r="EZQ68" s="561" t="s">
        <v>1505</v>
      </c>
      <c r="EZR68" s="561" t="s">
        <v>1505</v>
      </c>
      <c r="EZS68" s="561" t="s">
        <v>1505</v>
      </c>
      <c r="EZT68" s="561" t="s">
        <v>1505</v>
      </c>
      <c r="EZU68" s="561" t="s">
        <v>1505</v>
      </c>
      <c r="EZV68" s="561" t="s">
        <v>1505</v>
      </c>
      <c r="EZW68" s="561" t="s">
        <v>1505</v>
      </c>
      <c r="EZX68" s="561" t="s">
        <v>1505</v>
      </c>
      <c r="EZY68" s="561" t="s">
        <v>1505</v>
      </c>
      <c r="EZZ68" s="561" t="s">
        <v>1505</v>
      </c>
      <c r="FAA68" s="561" t="s">
        <v>1505</v>
      </c>
      <c r="FAB68" s="561" t="s">
        <v>1505</v>
      </c>
      <c r="FAC68" s="561" t="s">
        <v>1505</v>
      </c>
      <c r="FAD68" s="561" t="s">
        <v>1505</v>
      </c>
      <c r="FAE68" s="561" t="s">
        <v>1505</v>
      </c>
      <c r="FAF68" s="561" t="s">
        <v>1505</v>
      </c>
      <c r="FAG68" s="561" t="s">
        <v>1505</v>
      </c>
      <c r="FAH68" s="561" t="s">
        <v>1505</v>
      </c>
      <c r="FAI68" s="561" t="s">
        <v>1505</v>
      </c>
      <c r="FAJ68" s="561" t="s">
        <v>1505</v>
      </c>
      <c r="FAK68" s="561" t="s">
        <v>1505</v>
      </c>
      <c r="FAL68" s="561" t="s">
        <v>1505</v>
      </c>
      <c r="FAM68" s="561" t="s">
        <v>1505</v>
      </c>
      <c r="FAN68" s="561" t="s">
        <v>1505</v>
      </c>
      <c r="FAO68" s="561" t="s">
        <v>1505</v>
      </c>
      <c r="FAP68" s="561" t="s">
        <v>1505</v>
      </c>
      <c r="FAQ68" s="561" t="s">
        <v>1505</v>
      </c>
      <c r="FAR68" s="561" t="s">
        <v>1505</v>
      </c>
      <c r="FAS68" s="561" t="s">
        <v>1505</v>
      </c>
      <c r="FAT68" s="561" t="s">
        <v>1505</v>
      </c>
      <c r="FAU68" s="561" t="s">
        <v>1505</v>
      </c>
      <c r="FAV68" s="561" t="s">
        <v>1505</v>
      </c>
      <c r="FAW68" s="561" t="s">
        <v>1505</v>
      </c>
      <c r="FAX68" s="561" t="s">
        <v>1505</v>
      </c>
      <c r="FAY68" s="561" t="s">
        <v>1505</v>
      </c>
      <c r="FAZ68" s="561" t="s">
        <v>1505</v>
      </c>
      <c r="FBA68" s="561" t="s">
        <v>1505</v>
      </c>
      <c r="FBB68" s="561" t="s">
        <v>1505</v>
      </c>
      <c r="FBC68" s="561" t="s">
        <v>1505</v>
      </c>
      <c r="FBD68" s="561" t="s">
        <v>1505</v>
      </c>
      <c r="FBE68" s="561" t="s">
        <v>1505</v>
      </c>
      <c r="FBF68" s="561" t="s">
        <v>1505</v>
      </c>
      <c r="FBG68" s="561" t="s">
        <v>1505</v>
      </c>
      <c r="FBH68" s="561" t="s">
        <v>1505</v>
      </c>
      <c r="FBI68" s="561" t="s">
        <v>1505</v>
      </c>
      <c r="FBJ68" s="561" t="s">
        <v>1505</v>
      </c>
      <c r="FBK68" s="561" t="s">
        <v>1505</v>
      </c>
      <c r="FBL68" s="561" t="s">
        <v>1505</v>
      </c>
      <c r="FBM68" s="561" t="s">
        <v>1505</v>
      </c>
      <c r="FBN68" s="561" t="s">
        <v>1505</v>
      </c>
      <c r="FBO68" s="561" t="s">
        <v>1505</v>
      </c>
      <c r="FBP68" s="561" t="s">
        <v>1505</v>
      </c>
      <c r="FBQ68" s="561" t="s">
        <v>1505</v>
      </c>
      <c r="FBR68" s="561" t="s">
        <v>1505</v>
      </c>
      <c r="FBS68" s="561" t="s">
        <v>1505</v>
      </c>
      <c r="FBT68" s="561" t="s">
        <v>1505</v>
      </c>
      <c r="FBU68" s="561" t="s">
        <v>1505</v>
      </c>
      <c r="FBV68" s="561" t="s">
        <v>1505</v>
      </c>
      <c r="FBW68" s="561" t="s">
        <v>1505</v>
      </c>
      <c r="FBX68" s="561" t="s">
        <v>1505</v>
      </c>
      <c r="FBY68" s="561" t="s">
        <v>1505</v>
      </c>
      <c r="FBZ68" s="561" t="s">
        <v>1505</v>
      </c>
      <c r="FCA68" s="561" t="s">
        <v>1505</v>
      </c>
      <c r="FCB68" s="561" t="s">
        <v>1505</v>
      </c>
      <c r="FCC68" s="561" t="s">
        <v>1505</v>
      </c>
      <c r="FCD68" s="561" t="s">
        <v>1505</v>
      </c>
      <c r="FCE68" s="561" t="s">
        <v>1505</v>
      </c>
      <c r="FCF68" s="561" t="s">
        <v>1505</v>
      </c>
      <c r="FCG68" s="561" t="s">
        <v>1505</v>
      </c>
      <c r="FCH68" s="561" t="s">
        <v>1505</v>
      </c>
      <c r="FCI68" s="561" t="s">
        <v>1505</v>
      </c>
      <c r="FCJ68" s="561" t="s">
        <v>1505</v>
      </c>
      <c r="FCK68" s="561" t="s">
        <v>1505</v>
      </c>
      <c r="FCL68" s="561" t="s">
        <v>1505</v>
      </c>
      <c r="FCM68" s="561" t="s">
        <v>1505</v>
      </c>
      <c r="FCN68" s="561" t="s">
        <v>1505</v>
      </c>
      <c r="FCO68" s="561" t="s">
        <v>1505</v>
      </c>
      <c r="FCP68" s="561" t="s">
        <v>1505</v>
      </c>
      <c r="FCQ68" s="561" t="s">
        <v>1505</v>
      </c>
      <c r="FCR68" s="561" t="s">
        <v>1505</v>
      </c>
      <c r="FCS68" s="561" t="s">
        <v>1505</v>
      </c>
      <c r="FCT68" s="561" t="s">
        <v>1505</v>
      </c>
      <c r="FCU68" s="561" t="s">
        <v>1505</v>
      </c>
      <c r="FCV68" s="561" t="s">
        <v>1505</v>
      </c>
      <c r="FCW68" s="561" t="s">
        <v>1505</v>
      </c>
      <c r="FCX68" s="561" t="s">
        <v>1505</v>
      </c>
      <c r="FCY68" s="561" t="s">
        <v>1505</v>
      </c>
      <c r="FCZ68" s="561" t="s">
        <v>1505</v>
      </c>
      <c r="FDA68" s="561" t="s">
        <v>1505</v>
      </c>
      <c r="FDB68" s="561" t="s">
        <v>1505</v>
      </c>
      <c r="FDC68" s="561" t="s">
        <v>1505</v>
      </c>
      <c r="FDD68" s="561" t="s">
        <v>1505</v>
      </c>
      <c r="FDE68" s="561" t="s">
        <v>1505</v>
      </c>
      <c r="FDF68" s="561" t="s">
        <v>1505</v>
      </c>
      <c r="FDG68" s="561" t="s">
        <v>1505</v>
      </c>
      <c r="FDH68" s="561" t="s">
        <v>1505</v>
      </c>
      <c r="FDI68" s="561" t="s">
        <v>1505</v>
      </c>
      <c r="FDJ68" s="561" t="s">
        <v>1505</v>
      </c>
      <c r="FDK68" s="561" t="s">
        <v>1505</v>
      </c>
      <c r="FDL68" s="561" t="s">
        <v>1505</v>
      </c>
      <c r="FDM68" s="561" t="s">
        <v>1505</v>
      </c>
      <c r="FDN68" s="561" t="s">
        <v>1505</v>
      </c>
      <c r="FDO68" s="561" t="s">
        <v>1505</v>
      </c>
      <c r="FDP68" s="561" t="s">
        <v>1505</v>
      </c>
      <c r="FDQ68" s="561" t="s">
        <v>1505</v>
      </c>
      <c r="FDR68" s="561" t="s">
        <v>1505</v>
      </c>
      <c r="FDS68" s="561" t="s">
        <v>1505</v>
      </c>
      <c r="FDT68" s="561" t="s">
        <v>1505</v>
      </c>
      <c r="FDU68" s="561" t="s">
        <v>1505</v>
      </c>
      <c r="FDV68" s="561" t="s">
        <v>1505</v>
      </c>
      <c r="FDW68" s="561" t="s">
        <v>1505</v>
      </c>
      <c r="FDX68" s="561" t="s">
        <v>1505</v>
      </c>
      <c r="FDY68" s="561" t="s">
        <v>1505</v>
      </c>
      <c r="FDZ68" s="561" t="s">
        <v>1505</v>
      </c>
      <c r="FEA68" s="561" t="s">
        <v>1505</v>
      </c>
      <c r="FEB68" s="561" t="s">
        <v>1505</v>
      </c>
      <c r="FEC68" s="561" t="s">
        <v>1505</v>
      </c>
      <c r="FED68" s="561" t="s">
        <v>1505</v>
      </c>
      <c r="FEE68" s="561" t="s">
        <v>1505</v>
      </c>
      <c r="FEF68" s="561" t="s">
        <v>1505</v>
      </c>
      <c r="FEG68" s="561" t="s">
        <v>1505</v>
      </c>
      <c r="FEH68" s="561" t="s">
        <v>1505</v>
      </c>
      <c r="FEI68" s="561" t="s">
        <v>1505</v>
      </c>
      <c r="FEJ68" s="561" t="s">
        <v>1505</v>
      </c>
      <c r="FEK68" s="561" t="s">
        <v>1505</v>
      </c>
      <c r="FEL68" s="561" t="s">
        <v>1505</v>
      </c>
      <c r="FEM68" s="561" t="s">
        <v>1505</v>
      </c>
      <c r="FEN68" s="561" t="s">
        <v>1505</v>
      </c>
      <c r="FEO68" s="561" t="s">
        <v>1505</v>
      </c>
      <c r="FEP68" s="561" t="s">
        <v>1505</v>
      </c>
      <c r="FEQ68" s="561" t="s">
        <v>1505</v>
      </c>
      <c r="FER68" s="561" t="s">
        <v>1505</v>
      </c>
      <c r="FES68" s="561" t="s">
        <v>1505</v>
      </c>
      <c r="FET68" s="561" t="s">
        <v>1505</v>
      </c>
      <c r="FEU68" s="561" t="s">
        <v>1505</v>
      </c>
      <c r="FEV68" s="561" t="s">
        <v>1505</v>
      </c>
      <c r="FEW68" s="561" t="s">
        <v>1505</v>
      </c>
      <c r="FEX68" s="561" t="s">
        <v>1505</v>
      </c>
      <c r="FEY68" s="561" t="s">
        <v>1505</v>
      </c>
      <c r="FEZ68" s="561" t="s">
        <v>1505</v>
      </c>
      <c r="FFA68" s="561" t="s">
        <v>1505</v>
      </c>
      <c r="FFB68" s="561" t="s">
        <v>1505</v>
      </c>
      <c r="FFC68" s="561" t="s">
        <v>1505</v>
      </c>
      <c r="FFD68" s="561" t="s">
        <v>1505</v>
      </c>
      <c r="FFE68" s="561" t="s">
        <v>1505</v>
      </c>
      <c r="FFF68" s="561" t="s">
        <v>1505</v>
      </c>
      <c r="FFG68" s="561" t="s">
        <v>1505</v>
      </c>
      <c r="FFH68" s="561" t="s">
        <v>1505</v>
      </c>
      <c r="FFI68" s="561" t="s">
        <v>1505</v>
      </c>
      <c r="FFJ68" s="561" t="s">
        <v>1505</v>
      </c>
      <c r="FFK68" s="561" t="s">
        <v>1505</v>
      </c>
      <c r="FFL68" s="561" t="s">
        <v>1505</v>
      </c>
      <c r="FFM68" s="561" t="s">
        <v>1505</v>
      </c>
      <c r="FFN68" s="561" t="s">
        <v>1505</v>
      </c>
      <c r="FFO68" s="561" t="s">
        <v>1505</v>
      </c>
      <c r="FFP68" s="561" t="s">
        <v>1505</v>
      </c>
      <c r="FFQ68" s="561" t="s">
        <v>1505</v>
      </c>
      <c r="FFR68" s="561" t="s">
        <v>1505</v>
      </c>
      <c r="FFS68" s="561" t="s">
        <v>1505</v>
      </c>
      <c r="FFT68" s="561" t="s">
        <v>1505</v>
      </c>
      <c r="FFU68" s="561" t="s">
        <v>1505</v>
      </c>
      <c r="FFV68" s="561" t="s">
        <v>1505</v>
      </c>
      <c r="FFW68" s="561" t="s">
        <v>1505</v>
      </c>
      <c r="FFX68" s="561" t="s">
        <v>1505</v>
      </c>
      <c r="FFY68" s="561" t="s">
        <v>1505</v>
      </c>
      <c r="FFZ68" s="561" t="s">
        <v>1505</v>
      </c>
      <c r="FGA68" s="561" t="s">
        <v>1505</v>
      </c>
      <c r="FGB68" s="561" t="s">
        <v>1505</v>
      </c>
      <c r="FGC68" s="561" t="s">
        <v>1505</v>
      </c>
      <c r="FGD68" s="561" t="s">
        <v>1505</v>
      </c>
      <c r="FGE68" s="561" t="s">
        <v>1505</v>
      </c>
      <c r="FGF68" s="561" t="s">
        <v>1505</v>
      </c>
      <c r="FGG68" s="561" t="s">
        <v>1505</v>
      </c>
      <c r="FGH68" s="561" t="s">
        <v>1505</v>
      </c>
      <c r="FGI68" s="561" t="s">
        <v>1505</v>
      </c>
      <c r="FGJ68" s="561" t="s">
        <v>1505</v>
      </c>
      <c r="FGK68" s="561" t="s">
        <v>1505</v>
      </c>
      <c r="FGL68" s="561" t="s">
        <v>1505</v>
      </c>
      <c r="FGM68" s="561" t="s">
        <v>1505</v>
      </c>
      <c r="FGN68" s="561" t="s">
        <v>1505</v>
      </c>
      <c r="FGO68" s="561" t="s">
        <v>1505</v>
      </c>
      <c r="FGP68" s="561" t="s">
        <v>1505</v>
      </c>
      <c r="FGQ68" s="561" t="s">
        <v>1505</v>
      </c>
      <c r="FGR68" s="561" t="s">
        <v>1505</v>
      </c>
      <c r="FGS68" s="561" t="s">
        <v>1505</v>
      </c>
      <c r="FGT68" s="561" t="s">
        <v>1505</v>
      </c>
      <c r="FGU68" s="561" t="s">
        <v>1505</v>
      </c>
      <c r="FGV68" s="561" t="s">
        <v>1505</v>
      </c>
      <c r="FGW68" s="561" t="s">
        <v>1505</v>
      </c>
      <c r="FGX68" s="561" t="s">
        <v>1505</v>
      </c>
      <c r="FGY68" s="561" t="s">
        <v>1505</v>
      </c>
      <c r="FGZ68" s="561" t="s">
        <v>1505</v>
      </c>
      <c r="FHA68" s="561" t="s">
        <v>1505</v>
      </c>
      <c r="FHB68" s="561" t="s">
        <v>1505</v>
      </c>
      <c r="FHC68" s="561" t="s">
        <v>1505</v>
      </c>
      <c r="FHD68" s="561" t="s">
        <v>1505</v>
      </c>
      <c r="FHE68" s="561" t="s">
        <v>1505</v>
      </c>
      <c r="FHF68" s="561" t="s">
        <v>1505</v>
      </c>
      <c r="FHG68" s="561" t="s">
        <v>1505</v>
      </c>
      <c r="FHH68" s="561" t="s">
        <v>1505</v>
      </c>
      <c r="FHI68" s="561" t="s">
        <v>1505</v>
      </c>
      <c r="FHJ68" s="561" t="s">
        <v>1505</v>
      </c>
      <c r="FHK68" s="561" t="s">
        <v>1505</v>
      </c>
      <c r="FHL68" s="561" t="s">
        <v>1505</v>
      </c>
      <c r="FHM68" s="561" t="s">
        <v>1505</v>
      </c>
      <c r="FHN68" s="561" t="s">
        <v>1505</v>
      </c>
      <c r="FHO68" s="561" t="s">
        <v>1505</v>
      </c>
      <c r="FHP68" s="561" t="s">
        <v>1505</v>
      </c>
      <c r="FHQ68" s="561" t="s">
        <v>1505</v>
      </c>
      <c r="FHR68" s="561" t="s">
        <v>1505</v>
      </c>
      <c r="FHS68" s="561" t="s">
        <v>1505</v>
      </c>
      <c r="FHT68" s="561" t="s">
        <v>1505</v>
      </c>
      <c r="FHU68" s="561" t="s">
        <v>1505</v>
      </c>
      <c r="FHV68" s="561" t="s">
        <v>1505</v>
      </c>
      <c r="FHW68" s="561" t="s">
        <v>1505</v>
      </c>
      <c r="FHX68" s="561" t="s">
        <v>1505</v>
      </c>
      <c r="FHY68" s="561" t="s">
        <v>1505</v>
      </c>
      <c r="FHZ68" s="561" t="s">
        <v>1505</v>
      </c>
      <c r="FIA68" s="561" t="s">
        <v>1505</v>
      </c>
      <c r="FIB68" s="561" t="s">
        <v>1505</v>
      </c>
      <c r="FIC68" s="561" t="s">
        <v>1505</v>
      </c>
      <c r="FID68" s="561" t="s">
        <v>1505</v>
      </c>
      <c r="FIE68" s="561" t="s">
        <v>1505</v>
      </c>
      <c r="FIF68" s="561" t="s">
        <v>1505</v>
      </c>
      <c r="FIG68" s="561" t="s">
        <v>1505</v>
      </c>
      <c r="FIH68" s="561" t="s">
        <v>1505</v>
      </c>
      <c r="FII68" s="561" t="s">
        <v>1505</v>
      </c>
      <c r="FIJ68" s="561" t="s">
        <v>1505</v>
      </c>
      <c r="FIK68" s="561" t="s">
        <v>1505</v>
      </c>
      <c r="FIL68" s="561" t="s">
        <v>1505</v>
      </c>
      <c r="FIM68" s="561" t="s">
        <v>1505</v>
      </c>
      <c r="FIN68" s="561" t="s">
        <v>1505</v>
      </c>
      <c r="FIO68" s="561" t="s">
        <v>1505</v>
      </c>
      <c r="FIP68" s="561" t="s">
        <v>1505</v>
      </c>
      <c r="FIQ68" s="561" t="s">
        <v>1505</v>
      </c>
      <c r="FIR68" s="561" t="s">
        <v>1505</v>
      </c>
      <c r="FIS68" s="561" t="s">
        <v>1505</v>
      </c>
      <c r="FIT68" s="561" t="s">
        <v>1505</v>
      </c>
      <c r="FIU68" s="561" t="s">
        <v>1505</v>
      </c>
      <c r="FIV68" s="561" t="s">
        <v>1505</v>
      </c>
      <c r="FIW68" s="561" t="s">
        <v>1505</v>
      </c>
      <c r="FIX68" s="561" t="s">
        <v>1505</v>
      </c>
      <c r="FIY68" s="561" t="s">
        <v>1505</v>
      </c>
      <c r="FIZ68" s="561" t="s">
        <v>1505</v>
      </c>
      <c r="FJA68" s="561" t="s">
        <v>1505</v>
      </c>
      <c r="FJB68" s="561" t="s">
        <v>1505</v>
      </c>
      <c r="FJC68" s="561" t="s">
        <v>1505</v>
      </c>
      <c r="FJD68" s="561" t="s">
        <v>1505</v>
      </c>
      <c r="FJE68" s="561" t="s">
        <v>1505</v>
      </c>
      <c r="FJF68" s="561" t="s">
        <v>1505</v>
      </c>
      <c r="FJG68" s="561" t="s">
        <v>1505</v>
      </c>
      <c r="FJH68" s="561" t="s">
        <v>1505</v>
      </c>
      <c r="FJI68" s="561" t="s">
        <v>1505</v>
      </c>
      <c r="FJJ68" s="561" t="s">
        <v>1505</v>
      </c>
      <c r="FJK68" s="561" t="s">
        <v>1505</v>
      </c>
      <c r="FJL68" s="561" t="s">
        <v>1505</v>
      </c>
      <c r="FJM68" s="561" t="s">
        <v>1505</v>
      </c>
      <c r="FJN68" s="561" t="s">
        <v>1505</v>
      </c>
      <c r="FJO68" s="561" t="s">
        <v>1505</v>
      </c>
      <c r="FJP68" s="561" t="s">
        <v>1505</v>
      </c>
      <c r="FJQ68" s="561" t="s">
        <v>1505</v>
      </c>
      <c r="FJR68" s="561" t="s">
        <v>1505</v>
      </c>
      <c r="FJS68" s="561" t="s">
        <v>1505</v>
      </c>
      <c r="FJT68" s="561" t="s">
        <v>1505</v>
      </c>
      <c r="FJU68" s="561" t="s">
        <v>1505</v>
      </c>
      <c r="FJV68" s="561" t="s">
        <v>1505</v>
      </c>
      <c r="FJW68" s="561" t="s">
        <v>1505</v>
      </c>
      <c r="FJX68" s="561" t="s">
        <v>1505</v>
      </c>
      <c r="FJY68" s="561" t="s">
        <v>1505</v>
      </c>
      <c r="FJZ68" s="561" t="s">
        <v>1505</v>
      </c>
      <c r="FKA68" s="561" t="s">
        <v>1505</v>
      </c>
      <c r="FKB68" s="561" t="s">
        <v>1505</v>
      </c>
      <c r="FKC68" s="561" t="s">
        <v>1505</v>
      </c>
      <c r="FKD68" s="561" t="s">
        <v>1505</v>
      </c>
      <c r="FKE68" s="561" t="s">
        <v>1505</v>
      </c>
      <c r="FKF68" s="561" t="s">
        <v>1505</v>
      </c>
      <c r="FKG68" s="561" t="s">
        <v>1505</v>
      </c>
      <c r="FKH68" s="561" t="s">
        <v>1505</v>
      </c>
      <c r="FKI68" s="561" t="s">
        <v>1505</v>
      </c>
      <c r="FKJ68" s="561" t="s">
        <v>1505</v>
      </c>
      <c r="FKK68" s="561" t="s">
        <v>1505</v>
      </c>
      <c r="FKL68" s="561" t="s">
        <v>1505</v>
      </c>
      <c r="FKM68" s="561" t="s">
        <v>1505</v>
      </c>
      <c r="FKN68" s="561" t="s">
        <v>1505</v>
      </c>
      <c r="FKO68" s="561" t="s">
        <v>1505</v>
      </c>
      <c r="FKP68" s="561" t="s">
        <v>1505</v>
      </c>
      <c r="FKQ68" s="561" t="s">
        <v>1505</v>
      </c>
      <c r="FKR68" s="561" t="s">
        <v>1505</v>
      </c>
      <c r="FKS68" s="561" t="s">
        <v>1505</v>
      </c>
      <c r="FKT68" s="561" t="s">
        <v>1505</v>
      </c>
      <c r="FKU68" s="561" t="s">
        <v>1505</v>
      </c>
      <c r="FKV68" s="561" t="s">
        <v>1505</v>
      </c>
      <c r="FKW68" s="561" t="s">
        <v>1505</v>
      </c>
      <c r="FKX68" s="561" t="s">
        <v>1505</v>
      </c>
      <c r="FKY68" s="561" t="s">
        <v>1505</v>
      </c>
      <c r="FKZ68" s="561" t="s">
        <v>1505</v>
      </c>
      <c r="FLA68" s="561" t="s">
        <v>1505</v>
      </c>
      <c r="FLB68" s="561" t="s">
        <v>1505</v>
      </c>
      <c r="FLC68" s="561" t="s">
        <v>1505</v>
      </c>
      <c r="FLD68" s="561" t="s">
        <v>1505</v>
      </c>
      <c r="FLE68" s="561" t="s">
        <v>1505</v>
      </c>
      <c r="FLF68" s="561" t="s">
        <v>1505</v>
      </c>
      <c r="FLG68" s="561" t="s">
        <v>1505</v>
      </c>
      <c r="FLH68" s="561" t="s">
        <v>1505</v>
      </c>
      <c r="FLI68" s="561" t="s">
        <v>1505</v>
      </c>
      <c r="FLJ68" s="561" t="s">
        <v>1505</v>
      </c>
      <c r="FLK68" s="561" t="s">
        <v>1505</v>
      </c>
      <c r="FLL68" s="561" t="s">
        <v>1505</v>
      </c>
      <c r="FLM68" s="561" t="s">
        <v>1505</v>
      </c>
      <c r="FLN68" s="561" t="s">
        <v>1505</v>
      </c>
      <c r="FLO68" s="561" t="s">
        <v>1505</v>
      </c>
      <c r="FLP68" s="561" t="s">
        <v>1505</v>
      </c>
      <c r="FLQ68" s="561" t="s">
        <v>1505</v>
      </c>
      <c r="FLR68" s="561" t="s">
        <v>1505</v>
      </c>
      <c r="FLS68" s="561" t="s">
        <v>1505</v>
      </c>
      <c r="FLT68" s="561" t="s">
        <v>1505</v>
      </c>
      <c r="FLU68" s="561" t="s">
        <v>1505</v>
      </c>
      <c r="FLV68" s="561" t="s">
        <v>1505</v>
      </c>
      <c r="FLW68" s="561" t="s">
        <v>1505</v>
      </c>
      <c r="FLX68" s="561" t="s">
        <v>1505</v>
      </c>
      <c r="FLY68" s="561" t="s">
        <v>1505</v>
      </c>
      <c r="FLZ68" s="561" t="s">
        <v>1505</v>
      </c>
      <c r="FMA68" s="561" t="s">
        <v>1505</v>
      </c>
      <c r="FMB68" s="561" t="s">
        <v>1505</v>
      </c>
      <c r="FMC68" s="561" t="s">
        <v>1505</v>
      </c>
      <c r="FMD68" s="561" t="s">
        <v>1505</v>
      </c>
      <c r="FME68" s="561" t="s">
        <v>1505</v>
      </c>
      <c r="FMF68" s="561" t="s">
        <v>1505</v>
      </c>
      <c r="FMG68" s="561" t="s">
        <v>1505</v>
      </c>
      <c r="FMH68" s="561" t="s">
        <v>1505</v>
      </c>
      <c r="FMI68" s="561" t="s">
        <v>1505</v>
      </c>
      <c r="FMJ68" s="561" t="s">
        <v>1505</v>
      </c>
      <c r="FMK68" s="561" t="s">
        <v>1505</v>
      </c>
      <c r="FML68" s="561" t="s">
        <v>1505</v>
      </c>
      <c r="FMM68" s="561" t="s">
        <v>1505</v>
      </c>
      <c r="FMN68" s="561" t="s">
        <v>1505</v>
      </c>
      <c r="FMO68" s="561" t="s">
        <v>1505</v>
      </c>
      <c r="FMP68" s="561" t="s">
        <v>1505</v>
      </c>
      <c r="FMQ68" s="561" t="s">
        <v>1505</v>
      </c>
      <c r="FMR68" s="561" t="s">
        <v>1505</v>
      </c>
      <c r="FMS68" s="561" t="s">
        <v>1505</v>
      </c>
      <c r="FMT68" s="561" t="s">
        <v>1505</v>
      </c>
      <c r="FMU68" s="561" t="s">
        <v>1505</v>
      </c>
      <c r="FMV68" s="561" t="s">
        <v>1505</v>
      </c>
      <c r="FMW68" s="561" t="s">
        <v>1505</v>
      </c>
      <c r="FMX68" s="561" t="s">
        <v>1505</v>
      </c>
      <c r="FMY68" s="561" t="s">
        <v>1505</v>
      </c>
      <c r="FMZ68" s="561" t="s">
        <v>1505</v>
      </c>
      <c r="FNA68" s="561" t="s">
        <v>1505</v>
      </c>
      <c r="FNB68" s="561" t="s">
        <v>1505</v>
      </c>
      <c r="FNC68" s="561" t="s">
        <v>1505</v>
      </c>
      <c r="FND68" s="561" t="s">
        <v>1505</v>
      </c>
      <c r="FNE68" s="561" t="s">
        <v>1505</v>
      </c>
      <c r="FNF68" s="561" t="s">
        <v>1505</v>
      </c>
      <c r="FNG68" s="561" t="s">
        <v>1505</v>
      </c>
      <c r="FNH68" s="561" t="s">
        <v>1505</v>
      </c>
      <c r="FNI68" s="561" t="s">
        <v>1505</v>
      </c>
      <c r="FNJ68" s="561" t="s">
        <v>1505</v>
      </c>
      <c r="FNK68" s="561" t="s">
        <v>1505</v>
      </c>
      <c r="FNL68" s="561" t="s">
        <v>1505</v>
      </c>
      <c r="FNM68" s="561" t="s">
        <v>1505</v>
      </c>
      <c r="FNN68" s="561" t="s">
        <v>1505</v>
      </c>
      <c r="FNO68" s="561" t="s">
        <v>1505</v>
      </c>
      <c r="FNP68" s="561" t="s">
        <v>1505</v>
      </c>
      <c r="FNQ68" s="561" t="s">
        <v>1505</v>
      </c>
      <c r="FNR68" s="561" t="s">
        <v>1505</v>
      </c>
      <c r="FNS68" s="561" t="s">
        <v>1505</v>
      </c>
      <c r="FNT68" s="561" t="s">
        <v>1505</v>
      </c>
      <c r="FNU68" s="561" t="s">
        <v>1505</v>
      </c>
      <c r="FNV68" s="561" t="s">
        <v>1505</v>
      </c>
      <c r="FNW68" s="561" t="s">
        <v>1505</v>
      </c>
      <c r="FNX68" s="561" t="s">
        <v>1505</v>
      </c>
      <c r="FNY68" s="561" t="s">
        <v>1505</v>
      </c>
      <c r="FNZ68" s="561" t="s">
        <v>1505</v>
      </c>
      <c r="FOA68" s="561" t="s">
        <v>1505</v>
      </c>
      <c r="FOB68" s="561" t="s">
        <v>1505</v>
      </c>
      <c r="FOC68" s="561" t="s">
        <v>1505</v>
      </c>
      <c r="FOD68" s="561" t="s">
        <v>1505</v>
      </c>
      <c r="FOE68" s="561" t="s">
        <v>1505</v>
      </c>
      <c r="FOF68" s="561" t="s">
        <v>1505</v>
      </c>
      <c r="FOG68" s="561" t="s">
        <v>1505</v>
      </c>
      <c r="FOH68" s="561" t="s">
        <v>1505</v>
      </c>
      <c r="FOI68" s="561" t="s">
        <v>1505</v>
      </c>
      <c r="FOJ68" s="561" t="s">
        <v>1505</v>
      </c>
      <c r="FOK68" s="561" t="s">
        <v>1505</v>
      </c>
      <c r="FOL68" s="561" t="s">
        <v>1505</v>
      </c>
      <c r="FOM68" s="561" t="s">
        <v>1505</v>
      </c>
      <c r="FON68" s="561" t="s">
        <v>1505</v>
      </c>
      <c r="FOO68" s="561" t="s">
        <v>1505</v>
      </c>
      <c r="FOP68" s="561" t="s">
        <v>1505</v>
      </c>
      <c r="FOQ68" s="561" t="s">
        <v>1505</v>
      </c>
      <c r="FOR68" s="561" t="s">
        <v>1505</v>
      </c>
      <c r="FOS68" s="561" t="s">
        <v>1505</v>
      </c>
      <c r="FOT68" s="561" t="s">
        <v>1505</v>
      </c>
      <c r="FOU68" s="561" t="s">
        <v>1505</v>
      </c>
      <c r="FOV68" s="561" t="s">
        <v>1505</v>
      </c>
      <c r="FOW68" s="561" t="s">
        <v>1505</v>
      </c>
      <c r="FOX68" s="561" t="s">
        <v>1505</v>
      </c>
      <c r="FOY68" s="561" t="s">
        <v>1505</v>
      </c>
      <c r="FOZ68" s="561" t="s">
        <v>1505</v>
      </c>
      <c r="FPA68" s="561" t="s">
        <v>1505</v>
      </c>
      <c r="FPB68" s="561" t="s">
        <v>1505</v>
      </c>
      <c r="FPC68" s="561" t="s">
        <v>1505</v>
      </c>
      <c r="FPD68" s="561" t="s">
        <v>1505</v>
      </c>
      <c r="FPE68" s="561" t="s">
        <v>1505</v>
      </c>
      <c r="FPF68" s="561" t="s">
        <v>1505</v>
      </c>
      <c r="FPG68" s="561" t="s">
        <v>1505</v>
      </c>
      <c r="FPH68" s="561" t="s">
        <v>1505</v>
      </c>
      <c r="FPI68" s="561" t="s">
        <v>1505</v>
      </c>
      <c r="FPJ68" s="561" t="s">
        <v>1505</v>
      </c>
      <c r="FPK68" s="561" t="s">
        <v>1505</v>
      </c>
      <c r="FPL68" s="561" t="s">
        <v>1505</v>
      </c>
      <c r="FPM68" s="561" t="s">
        <v>1505</v>
      </c>
      <c r="FPN68" s="561" t="s">
        <v>1505</v>
      </c>
      <c r="FPO68" s="561" t="s">
        <v>1505</v>
      </c>
      <c r="FPP68" s="561" t="s">
        <v>1505</v>
      </c>
      <c r="FPQ68" s="561" t="s">
        <v>1505</v>
      </c>
      <c r="FPR68" s="561" t="s">
        <v>1505</v>
      </c>
      <c r="FPS68" s="561" t="s">
        <v>1505</v>
      </c>
      <c r="FPT68" s="561" t="s">
        <v>1505</v>
      </c>
      <c r="FPU68" s="561" t="s">
        <v>1505</v>
      </c>
      <c r="FPV68" s="561" t="s">
        <v>1505</v>
      </c>
      <c r="FPW68" s="561" t="s">
        <v>1505</v>
      </c>
      <c r="FPX68" s="561" t="s">
        <v>1505</v>
      </c>
      <c r="FPY68" s="561" t="s">
        <v>1505</v>
      </c>
      <c r="FPZ68" s="561" t="s">
        <v>1505</v>
      </c>
      <c r="FQA68" s="561" t="s">
        <v>1505</v>
      </c>
      <c r="FQB68" s="561" t="s">
        <v>1505</v>
      </c>
      <c r="FQC68" s="561" t="s">
        <v>1505</v>
      </c>
      <c r="FQD68" s="561" t="s">
        <v>1505</v>
      </c>
      <c r="FQE68" s="561" t="s">
        <v>1505</v>
      </c>
      <c r="FQF68" s="561" t="s">
        <v>1505</v>
      </c>
      <c r="FQG68" s="561" t="s">
        <v>1505</v>
      </c>
      <c r="FQH68" s="561" t="s">
        <v>1505</v>
      </c>
      <c r="FQI68" s="561" t="s">
        <v>1505</v>
      </c>
      <c r="FQJ68" s="561" t="s">
        <v>1505</v>
      </c>
      <c r="FQK68" s="561" t="s">
        <v>1505</v>
      </c>
      <c r="FQL68" s="561" t="s">
        <v>1505</v>
      </c>
      <c r="FQM68" s="561" t="s">
        <v>1505</v>
      </c>
      <c r="FQN68" s="561" t="s">
        <v>1505</v>
      </c>
      <c r="FQO68" s="561" t="s">
        <v>1505</v>
      </c>
      <c r="FQP68" s="561" t="s">
        <v>1505</v>
      </c>
      <c r="FQQ68" s="561" t="s">
        <v>1505</v>
      </c>
      <c r="FQR68" s="561" t="s">
        <v>1505</v>
      </c>
      <c r="FQS68" s="561" t="s">
        <v>1505</v>
      </c>
      <c r="FQT68" s="561" t="s">
        <v>1505</v>
      </c>
      <c r="FQU68" s="561" t="s">
        <v>1505</v>
      </c>
      <c r="FQV68" s="561" t="s">
        <v>1505</v>
      </c>
      <c r="FQW68" s="561" t="s">
        <v>1505</v>
      </c>
      <c r="FQX68" s="561" t="s">
        <v>1505</v>
      </c>
      <c r="FQY68" s="561" t="s">
        <v>1505</v>
      </c>
      <c r="FQZ68" s="561" t="s">
        <v>1505</v>
      </c>
      <c r="FRA68" s="561" t="s">
        <v>1505</v>
      </c>
      <c r="FRB68" s="561" t="s">
        <v>1505</v>
      </c>
      <c r="FRC68" s="561" t="s">
        <v>1505</v>
      </c>
      <c r="FRD68" s="561" t="s">
        <v>1505</v>
      </c>
      <c r="FRE68" s="561" t="s">
        <v>1505</v>
      </c>
      <c r="FRF68" s="561" t="s">
        <v>1505</v>
      </c>
      <c r="FRG68" s="561" t="s">
        <v>1505</v>
      </c>
      <c r="FRH68" s="561" t="s">
        <v>1505</v>
      </c>
      <c r="FRI68" s="561" t="s">
        <v>1505</v>
      </c>
      <c r="FRJ68" s="561" t="s">
        <v>1505</v>
      </c>
      <c r="FRK68" s="561" t="s">
        <v>1505</v>
      </c>
      <c r="FRL68" s="561" t="s">
        <v>1505</v>
      </c>
      <c r="FRM68" s="561" t="s">
        <v>1505</v>
      </c>
      <c r="FRN68" s="561" t="s">
        <v>1505</v>
      </c>
      <c r="FRO68" s="561" t="s">
        <v>1505</v>
      </c>
      <c r="FRP68" s="561" t="s">
        <v>1505</v>
      </c>
      <c r="FRQ68" s="561" t="s">
        <v>1505</v>
      </c>
      <c r="FRR68" s="561" t="s">
        <v>1505</v>
      </c>
      <c r="FRS68" s="561" t="s">
        <v>1505</v>
      </c>
      <c r="FRT68" s="561" t="s">
        <v>1505</v>
      </c>
      <c r="FRU68" s="561" t="s">
        <v>1505</v>
      </c>
      <c r="FRV68" s="561" t="s">
        <v>1505</v>
      </c>
      <c r="FRW68" s="561" t="s">
        <v>1505</v>
      </c>
      <c r="FRX68" s="561" t="s">
        <v>1505</v>
      </c>
      <c r="FRY68" s="561" t="s">
        <v>1505</v>
      </c>
      <c r="FRZ68" s="561" t="s">
        <v>1505</v>
      </c>
      <c r="FSA68" s="561" t="s">
        <v>1505</v>
      </c>
      <c r="FSB68" s="561" t="s">
        <v>1505</v>
      </c>
      <c r="FSC68" s="561" t="s">
        <v>1505</v>
      </c>
      <c r="FSD68" s="561" t="s">
        <v>1505</v>
      </c>
      <c r="FSE68" s="561" t="s">
        <v>1505</v>
      </c>
      <c r="FSF68" s="561" t="s">
        <v>1505</v>
      </c>
      <c r="FSG68" s="561" t="s">
        <v>1505</v>
      </c>
      <c r="FSH68" s="561" t="s">
        <v>1505</v>
      </c>
      <c r="FSI68" s="561" t="s">
        <v>1505</v>
      </c>
      <c r="FSJ68" s="561" t="s">
        <v>1505</v>
      </c>
      <c r="FSK68" s="561" t="s">
        <v>1505</v>
      </c>
      <c r="FSL68" s="561" t="s">
        <v>1505</v>
      </c>
      <c r="FSM68" s="561" t="s">
        <v>1505</v>
      </c>
      <c r="FSN68" s="561" t="s">
        <v>1505</v>
      </c>
      <c r="FSO68" s="561" t="s">
        <v>1505</v>
      </c>
      <c r="FSP68" s="561" t="s">
        <v>1505</v>
      </c>
      <c r="FSQ68" s="561" t="s">
        <v>1505</v>
      </c>
      <c r="FSR68" s="561" t="s">
        <v>1505</v>
      </c>
      <c r="FSS68" s="561" t="s">
        <v>1505</v>
      </c>
      <c r="FST68" s="561" t="s">
        <v>1505</v>
      </c>
      <c r="FSU68" s="561" t="s">
        <v>1505</v>
      </c>
      <c r="FSV68" s="561" t="s">
        <v>1505</v>
      </c>
      <c r="FSW68" s="561" t="s">
        <v>1505</v>
      </c>
      <c r="FSX68" s="561" t="s">
        <v>1505</v>
      </c>
      <c r="FSY68" s="561" t="s">
        <v>1505</v>
      </c>
      <c r="FSZ68" s="561" t="s">
        <v>1505</v>
      </c>
      <c r="FTA68" s="561" t="s">
        <v>1505</v>
      </c>
      <c r="FTB68" s="561" t="s">
        <v>1505</v>
      </c>
      <c r="FTC68" s="561" t="s">
        <v>1505</v>
      </c>
      <c r="FTD68" s="561" t="s">
        <v>1505</v>
      </c>
      <c r="FTE68" s="561" t="s">
        <v>1505</v>
      </c>
      <c r="FTF68" s="561" t="s">
        <v>1505</v>
      </c>
      <c r="FTG68" s="561" t="s">
        <v>1505</v>
      </c>
      <c r="FTH68" s="561" t="s">
        <v>1505</v>
      </c>
      <c r="FTI68" s="561" t="s">
        <v>1505</v>
      </c>
      <c r="FTJ68" s="561" t="s">
        <v>1505</v>
      </c>
      <c r="FTK68" s="561" t="s">
        <v>1505</v>
      </c>
      <c r="FTL68" s="561" t="s">
        <v>1505</v>
      </c>
      <c r="FTM68" s="561" t="s">
        <v>1505</v>
      </c>
      <c r="FTN68" s="561" t="s">
        <v>1505</v>
      </c>
      <c r="FTO68" s="561" t="s">
        <v>1505</v>
      </c>
      <c r="FTP68" s="561" t="s">
        <v>1505</v>
      </c>
      <c r="FTQ68" s="561" t="s">
        <v>1505</v>
      </c>
      <c r="FTR68" s="561" t="s">
        <v>1505</v>
      </c>
      <c r="FTS68" s="561" t="s">
        <v>1505</v>
      </c>
      <c r="FTT68" s="561" t="s">
        <v>1505</v>
      </c>
      <c r="FTU68" s="561" t="s">
        <v>1505</v>
      </c>
      <c r="FTV68" s="561" t="s">
        <v>1505</v>
      </c>
      <c r="FTW68" s="561" t="s">
        <v>1505</v>
      </c>
      <c r="FTX68" s="561" t="s">
        <v>1505</v>
      </c>
      <c r="FTY68" s="561" t="s">
        <v>1505</v>
      </c>
      <c r="FTZ68" s="561" t="s">
        <v>1505</v>
      </c>
      <c r="FUA68" s="561" t="s">
        <v>1505</v>
      </c>
      <c r="FUB68" s="561" t="s">
        <v>1505</v>
      </c>
      <c r="FUC68" s="561" t="s">
        <v>1505</v>
      </c>
      <c r="FUD68" s="561" t="s">
        <v>1505</v>
      </c>
      <c r="FUE68" s="561" t="s">
        <v>1505</v>
      </c>
      <c r="FUF68" s="561" t="s">
        <v>1505</v>
      </c>
      <c r="FUG68" s="561" t="s">
        <v>1505</v>
      </c>
      <c r="FUH68" s="561" t="s">
        <v>1505</v>
      </c>
      <c r="FUI68" s="561" t="s">
        <v>1505</v>
      </c>
      <c r="FUJ68" s="561" t="s">
        <v>1505</v>
      </c>
      <c r="FUK68" s="561" t="s">
        <v>1505</v>
      </c>
      <c r="FUL68" s="561" t="s">
        <v>1505</v>
      </c>
      <c r="FUM68" s="561" t="s">
        <v>1505</v>
      </c>
      <c r="FUN68" s="561" t="s">
        <v>1505</v>
      </c>
      <c r="FUO68" s="561" t="s">
        <v>1505</v>
      </c>
      <c r="FUP68" s="561" t="s">
        <v>1505</v>
      </c>
      <c r="FUQ68" s="561" t="s">
        <v>1505</v>
      </c>
      <c r="FUR68" s="561" t="s">
        <v>1505</v>
      </c>
      <c r="FUS68" s="561" t="s">
        <v>1505</v>
      </c>
      <c r="FUT68" s="561" t="s">
        <v>1505</v>
      </c>
      <c r="FUU68" s="561" t="s">
        <v>1505</v>
      </c>
      <c r="FUV68" s="561" t="s">
        <v>1505</v>
      </c>
      <c r="FUW68" s="561" t="s">
        <v>1505</v>
      </c>
      <c r="FUX68" s="561" t="s">
        <v>1505</v>
      </c>
      <c r="FUY68" s="561" t="s">
        <v>1505</v>
      </c>
      <c r="FUZ68" s="561" t="s">
        <v>1505</v>
      </c>
      <c r="FVA68" s="561" t="s">
        <v>1505</v>
      </c>
      <c r="FVB68" s="561" t="s">
        <v>1505</v>
      </c>
      <c r="FVC68" s="561" t="s">
        <v>1505</v>
      </c>
      <c r="FVD68" s="561" t="s">
        <v>1505</v>
      </c>
      <c r="FVE68" s="561" t="s">
        <v>1505</v>
      </c>
      <c r="FVF68" s="561" t="s">
        <v>1505</v>
      </c>
      <c r="FVG68" s="561" t="s">
        <v>1505</v>
      </c>
      <c r="FVH68" s="561" t="s">
        <v>1505</v>
      </c>
      <c r="FVI68" s="561" t="s">
        <v>1505</v>
      </c>
      <c r="FVJ68" s="561" t="s">
        <v>1505</v>
      </c>
      <c r="FVK68" s="561" t="s">
        <v>1505</v>
      </c>
      <c r="FVL68" s="561" t="s">
        <v>1505</v>
      </c>
      <c r="FVM68" s="561" t="s">
        <v>1505</v>
      </c>
      <c r="FVN68" s="561" t="s">
        <v>1505</v>
      </c>
      <c r="FVO68" s="561" t="s">
        <v>1505</v>
      </c>
      <c r="FVP68" s="561" t="s">
        <v>1505</v>
      </c>
      <c r="FVQ68" s="561" t="s">
        <v>1505</v>
      </c>
      <c r="FVR68" s="561" t="s">
        <v>1505</v>
      </c>
      <c r="FVS68" s="561" t="s">
        <v>1505</v>
      </c>
      <c r="FVT68" s="561" t="s">
        <v>1505</v>
      </c>
      <c r="FVU68" s="561" t="s">
        <v>1505</v>
      </c>
      <c r="FVV68" s="561" t="s">
        <v>1505</v>
      </c>
      <c r="FVW68" s="561" t="s">
        <v>1505</v>
      </c>
      <c r="FVX68" s="561" t="s">
        <v>1505</v>
      </c>
      <c r="FVY68" s="561" t="s">
        <v>1505</v>
      </c>
      <c r="FVZ68" s="561" t="s">
        <v>1505</v>
      </c>
      <c r="FWA68" s="561" t="s">
        <v>1505</v>
      </c>
      <c r="FWB68" s="561" t="s">
        <v>1505</v>
      </c>
      <c r="FWC68" s="561" t="s">
        <v>1505</v>
      </c>
      <c r="FWD68" s="561" t="s">
        <v>1505</v>
      </c>
      <c r="FWE68" s="561" t="s">
        <v>1505</v>
      </c>
      <c r="FWF68" s="561" t="s">
        <v>1505</v>
      </c>
      <c r="FWG68" s="561" t="s">
        <v>1505</v>
      </c>
      <c r="FWH68" s="561" t="s">
        <v>1505</v>
      </c>
      <c r="FWI68" s="561" t="s">
        <v>1505</v>
      </c>
      <c r="FWJ68" s="561" t="s">
        <v>1505</v>
      </c>
      <c r="FWK68" s="561" t="s">
        <v>1505</v>
      </c>
      <c r="FWL68" s="561" t="s">
        <v>1505</v>
      </c>
      <c r="FWM68" s="561" t="s">
        <v>1505</v>
      </c>
      <c r="FWN68" s="561" t="s">
        <v>1505</v>
      </c>
      <c r="FWO68" s="561" t="s">
        <v>1505</v>
      </c>
      <c r="FWP68" s="561" t="s">
        <v>1505</v>
      </c>
      <c r="FWQ68" s="561" t="s">
        <v>1505</v>
      </c>
      <c r="FWR68" s="561" t="s">
        <v>1505</v>
      </c>
      <c r="FWS68" s="561" t="s">
        <v>1505</v>
      </c>
      <c r="FWT68" s="561" t="s">
        <v>1505</v>
      </c>
      <c r="FWU68" s="561" t="s">
        <v>1505</v>
      </c>
      <c r="FWV68" s="561" t="s">
        <v>1505</v>
      </c>
      <c r="FWW68" s="561" t="s">
        <v>1505</v>
      </c>
      <c r="FWX68" s="561" t="s">
        <v>1505</v>
      </c>
      <c r="FWY68" s="561" t="s">
        <v>1505</v>
      </c>
      <c r="FWZ68" s="561" t="s">
        <v>1505</v>
      </c>
      <c r="FXA68" s="561" t="s">
        <v>1505</v>
      </c>
      <c r="FXB68" s="561" t="s">
        <v>1505</v>
      </c>
      <c r="FXC68" s="561" t="s">
        <v>1505</v>
      </c>
      <c r="FXD68" s="561" t="s">
        <v>1505</v>
      </c>
      <c r="FXE68" s="561" t="s">
        <v>1505</v>
      </c>
      <c r="FXF68" s="561" t="s">
        <v>1505</v>
      </c>
      <c r="FXG68" s="561" t="s">
        <v>1505</v>
      </c>
      <c r="FXH68" s="561" t="s">
        <v>1505</v>
      </c>
      <c r="FXI68" s="561" t="s">
        <v>1505</v>
      </c>
      <c r="FXJ68" s="561" t="s">
        <v>1505</v>
      </c>
      <c r="FXK68" s="561" t="s">
        <v>1505</v>
      </c>
      <c r="FXL68" s="561" t="s">
        <v>1505</v>
      </c>
      <c r="FXM68" s="561" t="s">
        <v>1505</v>
      </c>
      <c r="FXN68" s="561" t="s">
        <v>1505</v>
      </c>
      <c r="FXO68" s="561" t="s">
        <v>1505</v>
      </c>
      <c r="FXP68" s="561" t="s">
        <v>1505</v>
      </c>
      <c r="FXQ68" s="561" t="s">
        <v>1505</v>
      </c>
      <c r="FXR68" s="561" t="s">
        <v>1505</v>
      </c>
      <c r="FXS68" s="561" t="s">
        <v>1505</v>
      </c>
      <c r="FXT68" s="561" t="s">
        <v>1505</v>
      </c>
      <c r="FXU68" s="561" t="s">
        <v>1505</v>
      </c>
      <c r="FXV68" s="561" t="s">
        <v>1505</v>
      </c>
      <c r="FXW68" s="561" t="s">
        <v>1505</v>
      </c>
      <c r="FXX68" s="561" t="s">
        <v>1505</v>
      </c>
      <c r="FXY68" s="561" t="s">
        <v>1505</v>
      </c>
      <c r="FXZ68" s="561" t="s">
        <v>1505</v>
      </c>
      <c r="FYA68" s="561" t="s">
        <v>1505</v>
      </c>
      <c r="FYB68" s="561" t="s">
        <v>1505</v>
      </c>
      <c r="FYC68" s="561" t="s">
        <v>1505</v>
      </c>
      <c r="FYD68" s="561" t="s">
        <v>1505</v>
      </c>
      <c r="FYE68" s="561" t="s">
        <v>1505</v>
      </c>
      <c r="FYF68" s="561" t="s">
        <v>1505</v>
      </c>
      <c r="FYG68" s="561" t="s">
        <v>1505</v>
      </c>
      <c r="FYH68" s="561" t="s">
        <v>1505</v>
      </c>
      <c r="FYI68" s="561" t="s">
        <v>1505</v>
      </c>
      <c r="FYJ68" s="561" t="s">
        <v>1505</v>
      </c>
      <c r="FYK68" s="561" t="s">
        <v>1505</v>
      </c>
      <c r="FYL68" s="561" t="s">
        <v>1505</v>
      </c>
      <c r="FYM68" s="561" t="s">
        <v>1505</v>
      </c>
      <c r="FYN68" s="561" t="s">
        <v>1505</v>
      </c>
      <c r="FYO68" s="561" t="s">
        <v>1505</v>
      </c>
      <c r="FYP68" s="561" t="s">
        <v>1505</v>
      </c>
      <c r="FYQ68" s="561" t="s">
        <v>1505</v>
      </c>
      <c r="FYR68" s="561" t="s">
        <v>1505</v>
      </c>
      <c r="FYS68" s="561" t="s">
        <v>1505</v>
      </c>
      <c r="FYT68" s="561" t="s">
        <v>1505</v>
      </c>
      <c r="FYU68" s="561" t="s">
        <v>1505</v>
      </c>
      <c r="FYV68" s="561" t="s">
        <v>1505</v>
      </c>
      <c r="FYW68" s="561" t="s">
        <v>1505</v>
      </c>
      <c r="FYX68" s="561" t="s">
        <v>1505</v>
      </c>
      <c r="FYY68" s="561" t="s">
        <v>1505</v>
      </c>
      <c r="FYZ68" s="561" t="s">
        <v>1505</v>
      </c>
      <c r="FZA68" s="561" t="s">
        <v>1505</v>
      </c>
      <c r="FZB68" s="561" t="s">
        <v>1505</v>
      </c>
      <c r="FZC68" s="561" t="s">
        <v>1505</v>
      </c>
      <c r="FZD68" s="561" t="s">
        <v>1505</v>
      </c>
      <c r="FZE68" s="561" t="s">
        <v>1505</v>
      </c>
      <c r="FZF68" s="561" t="s">
        <v>1505</v>
      </c>
      <c r="FZG68" s="561" t="s">
        <v>1505</v>
      </c>
      <c r="FZH68" s="561" t="s">
        <v>1505</v>
      </c>
      <c r="FZI68" s="561" t="s">
        <v>1505</v>
      </c>
      <c r="FZJ68" s="561" t="s">
        <v>1505</v>
      </c>
      <c r="FZK68" s="561" t="s">
        <v>1505</v>
      </c>
      <c r="FZL68" s="561" t="s">
        <v>1505</v>
      </c>
      <c r="FZM68" s="561" t="s">
        <v>1505</v>
      </c>
      <c r="FZN68" s="561" t="s">
        <v>1505</v>
      </c>
      <c r="FZO68" s="561" t="s">
        <v>1505</v>
      </c>
      <c r="FZP68" s="561" t="s">
        <v>1505</v>
      </c>
      <c r="FZQ68" s="561" t="s">
        <v>1505</v>
      </c>
      <c r="FZR68" s="561" t="s">
        <v>1505</v>
      </c>
      <c r="FZS68" s="561" t="s">
        <v>1505</v>
      </c>
      <c r="FZT68" s="561" t="s">
        <v>1505</v>
      </c>
      <c r="FZU68" s="561" t="s">
        <v>1505</v>
      </c>
      <c r="FZV68" s="561" t="s">
        <v>1505</v>
      </c>
      <c r="FZW68" s="561" t="s">
        <v>1505</v>
      </c>
      <c r="FZX68" s="561" t="s">
        <v>1505</v>
      </c>
      <c r="FZY68" s="561" t="s">
        <v>1505</v>
      </c>
      <c r="FZZ68" s="561" t="s">
        <v>1505</v>
      </c>
      <c r="GAA68" s="561" t="s">
        <v>1505</v>
      </c>
      <c r="GAB68" s="561" t="s">
        <v>1505</v>
      </c>
      <c r="GAC68" s="561" t="s">
        <v>1505</v>
      </c>
      <c r="GAD68" s="561" t="s">
        <v>1505</v>
      </c>
      <c r="GAE68" s="561" t="s">
        <v>1505</v>
      </c>
      <c r="GAF68" s="561" t="s">
        <v>1505</v>
      </c>
      <c r="GAG68" s="561" t="s">
        <v>1505</v>
      </c>
      <c r="GAH68" s="561" t="s">
        <v>1505</v>
      </c>
      <c r="GAI68" s="561" t="s">
        <v>1505</v>
      </c>
      <c r="GAJ68" s="561" t="s">
        <v>1505</v>
      </c>
      <c r="GAK68" s="561" t="s">
        <v>1505</v>
      </c>
      <c r="GAL68" s="561" t="s">
        <v>1505</v>
      </c>
      <c r="GAM68" s="561" t="s">
        <v>1505</v>
      </c>
      <c r="GAN68" s="561" t="s">
        <v>1505</v>
      </c>
      <c r="GAO68" s="561" t="s">
        <v>1505</v>
      </c>
      <c r="GAP68" s="561" t="s">
        <v>1505</v>
      </c>
      <c r="GAQ68" s="561" t="s">
        <v>1505</v>
      </c>
      <c r="GAR68" s="561" t="s">
        <v>1505</v>
      </c>
      <c r="GAS68" s="561" t="s">
        <v>1505</v>
      </c>
      <c r="GAT68" s="561" t="s">
        <v>1505</v>
      </c>
      <c r="GAU68" s="561" t="s">
        <v>1505</v>
      </c>
      <c r="GAV68" s="561" t="s">
        <v>1505</v>
      </c>
      <c r="GAW68" s="561" t="s">
        <v>1505</v>
      </c>
      <c r="GAX68" s="561" t="s">
        <v>1505</v>
      </c>
      <c r="GAY68" s="561" t="s">
        <v>1505</v>
      </c>
      <c r="GAZ68" s="561" t="s">
        <v>1505</v>
      </c>
      <c r="GBA68" s="561" t="s">
        <v>1505</v>
      </c>
      <c r="GBB68" s="561" t="s">
        <v>1505</v>
      </c>
      <c r="GBC68" s="561" t="s">
        <v>1505</v>
      </c>
      <c r="GBD68" s="561" t="s">
        <v>1505</v>
      </c>
      <c r="GBE68" s="561" t="s">
        <v>1505</v>
      </c>
      <c r="GBF68" s="561" t="s">
        <v>1505</v>
      </c>
      <c r="GBG68" s="561" t="s">
        <v>1505</v>
      </c>
      <c r="GBH68" s="561" t="s">
        <v>1505</v>
      </c>
      <c r="GBI68" s="561" t="s">
        <v>1505</v>
      </c>
      <c r="GBJ68" s="561" t="s">
        <v>1505</v>
      </c>
      <c r="GBK68" s="561" t="s">
        <v>1505</v>
      </c>
      <c r="GBL68" s="561" t="s">
        <v>1505</v>
      </c>
      <c r="GBM68" s="561" t="s">
        <v>1505</v>
      </c>
      <c r="GBN68" s="561" t="s">
        <v>1505</v>
      </c>
      <c r="GBO68" s="561" t="s">
        <v>1505</v>
      </c>
      <c r="GBP68" s="561" t="s">
        <v>1505</v>
      </c>
      <c r="GBQ68" s="561" t="s">
        <v>1505</v>
      </c>
      <c r="GBR68" s="561" t="s">
        <v>1505</v>
      </c>
      <c r="GBS68" s="561" t="s">
        <v>1505</v>
      </c>
      <c r="GBT68" s="561" t="s">
        <v>1505</v>
      </c>
      <c r="GBU68" s="561" t="s">
        <v>1505</v>
      </c>
      <c r="GBV68" s="561" t="s">
        <v>1505</v>
      </c>
      <c r="GBW68" s="561" t="s">
        <v>1505</v>
      </c>
      <c r="GBX68" s="561" t="s">
        <v>1505</v>
      </c>
      <c r="GBY68" s="561" t="s">
        <v>1505</v>
      </c>
      <c r="GBZ68" s="561" t="s">
        <v>1505</v>
      </c>
      <c r="GCA68" s="561" t="s">
        <v>1505</v>
      </c>
      <c r="GCB68" s="561" t="s">
        <v>1505</v>
      </c>
      <c r="GCC68" s="561" t="s">
        <v>1505</v>
      </c>
      <c r="GCD68" s="561" t="s">
        <v>1505</v>
      </c>
      <c r="GCE68" s="561" t="s">
        <v>1505</v>
      </c>
      <c r="GCF68" s="561" t="s">
        <v>1505</v>
      </c>
      <c r="GCG68" s="561" t="s">
        <v>1505</v>
      </c>
      <c r="GCH68" s="561" t="s">
        <v>1505</v>
      </c>
      <c r="GCI68" s="561" t="s">
        <v>1505</v>
      </c>
      <c r="GCJ68" s="561" t="s">
        <v>1505</v>
      </c>
      <c r="GCK68" s="561" t="s">
        <v>1505</v>
      </c>
      <c r="GCL68" s="561" t="s">
        <v>1505</v>
      </c>
      <c r="GCM68" s="561" t="s">
        <v>1505</v>
      </c>
      <c r="GCN68" s="561" t="s">
        <v>1505</v>
      </c>
      <c r="GCO68" s="561" t="s">
        <v>1505</v>
      </c>
      <c r="GCP68" s="561" t="s">
        <v>1505</v>
      </c>
      <c r="GCQ68" s="561" t="s">
        <v>1505</v>
      </c>
      <c r="GCR68" s="561" t="s">
        <v>1505</v>
      </c>
      <c r="GCS68" s="561" t="s">
        <v>1505</v>
      </c>
      <c r="GCT68" s="561" t="s">
        <v>1505</v>
      </c>
      <c r="GCU68" s="561" t="s">
        <v>1505</v>
      </c>
      <c r="GCV68" s="561" t="s">
        <v>1505</v>
      </c>
      <c r="GCW68" s="561" t="s">
        <v>1505</v>
      </c>
      <c r="GCX68" s="561" t="s">
        <v>1505</v>
      </c>
      <c r="GCY68" s="561" t="s">
        <v>1505</v>
      </c>
      <c r="GCZ68" s="561" t="s">
        <v>1505</v>
      </c>
      <c r="GDA68" s="561" t="s">
        <v>1505</v>
      </c>
      <c r="GDB68" s="561" t="s">
        <v>1505</v>
      </c>
      <c r="GDC68" s="561" t="s">
        <v>1505</v>
      </c>
      <c r="GDD68" s="561" t="s">
        <v>1505</v>
      </c>
      <c r="GDE68" s="561" t="s">
        <v>1505</v>
      </c>
      <c r="GDF68" s="561" t="s">
        <v>1505</v>
      </c>
      <c r="GDG68" s="561" t="s">
        <v>1505</v>
      </c>
      <c r="GDH68" s="561" t="s">
        <v>1505</v>
      </c>
      <c r="GDI68" s="561" t="s">
        <v>1505</v>
      </c>
      <c r="GDJ68" s="561" t="s">
        <v>1505</v>
      </c>
      <c r="GDK68" s="561" t="s">
        <v>1505</v>
      </c>
      <c r="GDL68" s="561" t="s">
        <v>1505</v>
      </c>
      <c r="GDM68" s="561" t="s">
        <v>1505</v>
      </c>
      <c r="GDN68" s="561" t="s">
        <v>1505</v>
      </c>
      <c r="GDO68" s="561" t="s">
        <v>1505</v>
      </c>
      <c r="GDP68" s="561" t="s">
        <v>1505</v>
      </c>
      <c r="GDQ68" s="561" t="s">
        <v>1505</v>
      </c>
      <c r="GDR68" s="561" t="s">
        <v>1505</v>
      </c>
      <c r="GDS68" s="561" t="s">
        <v>1505</v>
      </c>
      <c r="GDT68" s="561" t="s">
        <v>1505</v>
      </c>
      <c r="GDU68" s="561" t="s">
        <v>1505</v>
      </c>
      <c r="GDV68" s="561" t="s">
        <v>1505</v>
      </c>
      <c r="GDW68" s="561" t="s">
        <v>1505</v>
      </c>
      <c r="GDX68" s="561" t="s">
        <v>1505</v>
      </c>
      <c r="GDY68" s="561" t="s">
        <v>1505</v>
      </c>
      <c r="GDZ68" s="561" t="s">
        <v>1505</v>
      </c>
      <c r="GEA68" s="561" t="s">
        <v>1505</v>
      </c>
      <c r="GEB68" s="561" t="s">
        <v>1505</v>
      </c>
      <c r="GEC68" s="561" t="s">
        <v>1505</v>
      </c>
      <c r="GED68" s="561" t="s">
        <v>1505</v>
      </c>
      <c r="GEE68" s="561" t="s">
        <v>1505</v>
      </c>
      <c r="GEF68" s="561" t="s">
        <v>1505</v>
      </c>
      <c r="GEG68" s="561" t="s">
        <v>1505</v>
      </c>
      <c r="GEH68" s="561" t="s">
        <v>1505</v>
      </c>
      <c r="GEI68" s="561" t="s">
        <v>1505</v>
      </c>
      <c r="GEJ68" s="561" t="s">
        <v>1505</v>
      </c>
      <c r="GEK68" s="561" t="s">
        <v>1505</v>
      </c>
      <c r="GEL68" s="561" t="s">
        <v>1505</v>
      </c>
      <c r="GEM68" s="561" t="s">
        <v>1505</v>
      </c>
      <c r="GEN68" s="561" t="s">
        <v>1505</v>
      </c>
      <c r="GEO68" s="561" t="s">
        <v>1505</v>
      </c>
      <c r="GEP68" s="561" t="s">
        <v>1505</v>
      </c>
      <c r="GEQ68" s="561" t="s">
        <v>1505</v>
      </c>
      <c r="GER68" s="561" t="s">
        <v>1505</v>
      </c>
      <c r="GES68" s="561" t="s">
        <v>1505</v>
      </c>
      <c r="GET68" s="561" t="s">
        <v>1505</v>
      </c>
      <c r="GEU68" s="561" t="s">
        <v>1505</v>
      </c>
      <c r="GEV68" s="561" t="s">
        <v>1505</v>
      </c>
      <c r="GEW68" s="561" t="s">
        <v>1505</v>
      </c>
      <c r="GEX68" s="561" t="s">
        <v>1505</v>
      </c>
      <c r="GEY68" s="561" t="s">
        <v>1505</v>
      </c>
      <c r="GEZ68" s="561" t="s">
        <v>1505</v>
      </c>
      <c r="GFA68" s="561" t="s">
        <v>1505</v>
      </c>
      <c r="GFB68" s="561" t="s">
        <v>1505</v>
      </c>
      <c r="GFC68" s="561" t="s">
        <v>1505</v>
      </c>
      <c r="GFD68" s="561" t="s">
        <v>1505</v>
      </c>
      <c r="GFE68" s="561" t="s">
        <v>1505</v>
      </c>
      <c r="GFF68" s="561" t="s">
        <v>1505</v>
      </c>
      <c r="GFG68" s="561" t="s">
        <v>1505</v>
      </c>
      <c r="GFH68" s="561" t="s">
        <v>1505</v>
      </c>
      <c r="GFI68" s="561" t="s">
        <v>1505</v>
      </c>
      <c r="GFJ68" s="561" t="s">
        <v>1505</v>
      </c>
      <c r="GFK68" s="561" t="s">
        <v>1505</v>
      </c>
      <c r="GFL68" s="561" t="s">
        <v>1505</v>
      </c>
      <c r="GFM68" s="561" t="s">
        <v>1505</v>
      </c>
      <c r="GFN68" s="561" t="s">
        <v>1505</v>
      </c>
      <c r="GFO68" s="561" t="s">
        <v>1505</v>
      </c>
      <c r="GFP68" s="561" t="s">
        <v>1505</v>
      </c>
      <c r="GFQ68" s="561" t="s">
        <v>1505</v>
      </c>
      <c r="GFR68" s="561" t="s">
        <v>1505</v>
      </c>
      <c r="GFS68" s="561" t="s">
        <v>1505</v>
      </c>
      <c r="GFT68" s="561" t="s">
        <v>1505</v>
      </c>
      <c r="GFU68" s="561" t="s">
        <v>1505</v>
      </c>
      <c r="GFV68" s="561" t="s">
        <v>1505</v>
      </c>
      <c r="GFW68" s="561" t="s">
        <v>1505</v>
      </c>
      <c r="GFX68" s="561" t="s">
        <v>1505</v>
      </c>
      <c r="GFY68" s="561" t="s">
        <v>1505</v>
      </c>
      <c r="GFZ68" s="561" t="s">
        <v>1505</v>
      </c>
      <c r="GGA68" s="561" t="s">
        <v>1505</v>
      </c>
      <c r="GGB68" s="561" t="s">
        <v>1505</v>
      </c>
      <c r="GGC68" s="561" t="s">
        <v>1505</v>
      </c>
      <c r="GGD68" s="561" t="s">
        <v>1505</v>
      </c>
      <c r="GGE68" s="561" t="s">
        <v>1505</v>
      </c>
      <c r="GGF68" s="561" t="s">
        <v>1505</v>
      </c>
      <c r="GGG68" s="561" t="s">
        <v>1505</v>
      </c>
      <c r="GGH68" s="561" t="s">
        <v>1505</v>
      </c>
      <c r="GGI68" s="561" t="s">
        <v>1505</v>
      </c>
      <c r="GGJ68" s="561" t="s">
        <v>1505</v>
      </c>
      <c r="GGK68" s="561" t="s">
        <v>1505</v>
      </c>
      <c r="GGL68" s="561" t="s">
        <v>1505</v>
      </c>
      <c r="GGM68" s="561" t="s">
        <v>1505</v>
      </c>
      <c r="GGN68" s="561" t="s">
        <v>1505</v>
      </c>
      <c r="GGO68" s="561" t="s">
        <v>1505</v>
      </c>
      <c r="GGP68" s="561" t="s">
        <v>1505</v>
      </c>
      <c r="GGQ68" s="561" t="s">
        <v>1505</v>
      </c>
      <c r="GGR68" s="561" t="s">
        <v>1505</v>
      </c>
      <c r="GGS68" s="561" t="s">
        <v>1505</v>
      </c>
      <c r="GGT68" s="561" t="s">
        <v>1505</v>
      </c>
      <c r="GGU68" s="561" t="s">
        <v>1505</v>
      </c>
      <c r="GGV68" s="561" t="s">
        <v>1505</v>
      </c>
      <c r="GGW68" s="561" t="s">
        <v>1505</v>
      </c>
      <c r="GGX68" s="561" t="s">
        <v>1505</v>
      </c>
      <c r="GGY68" s="561" t="s">
        <v>1505</v>
      </c>
      <c r="GGZ68" s="561" t="s">
        <v>1505</v>
      </c>
      <c r="GHA68" s="561" t="s">
        <v>1505</v>
      </c>
      <c r="GHB68" s="561" t="s">
        <v>1505</v>
      </c>
      <c r="GHC68" s="561" t="s">
        <v>1505</v>
      </c>
      <c r="GHD68" s="561" t="s">
        <v>1505</v>
      </c>
      <c r="GHE68" s="561" t="s">
        <v>1505</v>
      </c>
      <c r="GHF68" s="561" t="s">
        <v>1505</v>
      </c>
      <c r="GHG68" s="561" t="s">
        <v>1505</v>
      </c>
      <c r="GHH68" s="561" t="s">
        <v>1505</v>
      </c>
      <c r="GHI68" s="561" t="s">
        <v>1505</v>
      </c>
      <c r="GHJ68" s="561" t="s">
        <v>1505</v>
      </c>
      <c r="GHK68" s="561" t="s">
        <v>1505</v>
      </c>
      <c r="GHL68" s="561" t="s">
        <v>1505</v>
      </c>
      <c r="GHM68" s="561" t="s">
        <v>1505</v>
      </c>
      <c r="GHN68" s="561" t="s">
        <v>1505</v>
      </c>
      <c r="GHO68" s="561" t="s">
        <v>1505</v>
      </c>
      <c r="GHP68" s="561" t="s">
        <v>1505</v>
      </c>
      <c r="GHQ68" s="561" t="s">
        <v>1505</v>
      </c>
      <c r="GHR68" s="561" t="s">
        <v>1505</v>
      </c>
      <c r="GHS68" s="561" t="s">
        <v>1505</v>
      </c>
      <c r="GHT68" s="561" t="s">
        <v>1505</v>
      </c>
      <c r="GHU68" s="561" t="s">
        <v>1505</v>
      </c>
      <c r="GHV68" s="561" t="s">
        <v>1505</v>
      </c>
      <c r="GHW68" s="561" t="s">
        <v>1505</v>
      </c>
      <c r="GHX68" s="561" t="s">
        <v>1505</v>
      </c>
      <c r="GHY68" s="561" t="s">
        <v>1505</v>
      </c>
      <c r="GHZ68" s="561" t="s">
        <v>1505</v>
      </c>
      <c r="GIA68" s="561" t="s">
        <v>1505</v>
      </c>
      <c r="GIB68" s="561" t="s">
        <v>1505</v>
      </c>
      <c r="GIC68" s="561" t="s">
        <v>1505</v>
      </c>
      <c r="GID68" s="561" t="s">
        <v>1505</v>
      </c>
      <c r="GIE68" s="561" t="s">
        <v>1505</v>
      </c>
      <c r="GIF68" s="561" t="s">
        <v>1505</v>
      </c>
      <c r="GIG68" s="561" t="s">
        <v>1505</v>
      </c>
      <c r="GIH68" s="561" t="s">
        <v>1505</v>
      </c>
      <c r="GII68" s="561" t="s">
        <v>1505</v>
      </c>
      <c r="GIJ68" s="561" t="s">
        <v>1505</v>
      </c>
      <c r="GIK68" s="561" t="s">
        <v>1505</v>
      </c>
      <c r="GIL68" s="561" t="s">
        <v>1505</v>
      </c>
      <c r="GIM68" s="561" t="s">
        <v>1505</v>
      </c>
      <c r="GIN68" s="561" t="s">
        <v>1505</v>
      </c>
      <c r="GIO68" s="561" t="s">
        <v>1505</v>
      </c>
      <c r="GIP68" s="561" t="s">
        <v>1505</v>
      </c>
      <c r="GIQ68" s="561" t="s">
        <v>1505</v>
      </c>
      <c r="GIR68" s="561" t="s">
        <v>1505</v>
      </c>
      <c r="GIS68" s="561" t="s">
        <v>1505</v>
      </c>
      <c r="GIT68" s="561" t="s">
        <v>1505</v>
      </c>
      <c r="GIU68" s="561" t="s">
        <v>1505</v>
      </c>
      <c r="GIV68" s="561" t="s">
        <v>1505</v>
      </c>
      <c r="GIW68" s="561" t="s">
        <v>1505</v>
      </c>
      <c r="GIX68" s="561" t="s">
        <v>1505</v>
      </c>
      <c r="GIY68" s="561" t="s">
        <v>1505</v>
      </c>
      <c r="GIZ68" s="561" t="s">
        <v>1505</v>
      </c>
      <c r="GJA68" s="561" t="s">
        <v>1505</v>
      </c>
      <c r="GJB68" s="561" t="s">
        <v>1505</v>
      </c>
      <c r="GJC68" s="561" t="s">
        <v>1505</v>
      </c>
      <c r="GJD68" s="561" t="s">
        <v>1505</v>
      </c>
      <c r="GJE68" s="561" t="s">
        <v>1505</v>
      </c>
      <c r="GJF68" s="561" t="s">
        <v>1505</v>
      </c>
      <c r="GJG68" s="561" t="s">
        <v>1505</v>
      </c>
      <c r="GJH68" s="561" t="s">
        <v>1505</v>
      </c>
      <c r="GJI68" s="561" t="s">
        <v>1505</v>
      </c>
      <c r="GJJ68" s="561" t="s">
        <v>1505</v>
      </c>
      <c r="GJK68" s="561" t="s">
        <v>1505</v>
      </c>
      <c r="GJL68" s="561" t="s">
        <v>1505</v>
      </c>
      <c r="GJM68" s="561" t="s">
        <v>1505</v>
      </c>
      <c r="GJN68" s="561" t="s">
        <v>1505</v>
      </c>
      <c r="GJO68" s="561" t="s">
        <v>1505</v>
      </c>
      <c r="GJP68" s="561" t="s">
        <v>1505</v>
      </c>
      <c r="GJQ68" s="561" t="s">
        <v>1505</v>
      </c>
      <c r="GJR68" s="561" t="s">
        <v>1505</v>
      </c>
      <c r="GJS68" s="561" t="s">
        <v>1505</v>
      </c>
      <c r="GJT68" s="561" t="s">
        <v>1505</v>
      </c>
      <c r="GJU68" s="561" t="s">
        <v>1505</v>
      </c>
      <c r="GJV68" s="561" t="s">
        <v>1505</v>
      </c>
      <c r="GJW68" s="561" t="s">
        <v>1505</v>
      </c>
      <c r="GJX68" s="561" t="s">
        <v>1505</v>
      </c>
      <c r="GJY68" s="561" t="s">
        <v>1505</v>
      </c>
      <c r="GJZ68" s="561" t="s">
        <v>1505</v>
      </c>
      <c r="GKA68" s="561" t="s">
        <v>1505</v>
      </c>
      <c r="GKB68" s="561" t="s">
        <v>1505</v>
      </c>
      <c r="GKC68" s="561" t="s">
        <v>1505</v>
      </c>
      <c r="GKD68" s="561" t="s">
        <v>1505</v>
      </c>
      <c r="GKE68" s="561" t="s">
        <v>1505</v>
      </c>
      <c r="GKF68" s="561" t="s">
        <v>1505</v>
      </c>
      <c r="GKG68" s="561" t="s">
        <v>1505</v>
      </c>
      <c r="GKH68" s="561" t="s">
        <v>1505</v>
      </c>
      <c r="GKI68" s="561" t="s">
        <v>1505</v>
      </c>
      <c r="GKJ68" s="561" t="s">
        <v>1505</v>
      </c>
      <c r="GKK68" s="561" t="s">
        <v>1505</v>
      </c>
      <c r="GKL68" s="561" t="s">
        <v>1505</v>
      </c>
      <c r="GKM68" s="561" t="s">
        <v>1505</v>
      </c>
      <c r="GKN68" s="561" t="s">
        <v>1505</v>
      </c>
      <c r="GKO68" s="561" t="s">
        <v>1505</v>
      </c>
      <c r="GKP68" s="561" t="s">
        <v>1505</v>
      </c>
      <c r="GKQ68" s="561" t="s">
        <v>1505</v>
      </c>
      <c r="GKR68" s="561" t="s">
        <v>1505</v>
      </c>
      <c r="GKS68" s="561" t="s">
        <v>1505</v>
      </c>
      <c r="GKT68" s="561" t="s">
        <v>1505</v>
      </c>
      <c r="GKU68" s="561" t="s">
        <v>1505</v>
      </c>
      <c r="GKV68" s="561" t="s">
        <v>1505</v>
      </c>
      <c r="GKW68" s="561" t="s">
        <v>1505</v>
      </c>
      <c r="GKX68" s="561" t="s">
        <v>1505</v>
      </c>
      <c r="GKY68" s="561" t="s">
        <v>1505</v>
      </c>
      <c r="GKZ68" s="561" t="s">
        <v>1505</v>
      </c>
      <c r="GLA68" s="561" t="s">
        <v>1505</v>
      </c>
      <c r="GLB68" s="561" t="s">
        <v>1505</v>
      </c>
      <c r="GLC68" s="561" t="s">
        <v>1505</v>
      </c>
      <c r="GLD68" s="561" t="s">
        <v>1505</v>
      </c>
      <c r="GLE68" s="561" t="s">
        <v>1505</v>
      </c>
      <c r="GLF68" s="561" t="s">
        <v>1505</v>
      </c>
      <c r="GLG68" s="561" t="s">
        <v>1505</v>
      </c>
      <c r="GLH68" s="561" t="s">
        <v>1505</v>
      </c>
      <c r="GLI68" s="561" t="s">
        <v>1505</v>
      </c>
      <c r="GLJ68" s="561" t="s">
        <v>1505</v>
      </c>
      <c r="GLK68" s="561" t="s">
        <v>1505</v>
      </c>
      <c r="GLL68" s="561" t="s">
        <v>1505</v>
      </c>
      <c r="GLM68" s="561" t="s">
        <v>1505</v>
      </c>
      <c r="GLN68" s="561" t="s">
        <v>1505</v>
      </c>
      <c r="GLO68" s="561" t="s">
        <v>1505</v>
      </c>
      <c r="GLP68" s="561" t="s">
        <v>1505</v>
      </c>
      <c r="GLQ68" s="561" t="s">
        <v>1505</v>
      </c>
      <c r="GLR68" s="561" t="s">
        <v>1505</v>
      </c>
      <c r="GLS68" s="561" t="s">
        <v>1505</v>
      </c>
      <c r="GLT68" s="561" t="s">
        <v>1505</v>
      </c>
      <c r="GLU68" s="561" t="s">
        <v>1505</v>
      </c>
      <c r="GLV68" s="561" t="s">
        <v>1505</v>
      </c>
      <c r="GLW68" s="561" t="s">
        <v>1505</v>
      </c>
      <c r="GLX68" s="561" t="s">
        <v>1505</v>
      </c>
      <c r="GLY68" s="561" t="s">
        <v>1505</v>
      </c>
      <c r="GLZ68" s="561" t="s">
        <v>1505</v>
      </c>
      <c r="GMA68" s="561" t="s">
        <v>1505</v>
      </c>
      <c r="GMB68" s="561" t="s">
        <v>1505</v>
      </c>
      <c r="GMC68" s="561" t="s">
        <v>1505</v>
      </c>
      <c r="GMD68" s="561" t="s">
        <v>1505</v>
      </c>
      <c r="GME68" s="561" t="s">
        <v>1505</v>
      </c>
      <c r="GMF68" s="561" t="s">
        <v>1505</v>
      </c>
      <c r="GMG68" s="561" t="s">
        <v>1505</v>
      </c>
      <c r="GMH68" s="561" t="s">
        <v>1505</v>
      </c>
      <c r="GMI68" s="561" t="s">
        <v>1505</v>
      </c>
      <c r="GMJ68" s="561" t="s">
        <v>1505</v>
      </c>
      <c r="GMK68" s="561" t="s">
        <v>1505</v>
      </c>
      <c r="GML68" s="561" t="s">
        <v>1505</v>
      </c>
      <c r="GMM68" s="561" t="s">
        <v>1505</v>
      </c>
      <c r="GMN68" s="561" t="s">
        <v>1505</v>
      </c>
      <c r="GMO68" s="561" t="s">
        <v>1505</v>
      </c>
      <c r="GMP68" s="561" t="s">
        <v>1505</v>
      </c>
      <c r="GMQ68" s="561" t="s">
        <v>1505</v>
      </c>
      <c r="GMR68" s="561" t="s">
        <v>1505</v>
      </c>
      <c r="GMS68" s="561" t="s">
        <v>1505</v>
      </c>
      <c r="GMT68" s="561" t="s">
        <v>1505</v>
      </c>
      <c r="GMU68" s="561" t="s">
        <v>1505</v>
      </c>
      <c r="GMV68" s="561" t="s">
        <v>1505</v>
      </c>
      <c r="GMW68" s="561" t="s">
        <v>1505</v>
      </c>
      <c r="GMX68" s="561" t="s">
        <v>1505</v>
      </c>
      <c r="GMY68" s="561" t="s">
        <v>1505</v>
      </c>
      <c r="GMZ68" s="561" t="s">
        <v>1505</v>
      </c>
      <c r="GNA68" s="561" t="s">
        <v>1505</v>
      </c>
      <c r="GNB68" s="561" t="s">
        <v>1505</v>
      </c>
      <c r="GNC68" s="561" t="s">
        <v>1505</v>
      </c>
      <c r="GND68" s="561" t="s">
        <v>1505</v>
      </c>
      <c r="GNE68" s="561" t="s">
        <v>1505</v>
      </c>
      <c r="GNF68" s="561" t="s">
        <v>1505</v>
      </c>
      <c r="GNG68" s="561" t="s">
        <v>1505</v>
      </c>
      <c r="GNH68" s="561" t="s">
        <v>1505</v>
      </c>
      <c r="GNI68" s="561" t="s">
        <v>1505</v>
      </c>
      <c r="GNJ68" s="561" t="s">
        <v>1505</v>
      </c>
      <c r="GNK68" s="561" t="s">
        <v>1505</v>
      </c>
      <c r="GNL68" s="561" t="s">
        <v>1505</v>
      </c>
      <c r="GNM68" s="561" t="s">
        <v>1505</v>
      </c>
      <c r="GNN68" s="561" t="s">
        <v>1505</v>
      </c>
      <c r="GNO68" s="561" t="s">
        <v>1505</v>
      </c>
      <c r="GNP68" s="561" t="s">
        <v>1505</v>
      </c>
      <c r="GNQ68" s="561" t="s">
        <v>1505</v>
      </c>
      <c r="GNR68" s="561" t="s">
        <v>1505</v>
      </c>
      <c r="GNS68" s="561" t="s">
        <v>1505</v>
      </c>
      <c r="GNT68" s="561" t="s">
        <v>1505</v>
      </c>
      <c r="GNU68" s="561" t="s">
        <v>1505</v>
      </c>
      <c r="GNV68" s="561" t="s">
        <v>1505</v>
      </c>
      <c r="GNW68" s="561" t="s">
        <v>1505</v>
      </c>
      <c r="GNX68" s="561" t="s">
        <v>1505</v>
      </c>
      <c r="GNY68" s="561" t="s">
        <v>1505</v>
      </c>
      <c r="GNZ68" s="561" t="s">
        <v>1505</v>
      </c>
      <c r="GOA68" s="561" t="s">
        <v>1505</v>
      </c>
      <c r="GOB68" s="561" t="s">
        <v>1505</v>
      </c>
      <c r="GOC68" s="561" t="s">
        <v>1505</v>
      </c>
      <c r="GOD68" s="561" t="s">
        <v>1505</v>
      </c>
      <c r="GOE68" s="561" t="s">
        <v>1505</v>
      </c>
      <c r="GOF68" s="561" t="s">
        <v>1505</v>
      </c>
      <c r="GOG68" s="561" t="s">
        <v>1505</v>
      </c>
      <c r="GOH68" s="561" t="s">
        <v>1505</v>
      </c>
      <c r="GOI68" s="561" t="s">
        <v>1505</v>
      </c>
      <c r="GOJ68" s="561" t="s">
        <v>1505</v>
      </c>
      <c r="GOK68" s="561" t="s">
        <v>1505</v>
      </c>
      <c r="GOL68" s="561" t="s">
        <v>1505</v>
      </c>
      <c r="GOM68" s="561" t="s">
        <v>1505</v>
      </c>
      <c r="GON68" s="561" t="s">
        <v>1505</v>
      </c>
      <c r="GOO68" s="561" t="s">
        <v>1505</v>
      </c>
      <c r="GOP68" s="561" t="s">
        <v>1505</v>
      </c>
      <c r="GOQ68" s="561" t="s">
        <v>1505</v>
      </c>
      <c r="GOR68" s="561" t="s">
        <v>1505</v>
      </c>
      <c r="GOS68" s="561" t="s">
        <v>1505</v>
      </c>
      <c r="GOT68" s="561" t="s">
        <v>1505</v>
      </c>
      <c r="GOU68" s="561" t="s">
        <v>1505</v>
      </c>
      <c r="GOV68" s="561" t="s">
        <v>1505</v>
      </c>
      <c r="GOW68" s="561" t="s">
        <v>1505</v>
      </c>
      <c r="GOX68" s="561" t="s">
        <v>1505</v>
      </c>
      <c r="GOY68" s="561" t="s">
        <v>1505</v>
      </c>
      <c r="GOZ68" s="561" t="s">
        <v>1505</v>
      </c>
      <c r="GPA68" s="561" t="s">
        <v>1505</v>
      </c>
      <c r="GPB68" s="561" t="s">
        <v>1505</v>
      </c>
      <c r="GPC68" s="561" t="s">
        <v>1505</v>
      </c>
      <c r="GPD68" s="561" t="s">
        <v>1505</v>
      </c>
      <c r="GPE68" s="561" t="s">
        <v>1505</v>
      </c>
      <c r="GPF68" s="561" t="s">
        <v>1505</v>
      </c>
      <c r="GPG68" s="561" t="s">
        <v>1505</v>
      </c>
      <c r="GPH68" s="561" t="s">
        <v>1505</v>
      </c>
      <c r="GPI68" s="561" t="s">
        <v>1505</v>
      </c>
      <c r="GPJ68" s="561" t="s">
        <v>1505</v>
      </c>
      <c r="GPK68" s="561" t="s">
        <v>1505</v>
      </c>
      <c r="GPL68" s="561" t="s">
        <v>1505</v>
      </c>
      <c r="GPM68" s="561" t="s">
        <v>1505</v>
      </c>
      <c r="GPN68" s="561" t="s">
        <v>1505</v>
      </c>
      <c r="GPO68" s="561" t="s">
        <v>1505</v>
      </c>
      <c r="GPP68" s="561" t="s">
        <v>1505</v>
      </c>
      <c r="GPQ68" s="561" t="s">
        <v>1505</v>
      </c>
      <c r="GPR68" s="561" t="s">
        <v>1505</v>
      </c>
      <c r="GPS68" s="561" t="s">
        <v>1505</v>
      </c>
      <c r="GPT68" s="561" t="s">
        <v>1505</v>
      </c>
      <c r="GPU68" s="561" t="s">
        <v>1505</v>
      </c>
      <c r="GPV68" s="561" t="s">
        <v>1505</v>
      </c>
      <c r="GPW68" s="561" t="s">
        <v>1505</v>
      </c>
      <c r="GPX68" s="561" t="s">
        <v>1505</v>
      </c>
      <c r="GPY68" s="561" t="s">
        <v>1505</v>
      </c>
      <c r="GPZ68" s="561" t="s">
        <v>1505</v>
      </c>
      <c r="GQA68" s="561" t="s">
        <v>1505</v>
      </c>
      <c r="GQB68" s="561" t="s">
        <v>1505</v>
      </c>
      <c r="GQC68" s="561" t="s">
        <v>1505</v>
      </c>
      <c r="GQD68" s="561" t="s">
        <v>1505</v>
      </c>
      <c r="GQE68" s="561" t="s">
        <v>1505</v>
      </c>
      <c r="GQF68" s="561" t="s">
        <v>1505</v>
      </c>
      <c r="GQG68" s="561" t="s">
        <v>1505</v>
      </c>
      <c r="GQH68" s="561" t="s">
        <v>1505</v>
      </c>
      <c r="GQI68" s="561" t="s">
        <v>1505</v>
      </c>
      <c r="GQJ68" s="561" t="s">
        <v>1505</v>
      </c>
      <c r="GQK68" s="561" t="s">
        <v>1505</v>
      </c>
      <c r="GQL68" s="561" t="s">
        <v>1505</v>
      </c>
      <c r="GQM68" s="561" t="s">
        <v>1505</v>
      </c>
      <c r="GQN68" s="561" t="s">
        <v>1505</v>
      </c>
      <c r="GQO68" s="561" t="s">
        <v>1505</v>
      </c>
      <c r="GQP68" s="561" t="s">
        <v>1505</v>
      </c>
      <c r="GQQ68" s="561" t="s">
        <v>1505</v>
      </c>
      <c r="GQR68" s="561" t="s">
        <v>1505</v>
      </c>
      <c r="GQS68" s="561" t="s">
        <v>1505</v>
      </c>
      <c r="GQT68" s="561" t="s">
        <v>1505</v>
      </c>
      <c r="GQU68" s="561" t="s">
        <v>1505</v>
      </c>
      <c r="GQV68" s="561" t="s">
        <v>1505</v>
      </c>
      <c r="GQW68" s="561" t="s">
        <v>1505</v>
      </c>
      <c r="GQX68" s="561" t="s">
        <v>1505</v>
      </c>
      <c r="GQY68" s="561" t="s">
        <v>1505</v>
      </c>
      <c r="GQZ68" s="561" t="s">
        <v>1505</v>
      </c>
      <c r="GRA68" s="561" t="s">
        <v>1505</v>
      </c>
      <c r="GRB68" s="561" t="s">
        <v>1505</v>
      </c>
      <c r="GRC68" s="561" t="s">
        <v>1505</v>
      </c>
      <c r="GRD68" s="561" t="s">
        <v>1505</v>
      </c>
      <c r="GRE68" s="561" t="s">
        <v>1505</v>
      </c>
      <c r="GRF68" s="561" t="s">
        <v>1505</v>
      </c>
      <c r="GRG68" s="561" t="s">
        <v>1505</v>
      </c>
      <c r="GRH68" s="561" t="s">
        <v>1505</v>
      </c>
      <c r="GRI68" s="561" t="s">
        <v>1505</v>
      </c>
      <c r="GRJ68" s="561" t="s">
        <v>1505</v>
      </c>
      <c r="GRK68" s="561" t="s">
        <v>1505</v>
      </c>
      <c r="GRL68" s="561" t="s">
        <v>1505</v>
      </c>
      <c r="GRM68" s="561" t="s">
        <v>1505</v>
      </c>
      <c r="GRN68" s="561" t="s">
        <v>1505</v>
      </c>
      <c r="GRO68" s="561" t="s">
        <v>1505</v>
      </c>
      <c r="GRP68" s="561" t="s">
        <v>1505</v>
      </c>
      <c r="GRQ68" s="561" t="s">
        <v>1505</v>
      </c>
      <c r="GRR68" s="561" t="s">
        <v>1505</v>
      </c>
      <c r="GRS68" s="561" t="s">
        <v>1505</v>
      </c>
      <c r="GRT68" s="561" t="s">
        <v>1505</v>
      </c>
      <c r="GRU68" s="561" t="s">
        <v>1505</v>
      </c>
      <c r="GRV68" s="561" t="s">
        <v>1505</v>
      </c>
      <c r="GRW68" s="561" t="s">
        <v>1505</v>
      </c>
      <c r="GRX68" s="561" t="s">
        <v>1505</v>
      </c>
      <c r="GRY68" s="561" t="s">
        <v>1505</v>
      </c>
      <c r="GRZ68" s="561" t="s">
        <v>1505</v>
      </c>
      <c r="GSA68" s="561" t="s">
        <v>1505</v>
      </c>
      <c r="GSB68" s="561" t="s">
        <v>1505</v>
      </c>
      <c r="GSC68" s="561" t="s">
        <v>1505</v>
      </c>
      <c r="GSD68" s="561" t="s">
        <v>1505</v>
      </c>
      <c r="GSE68" s="561" t="s">
        <v>1505</v>
      </c>
      <c r="GSF68" s="561" t="s">
        <v>1505</v>
      </c>
      <c r="GSG68" s="561" t="s">
        <v>1505</v>
      </c>
      <c r="GSH68" s="561" t="s">
        <v>1505</v>
      </c>
      <c r="GSI68" s="561" t="s">
        <v>1505</v>
      </c>
      <c r="GSJ68" s="561" t="s">
        <v>1505</v>
      </c>
      <c r="GSK68" s="561" t="s">
        <v>1505</v>
      </c>
      <c r="GSL68" s="561" t="s">
        <v>1505</v>
      </c>
      <c r="GSM68" s="561" t="s">
        <v>1505</v>
      </c>
      <c r="GSN68" s="561" t="s">
        <v>1505</v>
      </c>
      <c r="GSO68" s="561" t="s">
        <v>1505</v>
      </c>
      <c r="GSP68" s="561" t="s">
        <v>1505</v>
      </c>
      <c r="GSQ68" s="561" t="s">
        <v>1505</v>
      </c>
      <c r="GSR68" s="561" t="s">
        <v>1505</v>
      </c>
      <c r="GSS68" s="561" t="s">
        <v>1505</v>
      </c>
      <c r="GST68" s="561" t="s">
        <v>1505</v>
      </c>
      <c r="GSU68" s="561" t="s">
        <v>1505</v>
      </c>
      <c r="GSV68" s="561" t="s">
        <v>1505</v>
      </c>
      <c r="GSW68" s="561" t="s">
        <v>1505</v>
      </c>
      <c r="GSX68" s="561" t="s">
        <v>1505</v>
      </c>
      <c r="GSY68" s="561" t="s">
        <v>1505</v>
      </c>
      <c r="GSZ68" s="561" t="s">
        <v>1505</v>
      </c>
      <c r="GTA68" s="561" t="s">
        <v>1505</v>
      </c>
      <c r="GTB68" s="561" t="s">
        <v>1505</v>
      </c>
      <c r="GTC68" s="561" t="s">
        <v>1505</v>
      </c>
      <c r="GTD68" s="561" t="s">
        <v>1505</v>
      </c>
      <c r="GTE68" s="561" t="s">
        <v>1505</v>
      </c>
      <c r="GTF68" s="561" t="s">
        <v>1505</v>
      </c>
      <c r="GTG68" s="561" t="s">
        <v>1505</v>
      </c>
      <c r="GTH68" s="561" t="s">
        <v>1505</v>
      </c>
      <c r="GTI68" s="561" t="s">
        <v>1505</v>
      </c>
      <c r="GTJ68" s="561" t="s">
        <v>1505</v>
      </c>
      <c r="GTK68" s="561" t="s">
        <v>1505</v>
      </c>
      <c r="GTL68" s="561" t="s">
        <v>1505</v>
      </c>
      <c r="GTM68" s="561" t="s">
        <v>1505</v>
      </c>
      <c r="GTN68" s="561" t="s">
        <v>1505</v>
      </c>
      <c r="GTO68" s="561" t="s">
        <v>1505</v>
      </c>
      <c r="GTP68" s="561" t="s">
        <v>1505</v>
      </c>
      <c r="GTQ68" s="561" t="s">
        <v>1505</v>
      </c>
      <c r="GTR68" s="561" t="s">
        <v>1505</v>
      </c>
      <c r="GTS68" s="561" t="s">
        <v>1505</v>
      </c>
      <c r="GTT68" s="561" t="s">
        <v>1505</v>
      </c>
      <c r="GTU68" s="561" t="s">
        <v>1505</v>
      </c>
      <c r="GTV68" s="561" t="s">
        <v>1505</v>
      </c>
      <c r="GTW68" s="561" t="s">
        <v>1505</v>
      </c>
      <c r="GTX68" s="561" t="s">
        <v>1505</v>
      </c>
      <c r="GTY68" s="561" t="s">
        <v>1505</v>
      </c>
      <c r="GTZ68" s="561" t="s">
        <v>1505</v>
      </c>
      <c r="GUA68" s="561" t="s">
        <v>1505</v>
      </c>
      <c r="GUB68" s="561" t="s">
        <v>1505</v>
      </c>
      <c r="GUC68" s="561" t="s">
        <v>1505</v>
      </c>
      <c r="GUD68" s="561" t="s">
        <v>1505</v>
      </c>
      <c r="GUE68" s="561" t="s">
        <v>1505</v>
      </c>
      <c r="GUF68" s="561" t="s">
        <v>1505</v>
      </c>
      <c r="GUG68" s="561" t="s">
        <v>1505</v>
      </c>
      <c r="GUH68" s="561" t="s">
        <v>1505</v>
      </c>
      <c r="GUI68" s="561" t="s">
        <v>1505</v>
      </c>
      <c r="GUJ68" s="561" t="s">
        <v>1505</v>
      </c>
      <c r="GUK68" s="561" t="s">
        <v>1505</v>
      </c>
      <c r="GUL68" s="561" t="s">
        <v>1505</v>
      </c>
      <c r="GUM68" s="561" t="s">
        <v>1505</v>
      </c>
      <c r="GUN68" s="561" t="s">
        <v>1505</v>
      </c>
      <c r="GUO68" s="561" t="s">
        <v>1505</v>
      </c>
      <c r="GUP68" s="561" t="s">
        <v>1505</v>
      </c>
      <c r="GUQ68" s="561" t="s">
        <v>1505</v>
      </c>
      <c r="GUR68" s="561" t="s">
        <v>1505</v>
      </c>
      <c r="GUS68" s="561" t="s">
        <v>1505</v>
      </c>
      <c r="GUT68" s="561" t="s">
        <v>1505</v>
      </c>
      <c r="GUU68" s="561" t="s">
        <v>1505</v>
      </c>
      <c r="GUV68" s="561" t="s">
        <v>1505</v>
      </c>
      <c r="GUW68" s="561" t="s">
        <v>1505</v>
      </c>
      <c r="GUX68" s="561" t="s">
        <v>1505</v>
      </c>
      <c r="GUY68" s="561" t="s">
        <v>1505</v>
      </c>
      <c r="GUZ68" s="561" t="s">
        <v>1505</v>
      </c>
      <c r="GVA68" s="561" t="s">
        <v>1505</v>
      </c>
      <c r="GVB68" s="561" t="s">
        <v>1505</v>
      </c>
      <c r="GVC68" s="561" t="s">
        <v>1505</v>
      </c>
      <c r="GVD68" s="561" t="s">
        <v>1505</v>
      </c>
      <c r="GVE68" s="561" t="s">
        <v>1505</v>
      </c>
      <c r="GVF68" s="561" t="s">
        <v>1505</v>
      </c>
      <c r="GVG68" s="561" t="s">
        <v>1505</v>
      </c>
      <c r="GVH68" s="561" t="s">
        <v>1505</v>
      </c>
      <c r="GVI68" s="561" t="s">
        <v>1505</v>
      </c>
      <c r="GVJ68" s="561" t="s">
        <v>1505</v>
      </c>
      <c r="GVK68" s="561" t="s">
        <v>1505</v>
      </c>
      <c r="GVL68" s="561" t="s">
        <v>1505</v>
      </c>
      <c r="GVM68" s="561" t="s">
        <v>1505</v>
      </c>
      <c r="GVN68" s="561" t="s">
        <v>1505</v>
      </c>
      <c r="GVO68" s="561" t="s">
        <v>1505</v>
      </c>
      <c r="GVP68" s="561" t="s">
        <v>1505</v>
      </c>
      <c r="GVQ68" s="561" t="s">
        <v>1505</v>
      </c>
      <c r="GVR68" s="561" t="s">
        <v>1505</v>
      </c>
      <c r="GVS68" s="561" t="s">
        <v>1505</v>
      </c>
      <c r="GVT68" s="561" t="s">
        <v>1505</v>
      </c>
      <c r="GVU68" s="561" t="s">
        <v>1505</v>
      </c>
      <c r="GVV68" s="561" t="s">
        <v>1505</v>
      </c>
      <c r="GVW68" s="561" t="s">
        <v>1505</v>
      </c>
      <c r="GVX68" s="561" t="s">
        <v>1505</v>
      </c>
      <c r="GVY68" s="561" t="s">
        <v>1505</v>
      </c>
      <c r="GVZ68" s="561" t="s">
        <v>1505</v>
      </c>
      <c r="GWA68" s="561" t="s">
        <v>1505</v>
      </c>
      <c r="GWB68" s="561" t="s">
        <v>1505</v>
      </c>
      <c r="GWC68" s="561" t="s">
        <v>1505</v>
      </c>
      <c r="GWD68" s="561" t="s">
        <v>1505</v>
      </c>
      <c r="GWE68" s="561" t="s">
        <v>1505</v>
      </c>
      <c r="GWF68" s="561" t="s">
        <v>1505</v>
      </c>
      <c r="GWG68" s="561" t="s">
        <v>1505</v>
      </c>
      <c r="GWH68" s="561" t="s">
        <v>1505</v>
      </c>
      <c r="GWI68" s="561" t="s">
        <v>1505</v>
      </c>
      <c r="GWJ68" s="561" t="s">
        <v>1505</v>
      </c>
      <c r="GWK68" s="561" t="s">
        <v>1505</v>
      </c>
      <c r="GWL68" s="561" t="s">
        <v>1505</v>
      </c>
      <c r="GWM68" s="561" t="s">
        <v>1505</v>
      </c>
      <c r="GWN68" s="561" t="s">
        <v>1505</v>
      </c>
      <c r="GWO68" s="561" t="s">
        <v>1505</v>
      </c>
      <c r="GWP68" s="561" t="s">
        <v>1505</v>
      </c>
      <c r="GWQ68" s="561" t="s">
        <v>1505</v>
      </c>
      <c r="GWR68" s="561" t="s">
        <v>1505</v>
      </c>
      <c r="GWS68" s="561" t="s">
        <v>1505</v>
      </c>
      <c r="GWT68" s="561" t="s">
        <v>1505</v>
      </c>
      <c r="GWU68" s="561" t="s">
        <v>1505</v>
      </c>
      <c r="GWV68" s="561" t="s">
        <v>1505</v>
      </c>
      <c r="GWW68" s="561" t="s">
        <v>1505</v>
      </c>
      <c r="GWX68" s="561" t="s">
        <v>1505</v>
      </c>
      <c r="GWY68" s="561" t="s">
        <v>1505</v>
      </c>
      <c r="GWZ68" s="561" t="s">
        <v>1505</v>
      </c>
      <c r="GXA68" s="561" t="s">
        <v>1505</v>
      </c>
      <c r="GXB68" s="561" t="s">
        <v>1505</v>
      </c>
      <c r="GXC68" s="561" t="s">
        <v>1505</v>
      </c>
      <c r="GXD68" s="561" t="s">
        <v>1505</v>
      </c>
      <c r="GXE68" s="561" t="s">
        <v>1505</v>
      </c>
      <c r="GXF68" s="561" t="s">
        <v>1505</v>
      </c>
      <c r="GXG68" s="561" t="s">
        <v>1505</v>
      </c>
      <c r="GXH68" s="561" t="s">
        <v>1505</v>
      </c>
      <c r="GXI68" s="561" t="s">
        <v>1505</v>
      </c>
      <c r="GXJ68" s="561" t="s">
        <v>1505</v>
      </c>
      <c r="GXK68" s="561" t="s">
        <v>1505</v>
      </c>
      <c r="GXL68" s="561" t="s">
        <v>1505</v>
      </c>
      <c r="GXM68" s="561" t="s">
        <v>1505</v>
      </c>
      <c r="GXN68" s="561" t="s">
        <v>1505</v>
      </c>
      <c r="GXO68" s="561" t="s">
        <v>1505</v>
      </c>
      <c r="GXP68" s="561" t="s">
        <v>1505</v>
      </c>
      <c r="GXQ68" s="561" t="s">
        <v>1505</v>
      </c>
      <c r="GXR68" s="561" t="s">
        <v>1505</v>
      </c>
      <c r="GXS68" s="561" t="s">
        <v>1505</v>
      </c>
      <c r="GXT68" s="561" t="s">
        <v>1505</v>
      </c>
      <c r="GXU68" s="561" t="s">
        <v>1505</v>
      </c>
      <c r="GXV68" s="561" t="s">
        <v>1505</v>
      </c>
      <c r="GXW68" s="561" t="s">
        <v>1505</v>
      </c>
      <c r="GXX68" s="561" t="s">
        <v>1505</v>
      </c>
      <c r="GXY68" s="561" t="s">
        <v>1505</v>
      </c>
      <c r="GXZ68" s="561" t="s">
        <v>1505</v>
      </c>
      <c r="GYA68" s="561" t="s">
        <v>1505</v>
      </c>
      <c r="GYB68" s="561" t="s">
        <v>1505</v>
      </c>
      <c r="GYC68" s="561" t="s">
        <v>1505</v>
      </c>
      <c r="GYD68" s="561" t="s">
        <v>1505</v>
      </c>
      <c r="GYE68" s="561" t="s">
        <v>1505</v>
      </c>
      <c r="GYF68" s="561" t="s">
        <v>1505</v>
      </c>
      <c r="GYG68" s="561" t="s">
        <v>1505</v>
      </c>
      <c r="GYH68" s="561" t="s">
        <v>1505</v>
      </c>
      <c r="GYI68" s="561" t="s">
        <v>1505</v>
      </c>
      <c r="GYJ68" s="561" t="s">
        <v>1505</v>
      </c>
      <c r="GYK68" s="561" t="s">
        <v>1505</v>
      </c>
      <c r="GYL68" s="561" t="s">
        <v>1505</v>
      </c>
      <c r="GYM68" s="561" t="s">
        <v>1505</v>
      </c>
      <c r="GYN68" s="561" t="s">
        <v>1505</v>
      </c>
      <c r="GYO68" s="561" t="s">
        <v>1505</v>
      </c>
      <c r="GYP68" s="561" t="s">
        <v>1505</v>
      </c>
      <c r="GYQ68" s="561" t="s">
        <v>1505</v>
      </c>
      <c r="GYR68" s="561" t="s">
        <v>1505</v>
      </c>
      <c r="GYS68" s="561" t="s">
        <v>1505</v>
      </c>
      <c r="GYT68" s="561" t="s">
        <v>1505</v>
      </c>
      <c r="GYU68" s="561" t="s">
        <v>1505</v>
      </c>
      <c r="GYV68" s="561" t="s">
        <v>1505</v>
      </c>
      <c r="GYW68" s="561" t="s">
        <v>1505</v>
      </c>
      <c r="GYX68" s="561" t="s">
        <v>1505</v>
      </c>
      <c r="GYY68" s="561" t="s">
        <v>1505</v>
      </c>
      <c r="GYZ68" s="561" t="s">
        <v>1505</v>
      </c>
      <c r="GZA68" s="561" t="s">
        <v>1505</v>
      </c>
      <c r="GZB68" s="561" t="s">
        <v>1505</v>
      </c>
      <c r="GZC68" s="561" t="s">
        <v>1505</v>
      </c>
      <c r="GZD68" s="561" t="s">
        <v>1505</v>
      </c>
      <c r="GZE68" s="561" t="s">
        <v>1505</v>
      </c>
      <c r="GZF68" s="561" t="s">
        <v>1505</v>
      </c>
      <c r="GZG68" s="561" t="s">
        <v>1505</v>
      </c>
      <c r="GZH68" s="561" t="s">
        <v>1505</v>
      </c>
      <c r="GZI68" s="561" t="s">
        <v>1505</v>
      </c>
      <c r="GZJ68" s="561" t="s">
        <v>1505</v>
      </c>
      <c r="GZK68" s="561" t="s">
        <v>1505</v>
      </c>
      <c r="GZL68" s="561" t="s">
        <v>1505</v>
      </c>
      <c r="GZM68" s="561" t="s">
        <v>1505</v>
      </c>
      <c r="GZN68" s="561" t="s">
        <v>1505</v>
      </c>
      <c r="GZO68" s="561" t="s">
        <v>1505</v>
      </c>
      <c r="GZP68" s="561" t="s">
        <v>1505</v>
      </c>
      <c r="GZQ68" s="561" t="s">
        <v>1505</v>
      </c>
      <c r="GZR68" s="561" t="s">
        <v>1505</v>
      </c>
      <c r="GZS68" s="561" t="s">
        <v>1505</v>
      </c>
      <c r="GZT68" s="561" t="s">
        <v>1505</v>
      </c>
      <c r="GZU68" s="561" t="s">
        <v>1505</v>
      </c>
      <c r="GZV68" s="561" t="s">
        <v>1505</v>
      </c>
      <c r="GZW68" s="561" t="s">
        <v>1505</v>
      </c>
      <c r="GZX68" s="561" t="s">
        <v>1505</v>
      </c>
      <c r="GZY68" s="561" t="s">
        <v>1505</v>
      </c>
      <c r="GZZ68" s="561" t="s">
        <v>1505</v>
      </c>
      <c r="HAA68" s="561" t="s">
        <v>1505</v>
      </c>
      <c r="HAB68" s="561" t="s">
        <v>1505</v>
      </c>
      <c r="HAC68" s="561" t="s">
        <v>1505</v>
      </c>
      <c r="HAD68" s="561" t="s">
        <v>1505</v>
      </c>
      <c r="HAE68" s="561" t="s">
        <v>1505</v>
      </c>
      <c r="HAF68" s="561" t="s">
        <v>1505</v>
      </c>
      <c r="HAG68" s="561" t="s">
        <v>1505</v>
      </c>
      <c r="HAH68" s="561" t="s">
        <v>1505</v>
      </c>
      <c r="HAI68" s="561" t="s">
        <v>1505</v>
      </c>
      <c r="HAJ68" s="561" t="s">
        <v>1505</v>
      </c>
      <c r="HAK68" s="561" t="s">
        <v>1505</v>
      </c>
      <c r="HAL68" s="561" t="s">
        <v>1505</v>
      </c>
      <c r="HAM68" s="561" t="s">
        <v>1505</v>
      </c>
      <c r="HAN68" s="561" t="s">
        <v>1505</v>
      </c>
      <c r="HAO68" s="561" t="s">
        <v>1505</v>
      </c>
      <c r="HAP68" s="561" t="s">
        <v>1505</v>
      </c>
      <c r="HAQ68" s="561" t="s">
        <v>1505</v>
      </c>
      <c r="HAR68" s="561" t="s">
        <v>1505</v>
      </c>
      <c r="HAS68" s="561" t="s">
        <v>1505</v>
      </c>
      <c r="HAT68" s="561" t="s">
        <v>1505</v>
      </c>
      <c r="HAU68" s="561" t="s">
        <v>1505</v>
      </c>
      <c r="HAV68" s="561" t="s">
        <v>1505</v>
      </c>
      <c r="HAW68" s="561" t="s">
        <v>1505</v>
      </c>
      <c r="HAX68" s="561" t="s">
        <v>1505</v>
      </c>
      <c r="HAY68" s="561" t="s">
        <v>1505</v>
      </c>
      <c r="HAZ68" s="561" t="s">
        <v>1505</v>
      </c>
      <c r="HBA68" s="561" t="s">
        <v>1505</v>
      </c>
      <c r="HBB68" s="561" t="s">
        <v>1505</v>
      </c>
      <c r="HBC68" s="561" t="s">
        <v>1505</v>
      </c>
      <c r="HBD68" s="561" t="s">
        <v>1505</v>
      </c>
      <c r="HBE68" s="561" t="s">
        <v>1505</v>
      </c>
      <c r="HBF68" s="561" t="s">
        <v>1505</v>
      </c>
      <c r="HBG68" s="561" t="s">
        <v>1505</v>
      </c>
      <c r="HBH68" s="561" t="s">
        <v>1505</v>
      </c>
      <c r="HBI68" s="561" t="s">
        <v>1505</v>
      </c>
      <c r="HBJ68" s="561" t="s">
        <v>1505</v>
      </c>
      <c r="HBK68" s="561" t="s">
        <v>1505</v>
      </c>
      <c r="HBL68" s="561" t="s">
        <v>1505</v>
      </c>
      <c r="HBM68" s="561" t="s">
        <v>1505</v>
      </c>
      <c r="HBN68" s="561" t="s">
        <v>1505</v>
      </c>
      <c r="HBO68" s="561" t="s">
        <v>1505</v>
      </c>
      <c r="HBP68" s="561" t="s">
        <v>1505</v>
      </c>
      <c r="HBQ68" s="561" t="s">
        <v>1505</v>
      </c>
      <c r="HBR68" s="561" t="s">
        <v>1505</v>
      </c>
      <c r="HBS68" s="561" t="s">
        <v>1505</v>
      </c>
      <c r="HBT68" s="561" t="s">
        <v>1505</v>
      </c>
      <c r="HBU68" s="561" t="s">
        <v>1505</v>
      </c>
      <c r="HBV68" s="561" t="s">
        <v>1505</v>
      </c>
      <c r="HBW68" s="561" t="s">
        <v>1505</v>
      </c>
      <c r="HBX68" s="561" t="s">
        <v>1505</v>
      </c>
      <c r="HBY68" s="561" t="s">
        <v>1505</v>
      </c>
      <c r="HBZ68" s="561" t="s">
        <v>1505</v>
      </c>
      <c r="HCA68" s="561" t="s">
        <v>1505</v>
      </c>
      <c r="HCB68" s="561" t="s">
        <v>1505</v>
      </c>
      <c r="HCC68" s="561" t="s">
        <v>1505</v>
      </c>
      <c r="HCD68" s="561" t="s">
        <v>1505</v>
      </c>
      <c r="HCE68" s="561" t="s">
        <v>1505</v>
      </c>
      <c r="HCF68" s="561" t="s">
        <v>1505</v>
      </c>
      <c r="HCG68" s="561" t="s">
        <v>1505</v>
      </c>
      <c r="HCH68" s="561" t="s">
        <v>1505</v>
      </c>
      <c r="HCI68" s="561" t="s">
        <v>1505</v>
      </c>
      <c r="HCJ68" s="561" t="s">
        <v>1505</v>
      </c>
      <c r="HCK68" s="561" t="s">
        <v>1505</v>
      </c>
      <c r="HCL68" s="561" t="s">
        <v>1505</v>
      </c>
      <c r="HCM68" s="561" t="s">
        <v>1505</v>
      </c>
      <c r="HCN68" s="561" t="s">
        <v>1505</v>
      </c>
      <c r="HCO68" s="561" t="s">
        <v>1505</v>
      </c>
      <c r="HCP68" s="561" t="s">
        <v>1505</v>
      </c>
      <c r="HCQ68" s="561" t="s">
        <v>1505</v>
      </c>
      <c r="HCR68" s="561" t="s">
        <v>1505</v>
      </c>
      <c r="HCS68" s="561" t="s">
        <v>1505</v>
      </c>
      <c r="HCT68" s="561" t="s">
        <v>1505</v>
      </c>
      <c r="HCU68" s="561" t="s">
        <v>1505</v>
      </c>
      <c r="HCV68" s="561" t="s">
        <v>1505</v>
      </c>
      <c r="HCW68" s="561" t="s">
        <v>1505</v>
      </c>
      <c r="HCX68" s="561" t="s">
        <v>1505</v>
      </c>
      <c r="HCY68" s="561" t="s">
        <v>1505</v>
      </c>
      <c r="HCZ68" s="561" t="s">
        <v>1505</v>
      </c>
      <c r="HDA68" s="561" t="s">
        <v>1505</v>
      </c>
      <c r="HDB68" s="561" t="s">
        <v>1505</v>
      </c>
      <c r="HDC68" s="561" t="s">
        <v>1505</v>
      </c>
      <c r="HDD68" s="561" t="s">
        <v>1505</v>
      </c>
      <c r="HDE68" s="561" t="s">
        <v>1505</v>
      </c>
      <c r="HDF68" s="561" t="s">
        <v>1505</v>
      </c>
      <c r="HDG68" s="561" t="s">
        <v>1505</v>
      </c>
      <c r="HDH68" s="561" t="s">
        <v>1505</v>
      </c>
      <c r="HDI68" s="561" t="s">
        <v>1505</v>
      </c>
      <c r="HDJ68" s="561" t="s">
        <v>1505</v>
      </c>
      <c r="HDK68" s="561" t="s">
        <v>1505</v>
      </c>
      <c r="HDL68" s="561" t="s">
        <v>1505</v>
      </c>
      <c r="HDM68" s="561" t="s">
        <v>1505</v>
      </c>
      <c r="HDN68" s="561" t="s">
        <v>1505</v>
      </c>
      <c r="HDO68" s="561" t="s">
        <v>1505</v>
      </c>
      <c r="HDP68" s="561" t="s">
        <v>1505</v>
      </c>
      <c r="HDQ68" s="561" t="s">
        <v>1505</v>
      </c>
      <c r="HDR68" s="561" t="s">
        <v>1505</v>
      </c>
      <c r="HDS68" s="561" t="s">
        <v>1505</v>
      </c>
      <c r="HDT68" s="561" t="s">
        <v>1505</v>
      </c>
      <c r="HDU68" s="561" t="s">
        <v>1505</v>
      </c>
      <c r="HDV68" s="561" t="s">
        <v>1505</v>
      </c>
      <c r="HDW68" s="561" t="s">
        <v>1505</v>
      </c>
      <c r="HDX68" s="561" t="s">
        <v>1505</v>
      </c>
      <c r="HDY68" s="561" t="s">
        <v>1505</v>
      </c>
      <c r="HDZ68" s="561" t="s">
        <v>1505</v>
      </c>
      <c r="HEA68" s="561" t="s">
        <v>1505</v>
      </c>
      <c r="HEB68" s="561" t="s">
        <v>1505</v>
      </c>
      <c r="HEC68" s="561" t="s">
        <v>1505</v>
      </c>
      <c r="HED68" s="561" t="s">
        <v>1505</v>
      </c>
      <c r="HEE68" s="561" t="s">
        <v>1505</v>
      </c>
      <c r="HEF68" s="561" t="s">
        <v>1505</v>
      </c>
      <c r="HEG68" s="561" t="s">
        <v>1505</v>
      </c>
      <c r="HEH68" s="561" t="s">
        <v>1505</v>
      </c>
      <c r="HEI68" s="561" t="s">
        <v>1505</v>
      </c>
      <c r="HEJ68" s="561" t="s">
        <v>1505</v>
      </c>
      <c r="HEK68" s="561" t="s">
        <v>1505</v>
      </c>
      <c r="HEL68" s="561" t="s">
        <v>1505</v>
      </c>
      <c r="HEM68" s="561" t="s">
        <v>1505</v>
      </c>
      <c r="HEN68" s="561" t="s">
        <v>1505</v>
      </c>
      <c r="HEO68" s="561" t="s">
        <v>1505</v>
      </c>
      <c r="HEP68" s="561" t="s">
        <v>1505</v>
      </c>
      <c r="HEQ68" s="561" t="s">
        <v>1505</v>
      </c>
      <c r="HER68" s="561" t="s">
        <v>1505</v>
      </c>
      <c r="HES68" s="561" t="s">
        <v>1505</v>
      </c>
      <c r="HET68" s="561" t="s">
        <v>1505</v>
      </c>
      <c r="HEU68" s="561" t="s">
        <v>1505</v>
      </c>
      <c r="HEV68" s="561" t="s">
        <v>1505</v>
      </c>
      <c r="HEW68" s="561" t="s">
        <v>1505</v>
      </c>
      <c r="HEX68" s="561" t="s">
        <v>1505</v>
      </c>
      <c r="HEY68" s="561" t="s">
        <v>1505</v>
      </c>
      <c r="HEZ68" s="561" t="s">
        <v>1505</v>
      </c>
      <c r="HFA68" s="561" t="s">
        <v>1505</v>
      </c>
      <c r="HFB68" s="561" t="s">
        <v>1505</v>
      </c>
      <c r="HFC68" s="561" t="s">
        <v>1505</v>
      </c>
      <c r="HFD68" s="561" t="s">
        <v>1505</v>
      </c>
      <c r="HFE68" s="561" t="s">
        <v>1505</v>
      </c>
      <c r="HFF68" s="561" t="s">
        <v>1505</v>
      </c>
      <c r="HFG68" s="561" t="s">
        <v>1505</v>
      </c>
      <c r="HFH68" s="561" t="s">
        <v>1505</v>
      </c>
      <c r="HFI68" s="561" t="s">
        <v>1505</v>
      </c>
      <c r="HFJ68" s="561" t="s">
        <v>1505</v>
      </c>
      <c r="HFK68" s="561" t="s">
        <v>1505</v>
      </c>
      <c r="HFL68" s="561" t="s">
        <v>1505</v>
      </c>
      <c r="HFM68" s="561" t="s">
        <v>1505</v>
      </c>
      <c r="HFN68" s="561" t="s">
        <v>1505</v>
      </c>
      <c r="HFO68" s="561" t="s">
        <v>1505</v>
      </c>
      <c r="HFP68" s="561" t="s">
        <v>1505</v>
      </c>
      <c r="HFQ68" s="561" t="s">
        <v>1505</v>
      </c>
      <c r="HFR68" s="561" t="s">
        <v>1505</v>
      </c>
      <c r="HFS68" s="561" t="s">
        <v>1505</v>
      </c>
      <c r="HFT68" s="561" t="s">
        <v>1505</v>
      </c>
      <c r="HFU68" s="561" t="s">
        <v>1505</v>
      </c>
      <c r="HFV68" s="561" t="s">
        <v>1505</v>
      </c>
      <c r="HFW68" s="561" t="s">
        <v>1505</v>
      </c>
      <c r="HFX68" s="561" t="s">
        <v>1505</v>
      </c>
      <c r="HFY68" s="561" t="s">
        <v>1505</v>
      </c>
      <c r="HFZ68" s="561" t="s">
        <v>1505</v>
      </c>
      <c r="HGA68" s="561" t="s">
        <v>1505</v>
      </c>
      <c r="HGB68" s="561" t="s">
        <v>1505</v>
      </c>
      <c r="HGC68" s="561" t="s">
        <v>1505</v>
      </c>
      <c r="HGD68" s="561" t="s">
        <v>1505</v>
      </c>
      <c r="HGE68" s="561" t="s">
        <v>1505</v>
      </c>
      <c r="HGF68" s="561" t="s">
        <v>1505</v>
      </c>
      <c r="HGG68" s="561" t="s">
        <v>1505</v>
      </c>
      <c r="HGH68" s="561" t="s">
        <v>1505</v>
      </c>
      <c r="HGI68" s="561" t="s">
        <v>1505</v>
      </c>
      <c r="HGJ68" s="561" t="s">
        <v>1505</v>
      </c>
      <c r="HGK68" s="561" t="s">
        <v>1505</v>
      </c>
      <c r="HGL68" s="561" t="s">
        <v>1505</v>
      </c>
      <c r="HGM68" s="561" t="s">
        <v>1505</v>
      </c>
      <c r="HGN68" s="561" t="s">
        <v>1505</v>
      </c>
      <c r="HGO68" s="561" t="s">
        <v>1505</v>
      </c>
      <c r="HGP68" s="561" t="s">
        <v>1505</v>
      </c>
      <c r="HGQ68" s="561" t="s">
        <v>1505</v>
      </c>
      <c r="HGR68" s="561" t="s">
        <v>1505</v>
      </c>
      <c r="HGS68" s="561" t="s">
        <v>1505</v>
      </c>
      <c r="HGT68" s="561" t="s">
        <v>1505</v>
      </c>
      <c r="HGU68" s="561" t="s">
        <v>1505</v>
      </c>
      <c r="HGV68" s="561" t="s">
        <v>1505</v>
      </c>
      <c r="HGW68" s="561" t="s">
        <v>1505</v>
      </c>
      <c r="HGX68" s="561" t="s">
        <v>1505</v>
      </c>
      <c r="HGY68" s="561" t="s">
        <v>1505</v>
      </c>
      <c r="HGZ68" s="561" t="s">
        <v>1505</v>
      </c>
      <c r="HHA68" s="561" t="s">
        <v>1505</v>
      </c>
      <c r="HHB68" s="561" t="s">
        <v>1505</v>
      </c>
      <c r="HHC68" s="561" t="s">
        <v>1505</v>
      </c>
      <c r="HHD68" s="561" t="s">
        <v>1505</v>
      </c>
      <c r="HHE68" s="561" t="s">
        <v>1505</v>
      </c>
      <c r="HHF68" s="561" t="s">
        <v>1505</v>
      </c>
      <c r="HHG68" s="561" t="s">
        <v>1505</v>
      </c>
      <c r="HHH68" s="561" t="s">
        <v>1505</v>
      </c>
      <c r="HHI68" s="561" t="s">
        <v>1505</v>
      </c>
      <c r="HHJ68" s="561" t="s">
        <v>1505</v>
      </c>
      <c r="HHK68" s="561" t="s">
        <v>1505</v>
      </c>
      <c r="HHL68" s="561" t="s">
        <v>1505</v>
      </c>
      <c r="HHM68" s="561" t="s">
        <v>1505</v>
      </c>
      <c r="HHN68" s="561" t="s">
        <v>1505</v>
      </c>
      <c r="HHO68" s="561" t="s">
        <v>1505</v>
      </c>
      <c r="HHP68" s="561" t="s">
        <v>1505</v>
      </c>
      <c r="HHQ68" s="561" t="s">
        <v>1505</v>
      </c>
      <c r="HHR68" s="561" t="s">
        <v>1505</v>
      </c>
      <c r="HHS68" s="561" t="s">
        <v>1505</v>
      </c>
      <c r="HHT68" s="561" t="s">
        <v>1505</v>
      </c>
      <c r="HHU68" s="561" t="s">
        <v>1505</v>
      </c>
      <c r="HHV68" s="561" t="s">
        <v>1505</v>
      </c>
      <c r="HHW68" s="561" t="s">
        <v>1505</v>
      </c>
      <c r="HHX68" s="561" t="s">
        <v>1505</v>
      </c>
      <c r="HHY68" s="561" t="s">
        <v>1505</v>
      </c>
      <c r="HHZ68" s="561" t="s">
        <v>1505</v>
      </c>
      <c r="HIA68" s="561" t="s">
        <v>1505</v>
      </c>
      <c r="HIB68" s="561" t="s">
        <v>1505</v>
      </c>
      <c r="HIC68" s="561" t="s">
        <v>1505</v>
      </c>
      <c r="HID68" s="561" t="s">
        <v>1505</v>
      </c>
      <c r="HIE68" s="561" t="s">
        <v>1505</v>
      </c>
      <c r="HIF68" s="561" t="s">
        <v>1505</v>
      </c>
      <c r="HIG68" s="561" t="s">
        <v>1505</v>
      </c>
      <c r="HIH68" s="561" t="s">
        <v>1505</v>
      </c>
      <c r="HII68" s="561" t="s">
        <v>1505</v>
      </c>
      <c r="HIJ68" s="561" t="s">
        <v>1505</v>
      </c>
      <c r="HIK68" s="561" t="s">
        <v>1505</v>
      </c>
      <c r="HIL68" s="561" t="s">
        <v>1505</v>
      </c>
      <c r="HIM68" s="561" t="s">
        <v>1505</v>
      </c>
      <c r="HIN68" s="561" t="s">
        <v>1505</v>
      </c>
      <c r="HIO68" s="561" t="s">
        <v>1505</v>
      </c>
      <c r="HIP68" s="561" t="s">
        <v>1505</v>
      </c>
      <c r="HIQ68" s="561" t="s">
        <v>1505</v>
      </c>
      <c r="HIR68" s="561" t="s">
        <v>1505</v>
      </c>
      <c r="HIS68" s="561" t="s">
        <v>1505</v>
      </c>
      <c r="HIT68" s="561" t="s">
        <v>1505</v>
      </c>
      <c r="HIU68" s="561" t="s">
        <v>1505</v>
      </c>
      <c r="HIV68" s="561" t="s">
        <v>1505</v>
      </c>
      <c r="HIW68" s="561" t="s">
        <v>1505</v>
      </c>
      <c r="HIX68" s="561" t="s">
        <v>1505</v>
      </c>
      <c r="HIY68" s="561" t="s">
        <v>1505</v>
      </c>
      <c r="HIZ68" s="561" t="s">
        <v>1505</v>
      </c>
      <c r="HJA68" s="561" t="s">
        <v>1505</v>
      </c>
      <c r="HJB68" s="561" t="s">
        <v>1505</v>
      </c>
      <c r="HJC68" s="561" t="s">
        <v>1505</v>
      </c>
      <c r="HJD68" s="561" t="s">
        <v>1505</v>
      </c>
      <c r="HJE68" s="561" t="s">
        <v>1505</v>
      </c>
      <c r="HJF68" s="561" t="s">
        <v>1505</v>
      </c>
      <c r="HJG68" s="561" t="s">
        <v>1505</v>
      </c>
      <c r="HJH68" s="561" t="s">
        <v>1505</v>
      </c>
      <c r="HJI68" s="561" t="s">
        <v>1505</v>
      </c>
      <c r="HJJ68" s="561" t="s">
        <v>1505</v>
      </c>
      <c r="HJK68" s="561" t="s">
        <v>1505</v>
      </c>
      <c r="HJL68" s="561" t="s">
        <v>1505</v>
      </c>
      <c r="HJM68" s="561" t="s">
        <v>1505</v>
      </c>
      <c r="HJN68" s="561" t="s">
        <v>1505</v>
      </c>
      <c r="HJO68" s="561" t="s">
        <v>1505</v>
      </c>
      <c r="HJP68" s="561" t="s">
        <v>1505</v>
      </c>
      <c r="HJQ68" s="561" t="s">
        <v>1505</v>
      </c>
      <c r="HJR68" s="561" t="s">
        <v>1505</v>
      </c>
      <c r="HJS68" s="561" t="s">
        <v>1505</v>
      </c>
      <c r="HJT68" s="561" t="s">
        <v>1505</v>
      </c>
      <c r="HJU68" s="561" t="s">
        <v>1505</v>
      </c>
      <c r="HJV68" s="561" t="s">
        <v>1505</v>
      </c>
      <c r="HJW68" s="561" t="s">
        <v>1505</v>
      </c>
      <c r="HJX68" s="561" t="s">
        <v>1505</v>
      </c>
      <c r="HJY68" s="561" t="s">
        <v>1505</v>
      </c>
      <c r="HJZ68" s="561" t="s">
        <v>1505</v>
      </c>
      <c r="HKA68" s="561" t="s">
        <v>1505</v>
      </c>
      <c r="HKB68" s="561" t="s">
        <v>1505</v>
      </c>
      <c r="HKC68" s="561" t="s">
        <v>1505</v>
      </c>
      <c r="HKD68" s="561" t="s">
        <v>1505</v>
      </c>
      <c r="HKE68" s="561" t="s">
        <v>1505</v>
      </c>
      <c r="HKF68" s="561" t="s">
        <v>1505</v>
      </c>
      <c r="HKG68" s="561" t="s">
        <v>1505</v>
      </c>
      <c r="HKH68" s="561" t="s">
        <v>1505</v>
      </c>
      <c r="HKI68" s="561" t="s">
        <v>1505</v>
      </c>
      <c r="HKJ68" s="561" t="s">
        <v>1505</v>
      </c>
      <c r="HKK68" s="561" t="s">
        <v>1505</v>
      </c>
      <c r="HKL68" s="561" t="s">
        <v>1505</v>
      </c>
      <c r="HKM68" s="561" t="s">
        <v>1505</v>
      </c>
      <c r="HKN68" s="561" t="s">
        <v>1505</v>
      </c>
      <c r="HKO68" s="561" t="s">
        <v>1505</v>
      </c>
      <c r="HKP68" s="561" t="s">
        <v>1505</v>
      </c>
      <c r="HKQ68" s="561" t="s">
        <v>1505</v>
      </c>
      <c r="HKR68" s="561" t="s">
        <v>1505</v>
      </c>
      <c r="HKS68" s="561" t="s">
        <v>1505</v>
      </c>
      <c r="HKT68" s="561" t="s">
        <v>1505</v>
      </c>
      <c r="HKU68" s="561" t="s">
        <v>1505</v>
      </c>
      <c r="HKV68" s="561" t="s">
        <v>1505</v>
      </c>
      <c r="HKW68" s="561" t="s">
        <v>1505</v>
      </c>
      <c r="HKX68" s="561" t="s">
        <v>1505</v>
      </c>
      <c r="HKY68" s="561" t="s">
        <v>1505</v>
      </c>
      <c r="HKZ68" s="561" t="s">
        <v>1505</v>
      </c>
      <c r="HLA68" s="561" t="s">
        <v>1505</v>
      </c>
      <c r="HLB68" s="561" t="s">
        <v>1505</v>
      </c>
      <c r="HLC68" s="561" t="s">
        <v>1505</v>
      </c>
      <c r="HLD68" s="561" t="s">
        <v>1505</v>
      </c>
      <c r="HLE68" s="561" t="s">
        <v>1505</v>
      </c>
      <c r="HLF68" s="561" t="s">
        <v>1505</v>
      </c>
      <c r="HLG68" s="561" t="s">
        <v>1505</v>
      </c>
      <c r="HLH68" s="561" t="s">
        <v>1505</v>
      </c>
      <c r="HLI68" s="561" t="s">
        <v>1505</v>
      </c>
      <c r="HLJ68" s="561" t="s">
        <v>1505</v>
      </c>
      <c r="HLK68" s="561" t="s">
        <v>1505</v>
      </c>
      <c r="HLL68" s="561" t="s">
        <v>1505</v>
      </c>
      <c r="HLM68" s="561" t="s">
        <v>1505</v>
      </c>
      <c r="HLN68" s="561" t="s">
        <v>1505</v>
      </c>
      <c r="HLO68" s="561" t="s">
        <v>1505</v>
      </c>
      <c r="HLP68" s="561" t="s">
        <v>1505</v>
      </c>
      <c r="HLQ68" s="561" t="s">
        <v>1505</v>
      </c>
      <c r="HLR68" s="561" t="s">
        <v>1505</v>
      </c>
      <c r="HLS68" s="561" t="s">
        <v>1505</v>
      </c>
      <c r="HLT68" s="561" t="s">
        <v>1505</v>
      </c>
      <c r="HLU68" s="561" t="s">
        <v>1505</v>
      </c>
      <c r="HLV68" s="561" t="s">
        <v>1505</v>
      </c>
      <c r="HLW68" s="561" t="s">
        <v>1505</v>
      </c>
      <c r="HLX68" s="561" t="s">
        <v>1505</v>
      </c>
      <c r="HLY68" s="561" t="s">
        <v>1505</v>
      </c>
      <c r="HLZ68" s="561" t="s">
        <v>1505</v>
      </c>
      <c r="HMA68" s="561" t="s">
        <v>1505</v>
      </c>
      <c r="HMB68" s="561" t="s">
        <v>1505</v>
      </c>
      <c r="HMC68" s="561" t="s">
        <v>1505</v>
      </c>
      <c r="HMD68" s="561" t="s">
        <v>1505</v>
      </c>
      <c r="HME68" s="561" t="s">
        <v>1505</v>
      </c>
      <c r="HMF68" s="561" t="s">
        <v>1505</v>
      </c>
      <c r="HMG68" s="561" t="s">
        <v>1505</v>
      </c>
      <c r="HMH68" s="561" t="s">
        <v>1505</v>
      </c>
      <c r="HMI68" s="561" t="s">
        <v>1505</v>
      </c>
      <c r="HMJ68" s="561" t="s">
        <v>1505</v>
      </c>
      <c r="HMK68" s="561" t="s">
        <v>1505</v>
      </c>
      <c r="HML68" s="561" t="s">
        <v>1505</v>
      </c>
      <c r="HMM68" s="561" t="s">
        <v>1505</v>
      </c>
      <c r="HMN68" s="561" t="s">
        <v>1505</v>
      </c>
      <c r="HMO68" s="561" t="s">
        <v>1505</v>
      </c>
      <c r="HMP68" s="561" t="s">
        <v>1505</v>
      </c>
      <c r="HMQ68" s="561" t="s">
        <v>1505</v>
      </c>
      <c r="HMR68" s="561" t="s">
        <v>1505</v>
      </c>
      <c r="HMS68" s="561" t="s">
        <v>1505</v>
      </c>
      <c r="HMT68" s="561" t="s">
        <v>1505</v>
      </c>
      <c r="HMU68" s="561" t="s">
        <v>1505</v>
      </c>
      <c r="HMV68" s="561" t="s">
        <v>1505</v>
      </c>
      <c r="HMW68" s="561" t="s">
        <v>1505</v>
      </c>
      <c r="HMX68" s="561" t="s">
        <v>1505</v>
      </c>
      <c r="HMY68" s="561" t="s">
        <v>1505</v>
      </c>
      <c r="HMZ68" s="561" t="s">
        <v>1505</v>
      </c>
      <c r="HNA68" s="561" t="s">
        <v>1505</v>
      </c>
      <c r="HNB68" s="561" t="s">
        <v>1505</v>
      </c>
      <c r="HNC68" s="561" t="s">
        <v>1505</v>
      </c>
      <c r="HND68" s="561" t="s">
        <v>1505</v>
      </c>
      <c r="HNE68" s="561" t="s">
        <v>1505</v>
      </c>
      <c r="HNF68" s="561" t="s">
        <v>1505</v>
      </c>
      <c r="HNG68" s="561" t="s">
        <v>1505</v>
      </c>
      <c r="HNH68" s="561" t="s">
        <v>1505</v>
      </c>
      <c r="HNI68" s="561" t="s">
        <v>1505</v>
      </c>
      <c r="HNJ68" s="561" t="s">
        <v>1505</v>
      </c>
      <c r="HNK68" s="561" t="s">
        <v>1505</v>
      </c>
      <c r="HNL68" s="561" t="s">
        <v>1505</v>
      </c>
      <c r="HNM68" s="561" t="s">
        <v>1505</v>
      </c>
      <c r="HNN68" s="561" t="s">
        <v>1505</v>
      </c>
      <c r="HNO68" s="561" t="s">
        <v>1505</v>
      </c>
      <c r="HNP68" s="561" t="s">
        <v>1505</v>
      </c>
      <c r="HNQ68" s="561" t="s">
        <v>1505</v>
      </c>
      <c r="HNR68" s="561" t="s">
        <v>1505</v>
      </c>
      <c r="HNS68" s="561" t="s">
        <v>1505</v>
      </c>
      <c r="HNT68" s="561" t="s">
        <v>1505</v>
      </c>
      <c r="HNU68" s="561" t="s">
        <v>1505</v>
      </c>
      <c r="HNV68" s="561" t="s">
        <v>1505</v>
      </c>
      <c r="HNW68" s="561" t="s">
        <v>1505</v>
      </c>
      <c r="HNX68" s="561" t="s">
        <v>1505</v>
      </c>
      <c r="HNY68" s="561" t="s">
        <v>1505</v>
      </c>
      <c r="HNZ68" s="561" t="s">
        <v>1505</v>
      </c>
      <c r="HOA68" s="561" t="s">
        <v>1505</v>
      </c>
      <c r="HOB68" s="561" t="s">
        <v>1505</v>
      </c>
      <c r="HOC68" s="561" t="s">
        <v>1505</v>
      </c>
      <c r="HOD68" s="561" t="s">
        <v>1505</v>
      </c>
      <c r="HOE68" s="561" t="s">
        <v>1505</v>
      </c>
      <c r="HOF68" s="561" t="s">
        <v>1505</v>
      </c>
      <c r="HOG68" s="561" t="s">
        <v>1505</v>
      </c>
      <c r="HOH68" s="561" t="s">
        <v>1505</v>
      </c>
      <c r="HOI68" s="561" t="s">
        <v>1505</v>
      </c>
      <c r="HOJ68" s="561" t="s">
        <v>1505</v>
      </c>
      <c r="HOK68" s="561" t="s">
        <v>1505</v>
      </c>
      <c r="HOL68" s="561" t="s">
        <v>1505</v>
      </c>
      <c r="HOM68" s="561" t="s">
        <v>1505</v>
      </c>
      <c r="HON68" s="561" t="s">
        <v>1505</v>
      </c>
      <c r="HOO68" s="561" t="s">
        <v>1505</v>
      </c>
      <c r="HOP68" s="561" t="s">
        <v>1505</v>
      </c>
      <c r="HOQ68" s="561" t="s">
        <v>1505</v>
      </c>
      <c r="HOR68" s="561" t="s">
        <v>1505</v>
      </c>
      <c r="HOS68" s="561" t="s">
        <v>1505</v>
      </c>
      <c r="HOT68" s="561" t="s">
        <v>1505</v>
      </c>
      <c r="HOU68" s="561" t="s">
        <v>1505</v>
      </c>
      <c r="HOV68" s="561" t="s">
        <v>1505</v>
      </c>
      <c r="HOW68" s="561" t="s">
        <v>1505</v>
      </c>
      <c r="HOX68" s="561" t="s">
        <v>1505</v>
      </c>
      <c r="HOY68" s="561" t="s">
        <v>1505</v>
      </c>
      <c r="HOZ68" s="561" t="s">
        <v>1505</v>
      </c>
      <c r="HPA68" s="561" t="s">
        <v>1505</v>
      </c>
      <c r="HPB68" s="561" t="s">
        <v>1505</v>
      </c>
      <c r="HPC68" s="561" t="s">
        <v>1505</v>
      </c>
      <c r="HPD68" s="561" t="s">
        <v>1505</v>
      </c>
      <c r="HPE68" s="561" t="s">
        <v>1505</v>
      </c>
      <c r="HPF68" s="561" t="s">
        <v>1505</v>
      </c>
      <c r="HPG68" s="561" t="s">
        <v>1505</v>
      </c>
      <c r="HPH68" s="561" t="s">
        <v>1505</v>
      </c>
      <c r="HPI68" s="561" t="s">
        <v>1505</v>
      </c>
      <c r="HPJ68" s="561" t="s">
        <v>1505</v>
      </c>
      <c r="HPK68" s="561" t="s">
        <v>1505</v>
      </c>
      <c r="HPL68" s="561" t="s">
        <v>1505</v>
      </c>
      <c r="HPM68" s="561" t="s">
        <v>1505</v>
      </c>
      <c r="HPN68" s="561" t="s">
        <v>1505</v>
      </c>
      <c r="HPO68" s="561" t="s">
        <v>1505</v>
      </c>
      <c r="HPP68" s="561" t="s">
        <v>1505</v>
      </c>
      <c r="HPQ68" s="561" t="s">
        <v>1505</v>
      </c>
      <c r="HPR68" s="561" t="s">
        <v>1505</v>
      </c>
      <c r="HPS68" s="561" t="s">
        <v>1505</v>
      </c>
      <c r="HPT68" s="561" t="s">
        <v>1505</v>
      </c>
      <c r="HPU68" s="561" t="s">
        <v>1505</v>
      </c>
      <c r="HPV68" s="561" t="s">
        <v>1505</v>
      </c>
      <c r="HPW68" s="561" t="s">
        <v>1505</v>
      </c>
      <c r="HPX68" s="561" t="s">
        <v>1505</v>
      </c>
      <c r="HPY68" s="561" t="s">
        <v>1505</v>
      </c>
      <c r="HPZ68" s="561" t="s">
        <v>1505</v>
      </c>
      <c r="HQA68" s="561" t="s">
        <v>1505</v>
      </c>
      <c r="HQB68" s="561" t="s">
        <v>1505</v>
      </c>
      <c r="HQC68" s="561" t="s">
        <v>1505</v>
      </c>
      <c r="HQD68" s="561" t="s">
        <v>1505</v>
      </c>
      <c r="HQE68" s="561" t="s">
        <v>1505</v>
      </c>
      <c r="HQF68" s="561" t="s">
        <v>1505</v>
      </c>
      <c r="HQG68" s="561" t="s">
        <v>1505</v>
      </c>
      <c r="HQH68" s="561" t="s">
        <v>1505</v>
      </c>
      <c r="HQI68" s="561" t="s">
        <v>1505</v>
      </c>
      <c r="HQJ68" s="561" t="s">
        <v>1505</v>
      </c>
      <c r="HQK68" s="561" t="s">
        <v>1505</v>
      </c>
      <c r="HQL68" s="561" t="s">
        <v>1505</v>
      </c>
      <c r="HQM68" s="561" t="s">
        <v>1505</v>
      </c>
      <c r="HQN68" s="561" t="s">
        <v>1505</v>
      </c>
      <c r="HQO68" s="561" t="s">
        <v>1505</v>
      </c>
      <c r="HQP68" s="561" t="s">
        <v>1505</v>
      </c>
      <c r="HQQ68" s="561" t="s">
        <v>1505</v>
      </c>
      <c r="HQR68" s="561" t="s">
        <v>1505</v>
      </c>
      <c r="HQS68" s="561" t="s">
        <v>1505</v>
      </c>
      <c r="HQT68" s="561" t="s">
        <v>1505</v>
      </c>
      <c r="HQU68" s="561" t="s">
        <v>1505</v>
      </c>
      <c r="HQV68" s="561" t="s">
        <v>1505</v>
      </c>
      <c r="HQW68" s="561" t="s">
        <v>1505</v>
      </c>
      <c r="HQX68" s="561" t="s">
        <v>1505</v>
      </c>
      <c r="HQY68" s="561" t="s">
        <v>1505</v>
      </c>
      <c r="HQZ68" s="561" t="s">
        <v>1505</v>
      </c>
      <c r="HRA68" s="561" t="s">
        <v>1505</v>
      </c>
      <c r="HRB68" s="561" t="s">
        <v>1505</v>
      </c>
      <c r="HRC68" s="561" t="s">
        <v>1505</v>
      </c>
      <c r="HRD68" s="561" t="s">
        <v>1505</v>
      </c>
      <c r="HRE68" s="561" t="s">
        <v>1505</v>
      </c>
      <c r="HRF68" s="561" t="s">
        <v>1505</v>
      </c>
      <c r="HRG68" s="561" t="s">
        <v>1505</v>
      </c>
      <c r="HRH68" s="561" t="s">
        <v>1505</v>
      </c>
      <c r="HRI68" s="561" t="s">
        <v>1505</v>
      </c>
      <c r="HRJ68" s="561" t="s">
        <v>1505</v>
      </c>
      <c r="HRK68" s="561" t="s">
        <v>1505</v>
      </c>
      <c r="HRL68" s="561" t="s">
        <v>1505</v>
      </c>
      <c r="HRM68" s="561" t="s">
        <v>1505</v>
      </c>
      <c r="HRN68" s="561" t="s">
        <v>1505</v>
      </c>
      <c r="HRO68" s="561" t="s">
        <v>1505</v>
      </c>
      <c r="HRP68" s="561" t="s">
        <v>1505</v>
      </c>
      <c r="HRQ68" s="561" t="s">
        <v>1505</v>
      </c>
      <c r="HRR68" s="561" t="s">
        <v>1505</v>
      </c>
      <c r="HRS68" s="561" t="s">
        <v>1505</v>
      </c>
      <c r="HRT68" s="561" t="s">
        <v>1505</v>
      </c>
      <c r="HRU68" s="561" t="s">
        <v>1505</v>
      </c>
      <c r="HRV68" s="561" t="s">
        <v>1505</v>
      </c>
      <c r="HRW68" s="561" t="s">
        <v>1505</v>
      </c>
      <c r="HRX68" s="561" t="s">
        <v>1505</v>
      </c>
      <c r="HRY68" s="561" t="s">
        <v>1505</v>
      </c>
      <c r="HRZ68" s="561" t="s">
        <v>1505</v>
      </c>
      <c r="HSA68" s="561" t="s">
        <v>1505</v>
      </c>
      <c r="HSB68" s="561" t="s">
        <v>1505</v>
      </c>
      <c r="HSC68" s="561" t="s">
        <v>1505</v>
      </c>
      <c r="HSD68" s="561" t="s">
        <v>1505</v>
      </c>
      <c r="HSE68" s="561" t="s">
        <v>1505</v>
      </c>
      <c r="HSF68" s="561" t="s">
        <v>1505</v>
      </c>
      <c r="HSG68" s="561" t="s">
        <v>1505</v>
      </c>
      <c r="HSH68" s="561" t="s">
        <v>1505</v>
      </c>
      <c r="HSI68" s="561" t="s">
        <v>1505</v>
      </c>
      <c r="HSJ68" s="561" t="s">
        <v>1505</v>
      </c>
      <c r="HSK68" s="561" t="s">
        <v>1505</v>
      </c>
      <c r="HSL68" s="561" t="s">
        <v>1505</v>
      </c>
      <c r="HSM68" s="561" t="s">
        <v>1505</v>
      </c>
      <c r="HSN68" s="561" t="s">
        <v>1505</v>
      </c>
      <c r="HSO68" s="561" t="s">
        <v>1505</v>
      </c>
      <c r="HSP68" s="561" t="s">
        <v>1505</v>
      </c>
      <c r="HSQ68" s="561" t="s">
        <v>1505</v>
      </c>
      <c r="HSR68" s="561" t="s">
        <v>1505</v>
      </c>
      <c r="HSS68" s="561" t="s">
        <v>1505</v>
      </c>
      <c r="HST68" s="561" t="s">
        <v>1505</v>
      </c>
      <c r="HSU68" s="561" t="s">
        <v>1505</v>
      </c>
      <c r="HSV68" s="561" t="s">
        <v>1505</v>
      </c>
      <c r="HSW68" s="561" t="s">
        <v>1505</v>
      </c>
      <c r="HSX68" s="561" t="s">
        <v>1505</v>
      </c>
      <c r="HSY68" s="561" t="s">
        <v>1505</v>
      </c>
      <c r="HSZ68" s="561" t="s">
        <v>1505</v>
      </c>
      <c r="HTA68" s="561" t="s">
        <v>1505</v>
      </c>
      <c r="HTB68" s="561" t="s">
        <v>1505</v>
      </c>
      <c r="HTC68" s="561" t="s">
        <v>1505</v>
      </c>
      <c r="HTD68" s="561" t="s">
        <v>1505</v>
      </c>
      <c r="HTE68" s="561" t="s">
        <v>1505</v>
      </c>
      <c r="HTF68" s="561" t="s">
        <v>1505</v>
      </c>
      <c r="HTG68" s="561" t="s">
        <v>1505</v>
      </c>
      <c r="HTH68" s="561" t="s">
        <v>1505</v>
      </c>
      <c r="HTI68" s="561" t="s">
        <v>1505</v>
      </c>
      <c r="HTJ68" s="561" t="s">
        <v>1505</v>
      </c>
      <c r="HTK68" s="561" t="s">
        <v>1505</v>
      </c>
      <c r="HTL68" s="561" t="s">
        <v>1505</v>
      </c>
      <c r="HTM68" s="561" t="s">
        <v>1505</v>
      </c>
      <c r="HTN68" s="561" t="s">
        <v>1505</v>
      </c>
      <c r="HTO68" s="561" t="s">
        <v>1505</v>
      </c>
      <c r="HTP68" s="561" t="s">
        <v>1505</v>
      </c>
      <c r="HTQ68" s="561" t="s">
        <v>1505</v>
      </c>
      <c r="HTR68" s="561" t="s">
        <v>1505</v>
      </c>
      <c r="HTS68" s="561" t="s">
        <v>1505</v>
      </c>
      <c r="HTT68" s="561" t="s">
        <v>1505</v>
      </c>
      <c r="HTU68" s="561" t="s">
        <v>1505</v>
      </c>
      <c r="HTV68" s="561" t="s">
        <v>1505</v>
      </c>
      <c r="HTW68" s="561" t="s">
        <v>1505</v>
      </c>
      <c r="HTX68" s="561" t="s">
        <v>1505</v>
      </c>
      <c r="HTY68" s="561" t="s">
        <v>1505</v>
      </c>
      <c r="HTZ68" s="561" t="s">
        <v>1505</v>
      </c>
      <c r="HUA68" s="561" t="s">
        <v>1505</v>
      </c>
      <c r="HUB68" s="561" t="s">
        <v>1505</v>
      </c>
      <c r="HUC68" s="561" t="s">
        <v>1505</v>
      </c>
      <c r="HUD68" s="561" t="s">
        <v>1505</v>
      </c>
      <c r="HUE68" s="561" t="s">
        <v>1505</v>
      </c>
      <c r="HUF68" s="561" t="s">
        <v>1505</v>
      </c>
      <c r="HUG68" s="561" t="s">
        <v>1505</v>
      </c>
      <c r="HUH68" s="561" t="s">
        <v>1505</v>
      </c>
      <c r="HUI68" s="561" t="s">
        <v>1505</v>
      </c>
      <c r="HUJ68" s="561" t="s">
        <v>1505</v>
      </c>
      <c r="HUK68" s="561" t="s">
        <v>1505</v>
      </c>
      <c r="HUL68" s="561" t="s">
        <v>1505</v>
      </c>
      <c r="HUM68" s="561" t="s">
        <v>1505</v>
      </c>
      <c r="HUN68" s="561" t="s">
        <v>1505</v>
      </c>
      <c r="HUO68" s="561" t="s">
        <v>1505</v>
      </c>
      <c r="HUP68" s="561" t="s">
        <v>1505</v>
      </c>
      <c r="HUQ68" s="561" t="s">
        <v>1505</v>
      </c>
      <c r="HUR68" s="561" t="s">
        <v>1505</v>
      </c>
      <c r="HUS68" s="561" t="s">
        <v>1505</v>
      </c>
      <c r="HUT68" s="561" t="s">
        <v>1505</v>
      </c>
      <c r="HUU68" s="561" t="s">
        <v>1505</v>
      </c>
      <c r="HUV68" s="561" t="s">
        <v>1505</v>
      </c>
      <c r="HUW68" s="561" t="s">
        <v>1505</v>
      </c>
      <c r="HUX68" s="561" t="s">
        <v>1505</v>
      </c>
      <c r="HUY68" s="561" t="s">
        <v>1505</v>
      </c>
      <c r="HUZ68" s="561" t="s">
        <v>1505</v>
      </c>
      <c r="HVA68" s="561" t="s">
        <v>1505</v>
      </c>
      <c r="HVB68" s="561" t="s">
        <v>1505</v>
      </c>
      <c r="HVC68" s="561" t="s">
        <v>1505</v>
      </c>
      <c r="HVD68" s="561" t="s">
        <v>1505</v>
      </c>
      <c r="HVE68" s="561" t="s">
        <v>1505</v>
      </c>
      <c r="HVF68" s="561" t="s">
        <v>1505</v>
      </c>
      <c r="HVG68" s="561" t="s">
        <v>1505</v>
      </c>
      <c r="HVH68" s="561" t="s">
        <v>1505</v>
      </c>
      <c r="HVI68" s="561" t="s">
        <v>1505</v>
      </c>
      <c r="HVJ68" s="561" t="s">
        <v>1505</v>
      </c>
      <c r="HVK68" s="561" t="s">
        <v>1505</v>
      </c>
      <c r="HVL68" s="561" t="s">
        <v>1505</v>
      </c>
      <c r="HVM68" s="561" t="s">
        <v>1505</v>
      </c>
      <c r="HVN68" s="561" t="s">
        <v>1505</v>
      </c>
      <c r="HVO68" s="561" t="s">
        <v>1505</v>
      </c>
      <c r="HVP68" s="561" t="s">
        <v>1505</v>
      </c>
      <c r="HVQ68" s="561" t="s">
        <v>1505</v>
      </c>
      <c r="HVR68" s="561" t="s">
        <v>1505</v>
      </c>
      <c r="HVS68" s="561" t="s">
        <v>1505</v>
      </c>
      <c r="HVT68" s="561" t="s">
        <v>1505</v>
      </c>
      <c r="HVU68" s="561" t="s">
        <v>1505</v>
      </c>
      <c r="HVV68" s="561" t="s">
        <v>1505</v>
      </c>
      <c r="HVW68" s="561" t="s">
        <v>1505</v>
      </c>
      <c r="HVX68" s="561" t="s">
        <v>1505</v>
      </c>
      <c r="HVY68" s="561" t="s">
        <v>1505</v>
      </c>
      <c r="HVZ68" s="561" t="s">
        <v>1505</v>
      </c>
      <c r="HWA68" s="561" t="s">
        <v>1505</v>
      </c>
      <c r="HWB68" s="561" t="s">
        <v>1505</v>
      </c>
      <c r="HWC68" s="561" t="s">
        <v>1505</v>
      </c>
      <c r="HWD68" s="561" t="s">
        <v>1505</v>
      </c>
      <c r="HWE68" s="561" t="s">
        <v>1505</v>
      </c>
      <c r="HWF68" s="561" t="s">
        <v>1505</v>
      </c>
      <c r="HWG68" s="561" t="s">
        <v>1505</v>
      </c>
      <c r="HWH68" s="561" t="s">
        <v>1505</v>
      </c>
      <c r="HWI68" s="561" t="s">
        <v>1505</v>
      </c>
      <c r="HWJ68" s="561" t="s">
        <v>1505</v>
      </c>
      <c r="HWK68" s="561" t="s">
        <v>1505</v>
      </c>
      <c r="HWL68" s="561" t="s">
        <v>1505</v>
      </c>
      <c r="HWM68" s="561" t="s">
        <v>1505</v>
      </c>
      <c r="HWN68" s="561" t="s">
        <v>1505</v>
      </c>
      <c r="HWO68" s="561" t="s">
        <v>1505</v>
      </c>
      <c r="HWP68" s="561" t="s">
        <v>1505</v>
      </c>
      <c r="HWQ68" s="561" t="s">
        <v>1505</v>
      </c>
      <c r="HWR68" s="561" t="s">
        <v>1505</v>
      </c>
      <c r="HWS68" s="561" t="s">
        <v>1505</v>
      </c>
      <c r="HWT68" s="561" t="s">
        <v>1505</v>
      </c>
      <c r="HWU68" s="561" t="s">
        <v>1505</v>
      </c>
      <c r="HWV68" s="561" t="s">
        <v>1505</v>
      </c>
      <c r="HWW68" s="561" t="s">
        <v>1505</v>
      </c>
      <c r="HWX68" s="561" t="s">
        <v>1505</v>
      </c>
      <c r="HWY68" s="561" t="s">
        <v>1505</v>
      </c>
      <c r="HWZ68" s="561" t="s">
        <v>1505</v>
      </c>
      <c r="HXA68" s="561" t="s">
        <v>1505</v>
      </c>
      <c r="HXB68" s="561" t="s">
        <v>1505</v>
      </c>
      <c r="HXC68" s="561" t="s">
        <v>1505</v>
      </c>
      <c r="HXD68" s="561" t="s">
        <v>1505</v>
      </c>
      <c r="HXE68" s="561" t="s">
        <v>1505</v>
      </c>
      <c r="HXF68" s="561" t="s">
        <v>1505</v>
      </c>
      <c r="HXG68" s="561" t="s">
        <v>1505</v>
      </c>
      <c r="HXH68" s="561" t="s">
        <v>1505</v>
      </c>
      <c r="HXI68" s="561" t="s">
        <v>1505</v>
      </c>
      <c r="HXJ68" s="561" t="s">
        <v>1505</v>
      </c>
      <c r="HXK68" s="561" t="s">
        <v>1505</v>
      </c>
      <c r="HXL68" s="561" t="s">
        <v>1505</v>
      </c>
      <c r="HXM68" s="561" t="s">
        <v>1505</v>
      </c>
      <c r="HXN68" s="561" t="s">
        <v>1505</v>
      </c>
      <c r="HXO68" s="561" t="s">
        <v>1505</v>
      </c>
      <c r="HXP68" s="561" t="s">
        <v>1505</v>
      </c>
      <c r="HXQ68" s="561" t="s">
        <v>1505</v>
      </c>
      <c r="HXR68" s="561" t="s">
        <v>1505</v>
      </c>
      <c r="HXS68" s="561" t="s">
        <v>1505</v>
      </c>
      <c r="HXT68" s="561" t="s">
        <v>1505</v>
      </c>
      <c r="HXU68" s="561" t="s">
        <v>1505</v>
      </c>
      <c r="HXV68" s="561" t="s">
        <v>1505</v>
      </c>
      <c r="HXW68" s="561" t="s">
        <v>1505</v>
      </c>
      <c r="HXX68" s="561" t="s">
        <v>1505</v>
      </c>
      <c r="HXY68" s="561" t="s">
        <v>1505</v>
      </c>
      <c r="HXZ68" s="561" t="s">
        <v>1505</v>
      </c>
      <c r="HYA68" s="561" t="s">
        <v>1505</v>
      </c>
      <c r="HYB68" s="561" t="s">
        <v>1505</v>
      </c>
      <c r="HYC68" s="561" t="s">
        <v>1505</v>
      </c>
      <c r="HYD68" s="561" t="s">
        <v>1505</v>
      </c>
      <c r="HYE68" s="561" t="s">
        <v>1505</v>
      </c>
      <c r="HYF68" s="561" t="s">
        <v>1505</v>
      </c>
      <c r="HYG68" s="561" t="s">
        <v>1505</v>
      </c>
      <c r="HYH68" s="561" t="s">
        <v>1505</v>
      </c>
      <c r="HYI68" s="561" t="s">
        <v>1505</v>
      </c>
      <c r="HYJ68" s="561" t="s">
        <v>1505</v>
      </c>
      <c r="HYK68" s="561" t="s">
        <v>1505</v>
      </c>
      <c r="HYL68" s="561" t="s">
        <v>1505</v>
      </c>
      <c r="HYM68" s="561" t="s">
        <v>1505</v>
      </c>
      <c r="HYN68" s="561" t="s">
        <v>1505</v>
      </c>
      <c r="HYO68" s="561" t="s">
        <v>1505</v>
      </c>
      <c r="HYP68" s="561" t="s">
        <v>1505</v>
      </c>
      <c r="HYQ68" s="561" t="s">
        <v>1505</v>
      </c>
      <c r="HYR68" s="561" t="s">
        <v>1505</v>
      </c>
      <c r="HYS68" s="561" t="s">
        <v>1505</v>
      </c>
      <c r="HYT68" s="561" t="s">
        <v>1505</v>
      </c>
      <c r="HYU68" s="561" t="s">
        <v>1505</v>
      </c>
      <c r="HYV68" s="561" t="s">
        <v>1505</v>
      </c>
      <c r="HYW68" s="561" t="s">
        <v>1505</v>
      </c>
      <c r="HYX68" s="561" t="s">
        <v>1505</v>
      </c>
      <c r="HYY68" s="561" t="s">
        <v>1505</v>
      </c>
      <c r="HYZ68" s="561" t="s">
        <v>1505</v>
      </c>
      <c r="HZA68" s="561" t="s">
        <v>1505</v>
      </c>
      <c r="HZB68" s="561" t="s">
        <v>1505</v>
      </c>
      <c r="HZC68" s="561" t="s">
        <v>1505</v>
      </c>
      <c r="HZD68" s="561" t="s">
        <v>1505</v>
      </c>
      <c r="HZE68" s="561" t="s">
        <v>1505</v>
      </c>
      <c r="HZF68" s="561" t="s">
        <v>1505</v>
      </c>
      <c r="HZG68" s="561" t="s">
        <v>1505</v>
      </c>
      <c r="HZH68" s="561" t="s">
        <v>1505</v>
      </c>
      <c r="HZI68" s="561" t="s">
        <v>1505</v>
      </c>
      <c r="HZJ68" s="561" t="s">
        <v>1505</v>
      </c>
      <c r="HZK68" s="561" t="s">
        <v>1505</v>
      </c>
      <c r="HZL68" s="561" t="s">
        <v>1505</v>
      </c>
      <c r="HZM68" s="561" t="s">
        <v>1505</v>
      </c>
      <c r="HZN68" s="561" t="s">
        <v>1505</v>
      </c>
      <c r="HZO68" s="561" t="s">
        <v>1505</v>
      </c>
      <c r="HZP68" s="561" t="s">
        <v>1505</v>
      </c>
      <c r="HZQ68" s="561" t="s">
        <v>1505</v>
      </c>
      <c r="HZR68" s="561" t="s">
        <v>1505</v>
      </c>
      <c r="HZS68" s="561" t="s">
        <v>1505</v>
      </c>
      <c r="HZT68" s="561" t="s">
        <v>1505</v>
      </c>
      <c r="HZU68" s="561" t="s">
        <v>1505</v>
      </c>
      <c r="HZV68" s="561" t="s">
        <v>1505</v>
      </c>
      <c r="HZW68" s="561" t="s">
        <v>1505</v>
      </c>
      <c r="HZX68" s="561" t="s">
        <v>1505</v>
      </c>
      <c r="HZY68" s="561" t="s">
        <v>1505</v>
      </c>
      <c r="HZZ68" s="561" t="s">
        <v>1505</v>
      </c>
      <c r="IAA68" s="561" t="s">
        <v>1505</v>
      </c>
      <c r="IAB68" s="561" t="s">
        <v>1505</v>
      </c>
      <c r="IAC68" s="561" t="s">
        <v>1505</v>
      </c>
      <c r="IAD68" s="561" t="s">
        <v>1505</v>
      </c>
      <c r="IAE68" s="561" t="s">
        <v>1505</v>
      </c>
      <c r="IAF68" s="561" t="s">
        <v>1505</v>
      </c>
      <c r="IAG68" s="561" t="s">
        <v>1505</v>
      </c>
      <c r="IAH68" s="561" t="s">
        <v>1505</v>
      </c>
      <c r="IAI68" s="561" t="s">
        <v>1505</v>
      </c>
      <c r="IAJ68" s="561" t="s">
        <v>1505</v>
      </c>
      <c r="IAK68" s="561" t="s">
        <v>1505</v>
      </c>
      <c r="IAL68" s="561" t="s">
        <v>1505</v>
      </c>
      <c r="IAM68" s="561" t="s">
        <v>1505</v>
      </c>
      <c r="IAN68" s="561" t="s">
        <v>1505</v>
      </c>
      <c r="IAO68" s="561" t="s">
        <v>1505</v>
      </c>
      <c r="IAP68" s="561" t="s">
        <v>1505</v>
      </c>
      <c r="IAQ68" s="561" t="s">
        <v>1505</v>
      </c>
      <c r="IAR68" s="561" t="s">
        <v>1505</v>
      </c>
      <c r="IAS68" s="561" t="s">
        <v>1505</v>
      </c>
      <c r="IAT68" s="561" t="s">
        <v>1505</v>
      </c>
      <c r="IAU68" s="561" t="s">
        <v>1505</v>
      </c>
      <c r="IAV68" s="561" t="s">
        <v>1505</v>
      </c>
      <c r="IAW68" s="561" t="s">
        <v>1505</v>
      </c>
      <c r="IAX68" s="561" t="s">
        <v>1505</v>
      </c>
      <c r="IAY68" s="561" t="s">
        <v>1505</v>
      </c>
      <c r="IAZ68" s="561" t="s">
        <v>1505</v>
      </c>
      <c r="IBA68" s="561" t="s">
        <v>1505</v>
      </c>
      <c r="IBB68" s="561" t="s">
        <v>1505</v>
      </c>
      <c r="IBC68" s="561" t="s">
        <v>1505</v>
      </c>
      <c r="IBD68" s="561" t="s">
        <v>1505</v>
      </c>
      <c r="IBE68" s="561" t="s">
        <v>1505</v>
      </c>
      <c r="IBF68" s="561" t="s">
        <v>1505</v>
      </c>
      <c r="IBG68" s="561" t="s">
        <v>1505</v>
      </c>
      <c r="IBH68" s="561" t="s">
        <v>1505</v>
      </c>
      <c r="IBI68" s="561" t="s">
        <v>1505</v>
      </c>
      <c r="IBJ68" s="561" t="s">
        <v>1505</v>
      </c>
      <c r="IBK68" s="561" t="s">
        <v>1505</v>
      </c>
      <c r="IBL68" s="561" t="s">
        <v>1505</v>
      </c>
      <c r="IBM68" s="561" t="s">
        <v>1505</v>
      </c>
      <c r="IBN68" s="561" t="s">
        <v>1505</v>
      </c>
      <c r="IBO68" s="561" t="s">
        <v>1505</v>
      </c>
      <c r="IBP68" s="561" t="s">
        <v>1505</v>
      </c>
      <c r="IBQ68" s="561" t="s">
        <v>1505</v>
      </c>
      <c r="IBR68" s="561" t="s">
        <v>1505</v>
      </c>
      <c r="IBS68" s="561" t="s">
        <v>1505</v>
      </c>
      <c r="IBT68" s="561" t="s">
        <v>1505</v>
      </c>
      <c r="IBU68" s="561" t="s">
        <v>1505</v>
      </c>
      <c r="IBV68" s="561" t="s">
        <v>1505</v>
      </c>
      <c r="IBW68" s="561" t="s">
        <v>1505</v>
      </c>
      <c r="IBX68" s="561" t="s">
        <v>1505</v>
      </c>
      <c r="IBY68" s="561" t="s">
        <v>1505</v>
      </c>
      <c r="IBZ68" s="561" t="s">
        <v>1505</v>
      </c>
      <c r="ICA68" s="561" t="s">
        <v>1505</v>
      </c>
      <c r="ICB68" s="561" t="s">
        <v>1505</v>
      </c>
      <c r="ICC68" s="561" t="s">
        <v>1505</v>
      </c>
      <c r="ICD68" s="561" t="s">
        <v>1505</v>
      </c>
      <c r="ICE68" s="561" t="s">
        <v>1505</v>
      </c>
      <c r="ICF68" s="561" t="s">
        <v>1505</v>
      </c>
      <c r="ICG68" s="561" t="s">
        <v>1505</v>
      </c>
      <c r="ICH68" s="561" t="s">
        <v>1505</v>
      </c>
      <c r="ICI68" s="561" t="s">
        <v>1505</v>
      </c>
      <c r="ICJ68" s="561" t="s">
        <v>1505</v>
      </c>
      <c r="ICK68" s="561" t="s">
        <v>1505</v>
      </c>
      <c r="ICL68" s="561" t="s">
        <v>1505</v>
      </c>
      <c r="ICM68" s="561" t="s">
        <v>1505</v>
      </c>
      <c r="ICN68" s="561" t="s">
        <v>1505</v>
      </c>
      <c r="ICO68" s="561" t="s">
        <v>1505</v>
      </c>
      <c r="ICP68" s="561" t="s">
        <v>1505</v>
      </c>
      <c r="ICQ68" s="561" t="s">
        <v>1505</v>
      </c>
      <c r="ICR68" s="561" t="s">
        <v>1505</v>
      </c>
      <c r="ICS68" s="561" t="s">
        <v>1505</v>
      </c>
      <c r="ICT68" s="561" t="s">
        <v>1505</v>
      </c>
      <c r="ICU68" s="561" t="s">
        <v>1505</v>
      </c>
      <c r="ICV68" s="561" t="s">
        <v>1505</v>
      </c>
      <c r="ICW68" s="561" t="s">
        <v>1505</v>
      </c>
      <c r="ICX68" s="561" t="s">
        <v>1505</v>
      </c>
      <c r="ICY68" s="561" t="s">
        <v>1505</v>
      </c>
      <c r="ICZ68" s="561" t="s">
        <v>1505</v>
      </c>
      <c r="IDA68" s="561" t="s">
        <v>1505</v>
      </c>
      <c r="IDB68" s="561" t="s">
        <v>1505</v>
      </c>
      <c r="IDC68" s="561" t="s">
        <v>1505</v>
      </c>
      <c r="IDD68" s="561" t="s">
        <v>1505</v>
      </c>
      <c r="IDE68" s="561" t="s">
        <v>1505</v>
      </c>
      <c r="IDF68" s="561" t="s">
        <v>1505</v>
      </c>
      <c r="IDG68" s="561" t="s">
        <v>1505</v>
      </c>
      <c r="IDH68" s="561" t="s">
        <v>1505</v>
      </c>
      <c r="IDI68" s="561" t="s">
        <v>1505</v>
      </c>
      <c r="IDJ68" s="561" t="s">
        <v>1505</v>
      </c>
      <c r="IDK68" s="561" t="s">
        <v>1505</v>
      </c>
      <c r="IDL68" s="561" t="s">
        <v>1505</v>
      </c>
      <c r="IDM68" s="561" t="s">
        <v>1505</v>
      </c>
      <c r="IDN68" s="561" t="s">
        <v>1505</v>
      </c>
      <c r="IDO68" s="561" t="s">
        <v>1505</v>
      </c>
      <c r="IDP68" s="561" t="s">
        <v>1505</v>
      </c>
      <c r="IDQ68" s="561" t="s">
        <v>1505</v>
      </c>
      <c r="IDR68" s="561" t="s">
        <v>1505</v>
      </c>
      <c r="IDS68" s="561" t="s">
        <v>1505</v>
      </c>
      <c r="IDT68" s="561" t="s">
        <v>1505</v>
      </c>
      <c r="IDU68" s="561" t="s">
        <v>1505</v>
      </c>
      <c r="IDV68" s="561" t="s">
        <v>1505</v>
      </c>
      <c r="IDW68" s="561" t="s">
        <v>1505</v>
      </c>
      <c r="IDX68" s="561" t="s">
        <v>1505</v>
      </c>
      <c r="IDY68" s="561" t="s">
        <v>1505</v>
      </c>
      <c r="IDZ68" s="561" t="s">
        <v>1505</v>
      </c>
      <c r="IEA68" s="561" t="s">
        <v>1505</v>
      </c>
      <c r="IEB68" s="561" t="s">
        <v>1505</v>
      </c>
      <c r="IEC68" s="561" t="s">
        <v>1505</v>
      </c>
      <c r="IED68" s="561" t="s">
        <v>1505</v>
      </c>
      <c r="IEE68" s="561" t="s">
        <v>1505</v>
      </c>
      <c r="IEF68" s="561" t="s">
        <v>1505</v>
      </c>
      <c r="IEG68" s="561" t="s">
        <v>1505</v>
      </c>
      <c r="IEH68" s="561" t="s">
        <v>1505</v>
      </c>
      <c r="IEI68" s="561" t="s">
        <v>1505</v>
      </c>
      <c r="IEJ68" s="561" t="s">
        <v>1505</v>
      </c>
      <c r="IEK68" s="561" t="s">
        <v>1505</v>
      </c>
      <c r="IEL68" s="561" t="s">
        <v>1505</v>
      </c>
      <c r="IEM68" s="561" t="s">
        <v>1505</v>
      </c>
      <c r="IEN68" s="561" t="s">
        <v>1505</v>
      </c>
      <c r="IEO68" s="561" t="s">
        <v>1505</v>
      </c>
      <c r="IEP68" s="561" t="s">
        <v>1505</v>
      </c>
      <c r="IEQ68" s="561" t="s">
        <v>1505</v>
      </c>
      <c r="IER68" s="561" t="s">
        <v>1505</v>
      </c>
      <c r="IES68" s="561" t="s">
        <v>1505</v>
      </c>
      <c r="IET68" s="561" t="s">
        <v>1505</v>
      </c>
      <c r="IEU68" s="561" t="s">
        <v>1505</v>
      </c>
      <c r="IEV68" s="561" t="s">
        <v>1505</v>
      </c>
      <c r="IEW68" s="561" t="s">
        <v>1505</v>
      </c>
      <c r="IEX68" s="561" t="s">
        <v>1505</v>
      </c>
      <c r="IEY68" s="561" t="s">
        <v>1505</v>
      </c>
      <c r="IEZ68" s="561" t="s">
        <v>1505</v>
      </c>
      <c r="IFA68" s="561" t="s">
        <v>1505</v>
      </c>
      <c r="IFB68" s="561" t="s">
        <v>1505</v>
      </c>
      <c r="IFC68" s="561" t="s">
        <v>1505</v>
      </c>
      <c r="IFD68" s="561" t="s">
        <v>1505</v>
      </c>
      <c r="IFE68" s="561" t="s">
        <v>1505</v>
      </c>
      <c r="IFF68" s="561" t="s">
        <v>1505</v>
      </c>
      <c r="IFG68" s="561" t="s">
        <v>1505</v>
      </c>
      <c r="IFH68" s="561" t="s">
        <v>1505</v>
      </c>
      <c r="IFI68" s="561" t="s">
        <v>1505</v>
      </c>
      <c r="IFJ68" s="561" t="s">
        <v>1505</v>
      </c>
      <c r="IFK68" s="561" t="s">
        <v>1505</v>
      </c>
      <c r="IFL68" s="561" t="s">
        <v>1505</v>
      </c>
      <c r="IFM68" s="561" t="s">
        <v>1505</v>
      </c>
      <c r="IFN68" s="561" t="s">
        <v>1505</v>
      </c>
      <c r="IFO68" s="561" t="s">
        <v>1505</v>
      </c>
      <c r="IFP68" s="561" t="s">
        <v>1505</v>
      </c>
      <c r="IFQ68" s="561" t="s">
        <v>1505</v>
      </c>
      <c r="IFR68" s="561" t="s">
        <v>1505</v>
      </c>
      <c r="IFS68" s="561" t="s">
        <v>1505</v>
      </c>
      <c r="IFT68" s="561" t="s">
        <v>1505</v>
      </c>
      <c r="IFU68" s="561" t="s">
        <v>1505</v>
      </c>
      <c r="IFV68" s="561" t="s">
        <v>1505</v>
      </c>
      <c r="IFW68" s="561" t="s">
        <v>1505</v>
      </c>
      <c r="IFX68" s="561" t="s">
        <v>1505</v>
      </c>
      <c r="IFY68" s="561" t="s">
        <v>1505</v>
      </c>
      <c r="IFZ68" s="561" t="s">
        <v>1505</v>
      </c>
      <c r="IGA68" s="561" t="s">
        <v>1505</v>
      </c>
      <c r="IGB68" s="561" t="s">
        <v>1505</v>
      </c>
      <c r="IGC68" s="561" t="s">
        <v>1505</v>
      </c>
      <c r="IGD68" s="561" t="s">
        <v>1505</v>
      </c>
      <c r="IGE68" s="561" t="s">
        <v>1505</v>
      </c>
      <c r="IGF68" s="561" t="s">
        <v>1505</v>
      </c>
      <c r="IGG68" s="561" t="s">
        <v>1505</v>
      </c>
      <c r="IGH68" s="561" t="s">
        <v>1505</v>
      </c>
      <c r="IGI68" s="561" t="s">
        <v>1505</v>
      </c>
      <c r="IGJ68" s="561" t="s">
        <v>1505</v>
      </c>
      <c r="IGK68" s="561" t="s">
        <v>1505</v>
      </c>
      <c r="IGL68" s="561" t="s">
        <v>1505</v>
      </c>
      <c r="IGM68" s="561" t="s">
        <v>1505</v>
      </c>
      <c r="IGN68" s="561" t="s">
        <v>1505</v>
      </c>
      <c r="IGO68" s="561" t="s">
        <v>1505</v>
      </c>
      <c r="IGP68" s="561" t="s">
        <v>1505</v>
      </c>
      <c r="IGQ68" s="561" t="s">
        <v>1505</v>
      </c>
      <c r="IGR68" s="561" t="s">
        <v>1505</v>
      </c>
      <c r="IGS68" s="561" t="s">
        <v>1505</v>
      </c>
      <c r="IGT68" s="561" t="s">
        <v>1505</v>
      </c>
      <c r="IGU68" s="561" t="s">
        <v>1505</v>
      </c>
      <c r="IGV68" s="561" t="s">
        <v>1505</v>
      </c>
      <c r="IGW68" s="561" t="s">
        <v>1505</v>
      </c>
      <c r="IGX68" s="561" t="s">
        <v>1505</v>
      </c>
      <c r="IGY68" s="561" t="s">
        <v>1505</v>
      </c>
      <c r="IGZ68" s="561" t="s">
        <v>1505</v>
      </c>
      <c r="IHA68" s="561" t="s">
        <v>1505</v>
      </c>
      <c r="IHB68" s="561" t="s">
        <v>1505</v>
      </c>
      <c r="IHC68" s="561" t="s">
        <v>1505</v>
      </c>
      <c r="IHD68" s="561" t="s">
        <v>1505</v>
      </c>
      <c r="IHE68" s="561" t="s">
        <v>1505</v>
      </c>
      <c r="IHF68" s="561" t="s">
        <v>1505</v>
      </c>
      <c r="IHG68" s="561" t="s">
        <v>1505</v>
      </c>
      <c r="IHH68" s="561" t="s">
        <v>1505</v>
      </c>
      <c r="IHI68" s="561" t="s">
        <v>1505</v>
      </c>
      <c r="IHJ68" s="561" t="s">
        <v>1505</v>
      </c>
      <c r="IHK68" s="561" t="s">
        <v>1505</v>
      </c>
      <c r="IHL68" s="561" t="s">
        <v>1505</v>
      </c>
      <c r="IHM68" s="561" t="s">
        <v>1505</v>
      </c>
      <c r="IHN68" s="561" t="s">
        <v>1505</v>
      </c>
      <c r="IHO68" s="561" t="s">
        <v>1505</v>
      </c>
      <c r="IHP68" s="561" t="s">
        <v>1505</v>
      </c>
      <c r="IHQ68" s="561" t="s">
        <v>1505</v>
      </c>
      <c r="IHR68" s="561" t="s">
        <v>1505</v>
      </c>
      <c r="IHS68" s="561" t="s">
        <v>1505</v>
      </c>
      <c r="IHT68" s="561" t="s">
        <v>1505</v>
      </c>
      <c r="IHU68" s="561" t="s">
        <v>1505</v>
      </c>
      <c r="IHV68" s="561" t="s">
        <v>1505</v>
      </c>
      <c r="IHW68" s="561" t="s">
        <v>1505</v>
      </c>
      <c r="IHX68" s="561" t="s">
        <v>1505</v>
      </c>
      <c r="IHY68" s="561" t="s">
        <v>1505</v>
      </c>
      <c r="IHZ68" s="561" t="s">
        <v>1505</v>
      </c>
      <c r="IIA68" s="561" t="s">
        <v>1505</v>
      </c>
      <c r="IIB68" s="561" t="s">
        <v>1505</v>
      </c>
      <c r="IIC68" s="561" t="s">
        <v>1505</v>
      </c>
      <c r="IID68" s="561" t="s">
        <v>1505</v>
      </c>
      <c r="IIE68" s="561" t="s">
        <v>1505</v>
      </c>
      <c r="IIF68" s="561" t="s">
        <v>1505</v>
      </c>
      <c r="IIG68" s="561" t="s">
        <v>1505</v>
      </c>
      <c r="IIH68" s="561" t="s">
        <v>1505</v>
      </c>
      <c r="III68" s="561" t="s">
        <v>1505</v>
      </c>
      <c r="IIJ68" s="561" t="s">
        <v>1505</v>
      </c>
      <c r="IIK68" s="561" t="s">
        <v>1505</v>
      </c>
      <c r="IIL68" s="561" t="s">
        <v>1505</v>
      </c>
      <c r="IIM68" s="561" t="s">
        <v>1505</v>
      </c>
      <c r="IIN68" s="561" t="s">
        <v>1505</v>
      </c>
      <c r="IIO68" s="561" t="s">
        <v>1505</v>
      </c>
      <c r="IIP68" s="561" t="s">
        <v>1505</v>
      </c>
      <c r="IIQ68" s="561" t="s">
        <v>1505</v>
      </c>
      <c r="IIR68" s="561" t="s">
        <v>1505</v>
      </c>
      <c r="IIS68" s="561" t="s">
        <v>1505</v>
      </c>
      <c r="IIT68" s="561" t="s">
        <v>1505</v>
      </c>
      <c r="IIU68" s="561" t="s">
        <v>1505</v>
      </c>
      <c r="IIV68" s="561" t="s">
        <v>1505</v>
      </c>
      <c r="IIW68" s="561" t="s">
        <v>1505</v>
      </c>
      <c r="IIX68" s="561" t="s">
        <v>1505</v>
      </c>
      <c r="IIY68" s="561" t="s">
        <v>1505</v>
      </c>
      <c r="IIZ68" s="561" t="s">
        <v>1505</v>
      </c>
      <c r="IJA68" s="561" t="s">
        <v>1505</v>
      </c>
      <c r="IJB68" s="561" t="s">
        <v>1505</v>
      </c>
      <c r="IJC68" s="561" t="s">
        <v>1505</v>
      </c>
      <c r="IJD68" s="561" t="s">
        <v>1505</v>
      </c>
      <c r="IJE68" s="561" t="s">
        <v>1505</v>
      </c>
      <c r="IJF68" s="561" t="s">
        <v>1505</v>
      </c>
      <c r="IJG68" s="561" t="s">
        <v>1505</v>
      </c>
      <c r="IJH68" s="561" t="s">
        <v>1505</v>
      </c>
      <c r="IJI68" s="561" t="s">
        <v>1505</v>
      </c>
      <c r="IJJ68" s="561" t="s">
        <v>1505</v>
      </c>
      <c r="IJK68" s="561" t="s">
        <v>1505</v>
      </c>
      <c r="IJL68" s="561" t="s">
        <v>1505</v>
      </c>
      <c r="IJM68" s="561" t="s">
        <v>1505</v>
      </c>
      <c r="IJN68" s="561" t="s">
        <v>1505</v>
      </c>
      <c r="IJO68" s="561" t="s">
        <v>1505</v>
      </c>
      <c r="IJP68" s="561" t="s">
        <v>1505</v>
      </c>
      <c r="IJQ68" s="561" t="s">
        <v>1505</v>
      </c>
      <c r="IJR68" s="561" t="s">
        <v>1505</v>
      </c>
      <c r="IJS68" s="561" t="s">
        <v>1505</v>
      </c>
      <c r="IJT68" s="561" t="s">
        <v>1505</v>
      </c>
      <c r="IJU68" s="561" t="s">
        <v>1505</v>
      </c>
      <c r="IJV68" s="561" t="s">
        <v>1505</v>
      </c>
      <c r="IJW68" s="561" t="s">
        <v>1505</v>
      </c>
      <c r="IJX68" s="561" t="s">
        <v>1505</v>
      </c>
      <c r="IJY68" s="561" t="s">
        <v>1505</v>
      </c>
      <c r="IJZ68" s="561" t="s">
        <v>1505</v>
      </c>
      <c r="IKA68" s="561" t="s">
        <v>1505</v>
      </c>
      <c r="IKB68" s="561" t="s">
        <v>1505</v>
      </c>
      <c r="IKC68" s="561" t="s">
        <v>1505</v>
      </c>
      <c r="IKD68" s="561" t="s">
        <v>1505</v>
      </c>
      <c r="IKE68" s="561" t="s">
        <v>1505</v>
      </c>
      <c r="IKF68" s="561" t="s">
        <v>1505</v>
      </c>
      <c r="IKG68" s="561" t="s">
        <v>1505</v>
      </c>
      <c r="IKH68" s="561" t="s">
        <v>1505</v>
      </c>
      <c r="IKI68" s="561" t="s">
        <v>1505</v>
      </c>
      <c r="IKJ68" s="561" t="s">
        <v>1505</v>
      </c>
      <c r="IKK68" s="561" t="s">
        <v>1505</v>
      </c>
      <c r="IKL68" s="561" t="s">
        <v>1505</v>
      </c>
      <c r="IKM68" s="561" t="s">
        <v>1505</v>
      </c>
      <c r="IKN68" s="561" t="s">
        <v>1505</v>
      </c>
      <c r="IKO68" s="561" t="s">
        <v>1505</v>
      </c>
      <c r="IKP68" s="561" t="s">
        <v>1505</v>
      </c>
      <c r="IKQ68" s="561" t="s">
        <v>1505</v>
      </c>
      <c r="IKR68" s="561" t="s">
        <v>1505</v>
      </c>
      <c r="IKS68" s="561" t="s">
        <v>1505</v>
      </c>
      <c r="IKT68" s="561" t="s">
        <v>1505</v>
      </c>
      <c r="IKU68" s="561" t="s">
        <v>1505</v>
      </c>
      <c r="IKV68" s="561" t="s">
        <v>1505</v>
      </c>
      <c r="IKW68" s="561" t="s">
        <v>1505</v>
      </c>
      <c r="IKX68" s="561" t="s">
        <v>1505</v>
      </c>
      <c r="IKY68" s="561" t="s">
        <v>1505</v>
      </c>
      <c r="IKZ68" s="561" t="s">
        <v>1505</v>
      </c>
      <c r="ILA68" s="561" t="s">
        <v>1505</v>
      </c>
      <c r="ILB68" s="561" t="s">
        <v>1505</v>
      </c>
      <c r="ILC68" s="561" t="s">
        <v>1505</v>
      </c>
      <c r="ILD68" s="561" t="s">
        <v>1505</v>
      </c>
      <c r="ILE68" s="561" t="s">
        <v>1505</v>
      </c>
      <c r="ILF68" s="561" t="s">
        <v>1505</v>
      </c>
      <c r="ILG68" s="561" t="s">
        <v>1505</v>
      </c>
      <c r="ILH68" s="561" t="s">
        <v>1505</v>
      </c>
      <c r="ILI68" s="561" t="s">
        <v>1505</v>
      </c>
      <c r="ILJ68" s="561" t="s">
        <v>1505</v>
      </c>
      <c r="ILK68" s="561" t="s">
        <v>1505</v>
      </c>
      <c r="ILL68" s="561" t="s">
        <v>1505</v>
      </c>
      <c r="ILM68" s="561" t="s">
        <v>1505</v>
      </c>
      <c r="ILN68" s="561" t="s">
        <v>1505</v>
      </c>
      <c r="ILO68" s="561" t="s">
        <v>1505</v>
      </c>
      <c r="ILP68" s="561" t="s">
        <v>1505</v>
      </c>
      <c r="ILQ68" s="561" t="s">
        <v>1505</v>
      </c>
      <c r="ILR68" s="561" t="s">
        <v>1505</v>
      </c>
      <c r="ILS68" s="561" t="s">
        <v>1505</v>
      </c>
      <c r="ILT68" s="561" t="s">
        <v>1505</v>
      </c>
      <c r="ILU68" s="561" t="s">
        <v>1505</v>
      </c>
      <c r="ILV68" s="561" t="s">
        <v>1505</v>
      </c>
      <c r="ILW68" s="561" t="s">
        <v>1505</v>
      </c>
      <c r="ILX68" s="561" t="s">
        <v>1505</v>
      </c>
      <c r="ILY68" s="561" t="s">
        <v>1505</v>
      </c>
      <c r="ILZ68" s="561" t="s">
        <v>1505</v>
      </c>
      <c r="IMA68" s="561" t="s">
        <v>1505</v>
      </c>
      <c r="IMB68" s="561" t="s">
        <v>1505</v>
      </c>
      <c r="IMC68" s="561" t="s">
        <v>1505</v>
      </c>
      <c r="IMD68" s="561" t="s">
        <v>1505</v>
      </c>
      <c r="IME68" s="561" t="s">
        <v>1505</v>
      </c>
      <c r="IMF68" s="561" t="s">
        <v>1505</v>
      </c>
      <c r="IMG68" s="561" t="s">
        <v>1505</v>
      </c>
      <c r="IMH68" s="561" t="s">
        <v>1505</v>
      </c>
      <c r="IMI68" s="561" t="s">
        <v>1505</v>
      </c>
      <c r="IMJ68" s="561" t="s">
        <v>1505</v>
      </c>
      <c r="IMK68" s="561" t="s">
        <v>1505</v>
      </c>
      <c r="IML68" s="561" t="s">
        <v>1505</v>
      </c>
      <c r="IMM68" s="561" t="s">
        <v>1505</v>
      </c>
      <c r="IMN68" s="561" t="s">
        <v>1505</v>
      </c>
      <c r="IMO68" s="561" t="s">
        <v>1505</v>
      </c>
      <c r="IMP68" s="561" t="s">
        <v>1505</v>
      </c>
      <c r="IMQ68" s="561" t="s">
        <v>1505</v>
      </c>
      <c r="IMR68" s="561" t="s">
        <v>1505</v>
      </c>
      <c r="IMS68" s="561" t="s">
        <v>1505</v>
      </c>
      <c r="IMT68" s="561" t="s">
        <v>1505</v>
      </c>
      <c r="IMU68" s="561" t="s">
        <v>1505</v>
      </c>
      <c r="IMV68" s="561" t="s">
        <v>1505</v>
      </c>
      <c r="IMW68" s="561" t="s">
        <v>1505</v>
      </c>
      <c r="IMX68" s="561" t="s">
        <v>1505</v>
      </c>
      <c r="IMY68" s="561" t="s">
        <v>1505</v>
      </c>
      <c r="IMZ68" s="561" t="s">
        <v>1505</v>
      </c>
      <c r="INA68" s="561" t="s">
        <v>1505</v>
      </c>
      <c r="INB68" s="561" t="s">
        <v>1505</v>
      </c>
      <c r="INC68" s="561" t="s">
        <v>1505</v>
      </c>
      <c r="IND68" s="561" t="s">
        <v>1505</v>
      </c>
      <c r="INE68" s="561" t="s">
        <v>1505</v>
      </c>
      <c r="INF68" s="561" t="s">
        <v>1505</v>
      </c>
      <c r="ING68" s="561" t="s">
        <v>1505</v>
      </c>
      <c r="INH68" s="561" t="s">
        <v>1505</v>
      </c>
      <c r="INI68" s="561" t="s">
        <v>1505</v>
      </c>
      <c r="INJ68" s="561" t="s">
        <v>1505</v>
      </c>
      <c r="INK68" s="561" t="s">
        <v>1505</v>
      </c>
      <c r="INL68" s="561" t="s">
        <v>1505</v>
      </c>
      <c r="INM68" s="561" t="s">
        <v>1505</v>
      </c>
      <c r="INN68" s="561" t="s">
        <v>1505</v>
      </c>
      <c r="INO68" s="561" t="s">
        <v>1505</v>
      </c>
      <c r="INP68" s="561" t="s">
        <v>1505</v>
      </c>
      <c r="INQ68" s="561" t="s">
        <v>1505</v>
      </c>
      <c r="INR68" s="561" t="s">
        <v>1505</v>
      </c>
      <c r="INS68" s="561" t="s">
        <v>1505</v>
      </c>
      <c r="INT68" s="561" t="s">
        <v>1505</v>
      </c>
      <c r="INU68" s="561" t="s">
        <v>1505</v>
      </c>
      <c r="INV68" s="561" t="s">
        <v>1505</v>
      </c>
      <c r="INW68" s="561" t="s">
        <v>1505</v>
      </c>
      <c r="INX68" s="561" t="s">
        <v>1505</v>
      </c>
      <c r="INY68" s="561" t="s">
        <v>1505</v>
      </c>
      <c r="INZ68" s="561" t="s">
        <v>1505</v>
      </c>
      <c r="IOA68" s="561" t="s">
        <v>1505</v>
      </c>
      <c r="IOB68" s="561" t="s">
        <v>1505</v>
      </c>
      <c r="IOC68" s="561" t="s">
        <v>1505</v>
      </c>
      <c r="IOD68" s="561" t="s">
        <v>1505</v>
      </c>
      <c r="IOE68" s="561" t="s">
        <v>1505</v>
      </c>
      <c r="IOF68" s="561" t="s">
        <v>1505</v>
      </c>
      <c r="IOG68" s="561" t="s">
        <v>1505</v>
      </c>
      <c r="IOH68" s="561" t="s">
        <v>1505</v>
      </c>
      <c r="IOI68" s="561" t="s">
        <v>1505</v>
      </c>
      <c r="IOJ68" s="561" t="s">
        <v>1505</v>
      </c>
      <c r="IOK68" s="561" t="s">
        <v>1505</v>
      </c>
      <c r="IOL68" s="561" t="s">
        <v>1505</v>
      </c>
      <c r="IOM68" s="561" t="s">
        <v>1505</v>
      </c>
      <c r="ION68" s="561" t="s">
        <v>1505</v>
      </c>
      <c r="IOO68" s="561" t="s">
        <v>1505</v>
      </c>
      <c r="IOP68" s="561" t="s">
        <v>1505</v>
      </c>
      <c r="IOQ68" s="561" t="s">
        <v>1505</v>
      </c>
      <c r="IOR68" s="561" t="s">
        <v>1505</v>
      </c>
      <c r="IOS68" s="561" t="s">
        <v>1505</v>
      </c>
      <c r="IOT68" s="561" t="s">
        <v>1505</v>
      </c>
      <c r="IOU68" s="561" t="s">
        <v>1505</v>
      </c>
      <c r="IOV68" s="561" t="s">
        <v>1505</v>
      </c>
      <c r="IOW68" s="561" t="s">
        <v>1505</v>
      </c>
      <c r="IOX68" s="561" t="s">
        <v>1505</v>
      </c>
      <c r="IOY68" s="561" t="s">
        <v>1505</v>
      </c>
      <c r="IOZ68" s="561" t="s">
        <v>1505</v>
      </c>
      <c r="IPA68" s="561" t="s">
        <v>1505</v>
      </c>
      <c r="IPB68" s="561" t="s">
        <v>1505</v>
      </c>
      <c r="IPC68" s="561" t="s">
        <v>1505</v>
      </c>
      <c r="IPD68" s="561" t="s">
        <v>1505</v>
      </c>
      <c r="IPE68" s="561" t="s">
        <v>1505</v>
      </c>
      <c r="IPF68" s="561" t="s">
        <v>1505</v>
      </c>
      <c r="IPG68" s="561" t="s">
        <v>1505</v>
      </c>
      <c r="IPH68" s="561" t="s">
        <v>1505</v>
      </c>
      <c r="IPI68" s="561" t="s">
        <v>1505</v>
      </c>
      <c r="IPJ68" s="561" t="s">
        <v>1505</v>
      </c>
      <c r="IPK68" s="561" t="s">
        <v>1505</v>
      </c>
      <c r="IPL68" s="561" t="s">
        <v>1505</v>
      </c>
      <c r="IPM68" s="561" t="s">
        <v>1505</v>
      </c>
      <c r="IPN68" s="561" t="s">
        <v>1505</v>
      </c>
      <c r="IPO68" s="561" t="s">
        <v>1505</v>
      </c>
      <c r="IPP68" s="561" t="s">
        <v>1505</v>
      </c>
      <c r="IPQ68" s="561" t="s">
        <v>1505</v>
      </c>
      <c r="IPR68" s="561" t="s">
        <v>1505</v>
      </c>
      <c r="IPS68" s="561" t="s">
        <v>1505</v>
      </c>
      <c r="IPT68" s="561" t="s">
        <v>1505</v>
      </c>
      <c r="IPU68" s="561" t="s">
        <v>1505</v>
      </c>
      <c r="IPV68" s="561" t="s">
        <v>1505</v>
      </c>
      <c r="IPW68" s="561" t="s">
        <v>1505</v>
      </c>
      <c r="IPX68" s="561" t="s">
        <v>1505</v>
      </c>
      <c r="IPY68" s="561" t="s">
        <v>1505</v>
      </c>
      <c r="IPZ68" s="561" t="s">
        <v>1505</v>
      </c>
      <c r="IQA68" s="561" t="s">
        <v>1505</v>
      </c>
      <c r="IQB68" s="561" t="s">
        <v>1505</v>
      </c>
      <c r="IQC68" s="561" t="s">
        <v>1505</v>
      </c>
      <c r="IQD68" s="561" t="s">
        <v>1505</v>
      </c>
      <c r="IQE68" s="561" t="s">
        <v>1505</v>
      </c>
      <c r="IQF68" s="561" t="s">
        <v>1505</v>
      </c>
      <c r="IQG68" s="561" t="s">
        <v>1505</v>
      </c>
      <c r="IQH68" s="561" t="s">
        <v>1505</v>
      </c>
      <c r="IQI68" s="561" t="s">
        <v>1505</v>
      </c>
      <c r="IQJ68" s="561" t="s">
        <v>1505</v>
      </c>
      <c r="IQK68" s="561" t="s">
        <v>1505</v>
      </c>
      <c r="IQL68" s="561" t="s">
        <v>1505</v>
      </c>
      <c r="IQM68" s="561" t="s">
        <v>1505</v>
      </c>
      <c r="IQN68" s="561" t="s">
        <v>1505</v>
      </c>
      <c r="IQO68" s="561" t="s">
        <v>1505</v>
      </c>
      <c r="IQP68" s="561" t="s">
        <v>1505</v>
      </c>
      <c r="IQQ68" s="561" t="s">
        <v>1505</v>
      </c>
      <c r="IQR68" s="561" t="s">
        <v>1505</v>
      </c>
      <c r="IQS68" s="561" t="s">
        <v>1505</v>
      </c>
      <c r="IQT68" s="561" t="s">
        <v>1505</v>
      </c>
      <c r="IQU68" s="561" t="s">
        <v>1505</v>
      </c>
      <c r="IQV68" s="561" t="s">
        <v>1505</v>
      </c>
      <c r="IQW68" s="561" t="s">
        <v>1505</v>
      </c>
      <c r="IQX68" s="561" t="s">
        <v>1505</v>
      </c>
      <c r="IQY68" s="561" t="s">
        <v>1505</v>
      </c>
      <c r="IQZ68" s="561" t="s">
        <v>1505</v>
      </c>
      <c r="IRA68" s="561" t="s">
        <v>1505</v>
      </c>
      <c r="IRB68" s="561" t="s">
        <v>1505</v>
      </c>
      <c r="IRC68" s="561" t="s">
        <v>1505</v>
      </c>
      <c r="IRD68" s="561" t="s">
        <v>1505</v>
      </c>
      <c r="IRE68" s="561" t="s">
        <v>1505</v>
      </c>
      <c r="IRF68" s="561" t="s">
        <v>1505</v>
      </c>
      <c r="IRG68" s="561" t="s">
        <v>1505</v>
      </c>
      <c r="IRH68" s="561" t="s">
        <v>1505</v>
      </c>
      <c r="IRI68" s="561" t="s">
        <v>1505</v>
      </c>
      <c r="IRJ68" s="561" t="s">
        <v>1505</v>
      </c>
      <c r="IRK68" s="561" t="s">
        <v>1505</v>
      </c>
      <c r="IRL68" s="561" t="s">
        <v>1505</v>
      </c>
      <c r="IRM68" s="561" t="s">
        <v>1505</v>
      </c>
      <c r="IRN68" s="561" t="s">
        <v>1505</v>
      </c>
      <c r="IRO68" s="561" t="s">
        <v>1505</v>
      </c>
      <c r="IRP68" s="561" t="s">
        <v>1505</v>
      </c>
      <c r="IRQ68" s="561" t="s">
        <v>1505</v>
      </c>
      <c r="IRR68" s="561" t="s">
        <v>1505</v>
      </c>
      <c r="IRS68" s="561" t="s">
        <v>1505</v>
      </c>
      <c r="IRT68" s="561" t="s">
        <v>1505</v>
      </c>
      <c r="IRU68" s="561" t="s">
        <v>1505</v>
      </c>
      <c r="IRV68" s="561" t="s">
        <v>1505</v>
      </c>
      <c r="IRW68" s="561" t="s">
        <v>1505</v>
      </c>
      <c r="IRX68" s="561" t="s">
        <v>1505</v>
      </c>
      <c r="IRY68" s="561" t="s">
        <v>1505</v>
      </c>
      <c r="IRZ68" s="561" t="s">
        <v>1505</v>
      </c>
      <c r="ISA68" s="561" t="s">
        <v>1505</v>
      </c>
      <c r="ISB68" s="561" t="s">
        <v>1505</v>
      </c>
      <c r="ISC68" s="561" t="s">
        <v>1505</v>
      </c>
      <c r="ISD68" s="561" t="s">
        <v>1505</v>
      </c>
      <c r="ISE68" s="561" t="s">
        <v>1505</v>
      </c>
      <c r="ISF68" s="561" t="s">
        <v>1505</v>
      </c>
      <c r="ISG68" s="561" t="s">
        <v>1505</v>
      </c>
      <c r="ISH68" s="561" t="s">
        <v>1505</v>
      </c>
      <c r="ISI68" s="561" t="s">
        <v>1505</v>
      </c>
      <c r="ISJ68" s="561" t="s">
        <v>1505</v>
      </c>
      <c r="ISK68" s="561" t="s">
        <v>1505</v>
      </c>
      <c r="ISL68" s="561" t="s">
        <v>1505</v>
      </c>
      <c r="ISM68" s="561" t="s">
        <v>1505</v>
      </c>
      <c r="ISN68" s="561" t="s">
        <v>1505</v>
      </c>
      <c r="ISO68" s="561" t="s">
        <v>1505</v>
      </c>
      <c r="ISP68" s="561" t="s">
        <v>1505</v>
      </c>
      <c r="ISQ68" s="561" t="s">
        <v>1505</v>
      </c>
      <c r="ISR68" s="561" t="s">
        <v>1505</v>
      </c>
      <c r="ISS68" s="561" t="s">
        <v>1505</v>
      </c>
      <c r="IST68" s="561" t="s">
        <v>1505</v>
      </c>
      <c r="ISU68" s="561" t="s">
        <v>1505</v>
      </c>
      <c r="ISV68" s="561" t="s">
        <v>1505</v>
      </c>
      <c r="ISW68" s="561" t="s">
        <v>1505</v>
      </c>
      <c r="ISX68" s="561" t="s">
        <v>1505</v>
      </c>
      <c r="ISY68" s="561" t="s">
        <v>1505</v>
      </c>
      <c r="ISZ68" s="561" t="s">
        <v>1505</v>
      </c>
      <c r="ITA68" s="561" t="s">
        <v>1505</v>
      </c>
      <c r="ITB68" s="561" t="s">
        <v>1505</v>
      </c>
      <c r="ITC68" s="561" t="s">
        <v>1505</v>
      </c>
      <c r="ITD68" s="561" t="s">
        <v>1505</v>
      </c>
      <c r="ITE68" s="561" t="s">
        <v>1505</v>
      </c>
      <c r="ITF68" s="561" t="s">
        <v>1505</v>
      </c>
      <c r="ITG68" s="561" t="s">
        <v>1505</v>
      </c>
      <c r="ITH68" s="561" t="s">
        <v>1505</v>
      </c>
      <c r="ITI68" s="561" t="s">
        <v>1505</v>
      </c>
      <c r="ITJ68" s="561" t="s">
        <v>1505</v>
      </c>
      <c r="ITK68" s="561" t="s">
        <v>1505</v>
      </c>
      <c r="ITL68" s="561" t="s">
        <v>1505</v>
      </c>
      <c r="ITM68" s="561" t="s">
        <v>1505</v>
      </c>
      <c r="ITN68" s="561" t="s">
        <v>1505</v>
      </c>
      <c r="ITO68" s="561" t="s">
        <v>1505</v>
      </c>
      <c r="ITP68" s="561" t="s">
        <v>1505</v>
      </c>
      <c r="ITQ68" s="561" t="s">
        <v>1505</v>
      </c>
      <c r="ITR68" s="561" t="s">
        <v>1505</v>
      </c>
      <c r="ITS68" s="561" t="s">
        <v>1505</v>
      </c>
      <c r="ITT68" s="561" t="s">
        <v>1505</v>
      </c>
      <c r="ITU68" s="561" t="s">
        <v>1505</v>
      </c>
      <c r="ITV68" s="561" t="s">
        <v>1505</v>
      </c>
      <c r="ITW68" s="561" t="s">
        <v>1505</v>
      </c>
      <c r="ITX68" s="561" t="s">
        <v>1505</v>
      </c>
      <c r="ITY68" s="561" t="s">
        <v>1505</v>
      </c>
      <c r="ITZ68" s="561" t="s">
        <v>1505</v>
      </c>
      <c r="IUA68" s="561" t="s">
        <v>1505</v>
      </c>
      <c r="IUB68" s="561" t="s">
        <v>1505</v>
      </c>
      <c r="IUC68" s="561" t="s">
        <v>1505</v>
      </c>
      <c r="IUD68" s="561" t="s">
        <v>1505</v>
      </c>
      <c r="IUE68" s="561" t="s">
        <v>1505</v>
      </c>
      <c r="IUF68" s="561" t="s">
        <v>1505</v>
      </c>
      <c r="IUG68" s="561" t="s">
        <v>1505</v>
      </c>
      <c r="IUH68" s="561" t="s">
        <v>1505</v>
      </c>
      <c r="IUI68" s="561" t="s">
        <v>1505</v>
      </c>
      <c r="IUJ68" s="561" t="s">
        <v>1505</v>
      </c>
      <c r="IUK68" s="561" t="s">
        <v>1505</v>
      </c>
      <c r="IUL68" s="561" t="s">
        <v>1505</v>
      </c>
      <c r="IUM68" s="561" t="s">
        <v>1505</v>
      </c>
      <c r="IUN68" s="561" t="s">
        <v>1505</v>
      </c>
      <c r="IUO68" s="561" t="s">
        <v>1505</v>
      </c>
      <c r="IUP68" s="561" t="s">
        <v>1505</v>
      </c>
      <c r="IUQ68" s="561" t="s">
        <v>1505</v>
      </c>
      <c r="IUR68" s="561" t="s">
        <v>1505</v>
      </c>
      <c r="IUS68" s="561" t="s">
        <v>1505</v>
      </c>
      <c r="IUT68" s="561" t="s">
        <v>1505</v>
      </c>
      <c r="IUU68" s="561" t="s">
        <v>1505</v>
      </c>
      <c r="IUV68" s="561" t="s">
        <v>1505</v>
      </c>
      <c r="IUW68" s="561" t="s">
        <v>1505</v>
      </c>
      <c r="IUX68" s="561" t="s">
        <v>1505</v>
      </c>
      <c r="IUY68" s="561" t="s">
        <v>1505</v>
      </c>
      <c r="IUZ68" s="561" t="s">
        <v>1505</v>
      </c>
      <c r="IVA68" s="561" t="s">
        <v>1505</v>
      </c>
      <c r="IVB68" s="561" t="s">
        <v>1505</v>
      </c>
      <c r="IVC68" s="561" t="s">
        <v>1505</v>
      </c>
      <c r="IVD68" s="561" t="s">
        <v>1505</v>
      </c>
      <c r="IVE68" s="561" t="s">
        <v>1505</v>
      </c>
      <c r="IVF68" s="561" t="s">
        <v>1505</v>
      </c>
      <c r="IVG68" s="561" t="s">
        <v>1505</v>
      </c>
      <c r="IVH68" s="561" t="s">
        <v>1505</v>
      </c>
      <c r="IVI68" s="561" t="s">
        <v>1505</v>
      </c>
      <c r="IVJ68" s="561" t="s">
        <v>1505</v>
      </c>
      <c r="IVK68" s="561" t="s">
        <v>1505</v>
      </c>
      <c r="IVL68" s="561" t="s">
        <v>1505</v>
      </c>
      <c r="IVM68" s="561" t="s">
        <v>1505</v>
      </c>
      <c r="IVN68" s="561" t="s">
        <v>1505</v>
      </c>
      <c r="IVO68" s="561" t="s">
        <v>1505</v>
      </c>
      <c r="IVP68" s="561" t="s">
        <v>1505</v>
      </c>
      <c r="IVQ68" s="561" t="s">
        <v>1505</v>
      </c>
      <c r="IVR68" s="561" t="s">
        <v>1505</v>
      </c>
      <c r="IVS68" s="561" t="s">
        <v>1505</v>
      </c>
      <c r="IVT68" s="561" t="s">
        <v>1505</v>
      </c>
      <c r="IVU68" s="561" t="s">
        <v>1505</v>
      </c>
      <c r="IVV68" s="561" t="s">
        <v>1505</v>
      </c>
      <c r="IVW68" s="561" t="s">
        <v>1505</v>
      </c>
      <c r="IVX68" s="561" t="s">
        <v>1505</v>
      </c>
      <c r="IVY68" s="561" t="s">
        <v>1505</v>
      </c>
      <c r="IVZ68" s="561" t="s">
        <v>1505</v>
      </c>
      <c r="IWA68" s="561" t="s">
        <v>1505</v>
      </c>
      <c r="IWB68" s="561" t="s">
        <v>1505</v>
      </c>
      <c r="IWC68" s="561" t="s">
        <v>1505</v>
      </c>
      <c r="IWD68" s="561" t="s">
        <v>1505</v>
      </c>
      <c r="IWE68" s="561" t="s">
        <v>1505</v>
      </c>
      <c r="IWF68" s="561" t="s">
        <v>1505</v>
      </c>
      <c r="IWG68" s="561" t="s">
        <v>1505</v>
      </c>
      <c r="IWH68" s="561" t="s">
        <v>1505</v>
      </c>
      <c r="IWI68" s="561" t="s">
        <v>1505</v>
      </c>
      <c r="IWJ68" s="561" t="s">
        <v>1505</v>
      </c>
      <c r="IWK68" s="561" t="s">
        <v>1505</v>
      </c>
      <c r="IWL68" s="561" t="s">
        <v>1505</v>
      </c>
      <c r="IWM68" s="561" t="s">
        <v>1505</v>
      </c>
      <c r="IWN68" s="561" t="s">
        <v>1505</v>
      </c>
      <c r="IWO68" s="561" t="s">
        <v>1505</v>
      </c>
      <c r="IWP68" s="561" t="s">
        <v>1505</v>
      </c>
      <c r="IWQ68" s="561" t="s">
        <v>1505</v>
      </c>
      <c r="IWR68" s="561" t="s">
        <v>1505</v>
      </c>
      <c r="IWS68" s="561" t="s">
        <v>1505</v>
      </c>
      <c r="IWT68" s="561" t="s">
        <v>1505</v>
      </c>
      <c r="IWU68" s="561" t="s">
        <v>1505</v>
      </c>
      <c r="IWV68" s="561" t="s">
        <v>1505</v>
      </c>
      <c r="IWW68" s="561" t="s">
        <v>1505</v>
      </c>
      <c r="IWX68" s="561" t="s">
        <v>1505</v>
      </c>
      <c r="IWY68" s="561" t="s">
        <v>1505</v>
      </c>
      <c r="IWZ68" s="561" t="s">
        <v>1505</v>
      </c>
      <c r="IXA68" s="561" t="s">
        <v>1505</v>
      </c>
      <c r="IXB68" s="561" t="s">
        <v>1505</v>
      </c>
      <c r="IXC68" s="561" t="s">
        <v>1505</v>
      </c>
      <c r="IXD68" s="561" t="s">
        <v>1505</v>
      </c>
      <c r="IXE68" s="561" t="s">
        <v>1505</v>
      </c>
      <c r="IXF68" s="561" t="s">
        <v>1505</v>
      </c>
      <c r="IXG68" s="561" t="s">
        <v>1505</v>
      </c>
      <c r="IXH68" s="561" t="s">
        <v>1505</v>
      </c>
      <c r="IXI68" s="561" t="s">
        <v>1505</v>
      </c>
      <c r="IXJ68" s="561" t="s">
        <v>1505</v>
      </c>
      <c r="IXK68" s="561" t="s">
        <v>1505</v>
      </c>
      <c r="IXL68" s="561" t="s">
        <v>1505</v>
      </c>
      <c r="IXM68" s="561" t="s">
        <v>1505</v>
      </c>
      <c r="IXN68" s="561" t="s">
        <v>1505</v>
      </c>
      <c r="IXO68" s="561" t="s">
        <v>1505</v>
      </c>
      <c r="IXP68" s="561" t="s">
        <v>1505</v>
      </c>
      <c r="IXQ68" s="561" t="s">
        <v>1505</v>
      </c>
      <c r="IXR68" s="561" t="s">
        <v>1505</v>
      </c>
      <c r="IXS68" s="561" t="s">
        <v>1505</v>
      </c>
      <c r="IXT68" s="561" t="s">
        <v>1505</v>
      </c>
      <c r="IXU68" s="561" t="s">
        <v>1505</v>
      </c>
      <c r="IXV68" s="561" t="s">
        <v>1505</v>
      </c>
      <c r="IXW68" s="561" t="s">
        <v>1505</v>
      </c>
      <c r="IXX68" s="561" t="s">
        <v>1505</v>
      </c>
      <c r="IXY68" s="561" t="s">
        <v>1505</v>
      </c>
      <c r="IXZ68" s="561" t="s">
        <v>1505</v>
      </c>
      <c r="IYA68" s="561" t="s">
        <v>1505</v>
      </c>
      <c r="IYB68" s="561" t="s">
        <v>1505</v>
      </c>
      <c r="IYC68" s="561" t="s">
        <v>1505</v>
      </c>
      <c r="IYD68" s="561" t="s">
        <v>1505</v>
      </c>
      <c r="IYE68" s="561" t="s">
        <v>1505</v>
      </c>
      <c r="IYF68" s="561" t="s">
        <v>1505</v>
      </c>
      <c r="IYG68" s="561" t="s">
        <v>1505</v>
      </c>
      <c r="IYH68" s="561" t="s">
        <v>1505</v>
      </c>
      <c r="IYI68" s="561" t="s">
        <v>1505</v>
      </c>
      <c r="IYJ68" s="561" t="s">
        <v>1505</v>
      </c>
      <c r="IYK68" s="561" t="s">
        <v>1505</v>
      </c>
      <c r="IYL68" s="561" t="s">
        <v>1505</v>
      </c>
      <c r="IYM68" s="561" t="s">
        <v>1505</v>
      </c>
      <c r="IYN68" s="561" t="s">
        <v>1505</v>
      </c>
      <c r="IYO68" s="561" t="s">
        <v>1505</v>
      </c>
      <c r="IYP68" s="561" t="s">
        <v>1505</v>
      </c>
      <c r="IYQ68" s="561" t="s">
        <v>1505</v>
      </c>
      <c r="IYR68" s="561" t="s">
        <v>1505</v>
      </c>
      <c r="IYS68" s="561" t="s">
        <v>1505</v>
      </c>
      <c r="IYT68" s="561" t="s">
        <v>1505</v>
      </c>
      <c r="IYU68" s="561" t="s">
        <v>1505</v>
      </c>
      <c r="IYV68" s="561" t="s">
        <v>1505</v>
      </c>
      <c r="IYW68" s="561" t="s">
        <v>1505</v>
      </c>
      <c r="IYX68" s="561" t="s">
        <v>1505</v>
      </c>
      <c r="IYY68" s="561" t="s">
        <v>1505</v>
      </c>
      <c r="IYZ68" s="561" t="s">
        <v>1505</v>
      </c>
      <c r="IZA68" s="561" t="s">
        <v>1505</v>
      </c>
      <c r="IZB68" s="561" t="s">
        <v>1505</v>
      </c>
      <c r="IZC68" s="561" t="s">
        <v>1505</v>
      </c>
      <c r="IZD68" s="561" t="s">
        <v>1505</v>
      </c>
      <c r="IZE68" s="561" t="s">
        <v>1505</v>
      </c>
      <c r="IZF68" s="561" t="s">
        <v>1505</v>
      </c>
      <c r="IZG68" s="561" t="s">
        <v>1505</v>
      </c>
      <c r="IZH68" s="561" t="s">
        <v>1505</v>
      </c>
      <c r="IZI68" s="561" t="s">
        <v>1505</v>
      </c>
      <c r="IZJ68" s="561" t="s">
        <v>1505</v>
      </c>
      <c r="IZK68" s="561" t="s">
        <v>1505</v>
      </c>
      <c r="IZL68" s="561" t="s">
        <v>1505</v>
      </c>
      <c r="IZM68" s="561" t="s">
        <v>1505</v>
      </c>
      <c r="IZN68" s="561" t="s">
        <v>1505</v>
      </c>
      <c r="IZO68" s="561" t="s">
        <v>1505</v>
      </c>
      <c r="IZP68" s="561" t="s">
        <v>1505</v>
      </c>
      <c r="IZQ68" s="561" t="s">
        <v>1505</v>
      </c>
      <c r="IZR68" s="561" t="s">
        <v>1505</v>
      </c>
      <c r="IZS68" s="561" t="s">
        <v>1505</v>
      </c>
      <c r="IZT68" s="561" t="s">
        <v>1505</v>
      </c>
      <c r="IZU68" s="561" t="s">
        <v>1505</v>
      </c>
      <c r="IZV68" s="561" t="s">
        <v>1505</v>
      </c>
      <c r="IZW68" s="561" t="s">
        <v>1505</v>
      </c>
      <c r="IZX68" s="561" t="s">
        <v>1505</v>
      </c>
      <c r="IZY68" s="561" t="s">
        <v>1505</v>
      </c>
      <c r="IZZ68" s="561" t="s">
        <v>1505</v>
      </c>
      <c r="JAA68" s="561" t="s">
        <v>1505</v>
      </c>
      <c r="JAB68" s="561" t="s">
        <v>1505</v>
      </c>
      <c r="JAC68" s="561" t="s">
        <v>1505</v>
      </c>
      <c r="JAD68" s="561" t="s">
        <v>1505</v>
      </c>
      <c r="JAE68" s="561" t="s">
        <v>1505</v>
      </c>
      <c r="JAF68" s="561" t="s">
        <v>1505</v>
      </c>
      <c r="JAG68" s="561" t="s">
        <v>1505</v>
      </c>
      <c r="JAH68" s="561" t="s">
        <v>1505</v>
      </c>
      <c r="JAI68" s="561" t="s">
        <v>1505</v>
      </c>
      <c r="JAJ68" s="561" t="s">
        <v>1505</v>
      </c>
      <c r="JAK68" s="561" t="s">
        <v>1505</v>
      </c>
      <c r="JAL68" s="561" t="s">
        <v>1505</v>
      </c>
      <c r="JAM68" s="561" t="s">
        <v>1505</v>
      </c>
      <c r="JAN68" s="561" t="s">
        <v>1505</v>
      </c>
      <c r="JAO68" s="561" t="s">
        <v>1505</v>
      </c>
      <c r="JAP68" s="561" t="s">
        <v>1505</v>
      </c>
      <c r="JAQ68" s="561" t="s">
        <v>1505</v>
      </c>
      <c r="JAR68" s="561" t="s">
        <v>1505</v>
      </c>
      <c r="JAS68" s="561" t="s">
        <v>1505</v>
      </c>
      <c r="JAT68" s="561" t="s">
        <v>1505</v>
      </c>
      <c r="JAU68" s="561" t="s">
        <v>1505</v>
      </c>
      <c r="JAV68" s="561" t="s">
        <v>1505</v>
      </c>
      <c r="JAW68" s="561" t="s">
        <v>1505</v>
      </c>
      <c r="JAX68" s="561" t="s">
        <v>1505</v>
      </c>
      <c r="JAY68" s="561" t="s">
        <v>1505</v>
      </c>
      <c r="JAZ68" s="561" t="s">
        <v>1505</v>
      </c>
      <c r="JBA68" s="561" t="s">
        <v>1505</v>
      </c>
      <c r="JBB68" s="561" t="s">
        <v>1505</v>
      </c>
      <c r="JBC68" s="561" t="s">
        <v>1505</v>
      </c>
      <c r="JBD68" s="561" t="s">
        <v>1505</v>
      </c>
      <c r="JBE68" s="561" t="s">
        <v>1505</v>
      </c>
      <c r="JBF68" s="561" t="s">
        <v>1505</v>
      </c>
      <c r="JBG68" s="561" t="s">
        <v>1505</v>
      </c>
      <c r="JBH68" s="561" t="s">
        <v>1505</v>
      </c>
      <c r="JBI68" s="561" t="s">
        <v>1505</v>
      </c>
      <c r="JBJ68" s="561" t="s">
        <v>1505</v>
      </c>
      <c r="JBK68" s="561" t="s">
        <v>1505</v>
      </c>
      <c r="JBL68" s="561" t="s">
        <v>1505</v>
      </c>
      <c r="JBM68" s="561" t="s">
        <v>1505</v>
      </c>
      <c r="JBN68" s="561" t="s">
        <v>1505</v>
      </c>
      <c r="JBO68" s="561" t="s">
        <v>1505</v>
      </c>
      <c r="JBP68" s="561" t="s">
        <v>1505</v>
      </c>
      <c r="JBQ68" s="561" t="s">
        <v>1505</v>
      </c>
      <c r="JBR68" s="561" t="s">
        <v>1505</v>
      </c>
      <c r="JBS68" s="561" t="s">
        <v>1505</v>
      </c>
      <c r="JBT68" s="561" t="s">
        <v>1505</v>
      </c>
      <c r="JBU68" s="561" t="s">
        <v>1505</v>
      </c>
      <c r="JBV68" s="561" t="s">
        <v>1505</v>
      </c>
      <c r="JBW68" s="561" t="s">
        <v>1505</v>
      </c>
      <c r="JBX68" s="561" t="s">
        <v>1505</v>
      </c>
      <c r="JBY68" s="561" t="s">
        <v>1505</v>
      </c>
      <c r="JBZ68" s="561" t="s">
        <v>1505</v>
      </c>
      <c r="JCA68" s="561" t="s">
        <v>1505</v>
      </c>
      <c r="JCB68" s="561" t="s">
        <v>1505</v>
      </c>
      <c r="JCC68" s="561" t="s">
        <v>1505</v>
      </c>
      <c r="JCD68" s="561" t="s">
        <v>1505</v>
      </c>
      <c r="JCE68" s="561" t="s">
        <v>1505</v>
      </c>
      <c r="JCF68" s="561" t="s">
        <v>1505</v>
      </c>
      <c r="JCG68" s="561" t="s">
        <v>1505</v>
      </c>
      <c r="JCH68" s="561" t="s">
        <v>1505</v>
      </c>
      <c r="JCI68" s="561" t="s">
        <v>1505</v>
      </c>
      <c r="JCJ68" s="561" t="s">
        <v>1505</v>
      </c>
      <c r="JCK68" s="561" t="s">
        <v>1505</v>
      </c>
      <c r="JCL68" s="561" t="s">
        <v>1505</v>
      </c>
      <c r="JCM68" s="561" t="s">
        <v>1505</v>
      </c>
      <c r="JCN68" s="561" t="s">
        <v>1505</v>
      </c>
      <c r="JCO68" s="561" t="s">
        <v>1505</v>
      </c>
      <c r="JCP68" s="561" t="s">
        <v>1505</v>
      </c>
      <c r="JCQ68" s="561" t="s">
        <v>1505</v>
      </c>
      <c r="JCR68" s="561" t="s">
        <v>1505</v>
      </c>
      <c r="JCS68" s="561" t="s">
        <v>1505</v>
      </c>
      <c r="JCT68" s="561" t="s">
        <v>1505</v>
      </c>
      <c r="JCU68" s="561" t="s">
        <v>1505</v>
      </c>
      <c r="JCV68" s="561" t="s">
        <v>1505</v>
      </c>
      <c r="JCW68" s="561" t="s">
        <v>1505</v>
      </c>
      <c r="JCX68" s="561" t="s">
        <v>1505</v>
      </c>
      <c r="JCY68" s="561" t="s">
        <v>1505</v>
      </c>
      <c r="JCZ68" s="561" t="s">
        <v>1505</v>
      </c>
      <c r="JDA68" s="561" t="s">
        <v>1505</v>
      </c>
      <c r="JDB68" s="561" t="s">
        <v>1505</v>
      </c>
      <c r="JDC68" s="561" t="s">
        <v>1505</v>
      </c>
      <c r="JDD68" s="561" t="s">
        <v>1505</v>
      </c>
      <c r="JDE68" s="561" t="s">
        <v>1505</v>
      </c>
      <c r="JDF68" s="561" t="s">
        <v>1505</v>
      </c>
      <c r="JDG68" s="561" t="s">
        <v>1505</v>
      </c>
      <c r="JDH68" s="561" t="s">
        <v>1505</v>
      </c>
      <c r="JDI68" s="561" t="s">
        <v>1505</v>
      </c>
      <c r="JDJ68" s="561" t="s">
        <v>1505</v>
      </c>
      <c r="JDK68" s="561" t="s">
        <v>1505</v>
      </c>
      <c r="JDL68" s="561" t="s">
        <v>1505</v>
      </c>
      <c r="JDM68" s="561" t="s">
        <v>1505</v>
      </c>
      <c r="JDN68" s="561" t="s">
        <v>1505</v>
      </c>
      <c r="JDO68" s="561" t="s">
        <v>1505</v>
      </c>
      <c r="JDP68" s="561" t="s">
        <v>1505</v>
      </c>
      <c r="JDQ68" s="561" t="s">
        <v>1505</v>
      </c>
      <c r="JDR68" s="561" t="s">
        <v>1505</v>
      </c>
      <c r="JDS68" s="561" t="s">
        <v>1505</v>
      </c>
      <c r="JDT68" s="561" t="s">
        <v>1505</v>
      </c>
      <c r="JDU68" s="561" t="s">
        <v>1505</v>
      </c>
      <c r="JDV68" s="561" t="s">
        <v>1505</v>
      </c>
      <c r="JDW68" s="561" t="s">
        <v>1505</v>
      </c>
      <c r="JDX68" s="561" t="s">
        <v>1505</v>
      </c>
      <c r="JDY68" s="561" t="s">
        <v>1505</v>
      </c>
      <c r="JDZ68" s="561" t="s">
        <v>1505</v>
      </c>
      <c r="JEA68" s="561" t="s">
        <v>1505</v>
      </c>
      <c r="JEB68" s="561" t="s">
        <v>1505</v>
      </c>
      <c r="JEC68" s="561" t="s">
        <v>1505</v>
      </c>
      <c r="JED68" s="561" t="s">
        <v>1505</v>
      </c>
      <c r="JEE68" s="561" t="s">
        <v>1505</v>
      </c>
      <c r="JEF68" s="561" t="s">
        <v>1505</v>
      </c>
      <c r="JEG68" s="561" t="s">
        <v>1505</v>
      </c>
      <c r="JEH68" s="561" t="s">
        <v>1505</v>
      </c>
      <c r="JEI68" s="561" t="s">
        <v>1505</v>
      </c>
      <c r="JEJ68" s="561" t="s">
        <v>1505</v>
      </c>
      <c r="JEK68" s="561" t="s">
        <v>1505</v>
      </c>
      <c r="JEL68" s="561" t="s">
        <v>1505</v>
      </c>
      <c r="JEM68" s="561" t="s">
        <v>1505</v>
      </c>
      <c r="JEN68" s="561" t="s">
        <v>1505</v>
      </c>
      <c r="JEO68" s="561" t="s">
        <v>1505</v>
      </c>
      <c r="JEP68" s="561" t="s">
        <v>1505</v>
      </c>
      <c r="JEQ68" s="561" t="s">
        <v>1505</v>
      </c>
      <c r="JER68" s="561" t="s">
        <v>1505</v>
      </c>
      <c r="JES68" s="561" t="s">
        <v>1505</v>
      </c>
      <c r="JET68" s="561" t="s">
        <v>1505</v>
      </c>
      <c r="JEU68" s="561" t="s">
        <v>1505</v>
      </c>
      <c r="JEV68" s="561" t="s">
        <v>1505</v>
      </c>
      <c r="JEW68" s="561" t="s">
        <v>1505</v>
      </c>
      <c r="JEX68" s="561" t="s">
        <v>1505</v>
      </c>
      <c r="JEY68" s="561" t="s">
        <v>1505</v>
      </c>
      <c r="JEZ68" s="561" t="s">
        <v>1505</v>
      </c>
      <c r="JFA68" s="561" t="s">
        <v>1505</v>
      </c>
      <c r="JFB68" s="561" t="s">
        <v>1505</v>
      </c>
      <c r="JFC68" s="561" t="s">
        <v>1505</v>
      </c>
      <c r="JFD68" s="561" t="s">
        <v>1505</v>
      </c>
      <c r="JFE68" s="561" t="s">
        <v>1505</v>
      </c>
      <c r="JFF68" s="561" t="s">
        <v>1505</v>
      </c>
      <c r="JFG68" s="561" t="s">
        <v>1505</v>
      </c>
      <c r="JFH68" s="561" t="s">
        <v>1505</v>
      </c>
      <c r="JFI68" s="561" t="s">
        <v>1505</v>
      </c>
      <c r="JFJ68" s="561" t="s">
        <v>1505</v>
      </c>
      <c r="JFK68" s="561" t="s">
        <v>1505</v>
      </c>
      <c r="JFL68" s="561" t="s">
        <v>1505</v>
      </c>
      <c r="JFM68" s="561" t="s">
        <v>1505</v>
      </c>
      <c r="JFN68" s="561" t="s">
        <v>1505</v>
      </c>
      <c r="JFO68" s="561" t="s">
        <v>1505</v>
      </c>
      <c r="JFP68" s="561" t="s">
        <v>1505</v>
      </c>
      <c r="JFQ68" s="561" t="s">
        <v>1505</v>
      </c>
      <c r="JFR68" s="561" t="s">
        <v>1505</v>
      </c>
      <c r="JFS68" s="561" t="s">
        <v>1505</v>
      </c>
      <c r="JFT68" s="561" t="s">
        <v>1505</v>
      </c>
      <c r="JFU68" s="561" t="s">
        <v>1505</v>
      </c>
      <c r="JFV68" s="561" t="s">
        <v>1505</v>
      </c>
      <c r="JFW68" s="561" t="s">
        <v>1505</v>
      </c>
      <c r="JFX68" s="561" t="s">
        <v>1505</v>
      </c>
      <c r="JFY68" s="561" t="s">
        <v>1505</v>
      </c>
      <c r="JFZ68" s="561" t="s">
        <v>1505</v>
      </c>
      <c r="JGA68" s="561" t="s">
        <v>1505</v>
      </c>
      <c r="JGB68" s="561" t="s">
        <v>1505</v>
      </c>
      <c r="JGC68" s="561" t="s">
        <v>1505</v>
      </c>
      <c r="JGD68" s="561" t="s">
        <v>1505</v>
      </c>
      <c r="JGE68" s="561" t="s">
        <v>1505</v>
      </c>
      <c r="JGF68" s="561" t="s">
        <v>1505</v>
      </c>
      <c r="JGG68" s="561" t="s">
        <v>1505</v>
      </c>
      <c r="JGH68" s="561" t="s">
        <v>1505</v>
      </c>
      <c r="JGI68" s="561" t="s">
        <v>1505</v>
      </c>
      <c r="JGJ68" s="561" t="s">
        <v>1505</v>
      </c>
      <c r="JGK68" s="561" t="s">
        <v>1505</v>
      </c>
      <c r="JGL68" s="561" t="s">
        <v>1505</v>
      </c>
      <c r="JGM68" s="561" t="s">
        <v>1505</v>
      </c>
      <c r="JGN68" s="561" t="s">
        <v>1505</v>
      </c>
      <c r="JGO68" s="561" t="s">
        <v>1505</v>
      </c>
      <c r="JGP68" s="561" t="s">
        <v>1505</v>
      </c>
      <c r="JGQ68" s="561" t="s">
        <v>1505</v>
      </c>
      <c r="JGR68" s="561" t="s">
        <v>1505</v>
      </c>
      <c r="JGS68" s="561" t="s">
        <v>1505</v>
      </c>
      <c r="JGT68" s="561" t="s">
        <v>1505</v>
      </c>
      <c r="JGU68" s="561" t="s">
        <v>1505</v>
      </c>
      <c r="JGV68" s="561" t="s">
        <v>1505</v>
      </c>
      <c r="JGW68" s="561" t="s">
        <v>1505</v>
      </c>
      <c r="JGX68" s="561" t="s">
        <v>1505</v>
      </c>
      <c r="JGY68" s="561" t="s">
        <v>1505</v>
      </c>
      <c r="JGZ68" s="561" t="s">
        <v>1505</v>
      </c>
      <c r="JHA68" s="561" t="s">
        <v>1505</v>
      </c>
      <c r="JHB68" s="561" t="s">
        <v>1505</v>
      </c>
      <c r="JHC68" s="561" t="s">
        <v>1505</v>
      </c>
      <c r="JHD68" s="561" t="s">
        <v>1505</v>
      </c>
      <c r="JHE68" s="561" t="s">
        <v>1505</v>
      </c>
      <c r="JHF68" s="561" t="s">
        <v>1505</v>
      </c>
      <c r="JHG68" s="561" t="s">
        <v>1505</v>
      </c>
      <c r="JHH68" s="561" t="s">
        <v>1505</v>
      </c>
      <c r="JHI68" s="561" t="s">
        <v>1505</v>
      </c>
      <c r="JHJ68" s="561" t="s">
        <v>1505</v>
      </c>
      <c r="JHK68" s="561" t="s">
        <v>1505</v>
      </c>
      <c r="JHL68" s="561" t="s">
        <v>1505</v>
      </c>
      <c r="JHM68" s="561" t="s">
        <v>1505</v>
      </c>
      <c r="JHN68" s="561" t="s">
        <v>1505</v>
      </c>
      <c r="JHO68" s="561" t="s">
        <v>1505</v>
      </c>
      <c r="JHP68" s="561" t="s">
        <v>1505</v>
      </c>
      <c r="JHQ68" s="561" t="s">
        <v>1505</v>
      </c>
      <c r="JHR68" s="561" t="s">
        <v>1505</v>
      </c>
      <c r="JHS68" s="561" t="s">
        <v>1505</v>
      </c>
      <c r="JHT68" s="561" t="s">
        <v>1505</v>
      </c>
      <c r="JHU68" s="561" t="s">
        <v>1505</v>
      </c>
      <c r="JHV68" s="561" t="s">
        <v>1505</v>
      </c>
      <c r="JHW68" s="561" t="s">
        <v>1505</v>
      </c>
      <c r="JHX68" s="561" t="s">
        <v>1505</v>
      </c>
      <c r="JHY68" s="561" t="s">
        <v>1505</v>
      </c>
      <c r="JHZ68" s="561" t="s">
        <v>1505</v>
      </c>
      <c r="JIA68" s="561" t="s">
        <v>1505</v>
      </c>
      <c r="JIB68" s="561" t="s">
        <v>1505</v>
      </c>
      <c r="JIC68" s="561" t="s">
        <v>1505</v>
      </c>
      <c r="JID68" s="561" t="s">
        <v>1505</v>
      </c>
      <c r="JIE68" s="561" t="s">
        <v>1505</v>
      </c>
      <c r="JIF68" s="561" t="s">
        <v>1505</v>
      </c>
      <c r="JIG68" s="561" t="s">
        <v>1505</v>
      </c>
      <c r="JIH68" s="561" t="s">
        <v>1505</v>
      </c>
      <c r="JII68" s="561" t="s">
        <v>1505</v>
      </c>
      <c r="JIJ68" s="561" t="s">
        <v>1505</v>
      </c>
      <c r="JIK68" s="561" t="s">
        <v>1505</v>
      </c>
      <c r="JIL68" s="561" t="s">
        <v>1505</v>
      </c>
      <c r="JIM68" s="561" t="s">
        <v>1505</v>
      </c>
      <c r="JIN68" s="561" t="s">
        <v>1505</v>
      </c>
      <c r="JIO68" s="561" t="s">
        <v>1505</v>
      </c>
      <c r="JIP68" s="561" t="s">
        <v>1505</v>
      </c>
      <c r="JIQ68" s="561" t="s">
        <v>1505</v>
      </c>
      <c r="JIR68" s="561" t="s">
        <v>1505</v>
      </c>
      <c r="JIS68" s="561" t="s">
        <v>1505</v>
      </c>
      <c r="JIT68" s="561" t="s">
        <v>1505</v>
      </c>
      <c r="JIU68" s="561" t="s">
        <v>1505</v>
      </c>
      <c r="JIV68" s="561" t="s">
        <v>1505</v>
      </c>
      <c r="JIW68" s="561" t="s">
        <v>1505</v>
      </c>
      <c r="JIX68" s="561" t="s">
        <v>1505</v>
      </c>
      <c r="JIY68" s="561" t="s">
        <v>1505</v>
      </c>
      <c r="JIZ68" s="561" t="s">
        <v>1505</v>
      </c>
      <c r="JJA68" s="561" t="s">
        <v>1505</v>
      </c>
      <c r="JJB68" s="561" t="s">
        <v>1505</v>
      </c>
      <c r="JJC68" s="561" t="s">
        <v>1505</v>
      </c>
      <c r="JJD68" s="561" t="s">
        <v>1505</v>
      </c>
      <c r="JJE68" s="561" t="s">
        <v>1505</v>
      </c>
      <c r="JJF68" s="561" t="s">
        <v>1505</v>
      </c>
      <c r="JJG68" s="561" t="s">
        <v>1505</v>
      </c>
      <c r="JJH68" s="561" t="s">
        <v>1505</v>
      </c>
      <c r="JJI68" s="561" t="s">
        <v>1505</v>
      </c>
      <c r="JJJ68" s="561" t="s">
        <v>1505</v>
      </c>
      <c r="JJK68" s="561" t="s">
        <v>1505</v>
      </c>
      <c r="JJL68" s="561" t="s">
        <v>1505</v>
      </c>
      <c r="JJM68" s="561" t="s">
        <v>1505</v>
      </c>
      <c r="JJN68" s="561" t="s">
        <v>1505</v>
      </c>
      <c r="JJO68" s="561" t="s">
        <v>1505</v>
      </c>
      <c r="JJP68" s="561" t="s">
        <v>1505</v>
      </c>
      <c r="JJQ68" s="561" t="s">
        <v>1505</v>
      </c>
      <c r="JJR68" s="561" t="s">
        <v>1505</v>
      </c>
      <c r="JJS68" s="561" t="s">
        <v>1505</v>
      </c>
      <c r="JJT68" s="561" t="s">
        <v>1505</v>
      </c>
      <c r="JJU68" s="561" t="s">
        <v>1505</v>
      </c>
      <c r="JJV68" s="561" t="s">
        <v>1505</v>
      </c>
      <c r="JJW68" s="561" t="s">
        <v>1505</v>
      </c>
      <c r="JJX68" s="561" t="s">
        <v>1505</v>
      </c>
      <c r="JJY68" s="561" t="s">
        <v>1505</v>
      </c>
      <c r="JJZ68" s="561" t="s">
        <v>1505</v>
      </c>
      <c r="JKA68" s="561" t="s">
        <v>1505</v>
      </c>
      <c r="JKB68" s="561" t="s">
        <v>1505</v>
      </c>
      <c r="JKC68" s="561" t="s">
        <v>1505</v>
      </c>
      <c r="JKD68" s="561" t="s">
        <v>1505</v>
      </c>
      <c r="JKE68" s="561" t="s">
        <v>1505</v>
      </c>
      <c r="JKF68" s="561" t="s">
        <v>1505</v>
      </c>
      <c r="JKG68" s="561" t="s">
        <v>1505</v>
      </c>
      <c r="JKH68" s="561" t="s">
        <v>1505</v>
      </c>
      <c r="JKI68" s="561" t="s">
        <v>1505</v>
      </c>
      <c r="JKJ68" s="561" t="s">
        <v>1505</v>
      </c>
      <c r="JKK68" s="561" t="s">
        <v>1505</v>
      </c>
      <c r="JKL68" s="561" t="s">
        <v>1505</v>
      </c>
      <c r="JKM68" s="561" t="s">
        <v>1505</v>
      </c>
      <c r="JKN68" s="561" t="s">
        <v>1505</v>
      </c>
      <c r="JKO68" s="561" t="s">
        <v>1505</v>
      </c>
      <c r="JKP68" s="561" t="s">
        <v>1505</v>
      </c>
      <c r="JKQ68" s="561" t="s">
        <v>1505</v>
      </c>
      <c r="JKR68" s="561" t="s">
        <v>1505</v>
      </c>
      <c r="JKS68" s="561" t="s">
        <v>1505</v>
      </c>
      <c r="JKT68" s="561" t="s">
        <v>1505</v>
      </c>
      <c r="JKU68" s="561" t="s">
        <v>1505</v>
      </c>
      <c r="JKV68" s="561" t="s">
        <v>1505</v>
      </c>
      <c r="JKW68" s="561" t="s">
        <v>1505</v>
      </c>
      <c r="JKX68" s="561" t="s">
        <v>1505</v>
      </c>
      <c r="JKY68" s="561" t="s">
        <v>1505</v>
      </c>
      <c r="JKZ68" s="561" t="s">
        <v>1505</v>
      </c>
      <c r="JLA68" s="561" t="s">
        <v>1505</v>
      </c>
      <c r="JLB68" s="561" t="s">
        <v>1505</v>
      </c>
      <c r="JLC68" s="561" t="s">
        <v>1505</v>
      </c>
      <c r="JLD68" s="561" t="s">
        <v>1505</v>
      </c>
      <c r="JLE68" s="561" t="s">
        <v>1505</v>
      </c>
      <c r="JLF68" s="561" t="s">
        <v>1505</v>
      </c>
      <c r="JLG68" s="561" t="s">
        <v>1505</v>
      </c>
      <c r="JLH68" s="561" t="s">
        <v>1505</v>
      </c>
      <c r="JLI68" s="561" t="s">
        <v>1505</v>
      </c>
      <c r="JLJ68" s="561" t="s">
        <v>1505</v>
      </c>
      <c r="JLK68" s="561" t="s">
        <v>1505</v>
      </c>
      <c r="JLL68" s="561" t="s">
        <v>1505</v>
      </c>
      <c r="JLM68" s="561" t="s">
        <v>1505</v>
      </c>
      <c r="JLN68" s="561" t="s">
        <v>1505</v>
      </c>
      <c r="JLO68" s="561" t="s">
        <v>1505</v>
      </c>
      <c r="JLP68" s="561" t="s">
        <v>1505</v>
      </c>
      <c r="JLQ68" s="561" t="s">
        <v>1505</v>
      </c>
      <c r="JLR68" s="561" t="s">
        <v>1505</v>
      </c>
      <c r="JLS68" s="561" t="s">
        <v>1505</v>
      </c>
      <c r="JLT68" s="561" t="s">
        <v>1505</v>
      </c>
      <c r="JLU68" s="561" t="s">
        <v>1505</v>
      </c>
      <c r="JLV68" s="561" t="s">
        <v>1505</v>
      </c>
      <c r="JLW68" s="561" t="s">
        <v>1505</v>
      </c>
      <c r="JLX68" s="561" t="s">
        <v>1505</v>
      </c>
      <c r="JLY68" s="561" t="s">
        <v>1505</v>
      </c>
      <c r="JLZ68" s="561" t="s">
        <v>1505</v>
      </c>
      <c r="JMA68" s="561" t="s">
        <v>1505</v>
      </c>
      <c r="JMB68" s="561" t="s">
        <v>1505</v>
      </c>
      <c r="JMC68" s="561" t="s">
        <v>1505</v>
      </c>
      <c r="JMD68" s="561" t="s">
        <v>1505</v>
      </c>
      <c r="JME68" s="561" t="s">
        <v>1505</v>
      </c>
      <c r="JMF68" s="561" t="s">
        <v>1505</v>
      </c>
      <c r="JMG68" s="561" t="s">
        <v>1505</v>
      </c>
      <c r="JMH68" s="561" t="s">
        <v>1505</v>
      </c>
      <c r="JMI68" s="561" t="s">
        <v>1505</v>
      </c>
      <c r="JMJ68" s="561" t="s">
        <v>1505</v>
      </c>
      <c r="JMK68" s="561" t="s">
        <v>1505</v>
      </c>
      <c r="JML68" s="561" t="s">
        <v>1505</v>
      </c>
      <c r="JMM68" s="561" t="s">
        <v>1505</v>
      </c>
      <c r="JMN68" s="561" t="s">
        <v>1505</v>
      </c>
      <c r="JMO68" s="561" t="s">
        <v>1505</v>
      </c>
      <c r="JMP68" s="561" t="s">
        <v>1505</v>
      </c>
      <c r="JMQ68" s="561" t="s">
        <v>1505</v>
      </c>
      <c r="JMR68" s="561" t="s">
        <v>1505</v>
      </c>
      <c r="JMS68" s="561" t="s">
        <v>1505</v>
      </c>
      <c r="JMT68" s="561" t="s">
        <v>1505</v>
      </c>
      <c r="JMU68" s="561" t="s">
        <v>1505</v>
      </c>
      <c r="JMV68" s="561" t="s">
        <v>1505</v>
      </c>
      <c r="JMW68" s="561" t="s">
        <v>1505</v>
      </c>
      <c r="JMX68" s="561" t="s">
        <v>1505</v>
      </c>
      <c r="JMY68" s="561" t="s">
        <v>1505</v>
      </c>
      <c r="JMZ68" s="561" t="s">
        <v>1505</v>
      </c>
      <c r="JNA68" s="561" t="s">
        <v>1505</v>
      </c>
      <c r="JNB68" s="561" t="s">
        <v>1505</v>
      </c>
      <c r="JNC68" s="561" t="s">
        <v>1505</v>
      </c>
      <c r="JND68" s="561" t="s">
        <v>1505</v>
      </c>
      <c r="JNE68" s="561" t="s">
        <v>1505</v>
      </c>
      <c r="JNF68" s="561" t="s">
        <v>1505</v>
      </c>
      <c r="JNG68" s="561" t="s">
        <v>1505</v>
      </c>
      <c r="JNH68" s="561" t="s">
        <v>1505</v>
      </c>
      <c r="JNI68" s="561" t="s">
        <v>1505</v>
      </c>
      <c r="JNJ68" s="561" t="s">
        <v>1505</v>
      </c>
      <c r="JNK68" s="561" t="s">
        <v>1505</v>
      </c>
      <c r="JNL68" s="561" t="s">
        <v>1505</v>
      </c>
      <c r="JNM68" s="561" t="s">
        <v>1505</v>
      </c>
      <c r="JNN68" s="561" t="s">
        <v>1505</v>
      </c>
      <c r="JNO68" s="561" t="s">
        <v>1505</v>
      </c>
      <c r="JNP68" s="561" t="s">
        <v>1505</v>
      </c>
      <c r="JNQ68" s="561" t="s">
        <v>1505</v>
      </c>
      <c r="JNR68" s="561" t="s">
        <v>1505</v>
      </c>
      <c r="JNS68" s="561" t="s">
        <v>1505</v>
      </c>
      <c r="JNT68" s="561" t="s">
        <v>1505</v>
      </c>
      <c r="JNU68" s="561" t="s">
        <v>1505</v>
      </c>
      <c r="JNV68" s="561" t="s">
        <v>1505</v>
      </c>
      <c r="JNW68" s="561" t="s">
        <v>1505</v>
      </c>
      <c r="JNX68" s="561" t="s">
        <v>1505</v>
      </c>
      <c r="JNY68" s="561" t="s">
        <v>1505</v>
      </c>
      <c r="JNZ68" s="561" t="s">
        <v>1505</v>
      </c>
      <c r="JOA68" s="561" t="s">
        <v>1505</v>
      </c>
      <c r="JOB68" s="561" t="s">
        <v>1505</v>
      </c>
      <c r="JOC68" s="561" t="s">
        <v>1505</v>
      </c>
      <c r="JOD68" s="561" t="s">
        <v>1505</v>
      </c>
      <c r="JOE68" s="561" t="s">
        <v>1505</v>
      </c>
      <c r="JOF68" s="561" t="s">
        <v>1505</v>
      </c>
      <c r="JOG68" s="561" t="s">
        <v>1505</v>
      </c>
      <c r="JOH68" s="561" t="s">
        <v>1505</v>
      </c>
      <c r="JOI68" s="561" t="s">
        <v>1505</v>
      </c>
      <c r="JOJ68" s="561" t="s">
        <v>1505</v>
      </c>
      <c r="JOK68" s="561" t="s">
        <v>1505</v>
      </c>
      <c r="JOL68" s="561" t="s">
        <v>1505</v>
      </c>
      <c r="JOM68" s="561" t="s">
        <v>1505</v>
      </c>
      <c r="JON68" s="561" t="s">
        <v>1505</v>
      </c>
      <c r="JOO68" s="561" t="s">
        <v>1505</v>
      </c>
      <c r="JOP68" s="561" t="s">
        <v>1505</v>
      </c>
      <c r="JOQ68" s="561" t="s">
        <v>1505</v>
      </c>
      <c r="JOR68" s="561" t="s">
        <v>1505</v>
      </c>
      <c r="JOS68" s="561" t="s">
        <v>1505</v>
      </c>
      <c r="JOT68" s="561" t="s">
        <v>1505</v>
      </c>
      <c r="JOU68" s="561" t="s">
        <v>1505</v>
      </c>
      <c r="JOV68" s="561" t="s">
        <v>1505</v>
      </c>
      <c r="JOW68" s="561" t="s">
        <v>1505</v>
      </c>
      <c r="JOX68" s="561" t="s">
        <v>1505</v>
      </c>
      <c r="JOY68" s="561" t="s">
        <v>1505</v>
      </c>
      <c r="JOZ68" s="561" t="s">
        <v>1505</v>
      </c>
      <c r="JPA68" s="561" t="s">
        <v>1505</v>
      </c>
      <c r="JPB68" s="561" t="s">
        <v>1505</v>
      </c>
      <c r="JPC68" s="561" t="s">
        <v>1505</v>
      </c>
      <c r="JPD68" s="561" t="s">
        <v>1505</v>
      </c>
      <c r="JPE68" s="561" t="s">
        <v>1505</v>
      </c>
      <c r="JPF68" s="561" t="s">
        <v>1505</v>
      </c>
      <c r="JPG68" s="561" t="s">
        <v>1505</v>
      </c>
      <c r="JPH68" s="561" t="s">
        <v>1505</v>
      </c>
      <c r="JPI68" s="561" t="s">
        <v>1505</v>
      </c>
      <c r="JPJ68" s="561" t="s">
        <v>1505</v>
      </c>
      <c r="JPK68" s="561" t="s">
        <v>1505</v>
      </c>
      <c r="JPL68" s="561" t="s">
        <v>1505</v>
      </c>
      <c r="JPM68" s="561" t="s">
        <v>1505</v>
      </c>
      <c r="JPN68" s="561" t="s">
        <v>1505</v>
      </c>
      <c r="JPO68" s="561" t="s">
        <v>1505</v>
      </c>
      <c r="JPP68" s="561" t="s">
        <v>1505</v>
      </c>
      <c r="JPQ68" s="561" t="s">
        <v>1505</v>
      </c>
      <c r="JPR68" s="561" t="s">
        <v>1505</v>
      </c>
      <c r="JPS68" s="561" t="s">
        <v>1505</v>
      </c>
      <c r="JPT68" s="561" t="s">
        <v>1505</v>
      </c>
      <c r="JPU68" s="561" t="s">
        <v>1505</v>
      </c>
      <c r="JPV68" s="561" t="s">
        <v>1505</v>
      </c>
      <c r="JPW68" s="561" t="s">
        <v>1505</v>
      </c>
      <c r="JPX68" s="561" t="s">
        <v>1505</v>
      </c>
      <c r="JPY68" s="561" t="s">
        <v>1505</v>
      </c>
      <c r="JPZ68" s="561" t="s">
        <v>1505</v>
      </c>
      <c r="JQA68" s="561" t="s">
        <v>1505</v>
      </c>
      <c r="JQB68" s="561" t="s">
        <v>1505</v>
      </c>
      <c r="JQC68" s="561" t="s">
        <v>1505</v>
      </c>
      <c r="JQD68" s="561" t="s">
        <v>1505</v>
      </c>
      <c r="JQE68" s="561" t="s">
        <v>1505</v>
      </c>
      <c r="JQF68" s="561" t="s">
        <v>1505</v>
      </c>
      <c r="JQG68" s="561" t="s">
        <v>1505</v>
      </c>
      <c r="JQH68" s="561" t="s">
        <v>1505</v>
      </c>
      <c r="JQI68" s="561" t="s">
        <v>1505</v>
      </c>
      <c r="JQJ68" s="561" t="s">
        <v>1505</v>
      </c>
      <c r="JQK68" s="561" t="s">
        <v>1505</v>
      </c>
      <c r="JQL68" s="561" t="s">
        <v>1505</v>
      </c>
      <c r="JQM68" s="561" t="s">
        <v>1505</v>
      </c>
      <c r="JQN68" s="561" t="s">
        <v>1505</v>
      </c>
      <c r="JQO68" s="561" t="s">
        <v>1505</v>
      </c>
      <c r="JQP68" s="561" t="s">
        <v>1505</v>
      </c>
      <c r="JQQ68" s="561" t="s">
        <v>1505</v>
      </c>
      <c r="JQR68" s="561" t="s">
        <v>1505</v>
      </c>
      <c r="JQS68" s="561" t="s">
        <v>1505</v>
      </c>
      <c r="JQT68" s="561" t="s">
        <v>1505</v>
      </c>
      <c r="JQU68" s="561" t="s">
        <v>1505</v>
      </c>
      <c r="JQV68" s="561" t="s">
        <v>1505</v>
      </c>
      <c r="JQW68" s="561" t="s">
        <v>1505</v>
      </c>
      <c r="JQX68" s="561" t="s">
        <v>1505</v>
      </c>
      <c r="JQY68" s="561" t="s">
        <v>1505</v>
      </c>
      <c r="JQZ68" s="561" t="s">
        <v>1505</v>
      </c>
      <c r="JRA68" s="561" t="s">
        <v>1505</v>
      </c>
      <c r="JRB68" s="561" t="s">
        <v>1505</v>
      </c>
      <c r="JRC68" s="561" t="s">
        <v>1505</v>
      </c>
      <c r="JRD68" s="561" t="s">
        <v>1505</v>
      </c>
      <c r="JRE68" s="561" t="s">
        <v>1505</v>
      </c>
      <c r="JRF68" s="561" t="s">
        <v>1505</v>
      </c>
      <c r="JRG68" s="561" t="s">
        <v>1505</v>
      </c>
      <c r="JRH68" s="561" t="s">
        <v>1505</v>
      </c>
      <c r="JRI68" s="561" t="s">
        <v>1505</v>
      </c>
      <c r="JRJ68" s="561" t="s">
        <v>1505</v>
      </c>
      <c r="JRK68" s="561" t="s">
        <v>1505</v>
      </c>
      <c r="JRL68" s="561" t="s">
        <v>1505</v>
      </c>
      <c r="JRM68" s="561" t="s">
        <v>1505</v>
      </c>
      <c r="JRN68" s="561" t="s">
        <v>1505</v>
      </c>
      <c r="JRO68" s="561" t="s">
        <v>1505</v>
      </c>
      <c r="JRP68" s="561" t="s">
        <v>1505</v>
      </c>
      <c r="JRQ68" s="561" t="s">
        <v>1505</v>
      </c>
      <c r="JRR68" s="561" t="s">
        <v>1505</v>
      </c>
      <c r="JRS68" s="561" t="s">
        <v>1505</v>
      </c>
      <c r="JRT68" s="561" t="s">
        <v>1505</v>
      </c>
      <c r="JRU68" s="561" t="s">
        <v>1505</v>
      </c>
      <c r="JRV68" s="561" t="s">
        <v>1505</v>
      </c>
      <c r="JRW68" s="561" t="s">
        <v>1505</v>
      </c>
      <c r="JRX68" s="561" t="s">
        <v>1505</v>
      </c>
      <c r="JRY68" s="561" t="s">
        <v>1505</v>
      </c>
      <c r="JRZ68" s="561" t="s">
        <v>1505</v>
      </c>
      <c r="JSA68" s="561" t="s">
        <v>1505</v>
      </c>
      <c r="JSB68" s="561" t="s">
        <v>1505</v>
      </c>
      <c r="JSC68" s="561" t="s">
        <v>1505</v>
      </c>
      <c r="JSD68" s="561" t="s">
        <v>1505</v>
      </c>
      <c r="JSE68" s="561" t="s">
        <v>1505</v>
      </c>
      <c r="JSF68" s="561" t="s">
        <v>1505</v>
      </c>
      <c r="JSG68" s="561" t="s">
        <v>1505</v>
      </c>
      <c r="JSH68" s="561" t="s">
        <v>1505</v>
      </c>
      <c r="JSI68" s="561" t="s">
        <v>1505</v>
      </c>
      <c r="JSJ68" s="561" t="s">
        <v>1505</v>
      </c>
      <c r="JSK68" s="561" t="s">
        <v>1505</v>
      </c>
      <c r="JSL68" s="561" t="s">
        <v>1505</v>
      </c>
      <c r="JSM68" s="561" t="s">
        <v>1505</v>
      </c>
      <c r="JSN68" s="561" t="s">
        <v>1505</v>
      </c>
      <c r="JSO68" s="561" t="s">
        <v>1505</v>
      </c>
      <c r="JSP68" s="561" t="s">
        <v>1505</v>
      </c>
      <c r="JSQ68" s="561" t="s">
        <v>1505</v>
      </c>
      <c r="JSR68" s="561" t="s">
        <v>1505</v>
      </c>
      <c r="JSS68" s="561" t="s">
        <v>1505</v>
      </c>
      <c r="JST68" s="561" t="s">
        <v>1505</v>
      </c>
      <c r="JSU68" s="561" t="s">
        <v>1505</v>
      </c>
      <c r="JSV68" s="561" t="s">
        <v>1505</v>
      </c>
      <c r="JSW68" s="561" t="s">
        <v>1505</v>
      </c>
      <c r="JSX68" s="561" t="s">
        <v>1505</v>
      </c>
      <c r="JSY68" s="561" t="s">
        <v>1505</v>
      </c>
      <c r="JSZ68" s="561" t="s">
        <v>1505</v>
      </c>
      <c r="JTA68" s="561" t="s">
        <v>1505</v>
      </c>
      <c r="JTB68" s="561" t="s">
        <v>1505</v>
      </c>
      <c r="JTC68" s="561" t="s">
        <v>1505</v>
      </c>
      <c r="JTD68" s="561" t="s">
        <v>1505</v>
      </c>
      <c r="JTE68" s="561" t="s">
        <v>1505</v>
      </c>
      <c r="JTF68" s="561" t="s">
        <v>1505</v>
      </c>
      <c r="JTG68" s="561" t="s">
        <v>1505</v>
      </c>
      <c r="JTH68" s="561" t="s">
        <v>1505</v>
      </c>
      <c r="JTI68" s="561" t="s">
        <v>1505</v>
      </c>
      <c r="JTJ68" s="561" t="s">
        <v>1505</v>
      </c>
      <c r="JTK68" s="561" t="s">
        <v>1505</v>
      </c>
      <c r="JTL68" s="561" t="s">
        <v>1505</v>
      </c>
      <c r="JTM68" s="561" t="s">
        <v>1505</v>
      </c>
      <c r="JTN68" s="561" t="s">
        <v>1505</v>
      </c>
      <c r="JTO68" s="561" t="s">
        <v>1505</v>
      </c>
      <c r="JTP68" s="561" t="s">
        <v>1505</v>
      </c>
      <c r="JTQ68" s="561" t="s">
        <v>1505</v>
      </c>
      <c r="JTR68" s="561" t="s">
        <v>1505</v>
      </c>
      <c r="JTS68" s="561" t="s">
        <v>1505</v>
      </c>
      <c r="JTT68" s="561" t="s">
        <v>1505</v>
      </c>
      <c r="JTU68" s="561" t="s">
        <v>1505</v>
      </c>
      <c r="JTV68" s="561" t="s">
        <v>1505</v>
      </c>
      <c r="JTW68" s="561" t="s">
        <v>1505</v>
      </c>
      <c r="JTX68" s="561" t="s">
        <v>1505</v>
      </c>
      <c r="JTY68" s="561" t="s">
        <v>1505</v>
      </c>
      <c r="JTZ68" s="561" t="s">
        <v>1505</v>
      </c>
      <c r="JUA68" s="561" t="s">
        <v>1505</v>
      </c>
      <c r="JUB68" s="561" t="s">
        <v>1505</v>
      </c>
      <c r="JUC68" s="561" t="s">
        <v>1505</v>
      </c>
      <c r="JUD68" s="561" t="s">
        <v>1505</v>
      </c>
      <c r="JUE68" s="561" t="s">
        <v>1505</v>
      </c>
      <c r="JUF68" s="561" t="s">
        <v>1505</v>
      </c>
      <c r="JUG68" s="561" t="s">
        <v>1505</v>
      </c>
      <c r="JUH68" s="561" t="s">
        <v>1505</v>
      </c>
      <c r="JUI68" s="561" t="s">
        <v>1505</v>
      </c>
      <c r="JUJ68" s="561" t="s">
        <v>1505</v>
      </c>
      <c r="JUK68" s="561" t="s">
        <v>1505</v>
      </c>
      <c r="JUL68" s="561" t="s">
        <v>1505</v>
      </c>
      <c r="JUM68" s="561" t="s">
        <v>1505</v>
      </c>
      <c r="JUN68" s="561" t="s">
        <v>1505</v>
      </c>
      <c r="JUO68" s="561" t="s">
        <v>1505</v>
      </c>
      <c r="JUP68" s="561" t="s">
        <v>1505</v>
      </c>
      <c r="JUQ68" s="561" t="s">
        <v>1505</v>
      </c>
      <c r="JUR68" s="561" t="s">
        <v>1505</v>
      </c>
      <c r="JUS68" s="561" t="s">
        <v>1505</v>
      </c>
      <c r="JUT68" s="561" t="s">
        <v>1505</v>
      </c>
      <c r="JUU68" s="561" t="s">
        <v>1505</v>
      </c>
      <c r="JUV68" s="561" t="s">
        <v>1505</v>
      </c>
      <c r="JUW68" s="561" t="s">
        <v>1505</v>
      </c>
      <c r="JUX68" s="561" t="s">
        <v>1505</v>
      </c>
      <c r="JUY68" s="561" t="s">
        <v>1505</v>
      </c>
      <c r="JUZ68" s="561" t="s">
        <v>1505</v>
      </c>
      <c r="JVA68" s="561" t="s">
        <v>1505</v>
      </c>
      <c r="JVB68" s="561" t="s">
        <v>1505</v>
      </c>
      <c r="JVC68" s="561" t="s">
        <v>1505</v>
      </c>
      <c r="JVD68" s="561" t="s">
        <v>1505</v>
      </c>
      <c r="JVE68" s="561" t="s">
        <v>1505</v>
      </c>
      <c r="JVF68" s="561" t="s">
        <v>1505</v>
      </c>
      <c r="JVG68" s="561" t="s">
        <v>1505</v>
      </c>
      <c r="JVH68" s="561" t="s">
        <v>1505</v>
      </c>
      <c r="JVI68" s="561" t="s">
        <v>1505</v>
      </c>
      <c r="JVJ68" s="561" t="s">
        <v>1505</v>
      </c>
      <c r="JVK68" s="561" t="s">
        <v>1505</v>
      </c>
      <c r="JVL68" s="561" t="s">
        <v>1505</v>
      </c>
      <c r="JVM68" s="561" t="s">
        <v>1505</v>
      </c>
      <c r="JVN68" s="561" t="s">
        <v>1505</v>
      </c>
      <c r="JVO68" s="561" t="s">
        <v>1505</v>
      </c>
      <c r="JVP68" s="561" t="s">
        <v>1505</v>
      </c>
      <c r="JVQ68" s="561" t="s">
        <v>1505</v>
      </c>
      <c r="JVR68" s="561" t="s">
        <v>1505</v>
      </c>
      <c r="JVS68" s="561" t="s">
        <v>1505</v>
      </c>
      <c r="JVT68" s="561" t="s">
        <v>1505</v>
      </c>
      <c r="JVU68" s="561" t="s">
        <v>1505</v>
      </c>
      <c r="JVV68" s="561" t="s">
        <v>1505</v>
      </c>
      <c r="JVW68" s="561" t="s">
        <v>1505</v>
      </c>
      <c r="JVX68" s="561" t="s">
        <v>1505</v>
      </c>
      <c r="JVY68" s="561" t="s">
        <v>1505</v>
      </c>
      <c r="JVZ68" s="561" t="s">
        <v>1505</v>
      </c>
      <c r="JWA68" s="561" t="s">
        <v>1505</v>
      </c>
      <c r="JWB68" s="561" t="s">
        <v>1505</v>
      </c>
      <c r="JWC68" s="561" t="s">
        <v>1505</v>
      </c>
      <c r="JWD68" s="561" t="s">
        <v>1505</v>
      </c>
      <c r="JWE68" s="561" t="s">
        <v>1505</v>
      </c>
      <c r="JWF68" s="561" t="s">
        <v>1505</v>
      </c>
      <c r="JWG68" s="561" t="s">
        <v>1505</v>
      </c>
      <c r="JWH68" s="561" t="s">
        <v>1505</v>
      </c>
      <c r="JWI68" s="561" t="s">
        <v>1505</v>
      </c>
      <c r="JWJ68" s="561" t="s">
        <v>1505</v>
      </c>
      <c r="JWK68" s="561" t="s">
        <v>1505</v>
      </c>
      <c r="JWL68" s="561" t="s">
        <v>1505</v>
      </c>
      <c r="JWM68" s="561" t="s">
        <v>1505</v>
      </c>
      <c r="JWN68" s="561" t="s">
        <v>1505</v>
      </c>
      <c r="JWO68" s="561" t="s">
        <v>1505</v>
      </c>
      <c r="JWP68" s="561" t="s">
        <v>1505</v>
      </c>
      <c r="JWQ68" s="561" t="s">
        <v>1505</v>
      </c>
      <c r="JWR68" s="561" t="s">
        <v>1505</v>
      </c>
      <c r="JWS68" s="561" t="s">
        <v>1505</v>
      </c>
      <c r="JWT68" s="561" t="s">
        <v>1505</v>
      </c>
      <c r="JWU68" s="561" t="s">
        <v>1505</v>
      </c>
      <c r="JWV68" s="561" t="s">
        <v>1505</v>
      </c>
      <c r="JWW68" s="561" t="s">
        <v>1505</v>
      </c>
      <c r="JWX68" s="561" t="s">
        <v>1505</v>
      </c>
      <c r="JWY68" s="561" t="s">
        <v>1505</v>
      </c>
      <c r="JWZ68" s="561" t="s">
        <v>1505</v>
      </c>
      <c r="JXA68" s="561" t="s">
        <v>1505</v>
      </c>
      <c r="JXB68" s="561" t="s">
        <v>1505</v>
      </c>
      <c r="JXC68" s="561" t="s">
        <v>1505</v>
      </c>
      <c r="JXD68" s="561" t="s">
        <v>1505</v>
      </c>
      <c r="JXE68" s="561" t="s">
        <v>1505</v>
      </c>
      <c r="JXF68" s="561" t="s">
        <v>1505</v>
      </c>
      <c r="JXG68" s="561" t="s">
        <v>1505</v>
      </c>
      <c r="JXH68" s="561" t="s">
        <v>1505</v>
      </c>
      <c r="JXI68" s="561" t="s">
        <v>1505</v>
      </c>
      <c r="JXJ68" s="561" t="s">
        <v>1505</v>
      </c>
      <c r="JXK68" s="561" t="s">
        <v>1505</v>
      </c>
      <c r="JXL68" s="561" t="s">
        <v>1505</v>
      </c>
      <c r="JXM68" s="561" t="s">
        <v>1505</v>
      </c>
      <c r="JXN68" s="561" t="s">
        <v>1505</v>
      </c>
      <c r="JXO68" s="561" t="s">
        <v>1505</v>
      </c>
      <c r="JXP68" s="561" t="s">
        <v>1505</v>
      </c>
      <c r="JXQ68" s="561" t="s">
        <v>1505</v>
      </c>
      <c r="JXR68" s="561" t="s">
        <v>1505</v>
      </c>
      <c r="JXS68" s="561" t="s">
        <v>1505</v>
      </c>
      <c r="JXT68" s="561" t="s">
        <v>1505</v>
      </c>
      <c r="JXU68" s="561" t="s">
        <v>1505</v>
      </c>
      <c r="JXV68" s="561" t="s">
        <v>1505</v>
      </c>
      <c r="JXW68" s="561" t="s">
        <v>1505</v>
      </c>
      <c r="JXX68" s="561" t="s">
        <v>1505</v>
      </c>
      <c r="JXY68" s="561" t="s">
        <v>1505</v>
      </c>
      <c r="JXZ68" s="561" t="s">
        <v>1505</v>
      </c>
      <c r="JYA68" s="561" t="s">
        <v>1505</v>
      </c>
      <c r="JYB68" s="561" t="s">
        <v>1505</v>
      </c>
      <c r="JYC68" s="561" t="s">
        <v>1505</v>
      </c>
      <c r="JYD68" s="561" t="s">
        <v>1505</v>
      </c>
      <c r="JYE68" s="561" t="s">
        <v>1505</v>
      </c>
      <c r="JYF68" s="561" t="s">
        <v>1505</v>
      </c>
      <c r="JYG68" s="561" t="s">
        <v>1505</v>
      </c>
      <c r="JYH68" s="561" t="s">
        <v>1505</v>
      </c>
      <c r="JYI68" s="561" t="s">
        <v>1505</v>
      </c>
      <c r="JYJ68" s="561" t="s">
        <v>1505</v>
      </c>
      <c r="JYK68" s="561" t="s">
        <v>1505</v>
      </c>
      <c r="JYL68" s="561" t="s">
        <v>1505</v>
      </c>
      <c r="JYM68" s="561" t="s">
        <v>1505</v>
      </c>
      <c r="JYN68" s="561" t="s">
        <v>1505</v>
      </c>
      <c r="JYO68" s="561" t="s">
        <v>1505</v>
      </c>
      <c r="JYP68" s="561" t="s">
        <v>1505</v>
      </c>
      <c r="JYQ68" s="561" t="s">
        <v>1505</v>
      </c>
      <c r="JYR68" s="561" t="s">
        <v>1505</v>
      </c>
      <c r="JYS68" s="561" t="s">
        <v>1505</v>
      </c>
      <c r="JYT68" s="561" t="s">
        <v>1505</v>
      </c>
      <c r="JYU68" s="561" t="s">
        <v>1505</v>
      </c>
      <c r="JYV68" s="561" t="s">
        <v>1505</v>
      </c>
      <c r="JYW68" s="561" t="s">
        <v>1505</v>
      </c>
      <c r="JYX68" s="561" t="s">
        <v>1505</v>
      </c>
      <c r="JYY68" s="561" t="s">
        <v>1505</v>
      </c>
      <c r="JYZ68" s="561" t="s">
        <v>1505</v>
      </c>
      <c r="JZA68" s="561" t="s">
        <v>1505</v>
      </c>
      <c r="JZB68" s="561" t="s">
        <v>1505</v>
      </c>
      <c r="JZC68" s="561" t="s">
        <v>1505</v>
      </c>
      <c r="JZD68" s="561" t="s">
        <v>1505</v>
      </c>
      <c r="JZE68" s="561" t="s">
        <v>1505</v>
      </c>
      <c r="JZF68" s="561" t="s">
        <v>1505</v>
      </c>
      <c r="JZG68" s="561" t="s">
        <v>1505</v>
      </c>
      <c r="JZH68" s="561" t="s">
        <v>1505</v>
      </c>
      <c r="JZI68" s="561" t="s">
        <v>1505</v>
      </c>
      <c r="JZJ68" s="561" t="s">
        <v>1505</v>
      </c>
      <c r="JZK68" s="561" t="s">
        <v>1505</v>
      </c>
      <c r="JZL68" s="561" t="s">
        <v>1505</v>
      </c>
      <c r="JZM68" s="561" t="s">
        <v>1505</v>
      </c>
      <c r="JZN68" s="561" t="s">
        <v>1505</v>
      </c>
      <c r="JZO68" s="561" t="s">
        <v>1505</v>
      </c>
      <c r="JZP68" s="561" t="s">
        <v>1505</v>
      </c>
      <c r="JZQ68" s="561" t="s">
        <v>1505</v>
      </c>
      <c r="JZR68" s="561" t="s">
        <v>1505</v>
      </c>
      <c r="JZS68" s="561" t="s">
        <v>1505</v>
      </c>
      <c r="JZT68" s="561" t="s">
        <v>1505</v>
      </c>
      <c r="JZU68" s="561" t="s">
        <v>1505</v>
      </c>
      <c r="JZV68" s="561" t="s">
        <v>1505</v>
      </c>
      <c r="JZW68" s="561" t="s">
        <v>1505</v>
      </c>
      <c r="JZX68" s="561" t="s">
        <v>1505</v>
      </c>
      <c r="JZY68" s="561" t="s">
        <v>1505</v>
      </c>
      <c r="JZZ68" s="561" t="s">
        <v>1505</v>
      </c>
      <c r="KAA68" s="561" t="s">
        <v>1505</v>
      </c>
      <c r="KAB68" s="561" t="s">
        <v>1505</v>
      </c>
      <c r="KAC68" s="561" t="s">
        <v>1505</v>
      </c>
      <c r="KAD68" s="561" t="s">
        <v>1505</v>
      </c>
      <c r="KAE68" s="561" t="s">
        <v>1505</v>
      </c>
      <c r="KAF68" s="561" t="s">
        <v>1505</v>
      </c>
      <c r="KAG68" s="561" t="s">
        <v>1505</v>
      </c>
      <c r="KAH68" s="561" t="s">
        <v>1505</v>
      </c>
      <c r="KAI68" s="561" t="s">
        <v>1505</v>
      </c>
      <c r="KAJ68" s="561" t="s">
        <v>1505</v>
      </c>
      <c r="KAK68" s="561" t="s">
        <v>1505</v>
      </c>
      <c r="KAL68" s="561" t="s">
        <v>1505</v>
      </c>
      <c r="KAM68" s="561" t="s">
        <v>1505</v>
      </c>
      <c r="KAN68" s="561" t="s">
        <v>1505</v>
      </c>
      <c r="KAO68" s="561" t="s">
        <v>1505</v>
      </c>
      <c r="KAP68" s="561" t="s">
        <v>1505</v>
      </c>
      <c r="KAQ68" s="561" t="s">
        <v>1505</v>
      </c>
      <c r="KAR68" s="561" t="s">
        <v>1505</v>
      </c>
      <c r="KAS68" s="561" t="s">
        <v>1505</v>
      </c>
      <c r="KAT68" s="561" t="s">
        <v>1505</v>
      </c>
      <c r="KAU68" s="561" t="s">
        <v>1505</v>
      </c>
      <c r="KAV68" s="561" t="s">
        <v>1505</v>
      </c>
      <c r="KAW68" s="561" t="s">
        <v>1505</v>
      </c>
      <c r="KAX68" s="561" t="s">
        <v>1505</v>
      </c>
      <c r="KAY68" s="561" t="s">
        <v>1505</v>
      </c>
      <c r="KAZ68" s="561" t="s">
        <v>1505</v>
      </c>
      <c r="KBA68" s="561" t="s">
        <v>1505</v>
      </c>
      <c r="KBB68" s="561" t="s">
        <v>1505</v>
      </c>
      <c r="KBC68" s="561" t="s">
        <v>1505</v>
      </c>
      <c r="KBD68" s="561" t="s">
        <v>1505</v>
      </c>
      <c r="KBE68" s="561" t="s">
        <v>1505</v>
      </c>
      <c r="KBF68" s="561" t="s">
        <v>1505</v>
      </c>
      <c r="KBG68" s="561" t="s">
        <v>1505</v>
      </c>
      <c r="KBH68" s="561" t="s">
        <v>1505</v>
      </c>
      <c r="KBI68" s="561" t="s">
        <v>1505</v>
      </c>
      <c r="KBJ68" s="561" t="s">
        <v>1505</v>
      </c>
      <c r="KBK68" s="561" t="s">
        <v>1505</v>
      </c>
      <c r="KBL68" s="561" t="s">
        <v>1505</v>
      </c>
      <c r="KBM68" s="561" t="s">
        <v>1505</v>
      </c>
      <c r="KBN68" s="561" t="s">
        <v>1505</v>
      </c>
      <c r="KBO68" s="561" t="s">
        <v>1505</v>
      </c>
      <c r="KBP68" s="561" t="s">
        <v>1505</v>
      </c>
      <c r="KBQ68" s="561" t="s">
        <v>1505</v>
      </c>
      <c r="KBR68" s="561" t="s">
        <v>1505</v>
      </c>
      <c r="KBS68" s="561" t="s">
        <v>1505</v>
      </c>
      <c r="KBT68" s="561" t="s">
        <v>1505</v>
      </c>
      <c r="KBU68" s="561" t="s">
        <v>1505</v>
      </c>
      <c r="KBV68" s="561" t="s">
        <v>1505</v>
      </c>
      <c r="KBW68" s="561" t="s">
        <v>1505</v>
      </c>
      <c r="KBX68" s="561" t="s">
        <v>1505</v>
      </c>
      <c r="KBY68" s="561" t="s">
        <v>1505</v>
      </c>
      <c r="KBZ68" s="561" t="s">
        <v>1505</v>
      </c>
      <c r="KCA68" s="561" t="s">
        <v>1505</v>
      </c>
      <c r="KCB68" s="561" t="s">
        <v>1505</v>
      </c>
      <c r="KCC68" s="561" t="s">
        <v>1505</v>
      </c>
      <c r="KCD68" s="561" t="s">
        <v>1505</v>
      </c>
      <c r="KCE68" s="561" t="s">
        <v>1505</v>
      </c>
      <c r="KCF68" s="561" t="s">
        <v>1505</v>
      </c>
      <c r="KCG68" s="561" t="s">
        <v>1505</v>
      </c>
      <c r="KCH68" s="561" t="s">
        <v>1505</v>
      </c>
      <c r="KCI68" s="561" t="s">
        <v>1505</v>
      </c>
      <c r="KCJ68" s="561" t="s">
        <v>1505</v>
      </c>
      <c r="KCK68" s="561" t="s">
        <v>1505</v>
      </c>
      <c r="KCL68" s="561" t="s">
        <v>1505</v>
      </c>
      <c r="KCM68" s="561" t="s">
        <v>1505</v>
      </c>
      <c r="KCN68" s="561" t="s">
        <v>1505</v>
      </c>
      <c r="KCO68" s="561" t="s">
        <v>1505</v>
      </c>
      <c r="KCP68" s="561" t="s">
        <v>1505</v>
      </c>
      <c r="KCQ68" s="561" t="s">
        <v>1505</v>
      </c>
      <c r="KCR68" s="561" t="s">
        <v>1505</v>
      </c>
      <c r="KCS68" s="561" t="s">
        <v>1505</v>
      </c>
      <c r="KCT68" s="561" t="s">
        <v>1505</v>
      </c>
      <c r="KCU68" s="561" t="s">
        <v>1505</v>
      </c>
      <c r="KCV68" s="561" t="s">
        <v>1505</v>
      </c>
      <c r="KCW68" s="561" t="s">
        <v>1505</v>
      </c>
      <c r="KCX68" s="561" t="s">
        <v>1505</v>
      </c>
      <c r="KCY68" s="561" t="s">
        <v>1505</v>
      </c>
      <c r="KCZ68" s="561" t="s">
        <v>1505</v>
      </c>
      <c r="KDA68" s="561" t="s">
        <v>1505</v>
      </c>
      <c r="KDB68" s="561" t="s">
        <v>1505</v>
      </c>
      <c r="KDC68" s="561" t="s">
        <v>1505</v>
      </c>
      <c r="KDD68" s="561" t="s">
        <v>1505</v>
      </c>
      <c r="KDE68" s="561" t="s">
        <v>1505</v>
      </c>
      <c r="KDF68" s="561" t="s">
        <v>1505</v>
      </c>
      <c r="KDG68" s="561" t="s">
        <v>1505</v>
      </c>
      <c r="KDH68" s="561" t="s">
        <v>1505</v>
      </c>
      <c r="KDI68" s="561" t="s">
        <v>1505</v>
      </c>
      <c r="KDJ68" s="561" t="s">
        <v>1505</v>
      </c>
      <c r="KDK68" s="561" t="s">
        <v>1505</v>
      </c>
      <c r="KDL68" s="561" t="s">
        <v>1505</v>
      </c>
      <c r="KDM68" s="561" t="s">
        <v>1505</v>
      </c>
      <c r="KDN68" s="561" t="s">
        <v>1505</v>
      </c>
      <c r="KDO68" s="561" t="s">
        <v>1505</v>
      </c>
      <c r="KDP68" s="561" t="s">
        <v>1505</v>
      </c>
      <c r="KDQ68" s="561" t="s">
        <v>1505</v>
      </c>
      <c r="KDR68" s="561" t="s">
        <v>1505</v>
      </c>
      <c r="KDS68" s="561" t="s">
        <v>1505</v>
      </c>
      <c r="KDT68" s="561" t="s">
        <v>1505</v>
      </c>
      <c r="KDU68" s="561" t="s">
        <v>1505</v>
      </c>
      <c r="KDV68" s="561" t="s">
        <v>1505</v>
      </c>
      <c r="KDW68" s="561" t="s">
        <v>1505</v>
      </c>
      <c r="KDX68" s="561" t="s">
        <v>1505</v>
      </c>
      <c r="KDY68" s="561" t="s">
        <v>1505</v>
      </c>
      <c r="KDZ68" s="561" t="s">
        <v>1505</v>
      </c>
      <c r="KEA68" s="561" t="s">
        <v>1505</v>
      </c>
      <c r="KEB68" s="561" t="s">
        <v>1505</v>
      </c>
      <c r="KEC68" s="561" t="s">
        <v>1505</v>
      </c>
      <c r="KED68" s="561" t="s">
        <v>1505</v>
      </c>
      <c r="KEE68" s="561" t="s">
        <v>1505</v>
      </c>
      <c r="KEF68" s="561" t="s">
        <v>1505</v>
      </c>
      <c r="KEG68" s="561" t="s">
        <v>1505</v>
      </c>
      <c r="KEH68" s="561" t="s">
        <v>1505</v>
      </c>
      <c r="KEI68" s="561" t="s">
        <v>1505</v>
      </c>
      <c r="KEJ68" s="561" t="s">
        <v>1505</v>
      </c>
      <c r="KEK68" s="561" t="s">
        <v>1505</v>
      </c>
      <c r="KEL68" s="561" t="s">
        <v>1505</v>
      </c>
      <c r="KEM68" s="561" t="s">
        <v>1505</v>
      </c>
      <c r="KEN68" s="561" t="s">
        <v>1505</v>
      </c>
      <c r="KEO68" s="561" t="s">
        <v>1505</v>
      </c>
      <c r="KEP68" s="561" t="s">
        <v>1505</v>
      </c>
      <c r="KEQ68" s="561" t="s">
        <v>1505</v>
      </c>
      <c r="KER68" s="561" t="s">
        <v>1505</v>
      </c>
      <c r="KES68" s="561" t="s">
        <v>1505</v>
      </c>
      <c r="KET68" s="561" t="s">
        <v>1505</v>
      </c>
      <c r="KEU68" s="561" t="s">
        <v>1505</v>
      </c>
      <c r="KEV68" s="561" t="s">
        <v>1505</v>
      </c>
      <c r="KEW68" s="561" t="s">
        <v>1505</v>
      </c>
      <c r="KEX68" s="561" t="s">
        <v>1505</v>
      </c>
      <c r="KEY68" s="561" t="s">
        <v>1505</v>
      </c>
      <c r="KEZ68" s="561" t="s">
        <v>1505</v>
      </c>
      <c r="KFA68" s="561" t="s">
        <v>1505</v>
      </c>
      <c r="KFB68" s="561" t="s">
        <v>1505</v>
      </c>
      <c r="KFC68" s="561" t="s">
        <v>1505</v>
      </c>
      <c r="KFD68" s="561" t="s">
        <v>1505</v>
      </c>
      <c r="KFE68" s="561" t="s">
        <v>1505</v>
      </c>
      <c r="KFF68" s="561" t="s">
        <v>1505</v>
      </c>
      <c r="KFG68" s="561" t="s">
        <v>1505</v>
      </c>
      <c r="KFH68" s="561" t="s">
        <v>1505</v>
      </c>
      <c r="KFI68" s="561" t="s">
        <v>1505</v>
      </c>
      <c r="KFJ68" s="561" t="s">
        <v>1505</v>
      </c>
      <c r="KFK68" s="561" t="s">
        <v>1505</v>
      </c>
      <c r="KFL68" s="561" t="s">
        <v>1505</v>
      </c>
      <c r="KFM68" s="561" t="s">
        <v>1505</v>
      </c>
      <c r="KFN68" s="561" t="s">
        <v>1505</v>
      </c>
      <c r="KFO68" s="561" t="s">
        <v>1505</v>
      </c>
      <c r="KFP68" s="561" t="s">
        <v>1505</v>
      </c>
      <c r="KFQ68" s="561" t="s">
        <v>1505</v>
      </c>
      <c r="KFR68" s="561" t="s">
        <v>1505</v>
      </c>
      <c r="KFS68" s="561" t="s">
        <v>1505</v>
      </c>
      <c r="KFT68" s="561" t="s">
        <v>1505</v>
      </c>
      <c r="KFU68" s="561" t="s">
        <v>1505</v>
      </c>
      <c r="KFV68" s="561" t="s">
        <v>1505</v>
      </c>
      <c r="KFW68" s="561" t="s">
        <v>1505</v>
      </c>
      <c r="KFX68" s="561" t="s">
        <v>1505</v>
      </c>
      <c r="KFY68" s="561" t="s">
        <v>1505</v>
      </c>
      <c r="KFZ68" s="561" t="s">
        <v>1505</v>
      </c>
      <c r="KGA68" s="561" t="s">
        <v>1505</v>
      </c>
      <c r="KGB68" s="561" t="s">
        <v>1505</v>
      </c>
      <c r="KGC68" s="561" t="s">
        <v>1505</v>
      </c>
      <c r="KGD68" s="561" t="s">
        <v>1505</v>
      </c>
      <c r="KGE68" s="561" t="s">
        <v>1505</v>
      </c>
      <c r="KGF68" s="561" t="s">
        <v>1505</v>
      </c>
      <c r="KGG68" s="561" t="s">
        <v>1505</v>
      </c>
      <c r="KGH68" s="561" t="s">
        <v>1505</v>
      </c>
      <c r="KGI68" s="561" t="s">
        <v>1505</v>
      </c>
      <c r="KGJ68" s="561" t="s">
        <v>1505</v>
      </c>
      <c r="KGK68" s="561" t="s">
        <v>1505</v>
      </c>
      <c r="KGL68" s="561" t="s">
        <v>1505</v>
      </c>
      <c r="KGM68" s="561" t="s">
        <v>1505</v>
      </c>
      <c r="KGN68" s="561" t="s">
        <v>1505</v>
      </c>
      <c r="KGO68" s="561" t="s">
        <v>1505</v>
      </c>
      <c r="KGP68" s="561" t="s">
        <v>1505</v>
      </c>
      <c r="KGQ68" s="561" t="s">
        <v>1505</v>
      </c>
      <c r="KGR68" s="561" t="s">
        <v>1505</v>
      </c>
      <c r="KGS68" s="561" t="s">
        <v>1505</v>
      </c>
      <c r="KGT68" s="561" t="s">
        <v>1505</v>
      </c>
      <c r="KGU68" s="561" t="s">
        <v>1505</v>
      </c>
      <c r="KGV68" s="561" t="s">
        <v>1505</v>
      </c>
      <c r="KGW68" s="561" t="s">
        <v>1505</v>
      </c>
      <c r="KGX68" s="561" t="s">
        <v>1505</v>
      </c>
      <c r="KGY68" s="561" t="s">
        <v>1505</v>
      </c>
      <c r="KGZ68" s="561" t="s">
        <v>1505</v>
      </c>
      <c r="KHA68" s="561" t="s">
        <v>1505</v>
      </c>
      <c r="KHB68" s="561" t="s">
        <v>1505</v>
      </c>
      <c r="KHC68" s="561" t="s">
        <v>1505</v>
      </c>
      <c r="KHD68" s="561" t="s">
        <v>1505</v>
      </c>
      <c r="KHE68" s="561" t="s">
        <v>1505</v>
      </c>
      <c r="KHF68" s="561" t="s">
        <v>1505</v>
      </c>
      <c r="KHG68" s="561" t="s">
        <v>1505</v>
      </c>
      <c r="KHH68" s="561" t="s">
        <v>1505</v>
      </c>
      <c r="KHI68" s="561" t="s">
        <v>1505</v>
      </c>
      <c r="KHJ68" s="561" t="s">
        <v>1505</v>
      </c>
      <c r="KHK68" s="561" t="s">
        <v>1505</v>
      </c>
      <c r="KHL68" s="561" t="s">
        <v>1505</v>
      </c>
      <c r="KHM68" s="561" t="s">
        <v>1505</v>
      </c>
      <c r="KHN68" s="561" t="s">
        <v>1505</v>
      </c>
      <c r="KHO68" s="561" t="s">
        <v>1505</v>
      </c>
      <c r="KHP68" s="561" t="s">
        <v>1505</v>
      </c>
      <c r="KHQ68" s="561" t="s">
        <v>1505</v>
      </c>
      <c r="KHR68" s="561" t="s">
        <v>1505</v>
      </c>
      <c r="KHS68" s="561" t="s">
        <v>1505</v>
      </c>
      <c r="KHT68" s="561" t="s">
        <v>1505</v>
      </c>
      <c r="KHU68" s="561" t="s">
        <v>1505</v>
      </c>
      <c r="KHV68" s="561" t="s">
        <v>1505</v>
      </c>
      <c r="KHW68" s="561" t="s">
        <v>1505</v>
      </c>
      <c r="KHX68" s="561" t="s">
        <v>1505</v>
      </c>
      <c r="KHY68" s="561" t="s">
        <v>1505</v>
      </c>
      <c r="KHZ68" s="561" t="s">
        <v>1505</v>
      </c>
      <c r="KIA68" s="561" t="s">
        <v>1505</v>
      </c>
      <c r="KIB68" s="561" t="s">
        <v>1505</v>
      </c>
      <c r="KIC68" s="561" t="s">
        <v>1505</v>
      </c>
      <c r="KID68" s="561" t="s">
        <v>1505</v>
      </c>
      <c r="KIE68" s="561" t="s">
        <v>1505</v>
      </c>
      <c r="KIF68" s="561" t="s">
        <v>1505</v>
      </c>
      <c r="KIG68" s="561" t="s">
        <v>1505</v>
      </c>
      <c r="KIH68" s="561" t="s">
        <v>1505</v>
      </c>
      <c r="KII68" s="561" t="s">
        <v>1505</v>
      </c>
      <c r="KIJ68" s="561" t="s">
        <v>1505</v>
      </c>
      <c r="KIK68" s="561" t="s">
        <v>1505</v>
      </c>
      <c r="KIL68" s="561" t="s">
        <v>1505</v>
      </c>
      <c r="KIM68" s="561" t="s">
        <v>1505</v>
      </c>
      <c r="KIN68" s="561" t="s">
        <v>1505</v>
      </c>
      <c r="KIO68" s="561" t="s">
        <v>1505</v>
      </c>
      <c r="KIP68" s="561" t="s">
        <v>1505</v>
      </c>
      <c r="KIQ68" s="561" t="s">
        <v>1505</v>
      </c>
      <c r="KIR68" s="561" t="s">
        <v>1505</v>
      </c>
      <c r="KIS68" s="561" t="s">
        <v>1505</v>
      </c>
      <c r="KIT68" s="561" t="s">
        <v>1505</v>
      </c>
      <c r="KIU68" s="561" t="s">
        <v>1505</v>
      </c>
      <c r="KIV68" s="561" t="s">
        <v>1505</v>
      </c>
      <c r="KIW68" s="561" t="s">
        <v>1505</v>
      </c>
      <c r="KIX68" s="561" t="s">
        <v>1505</v>
      </c>
      <c r="KIY68" s="561" t="s">
        <v>1505</v>
      </c>
      <c r="KIZ68" s="561" t="s">
        <v>1505</v>
      </c>
      <c r="KJA68" s="561" t="s">
        <v>1505</v>
      </c>
      <c r="KJB68" s="561" t="s">
        <v>1505</v>
      </c>
      <c r="KJC68" s="561" t="s">
        <v>1505</v>
      </c>
      <c r="KJD68" s="561" t="s">
        <v>1505</v>
      </c>
      <c r="KJE68" s="561" t="s">
        <v>1505</v>
      </c>
      <c r="KJF68" s="561" t="s">
        <v>1505</v>
      </c>
      <c r="KJG68" s="561" t="s">
        <v>1505</v>
      </c>
      <c r="KJH68" s="561" t="s">
        <v>1505</v>
      </c>
      <c r="KJI68" s="561" t="s">
        <v>1505</v>
      </c>
      <c r="KJJ68" s="561" t="s">
        <v>1505</v>
      </c>
      <c r="KJK68" s="561" t="s">
        <v>1505</v>
      </c>
      <c r="KJL68" s="561" t="s">
        <v>1505</v>
      </c>
      <c r="KJM68" s="561" t="s">
        <v>1505</v>
      </c>
      <c r="KJN68" s="561" t="s">
        <v>1505</v>
      </c>
      <c r="KJO68" s="561" t="s">
        <v>1505</v>
      </c>
      <c r="KJP68" s="561" t="s">
        <v>1505</v>
      </c>
      <c r="KJQ68" s="561" t="s">
        <v>1505</v>
      </c>
      <c r="KJR68" s="561" t="s">
        <v>1505</v>
      </c>
      <c r="KJS68" s="561" t="s">
        <v>1505</v>
      </c>
      <c r="KJT68" s="561" t="s">
        <v>1505</v>
      </c>
      <c r="KJU68" s="561" t="s">
        <v>1505</v>
      </c>
      <c r="KJV68" s="561" t="s">
        <v>1505</v>
      </c>
      <c r="KJW68" s="561" t="s">
        <v>1505</v>
      </c>
      <c r="KJX68" s="561" t="s">
        <v>1505</v>
      </c>
      <c r="KJY68" s="561" t="s">
        <v>1505</v>
      </c>
      <c r="KJZ68" s="561" t="s">
        <v>1505</v>
      </c>
      <c r="KKA68" s="561" t="s">
        <v>1505</v>
      </c>
      <c r="KKB68" s="561" t="s">
        <v>1505</v>
      </c>
      <c r="KKC68" s="561" t="s">
        <v>1505</v>
      </c>
      <c r="KKD68" s="561" t="s">
        <v>1505</v>
      </c>
      <c r="KKE68" s="561" t="s">
        <v>1505</v>
      </c>
      <c r="KKF68" s="561" t="s">
        <v>1505</v>
      </c>
      <c r="KKG68" s="561" t="s">
        <v>1505</v>
      </c>
      <c r="KKH68" s="561" t="s">
        <v>1505</v>
      </c>
      <c r="KKI68" s="561" t="s">
        <v>1505</v>
      </c>
      <c r="KKJ68" s="561" t="s">
        <v>1505</v>
      </c>
      <c r="KKK68" s="561" t="s">
        <v>1505</v>
      </c>
      <c r="KKL68" s="561" t="s">
        <v>1505</v>
      </c>
      <c r="KKM68" s="561" t="s">
        <v>1505</v>
      </c>
      <c r="KKN68" s="561" t="s">
        <v>1505</v>
      </c>
      <c r="KKO68" s="561" t="s">
        <v>1505</v>
      </c>
      <c r="KKP68" s="561" t="s">
        <v>1505</v>
      </c>
      <c r="KKQ68" s="561" t="s">
        <v>1505</v>
      </c>
      <c r="KKR68" s="561" t="s">
        <v>1505</v>
      </c>
      <c r="KKS68" s="561" t="s">
        <v>1505</v>
      </c>
      <c r="KKT68" s="561" t="s">
        <v>1505</v>
      </c>
      <c r="KKU68" s="561" t="s">
        <v>1505</v>
      </c>
      <c r="KKV68" s="561" t="s">
        <v>1505</v>
      </c>
      <c r="KKW68" s="561" t="s">
        <v>1505</v>
      </c>
      <c r="KKX68" s="561" t="s">
        <v>1505</v>
      </c>
      <c r="KKY68" s="561" t="s">
        <v>1505</v>
      </c>
      <c r="KKZ68" s="561" t="s">
        <v>1505</v>
      </c>
      <c r="KLA68" s="561" t="s">
        <v>1505</v>
      </c>
      <c r="KLB68" s="561" t="s">
        <v>1505</v>
      </c>
      <c r="KLC68" s="561" t="s">
        <v>1505</v>
      </c>
      <c r="KLD68" s="561" t="s">
        <v>1505</v>
      </c>
      <c r="KLE68" s="561" t="s">
        <v>1505</v>
      </c>
      <c r="KLF68" s="561" t="s">
        <v>1505</v>
      </c>
      <c r="KLG68" s="561" t="s">
        <v>1505</v>
      </c>
      <c r="KLH68" s="561" t="s">
        <v>1505</v>
      </c>
      <c r="KLI68" s="561" t="s">
        <v>1505</v>
      </c>
      <c r="KLJ68" s="561" t="s">
        <v>1505</v>
      </c>
      <c r="KLK68" s="561" t="s">
        <v>1505</v>
      </c>
      <c r="KLL68" s="561" t="s">
        <v>1505</v>
      </c>
      <c r="KLM68" s="561" t="s">
        <v>1505</v>
      </c>
      <c r="KLN68" s="561" t="s">
        <v>1505</v>
      </c>
      <c r="KLO68" s="561" t="s">
        <v>1505</v>
      </c>
      <c r="KLP68" s="561" t="s">
        <v>1505</v>
      </c>
      <c r="KLQ68" s="561" t="s">
        <v>1505</v>
      </c>
      <c r="KLR68" s="561" t="s">
        <v>1505</v>
      </c>
      <c r="KLS68" s="561" t="s">
        <v>1505</v>
      </c>
      <c r="KLT68" s="561" t="s">
        <v>1505</v>
      </c>
      <c r="KLU68" s="561" t="s">
        <v>1505</v>
      </c>
      <c r="KLV68" s="561" t="s">
        <v>1505</v>
      </c>
      <c r="KLW68" s="561" t="s">
        <v>1505</v>
      </c>
      <c r="KLX68" s="561" t="s">
        <v>1505</v>
      </c>
      <c r="KLY68" s="561" t="s">
        <v>1505</v>
      </c>
      <c r="KLZ68" s="561" t="s">
        <v>1505</v>
      </c>
      <c r="KMA68" s="561" t="s">
        <v>1505</v>
      </c>
      <c r="KMB68" s="561" t="s">
        <v>1505</v>
      </c>
      <c r="KMC68" s="561" t="s">
        <v>1505</v>
      </c>
      <c r="KMD68" s="561" t="s">
        <v>1505</v>
      </c>
      <c r="KME68" s="561" t="s">
        <v>1505</v>
      </c>
      <c r="KMF68" s="561" t="s">
        <v>1505</v>
      </c>
      <c r="KMG68" s="561" t="s">
        <v>1505</v>
      </c>
      <c r="KMH68" s="561" t="s">
        <v>1505</v>
      </c>
      <c r="KMI68" s="561" t="s">
        <v>1505</v>
      </c>
      <c r="KMJ68" s="561" t="s">
        <v>1505</v>
      </c>
      <c r="KMK68" s="561" t="s">
        <v>1505</v>
      </c>
      <c r="KML68" s="561" t="s">
        <v>1505</v>
      </c>
      <c r="KMM68" s="561" t="s">
        <v>1505</v>
      </c>
      <c r="KMN68" s="561" t="s">
        <v>1505</v>
      </c>
      <c r="KMO68" s="561" t="s">
        <v>1505</v>
      </c>
      <c r="KMP68" s="561" t="s">
        <v>1505</v>
      </c>
      <c r="KMQ68" s="561" t="s">
        <v>1505</v>
      </c>
      <c r="KMR68" s="561" t="s">
        <v>1505</v>
      </c>
      <c r="KMS68" s="561" t="s">
        <v>1505</v>
      </c>
      <c r="KMT68" s="561" t="s">
        <v>1505</v>
      </c>
      <c r="KMU68" s="561" t="s">
        <v>1505</v>
      </c>
      <c r="KMV68" s="561" t="s">
        <v>1505</v>
      </c>
      <c r="KMW68" s="561" t="s">
        <v>1505</v>
      </c>
      <c r="KMX68" s="561" t="s">
        <v>1505</v>
      </c>
      <c r="KMY68" s="561" t="s">
        <v>1505</v>
      </c>
      <c r="KMZ68" s="561" t="s">
        <v>1505</v>
      </c>
      <c r="KNA68" s="561" t="s">
        <v>1505</v>
      </c>
      <c r="KNB68" s="561" t="s">
        <v>1505</v>
      </c>
      <c r="KNC68" s="561" t="s">
        <v>1505</v>
      </c>
      <c r="KND68" s="561" t="s">
        <v>1505</v>
      </c>
      <c r="KNE68" s="561" t="s">
        <v>1505</v>
      </c>
      <c r="KNF68" s="561" t="s">
        <v>1505</v>
      </c>
      <c r="KNG68" s="561" t="s">
        <v>1505</v>
      </c>
      <c r="KNH68" s="561" t="s">
        <v>1505</v>
      </c>
      <c r="KNI68" s="561" t="s">
        <v>1505</v>
      </c>
      <c r="KNJ68" s="561" t="s">
        <v>1505</v>
      </c>
      <c r="KNK68" s="561" t="s">
        <v>1505</v>
      </c>
      <c r="KNL68" s="561" t="s">
        <v>1505</v>
      </c>
      <c r="KNM68" s="561" t="s">
        <v>1505</v>
      </c>
      <c r="KNN68" s="561" t="s">
        <v>1505</v>
      </c>
      <c r="KNO68" s="561" t="s">
        <v>1505</v>
      </c>
      <c r="KNP68" s="561" t="s">
        <v>1505</v>
      </c>
      <c r="KNQ68" s="561" t="s">
        <v>1505</v>
      </c>
      <c r="KNR68" s="561" t="s">
        <v>1505</v>
      </c>
      <c r="KNS68" s="561" t="s">
        <v>1505</v>
      </c>
      <c r="KNT68" s="561" t="s">
        <v>1505</v>
      </c>
      <c r="KNU68" s="561" t="s">
        <v>1505</v>
      </c>
      <c r="KNV68" s="561" t="s">
        <v>1505</v>
      </c>
      <c r="KNW68" s="561" t="s">
        <v>1505</v>
      </c>
      <c r="KNX68" s="561" t="s">
        <v>1505</v>
      </c>
      <c r="KNY68" s="561" t="s">
        <v>1505</v>
      </c>
      <c r="KNZ68" s="561" t="s">
        <v>1505</v>
      </c>
      <c r="KOA68" s="561" t="s">
        <v>1505</v>
      </c>
      <c r="KOB68" s="561" t="s">
        <v>1505</v>
      </c>
      <c r="KOC68" s="561" t="s">
        <v>1505</v>
      </c>
      <c r="KOD68" s="561" t="s">
        <v>1505</v>
      </c>
      <c r="KOE68" s="561" t="s">
        <v>1505</v>
      </c>
      <c r="KOF68" s="561" t="s">
        <v>1505</v>
      </c>
      <c r="KOG68" s="561" t="s">
        <v>1505</v>
      </c>
      <c r="KOH68" s="561" t="s">
        <v>1505</v>
      </c>
      <c r="KOI68" s="561" t="s">
        <v>1505</v>
      </c>
      <c r="KOJ68" s="561" t="s">
        <v>1505</v>
      </c>
      <c r="KOK68" s="561" t="s">
        <v>1505</v>
      </c>
      <c r="KOL68" s="561" t="s">
        <v>1505</v>
      </c>
      <c r="KOM68" s="561" t="s">
        <v>1505</v>
      </c>
      <c r="KON68" s="561" t="s">
        <v>1505</v>
      </c>
      <c r="KOO68" s="561" t="s">
        <v>1505</v>
      </c>
      <c r="KOP68" s="561" t="s">
        <v>1505</v>
      </c>
      <c r="KOQ68" s="561" t="s">
        <v>1505</v>
      </c>
      <c r="KOR68" s="561" t="s">
        <v>1505</v>
      </c>
      <c r="KOS68" s="561" t="s">
        <v>1505</v>
      </c>
      <c r="KOT68" s="561" t="s">
        <v>1505</v>
      </c>
      <c r="KOU68" s="561" t="s">
        <v>1505</v>
      </c>
      <c r="KOV68" s="561" t="s">
        <v>1505</v>
      </c>
      <c r="KOW68" s="561" t="s">
        <v>1505</v>
      </c>
      <c r="KOX68" s="561" t="s">
        <v>1505</v>
      </c>
      <c r="KOY68" s="561" t="s">
        <v>1505</v>
      </c>
      <c r="KOZ68" s="561" t="s">
        <v>1505</v>
      </c>
      <c r="KPA68" s="561" t="s">
        <v>1505</v>
      </c>
      <c r="KPB68" s="561" t="s">
        <v>1505</v>
      </c>
      <c r="KPC68" s="561" t="s">
        <v>1505</v>
      </c>
      <c r="KPD68" s="561" t="s">
        <v>1505</v>
      </c>
      <c r="KPE68" s="561" t="s">
        <v>1505</v>
      </c>
      <c r="KPF68" s="561" t="s">
        <v>1505</v>
      </c>
      <c r="KPG68" s="561" t="s">
        <v>1505</v>
      </c>
      <c r="KPH68" s="561" t="s">
        <v>1505</v>
      </c>
      <c r="KPI68" s="561" t="s">
        <v>1505</v>
      </c>
      <c r="KPJ68" s="561" t="s">
        <v>1505</v>
      </c>
      <c r="KPK68" s="561" t="s">
        <v>1505</v>
      </c>
      <c r="KPL68" s="561" t="s">
        <v>1505</v>
      </c>
      <c r="KPM68" s="561" t="s">
        <v>1505</v>
      </c>
      <c r="KPN68" s="561" t="s">
        <v>1505</v>
      </c>
      <c r="KPO68" s="561" t="s">
        <v>1505</v>
      </c>
      <c r="KPP68" s="561" t="s">
        <v>1505</v>
      </c>
      <c r="KPQ68" s="561" t="s">
        <v>1505</v>
      </c>
      <c r="KPR68" s="561" t="s">
        <v>1505</v>
      </c>
      <c r="KPS68" s="561" t="s">
        <v>1505</v>
      </c>
      <c r="KPT68" s="561" t="s">
        <v>1505</v>
      </c>
      <c r="KPU68" s="561" t="s">
        <v>1505</v>
      </c>
      <c r="KPV68" s="561" t="s">
        <v>1505</v>
      </c>
      <c r="KPW68" s="561" t="s">
        <v>1505</v>
      </c>
      <c r="KPX68" s="561" t="s">
        <v>1505</v>
      </c>
      <c r="KPY68" s="561" t="s">
        <v>1505</v>
      </c>
      <c r="KPZ68" s="561" t="s">
        <v>1505</v>
      </c>
      <c r="KQA68" s="561" t="s">
        <v>1505</v>
      </c>
      <c r="KQB68" s="561" t="s">
        <v>1505</v>
      </c>
      <c r="KQC68" s="561" t="s">
        <v>1505</v>
      </c>
      <c r="KQD68" s="561" t="s">
        <v>1505</v>
      </c>
      <c r="KQE68" s="561" t="s">
        <v>1505</v>
      </c>
      <c r="KQF68" s="561" t="s">
        <v>1505</v>
      </c>
      <c r="KQG68" s="561" t="s">
        <v>1505</v>
      </c>
      <c r="KQH68" s="561" t="s">
        <v>1505</v>
      </c>
      <c r="KQI68" s="561" t="s">
        <v>1505</v>
      </c>
      <c r="KQJ68" s="561" t="s">
        <v>1505</v>
      </c>
      <c r="KQK68" s="561" t="s">
        <v>1505</v>
      </c>
      <c r="KQL68" s="561" t="s">
        <v>1505</v>
      </c>
      <c r="KQM68" s="561" t="s">
        <v>1505</v>
      </c>
      <c r="KQN68" s="561" t="s">
        <v>1505</v>
      </c>
      <c r="KQO68" s="561" t="s">
        <v>1505</v>
      </c>
      <c r="KQP68" s="561" t="s">
        <v>1505</v>
      </c>
      <c r="KQQ68" s="561" t="s">
        <v>1505</v>
      </c>
      <c r="KQR68" s="561" t="s">
        <v>1505</v>
      </c>
      <c r="KQS68" s="561" t="s">
        <v>1505</v>
      </c>
      <c r="KQT68" s="561" t="s">
        <v>1505</v>
      </c>
      <c r="KQU68" s="561" t="s">
        <v>1505</v>
      </c>
      <c r="KQV68" s="561" t="s">
        <v>1505</v>
      </c>
      <c r="KQW68" s="561" t="s">
        <v>1505</v>
      </c>
      <c r="KQX68" s="561" t="s">
        <v>1505</v>
      </c>
      <c r="KQY68" s="561" t="s">
        <v>1505</v>
      </c>
      <c r="KQZ68" s="561" t="s">
        <v>1505</v>
      </c>
      <c r="KRA68" s="561" t="s">
        <v>1505</v>
      </c>
      <c r="KRB68" s="561" t="s">
        <v>1505</v>
      </c>
      <c r="KRC68" s="561" t="s">
        <v>1505</v>
      </c>
      <c r="KRD68" s="561" t="s">
        <v>1505</v>
      </c>
      <c r="KRE68" s="561" t="s">
        <v>1505</v>
      </c>
      <c r="KRF68" s="561" t="s">
        <v>1505</v>
      </c>
      <c r="KRG68" s="561" t="s">
        <v>1505</v>
      </c>
      <c r="KRH68" s="561" t="s">
        <v>1505</v>
      </c>
      <c r="KRI68" s="561" t="s">
        <v>1505</v>
      </c>
      <c r="KRJ68" s="561" t="s">
        <v>1505</v>
      </c>
      <c r="KRK68" s="561" t="s">
        <v>1505</v>
      </c>
      <c r="KRL68" s="561" t="s">
        <v>1505</v>
      </c>
      <c r="KRM68" s="561" t="s">
        <v>1505</v>
      </c>
      <c r="KRN68" s="561" t="s">
        <v>1505</v>
      </c>
      <c r="KRO68" s="561" t="s">
        <v>1505</v>
      </c>
      <c r="KRP68" s="561" t="s">
        <v>1505</v>
      </c>
      <c r="KRQ68" s="561" t="s">
        <v>1505</v>
      </c>
      <c r="KRR68" s="561" t="s">
        <v>1505</v>
      </c>
      <c r="KRS68" s="561" t="s">
        <v>1505</v>
      </c>
      <c r="KRT68" s="561" t="s">
        <v>1505</v>
      </c>
      <c r="KRU68" s="561" t="s">
        <v>1505</v>
      </c>
      <c r="KRV68" s="561" t="s">
        <v>1505</v>
      </c>
      <c r="KRW68" s="561" t="s">
        <v>1505</v>
      </c>
      <c r="KRX68" s="561" t="s">
        <v>1505</v>
      </c>
      <c r="KRY68" s="561" t="s">
        <v>1505</v>
      </c>
      <c r="KRZ68" s="561" t="s">
        <v>1505</v>
      </c>
      <c r="KSA68" s="561" t="s">
        <v>1505</v>
      </c>
      <c r="KSB68" s="561" t="s">
        <v>1505</v>
      </c>
      <c r="KSC68" s="561" t="s">
        <v>1505</v>
      </c>
      <c r="KSD68" s="561" t="s">
        <v>1505</v>
      </c>
      <c r="KSE68" s="561" t="s">
        <v>1505</v>
      </c>
      <c r="KSF68" s="561" t="s">
        <v>1505</v>
      </c>
      <c r="KSG68" s="561" t="s">
        <v>1505</v>
      </c>
      <c r="KSH68" s="561" t="s">
        <v>1505</v>
      </c>
      <c r="KSI68" s="561" t="s">
        <v>1505</v>
      </c>
      <c r="KSJ68" s="561" t="s">
        <v>1505</v>
      </c>
      <c r="KSK68" s="561" t="s">
        <v>1505</v>
      </c>
      <c r="KSL68" s="561" t="s">
        <v>1505</v>
      </c>
      <c r="KSM68" s="561" t="s">
        <v>1505</v>
      </c>
      <c r="KSN68" s="561" t="s">
        <v>1505</v>
      </c>
      <c r="KSO68" s="561" t="s">
        <v>1505</v>
      </c>
      <c r="KSP68" s="561" t="s">
        <v>1505</v>
      </c>
      <c r="KSQ68" s="561" t="s">
        <v>1505</v>
      </c>
      <c r="KSR68" s="561" t="s">
        <v>1505</v>
      </c>
      <c r="KSS68" s="561" t="s">
        <v>1505</v>
      </c>
      <c r="KST68" s="561" t="s">
        <v>1505</v>
      </c>
      <c r="KSU68" s="561" t="s">
        <v>1505</v>
      </c>
      <c r="KSV68" s="561" t="s">
        <v>1505</v>
      </c>
      <c r="KSW68" s="561" t="s">
        <v>1505</v>
      </c>
      <c r="KSX68" s="561" t="s">
        <v>1505</v>
      </c>
      <c r="KSY68" s="561" t="s">
        <v>1505</v>
      </c>
      <c r="KSZ68" s="561" t="s">
        <v>1505</v>
      </c>
      <c r="KTA68" s="561" t="s">
        <v>1505</v>
      </c>
      <c r="KTB68" s="561" t="s">
        <v>1505</v>
      </c>
      <c r="KTC68" s="561" t="s">
        <v>1505</v>
      </c>
      <c r="KTD68" s="561" t="s">
        <v>1505</v>
      </c>
      <c r="KTE68" s="561" t="s">
        <v>1505</v>
      </c>
      <c r="KTF68" s="561" t="s">
        <v>1505</v>
      </c>
      <c r="KTG68" s="561" t="s">
        <v>1505</v>
      </c>
      <c r="KTH68" s="561" t="s">
        <v>1505</v>
      </c>
      <c r="KTI68" s="561" t="s">
        <v>1505</v>
      </c>
      <c r="KTJ68" s="561" t="s">
        <v>1505</v>
      </c>
      <c r="KTK68" s="561" t="s">
        <v>1505</v>
      </c>
      <c r="KTL68" s="561" t="s">
        <v>1505</v>
      </c>
      <c r="KTM68" s="561" t="s">
        <v>1505</v>
      </c>
      <c r="KTN68" s="561" t="s">
        <v>1505</v>
      </c>
      <c r="KTO68" s="561" t="s">
        <v>1505</v>
      </c>
      <c r="KTP68" s="561" t="s">
        <v>1505</v>
      </c>
      <c r="KTQ68" s="561" t="s">
        <v>1505</v>
      </c>
      <c r="KTR68" s="561" t="s">
        <v>1505</v>
      </c>
      <c r="KTS68" s="561" t="s">
        <v>1505</v>
      </c>
      <c r="KTT68" s="561" t="s">
        <v>1505</v>
      </c>
      <c r="KTU68" s="561" t="s">
        <v>1505</v>
      </c>
      <c r="KTV68" s="561" t="s">
        <v>1505</v>
      </c>
      <c r="KTW68" s="561" t="s">
        <v>1505</v>
      </c>
      <c r="KTX68" s="561" t="s">
        <v>1505</v>
      </c>
      <c r="KTY68" s="561" t="s">
        <v>1505</v>
      </c>
      <c r="KTZ68" s="561" t="s">
        <v>1505</v>
      </c>
      <c r="KUA68" s="561" t="s">
        <v>1505</v>
      </c>
      <c r="KUB68" s="561" t="s">
        <v>1505</v>
      </c>
      <c r="KUC68" s="561" t="s">
        <v>1505</v>
      </c>
      <c r="KUD68" s="561" t="s">
        <v>1505</v>
      </c>
      <c r="KUE68" s="561" t="s">
        <v>1505</v>
      </c>
      <c r="KUF68" s="561" t="s">
        <v>1505</v>
      </c>
      <c r="KUG68" s="561" t="s">
        <v>1505</v>
      </c>
      <c r="KUH68" s="561" t="s">
        <v>1505</v>
      </c>
      <c r="KUI68" s="561" t="s">
        <v>1505</v>
      </c>
      <c r="KUJ68" s="561" t="s">
        <v>1505</v>
      </c>
      <c r="KUK68" s="561" t="s">
        <v>1505</v>
      </c>
      <c r="KUL68" s="561" t="s">
        <v>1505</v>
      </c>
      <c r="KUM68" s="561" t="s">
        <v>1505</v>
      </c>
      <c r="KUN68" s="561" t="s">
        <v>1505</v>
      </c>
      <c r="KUO68" s="561" t="s">
        <v>1505</v>
      </c>
      <c r="KUP68" s="561" t="s">
        <v>1505</v>
      </c>
      <c r="KUQ68" s="561" t="s">
        <v>1505</v>
      </c>
      <c r="KUR68" s="561" t="s">
        <v>1505</v>
      </c>
      <c r="KUS68" s="561" t="s">
        <v>1505</v>
      </c>
      <c r="KUT68" s="561" t="s">
        <v>1505</v>
      </c>
      <c r="KUU68" s="561" t="s">
        <v>1505</v>
      </c>
      <c r="KUV68" s="561" t="s">
        <v>1505</v>
      </c>
      <c r="KUW68" s="561" t="s">
        <v>1505</v>
      </c>
      <c r="KUX68" s="561" t="s">
        <v>1505</v>
      </c>
      <c r="KUY68" s="561" t="s">
        <v>1505</v>
      </c>
      <c r="KUZ68" s="561" t="s">
        <v>1505</v>
      </c>
      <c r="KVA68" s="561" t="s">
        <v>1505</v>
      </c>
      <c r="KVB68" s="561" t="s">
        <v>1505</v>
      </c>
      <c r="KVC68" s="561" t="s">
        <v>1505</v>
      </c>
      <c r="KVD68" s="561" t="s">
        <v>1505</v>
      </c>
      <c r="KVE68" s="561" t="s">
        <v>1505</v>
      </c>
      <c r="KVF68" s="561" t="s">
        <v>1505</v>
      </c>
      <c r="KVG68" s="561" t="s">
        <v>1505</v>
      </c>
      <c r="KVH68" s="561" t="s">
        <v>1505</v>
      </c>
      <c r="KVI68" s="561" t="s">
        <v>1505</v>
      </c>
      <c r="KVJ68" s="561" t="s">
        <v>1505</v>
      </c>
      <c r="KVK68" s="561" t="s">
        <v>1505</v>
      </c>
      <c r="KVL68" s="561" t="s">
        <v>1505</v>
      </c>
      <c r="KVM68" s="561" t="s">
        <v>1505</v>
      </c>
      <c r="KVN68" s="561" t="s">
        <v>1505</v>
      </c>
      <c r="KVO68" s="561" t="s">
        <v>1505</v>
      </c>
      <c r="KVP68" s="561" t="s">
        <v>1505</v>
      </c>
      <c r="KVQ68" s="561" t="s">
        <v>1505</v>
      </c>
      <c r="KVR68" s="561" t="s">
        <v>1505</v>
      </c>
      <c r="KVS68" s="561" t="s">
        <v>1505</v>
      </c>
      <c r="KVT68" s="561" t="s">
        <v>1505</v>
      </c>
      <c r="KVU68" s="561" t="s">
        <v>1505</v>
      </c>
      <c r="KVV68" s="561" t="s">
        <v>1505</v>
      </c>
      <c r="KVW68" s="561" t="s">
        <v>1505</v>
      </c>
      <c r="KVX68" s="561" t="s">
        <v>1505</v>
      </c>
      <c r="KVY68" s="561" t="s">
        <v>1505</v>
      </c>
      <c r="KVZ68" s="561" t="s">
        <v>1505</v>
      </c>
      <c r="KWA68" s="561" t="s">
        <v>1505</v>
      </c>
      <c r="KWB68" s="561" t="s">
        <v>1505</v>
      </c>
      <c r="KWC68" s="561" t="s">
        <v>1505</v>
      </c>
      <c r="KWD68" s="561" t="s">
        <v>1505</v>
      </c>
      <c r="KWE68" s="561" t="s">
        <v>1505</v>
      </c>
      <c r="KWF68" s="561" t="s">
        <v>1505</v>
      </c>
      <c r="KWG68" s="561" t="s">
        <v>1505</v>
      </c>
      <c r="KWH68" s="561" t="s">
        <v>1505</v>
      </c>
      <c r="KWI68" s="561" t="s">
        <v>1505</v>
      </c>
      <c r="KWJ68" s="561" t="s">
        <v>1505</v>
      </c>
      <c r="KWK68" s="561" t="s">
        <v>1505</v>
      </c>
      <c r="KWL68" s="561" t="s">
        <v>1505</v>
      </c>
      <c r="KWM68" s="561" t="s">
        <v>1505</v>
      </c>
      <c r="KWN68" s="561" t="s">
        <v>1505</v>
      </c>
      <c r="KWO68" s="561" t="s">
        <v>1505</v>
      </c>
      <c r="KWP68" s="561" t="s">
        <v>1505</v>
      </c>
      <c r="KWQ68" s="561" t="s">
        <v>1505</v>
      </c>
      <c r="KWR68" s="561" t="s">
        <v>1505</v>
      </c>
      <c r="KWS68" s="561" t="s">
        <v>1505</v>
      </c>
      <c r="KWT68" s="561" t="s">
        <v>1505</v>
      </c>
      <c r="KWU68" s="561" t="s">
        <v>1505</v>
      </c>
      <c r="KWV68" s="561" t="s">
        <v>1505</v>
      </c>
      <c r="KWW68" s="561" t="s">
        <v>1505</v>
      </c>
      <c r="KWX68" s="561" t="s">
        <v>1505</v>
      </c>
      <c r="KWY68" s="561" t="s">
        <v>1505</v>
      </c>
      <c r="KWZ68" s="561" t="s">
        <v>1505</v>
      </c>
      <c r="KXA68" s="561" t="s">
        <v>1505</v>
      </c>
      <c r="KXB68" s="561" t="s">
        <v>1505</v>
      </c>
      <c r="KXC68" s="561" t="s">
        <v>1505</v>
      </c>
      <c r="KXD68" s="561" t="s">
        <v>1505</v>
      </c>
      <c r="KXE68" s="561" t="s">
        <v>1505</v>
      </c>
      <c r="KXF68" s="561" t="s">
        <v>1505</v>
      </c>
      <c r="KXG68" s="561" t="s">
        <v>1505</v>
      </c>
      <c r="KXH68" s="561" t="s">
        <v>1505</v>
      </c>
      <c r="KXI68" s="561" t="s">
        <v>1505</v>
      </c>
      <c r="KXJ68" s="561" t="s">
        <v>1505</v>
      </c>
      <c r="KXK68" s="561" t="s">
        <v>1505</v>
      </c>
      <c r="KXL68" s="561" t="s">
        <v>1505</v>
      </c>
      <c r="KXM68" s="561" t="s">
        <v>1505</v>
      </c>
      <c r="KXN68" s="561" t="s">
        <v>1505</v>
      </c>
      <c r="KXO68" s="561" t="s">
        <v>1505</v>
      </c>
      <c r="KXP68" s="561" t="s">
        <v>1505</v>
      </c>
      <c r="KXQ68" s="561" t="s">
        <v>1505</v>
      </c>
      <c r="KXR68" s="561" t="s">
        <v>1505</v>
      </c>
      <c r="KXS68" s="561" t="s">
        <v>1505</v>
      </c>
      <c r="KXT68" s="561" t="s">
        <v>1505</v>
      </c>
      <c r="KXU68" s="561" t="s">
        <v>1505</v>
      </c>
      <c r="KXV68" s="561" t="s">
        <v>1505</v>
      </c>
      <c r="KXW68" s="561" t="s">
        <v>1505</v>
      </c>
      <c r="KXX68" s="561" t="s">
        <v>1505</v>
      </c>
      <c r="KXY68" s="561" t="s">
        <v>1505</v>
      </c>
      <c r="KXZ68" s="561" t="s">
        <v>1505</v>
      </c>
      <c r="KYA68" s="561" t="s">
        <v>1505</v>
      </c>
      <c r="KYB68" s="561" t="s">
        <v>1505</v>
      </c>
      <c r="KYC68" s="561" t="s">
        <v>1505</v>
      </c>
      <c r="KYD68" s="561" t="s">
        <v>1505</v>
      </c>
      <c r="KYE68" s="561" t="s">
        <v>1505</v>
      </c>
      <c r="KYF68" s="561" t="s">
        <v>1505</v>
      </c>
      <c r="KYG68" s="561" t="s">
        <v>1505</v>
      </c>
      <c r="KYH68" s="561" t="s">
        <v>1505</v>
      </c>
      <c r="KYI68" s="561" t="s">
        <v>1505</v>
      </c>
      <c r="KYJ68" s="561" t="s">
        <v>1505</v>
      </c>
      <c r="KYK68" s="561" t="s">
        <v>1505</v>
      </c>
      <c r="KYL68" s="561" t="s">
        <v>1505</v>
      </c>
      <c r="KYM68" s="561" t="s">
        <v>1505</v>
      </c>
      <c r="KYN68" s="561" t="s">
        <v>1505</v>
      </c>
      <c r="KYO68" s="561" t="s">
        <v>1505</v>
      </c>
      <c r="KYP68" s="561" t="s">
        <v>1505</v>
      </c>
      <c r="KYQ68" s="561" t="s">
        <v>1505</v>
      </c>
      <c r="KYR68" s="561" t="s">
        <v>1505</v>
      </c>
      <c r="KYS68" s="561" t="s">
        <v>1505</v>
      </c>
      <c r="KYT68" s="561" t="s">
        <v>1505</v>
      </c>
      <c r="KYU68" s="561" t="s">
        <v>1505</v>
      </c>
      <c r="KYV68" s="561" t="s">
        <v>1505</v>
      </c>
      <c r="KYW68" s="561" t="s">
        <v>1505</v>
      </c>
      <c r="KYX68" s="561" t="s">
        <v>1505</v>
      </c>
      <c r="KYY68" s="561" t="s">
        <v>1505</v>
      </c>
      <c r="KYZ68" s="561" t="s">
        <v>1505</v>
      </c>
      <c r="KZA68" s="561" t="s">
        <v>1505</v>
      </c>
      <c r="KZB68" s="561" t="s">
        <v>1505</v>
      </c>
      <c r="KZC68" s="561" t="s">
        <v>1505</v>
      </c>
      <c r="KZD68" s="561" t="s">
        <v>1505</v>
      </c>
      <c r="KZE68" s="561" t="s">
        <v>1505</v>
      </c>
      <c r="KZF68" s="561" t="s">
        <v>1505</v>
      </c>
      <c r="KZG68" s="561" t="s">
        <v>1505</v>
      </c>
      <c r="KZH68" s="561" t="s">
        <v>1505</v>
      </c>
      <c r="KZI68" s="561" t="s">
        <v>1505</v>
      </c>
      <c r="KZJ68" s="561" t="s">
        <v>1505</v>
      </c>
      <c r="KZK68" s="561" t="s">
        <v>1505</v>
      </c>
      <c r="KZL68" s="561" t="s">
        <v>1505</v>
      </c>
      <c r="KZM68" s="561" t="s">
        <v>1505</v>
      </c>
      <c r="KZN68" s="561" t="s">
        <v>1505</v>
      </c>
      <c r="KZO68" s="561" t="s">
        <v>1505</v>
      </c>
      <c r="KZP68" s="561" t="s">
        <v>1505</v>
      </c>
      <c r="KZQ68" s="561" t="s">
        <v>1505</v>
      </c>
      <c r="KZR68" s="561" t="s">
        <v>1505</v>
      </c>
      <c r="KZS68" s="561" t="s">
        <v>1505</v>
      </c>
      <c r="KZT68" s="561" t="s">
        <v>1505</v>
      </c>
      <c r="KZU68" s="561" t="s">
        <v>1505</v>
      </c>
      <c r="KZV68" s="561" t="s">
        <v>1505</v>
      </c>
      <c r="KZW68" s="561" t="s">
        <v>1505</v>
      </c>
      <c r="KZX68" s="561" t="s">
        <v>1505</v>
      </c>
      <c r="KZY68" s="561" t="s">
        <v>1505</v>
      </c>
      <c r="KZZ68" s="561" t="s">
        <v>1505</v>
      </c>
      <c r="LAA68" s="561" t="s">
        <v>1505</v>
      </c>
      <c r="LAB68" s="561" t="s">
        <v>1505</v>
      </c>
      <c r="LAC68" s="561" t="s">
        <v>1505</v>
      </c>
      <c r="LAD68" s="561" t="s">
        <v>1505</v>
      </c>
      <c r="LAE68" s="561" t="s">
        <v>1505</v>
      </c>
      <c r="LAF68" s="561" t="s">
        <v>1505</v>
      </c>
      <c r="LAG68" s="561" t="s">
        <v>1505</v>
      </c>
      <c r="LAH68" s="561" t="s">
        <v>1505</v>
      </c>
      <c r="LAI68" s="561" t="s">
        <v>1505</v>
      </c>
      <c r="LAJ68" s="561" t="s">
        <v>1505</v>
      </c>
      <c r="LAK68" s="561" t="s">
        <v>1505</v>
      </c>
      <c r="LAL68" s="561" t="s">
        <v>1505</v>
      </c>
      <c r="LAM68" s="561" t="s">
        <v>1505</v>
      </c>
      <c r="LAN68" s="561" t="s">
        <v>1505</v>
      </c>
      <c r="LAO68" s="561" t="s">
        <v>1505</v>
      </c>
      <c r="LAP68" s="561" t="s">
        <v>1505</v>
      </c>
      <c r="LAQ68" s="561" t="s">
        <v>1505</v>
      </c>
      <c r="LAR68" s="561" t="s">
        <v>1505</v>
      </c>
      <c r="LAS68" s="561" t="s">
        <v>1505</v>
      </c>
      <c r="LAT68" s="561" t="s">
        <v>1505</v>
      </c>
      <c r="LAU68" s="561" t="s">
        <v>1505</v>
      </c>
      <c r="LAV68" s="561" t="s">
        <v>1505</v>
      </c>
      <c r="LAW68" s="561" t="s">
        <v>1505</v>
      </c>
      <c r="LAX68" s="561" t="s">
        <v>1505</v>
      </c>
      <c r="LAY68" s="561" t="s">
        <v>1505</v>
      </c>
      <c r="LAZ68" s="561" t="s">
        <v>1505</v>
      </c>
      <c r="LBA68" s="561" t="s">
        <v>1505</v>
      </c>
      <c r="LBB68" s="561" t="s">
        <v>1505</v>
      </c>
      <c r="LBC68" s="561" t="s">
        <v>1505</v>
      </c>
      <c r="LBD68" s="561" t="s">
        <v>1505</v>
      </c>
      <c r="LBE68" s="561" t="s">
        <v>1505</v>
      </c>
      <c r="LBF68" s="561" t="s">
        <v>1505</v>
      </c>
      <c r="LBG68" s="561" t="s">
        <v>1505</v>
      </c>
      <c r="LBH68" s="561" t="s">
        <v>1505</v>
      </c>
      <c r="LBI68" s="561" t="s">
        <v>1505</v>
      </c>
      <c r="LBJ68" s="561" t="s">
        <v>1505</v>
      </c>
      <c r="LBK68" s="561" t="s">
        <v>1505</v>
      </c>
      <c r="LBL68" s="561" t="s">
        <v>1505</v>
      </c>
      <c r="LBM68" s="561" t="s">
        <v>1505</v>
      </c>
      <c r="LBN68" s="561" t="s">
        <v>1505</v>
      </c>
      <c r="LBO68" s="561" t="s">
        <v>1505</v>
      </c>
      <c r="LBP68" s="561" t="s">
        <v>1505</v>
      </c>
      <c r="LBQ68" s="561" t="s">
        <v>1505</v>
      </c>
      <c r="LBR68" s="561" t="s">
        <v>1505</v>
      </c>
      <c r="LBS68" s="561" t="s">
        <v>1505</v>
      </c>
      <c r="LBT68" s="561" t="s">
        <v>1505</v>
      </c>
      <c r="LBU68" s="561" t="s">
        <v>1505</v>
      </c>
      <c r="LBV68" s="561" t="s">
        <v>1505</v>
      </c>
      <c r="LBW68" s="561" t="s">
        <v>1505</v>
      </c>
      <c r="LBX68" s="561" t="s">
        <v>1505</v>
      </c>
      <c r="LBY68" s="561" t="s">
        <v>1505</v>
      </c>
      <c r="LBZ68" s="561" t="s">
        <v>1505</v>
      </c>
      <c r="LCA68" s="561" t="s">
        <v>1505</v>
      </c>
      <c r="LCB68" s="561" t="s">
        <v>1505</v>
      </c>
      <c r="LCC68" s="561" t="s">
        <v>1505</v>
      </c>
      <c r="LCD68" s="561" t="s">
        <v>1505</v>
      </c>
      <c r="LCE68" s="561" t="s">
        <v>1505</v>
      </c>
      <c r="LCF68" s="561" t="s">
        <v>1505</v>
      </c>
      <c r="LCG68" s="561" t="s">
        <v>1505</v>
      </c>
      <c r="LCH68" s="561" t="s">
        <v>1505</v>
      </c>
      <c r="LCI68" s="561" t="s">
        <v>1505</v>
      </c>
      <c r="LCJ68" s="561" t="s">
        <v>1505</v>
      </c>
      <c r="LCK68" s="561" t="s">
        <v>1505</v>
      </c>
      <c r="LCL68" s="561" t="s">
        <v>1505</v>
      </c>
      <c r="LCM68" s="561" t="s">
        <v>1505</v>
      </c>
      <c r="LCN68" s="561" t="s">
        <v>1505</v>
      </c>
      <c r="LCO68" s="561" t="s">
        <v>1505</v>
      </c>
      <c r="LCP68" s="561" t="s">
        <v>1505</v>
      </c>
      <c r="LCQ68" s="561" t="s">
        <v>1505</v>
      </c>
      <c r="LCR68" s="561" t="s">
        <v>1505</v>
      </c>
      <c r="LCS68" s="561" t="s">
        <v>1505</v>
      </c>
      <c r="LCT68" s="561" t="s">
        <v>1505</v>
      </c>
      <c r="LCU68" s="561" t="s">
        <v>1505</v>
      </c>
      <c r="LCV68" s="561" t="s">
        <v>1505</v>
      </c>
      <c r="LCW68" s="561" t="s">
        <v>1505</v>
      </c>
      <c r="LCX68" s="561" t="s">
        <v>1505</v>
      </c>
      <c r="LCY68" s="561" t="s">
        <v>1505</v>
      </c>
      <c r="LCZ68" s="561" t="s">
        <v>1505</v>
      </c>
      <c r="LDA68" s="561" t="s">
        <v>1505</v>
      </c>
      <c r="LDB68" s="561" t="s">
        <v>1505</v>
      </c>
      <c r="LDC68" s="561" t="s">
        <v>1505</v>
      </c>
      <c r="LDD68" s="561" t="s">
        <v>1505</v>
      </c>
      <c r="LDE68" s="561" t="s">
        <v>1505</v>
      </c>
      <c r="LDF68" s="561" t="s">
        <v>1505</v>
      </c>
      <c r="LDG68" s="561" t="s">
        <v>1505</v>
      </c>
      <c r="LDH68" s="561" t="s">
        <v>1505</v>
      </c>
      <c r="LDI68" s="561" t="s">
        <v>1505</v>
      </c>
      <c r="LDJ68" s="561" t="s">
        <v>1505</v>
      </c>
      <c r="LDK68" s="561" t="s">
        <v>1505</v>
      </c>
      <c r="LDL68" s="561" t="s">
        <v>1505</v>
      </c>
      <c r="LDM68" s="561" t="s">
        <v>1505</v>
      </c>
      <c r="LDN68" s="561" t="s">
        <v>1505</v>
      </c>
      <c r="LDO68" s="561" t="s">
        <v>1505</v>
      </c>
      <c r="LDP68" s="561" t="s">
        <v>1505</v>
      </c>
      <c r="LDQ68" s="561" t="s">
        <v>1505</v>
      </c>
      <c r="LDR68" s="561" t="s">
        <v>1505</v>
      </c>
      <c r="LDS68" s="561" t="s">
        <v>1505</v>
      </c>
      <c r="LDT68" s="561" t="s">
        <v>1505</v>
      </c>
      <c r="LDU68" s="561" t="s">
        <v>1505</v>
      </c>
      <c r="LDV68" s="561" t="s">
        <v>1505</v>
      </c>
      <c r="LDW68" s="561" t="s">
        <v>1505</v>
      </c>
      <c r="LDX68" s="561" t="s">
        <v>1505</v>
      </c>
      <c r="LDY68" s="561" t="s">
        <v>1505</v>
      </c>
      <c r="LDZ68" s="561" t="s">
        <v>1505</v>
      </c>
      <c r="LEA68" s="561" t="s">
        <v>1505</v>
      </c>
      <c r="LEB68" s="561" t="s">
        <v>1505</v>
      </c>
      <c r="LEC68" s="561" t="s">
        <v>1505</v>
      </c>
      <c r="LED68" s="561" t="s">
        <v>1505</v>
      </c>
      <c r="LEE68" s="561" t="s">
        <v>1505</v>
      </c>
      <c r="LEF68" s="561" t="s">
        <v>1505</v>
      </c>
      <c r="LEG68" s="561" t="s">
        <v>1505</v>
      </c>
      <c r="LEH68" s="561" t="s">
        <v>1505</v>
      </c>
      <c r="LEI68" s="561" t="s">
        <v>1505</v>
      </c>
      <c r="LEJ68" s="561" t="s">
        <v>1505</v>
      </c>
      <c r="LEK68" s="561" t="s">
        <v>1505</v>
      </c>
      <c r="LEL68" s="561" t="s">
        <v>1505</v>
      </c>
      <c r="LEM68" s="561" t="s">
        <v>1505</v>
      </c>
      <c r="LEN68" s="561" t="s">
        <v>1505</v>
      </c>
      <c r="LEO68" s="561" t="s">
        <v>1505</v>
      </c>
      <c r="LEP68" s="561" t="s">
        <v>1505</v>
      </c>
      <c r="LEQ68" s="561" t="s">
        <v>1505</v>
      </c>
      <c r="LER68" s="561" t="s">
        <v>1505</v>
      </c>
      <c r="LES68" s="561" t="s">
        <v>1505</v>
      </c>
      <c r="LET68" s="561" t="s">
        <v>1505</v>
      </c>
      <c r="LEU68" s="561" t="s">
        <v>1505</v>
      </c>
      <c r="LEV68" s="561" t="s">
        <v>1505</v>
      </c>
      <c r="LEW68" s="561" t="s">
        <v>1505</v>
      </c>
      <c r="LEX68" s="561" t="s">
        <v>1505</v>
      </c>
      <c r="LEY68" s="561" t="s">
        <v>1505</v>
      </c>
      <c r="LEZ68" s="561" t="s">
        <v>1505</v>
      </c>
      <c r="LFA68" s="561" t="s">
        <v>1505</v>
      </c>
      <c r="LFB68" s="561" t="s">
        <v>1505</v>
      </c>
      <c r="LFC68" s="561" t="s">
        <v>1505</v>
      </c>
      <c r="LFD68" s="561" t="s">
        <v>1505</v>
      </c>
      <c r="LFE68" s="561" t="s">
        <v>1505</v>
      </c>
      <c r="LFF68" s="561" t="s">
        <v>1505</v>
      </c>
      <c r="LFG68" s="561" t="s">
        <v>1505</v>
      </c>
      <c r="LFH68" s="561" t="s">
        <v>1505</v>
      </c>
      <c r="LFI68" s="561" t="s">
        <v>1505</v>
      </c>
      <c r="LFJ68" s="561" t="s">
        <v>1505</v>
      </c>
      <c r="LFK68" s="561" t="s">
        <v>1505</v>
      </c>
      <c r="LFL68" s="561" t="s">
        <v>1505</v>
      </c>
      <c r="LFM68" s="561" t="s">
        <v>1505</v>
      </c>
      <c r="LFN68" s="561" t="s">
        <v>1505</v>
      </c>
      <c r="LFO68" s="561" t="s">
        <v>1505</v>
      </c>
      <c r="LFP68" s="561" t="s">
        <v>1505</v>
      </c>
      <c r="LFQ68" s="561" t="s">
        <v>1505</v>
      </c>
      <c r="LFR68" s="561" t="s">
        <v>1505</v>
      </c>
      <c r="LFS68" s="561" t="s">
        <v>1505</v>
      </c>
      <c r="LFT68" s="561" t="s">
        <v>1505</v>
      </c>
      <c r="LFU68" s="561" t="s">
        <v>1505</v>
      </c>
      <c r="LFV68" s="561" t="s">
        <v>1505</v>
      </c>
      <c r="LFW68" s="561" t="s">
        <v>1505</v>
      </c>
      <c r="LFX68" s="561" t="s">
        <v>1505</v>
      </c>
      <c r="LFY68" s="561" t="s">
        <v>1505</v>
      </c>
      <c r="LFZ68" s="561" t="s">
        <v>1505</v>
      </c>
      <c r="LGA68" s="561" t="s">
        <v>1505</v>
      </c>
      <c r="LGB68" s="561" t="s">
        <v>1505</v>
      </c>
      <c r="LGC68" s="561" t="s">
        <v>1505</v>
      </c>
      <c r="LGD68" s="561" t="s">
        <v>1505</v>
      </c>
      <c r="LGE68" s="561" t="s">
        <v>1505</v>
      </c>
      <c r="LGF68" s="561" t="s">
        <v>1505</v>
      </c>
      <c r="LGG68" s="561" t="s">
        <v>1505</v>
      </c>
      <c r="LGH68" s="561" t="s">
        <v>1505</v>
      </c>
      <c r="LGI68" s="561" t="s">
        <v>1505</v>
      </c>
      <c r="LGJ68" s="561" t="s">
        <v>1505</v>
      </c>
      <c r="LGK68" s="561" t="s">
        <v>1505</v>
      </c>
      <c r="LGL68" s="561" t="s">
        <v>1505</v>
      </c>
      <c r="LGM68" s="561" t="s">
        <v>1505</v>
      </c>
      <c r="LGN68" s="561" t="s">
        <v>1505</v>
      </c>
      <c r="LGO68" s="561" t="s">
        <v>1505</v>
      </c>
      <c r="LGP68" s="561" t="s">
        <v>1505</v>
      </c>
      <c r="LGQ68" s="561" t="s">
        <v>1505</v>
      </c>
      <c r="LGR68" s="561" t="s">
        <v>1505</v>
      </c>
      <c r="LGS68" s="561" t="s">
        <v>1505</v>
      </c>
      <c r="LGT68" s="561" t="s">
        <v>1505</v>
      </c>
      <c r="LGU68" s="561" t="s">
        <v>1505</v>
      </c>
      <c r="LGV68" s="561" t="s">
        <v>1505</v>
      </c>
      <c r="LGW68" s="561" t="s">
        <v>1505</v>
      </c>
      <c r="LGX68" s="561" t="s">
        <v>1505</v>
      </c>
      <c r="LGY68" s="561" t="s">
        <v>1505</v>
      </c>
      <c r="LGZ68" s="561" t="s">
        <v>1505</v>
      </c>
      <c r="LHA68" s="561" t="s">
        <v>1505</v>
      </c>
      <c r="LHB68" s="561" t="s">
        <v>1505</v>
      </c>
      <c r="LHC68" s="561" t="s">
        <v>1505</v>
      </c>
      <c r="LHD68" s="561" t="s">
        <v>1505</v>
      </c>
      <c r="LHE68" s="561" t="s">
        <v>1505</v>
      </c>
      <c r="LHF68" s="561" t="s">
        <v>1505</v>
      </c>
      <c r="LHG68" s="561" t="s">
        <v>1505</v>
      </c>
      <c r="LHH68" s="561" t="s">
        <v>1505</v>
      </c>
      <c r="LHI68" s="561" t="s">
        <v>1505</v>
      </c>
      <c r="LHJ68" s="561" t="s">
        <v>1505</v>
      </c>
      <c r="LHK68" s="561" t="s">
        <v>1505</v>
      </c>
      <c r="LHL68" s="561" t="s">
        <v>1505</v>
      </c>
      <c r="LHM68" s="561" t="s">
        <v>1505</v>
      </c>
      <c r="LHN68" s="561" t="s">
        <v>1505</v>
      </c>
      <c r="LHO68" s="561" t="s">
        <v>1505</v>
      </c>
      <c r="LHP68" s="561" t="s">
        <v>1505</v>
      </c>
      <c r="LHQ68" s="561" t="s">
        <v>1505</v>
      </c>
      <c r="LHR68" s="561" t="s">
        <v>1505</v>
      </c>
      <c r="LHS68" s="561" t="s">
        <v>1505</v>
      </c>
      <c r="LHT68" s="561" t="s">
        <v>1505</v>
      </c>
      <c r="LHU68" s="561" t="s">
        <v>1505</v>
      </c>
      <c r="LHV68" s="561" t="s">
        <v>1505</v>
      </c>
      <c r="LHW68" s="561" t="s">
        <v>1505</v>
      </c>
      <c r="LHX68" s="561" t="s">
        <v>1505</v>
      </c>
      <c r="LHY68" s="561" t="s">
        <v>1505</v>
      </c>
      <c r="LHZ68" s="561" t="s">
        <v>1505</v>
      </c>
      <c r="LIA68" s="561" t="s">
        <v>1505</v>
      </c>
      <c r="LIB68" s="561" t="s">
        <v>1505</v>
      </c>
      <c r="LIC68" s="561" t="s">
        <v>1505</v>
      </c>
      <c r="LID68" s="561" t="s">
        <v>1505</v>
      </c>
      <c r="LIE68" s="561" t="s">
        <v>1505</v>
      </c>
      <c r="LIF68" s="561" t="s">
        <v>1505</v>
      </c>
      <c r="LIG68" s="561" t="s">
        <v>1505</v>
      </c>
      <c r="LIH68" s="561" t="s">
        <v>1505</v>
      </c>
      <c r="LII68" s="561" t="s">
        <v>1505</v>
      </c>
      <c r="LIJ68" s="561" t="s">
        <v>1505</v>
      </c>
      <c r="LIK68" s="561" t="s">
        <v>1505</v>
      </c>
      <c r="LIL68" s="561" t="s">
        <v>1505</v>
      </c>
      <c r="LIM68" s="561" t="s">
        <v>1505</v>
      </c>
      <c r="LIN68" s="561" t="s">
        <v>1505</v>
      </c>
      <c r="LIO68" s="561" t="s">
        <v>1505</v>
      </c>
      <c r="LIP68" s="561" t="s">
        <v>1505</v>
      </c>
      <c r="LIQ68" s="561" t="s">
        <v>1505</v>
      </c>
      <c r="LIR68" s="561" t="s">
        <v>1505</v>
      </c>
      <c r="LIS68" s="561" t="s">
        <v>1505</v>
      </c>
      <c r="LIT68" s="561" t="s">
        <v>1505</v>
      </c>
      <c r="LIU68" s="561" t="s">
        <v>1505</v>
      </c>
      <c r="LIV68" s="561" t="s">
        <v>1505</v>
      </c>
      <c r="LIW68" s="561" t="s">
        <v>1505</v>
      </c>
      <c r="LIX68" s="561" t="s">
        <v>1505</v>
      </c>
      <c r="LIY68" s="561" t="s">
        <v>1505</v>
      </c>
      <c r="LIZ68" s="561" t="s">
        <v>1505</v>
      </c>
      <c r="LJA68" s="561" t="s">
        <v>1505</v>
      </c>
      <c r="LJB68" s="561" t="s">
        <v>1505</v>
      </c>
      <c r="LJC68" s="561" t="s">
        <v>1505</v>
      </c>
      <c r="LJD68" s="561" t="s">
        <v>1505</v>
      </c>
      <c r="LJE68" s="561" t="s">
        <v>1505</v>
      </c>
      <c r="LJF68" s="561" t="s">
        <v>1505</v>
      </c>
      <c r="LJG68" s="561" t="s">
        <v>1505</v>
      </c>
      <c r="LJH68" s="561" t="s">
        <v>1505</v>
      </c>
      <c r="LJI68" s="561" t="s">
        <v>1505</v>
      </c>
      <c r="LJJ68" s="561" t="s">
        <v>1505</v>
      </c>
      <c r="LJK68" s="561" t="s">
        <v>1505</v>
      </c>
      <c r="LJL68" s="561" t="s">
        <v>1505</v>
      </c>
      <c r="LJM68" s="561" t="s">
        <v>1505</v>
      </c>
      <c r="LJN68" s="561" t="s">
        <v>1505</v>
      </c>
      <c r="LJO68" s="561" t="s">
        <v>1505</v>
      </c>
      <c r="LJP68" s="561" t="s">
        <v>1505</v>
      </c>
      <c r="LJQ68" s="561" t="s">
        <v>1505</v>
      </c>
      <c r="LJR68" s="561" t="s">
        <v>1505</v>
      </c>
      <c r="LJS68" s="561" t="s">
        <v>1505</v>
      </c>
      <c r="LJT68" s="561" t="s">
        <v>1505</v>
      </c>
      <c r="LJU68" s="561" t="s">
        <v>1505</v>
      </c>
      <c r="LJV68" s="561" t="s">
        <v>1505</v>
      </c>
      <c r="LJW68" s="561" t="s">
        <v>1505</v>
      </c>
      <c r="LJX68" s="561" t="s">
        <v>1505</v>
      </c>
      <c r="LJY68" s="561" t="s">
        <v>1505</v>
      </c>
      <c r="LJZ68" s="561" t="s">
        <v>1505</v>
      </c>
      <c r="LKA68" s="561" t="s">
        <v>1505</v>
      </c>
      <c r="LKB68" s="561" t="s">
        <v>1505</v>
      </c>
      <c r="LKC68" s="561" t="s">
        <v>1505</v>
      </c>
      <c r="LKD68" s="561" t="s">
        <v>1505</v>
      </c>
      <c r="LKE68" s="561" t="s">
        <v>1505</v>
      </c>
      <c r="LKF68" s="561" t="s">
        <v>1505</v>
      </c>
      <c r="LKG68" s="561" t="s">
        <v>1505</v>
      </c>
      <c r="LKH68" s="561" t="s">
        <v>1505</v>
      </c>
      <c r="LKI68" s="561" t="s">
        <v>1505</v>
      </c>
      <c r="LKJ68" s="561" t="s">
        <v>1505</v>
      </c>
      <c r="LKK68" s="561" t="s">
        <v>1505</v>
      </c>
      <c r="LKL68" s="561" t="s">
        <v>1505</v>
      </c>
      <c r="LKM68" s="561" t="s">
        <v>1505</v>
      </c>
      <c r="LKN68" s="561" t="s">
        <v>1505</v>
      </c>
      <c r="LKO68" s="561" t="s">
        <v>1505</v>
      </c>
      <c r="LKP68" s="561" t="s">
        <v>1505</v>
      </c>
      <c r="LKQ68" s="561" t="s">
        <v>1505</v>
      </c>
      <c r="LKR68" s="561" t="s">
        <v>1505</v>
      </c>
      <c r="LKS68" s="561" t="s">
        <v>1505</v>
      </c>
      <c r="LKT68" s="561" t="s">
        <v>1505</v>
      </c>
      <c r="LKU68" s="561" t="s">
        <v>1505</v>
      </c>
      <c r="LKV68" s="561" t="s">
        <v>1505</v>
      </c>
      <c r="LKW68" s="561" t="s">
        <v>1505</v>
      </c>
      <c r="LKX68" s="561" t="s">
        <v>1505</v>
      </c>
      <c r="LKY68" s="561" t="s">
        <v>1505</v>
      </c>
      <c r="LKZ68" s="561" t="s">
        <v>1505</v>
      </c>
      <c r="LLA68" s="561" t="s">
        <v>1505</v>
      </c>
      <c r="LLB68" s="561" t="s">
        <v>1505</v>
      </c>
      <c r="LLC68" s="561" t="s">
        <v>1505</v>
      </c>
      <c r="LLD68" s="561" t="s">
        <v>1505</v>
      </c>
      <c r="LLE68" s="561" t="s">
        <v>1505</v>
      </c>
      <c r="LLF68" s="561" t="s">
        <v>1505</v>
      </c>
      <c r="LLG68" s="561" t="s">
        <v>1505</v>
      </c>
      <c r="LLH68" s="561" t="s">
        <v>1505</v>
      </c>
      <c r="LLI68" s="561" t="s">
        <v>1505</v>
      </c>
      <c r="LLJ68" s="561" t="s">
        <v>1505</v>
      </c>
      <c r="LLK68" s="561" t="s">
        <v>1505</v>
      </c>
      <c r="LLL68" s="561" t="s">
        <v>1505</v>
      </c>
      <c r="LLM68" s="561" t="s">
        <v>1505</v>
      </c>
      <c r="LLN68" s="561" t="s">
        <v>1505</v>
      </c>
      <c r="LLO68" s="561" t="s">
        <v>1505</v>
      </c>
      <c r="LLP68" s="561" t="s">
        <v>1505</v>
      </c>
      <c r="LLQ68" s="561" t="s">
        <v>1505</v>
      </c>
      <c r="LLR68" s="561" t="s">
        <v>1505</v>
      </c>
      <c r="LLS68" s="561" t="s">
        <v>1505</v>
      </c>
      <c r="LLT68" s="561" t="s">
        <v>1505</v>
      </c>
      <c r="LLU68" s="561" t="s">
        <v>1505</v>
      </c>
      <c r="LLV68" s="561" t="s">
        <v>1505</v>
      </c>
      <c r="LLW68" s="561" t="s">
        <v>1505</v>
      </c>
      <c r="LLX68" s="561" t="s">
        <v>1505</v>
      </c>
      <c r="LLY68" s="561" t="s">
        <v>1505</v>
      </c>
      <c r="LLZ68" s="561" t="s">
        <v>1505</v>
      </c>
      <c r="LMA68" s="561" t="s">
        <v>1505</v>
      </c>
      <c r="LMB68" s="561" t="s">
        <v>1505</v>
      </c>
      <c r="LMC68" s="561" t="s">
        <v>1505</v>
      </c>
      <c r="LMD68" s="561" t="s">
        <v>1505</v>
      </c>
      <c r="LME68" s="561" t="s">
        <v>1505</v>
      </c>
      <c r="LMF68" s="561" t="s">
        <v>1505</v>
      </c>
      <c r="LMG68" s="561" t="s">
        <v>1505</v>
      </c>
      <c r="LMH68" s="561" t="s">
        <v>1505</v>
      </c>
      <c r="LMI68" s="561" t="s">
        <v>1505</v>
      </c>
      <c r="LMJ68" s="561" t="s">
        <v>1505</v>
      </c>
      <c r="LMK68" s="561" t="s">
        <v>1505</v>
      </c>
      <c r="LML68" s="561" t="s">
        <v>1505</v>
      </c>
      <c r="LMM68" s="561" t="s">
        <v>1505</v>
      </c>
      <c r="LMN68" s="561" t="s">
        <v>1505</v>
      </c>
      <c r="LMO68" s="561" t="s">
        <v>1505</v>
      </c>
      <c r="LMP68" s="561" t="s">
        <v>1505</v>
      </c>
      <c r="LMQ68" s="561" t="s">
        <v>1505</v>
      </c>
      <c r="LMR68" s="561" t="s">
        <v>1505</v>
      </c>
      <c r="LMS68" s="561" t="s">
        <v>1505</v>
      </c>
      <c r="LMT68" s="561" t="s">
        <v>1505</v>
      </c>
      <c r="LMU68" s="561" t="s">
        <v>1505</v>
      </c>
      <c r="LMV68" s="561" t="s">
        <v>1505</v>
      </c>
      <c r="LMW68" s="561" t="s">
        <v>1505</v>
      </c>
      <c r="LMX68" s="561" t="s">
        <v>1505</v>
      </c>
      <c r="LMY68" s="561" t="s">
        <v>1505</v>
      </c>
      <c r="LMZ68" s="561" t="s">
        <v>1505</v>
      </c>
      <c r="LNA68" s="561" t="s">
        <v>1505</v>
      </c>
      <c r="LNB68" s="561" t="s">
        <v>1505</v>
      </c>
      <c r="LNC68" s="561" t="s">
        <v>1505</v>
      </c>
      <c r="LND68" s="561" t="s">
        <v>1505</v>
      </c>
      <c r="LNE68" s="561" t="s">
        <v>1505</v>
      </c>
      <c r="LNF68" s="561" t="s">
        <v>1505</v>
      </c>
      <c r="LNG68" s="561" t="s">
        <v>1505</v>
      </c>
      <c r="LNH68" s="561" t="s">
        <v>1505</v>
      </c>
      <c r="LNI68" s="561" t="s">
        <v>1505</v>
      </c>
      <c r="LNJ68" s="561" t="s">
        <v>1505</v>
      </c>
      <c r="LNK68" s="561" t="s">
        <v>1505</v>
      </c>
      <c r="LNL68" s="561" t="s">
        <v>1505</v>
      </c>
      <c r="LNM68" s="561" t="s">
        <v>1505</v>
      </c>
      <c r="LNN68" s="561" t="s">
        <v>1505</v>
      </c>
      <c r="LNO68" s="561" t="s">
        <v>1505</v>
      </c>
      <c r="LNP68" s="561" t="s">
        <v>1505</v>
      </c>
      <c r="LNQ68" s="561" t="s">
        <v>1505</v>
      </c>
      <c r="LNR68" s="561" t="s">
        <v>1505</v>
      </c>
      <c r="LNS68" s="561" t="s">
        <v>1505</v>
      </c>
      <c r="LNT68" s="561" t="s">
        <v>1505</v>
      </c>
      <c r="LNU68" s="561" t="s">
        <v>1505</v>
      </c>
      <c r="LNV68" s="561" t="s">
        <v>1505</v>
      </c>
      <c r="LNW68" s="561" t="s">
        <v>1505</v>
      </c>
      <c r="LNX68" s="561" t="s">
        <v>1505</v>
      </c>
      <c r="LNY68" s="561" t="s">
        <v>1505</v>
      </c>
      <c r="LNZ68" s="561" t="s">
        <v>1505</v>
      </c>
      <c r="LOA68" s="561" t="s">
        <v>1505</v>
      </c>
      <c r="LOB68" s="561" t="s">
        <v>1505</v>
      </c>
      <c r="LOC68" s="561" t="s">
        <v>1505</v>
      </c>
      <c r="LOD68" s="561" t="s">
        <v>1505</v>
      </c>
      <c r="LOE68" s="561" t="s">
        <v>1505</v>
      </c>
      <c r="LOF68" s="561" t="s">
        <v>1505</v>
      </c>
      <c r="LOG68" s="561" t="s">
        <v>1505</v>
      </c>
      <c r="LOH68" s="561" t="s">
        <v>1505</v>
      </c>
      <c r="LOI68" s="561" t="s">
        <v>1505</v>
      </c>
      <c r="LOJ68" s="561" t="s">
        <v>1505</v>
      </c>
      <c r="LOK68" s="561" t="s">
        <v>1505</v>
      </c>
      <c r="LOL68" s="561" t="s">
        <v>1505</v>
      </c>
      <c r="LOM68" s="561" t="s">
        <v>1505</v>
      </c>
      <c r="LON68" s="561" t="s">
        <v>1505</v>
      </c>
      <c r="LOO68" s="561" t="s">
        <v>1505</v>
      </c>
      <c r="LOP68" s="561" t="s">
        <v>1505</v>
      </c>
      <c r="LOQ68" s="561" t="s">
        <v>1505</v>
      </c>
      <c r="LOR68" s="561" t="s">
        <v>1505</v>
      </c>
      <c r="LOS68" s="561" t="s">
        <v>1505</v>
      </c>
      <c r="LOT68" s="561" t="s">
        <v>1505</v>
      </c>
      <c r="LOU68" s="561" t="s">
        <v>1505</v>
      </c>
      <c r="LOV68" s="561" t="s">
        <v>1505</v>
      </c>
      <c r="LOW68" s="561" t="s">
        <v>1505</v>
      </c>
      <c r="LOX68" s="561" t="s">
        <v>1505</v>
      </c>
      <c r="LOY68" s="561" t="s">
        <v>1505</v>
      </c>
      <c r="LOZ68" s="561" t="s">
        <v>1505</v>
      </c>
      <c r="LPA68" s="561" t="s">
        <v>1505</v>
      </c>
      <c r="LPB68" s="561" t="s">
        <v>1505</v>
      </c>
      <c r="LPC68" s="561" t="s">
        <v>1505</v>
      </c>
      <c r="LPD68" s="561" t="s">
        <v>1505</v>
      </c>
      <c r="LPE68" s="561" t="s">
        <v>1505</v>
      </c>
      <c r="LPF68" s="561" t="s">
        <v>1505</v>
      </c>
      <c r="LPG68" s="561" t="s">
        <v>1505</v>
      </c>
      <c r="LPH68" s="561" t="s">
        <v>1505</v>
      </c>
      <c r="LPI68" s="561" t="s">
        <v>1505</v>
      </c>
      <c r="LPJ68" s="561" t="s">
        <v>1505</v>
      </c>
      <c r="LPK68" s="561" t="s">
        <v>1505</v>
      </c>
      <c r="LPL68" s="561" t="s">
        <v>1505</v>
      </c>
      <c r="LPM68" s="561" t="s">
        <v>1505</v>
      </c>
      <c r="LPN68" s="561" t="s">
        <v>1505</v>
      </c>
      <c r="LPO68" s="561" t="s">
        <v>1505</v>
      </c>
      <c r="LPP68" s="561" t="s">
        <v>1505</v>
      </c>
      <c r="LPQ68" s="561" t="s">
        <v>1505</v>
      </c>
      <c r="LPR68" s="561" t="s">
        <v>1505</v>
      </c>
      <c r="LPS68" s="561" t="s">
        <v>1505</v>
      </c>
      <c r="LPT68" s="561" t="s">
        <v>1505</v>
      </c>
      <c r="LPU68" s="561" t="s">
        <v>1505</v>
      </c>
      <c r="LPV68" s="561" t="s">
        <v>1505</v>
      </c>
      <c r="LPW68" s="561" t="s">
        <v>1505</v>
      </c>
      <c r="LPX68" s="561" t="s">
        <v>1505</v>
      </c>
      <c r="LPY68" s="561" t="s">
        <v>1505</v>
      </c>
      <c r="LPZ68" s="561" t="s">
        <v>1505</v>
      </c>
      <c r="LQA68" s="561" t="s">
        <v>1505</v>
      </c>
      <c r="LQB68" s="561" t="s">
        <v>1505</v>
      </c>
      <c r="LQC68" s="561" t="s">
        <v>1505</v>
      </c>
      <c r="LQD68" s="561" t="s">
        <v>1505</v>
      </c>
      <c r="LQE68" s="561" t="s">
        <v>1505</v>
      </c>
      <c r="LQF68" s="561" t="s">
        <v>1505</v>
      </c>
      <c r="LQG68" s="561" t="s">
        <v>1505</v>
      </c>
      <c r="LQH68" s="561" t="s">
        <v>1505</v>
      </c>
      <c r="LQI68" s="561" t="s">
        <v>1505</v>
      </c>
      <c r="LQJ68" s="561" t="s">
        <v>1505</v>
      </c>
      <c r="LQK68" s="561" t="s">
        <v>1505</v>
      </c>
      <c r="LQL68" s="561" t="s">
        <v>1505</v>
      </c>
      <c r="LQM68" s="561" t="s">
        <v>1505</v>
      </c>
      <c r="LQN68" s="561" t="s">
        <v>1505</v>
      </c>
      <c r="LQO68" s="561" t="s">
        <v>1505</v>
      </c>
      <c r="LQP68" s="561" t="s">
        <v>1505</v>
      </c>
      <c r="LQQ68" s="561" t="s">
        <v>1505</v>
      </c>
      <c r="LQR68" s="561" t="s">
        <v>1505</v>
      </c>
      <c r="LQS68" s="561" t="s">
        <v>1505</v>
      </c>
      <c r="LQT68" s="561" t="s">
        <v>1505</v>
      </c>
      <c r="LQU68" s="561" t="s">
        <v>1505</v>
      </c>
      <c r="LQV68" s="561" t="s">
        <v>1505</v>
      </c>
      <c r="LQW68" s="561" t="s">
        <v>1505</v>
      </c>
      <c r="LQX68" s="561" t="s">
        <v>1505</v>
      </c>
      <c r="LQY68" s="561" t="s">
        <v>1505</v>
      </c>
      <c r="LQZ68" s="561" t="s">
        <v>1505</v>
      </c>
      <c r="LRA68" s="561" t="s">
        <v>1505</v>
      </c>
      <c r="LRB68" s="561" t="s">
        <v>1505</v>
      </c>
      <c r="LRC68" s="561" t="s">
        <v>1505</v>
      </c>
      <c r="LRD68" s="561" t="s">
        <v>1505</v>
      </c>
      <c r="LRE68" s="561" t="s">
        <v>1505</v>
      </c>
      <c r="LRF68" s="561" t="s">
        <v>1505</v>
      </c>
      <c r="LRG68" s="561" t="s">
        <v>1505</v>
      </c>
      <c r="LRH68" s="561" t="s">
        <v>1505</v>
      </c>
      <c r="LRI68" s="561" t="s">
        <v>1505</v>
      </c>
      <c r="LRJ68" s="561" t="s">
        <v>1505</v>
      </c>
      <c r="LRK68" s="561" t="s">
        <v>1505</v>
      </c>
      <c r="LRL68" s="561" t="s">
        <v>1505</v>
      </c>
      <c r="LRM68" s="561" t="s">
        <v>1505</v>
      </c>
      <c r="LRN68" s="561" t="s">
        <v>1505</v>
      </c>
      <c r="LRO68" s="561" t="s">
        <v>1505</v>
      </c>
      <c r="LRP68" s="561" t="s">
        <v>1505</v>
      </c>
      <c r="LRQ68" s="561" t="s">
        <v>1505</v>
      </c>
      <c r="LRR68" s="561" t="s">
        <v>1505</v>
      </c>
      <c r="LRS68" s="561" t="s">
        <v>1505</v>
      </c>
      <c r="LRT68" s="561" t="s">
        <v>1505</v>
      </c>
      <c r="LRU68" s="561" t="s">
        <v>1505</v>
      </c>
      <c r="LRV68" s="561" t="s">
        <v>1505</v>
      </c>
      <c r="LRW68" s="561" t="s">
        <v>1505</v>
      </c>
      <c r="LRX68" s="561" t="s">
        <v>1505</v>
      </c>
      <c r="LRY68" s="561" t="s">
        <v>1505</v>
      </c>
      <c r="LRZ68" s="561" t="s">
        <v>1505</v>
      </c>
      <c r="LSA68" s="561" t="s">
        <v>1505</v>
      </c>
      <c r="LSB68" s="561" t="s">
        <v>1505</v>
      </c>
      <c r="LSC68" s="561" t="s">
        <v>1505</v>
      </c>
      <c r="LSD68" s="561" t="s">
        <v>1505</v>
      </c>
      <c r="LSE68" s="561" t="s">
        <v>1505</v>
      </c>
      <c r="LSF68" s="561" t="s">
        <v>1505</v>
      </c>
      <c r="LSG68" s="561" t="s">
        <v>1505</v>
      </c>
      <c r="LSH68" s="561" t="s">
        <v>1505</v>
      </c>
      <c r="LSI68" s="561" t="s">
        <v>1505</v>
      </c>
      <c r="LSJ68" s="561" t="s">
        <v>1505</v>
      </c>
      <c r="LSK68" s="561" t="s">
        <v>1505</v>
      </c>
      <c r="LSL68" s="561" t="s">
        <v>1505</v>
      </c>
      <c r="LSM68" s="561" t="s">
        <v>1505</v>
      </c>
      <c r="LSN68" s="561" t="s">
        <v>1505</v>
      </c>
      <c r="LSO68" s="561" t="s">
        <v>1505</v>
      </c>
      <c r="LSP68" s="561" t="s">
        <v>1505</v>
      </c>
      <c r="LSQ68" s="561" t="s">
        <v>1505</v>
      </c>
      <c r="LSR68" s="561" t="s">
        <v>1505</v>
      </c>
      <c r="LSS68" s="561" t="s">
        <v>1505</v>
      </c>
      <c r="LST68" s="561" t="s">
        <v>1505</v>
      </c>
      <c r="LSU68" s="561" t="s">
        <v>1505</v>
      </c>
      <c r="LSV68" s="561" t="s">
        <v>1505</v>
      </c>
      <c r="LSW68" s="561" t="s">
        <v>1505</v>
      </c>
      <c r="LSX68" s="561" t="s">
        <v>1505</v>
      </c>
      <c r="LSY68" s="561" t="s">
        <v>1505</v>
      </c>
      <c r="LSZ68" s="561" t="s">
        <v>1505</v>
      </c>
      <c r="LTA68" s="561" t="s">
        <v>1505</v>
      </c>
      <c r="LTB68" s="561" t="s">
        <v>1505</v>
      </c>
      <c r="LTC68" s="561" t="s">
        <v>1505</v>
      </c>
      <c r="LTD68" s="561" t="s">
        <v>1505</v>
      </c>
      <c r="LTE68" s="561" t="s">
        <v>1505</v>
      </c>
      <c r="LTF68" s="561" t="s">
        <v>1505</v>
      </c>
      <c r="LTG68" s="561" t="s">
        <v>1505</v>
      </c>
      <c r="LTH68" s="561" t="s">
        <v>1505</v>
      </c>
      <c r="LTI68" s="561" t="s">
        <v>1505</v>
      </c>
      <c r="LTJ68" s="561" t="s">
        <v>1505</v>
      </c>
      <c r="LTK68" s="561" t="s">
        <v>1505</v>
      </c>
      <c r="LTL68" s="561" t="s">
        <v>1505</v>
      </c>
      <c r="LTM68" s="561" t="s">
        <v>1505</v>
      </c>
      <c r="LTN68" s="561" t="s">
        <v>1505</v>
      </c>
      <c r="LTO68" s="561" t="s">
        <v>1505</v>
      </c>
      <c r="LTP68" s="561" t="s">
        <v>1505</v>
      </c>
      <c r="LTQ68" s="561" t="s">
        <v>1505</v>
      </c>
      <c r="LTR68" s="561" t="s">
        <v>1505</v>
      </c>
      <c r="LTS68" s="561" t="s">
        <v>1505</v>
      </c>
      <c r="LTT68" s="561" t="s">
        <v>1505</v>
      </c>
      <c r="LTU68" s="561" t="s">
        <v>1505</v>
      </c>
      <c r="LTV68" s="561" t="s">
        <v>1505</v>
      </c>
      <c r="LTW68" s="561" t="s">
        <v>1505</v>
      </c>
      <c r="LTX68" s="561" t="s">
        <v>1505</v>
      </c>
      <c r="LTY68" s="561" t="s">
        <v>1505</v>
      </c>
      <c r="LTZ68" s="561" t="s">
        <v>1505</v>
      </c>
      <c r="LUA68" s="561" t="s">
        <v>1505</v>
      </c>
      <c r="LUB68" s="561" t="s">
        <v>1505</v>
      </c>
      <c r="LUC68" s="561" t="s">
        <v>1505</v>
      </c>
      <c r="LUD68" s="561" t="s">
        <v>1505</v>
      </c>
      <c r="LUE68" s="561" t="s">
        <v>1505</v>
      </c>
      <c r="LUF68" s="561" t="s">
        <v>1505</v>
      </c>
      <c r="LUG68" s="561" t="s">
        <v>1505</v>
      </c>
      <c r="LUH68" s="561" t="s">
        <v>1505</v>
      </c>
      <c r="LUI68" s="561" t="s">
        <v>1505</v>
      </c>
      <c r="LUJ68" s="561" t="s">
        <v>1505</v>
      </c>
      <c r="LUK68" s="561" t="s">
        <v>1505</v>
      </c>
      <c r="LUL68" s="561" t="s">
        <v>1505</v>
      </c>
      <c r="LUM68" s="561" t="s">
        <v>1505</v>
      </c>
      <c r="LUN68" s="561" t="s">
        <v>1505</v>
      </c>
      <c r="LUO68" s="561" t="s">
        <v>1505</v>
      </c>
      <c r="LUP68" s="561" t="s">
        <v>1505</v>
      </c>
      <c r="LUQ68" s="561" t="s">
        <v>1505</v>
      </c>
      <c r="LUR68" s="561" t="s">
        <v>1505</v>
      </c>
      <c r="LUS68" s="561" t="s">
        <v>1505</v>
      </c>
      <c r="LUT68" s="561" t="s">
        <v>1505</v>
      </c>
      <c r="LUU68" s="561" t="s">
        <v>1505</v>
      </c>
      <c r="LUV68" s="561" t="s">
        <v>1505</v>
      </c>
      <c r="LUW68" s="561" t="s">
        <v>1505</v>
      </c>
      <c r="LUX68" s="561" t="s">
        <v>1505</v>
      </c>
      <c r="LUY68" s="561" t="s">
        <v>1505</v>
      </c>
      <c r="LUZ68" s="561" t="s">
        <v>1505</v>
      </c>
      <c r="LVA68" s="561" t="s">
        <v>1505</v>
      </c>
      <c r="LVB68" s="561" t="s">
        <v>1505</v>
      </c>
      <c r="LVC68" s="561" t="s">
        <v>1505</v>
      </c>
      <c r="LVD68" s="561" t="s">
        <v>1505</v>
      </c>
      <c r="LVE68" s="561" t="s">
        <v>1505</v>
      </c>
      <c r="LVF68" s="561" t="s">
        <v>1505</v>
      </c>
      <c r="LVG68" s="561" t="s">
        <v>1505</v>
      </c>
      <c r="LVH68" s="561" t="s">
        <v>1505</v>
      </c>
      <c r="LVI68" s="561" t="s">
        <v>1505</v>
      </c>
      <c r="LVJ68" s="561" t="s">
        <v>1505</v>
      </c>
      <c r="LVK68" s="561" t="s">
        <v>1505</v>
      </c>
      <c r="LVL68" s="561" t="s">
        <v>1505</v>
      </c>
      <c r="LVM68" s="561" t="s">
        <v>1505</v>
      </c>
      <c r="LVN68" s="561" t="s">
        <v>1505</v>
      </c>
      <c r="LVO68" s="561" t="s">
        <v>1505</v>
      </c>
      <c r="LVP68" s="561" t="s">
        <v>1505</v>
      </c>
      <c r="LVQ68" s="561" t="s">
        <v>1505</v>
      </c>
      <c r="LVR68" s="561" t="s">
        <v>1505</v>
      </c>
      <c r="LVS68" s="561" t="s">
        <v>1505</v>
      </c>
      <c r="LVT68" s="561" t="s">
        <v>1505</v>
      </c>
      <c r="LVU68" s="561" t="s">
        <v>1505</v>
      </c>
      <c r="LVV68" s="561" t="s">
        <v>1505</v>
      </c>
      <c r="LVW68" s="561" t="s">
        <v>1505</v>
      </c>
      <c r="LVX68" s="561" t="s">
        <v>1505</v>
      </c>
      <c r="LVY68" s="561" t="s">
        <v>1505</v>
      </c>
      <c r="LVZ68" s="561" t="s">
        <v>1505</v>
      </c>
      <c r="LWA68" s="561" t="s">
        <v>1505</v>
      </c>
      <c r="LWB68" s="561" t="s">
        <v>1505</v>
      </c>
      <c r="LWC68" s="561" t="s">
        <v>1505</v>
      </c>
      <c r="LWD68" s="561" t="s">
        <v>1505</v>
      </c>
      <c r="LWE68" s="561" t="s">
        <v>1505</v>
      </c>
      <c r="LWF68" s="561" t="s">
        <v>1505</v>
      </c>
      <c r="LWG68" s="561" t="s">
        <v>1505</v>
      </c>
      <c r="LWH68" s="561" t="s">
        <v>1505</v>
      </c>
      <c r="LWI68" s="561" t="s">
        <v>1505</v>
      </c>
      <c r="LWJ68" s="561" t="s">
        <v>1505</v>
      </c>
      <c r="LWK68" s="561" t="s">
        <v>1505</v>
      </c>
      <c r="LWL68" s="561" t="s">
        <v>1505</v>
      </c>
      <c r="LWM68" s="561" t="s">
        <v>1505</v>
      </c>
      <c r="LWN68" s="561" t="s">
        <v>1505</v>
      </c>
      <c r="LWO68" s="561" t="s">
        <v>1505</v>
      </c>
      <c r="LWP68" s="561" t="s">
        <v>1505</v>
      </c>
      <c r="LWQ68" s="561" t="s">
        <v>1505</v>
      </c>
      <c r="LWR68" s="561" t="s">
        <v>1505</v>
      </c>
      <c r="LWS68" s="561" t="s">
        <v>1505</v>
      </c>
      <c r="LWT68" s="561" t="s">
        <v>1505</v>
      </c>
      <c r="LWU68" s="561" t="s">
        <v>1505</v>
      </c>
      <c r="LWV68" s="561" t="s">
        <v>1505</v>
      </c>
      <c r="LWW68" s="561" t="s">
        <v>1505</v>
      </c>
      <c r="LWX68" s="561" t="s">
        <v>1505</v>
      </c>
      <c r="LWY68" s="561" t="s">
        <v>1505</v>
      </c>
      <c r="LWZ68" s="561" t="s">
        <v>1505</v>
      </c>
      <c r="LXA68" s="561" t="s">
        <v>1505</v>
      </c>
      <c r="LXB68" s="561" t="s">
        <v>1505</v>
      </c>
      <c r="LXC68" s="561" t="s">
        <v>1505</v>
      </c>
      <c r="LXD68" s="561" t="s">
        <v>1505</v>
      </c>
      <c r="LXE68" s="561" t="s">
        <v>1505</v>
      </c>
      <c r="LXF68" s="561" t="s">
        <v>1505</v>
      </c>
      <c r="LXG68" s="561" t="s">
        <v>1505</v>
      </c>
      <c r="LXH68" s="561" t="s">
        <v>1505</v>
      </c>
      <c r="LXI68" s="561" t="s">
        <v>1505</v>
      </c>
      <c r="LXJ68" s="561" t="s">
        <v>1505</v>
      </c>
      <c r="LXK68" s="561" t="s">
        <v>1505</v>
      </c>
      <c r="LXL68" s="561" t="s">
        <v>1505</v>
      </c>
      <c r="LXM68" s="561" t="s">
        <v>1505</v>
      </c>
      <c r="LXN68" s="561" t="s">
        <v>1505</v>
      </c>
      <c r="LXO68" s="561" t="s">
        <v>1505</v>
      </c>
      <c r="LXP68" s="561" t="s">
        <v>1505</v>
      </c>
      <c r="LXQ68" s="561" t="s">
        <v>1505</v>
      </c>
      <c r="LXR68" s="561" t="s">
        <v>1505</v>
      </c>
      <c r="LXS68" s="561" t="s">
        <v>1505</v>
      </c>
      <c r="LXT68" s="561" t="s">
        <v>1505</v>
      </c>
      <c r="LXU68" s="561" t="s">
        <v>1505</v>
      </c>
      <c r="LXV68" s="561" t="s">
        <v>1505</v>
      </c>
      <c r="LXW68" s="561" t="s">
        <v>1505</v>
      </c>
      <c r="LXX68" s="561" t="s">
        <v>1505</v>
      </c>
      <c r="LXY68" s="561" t="s">
        <v>1505</v>
      </c>
      <c r="LXZ68" s="561" t="s">
        <v>1505</v>
      </c>
      <c r="LYA68" s="561" t="s">
        <v>1505</v>
      </c>
      <c r="LYB68" s="561" t="s">
        <v>1505</v>
      </c>
      <c r="LYC68" s="561" t="s">
        <v>1505</v>
      </c>
      <c r="LYD68" s="561" t="s">
        <v>1505</v>
      </c>
      <c r="LYE68" s="561" t="s">
        <v>1505</v>
      </c>
      <c r="LYF68" s="561" t="s">
        <v>1505</v>
      </c>
      <c r="LYG68" s="561" t="s">
        <v>1505</v>
      </c>
      <c r="LYH68" s="561" t="s">
        <v>1505</v>
      </c>
      <c r="LYI68" s="561" t="s">
        <v>1505</v>
      </c>
      <c r="LYJ68" s="561" t="s">
        <v>1505</v>
      </c>
      <c r="LYK68" s="561" t="s">
        <v>1505</v>
      </c>
      <c r="LYL68" s="561" t="s">
        <v>1505</v>
      </c>
      <c r="LYM68" s="561" t="s">
        <v>1505</v>
      </c>
      <c r="LYN68" s="561" t="s">
        <v>1505</v>
      </c>
      <c r="LYO68" s="561" t="s">
        <v>1505</v>
      </c>
      <c r="LYP68" s="561" t="s">
        <v>1505</v>
      </c>
      <c r="LYQ68" s="561" t="s">
        <v>1505</v>
      </c>
      <c r="LYR68" s="561" t="s">
        <v>1505</v>
      </c>
      <c r="LYS68" s="561" t="s">
        <v>1505</v>
      </c>
      <c r="LYT68" s="561" t="s">
        <v>1505</v>
      </c>
      <c r="LYU68" s="561" t="s">
        <v>1505</v>
      </c>
      <c r="LYV68" s="561" t="s">
        <v>1505</v>
      </c>
      <c r="LYW68" s="561" t="s">
        <v>1505</v>
      </c>
      <c r="LYX68" s="561" t="s">
        <v>1505</v>
      </c>
      <c r="LYY68" s="561" t="s">
        <v>1505</v>
      </c>
      <c r="LYZ68" s="561" t="s">
        <v>1505</v>
      </c>
      <c r="LZA68" s="561" t="s">
        <v>1505</v>
      </c>
      <c r="LZB68" s="561" t="s">
        <v>1505</v>
      </c>
      <c r="LZC68" s="561" t="s">
        <v>1505</v>
      </c>
      <c r="LZD68" s="561" t="s">
        <v>1505</v>
      </c>
      <c r="LZE68" s="561" t="s">
        <v>1505</v>
      </c>
      <c r="LZF68" s="561" t="s">
        <v>1505</v>
      </c>
      <c r="LZG68" s="561" t="s">
        <v>1505</v>
      </c>
      <c r="LZH68" s="561" t="s">
        <v>1505</v>
      </c>
      <c r="LZI68" s="561" t="s">
        <v>1505</v>
      </c>
      <c r="LZJ68" s="561" t="s">
        <v>1505</v>
      </c>
      <c r="LZK68" s="561" t="s">
        <v>1505</v>
      </c>
      <c r="LZL68" s="561" t="s">
        <v>1505</v>
      </c>
      <c r="LZM68" s="561" t="s">
        <v>1505</v>
      </c>
      <c r="LZN68" s="561" t="s">
        <v>1505</v>
      </c>
      <c r="LZO68" s="561" t="s">
        <v>1505</v>
      </c>
      <c r="LZP68" s="561" t="s">
        <v>1505</v>
      </c>
      <c r="LZQ68" s="561" t="s">
        <v>1505</v>
      </c>
      <c r="LZR68" s="561" t="s">
        <v>1505</v>
      </c>
      <c r="LZS68" s="561" t="s">
        <v>1505</v>
      </c>
      <c r="LZT68" s="561" t="s">
        <v>1505</v>
      </c>
      <c r="LZU68" s="561" t="s">
        <v>1505</v>
      </c>
      <c r="LZV68" s="561" t="s">
        <v>1505</v>
      </c>
      <c r="LZW68" s="561" t="s">
        <v>1505</v>
      </c>
      <c r="LZX68" s="561" t="s">
        <v>1505</v>
      </c>
      <c r="LZY68" s="561" t="s">
        <v>1505</v>
      </c>
      <c r="LZZ68" s="561" t="s">
        <v>1505</v>
      </c>
      <c r="MAA68" s="561" t="s">
        <v>1505</v>
      </c>
      <c r="MAB68" s="561" t="s">
        <v>1505</v>
      </c>
      <c r="MAC68" s="561" t="s">
        <v>1505</v>
      </c>
      <c r="MAD68" s="561" t="s">
        <v>1505</v>
      </c>
      <c r="MAE68" s="561" t="s">
        <v>1505</v>
      </c>
      <c r="MAF68" s="561" t="s">
        <v>1505</v>
      </c>
      <c r="MAG68" s="561" t="s">
        <v>1505</v>
      </c>
      <c r="MAH68" s="561" t="s">
        <v>1505</v>
      </c>
      <c r="MAI68" s="561" t="s">
        <v>1505</v>
      </c>
      <c r="MAJ68" s="561" t="s">
        <v>1505</v>
      </c>
      <c r="MAK68" s="561" t="s">
        <v>1505</v>
      </c>
      <c r="MAL68" s="561" t="s">
        <v>1505</v>
      </c>
      <c r="MAM68" s="561" t="s">
        <v>1505</v>
      </c>
      <c r="MAN68" s="561" t="s">
        <v>1505</v>
      </c>
      <c r="MAO68" s="561" t="s">
        <v>1505</v>
      </c>
      <c r="MAP68" s="561" t="s">
        <v>1505</v>
      </c>
      <c r="MAQ68" s="561" t="s">
        <v>1505</v>
      </c>
      <c r="MAR68" s="561" t="s">
        <v>1505</v>
      </c>
      <c r="MAS68" s="561" t="s">
        <v>1505</v>
      </c>
      <c r="MAT68" s="561" t="s">
        <v>1505</v>
      </c>
      <c r="MAU68" s="561" t="s">
        <v>1505</v>
      </c>
      <c r="MAV68" s="561" t="s">
        <v>1505</v>
      </c>
      <c r="MAW68" s="561" t="s">
        <v>1505</v>
      </c>
      <c r="MAX68" s="561" t="s">
        <v>1505</v>
      </c>
      <c r="MAY68" s="561" t="s">
        <v>1505</v>
      </c>
      <c r="MAZ68" s="561" t="s">
        <v>1505</v>
      </c>
      <c r="MBA68" s="561" t="s">
        <v>1505</v>
      </c>
      <c r="MBB68" s="561" t="s">
        <v>1505</v>
      </c>
      <c r="MBC68" s="561" t="s">
        <v>1505</v>
      </c>
      <c r="MBD68" s="561" t="s">
        <v>1505</v>
      </c>
      <c r="MBE68" s="561" t="s">
        <v>1505</v>
      </c>
      <c r="MBF68" s="561" t="s">
        <v>1505</v>
      </c>
      <c r="MBG68" s="561" t="s">
        <v>1505</v>
      </c>
      <c r="MBH68" s="561" t="s">
        <v>1505</v>
      </c>
      <c r="MBI68" s="561" t="s">
        <v>1505</v>
      </c>
      <c r="MBJ68" s="561" t="s">
        <v>1505</v>
      </c>
      <c r="MBK68" s="561" t="s">
        <v>1505</v>
      </c>
      <c r="MBL68" s="561" t="s">
        <v>1505</v>
      </c>
      <c r="MBM68" s="561" t="s">
        <v>1505</v>
      </c>
      <c r="MBN68" s="561" t="s">
        <v>1505</v>
      </c>
      <c r="MBO68" s="561" t="s">
        <v>1505</v>
      </c>
      <c r="MBP68" s="561" t="s">
        <v>1505</v>
      </c>
      <c r="MBQ68" s="561" t="s">
        <v>1505</v>
      </c>
      <c r="MBR68" s="561" t="s">
        <v>1505</v>
      </c>
      <c r="MBS68" s="561" t="s">
        <v>1505</v>
      </c>
      <c r="MBT68" s="561" t="s">
        <v>1505</v>
      </c>
      <c r="MBU68" s="561" t="s">
        <v>1505</v>
      </c>
      <c r="MBV68" s="561" t="s">
        <v>1505</v>
      </c>
      <c r="MBW68" s="561" t="s">
        <v>1505</v>
      </c>
      <c r="MBX68" s="561" t="s">
        <v>1505</v>
      </c>
      <c r="MBY68" s="561" t="s">
        <v>1505</v>
      </c>
      <c r="MBZ68" s="561" t="s">
        <v>1505</v>
      </c>
      <c r="MCA68" s="561" t="s">
        <v>1505</v>
      </c>
      <c r="MCB68" s="561" t="s">
        <v>1505</v>
      </c>
      <c r="MCC68" s="561" t="s">
        <v>1505</v>
      </c>
      <c r="MCD68" s="561" t="s">
        <v>1505</v>
      </c>
      <c r="MCE68" s="561" t="s">
        <v>1505</v>
      </c>
      <c r="MCF68" s="561" t="s">
        <v>1505</v>
      </c>
      <c r="MCG68" s="561" t="s">
        <v>1505</v>
      </c>
      <c r="MCH68" s="561" t="s">
        <v>1505</v>
      </c>
      <c r="MCI68" s="561" t="s">
        <v>1505</v>
      </c>
      <c r="MCJ68" s="561" t="s">
        <v>1505</v>
      </c>
      <c r="MCK68" s="561" t="s">
        <v>1505</v>
      </c>
      <c r="MCL68" s="561" t="s">
        <v>1505</v>
      </c>
      <c r="MCM68" s="561" t="s">
        <v>1505</v>
      </c>
      <c r="MCN68" s="561" t="s">
        <v>1505</v>
      </c>
      <c r="MCO68" s="561" t="s">
        <v>1505</v>
      </c>
      <c r="MCP68" s="561" t="s">
        <v>1505</v>
      </c>
      <c r="MCQ68" s="561" t="s">
        <v>1505</v>
      </c>
      <c r="MCR68" s="561" t="s">
        <v>1505</v>
      </c>
      <c r="MCS68" s="561" t="s">
        <v>1505</v>
      </c>
      <c r="MCT68" s="561" t="s">
        <v>1505</v>
      </c>
      <c r="MCU68" s="561" t="s">
        <v>1505</v>
      </c>
      <c r="MCV68" s="561" t="s">
        <v>1505</v>
      </c>
      <c r="MCW68" s="561" t="s">
        <v>1505</v>
      </c>
      <c r="MCX68" s="561" t="s">
        <v>1505</v>
      </c>
      <c r="MCY68" s="561" t="s">
        <v>1505</v>
      </c>
      <c r="MCZ68" s="561" t="s">
        <v>1505</v>
      </c>
      <c r="MDA68" s="561" t="s">
        <v>1505</v>
      </c>
      <c r="MDB68" s="561" t="s">
        <v>1505</v>
      </c>
      <c r="MDC68" s="561" t="s">
        <v>1505</v>
      </c>
      <c r="MDD68" s="561" t="s">
        <v>1505</v>
      </c>
      <c r="MDE68" s="561" t="s">
        <v>1505</v>
      </c>
      <c r="MDF68" s="561" t="s">
        <v>1505</v>
      </c>
      <c r="MDG68" s="561" t="s">
        <v>1505</v>
      </c>
      <c r="MDH68" s="561" t="s">
        <v>1505</v>
      </c>
      <c r="MDI68" s="561" t="s">
        <v>1505</v>
      </c>
      <c r="MDJ68" s="561" t="s">
        <v>1505</v>
      </c>
      <c r="MDK68" s="561" t="s">
        <v>1505</v>
      </c>
      <c r="MDL68" s="561" t="s">
        <v>1505</v>
      </c>
      <c r="MDM68" s="561" t="s">
        <v>1505</v>
      </c>
      <c r="MDN68" s="561" t="s">
        <v>1505</v>
      </c>
      <c r="MDO68" s="561" t="s">
        <v>1505</v>
      </c>
      <c r="MDP68" s="561" t="s">
        <v>1505</v>
      </c>
      <c r="MDQ68" s="561" t="s">
        <v>1505</v>
      </c>
      <c r="MDR68" s="561" t="s">
        <v>1505</v>
      </c>
      <c r="MDS68" s="561" t="s">
        <v>1505</v>
      </c>
      <c r="MDT68" s="561" t="s">
        <v>1505</v>
      </c>
      <c r="MDU68" s="561" t="s">
        <v>1505</v>
      </c>
      <c r="MDV68" s="561" t="s">
        <v>1505</v>
      </c>
      <c r="MDW68" s="561" t="s">
        <v>1505</v>
      </c>
      <c r="MDX68" s="561" t="s">
        <v>1505</v>
      </c>
      <c r="MDY68" s="561" t="s">
        <v>1505</v>
      </c>
      <c r="MDZ68" s="561" t="s">
        <v>1505</v>
      </c>
      <c r="MEA68" s="561" t="s">
        <v>1505</v>
      </c>
      <c r="MEB68" s="561" t="s">
        <v>1505</v>
      </c>
      <c r="MEC68" s="561" t="s">
        <v>1505</v>
      </c>
      <c r="MED68" s="561" t="s">
        <v>1505</v>
      </c>
      <c r="MEE68" s="561" t="s">
        <v>1505</v>
      </c>
      <c r="MEF68" s="561" t="s">
        <v>1505</v>
      </c>
      <c r="MEG68" s="561" t="s">
        <v>1505</v>
      </c>
      <c r="MEH68" s="561" t="s">
        <v>1505</v>
      </c>
      <c r="MEI68" s="561" t="s">
        <v>1505</v>
      </c>
      <c r="MEJ68" s="561" t="s">
        <v>1505</v>
      </c>
      <c r="MEK68" s="561" t="s">
        <v>1505</v>
      </c>
      <c r="MEL68" s="561" t="s">
        <v>1505</v>
      </c>
      <c r="MEM68" s="561" t="s">
        <v>1505</v>
      </c>
      <c r="MEN68" s="561" t="s">
        <v>1505</v>
      </c>
      <c r="MEO68" s="561" t="s">
        <v>1505</v>
      </c>
      <c r="MEP68" s="561" t="s">
        <v>1505</v>
      </c>
      <c r="MEQ68" s="561" t="s">
        <v>1505</v>
      </c>
      <c r="MER68" s="561" t="s">
        <v>1505</v>
      </c>
      <c r="MES68" s="561" t="s">
        <v>1505</v>
      </c>
      <c r="MET68" s="561" t="s">
        <v>1505</v>
      </c>
      <c r="MEU68" s="561" t="s">
        <v>1505</v>
      </c>
      <c r="MEV68" s="561" t="s">
        <v>1505</v>
      </c>
      <c r="MEW68" s="561" t="s">
        <v>1505</v>
      </c>
      <c r="MEX68" s="561" t="s">
        <v>1505</v>
      </c>
      <c r="MEY68" s="561" t="s">
        <v>1505</v>
      </c>
      <c r="MEZ68" s="561" t="s">
        <v>1505</v>
      </c>
      <c r="MFA68" s="561" t="s">
        <v>1505</v>
      </c>
      <c r="MFB68" s="561" t="s">
        <v>1505</v>
      </c>
      <c r="MFC68" s="561" t="s">
        <v>1505</v>
      </c>
      <c r="MFD68" s="561" t="s">
        <v>1505</v>
      </c>
      <c r="MFE68" s="561" t="s">
        <v>1505</v>
      </c>
      <c r="MFF68" s="561" t="s">
        <v>1505</v>
      </c>
      <c r="MFG68" s="561" t="s">
        <v>1505</v>
      </c>
      <c r="MFH68" s="561" t="s">
        <v>1505</v>
      </c>
      <c r="MFI68" s="561" t="s">
        <v>1505</v>
      </c>
      <c r="MFJ68" s="561" t="s">
        <v>1505</v>
      </c>
      <c r="MFK68" s="561" t="s">
        <v>1505</v>
      </c>
      <c r="MFL68" s="561" t="s">
        <v>1505</v>
      </c>
      <c r="MFM68" s="561" t="s">
        <v>1505</v>
      </c>
      <c r="MFN68" s="561" t="s">
        <v>1505</v>
      </c>
      <c r="MFO68" s="561" t="s">
        <v>1505</v>
      </c>
      <c r="MFP68" s="561" t="s">
        <v>1505</v>
      </c>
      <c r="MFQ68" s="561" t="s">
        <v>1505</v>
      </c>
      <c r="MFR68" s="561" t="s">
        <v>1505</v>
      </c>
      <c r="MFS68" s="561" t="s">
        <v>1505</v>
      </c>
      <c r="MFT68" s="561" t="s">
        <v>1505</v>
      </c>
      <c r="MFU68" s="561" t="s">
        <v>1505</v>
      </c>
      <c r="MFV68" s="561" t="s">
        <v>1505</v>
      </c>
      <c r="MFW68" s="561" t="s">
        <v>1505</v>
      </c>
      <c r="MFX68" s="561" t="s">
        <v>1505</v>
      </c>
      <c r="MFY68" s="561" t="s">
        <v>1505</v>
      </c>
      <c r="MFZ68" s="561" t="s">
        <v>1505</v>
      </c>
      <c r="MGA68" s="561" t="s">
        <v>1505</v>
      </c>
      <c r="MGB68" s="561" t="s">
        <v>1505</v>
      </c>
      <c r="MGC68" s="561" t="s">
        <v>1505</v>
      </c>
      <c r="MGD68" s="561" t="s">
        <v>1505</v>
      </c>
      <c r="MGE68" s="561" t="s">
        <v>1505</v>
      </c>
      <c r="MGF68" s="561" t="s">
        <v>1505</v>
      </c>
      <c r="MGG68" s="561" t="s">
        <v>1505</v>
      </c>
      <c r="MGH68" s="561" t="s">
        <v>1505</v>
      </c>
      <c r="MGI68" s="561" t="s">
        <v>1505</v>
      </c>
      <c r="MGJ68" s="561" t="s">
        <v>1505</v>
      </c>
      <c r="MGK68" s="561" t="s">
        <v>1505</v>
      </c>
      <c r="MGL68" s="561" t="s">
        <v>1505</v>
      </c>
      <c r="MGM68" s="561" t="s">
        <v>1505</v>
      </c>
      <c r="MGN68" s="561" t="s">
        <v>1505</v>
      </c>
      <c r="MGO68" s="561" t="s">
        <v>1505</v>
      </c>
      <c r="MGP68" s="561" t="s">
        <v>1505</v>
      </c>
      <c r="MGQ68" s="561" t="s">
        <v>1505</v>
      </c>
      <c r="MGR68" s="561" t="s">
        <v>1505</v>
      </c>
      <c r="MGS68" s="561" t="s">
        <v>1505</v>
      </c>
      <c r="MGT68" s="561" t="s">
        <v>1505</v>
      </c>
      <c r="MGU68" s="561" t="s">
        <v>1505</v>
      </c>
      <c r="MGV68" s="561" t="s">
        <v>1505</v>
      </c>
      <c r="MGW68" s="561" t="s">
        <v>1505</v>
      </c>
      <c r="MGX68" s="561" t="s">
        <v>1505</v>
      </c>
      <c r="MGY68" s="561" t="s">
        <v>1505</v>
      </c>
      <c r="MGZ68" s="561" t="s">
        <v>1505</v>
      </c>
      <c r="MHA68" s="561" t="s">
        <v>1505</v>
      </c>
      <c r="MHB68" s="561" t="s">
        <v>1505</v>
      </c>
      <c r="MHC68" s="561" t="s">
        <v>1505</v>
      </c>
      <c r="MHD68" s="561" t="s">
        <v>1505</v>
      </c>
      <c r="MHE68" s="561" t="s">
        <v>1505</v>
      </c>
      <c r="MHF68" s="561" t="s">
        <v>1505</v>
      </c>
      <c r="MHG68" s="561" t="s">
        <v>1505</v>
      </c>
      <c r="MHH68" s="561" t="s">
        <v>1505</v>
      </c>
      <c r="MHI68" s="561" t="s">
        <v>1505</v>
      </c>
      <c r="MHJ68" s="561" t="s">
        <v>1505</v>
      </c>
      <c r="MHK68" s="561" t="s">
        <v>1505</v>
      </c>
      <c r="MHL68" s="561" t="s">
        <v>1505</v>
      </c>
      <c r="MHM68" s="561" t="s">
        <v>1505</v>
      </c>
      <c r="MHN68" s="561" t="s">
        <v>1505</v>
      </c>
      <c r="MHO68" s="561" t="s">
        <v>1505</v>
      </c>
      <c r="MHP68" s="561" t="s">
        <v>1505</v>
      </c>
      <c r="MHQ68" s="561" t="s">
        <v>1505</v>
      </c>
      <c r="MHR68" s="561" t="s">
        <v>1505</v>
      </c>
      <c r="MHS68" s="561" t="s">
        <v>1505</v>
      </c>
      <c r="MHT68" s="561" t="s">
        <v>1505</v>
      </c>
      <c r="MHU68" s="561" t="s">
        <v>1505</v>
      </c>
      <c r="MHV68" s="561" t="s">
        <v>1505</v>
      </c>
      <c r="MHW68" s="561" t="s">
        <v>1505</v>
      </c>
      <c r="MHX68" s="561" t="s">
        <v>1505</v>
      </c>
      <c r="MHY68" s="561" t="s">
        <v>1505</v>
      </c>
      <c r="MHZ68" s="561" t="s">
        <v>1505</v>
      </c>
      <c r="MIA68" s="561" t="s">
        <v>1505</v>
      </c>
      <c r="MIB68" s="561" t="s">
        <v>1505</v>
      </c>
      <c r="MIC68" s="561" t="s">
        <v>1505</v>
      </c>
      <c r="MID68" s="561" t="s">
        <v>1505</v>
      </c>
      <c r="MIE68" s="561" t="s">
        <v>1505</v>
      </c>
      <c r="MIF68" s="561" t="s">
        <v>1505</v>
      </c>
      <c r="MIG68" s="561" t="s">
        <v>1505</v>
      </c>
      <c r="MIH68" s="561" t="s">
        <v>1505</v>
      </c>
      <c r="MII68" s="561" t="s">
        <v>1505</v>
      </c>
      <c r="MIJ68" s="561" t="s">
        <v>1505</v>
      </c>
      <c r="MIK68" s="561" t="s">
        <v>1505</v>
      </c>
      <c r="MIL68" s="561" t="s">
        <v>1505</v>
      </c>
      <c r="MIM68" s="561" t="s">
        <v>1505</v>
      </c>
      <c r="MIN68" s="561" t="s">
        <v>1505</v>
      </c>
      <c r="MIO68" s="561" t="s">
        <v>1505</v>
      </c>
      <c r="MIP68" s="561" t="s">
        <v>1505</v>
      </c>
      <c r="MIQ68" s="561" t="s">
        <v>1505</v>
      </c>
      <c r="MIR68" s="561" t="s">
        <v>1505</v>
      </c>
      <c r="MIS68" s="561" t="s">
        <v>1505</v>
      </c>
      <c r="MIT68" s="561" t="s">
        <v>1505</v>
      </c>
      <c r="MIU68" s="561" t="s">
        <v>1505</v>
      </c>
      <c r="MIV68" s="561" t="s">
        <v>1505</v>
      </c>
      <c r="MIW68" s="561" t="s">
        <v>1505</v>
      </c>
      <c r="MIX68" s="561" t="s">
        <v>1505</v>
      </c>
      <c r="MIY68" s="561" t="s">
        <v>1505</v>
      </c>
      <c r="MIZ68" s="561" t="s">
        <v>1505</v>
      </c>
      <c r="MJA68" s="561" t="s">
        <v>1505</v>
      </c>
      <c r="MJB68" s="561" t="s">
        <v>1505</v>
      </c>
      <c r="MJC68" s="561" t="s">
        <v>1505</v>
      </c>
      <c r="MJD68" s="561" t="s">
        <v>1505</v>
      </c>
      <c r="MJE68" s="561" t="s">
        <v>1505</v>
      </c>
      <c r="MJF68" s="561" t="s">
        <v>1505</v>
      </c>
      <c r="MJG68" s="561" t="s">
        <v>1505</v>
      </c>
      <c r="MJH68" s="561" t="s">
        <v>1505</v>
      </c>
      <c r="MJI68" s="561" t="s">
        <v>1505</v>
      </c>
      <c r="MJJ68" s="561" t="s">
        <v>1505</v>
      </c>
      <c r="MJK68" s="561" t="s">
        <v>1505</v>
      </c>
      <c r="MJL68" s="561" t="s">
        <v>1505</v>
      </c>
      <c r="MJM68" s="561" t="s">
        <v>1505</v>
      </c>
      <c r="MJN68" s="561" t="s">
        <v>1505</v>
      </c>
      <c r="MJO68" s="561" t="s">
        <v>1505</v>
      </c>
      <c r="MJP68" s="561" t="s">
        <v>1505</v>
      </c>
      <c r="MJQ68" s="561" t="s">
        <v>1505</v>
      </c>
      <c r="MJR68" s="561" t="s">
        <v>1505</v>
      </c>
      <c r="MJS68" s="561" t="s">
        <v>1505</v>
      </c>
      <c r="MJT68" s="561" t="s">
        <v>1505</v>
      </c>
      <c r="MJU68" s="561" t="s">
        <v>1505</v>
      </c>
      <c r="MJV68" s="561" t="s">
        <v>1505</v>
      </c>
      <c r="MJW68" s="561" t="s">
        <v>1505</v>
      </c>
      <c r="MJX68" s="561" t="s">
        <v>1505</v>
      </c>
      <c r="MJY68" s="561" t="s">
        <v>1505</v>
      </c>
      <c r="MJZ68" s="561" t="s">
        <v>1505</v>
      </c>
      <c r="MKA68" s="561" t="s">
        <v>1505</v>
      </c>
      <c r="MKB68" s="561" t="s">
        <v>1505</v>
      </c>
      <c r="MKC68" s="561" t="s">
        <v>1505</v>
      </c>
      <c r="MKD68" s="561" t="s">
        <v>1505</v>
      </c>
      <c r="MKE68" s="561" t="s">
        <v>1505</v>
      </c>
      <c r="MKF68" s="561" t="s">
        <v>1505</v>
      </c>
      <c r="MKG68" s="561" t="s">
        <v>1505</v>
      </c>
      <c r="MKH68" s="561" t="s">
        <v>1505</v>
      </c>
      <c r="MKI68" s="561" t="s">
        <v>1505</v>
      </c>
      <c r="MKJ68" s="561" t="s">
        <v>1505</v>
      </c>
      <c r="MKK68" s="561" t="s">
        <v>1505</v>
      </c>
      <c r="MKL68" s="561" t="s">
        <v>1505</v>
      </c>
      <c r="MKM68" s="561" t="s">
        <v>1505</v>
      </c>
      <c r="MKN68" s="561" t="s">
        <v>1505</v>
      </c>
      <c r="MKO68" s="561" t="s">
        <v>1505</v>
      </c>
      <c r="MKP68" s="561" t="s">
        <v>1505</v>
      </c>
      <c r="MKQ68" s="561" t="s">
        <v>1505</v>
      </c>
      <c r="MKR68" s="561" t="s">
        <v>1505</v>
      </c>
      <c r="MKS68" s="561" t="s">
        <v>1505</v>
      </c>
      <c r="MKT68" s="561" t="s">
        <v>1505</v>
      </c>
      <c r="MKU68" s="561" t="s">
        <v>1505</v>
      </c>
      <c r="MKV68" s="561" t="s">
        <v>1505</v>
      </c>
      <c r="MKW68" s="561" t="s">
        <v>1505</v>
      </c>
      <c r="MKX68" s="561" t="s">
        <v>1505</v>
      </c>
      <c r="MKY68" s="561" t="s">
        <v>1505</v>
      </c>
      <c r="MKZ68" s="561" t="s">
        <v>1505</v>
      </c>
      <c r="MLA68" s="561" t="s">
        <v>1505</v>
      </c>
      <c r="MLB68" s="561" t="s">
        <v>1505</v>
      </c>
      <c r="MLC68" s="561" t="s">
        <v>1505</v>
      </c>
      <c r="MLD68" s="561" t="s">
        <v>1505</v>
      </c>
      <c r="MLE68" s="561" t="s">
        <v>1505</v>
      </c>
      <c r="MLF68" s="561" t="s">
        <v>1505</v>
      </c>
      <c r="MLG68" s="561" t="s">
        <v>1505</v>
      </c>
      <c r="MLH68" s="561" t="s">
        <v>1505</v>
      </c>
      <c r="MLI68" s="561" t="s">
        <v>1505</v>
      </c>
      <c r="MLJ68" s="561" t="s">
        <v>1505</v>
      </c>
      <c r="MLK68" s="561" t="s">
        <v>1505</v>
      </c>
      <c r="MLL68" s="561" t="s">
        <v>1505</v>
      </c>
      <c r="MLM68" s="561" t="s">
        <v>1505</v>
      </c>
      <c r="MLN68" s="561" t="s">
        <v>1505</v>
      </c>
      <c r="MLO68" s="561" t="s">
        <v>1505</v>
      </c>
      <c r="MLP68" s="561" t="s">
        <v>1505</v>
      </c>
      <c r="MLQ68" s="561" t="s">
        <v>1505</v>
      </c>
      <c r="MLR68" s="561" t="s">
        <v>1505</v>
      </c>
      <c r="MLS68" s="561" t="s">
        <v>1505</v>
      </c>
      <c r="MLT68" s="561" t="s">
        <v>1505</v>
      </c>
      <c r="MLU68" s="561" t="s">
        <v>1505</v>
      </c>
      <c r="MLV68" s="561" t="s">
        <v>1505</v>
      </c>
      <c r="MLW68" s="561" t="s">
        <v>1505</v>
      </c>
      <c r="MLX68" s="561" t="s">
        <v>1505</v>
      </c>
      <c r="MLY68" s="561" t="s">
        <v>1505</v>
      </c>
      <c r="MLZ68" s="561" t="s">
        <v>1505</v>
      </c>
      <c r="MMA68" s="561" t="s">
        <v>1505</v>
      </c>
      <c r="MMB68" s="561" t="s">
        <v>1505</v>
      </c>
      <c r="MMC68" s="561" t="s">
        <v>1505</v>
      </c>
      <c r="MMD68" s="561" t="s">
        <v>1505</v>
      </c>
      <c r="MME68" s="561" t="s">
        <v>1505</v>
      </c>
      <c r="MMF68" s="561" t="s">
        <v>1505</v>
      </c>
      <c r="MMG68" s="561" t="s">
        <v>1505</v>
      </c>
      <c r="MMH68" s="561" t="s">
        <v>1505</v>
      </c>
      <c r="MMI68" s="561" t="s">
        <v>1505</v>
      </c>
      <c r="MMJ68" s="561" t="s">
        <v>1505</v>
      </c>
      <c r="MMK68" s="561" t="s">
        <v>1505</v>
      </c>
      <c r="MML68" s="561" t="s">
        <v>1505</v>
      </c>
      <c r="MMM68" s="561" t="s">
        <v>1505</v>
      </c>
      <c r="MMN68" s="561" t="s">
        <v>1505</v>
      </c>
      <c r="MMO68" s="561" t="s">
        <v>1505</v>
      </c>
      <c r="MMP68" s="561" t="s">
        <v>1505</v>
      </c>
      <c r="MMQ68" s="561" t="s">
        <v>1505</v>
      </c>
      <c r="MMR68" s="561" t="s">
        <v>1505</v>
      </c>
      <c r="MMS68" s="561" t="s">
        <v>1505</v>
      </c>
      <c r="MMT68" s="561" t="s">
        <v>1505</v>
      </c>
      <c r="MMU68" s="561" t="s">
        <v>1505</v>
      </c>
      <c r="MMV68" s="561" t="s">
        <v>1505</v>
      </c>
      <c r="MMW68" s="561" t="s">
        <v>1505</v>
      </c>
      <c r="MMX68" s="561" t="s">
        <v>1505</v>
      </c>
      <c r="MMY68" s="561" t="s">
        <v>1505</v>
      </c>
      <c r="MMZ68" s="561" t="s">
        <v>1505</v>
      </c>
      <c r="MNA68" s="561" t="s">
        <v>1505</v>
      </c>
      <c r="MNB68" s="561" t="s">
        <v>1505</v>
      </c>
      <c r="MNC68" s="561" t="s">
        <v>1505</v>
      </c>
      <c r="MND68" s="561" t="s">
        <v>1505</v>
      </c>
      <c r="MNE68" s="561" t="s">
        <v>1505</v>
      </c>
      <c r="MNF68" s="561" t="s">
        <v>1505</v>
      </c>
      <c r="MNG68" s="561" t="s">
        <v>1505</v>
      </c>
      <c r="MNH68" s="561" t="s">
        <v>1505</v>
      </c>
      <c r="MNI68" s="561" t="s">
        <v>1505</v>
      </c>
      <c r="MNJ68" s="561" t="s">
        <v>1505</v>
      </c>
      <c r="MNK68" s="561" t="s">
        <v>1505</v>
      </c>
      <c r="MNL68" s="561" t="s">
        <v>1505</v>
      </c>
      <c r="MNM68" s="561" t="s">
        <v>1505</v>
      </c>
      <c r="MNN68" s="561" t="s">
        <v>1505</v>
      </c>
      <c r="MNO68" s="561" t="s">
        <v>1505</v>
      </c>
      <c r="MNP68" s="561" t="s">
        <v>1505</v>
      </c>
      <c r="MNQ68" s="561" t="s">
        <v>1505</v>
      </c>
      <c r="MNR68" s="561" t="s">
        <v>1505</v>
      </c>
      <c r="MNS68" s="561" t="s">
        <v>1505</v>
      </c>
      <c r="MNT68" s="561" t="s">
        <v>1505</v>
      </c>
      <c r="MNU68" s="561" t="s">
        <v>1505</v>
      </c>
      <c r="MNV68" s="561" t="s">
        <v>1505</v>
      </c>
      <c r="MNW68" s="561" t="s">
        <v>1505</v>
      </c>
      <c r="MNX68" s="561" t="s">
        <v>1505</v>
      </c>
      <c r="MNY68" s="561" t="s">
        <v>1505</v>
      </c>
      <c r="MNZ68" s="561" t="s">
        <v>1505</v>
      </c>
      <c r="MOA68" s="561" t="s">
        <v>1505</v>
      </c>
      <c r="MOB68" s="561" t="s">
        <v>1505</v>
      </c>
      <c r="MOC68" s="561" t="s">
        <v>1505</v>
      </c>
      <c r="MOD68" s="561" t="s">
        <v>1505</v>
      </c>
      <c r="MOE68" s="561" t="s">
        <v>1505</v>
      </c>
      <c r="MOF68" s="561" t="s">
        <v>1505</v>
      </c>
      <c r="MOG68" s="561" t="s">
        <v>1505</v>
      </c>
      <c r="MOH68" s="561" t="s">
        <v>1505</v>
      </c>
      <c r="MOI68" s="561" t="s">
        <v>1505</v>
      </c>
      <c r="MOJ68" s="561" t="s">
        <v>1505</v>
      </c>
      <c r="MOK68" s="561" t="s">
        <v>1505</v>
      </c>
      <c r="MOL68" s="561" t="s">
        <v>1505</v>
      </c>
      <c r="MOM68" s="561" t="s">
        <v>1505</v>
      </c>
      <c r="MON68" s="561" t="s">
        <v>1505</v>
      </c>
      <c r="MOO68" s="561" t="s">
        <v>1505</v>
      </c>
      <c r="MOP68" s="561" t="s">
        <v>1505</v>
      </c>
      <c r="MOQ68" s="561" t="s">
        <v>1505</v>
      </c>
      <c r="MOR68" s="561" t="s">
        <v>1505</v>
      </c>
      <c r="MOS68" s="561" t="s">
        <v>1505</v>
      </c>
      <c r="MOT68" s="561" t="s">
        <v>1505</v>
      </c>
      <c r="MOU68" s="561" t="s">
        <v>1505</v>
      </c>
      <c r="MOV68" s="561" t="s">
        <v>1505</v>
      </c>
      <c r="MOW68" s="561" t="s">
        <v>1505</v>
      </c>
      <c r="MOX68" s="561" t="s">
        <v>1505</v>
      </c>
      <c r="MOY68" s="561" t="s">
        <v>1505</v>
      </c>
      <c r="MOZ68" s="561" t="s">
        <v>1505</v>
      </c>
      <c r="MPA68" s="561" t="s">
        <v>1505</v>
      </c>
      <c r="MPB68" s="561" t="s">
        <v>1505</v>
      </c>
      <c r="MPC68" s="561" t="s">
        <v>1505</v>
      </c>
      <c r="MPD68" s="561" t="s">
        <v>1505</v>
      </c>
      <c r="MPE68" s="561" t="s">
        <v>1505</v>
      </c>
      <c r="MPF68" s="561" t="s">
        <v>1505</v>
      </c>
      <c r="MPG68" s="561" t="s">
        <v>1505</v>
      </c>
      <c r="MPH68" s="561" t="s">
        <v>1505</v>
      </c>
      <c r="MPI68" s="561" t="s">
        <v>1505</v>
      </c>
      <c r="MPJ68" s="561" t="s">
        <v>1505</v>
      </c>
      <c r="MPK68" s="561" t="s">
        <v>1505</v>
      </c>
      <c r="MPL68" s="561" t="s">
        <v>1505</v>
      </c>
      <c r="MPM68" s="561" t="s">
        <v>1505</v>
      </c>
      <c r="MPN68" s="561" t="s">
        <v>1505</v>
      </c>
      <c r="MPO68" s="561" t="s">
        <v>1505</v>
      </c>
      <c r="MPP68" s="561" t="s">
        <v>1505</v>
      </c>
      <c r="MPQ68" s="561" t="s">
        <v>1505</v>
      </c>
      <c r="MPR68" s="561" t="s">
        <v>1505</v>
      </c>
      <c r="MPS68" s="561" t="s">
        <v>1505</v>
      </c>
      <c r="MPT68" s="561" t="s">
        <v>1505</v>
      </c>
      <c r="MPU68" s="561" t="s">
        <v>1505</v>
      </c>
      <c r="MPV68" s="561" t="s">
        <v>1505</v>
      </c>
      <c r="MPW68" s="561" t="s">
        <v>1505</v>
      </c>
      <c r="MPX68" s="561" t="s">
        <v>1505</v>
      </c>
      <c r="MPY68" s="561" t="s">
        <v>1505</v>
      </c>
      <c r="MPZ68" s="561" t="s">
        <v>1505</v>
      </c>
      <c r="MQA68" s="561" t="s">
        <v>1505</v>
      </c>
      <c r="MQB68" s="561" t="s">
        <v>1505</v>
      </c>
      <c r="MQC68" s="561" t="s">
        <v>1505</v>
      </c>
      <c r="MQD68" s="561" t="s">
        <v>1505</v>
      </c>
      <c r="MQE68" s="561" t="s">
        <v>1505</v>
      </c>
      <c r="MQF68" s="561" t="s">
        <v>1505</v>
      </c>
      <c r="MQG68" s="561" t="s">
        <v>1505</v>
      </c>
      <c r="MQH68" s="561" t="s">
        <v>1505</v>
      </c>
      <c r="MQI68" s="561" t="s">
        <v>1505</v>
      </c>
      <c r="MQJ68" s="561" t="s">
        <v>1505</v>
      </c>
      <c r="MQK68" s="561" t="s">
        <v>1505</v>
      </c>
      <c r="MQL68" s="561" t="s">
        <v>1505</v>
      </c>
      <c r="MQM68" s="561" t="s">
        <v>1505</v>
      </c>
      <c r="MQN68" s="561" t="s">
        <v>1505</v>
      </c>
      <c r="MQO68" s="561" t="s">
        <v>1505</v>
      </c>
      <c r="MQP68" s="561" t="s">
        <v>1505</v>
      </c>
      <c r="MQQ68" s="561" t="s">
        <v>1505</v>
      </c>
      <c r="MQR68" s="561" t="s">
        <v>1505</v>
      </c>
      <c r="MQS68" s="561" t="s">
        <v>1505</v>
      </c>
      <c r="MQT68" s="561" t="s">
        <v>1505</v>
      </c>
      <c r="MQU68" s="561" t="s">
        <v>1505</v>
      </c>
      <c r="MQV68" s="561" t="s">
        <v>1505</v>
      </c>
      <c r="MQW68" s="561" t="s">
        <v>1505</v>
      </c>
      <c r="MQX68" s="561" t="s">
        <v>1505</v>
      </c>
      <c r="MQY68" s="561" t="s">
        <v>1505</v>
      </c>
      <c r="MQZ68" s="561" t="s">
        <v>1505</v>
      </c>
      <c r="MRA68" s="561" t="s">
        <v>1505</v>
      </c>
      <c r="MRB68" s="561" t="s">
        <v>1505</v>
      </c>
      <c r="MRC68" s="561" t="s">
        <v>1505</v>
      </c>
      <c r="MRD68" s="561" t="s">
        <v>1505</v>
      </c>
      <c r="MRE68" s="561" t="s">
        <v>1505</v>
      </c>
      <c r="MRF68" s="561" t="s">
        <v>1505</v>
      </c>
      <c r="MRG68" s="561" t="s">
        <v>1505</v>
      </c>
      <c r="MRH68" s="561" t="s">
        <v>1505</v>
      </c>
      <c r="MRI68" s="561" t="s">
        <v>1505</v>
      </c>
      <c r="MRJ68" s="561" t="s">
        <v>1505</v>
      </c>
      <c r="MRK68" s="561" t="s">
        <v>1505</v>
      </c>
      <c r="MRL68" s="561" t="s">
        <v>1505</v>
      </c>
      <c r="MRM68" s="561" t="s">
        <v>1505</v>
      </c>
      <c r="MRN68" s="561" t="s">
        <v>1505</v>
      </c>
      <c r="MRO68" s="561" t="s">
        <v>1505</v>
      </c>
      <c r="MRP68" s="561" t="s">
        <v>1505</v>
      </c>
      <c r="MRQ68" s="561" t="s">
        <v>1505</v>
      </c>
      <c r="MRR68" s="561" t="s">
        <v>1505</v>
      </c>
      <c r="MRS68" s="561" t="s">
        <v>1505</v>
      </c>
      <c r="MRT68" s="561" t="s">
        <v>1505</v>
      </c>
      <c r="MRU68" s="561" t="s">
        <v>1505</v>
      </c>
      <c r="MRV68" s="561" t="s">
        <v>1505</v>
      </c>
      <c r="MRW68" s="561" t="s">
        <v>1505</v>
      </c>
      <c r="MRX68" s="561" t="s">
        <v>1505</v>
      </c>
      <c r="MRY68" s="561" t="s">
        <v>1505</v>
      </c>
      <c r="MRZ68" s="561" t="s">
        <v>1505</v>
      </c>
      <c r="MSA68" s="561" t="s">
        <v>1505</v>
      </c>
      <c r="MSB68" s="561" t="s">
        <v>1505</v>
      </c>
      <c r="MSC68" s="561" t="s">
        <v>1505</v>
      </c>
      <c r="MSD68" s="561" t="s">
        <v>1505</v>
      </c>
      <c r="MSE68" s="561" t="s">
        <v>1505</v>
      </c>
      <c r="MSF68" s="561" t="s">
        <v>1505</v>
      </c>
      <c r="MSG68" s="561" t="s">
        <v>1505</v>
      </c>
      <c r="MSH68" s="561" t="s">
        <v>1505</v>
      </c>
      <c r="MSI68" s="561" t="s">
        <v>1505</v>
      </c>
      <c r="MSJ68" s="561" t="s">
        <v>1505</v>
      </c>
      <c r="MSK68" s="561" t="s">
        <v>1505</v>
      </c>
      <c r="MSL68" s="561" t="s">
        <v>1505</v>
      </c>
      <c r="MSM68" s="561" t="s">
        <v>1505</v>
      </c>
      <c r="MSN68" s="561" t="s">
        <v>1505</v>
      </c>
      <c r="MSO68" s="561" t="s">
        <v>1505</v>
      </c>
      <c r="MSP68" s="561" t="s">
        <v>1505</v>
      </c>
      <c r="MSQ68" s="561" t="s">
        <v>1505</v>
      </c>
      <c r="MSR68" s="561" t="s">
        <v>1505</v>
      </c>
      <c r="MSS68" s="561" t="s">
        <v>1505</v>
      </c>
      <c r="MST68" s="561" t="s">
        <v>1505</v>
      </c>
      <c r="MSU68" s="561" t="s">
        <v>1505</v>
      </c>
      <c r="MSV68" s="561" t="s">
        <v>1505</v>
      </c>
      <c r="MSW68" s="561" t="s">
        <v>1505</v>
      </c>
      <c r="MSX68" s="561" t="s">
        <v>1505</v>
      </c>
      <c r="MSY68" s="561" t="s">
        <v>1505</v>
      </c>
      <c r="MSZ68" s="561" t="s">
        <v>1505</v>
      </c>
      <c r="MTA68" s="561" t="s">
        <v>1505</v>
      </c>
      <c r="MTB68" s="561" t="s">
        <v>1505</v>
      </c>
      <c r="MTC68" s="561" t="s">
        <v>1505</v>
      </c>
      <c r="MTD68" s="561" t="s">
        <v>1505</v>
      </c>
      <c r="MTE68" s="561" t="s">
        <v>1505</v>
      </c>
      <c r="MTF68" s="561" t="s">
        <v>1505</v>
      </c>
      <c r="MTG68" s="561" t="s">
        <v>1505</v>
      </c>
      <c r="MTH68" s="561" t="s">
        <v>1505</v>
      </c>
      <c r="MTI68" s="561" t="s">
        <v>1505</v>
      </c>
      <c r="MTJ68" s="561" t="s">
        <v>1505</v>
      </c>
      <c r="MTK68" s="561" t="s">
        <v>1505</v>
      </c>
      <c r="MTL68" s="561" t="s">
        <v>1505</v>
      </c>
      <c r="MTM68" s="561" t="s">
        <v>1505</v>
      </c>
      <c r="MTN68" s="561" t="s">
        <v>1505</v>
      </c>
      <c r="MTO68" s="561" t="s">
        <v>1505</v>
      </c>
      <c r="MTP68" s="561" t="s">
        <v>1505</v>
      </c>
      <c r="MTQ68" s="561" t="s">
        <v>1505</v>
      </c>
      <c r="MTR68" s="561" t="s">
        <v>1505</v>
      </c>
      <c r="MTS68" s="561" t="s">
        <v>1505</v>
      </c>
      <c r="MTT68" s="561" t="s">
        <v>1505</v>
      </c>
      <c r="MTU68" s="561" t="s">
        <v>1505</v>
      </c>
      <c r="MTV68" s="561" t="s">
        <v>1505</v>
      </c>
      <c r="MTW68" s="561" t="s">
        <v>1505</v>
      </c>
      <c r="MTX68" s="561" t="s">
        <v>1505</v>
      </c>
      <c r="MTY68" s="561" t="s">
        <v>1505</v>
      </c>
      <c r="MTZ68" s="561" t="s">
        <v>1505</v>
      </c>
      <c r="MUA68" s="561" t="s">
        <v>1505</v>
      </c>
      <c r="MUB68" s="561" t="s">
        <v>1505</v>
      </c>
      <c r="MUC68" s="561" t="s">
        <v>1505</v>
      </c>
      <c r="MUD68" s="561" t="s">
        <v>1505</v>
      </c>
      <c r="MUE68" s="561" t="s">
        <v>1505</v>
      </c>
      <c r="MUF68" s="561" t="s">
        <v>1505</v>
      </c>
      <c r="MUG68" s="561" t="s">
        <v>1505</v>
      </c>
      <c r="MUH68" s="561" t="s">
        <v>1505</v>
      </c>
      <c r="MUI68" s="561" t="s">
        <v>1505</v>
      </c>
      <c r="MUJ68" s="561" t="s">
        <v>1505</v>
      </c>
      <c r="MUK68" s="561" t="s">
        <v>1505</v>
      </c>
      <c r="MUL68" s="561" t="s">
        <v>1505</v>
      </c>
      <c r="MUM68" s="561" t="s">
        <v>1505</v>
      </c>
      <c r="MUN68" s="561" t="s">
        <v>1505</v>
      </c>
      <c r="MUO68" s="561" t="s">
        <v>1505</v>
      </c>
      <c r="MUP68" s="561" t="s">
        <v>1505</v>
      </c>
      <c r="MUQ68" s="561" t="s">
        <v>1505</v>
      </c>
      <c r="MUR68" s="561" t="s">
        <v>1505</v>
      </c>
      <c r="MUS68" s="561" t="s">
        <v>1505</v>
      </c>
      <c r="MUT68" s="561" t="s">
        <v>1505</v>
      </c>
      <c r="MUU68" s="561" t="s">
        <v>1505</v>
      </c>
      <c r="MUV68" s="561" t="s">
        <v>1505</v>
      </c>
      <c r="MUW68" s="561" t="s">
        <v>1505</v>
      </c>
      <c r="MUX68" s="561" t="s">
        <v>1505</v>
      </c>
      <c r="MUY68" s="561" t="s">
        <v>1505</v>
      </c>
      <c r="MUZ68" s="561" t="s">
        <v>1505</v>
      </c>
      <c r="MVA68" s="561" t="s">
        <v>1505</v>
      </c>
      <c r="MVB68" s="561" t="s">
        <v>1505</v>
      </c>
      <c r="MVC68" s="561" t="s">
        <v>1505</v>
      </c>
      <c r="MVD68" s="561" t="s">
        <v>1505</v>
      </c>
      <c r="MVE68" s="561" t="s">
        <v>1505</v>
      </c>
      <c r="MVF68" s="561" t="s">
        <v>1505</v>
      </c>
      <c r="MVG68" s="561" t="s">
        <v>1505</v>
      </c>
      <c r="MVH68" s="561" t="s">
        <v>1505</v>
      </c>
      <c r="MVI68" s="561" t="s">
        <v>1505</v>
      </c>
      <c r="MVJ68" s="561" t="s">
        <v>1505</v>
      </c>
      <c r="MVK68" s="561" t="s">
        <v>1505</v>
      </c>
      <c r="MVL68" s="561" t="s">
        <v>1505</v>
      </c>
      <c r="MVM68" s="561" t="s">
        <v>1505</v>
      </c>
      <c r="MVN68" s="561" t="s">
        <v>1505</v>
      </c>
      <c r="MVO68" s="561" t="s">
        <v>1505</v>
      </c>
      <c r="MVP68" s="561" t="s">
        <v>1505</v>
      </c>
      <c r="MVQ68" s="561" t="s">
        <v>1505</v>
      </c>
      <c r="MVR68" s="561" t="s">
        <v>1505</v>
      </c>
      <c r="MVS68" s="561" t="s">
        <v>1505</v>
      </c>
      <c r="MVT68" s="561" t="s">
        <v>1505</v>
      </c>
      <c r="MVU68" s="561" t="s">
        <v>1505</v>
      </c>
      <c r="MVV68" s="561" t="s">
        <v>1505</v>
      </c>
      <c r="MVW68" s="561" t="s">
        <v>1505</v>
      </c>
      <c r="MVX68" s="561" t="s">
        <v>1505</v>
      </c>
      <c r="MVY68" s="561" t="s">
        <v>1505</v>
      </c>
      <c r="MVZ68" s="561" t="s">
        <v>1505</v>
      </c>
      <c r="MWA68" s="561" t="s">
        <v>1505</v>
      </c>
      <c r="MWB68" s="561" t="s">
        <v>1505</v>
      </c>
      <c r="MWC68" s="561" t="s">
        <v>1505</v>
      </c>
      <c r="MWD68" s="561" t="s">
        <v>1505</v>
      </c>
      <c r="MWE68" s="561" t="s">
        <v>1505</v>
      </c>
      <c r="MWF68" s="561" t="s">
        <v>1505</v>
      </c>
      <c r="MWG68" s="561" t="s">
        <v>1505</v>
      </c>
      <c r="MWH68" s="561" t="s">
        <v>1505</v>
      </c>
      <c r="MWI68" s="561" t="s">
        <v>1505</v>
      </c>
      <c r="MWJ68" s="561" t="s">
        <v>1505</v>
      </c>
      <c r="MWK68" s="561" t="s">
        <v>1505</v>
      </c>
      <c r="MWL68" s="561" t="s">
        <v>1505</v>
      </c>
      <c r="MWM68" s="561" t="s">
        <v>1505</v>
      </c>
      <c r="MWN68" s="561" t="s">
        <v>1505</v>
      </c>
      <c r="MWO68" s="561" t="s">
        <v>1505</v>
      </c>
      <c r="MWP68" s="561" t="s">
        <v>1505</v>
      </c>
      <c r="MWQ68" s="561" t="s">
        <v>1505</v>
      </c>
      <c r="MWR68" s="561" t="s">
        <v>1505</v>
      </c>
      <c r="MWS68" s="561" t="s">
        <v>1505</v>
      </c>
      <c r="MWT68" s="561" t="s">
        <v>1505</v>
      </c>
      <c r="MWU68" s="561" t="s">
        <v>1505</v>
      </c>
      <c r="MWV68" s="561" t="s">
        <v>1505</v>
      </c>
      <c r="MWW68" s="561" t="s">
        <v>1505</v>
      </c>
      <c r="MWX68" s="561" t="s">
        <v>1505</v>
      </c>
      <c r="MWY68" s="561" t="s">
        <v>1505</v>
      </c>
      <c r="MWZ68" s="561" t="s">
        <v>1505</v>
      </c>
      <c r="MXA68" s="561" t="s">
        <v>1505</v>
      </c>
      <c r="MXB68" s="561" t="s">
        <v>1505</v>
      </c>
      <c r="MXC68" s="561" t="s">
        <v>1505</v>
      </c>
      <c r="MXD68" s="561" t="s">
        <v>1505</v>
      </c>
      <c r="MXE68" s="561" t="s">
        <v>1505</v>
      </c>
      <c r="MXF68" s="561" t="s">
        <v>1505</v>
      </c>
      <c r="MXG68" s="561" t="s">
        <v>1505</v>
      </c>
      <c r="MXH68" s="561" t="s">
        <v>1505</v>
      </c>
      <c r="MXI68" s="561" t="s">
        <v>1505</v>
      </c>
      <c r="MXJ68" s="561" t="s">
        <v>1505</v>
      </c>
      <c r="MXK68" s="561" t="s">
        <v>1505</v>
      </c>
      <c r="MXL68" s="561" t="s">
        <v>1505</v>
      </c>
      <c r="MXM68" s="561" t="s">
        <v>1505</v>
      </c>
      <c r="MXN68" s="561" t="s">
        <v>1505</v>
      </c>
      <c r="MXO68" s="561" t="s">
        <v>1505</v>
      </c>
      <c r="MXP68" s="561" t="s">
        <v>1505</v>
      </c>
      <c r="MXQ68" s="561" t="s">
        <v>1505</v>
      </c>
      <c r="MXR68" s="561" t="s">
        <v>1505</v>
      </c>
      <c r="MXS68" s="561" t="s">
        <v>1505</v>
      </c>
      <c r="MXT68" s="561" t="s">
        <v>1505</v>
      </c>
      <c r="MXU68" s="561" t="s">
        <v>1505</v>
      </c>
      <c r="MXV68" s="561" t="s">
        <v>1505</v>
      </c>
      <c r="MXW68" s="561" t="s">
        <v>1505</v>
      </c>
      <c r="MXX68" s="561" t="s">
        <v>1505</v>
      </c>
      <c r="MXY68" s="561" t="s">
        <v>1505</v>
      </c>
      <c r="MXZ68" s="561" t="s">
        <v>1505</v>
      </c>
      <c r="MYA68" s="561" t="s">
        <v>1505</v>
      </c>
      <c r="MYB68" s="561" t="s">
        <v>1505</v>
      </c>
      <c r="MYC68" s="561" t="s">
        <v>1505</v>
      </c>
      <c r="MYD68" s="561" t="s">
        <v>1505</v>
      </c>
      <c r="MYE68" s="561" t="s">
        <v>1505</v>
      </c>
      <c r="MYF68" s="561" t="s">
        <v>1505</v>
      </c>
      <c r="MYG68" s="561" t="s">
        <v>1505</v>
      </c>
      <c r="MYH68" s="561" t="s">
        <v>1505</v>
      </c>
      <c r="MYI68" s="561" t="s">
        <v>1505</v>
      </c>
      <c r="MYJ68" s="561" t="s">
        <v>1505</v>
      </c>
      <c r="MYK68" s="561" t="s">
        <v>1505</v>
      </c>
      <c r="MYL68" s="561" t="s">
        <v>1505</v>
      </c>
      <c r="MYM68" s="561" t="s">
        <v>1505</v>
      </c>
      <c r="MYN68" s="561" t="s">
        <v>1505</v>
      </c>
      <c r="MYO68" s="561" t="s">
        <v>1505</v>
      </c>
      <c r="MYP68" s="561" t="s">
        <v>1505</v>
      </c>
      <c r="MYQ68" s="561" t="s">
        <v>1505</v>
      </c>
      <c r="MYR68" s="561" t="s">
        <v>1505</v>
      </c>
      <c r="MYS68" s="561" t="s">
        <v>1505</v>
      </c>
      <c r="MYT68" s="561" t="s">
        <v>1505</v>
      </c>
      <c r="MYU68" s="561" t="s">
        <v>1505</v>
      </c>
      <c r="MYV68" s="561" t="s">
        <v>1505</v>
      </c>
      <c r="MYW68" s="561" t="s">
        <v>1505</v>
      </c>
      <c r="MYX68" s="561" t="s">
        <v>1505</v>
      </c>
      <c r="MYY68" s="561" t="s">
        <v>1505</v>
      </c>
      <c r="MYZ68" s="561" t="s">
        <v>1505</v>
      </c>
      <c r="MZA68" s="561" t="s">
        <v>1505</v>
      </c>
      <c r="MZB68" s="561" t="s">
        <v>1505</v>
      </c>
      <c r="MZC68" s="561" t="s">
        <v>1505</v>
      </c>
      <c r="MZD68" s="561" t="s">
        <v>1505</v>
      </c>
      <c r="MZE68" s="561" t="s">
        <v>1505</v>
      </c>
      <c r="MZF68" s="561" t="s">
        <v>1505</v>
      </c>
      <c r="MZG68" s="561" t="s">
        <v>1505</v>
      </c>
      <c r="MZH68" s="561" t="s">
        <v>1505</v>
      </c>
      <c r="MZI68" s="561" t="s">
        <v>1505</v>
      </c>
      <c r="MZJ68" s="561" t="s">
        <v>1505</v>
      </c>
      <c r="MZK68" s="561" t="s">
        <v>1505</v>
      </c>
      <c r="MZL68" s="561" t="s">
        <v>1505</v>
      </c>
      <c r="MZM68" s="561" t="s">
        <v>1505</v>
      </c>
      <c r="MZN68" s="561" t="s">
        <v>1505</v>
      </c>
      <c r="MZO68" s="561" t="s">
        <v>1505</v>
      </c>
      <c r="MZP68" s="561" t="s">
        <v>1505</v>
      </c>
      <c r="MZQ68" s="561" t="s">
        <v>1505</v>
      </c>
      <c r="MZR68" s="561" t="s">
        <v>1505</v>
      </c>
      <c r="MZS68" s="561" t="s">
        <v>1505</v>
      </c>
      <c r="MZT68" s="561" t="s">
        <v>1505</v>
      </c>
      <c r="MZU68" s="561" t="s">
        <v>1505</v>
      </c>
      <c r="MZV68" s="561" t="s">
        <v>1505</v>
      </c>
      <c r="MZW68" s="561" t="s">
        <v>1505</v>
      </c>
      <c r="MZX68" s="561" t="s">
        <v>1505</v>
      </c>
      <c r="MZY68" s="561" t="s">
        <v>1505</v>
      </c>
      <c r="MZZ68" s="561" t="s">
        <v>1505</v>
      </c>
      <c r="NAA68" s="561" t="s">
        <v>1505</v>
      </c>
      <c r="NAB68" s="561" t="s">
        <v>1505</v>
      </c>
      <c r="NAC68" s="561" t="s">
        <v>1505</v>
      </c>
      <c r="NAD68" s="561" t="s">
        <v>1505</v>
      </c>
      <c r="NAE68" s="561" t="s">
        <v>1505</v>
      </c>
      <c r="NAF68" s="561" t="s">
        <v>1505</v>
      </c>
      <c r="NAG68" s="561" t="s">
        <v>1505</v>
      </c>
      <c r="NAH68" s="561" t="s">
        <v>1505</v>
      </c>
      <c r="NAI68" s="561" t="s">
        <v>1505</v>
      </c>
      <c r="NAJ68" s="561" t="s">
        <v>1505</v>
      </c>
      <c r="NAK68" s="561" t="s">
        <v>1505</v>
      </c>
      <c r="NAL68" s="561" t="s">
        <v>1505</v>
      </c>
      <c r="NAM68" s="561" t="s">
        <v>1505</v>
      </c>
      <c r="NAN68" s="561" t="s">
        <v>1505</v>
      </c>
      <c r="NAO68" s="561" t="s">
        <v>1505</v>
      </c>
      <c r="NAP68" s="561" t="s">
        <v>1505</v>
      </c>
      <c r="NAQ68" s="561" t="s">
        <v>1505</v>
      </c>
      <c r="NAR68" s="561" t="s">
        <v>1505</v>
      </c>
      <c r="NAS68" s="561" t="s">
        <v>1505</v>
      </c>
      <c r="NAT68" s="561" t="s">
        <v>1505</v>
      </c>
      <c r="NAU68" s="561" t="s">
        <v>1505</v>
      </c>
      <c r="NAV68" s="561" t="s">
        <v>1505</v>
      </c>
      <c r="NAW68" s="561" t="s">
        <v>1505</v>
      </c>
      <c r="NAX68" s="561" t="s">
        <v>1505</v>
      </c>
      <c r="NAY68" s="561" t="s">
        <v>1505</v>
      </c>
      <c r="NAZ68" s="561" t="s">
        <v>1505</v>
      </c>
      <c r="NBA68" s="561" t="s">
        <v>1505</v>
      </c>
      <c r="NBB68" s="561" t="s">
        <v>1505</v>
      </c>
      <c r="NBC68" s="561" t="s">
        <v>1505</v>
      </c>
      <c r="NBD68" s="561" t="s">
        <v>1505</v>
      </c>
      <c r="NBE68" s="561" t="s">
        <v>1505</v>
      </c>
      <c r="NBF68" s="561" t="s">
        <v>1505</v>
      </c>
      <c r="NBG68" s="561" t="s">
        <v>1505</v>
      </c>
      <c r="NBH68" s="561" t="s">
        <v>1505</v>
      </c>
      <c r="NBI68" s="561" t="s">
        <v>1505</v>
      </c>
      <c r="NBJ68" s="561" t="s">
        <v>1505</v>
      </c>
      <c r="NBK68" s="561" t="s">
        <v>1505</v>
      </c>
      <c r="NBL68" s="561" t="s">
        <v>1505</v>
      </c>
      <c r="NBM68" s="561" t="s">
        <v>1505</v>
      </c>
      <c r="NBN68" s="561" t="s">
        <v>1505</v>
      </c>
      <c r="NBO68" s="561" t="s">
        <v>1505</v>
      </c>
      <c r="NBP68" s="561" t="s">
        <v>1505</v>
      </c>
      <c r="NBQ68" s="561" t="s">
        <v>1505</v>
      </c>
      <c r="NBR68" s="561" t="s">
        <v>1505</v>
      </c>
      <c r="NBS68" s="561" t="s">
        <v>1505</v>
      </c>
      <c r="NBT68" s="561" t="s">
        <v>1505</v>
      </c>
      <c r="NBU68" s="561" t="s">
        <v>1505</v>
      </c>
      <c r="NBV68" s="561" t="s">
        <v>1505</v>
      </c>
      <c r="NBW68" s="561" t="s">
        <v>1505</v>
      </c>
      <c r="NBX68" s="561" t="s">
        <v>1505</v>
      </c>
      <c r="NBY68" s="561" t="s">
        <v>1505</v>
      </c>
      <c r="NBZ68" s="561" t="s">
        <v>1505</v>
      </c>
      <c r="NCA68" s="561" t="s">
        <v>1505</v>
      </c>
      <c r="NCB68" s="561" t="s">
        <v>1505</v>
      </c>
      <c r="NCC68" s="561" t="s">
        <v>1505</v>
      </c>
      <c r="NCD68" s="561" t="s">
        <v>1505</v>
      </c>
      <c r="NCE68" s="561" t="s">
        <v>1505</v>
      </c>
      <c r="NCF68" s="561" t="s">
        <v>1505</v>
      </c>
      <c r="NCG68" s="561" t="s">
        <v>1505</v>
      </c>
      <c r="NCH68" s="561" t="s">
        <v>1505</v>
      </c>
      <c r="NCI68" s="561" t="s">
        <v>1505</v>
      </c>
      <c r="NCJ68" s="561" t="s">
        <v>1505</v>
      </c>
      <c r="NCK68" s="561" t="s">
        <v>1505</v>
      </c>
      <c r="NCL68" s="561" t="s">
        <v>1505</v>
      </c>
      <c r="NCM68" s="561" t="s">
        <v>1505</v>
      </c>
      <c r="NCN68" s="561" t="s">
        <v>1505</v>
      </c>
      <c r="NCO68" s="561" t="s">
        <v>1505</v>
      </c>
      <c r="NCP68" s="561" t="s">
        <v>1505</v>
      </c>
      <c r="NCQ68" s="561" t="s">
        <v>1505</v>
      </c>
      <c r="NCR68" s="561" t="s">
        <v>1505</v>
      </c>
      <c r="NCS68" s="561" t="s">
        <v>1505</v>
      </c>
      <c r="NCT68" s="561" t="s">
        <v>1505</v>
      </c>
      <c r="NCU68" s="561" t="s">
        <v>1505</v>
      </c>
      <c r="NCV68" s="561" t="s">
        <v>1505</v>
      </c>
      <c r="NCW68" s="561" t="s">
        <v>1505</v>
      </c>
      <c r="NCX68" s="561" t="s">
        <v>1505</v>
      </c>
      <c r="NCY68" s="561" t="s">
        <v>1505</v>
      </c>
      <c r="NCZ68" s="561" t="s">
        <v>1505</v>
      </c>
      <c r="NDA68" s="561" t="s">
        <v>1505</v>
      </c>
      <c r="NDB68" s="561" t="s">
        <v>1505</v>
      </c>
      <c r="NDC68" s="561" t="s">
        <v>1505</v>
      </c>
      <c r="NDD68" s="561" t="s">
        <v>1505</v>
      </c>
      <c r="NDE68" s="561" t="s">
        <v>1505</v>
      </c>
      <c r="NDF68" s="561" t="s">
        <v>1505</v>
      </c>
      <c r="NDG68" s="561" t="s">
        <v>1505</v>
      </c>
      <c r="NDH68" s="561" t="s">
        <v>1505</v>
      </c>
      <c r="NDI68" s="561" t="s">
        <v>1505</v>
      </c>
      <c r="NDJ68" s="561" t="s">
        <v>1505</v>
      </c>
      <c r="NDK68" s="561" t="s">
        <v>1505</v>
      </c>
      <c r="NDL68" s="561" t="s">
        <v>1505</v>
      </c>
      <c r="NDM68" s="561" t="s">
        <v>1505</v>
      </c>
      <c r="NDN68" s="561" t="s">
        <v>1505</v>
      </c>
      <c r="NDO68" s="561" t="s">
        <v>1505</v>
      </c>
      <c r="NDP68" s="561" t="s">
        <v>1505</v>
      </c>
      <c r="NDQ68" s="561" t="s">
        <v>1505</v>
      </c>
      <c r="NDR68" s="561" t="s">
        <v>1505</v>
      </c>
      <c r="NDS68" s="561" t="s">
        <v>1505</v>
      </c>
      <c r="NDT68" s="561" t="s">
        <v>1505</v>
      </c>
      <c r="NDU68" s="561" t="s">
        <v>1505</v>
      </c>
      <c r="NDV68" s="561" t="s">
        <v>1505</v>
      </c>
      <c r="NDW68" s="561" t="s">
        <v>1505</v>
      </c>
      <c r="NDX68" s="561" t="s">
        <v>1505</v>
      </c>
      <c r="NDY68" s="561" t="s">
        <v>1505</v>
      </c>
      <c r="NDZ68" s="561" t="s">
        <v>1505</v>
      </c>
      <c r="NEA68" s="561" t="s">
        <v>1505</v>
      </c>
      <c r="NEB68" s="561" t="s">
        <v>1505</v>
      </c>
      <c r="NEC68" s="561" t="s">
        <v>1505</v>
      </c>
      <c r="NED68" s="561" t="s">
        <v>1505</v>
      </c>
      <c r="NEE68" s="561" t="s">
        <v>1505</v>
      </c>
      <c r="NEF68" s="561" t="s">
        <v>1505</v>
      </c>
      <c r="NEG68" s="561" t="s">
        <v>1505</v>
      </c>
      <c r="NEH68" s="561" t="s">
        <v>1505</v>
      </c>
      <c r="NEI68" s="561" t="s">
        <v>1505</v>
      </c>
      <c r="NEJ68" s="561" t="s">
        <v>1505</v>
      </c>
      <c r="NEK68" s="561" t="s">
        <v>1505</v>
      </c>
      <c r="NEL68" s="561" t="s">
        <v>1505</v>
      </c>
      <c r="NEM68" s="561" t="s">
        <v>1505</v>
      </c>
      <c r="NEN68" s="561" t="s">
        <v>1505</v>
      </c>
      <c r="NEO68" s="561" t="s">
        <v>1505</v>
      </c>
      <c r="NEP68" s="561" t="s">
        <v>1505</v>
      </c>
      <c r="NEQ68" s="561" t="s">
        <v>1505</v>
      </c>
      <c r="NER68" s="561" t="s">
        <v>1505</v>
      </c>
      <c r="NES68" s="561" t="s">
        <v>1505</v>
      </c>
      <c r="NET68" s="561" t="s">
        <v>1505</v>
      </c>
      <c r="NEU68" s="561" t="s">
        <v>1505</v>
      </c>
      <c r="NEV68" s="561" t="s">
        <v>1505</v>
      </c>
      <c r="NEW68" s="561" t="s">
        <v>1505</v>
      </c>
      <c r="NEX68" s="561" t="s">
        <v>1505</v>
      </c>
      <c r="NEY68" s="561" t="s">
        <v>1505</v>
      </c>
      <c r="NEZ68" s="561" t="s">
        <v>1505</v>
      </c>
      <c r="NFA68" s="561" t="s">
        <v>1505</v>
      </c>
      <c r="NFB68" s="561" t="s">
        <v>1505</v>
      </c>
      <c r="NFC68" s="561" t="s">
        <v>1505</v>
      </c>
      <c r="NFD68" s="561" t="s">
        <v>1505</v>
      </c>
      <c r="NFE68" s="561" t="s">
        <v>1505</v>
      </c>
      <c r="NFF68" s="561" t="s">
        <v>1505</v>
      </c>
      <c r="NFG68" s="561" t="s">
        <v>1505</v>
      </c>
      <c r="NFH68" s="561" t="s">
        <v>1505</v>
      </c>
      <c r="NFI68" s="561" t="s">
        <v>1505</v>
      </c>
      <c r="NFJ68" s="561" t="s">
        <v>1505</v>
      </c>
      <c r="NFK68" s="561" t="s">
        <v>1505</v>
      </c>
      <c r="NFL68" s="561" t="s">
        <v>1505</v>
      </c>
      <c r="NFM68" s="561" t="s">
        <v>1505</v>
      </c>
      <c r="NFN68" s="561" t="s">
        <v>1505</v>
      </c>
      <c r="NFO68" s="561" t="s">
        <v>1505</v>
      </c>
      <c r="NFP68" s="561" t="s">
        <v>1505</v>
      </c>
      <c r="NFQ68" s="561" t="s">
        <v>1505</v>
      </c>
      <c r="NFR68" s="561" t="s">
        <v>1505</v>
      </c>
      <c r="NFS68" s="561" t="s">
        <v>1505</v>
      </c>
      <c r="NFT68" s="561" t="s">
        <v>1505</v>
      </c>
      <c r="NFU68" s="561" t="s">
        <v>1505</v>
      </c>
      <c r="NFV68" s="561" t="s">
        <v>1505</v>
      </c>
      <c r="NFW68" s="561" t="s">
        <v>1505</v>
      </c>
      <c r="NFX68" s="561" t="s">
        <v>1505</v>
      </c>
      <c r="NFY68" s="561" t="s">
        <v>1505</v>
      </c>
      <c r="NFZ68" s="561" t="s">
        <v>1505</v>
      </c>
      <c r="NGA68" s="561" t="s">
        <v>1505</v>
      </c>
      <c r="NGB68" s="561" t="s">
        <v>1505</v>
      </c>
      <c r="NGC68" s="561" t="s">
        <v>1505</v>
      </c>
      <c r="NGD68" s="561" t="s">
        <v>1505</v>
      </c>
      <c r="NGE68" s="561" t="s">
        <v>1505</v>
      </c>
      <c r="NGF68" s="561" t="s">
        <v>1505</v>
      </c>
      <c r="NGG68" s="561" t="s">
        <v>1505</v>
      </c>
      <c r="NGH68" s="561" t="s">
        <v>1505</v>
      </c>
      <c r="NGI68" s="561" t="s">
        <v>1505</v>
      </c>
      <c r="NGJ68" s="561" t="s">
        <v>1505</v>
      </c>
      <c r="NGK68" s="561" t="s">
        <v>1505</v>
      </c>
      <c r="NGL68" s="561" t="s">
        <v>1505</v>
      </c>
      <c r="NGM68" s="561" t="s">
        <v>1505</v>
      </c>
      <c r="NGN68" s="561" t="s">
        <v>1505</v>
      </c>
      <c r="NGO68" s="561" t="s">
        <v>1505</v>
      </c>
      <c r="NGP68" s="561" t="s">
        <v>1505</v>
      </c>
      <c r="NGQ68" s="561" t="s">
        <v>1505</v>
      </c>
      <c r="NGR68" s="561" t="s">
        <v>1505</v>
      </c>
      <c r="NGS68" s="561" t="s">
        <v>1505</v>
      </c>
      <c r="NGT68" s="561" t="s">
        <v>1505</v>
      </c>
      <c r="NGU68" s="561" t="s">
        <v>1505</v>
      </c>
      <c r="NGV68" s="561" t="s">
        <v>1505</v>
      </c>
      <c r="NGW68" s="561" t="s">
        <v>1505</v>
      </c>
      <c r="NGX68" s="561" t="s">
        <v>1505</v>
      </c>
      <c r="NGY68" s="561" t="s">
        <v>1505</v>
      </c>
      <c r="NGZ68" s="561" t="s">
        <v>1505</v>
      </c>
      <c r="NHA68" s="561" t="s">
        <v>1505</v>
      </c>
      <c r="NHB68" s="561" t="s">
        <v>1505</v>
      </c>
      <c r="NHC68" s="561" t="s">
        <v>1505</v>
      </c>
      <c r="NHD68" s="561" t="s">
        <v>1505</v>
      </c>
      <c r="NHE68" s="561" t="s">
        <v>1505</v>
      </c>
      <c r="NHF68" s="561" t="s">
        <v>1505</v>
      </c>
      <c r="NHG68" s="561" t="s">
        <v>1505</v>
      </c>
      <c r="NHH68" s="561" t="s">
        <v>1505</v>
      </c>
      <c r="NHI68" s="561" t="s">
        <v>1505</v>
      </c>
      <c r="NHJ68" s="561" t="s">
        <v>1505</v>
      </c>
      <c r="NHK68" s="561" t="s">
        <v>1505</v>
      </c>
      <c r="NHL68" s="561" t="s">
        <v>1505</v>
      </c>
      <c r="NHM68" s="561" t="s">
        <v>1505</v>
      </c>
      <c r="NHN68" s="561" t="s">
        <v>1505</v>
      </c>
      <c r="NHO68" s="561" t="s">
        <v>1505</v>
      </c>
      <c r="NHP68" s="561" t="s">
        <v>1505</v>
      </c>
      <c r="NHQ68" s="561" t="s">
        <v>1505</v>
      </c>
      <c r="NHR68" s="561" t="s">
        <v>1505</v>
      </c>
      <c r="NHS68" s="561" t="s">
        <v>1505</v>
      </c>
      <c r="NHT68" s="561" t="s">
        <v>1505</v>
      </c>
      <c r="NHU68" s="561" t="s">
        <v>1505</v>
      </c>
      <c r="NHV68" s="561" t="s">
        <v>1505</v>
      </c>
      <c r="NHW68" s="561" t="s">
        <v>1505</v>
      </c>
      <c r="NHX68" s="561" t="s">
        <v>1505</v>
      </c>
      <c r="NHY68" s="561" t="s">
        <v>1505</v>
      </c>
      <c r="NHZ68" s="561" t="s">
        <v>1505</v>
      </c>
      <c r="NIA68" s="561" t="s">
        <v>1505</v>
      </c>
      <c r="NIB68" s="561" t="s">
        <v>1505</v>
      </c>
      <c r="NIC68" s="561" t="s">
        <v>1505</v>
      </c>
      <c r="NID68" s="561" t="s">
        <v>1505</v>
      </c>
      <c r="NIE68" s="561" t="s">
        <v>1505</v>
      </c>
      <c r="NIF68" s="561" t="s">
        <v>1505</v>
      </c>
      <c r="NIG68" s="561" t="s">
        <v>1505</v>
      </c>
      <c r="NIH68" s="561" t="s">
        <v>1505</v>
      </c>
      <c r="NII68" s="561" t="s">
        <v>1505</v>
      </c>
      <c r="NIJ68" s="561" t="s">
        <v>1505</v>
      </c>
      <c r="NIK68" s="561" t="s">
        <v>1505</v>
      </c>
      <c r="NIL68" s="561" t="s">
        <v>1505</v>
      </c>
      <c r="NIM68" s="561" t="s">
        <v>1505</v>
      </c>
      <c r="NIN68" s="561" t="s">
        <v>1505</v>
      </c>
      <c r="NIO68" s="561" t="s">
        <v>1505</v>
      </c>
      <c r="NIP68" s="561" t="s">
        <v>1505</v>
      </c>
      <c r="NIQ68" s="561" t="s">
        <v>1505</v>
      </c>
      <c r="NIR68" s="561" t="s">
        <v>1505</v>
      </c>
      <c r="NIS68" s="561" t="s">
        <v>1505</v>
      </c>
      <c r="NIT68" s="561" t="s">
        <v>1505</v>
      </c>
      <c r="NIU68" s="561" t="s">
        <v>1505</v>
      </c>
      <c r="NIV68" s="561" t="s">
        <v>1505</v>
      </c>
      <c r="NIW68" s="561" t="s">
        <v>1505</v>
      </c>
      <c r="NIX68" s="561" t="s">
        <v>1505</v>
      </c>
      <c r="NIY68" s="561" t="s">
        <v>1505</v>
      </c>
      <c r="NIZ68" s="561" t="s">
        <v>1505</v>
      </c>
      <c r="NJA68" s="561" t="s">
        <v>1505</v>
      </c>
      <c r="NJB68" s="561" t="s">
        <v>1505</v>
      </c>
      <c r="NJC68" s="561" t="s">
        <v>1505</v>
      </c>
      <c r="NJD68" s="561" t="s">
        <v>1505</v>
      </c>
      <c r="NJE68" s="561" t="s">
        <v>1505</v>
      </c>
      <c r="NJF68" s="561" t="s">
        <v>1505</v>
      </c>
      <c r="NJG68" s="561" t="s">
        <v>1505</v>
      </c>
      <c r="NJH68" s="561" t="s">
        <v>1505</v>
      </c>
      <c r="NJI68" s="561" t="s">
        <v>1505</v>
      </c>
      <c r="NJJ68" s="561" t="s">
        <v>1505</v>
      </c>
      <c r="NJK68" s="561" t="s">
        <v>1505</v>
      </c>
      <c r="NJL68" s="561" t="s">
        <v>1505</v>
      </c>
      <c r="NJM68" s="561" t="s">
        <v>1505</v>
      </c>
      <c r="NJN68" s="561" t="s">
        <v>1505</v>
      </c>
      <c r="NJO68" s="561" t="s">
        <v>1505</v>
      </c>
      <c r="NJP68" s="561" t="s">
        <v>1505</v>
      </c>
      <c r="NJQ68" s="561" t="s">
        <v>1505</v>
      </c>
      <c r="NJR68" s="561" t="s">
        <v>1505</v>
      </c>
      <c r="NJS68" s="561" t="s">
        <v>1505</v>
      </c>
      <c r="NJT68" s="561" t="s">
        <v>1505</v>
      </c>
      <c r="NJU68" s="561" t="s">
        <v>1505</v>
      </c>
      <c r="NJV68" s="561" t="s">
        <v>1505</v>
      </c>
      <c r="NJW68" s="561" t="s">
        <v>1505</v>
      </c>
      <c r="NJX68" s="561" t="s">
        <v>1505</v>
      </c>
      <c r="NJY68" s="561" t="s">
        <v>1505</v>
      </c>
      <c r="NJZ68" s="561" t="s">
        <v>1505</v>
      </c>
      <c r="NKA68" s="561" t="s">
        <v>1505</v>
      </c>
      <c r="NKB68" s="561" t="s">
        <v>1505</v>
      </c>
      <c r="NKC68" s="561" t="s">
        <v>1505</v>
      </c>
      <c r="NKD68" s="561" t="s">
        <v>1505</v>
      </c>
      <c r="NKE68" s="561" t="s">
        <v>1505</v>
      </c>
      <c r="NKF68" s="561" t="s">
        <v>1505</v>
      </c>
      <c r="NKG68" s="561" t="s">
        <v>1505</v>
      </c>
      <c r="NKH68" s="561" t="s">
        <v>1505</v>
      </c>
      <c r="NKI68" s="561" t="s">
        <v>1505</v>
      </c>
      <c r="NKJ68" s="561" t="s">
        <v>1505</v>
      </c>
      <c r="NKK68" s="561" t="s">
        <v>1505</v>
      </c>
      <c r="NKL68" s="561" t="s">
        <v>1505</v>
      </c>
      <c r="NKM68" s="561" t="s">
        <v>1505</v>
      </c>
      <c r="NKN68" s="561" t="s">
        <v>1505</v>
      </c>
      <c r="NKO68" s="561" t="s">
        <v>1505</v>
      </c>
      <c r="NKP68" s="561" t="s">
        <v>1505</v>
      </c>
      <c r="NKQ68" s="561" t="s">
        <v>1505</v>
      </c>
      <c r="NKR68" s="561" t="s">
        <v>1505</v>
      </c>
      <c r="NKS68" s="561" t="s">
        <v>1505</v>
      </c>
      <c r="NKT68" s="561" t="s">
        <v>1505</v>
      </c>
      <c r="NKU68" s="561" t="s">
        <v>1505</v>
      </c>
      <c r="NKV68" s="561" t="s">
        <v>1505</v>
      </c>
      <c r="NKW68" s="561" t="s">
        <v>1505</v>
      </c>
      <c r="NKX68" s="561" t="s">
        <v>1505</v>
      </c>
      <c r="NKY68" s="561" t="s">
        <v>1505</v>
      </c>
      <c r="NKZ68" s="561" t="s">
        <v>1505</v>
      </c>
      <c r="NLA68" s="561" t="s">
        <v>1505</v>
      </c>
      <c r="NLB68" s="561" t="s">
        <v>1505</v>
      </c>
      <c r="NLC68" s="561" t="s">
        <v>1505</v>
      </c>
      <c r="NLD68" s="561" t="s">
        <v>1505</v>
      </c>
      <c r="NLE68" s="561" t="s">
        <v>1505</v>
      </c>
      <c r="NLF68" s="561" t="s">
        <v>1505</v>
      </c>
      <c r="NLG68" s="561" t="s">
        <v>1505</v>
      </c>
      <c r="NLH68" s="561" t="s">
        <v>1505</v>
      </c>
      <c r="NLI68" s="561" t="s">
        <v>1505</v>
      </c>
      <c r="NLJ68" s="561" t="s">
        <v>1505</v>
      </c>
      <c r="NLK68" s="561" t="s">
        <v>1505</v>
      </c>
      <c r="NLL68" s="561" t="s">
        <v>1505</v>
      </c>
      <c r="NLM68" s="561" t="s">
        <v>1505</v>
      </c>
      <c r="NLN68" s="561" t="s">
        <v>1505</v>
      </c>
      <c r="NLO68" s="561" t="s">
        <v>1505</v>
      </c>
      <c r="NLP68" s="561" t="s">
        <v>1505</v>
      </c>
      <c r="NLQ68" s="561" t="s">
        <v>1505</v>
      </c>
      <c r="NLR68" s="561" t="s">
        <v>1505</v>
      </c>
      <c r="NLS68" s="561" t="s">
        <v>1505</v>
      </c>
      <c r="NLT68" s="561" t="s">
        <v>1505</v>
      </c>
      <c r="NLU68" s="561" t="s">
        <v>1505</v>
      </c>
      <c r="NLV68" s="561" t="s">
        <v>1505</v>
      </c>
      <c r="NLW68" s="561" t="s">
        <v>1505</v>
      </c>
      <c r="NLX68" s="561" t="s">
        <v>1505</v>
      </c>
      <c r="NLY68" s="561" t="s">
        <v>1505</v>
      </c>
      <c r="NLZ68" s="561" t="s">
        <v>1505</v>
      </c>
      <c r="NMA68" s="561" t="s">
        <v>1505</v>
      </c>
      <c r="NMB68" s="561" t="s">
        <v>1505</v>
      </c>
      <c r="NMC68" s="561" t="s">
        <v>1505</v>
      </c>
      <c r="NMD68" s="561" t="s">
        <v>1505</v>
      </c>
      <c r="NME68" s="561" t="s">
        <v>1505</v>
      </c>
      <c r="NMF68" s="561" t="s">
        <v>1505</v>
      </c>
      <c r="NMG68" s="561" t="s">
        <v>1505</v>
      </c>
      <c r="NMH68" s="561" t="s">
        <v>1505</v>
      </c>
      <c r="NMI68" s="561" t="s">
        <v>1505</v>
      </c>
      <c r="NMJ68" s="561" t="s">
        <v>1505</v>
      </c>
      <c r="NMK68" s="561" t="s">
        <v>1505</v>
      </c>
      <c r="NML68" s="561" t="s">
        <v>1505</v>
      </c>
      <c r="NMM68" s="561" t="s">
        <v>1505</v>
      </c>
      <c r="NMN68" s="561" t="s">
        <v>1505</v>
      </c>
      <c r="NMO68" s="561" t="s">
        <v>1505</v>
      </c>
      <c r="NMP68" s="561" t="s">
        <v>1505</v>
      </c>
      <c r="NMQ68" s="561" t="s">
        <v>1505</v>
      </c>
      <c r="NMR68" s="561" t="s">
        <v>1505</v>
      </c>
      <c r="NMS68" s="561" t="s">
        <v>1505</v>
      </c>
      <c r="NMT68" s="561" t="s">
        <v>1505</v>
      </c>
      <c r="NMU68" s="561" t="s">
        <v>1505</v>
      </c>
      <c r="NMV68" s="561" t="s">
        <v>1505</v>
      </c>
      <c r="NMW68" s="561" t="s">
        <v>1505</v>
      </c>
      <c r="NMX68" s="561" t="s">
        <v>1505</v>
      </c>
      <c r="NMY68" s="561" t="s">
        <v>1505</v>
      </c>
      <c r="NMZ68" s="561" t="s">
        <v>1505</v>
      </c>
      <c r="NNA68" s="561" t="s">
        <v>1505</v>
      </c>
      <c r="NNB68" s="561" t="s">
        <v>1505</v>
      </c>
      <c r="NNC68" s="561" t="s">
        <v>1505</v>
      </c>
      <c r="NND68" s="561" t="s">
        <v>1505</v>
      </c>
      <c r="NNE68" s="561" t="s">
        <v>1505</v>
      </c>
      <c r="NNF68" s="561" t="s">
        <v>1505</v>
      </c>
      <c r="NNG68" s="561" t="s">
        <v>1505</v>
      </c>
      <c r="NNH68" s="561" t="s">
        <v>1505</v>
      </c>
      <c r="NNI68" s="561" t="s">
        <v>1505</v>
      </c>
      <c r="NNJ68" s="561" t="s">
        <v>1505</v>
      </c>
      <c r="NNK68" s="561" t="s">
        <v>1505</v>
      </c>
      <c r="NNL68" s="561" t="s">
        <v>1505</v>
      </c>
      <c r="NNM68" s="561" t="s">
        <v>1505</v>
      </c>
      <c r="NNN68" s="561" t="s">
        <v>1505</v>
      </c>
      <c r="NNO68" s="561" t="s">
        <v>1505</v>
      </c>
      <c r="NNP68" s="561" t="s">
        <v>1505</v>
      </c>
      <c r="NNQ68" s="561" t="s">
        <v>1505</v>
      </c>
      <c r="NNR68" s="561" t="s">
        <v>1505</v>
      </c>
      <c r="NNS68" s="561" t="s">
        <v>1505</v>
      </c>
      <c r="NNT68" s="561" t="s">
        <v>1505</v>
      </c>
      <c r="NNU68" s="561" t="s">
        <v>1505</v>
      </c>
      <c r="NNV68" s="561" t="s">
        <v>1505</v>
      </c>
      <c r="NNW68" s="561" t="s">
        <v>1505</v>
      </c>
      <c r="NNX68" s="561" t="s">
        <v>1505</v>
      </c>
      <c r="NNY68" s="561" t="s">
        <v>1505</v>
      </c>
      <c r="NNZ68" s="561" t="s">
        <v>1505</v>
      </c>
      <c r="NOA68" s="561" t="s">
        <v>1505</v>
      </c>
      <c r="NOB68" s="561" t="s">
        <v>1505</v>
      </c>
      <c r="NOC68" s="561" t="s">
        <v>1505</v>
      </c>
      <c r="NOD68" s="561" t="s">
        <v>1505</v>
      </c>
      <c r="NOE68" s="561" t="s">
        <v>1505</v>
      </c>
      <c r="NOF68" s="561" t="s">
        <v>1505</v>
      </c>
      <c r="NOG68" s="561" t="s">
        <v>1505</v>
      </c>
      <c r="NOH68" s="561" t="s">
        <v>1505</v>
      </c>
      <c r="NOI68" s="561" t="s">
        <v>1505</v>
      </c>
      <c r="NOJ68" s="561" t="s">
        <v>1505</v>
      </c>
      <c r="NOK68" s="561" t="s">
        <v>1505</v>
      </c>
      <c r="NOL68" s="561" t="s">
        <v>1505</v>
      </c>
      <c r="NOM68" s="561" t="s">
        <v>1505</v>
      </c>
      <c r="NON68" s="561" t="s">
        <v>1505</v>
      </c>
      <c r="NOO68" s="561" t="s">
        <v>1505</v>
      </c>
      <c r="NOP68" s="561" t="s">
        <v>1505</v>
      </c>
      <c r="NOQ68" s="561" t="s">
        <v>1505</v>
      </c>
      <c r="NOR68" s="561" t="s">
        <v>1505</v>
      </c>
      <c r="NOS68" s="561" t="s">
        <v>1505</v>
      </c>
      <c r="NOT68" s="561" t="s">
        <v>1505</v>
      </c>
      <c r="NOU68" s="561" t="s">
        <v>1505</v>
      </c>
      <c r="NOV68" s="561" t="s">
        <v>1505</v>
      </c>
      <c r="NOW68" s="561" t="s">
        <v>1505</v>
      </c>
      <c r="NOX68" s="561" t="s">
        <v>1505</v>
      </c>
      <c r="NOY68" s="561" t="s">
        <v>1505</v>
      </c>
      <c r="NOZ68" s="561" t="s">
        <v>1505</v>
      </c>
      <c r="NPA68" s="561" t="s">
        <v>1505</v>
      </c>
      <c r="NPB68" s="561" t="s">
        <v>1505</v>
      </c>
      <c r="NPC68" s="561" t="s">
        <v>1505</v>
      </c>
      <c r="NPD68" s="561" t="s">
        <v>1505</v>
      </c>
      <c r="NPE68" s="561" t="s">
        <v>1505</v>
      </c>
      <c r="NPF68" s="561" t="s">
        <v>1505</v>
      </c>
      <c r="NPG68" s="561" t="s">
        <v>1505</v>
      </c>
      <c r="NPH68" s="561" t="s">
        <v>1505</v>
      </c>
      <c r="NPI68" s="561" t="s">
        <v>1505</v>
      </c>
      <c r="NPJ68" s="561" t="s">
        <v>1505</v>
      </c>
      <c r="NPK68" s="561" t="s">
        <v>1505</v>
      </c>
      <c r="NPL68" s="561" t="s">
        <v>1505</v>
      </c>
      <c r="NPM68" s="561" t="s">
        <v>1505</v>
      </c>
      <c r="NPN68" s="561" t="s">
        <v>1505</v>
      </c>
      <c r="NPO68" s="561" t="s">
        <v>1505</v>
      </c>
      <c r="NPP68" s="561" t="s">
        <v>1505</v>
      </c>
      <c r="NPQ68" s="561" t="s">
        <v>1505</v>
      </c>
      <c r="NPR68" s="561" t="s">
        <v>1505</v>
      </c>
      <c r="NPS68" s="561" t="s">
        <v>1505</v>
      </c>
      <c r="NPT68" s="561" t="s">
        <v>1505</v>
      </c>
      <c r="NPU68" s="561" t="s">
        <v>1505</v>
      </c>
      <c r="NPV68" s="561" t="s">
        <v>1505</v>
      </c>
      <c r="NPW68" s="561" t="s">
        <v>1505</v>
      </c>
      <c r="NPX68" s="561" t="s">
        <v>1505</v>
      </c>
      <c r="NPY68" s="561" t="s">
        <v>1505</v>
      </c>
      <c r="NPZ68" s="561" t="s">
        <v>1505</v>
      </c>
      <c r="NQA68" s="561" t="s">
        <v>1505</v>
      </c>
      <c r="NQB68" s="561" t="s">
        <v>1505</v>
      </c>
      <c r="NQC68" s="561" t="s">
        <v>1505</v>
      </c>
      <c r="NQD68" s="561" t="s">
        <v>1505</v>
      </c>
      <c r="NQE68" s="561" t="s">
        <v>1505</v>
      </c>
      <c r="NQF68" s="561" t="s">
        <v>1505</v>
      </c>
      <c r="NQG68" s="561" t="s">
        <v>1505</v>
      </c>
      <c r="NQH68" s="561" t="s">
        <v>1505</v>
      </c>
      <c r="NQI68" s="561" t="s">
        <v>1505</v>
      </c>
      <c r="NQJ68" s="561" t="s">
        <v>1505</v>
      </c>
      <c r="NQK68" s="561" t="s">
        <v>1505</v>
      </c>
      <c r="NQL68" s="561" t="s">
        <v>1505</v>
      </c>
      <c r="NQM68" s="561" t="s">
        <v>1505</v>
      </c>
      <c r="NQN68" s="561" t="s">
        <v>1505</v>
      </c>
      <c r="NQO68" s="561" t="s">
        <v>1505</v>
      </c>
      <c r="NQP68" s="561" t="s">
        <v>1505</v>
      </c>
      <c r="NQQ68" s="561" t="s">
        <v>1505</v>
      </c>
      <c r="NQR68" s="561" t="s">
        <v>1505</v>
      </c>
      <c r="NQS68" s="561" t="s">
        <v>1505</v>
      </c>
      <c r="NQT68" s="561" t="s">
        <v>1505</v>
      </c>
      <c r="NQU68" s="561" t="s">
        <v>1505</v>
      </c>
      <c r="NQV68" s="561" t="s">
        <v>1505</v>
      </c>
      <c r="NQW68" s="561" t="s">
        <v>1505</v>
      </c>
      <c r="NQX68" s="561" t="s">
        <v>1505</v>
      </c>
      <c r="NQY68" s="561" t="s">
        <v>1505</v>
      </c>
      <c r="NQZ68" s="561" t="s">
        <v>1505</v>
      </c>
      <c r="NRA68" s="561" t="s">
        <v>1505</v>
      </c>
      <c r="NRB68" s="561" t="s">
        <v>1505</v>
      </c>
      <c r="NRC68" s="561" t="s">
        <v>1505</v>
      </c>
      <c r="NRD68" s="561" t="s">
        <v>1505</v>
      </c>
      <c r="NRE68" s="561" t="s">
        <v>1505</v>
      </c>
      <c r="NRF68" s="561" t="s">
        <v>1505</v>
      </c>
      <c r="NRG68" s="561" t="s">
        <v>1505</v>
      </c>
      <c r="NRH68" s="561" t="s">
        <v>1505</v>
      </c>
      <c r="NRI68" s="561" t="s">
        <v>1505</v>
      </c>
      <c r="NRJ68" s="561" t="s">
        <v>1505</v>
      </c>
      <c r="NRK68" s="561" t="s">
        <v>1505</v>
      </c>
      <c r="NRL68" s="561" t="s">
        <v>1505</v>
      </c>
      <c r="NRM68" s="561" t="s">
        <v>1505</v>
      </c>
      <c r="NRN68" s="561" t="s">
        <v>1505</v>
      </c>
      <c r="NRO68" s="561" t="s">
        <v>1505</v>
      </c>
      <c r="NRP68" s="561" t="s">
        <v>1505</v>
      </c>
      <c r="NRQ68" s="561" t="s">
        <v>1505</v>
      </c>
      <c r="NRR68" s="561" t="s">
        <v>1505</v>
      </c>
      <c r="NRS68" s="561" t="s">
        <v>1505</v>
      </c>
      <c r="NRT68" s="561" t="s">
        <v>1505</v>
      </c>
      <c r="NRU68" s="561" t="s">
        <v>1505</v>
      </c>
      <c r="NRV68" s="561" t="s">
        <v>1505</v>
      </c>
      <c r="NRW68" s="561" t="s">
        <v>1505</v>
      </c>
      <c r="NRX68" s="561" t="s">
        <v>1505</v>
      </c>
      <c r="NRY68" s="561" t="s">
        <v>1505</v>
      </c>
      <c r="NRZ68" s="561" t="s">
        <v>1505</v>
      </c>
      <c r="NSA68" s="561" t="s">
        <v>1505</v>
      </c>
      <c r="NSB68" s="561" t="s">
        <v>1505</v>
      </c>
      <c r="NSC68" s="561" t="s">
        <v>1505</v>
      </c>
      <c r="NSD68" s="561" t="s">
        <v>1505</v>
      </c>
      <c r="NSE68" s="561" t="s">
        <v>1505</v>
      </c>
      <c r="NSF68" s="561" t="s">
        <v>1505</v>
      </c>
      <c r="NSG68" s="561" t="s">
        <v>1505</v>
      </c>
      <c r="NSH68" s="561" t="s">
        <v>1505</v>
      </c>
      <c r="NSI68" s="561" t="s">
        <v>1505</v>
      </c>
      <c r="NSJ68" s="561" t="s">
        <v>1505</v>
      </c>
      <c r="NSK68" s="561" t="s">
        <v>1505</v>
      </c>
      <c r="NSL68" s="561" t="s">
        <v>1505</v>
      </c>
      <c r="NSM68" s="561" t="s">
        <v>1505</v>
      </c>
      <c r="NSN68" s="561" t="s">
        <v>1505</v>
      </c>
      <c r="NSO68" s="561" t="s">
        <v>1505</v>
      </c>
      <c r="NSP68" s="561" t="s">
        <v>1505</v>
      </c>
      <c r="NSQ68" s="561" t="s">
        <v>1505</v>
      </c>
      <c r="NSR68" s="561" t="s">
        <v>1505</v>
      </c>
      <c r="NSS68" s="561" t="s">
        <v>1505</v>
      </c>
      <c r="NST68" s="561" t="s">
        <v>1505</v>
      </c>
      <c r="NSU68" s="561" t="s">
        <v>1505</v>
      </c>
      <c r="NSV68" s="561" t="s">
        <v>1505</v>
      </c>
      <c r="NSW68" s="561" t="s">
        <v>1505</v>
      </c>
      <c r="NSX68" s="561" t="s">
        <v>1505</v>
      </c>
      <c r="NSY68" s="561" t="s">
        <v>1505</v>
      </c>
      <c r="NSZ68" s="561" t="s">
        <v>1505</v>
      </c>
      <c r="NTA68" s="561" t="s">
        <v>1505</v>
      </c>
      <c r="NTB68" s="561" t="s">
        <v>1505</v>
      </c>
      <c r="NTC68" s="561" t="s">
        <v>1505</v>
      </c>
      <c r="NTD68" s="561" t="s">
        <v>1505</v>
      </c>
      <c r="NTE68" s="561" t="s">
        <v>1505</v>
      </c>
      <c r="NTF68" s="561" t="s">
        <v>1505</v>
      </c>
      <c r="NTG68" s="561" t="s">
        <v>1505</v>
      </c>
      <c r="NTH68" s="561" t="s">
        <v>1505</v>
      </c>
      <c r="NTI68" s="561" t="s">
        <v>1505</v>
      </c>
      <c r="NTJ68" s="561" t="s">
        <v>1505</v>
      </c>
      <c r="NTK68" s="561" t="s">
        <v>1505</v>
      </c>
      <c r="NTL68" s="561" t="s">
        <v>1505</v>
      </c>
      <c r="NTM68" s="561" t="s">
        <v>1505</v>
      </c>
      <c r="NTN68" s="561" t="s">
        <v>1505</v>
      </c>
      <c r="NTO68" s="561" t="s">
        <v>1505</v>
      </c>
      <c r="NTP68" s="561" t="s">
        <v>1505</v>
      </c>
      <c r="NTQ68" s="561" t="s">
        <v>1505</v>
      </c>
      <c r="NTR68" s="561" t="s">
        <v>1505</v>
      </c>
      <c r="NTS68" s="561" t="s">
        <v>1505</v>
      </c>
      <c r="NTT68" s="561" t="s">
        <v>1505</v>
      </c>
      <c r="NTU68" s="561" t="s">
        <v>1505</v>
      </c>
      <c r="NTV68" s="561" t="s">
        <v>1505</v>
      </c>
      <c r="NTW68" s="561" t="s">
        <v>1505</v>
      </c>
      <c r="NTX68" s="561" t="s">
        <v>1505</v>
      </c>
      <c r="NTY68" s="561" t="s">
        <v>1505</v>
      </c>
      <c r="NTZ68" s="561" t="s">
        <v>1505</v>
      </c>
      <c r="NUA68" s="561" t="s">
        <v>1505</v>
      </c>
      <c r="NUB68" s="561" t="s">
        <v>1505</v>
      </c>
      <c r="NUC68" s="561" t="s">
        <v>1505</v>
      </c>
      <c r="NUD68" s="561" t="s">
        <v>1505</v>
      </c>
      <c r="NUE68" s="561" t="s">
        <v>1505</v>
      </c>
      <c r="NUF68" s="561" t="s">
        <v>1505</v>
      </c>
      <c r="NUG68" s="561" t="s">
        <v>1505</v>
      </c>
      <c r="NUH68" s="561" t="s">
        <v>1505</v>
      </c>
      <c r="NUI68" s="561" t="s">
        <v>1505</v>
      </c>
      <c r="NUJ68" s="561" t="s">
        <v>1505</v>
      </c>
      <c r="NUK68" s="561" t="s">
        <v>1505</v>
      </c>
      <c r="NUL68" s="561" t="s">
        <v>1505</v>
      </c>
      <c r="NUM68" s="561" t="s">
        <v>1505</v>
      </c>
      <c r="NUN68" s="561" t="s">
        <v>1505</v>
      </c>
      <c r="NUO68" s="561" t="s">
        <v>1505</v>
      </c>
      <c r="NUP68" s="561" t="s">
        <v>1505</v>
      </c>
      <c r="NUQ68" s="561" t="s">
        <v>1505</v>
      </c>
      <c r="NUR68" s="561" t="s">
        <v>1505</v>
      </c>
      <c r="NUS68" s="561" t="s">
        <v>1505</v>
      </c>
      <c r="NUT68" s="561" t="s">
        <v>1505</v>
      </c>
      <c r="NUU68" s="561" t="s">
        <v>1505</v>
      </c>
      <c r="NUV68" s="561" t="s">
        <v>1505</v>
      </c>
      <c r="NUW68" s="561" t="s">
        <v>1505</v>
      </c>
      <c r="NUX68" s="561" t="s">
        <v>1505</v>
      </c>
      <c r="NUY68" s="561" t="s">
        <v>1505</v>
      </c>
      <c r="NUZ68" s="561" t="s">
        <v>1505</v>
      </c>
      <c r="NVA68" s="561" t="s">
        <v>1505</v>
      </c>
      <c r="NVB68" s="561" t="s">
        <v>1505</v>
      </c>
      <c r="NVC68" s="561" t="s">
        <v>1505</v>
      </c>
      <c r="NVD68" s="561" t="s">
        <v>1505</v>
      </c>
      <c r="NVE68" s="561" t="s">
        <v>1505</v>
      </c>
      <c r="NVF68" s="561" t="s">
        <v>1505</v>
      </c>
      <c r="NVG68" s="561" t="s">
        <v>1505</v>
      </c>
      <c r="NVH68" s="561" t="s">
        <v>1505</v>
      </c>
      <c r="NVI68" s="561" t="s">
        <v>1505</v>
      </c>
      <c r="NVJ68" s="561" t="s">
        <v>1505</v>
      </c>
      <c r="NVK68" s="561" t="s">
        <v>1505</v>
      </c>
      <c r="NVL68" s="561" t="s">
        <v>1505</v>
      </c>
      <c r="NVM68" s="561" t="s">
        <v>1505</v>
      </c>
      <c r="NVN68" s="561" t="s">
        <v>1505</v>
      </c>
      <c r="NVO68" s="561" t="s">
        <v>1505</v>
      </c>
      <c r="NVP68" s="561" t="s">
        <v>1505</v>
      </c>
      <c r="NVQ68" s="561" t="s">
        <v>1505</v>
      </c>
      <c r="NVR68" s="561" t="s">
        <v>1505</v>
      </c>
      <c r="NVS68" s="561" t="s">
        <v>1505</v>
      </c>
      <c r="NVT68" s="561" t="s">
        <v>1505</v>
      </c>
      <c r="NVU68" s="561" t="s">
        <v>1505</v>
      </c>
      <c r="NVV68" s="561" t="s">
        <v>1505</v>
      </c>
      <c r="NVW68" s="561" t="s">
        <v>1505</v>
      </c>
      <c r="NVX68" s="561" t="s">
        <v>1505</v>
      </c>
      <c r="NVY68" s="561" t="s">
        <v>1505</v>
      </c>
      <c r="NVZ68" s="561" t="s">
        <v>1505</v>
      </c>
      <c r="NWA68" s="561" t="s">
        <v>1505</v>
      </c>
      <c r="NWB68" s="561" t="s">
        <v>1505</v>
      </c>
      <c r="NWC68" s="561" t="s">
        <v>1505</v>
      </c>
      <c r="NWD68" s="561" t="s">
        <v>1505</v>
      </c>
      <c r="NWE68" s="561" t="s">
        <v>1505</v>
      </c>
      <c r="NWF68" s="561" t="s">
        <v>1505</v>
      </c>
      <c r="NWG68" s="561" t="s">
        <v>1505</v>
      </c>
      <c r="NWH68" s="561" t="s">
        <v>1505</v>
      </c>
      <c r="NWI68" s="561" t="s">
        <v>1505</v>
      </c>
      <c r="NWJ68" s="561" t="s">
        <v>1505</v>
      </c>
      <c r="NWK68" s="561" t="s">
        <v>1505</v>
      </c>
      <c r="NWL68" s="561" t="s">
        <v>1505</v>
      </c>
      <c r="NWM68" s="561" t="s">
        <v>1505</v>
      </c>
      <c r="NWN68" s="561" t="s">
        <v>1505</v>
      </c>
      <c r="NWO68" s="561" t="s">
        <v>1505</v>
      </c>
      <c r="NWP68" s="561" t="s">
        <v>1505</v>
      </c>
      <c r="NWQ68" s="561" t="s">
        <v>1505</v>
      </c>
      <c r="NWR68" s="561" t="s">
        <v>1505</v>
      </c>
      <c r="NWS68" s="561" t="s">
        <v>1505</v>
      </c>
      <c r="NWT68" s="561" t="s">
        <v>1505</v>
      </c>
      <c r="NWU68" s="561" t="s">
        <v>1505</v>
      </c>
      <c r="NWV68" s="561" t="s">
        <v>1505</v>
      </c>
      <c r="NWW68" s="561" t="s">
        <v>1505</v>
      </c>
      <c r="NWX68" s="561" t="s">
        <v>1505</v>
      </c>
      <c r="NWY68" s="561" t="s">
        <v>1505</v>
      </c>
      <c r="NWZ68" s="561" t="s">
        <v>1505</v>
      </c>
      <c r="NXA68" s="561" t="s">
        <v>1505</v>
      </c>
      <c r="NXB68" s="561" t="s">
        <v>1505</v>
      </c>
      <c r="NXC68" s="561" t="s">
        <v>1505</v>
      </c>
      <c r="NXD68" s="561" t="s">
        <v>1505</v>
      </c>
      <c r="NXE68" s="561" t="s">
        <v>1505</v>
      </c>
      <c r="NXF68" s="561" t="s">
        <v>1505</v>
      </c>
      <c r="NXG68" s="561" t="s">
        <v>1505</v>
      </c>
      <c r="NXH68" s="561" t="s">
        <v>1505</v>
      </c>
      <c r="NXI68" s="561" t="s">
        <v>1505</v>
      </c>
      <c r="NXJ68" s="561" t="s">
        <v>1505</v>
      </c>
      <c r="NXK68" s="561" t="s">
        <v>1505</v>
      </c>
      <c r="NXL68" s="561" t="s">
        <v>1505</v>
      </c>
      <c r="NXM68" s="561" t="s">
        <v>1505</v>
      </c>
      <c r="NXN68" s="561" t="s">
        <v>1505</v>
      </c>
      <c r="NXO68" s="561" t="s">
        <v>1505</v>
      </c>
      <c r="NXP68" s="561" t="s">
        <v>1505</v>
      </c>
      <c r="NXQ68" s="561" t="s">
        <v>1505</v>
      </c>
      <c r="NXR68" s="561" t="s">
        <v>1505</v>
      </c>
      <c r="NXS68" s="561" t="s">
        <v>1505</v>
      </c>
      <c r="NXT68" s="561" t="s">
        <v>1505</v>
      </c>
      <c r="NXU68" s="561" t="s">
        <v>1505</v>
      </c>
      <c r="NXV68" s="561" t="s">
        <v>1505</v>
      </c>
      <c r="NXW68" s="561" t="s">
        <v>1505</v>
      </c>
      <c r="NXX68" s="561" t="s">
        <v>1505</v>
      </c>
      <c r="NXY68" s="561" t="s">
        <v>1505</v>
      </c>
      <c r="NXZ68" s="561" t="s">
        <v>1505</v>
      </c>
      <c r="NYA68" s="561" t="s">
        <v>1505</v>
      </c>
      <c r="NYB68" s="561" t="s">
        <v>1505</v>
      </c>
      <c r="NYC68" s="561" t="s">
        <v>1505</v>
      </c>
      <c r="NYD68" s="561" t="s">
        <v>1505</v>
      </c>
      <c r="NYE68" s="561" t="s">
        <v>1505</v>
      </c>
      <c r="NYF68" s="561" t="s">
        <v>1505</v>
      </c>
      <c r="NYG68" s="561" t="s">
        <v>1505</v>
      </c>
      <c r="NYH68" s="561" t="s">
        <v>1505</v>
      </c>
      <c r="NYI68" s="561" t="s">
        <v>1505</v>
      </c>
      <c r="NYJ68" s="561" t="s">
        <v>1505</v>
      </c>
      <c r="NYK68" s="561" t="s">
        <v>1505</v>
      </c>
      <c r="NYL68" s="561" t="s">
        <v>1505</v>
      </c>
      <c r="NYM68" s="561" t="s">
        <v>1505</v>
      </c>
      <c r="NYN68" s="561" t="s">
        <v>1505</v>
      </c>
      <c r="NYO68" s="561" t="s">
        <v>1505</v>
      </c>
      <c r="NYP68" s="561" t="s">
        <v>1505</v>
      </c>
      <c r="NYQ68" s="561" t="s">
        <v>1505</v>
      </c>
      <c r="NYR68" s="561" t="s">
        <v>1505</v>
      </c>
      <c r="NYS68" s="561" t="s">
        <v>1505</v>
      </c>
      <c r="NYT68" s="561" t="s">
        <v>1505</v>
      </c>
      <c r="NYU68" s="561" t="s">
        <v>1505</v>
      </c>
      <c r="NYV68" s="561" t="s">
        <v>1505</v>
      </c>
      <c r="NYW68" s="561" t="s">
        <v>1505</v>
      </c>
      <c r="NYX68" s="561" t="s">
        <v>1505</v>
      </c>
      <c r="NYY68" s="561" t="s">
        <v>1505</v>
      </c>
      <c r="NYZ68" s="561" t="s">
        <v>1505</v>
      </c>
      <c r="NZA68" s="561" t="s">
        <v>1505</v>
      </c>
      <c r="NZB68" s="561" t="s">
        <v>1505</v>
      </c>
      <c r="NZC68" s="561" t="s">
        <v>1505</v>
      </c>
      <c r="NZD68" s="561" t="s">
        <v>1505</v>
      </c>
      <c r="NZE68" s="561" t="s">
        <v>1505</v>
      </c>
      <c r="NZF68" s="561" t="s">
        <v>1505</v>
      </c>
      <c r="NZG68" s="561" t="s">
        <v>1505</v>
      </c>
      <c r="NZH68" s="561" t="s">
        <v>1505</v>
      </c>
      <c r="NZI68" s="561" t="s">
        <v>1505</v>
      </c>
      <c r="NZJ68" s="561" t="s">
        <v>1505</v>
      </c>
      <c r="NZK68" s="561" t="s">
        <v>1505</v>
      </c>
      <c r="NZL68" s="561" t="s">
        <v>1505</v>
      </c>
      <c r="NZM68" s="561" t="s">
        <v>1505</v>
      </c>
      <c r="NZN68" s="561" t="s">
        <v>1505</v>
      </c>
      <c r="NZO68" s="561" t="s">
        <v>1505</v>
      </c>
      <c r="NZP68" s="561" t="s">
        <v>1505</v>
      </c>
      <c r="NZQ68" s="561" t="s">
        <v>1505</v>
      </c>
      <c r="NZR68" s="561" t="s">
        <v>1505</v>
      </c>
      <c r="NZS68" s="561" t="s">
        <v>1505</v>
      </c>
      <c r="NZT68" s="561" t="s">
        <v>1505</v>
      </c>
      <c r="NZU68" s="561" t="s">
        <v>1505</v>
      </c>
      <c r="NZV68" s="561" t="s">
        <v>1505</v>
      </c>
      <c r="NZW68" s="561" t="s">
        <v>1505</v>
      </c>
      <c r="NZX68" s="561" t="s">
        <v>1505</v>
      </c>
      <c r="NZY68" s="561" t="s">
        <v>1505</v>
      </c>
      <c r="NZZ68" s="561" t="s">
        <v>1505</v>
      </c>
      <c r="OAA68" s="561" t="s">
        <v>1505</v>
      </c>
      <c r="OAB68" s="561" t="s">
        <v>1505</v>
      </c>
      <c r="OAC68" s="561" t="s">
        <v>1505</v>
      </c>
      <c r="OAD68" s="561" t="s">
        <v>1505</v>
      </c>
      <c r="OAE68" s="561" t="s">
        <v>1505</v>
      </c>
      <c r="OAF68" s="561" t="s">
        <v>1505</v>
      </c>
      <c r="OAG68" s="561" t="s">
        <v>1505</v>
      </c>
      <c r="OAH68" s="561" t="s">
        <v>1505</v>
      </c>
      <c r="OAI68" s="561" t="s">
        <v>1505</v>
      </c>
      <c r="OAJ68" s="561" t="s">
        <v>1505</v>
      </c>
      <c r="OAK68" s="561" t="s">
        <v>1505</v>
      </c>
      <c r="OAL68" s="561" t="s">
        <v>1505</v>
      </c>
      <c r="OAM68" s="561" t="s">
        <v>1505</v>
      </c>
      <c r="OAN68" s="561" t="s">
        <v>1505</v>
      </c>
      <c r="OAO68" s="561" t="s">
        <v>1505</v>
      </c>
      <c r="OAP68" s="561" t="s">
        <v>1505</v>
      </c>
      <c r="OAQ68" s="561" t="s">
        <v>1505</v>
      </c>
      <c r="OAR68" s="561" t="s">
        <v>1505</v>
      </c>
      <c r="OAS68" s="561" t="s">
        <v>1505</v>
      </c>
      <c r="OAT68" s="561" t="s">
        <v>1505</v>
      </c>
      <c r="OAU68" s="561" t="s">
        <v>1505</v>
      </c>
      <c r="OAV68" s="561" t="s">
        <v>1505</v>
      </c>
      <c r="OAW68" s="561" t="s">
        <v>1505</v>
      </c>
      <c r="OAX68" s="561" t="s">
        <v>1505</v>
      </c>
      <c r="OAY68" s="561" t="s">
        <v>1505</v>
      </c>
      <c r="OAZ68" s="561" t="s">
        <v>1505</v>
      </c>
      <c r="OBA68" s="561" t="s">
        <v>1505</v>
      </c>
      <c r="OBB68" s="561" t="s">
        <v>1505</v>
      </c>
      <c r="OBC68" s="561" t="s">
        <v>1505</v>
      </c>
      <c r="OBD68" s="561" t="s">
        <v>1505</v>
      </c>
      <c r="OBE68" s="561" t="s">
        <v>1505</v>
      </c>
      <c r="OBF68" s="561" t="s">
        <v>1505</v>
      </c>
      <c r="OBG68" s="561" t="s">
        <v>1505</v>
      </c>
      <c r="OBH68" s="561" t="s">
        <v>1505</v>
      </c>
      <c r="OBI68" s="561" t="s">
        <v>1505</v>
      </c>
      <c r="OBJ68" s="561" t="s">
        <v>1505</v>
      </c>
      <c r="OBK68" s="561" t="s">
        <v>1505</v>
      </c>
      <c r="OBL68" s="561" t="s">
        <v>1505</v>
      </c>
      <c r="OBM68" s="561" t="s">
        <v>1505</v>
      </c>
      <c r="OBN68" s="561" t="s">
        <v>1505</v>
      </c>
      <c r="OBO68" s="561" t="s">
        <v>1505</v>
      </c>
      <c r="OBP68" s="561" t="s">
        <v>1505</v>
      </c>
      <c r="OBQ68" s="561" t="s">
        <v>1505</v>
      </c>
      <c r="OBR68" s="561" t="s">
        <v>1505</v>
      </c>
      <c r="OBS68" s="561" t="s">
        <v>1505</v>
      </c>
      <c r="OBT68" s="561" t="s">
        <v>1505</v>
      </c>
      <c r="OBU68" s="561" t="s">
        <v>1505</v>
      </c>
      <c r="OBV68" s="561" t="s">
        <v>1505</v>
      </c>
      <c r="OBW68" s="561" t="s">
        <v>1505</v>
      </c>
      <c r="OBX68" s="561" t="s">
        <v>1505</v>
      </c>
      <c r="OBY68" s="561" t="s">
        <v>1505</v>
      </c>
      <c r="OBZ68" s="561" t="s">
        <v>1505</v>
      </c>
      <c r="OCA68" s="561" t="s">
        <v>1505</v>
      </c>
      <c r="OCB68" s="561" t="s">
        <v>1505</v>
      </c>
      <c r="OCC68" s="561" t="s">
        <v>1505</v>
      </c>
      <c r="OCD68" s="561" t="s">
        <v>1505</v>
      </c>
      <c r="OCE68" s="561" t="s">
        <v>1505</v>
      </c>
      <c r="OCF68" s="561" t="s">
        <v>1505</v>
      </c>
      <c r="OCG68" s="561" t="s">
        <v>1505</v>
      </c>
      <c r="OCH68" s="561" t="s">
        <v>1505</v>
      </c>
      <c r="OCI68" s="561" t="s">
        <v>1505</v>
      </c>
      <c r="OCJ68" s="561" t="s">
        <v>1505</v>
      </c>
      <c r="OCK68" s="561" t="s">
        <v>1505</v>
      </c>
      <c r="OCL68" s="561" t="s">
        <v>1505</v>
      </c>
      <c r="OCM68" s="561" t="s">
        <v>1505</v>
      </c>
      <c r="OCN68" s="561" t="s">
        <v>1505</v>
      </c>
      <c r="OCO68" s="561" t="s">
        <v>1505</v>
      </c>
      <c r="OCP68" s="561" t="s">
        <v>1505</v>
      </c>
      <c r="OCQ68" s="561" t="s">
        <v>1505</v>
      </c>
      <c r="OCR68" s="561" t="s">
        <v>1505</v>
      </c>
      <c r="OCS68" s="561" t="s">
        <v>1505</v>
      </c>
      <c r="OCT68" s="561" t="s">
        <v>1505</v>
      </c>
      <c r="OCU68" s="561" t="s">
        <v>1505</v>
      </c>
      <c r="OCV68" s="561" t="s">
        <v>1505</v>
      </c>
      <c r="OCW68" s="561" t="s">
        <v>1505</v>
      </c>
      <c r="OCX68" s="561" t="s">
        <v>1505</v>
      </c>
      <c r="OCY68" s="561" t="s">
        <v>1505</v>
      </c>
      <c r="OCZ68" s="561" t="s">
        <v>1505</v>
      </c>
      <c r="ODA68" s="561" t="s">
        <v>1505</v>
      </c>
      <c r="ODB68" s="561" t="s">
        <v>1505</v>
      </c>
      <c r="ODC68" s="561" t="s">
        <v>1505</v>
      </c>
      <c r="ODD68" s="561" t="s">
        <v>1505</v>
      </c>
      <c r="ODE68" s="561" t="s">
        <v>1505</v>
      </c>
      <c r="ODF68" s="561" t="s">
        <v>1505</v>
      </c>
      <c r="ODG68" s="561" t="s">
        <v>1505</v>
      </c>
      <c r="ODH68" s="561" t="s">
        <v>1505</v>
      </c>
      <c r="ODI68" s="561" t="s">
        <v>1505</v>
      </c>
      <c r="ODJ68" s="561" t="s">
        <v>1505</v>
      </c>
      <c r="ODK68" s="561" t="s">
        <v>1505</v>
      </c>
      <c r="ODL68" s="561" t="s">
        <v>1505</v>
      </c>
      <c r="ODM68" s="561" t="s">
        <v>1505</v>
      </c>
      <c r="ODN68" s="561" t="s">
        <v>1505</v>
      </c>
      <c r="ODO68" s="561" t="s">
        <v>1505</v>
      </c>
      <c r="ODP68" s="561" t="s">
        <v>1505</v>
      </c>
      <c r="ODQ68" s="561" t="s">
        <v>1505</v>
      </c>
      <c r="ODR68" s="561" t="s">
        <v>1505</v>
      </c>
      <c r="ODS68" s="561" t="s">
        <v>1505</v>
      </c>
      <c r="ODT68" s="561" t="s">
        <v>1505</v>
      </c>
      <c r="ODU68" s="561" t="s">
        <v>1505</v>
      </c>
      <c r="ODV68" s="561" t="s">
        <v>1505</v>
      </c>
      <c r="ODW68" s="561" t="s">
        <v>1505</v>
      </c>
      <c r="ODX68" s="561" t="s">
        <v>1505</v>
      </c>
      <c r="ODY68" s="561" t="s">
        <v>1505</v>
      </c>
      <c r="ODZ68" s="561" t="s">
        <v>1505</v>
      </c>
      <c r="OEA68" s="561" t="s">
        <v>1505</v>
      </c>
      <c r="OEB68" s="561" t="s">
        <v>1505</v>
      </c>
      <c r="OEC68" s="561" t="s">
        <v>1505</v>
      </c>
      <c r="OED68" s="561" t="s">
        <v>1505</v>
      </c>
      <c r="OEE68" s="561" t="s">
        <v>1505</v>
      </c>
      <c r="OEF68" s="561" t="s">
        <v>1505</v>
      </c>
      <c r="OEG68" s="561" t="s">
        <v>1505</v>
      </c>
      <c r="OEH68" s="561" t="s">
        <v>1505</v>
      </c>
      <c r="OEI68" s="561" t="s">
        <v>1505</v>
      </c>
      <c r="OEJ68" s="561" t="s">
        <v>1505</v>
      </c>
      <c r="OEK68" s="561" t="s">
        <v>1505</v>
      </c>
      <c r="OEL68" s="561" t="s">
        <v>1505</v>
      </c>
      <c r="OEM68" s="561" t="s">
        <v>1505</v>
      </c>
      <c r="OEN68" s="561" t="s">
        <v>1505</v>
      </c>
      <c r="OEO68" s="561" t="s">
        <v>1505</v>
      </c>
      <c r="OEP68" s="561" t="s">
        <v>1505</v>
      </c>
      <c r="OEQ68" s="561" t="s">
        <v>1505</v>
      </c>
      <c r="OER68" s="561" t="s">
        <v>1505</v>
      </c>
      <c r="OES68" s="561" t="s">
        <v>1505</v>
      </c>
      <c r="OET68" s="561" t="s">
        <v>1505</v>
      </c>
      <c r="OEU68" s="561" t="s">
        <v>1505</v>
      </c>
      <c r="OEV68" s="561" t="s">
        <v>1505</v>
      </c>
      <c r="OEW68" s="561" t="s">
        <v>1505</v>
      </c>
      <c r="OEX68" s="561" t="s">
        <v>1505</v>
      </c>
      <c r="OEY68" s="561" t="s">
        <v>1505</v>
      </c>
      <c r="OEZ68" s="561" t="s">
        <v>1505</v>
      </c>
      <c r="OFA68" s="561" t="s">
        <v>1505</v>
      </c>
      <c r="OFB68" s="561" t="s">
        <v>1505</v>
      </c>
      <c r="OFC68" s="561" t="s">
        <v>1505</v>
      </c>
      <c r="OFD68" s="561" t="s">
        <v>1505</v>
      </c>
      <c r="OFE68" s="561" t="s">
        <v>1505</v>
      </c>
      <c r="OFF68" s="561" t="s">
        <v>1505</v>
      </c>
      <c r="OFG68" s="561" t="s">
        <v>1505</v>
      </c>
      <c r="OFH68" s="561" t="s">
        <v>1505</v>
      </c>
      <c r="OFI68" s="561" t="s">
        <v>1505</v>
      </c>
      <c r="OFJ68" s="561" t="s">
        <v>1505</v>
      </c>
      <c r="OFK68" s="561" t="s">
        <v>1505</v>
      </c>
      <c r="OFL68" s="561" t="s">
        <v>1505</v>
      </c>
      <c r="OFM68" s="561" t="s">
        <v>1505</v>
      </c>
      <c r="OFN68" s="561" t="s">
        <v>1505</v>
      </c>
      <c r="OFO68" s="561" t="s">
        <v>1505</v>
      </c>
      <c r="OFP68" s="561" t="s">
        <v>1505</v>
      </c>
      <c r="OFQ68" s="561" t="s">
        <v>1505</v>
      </c>
      <c r="OFR68" s="561" t="s">
        <v>1505</v>
      </c>
      <c r="OFS68" s="561" t="s">
        <v>1505</v>
      </c>
      <c r="OFT68" s="561" t="s">
        <v>1505</v>
      </c>
      <c r="OFU68" s="561" t="s">
        <v>1505</v>
      </c>
      <c r="OFV68" s="561" t="s">
        <v>1505</v>
      </c>
      <c r="OFW68" s="561" t="s">
        <v>1505</v>
      </c>
      <c r="OFX68" s="561" t="s">
        <v>1505</v>
      </c>
      <c r="OFY68" s="561" t="s">
        <v>1505</v>
      </c>
      <c r="OFZ68" s="561" t="s">
        <v>1505</v>
      </c>
      <c r="OGA68" s="561" t="s">
        <v>1505</v>
      </c>
      <c r="OGB68" s="561" t="s">
        <v>1505</v>
      </c>
      <c r="OGC68" s="561" t="s">
        <v>1505</v>
      </c>
      <c r="OGD68" s="561" t="s">
        <v>1505</v>
      </c>
      <c r="OGE68" s="561" t="s">
        <v>1505</v>
      </c>
      <c r="OGF68" s="561" t="s">
        <v>1505</v>
      </c>
      <c r="OGG68" s="561" t="s">
        <v>1505</v>
      </c>
      <c r="OGH68" s="561" t="s">
        <v>1505</v>
      </c>
      <c r="OGI68" s="561" t="s">
        <v>1505</v>
      </c>
      <c r="OGJ68" s="561" t="s">
        <v>1505</v>
      </c>
      <c r="OGK68" s="561" t="s">
        <v>1505</v>
      </c>
      <c r="OGL68" s="561" t="s">
        <v>1505</v>
      </c>
      <c r="OGM68" s="561" t="s">
        <v>1505</v>
      </c>
      <c r="OGN68" s="561" t="s">
        <v>1505</v>
      </c>
      <c r="OGO68" s="561" t="s">
        <v>1505</v>
      </c>
      <c r="OGP68" s="561" t="s">
        <v>1505</v>
      </c>
      <c r="OGQ68" s="561" t="s">
        <v>1505</v>
      </c>
      <c r="OGR68" s="561" t="s">
        <v>1505</v>
      </c>
      <c r="OGS68" s="561" t="s">
        <v>1505</v>
      </c>
      <c r="OGT68" s="561" t="s">
        <v>1505</v>
      </c>
      <c r="OGU68" s="561" t="s">
        <v>1505</v>
      </c>
      <c r="OGV68" s="561" t="s">
        <v>1505</v>
      </c>
      <c r="OGW68" s="561" t="s">
        <v>1505</v>
      </c>
      <c r="OGX68" s="561" t="s">
        <v>1505</v>
      </c>
      <c r="OGY68" s="561" t="s">
        <v>1505</v>
      </c>
      <c r="OGZ68" s="561" t="s">
        <v>1505</v>
      </c>
      <c r="OHA68" s="561" t="s">
        <v>1505</v>
      </c>
      <c r="OHB68" s="561" t="s">
        <v>1505</v>
      </c>
      <c r="OHC68" s="561" t="s">
        <v>1505</v>
      </c>
      <c r="OHD68" s="561" t="s">
        <v>1505</v>
      </c>
      <c r="OHE68" s="561" t="s">
        <v>1505</v>
      </c>
      <c r="OHF68" s="561" t="s">
        <v>1505</v>
      </c>
      <c r="OHG68" s="561" t="s">
        <v>1505</v>
      </c>
      <c r="OHH68" s="561" t="s">
        <v>1505</v>
      </c>
      <c r="OHI68" s="561" t="s">
        <v>1505</v>
      </c>
      <c r="OHJ68" s="561" t="s">
        <v>1505</v>
      </c>
      <c r="OHK68" s="561" t="s">
        <v>1505</v>
      </c>
      <c r="OHL68" s="561" t="s">
        <v>1505</v>
      </c>
      <c r="OHM68" s="561" t="s">
        <v>1505</v>
      </c>
      <c r="OHN68" s="561" t="s">
        <v>1505</v>
      </c>
      <c r="OHO68" s="561" t="s">
        <v>1505</v>
      </c>
      <c r="OHP68" s="561" t="s">
        <v>1505</v>
      </c>
      <c r="OHQ68" s="561" t="s">
        <v>1505</v>
      </c>
      <c r="OHR68" s="561" t="s">
        <v>1505</v>
      </c>
      <c r="OHS68" s="561" t="s">
        <v>1505</v>
      </c>
      <c r="OHT68" s="561" t="s">
        <v>1505</v>
      </c>
      <c r="OHU68" s="561" t="s">
        <v>1505</v>
      </c>
      <c r="OHV68" s="561" t="s">
        <v>1505</v>
      </c>
      <c r="OHW68" s="561" t="s">
        <v>1505</v>
      </c>
      <c r="OHX68" s="561" t="s">
        <v>1505</v>
      </c>
      <c r="OHY68" s="561" t="s">
        <v>1505</v>
      </c>
      <c r="OHZ68" s="561" t="s">
        <v>1505</v>
      </c>
      <c r="OIA68" s="561" t="s">
        <v>1505</v>
      </c>
      <c r="OIB68" s="561" t="s">
        <v>1505</v>
      </c>
      <c r="OIC68" s="561" t="s">
        <v>1505</v>
      </c>
      <c r="OID68" s="561" t="s">
        <v>1505</v>
      </c>
      <c r="OIE68" s="561" t="s">
        <v>1505</v>
      </c>
      <c r="OIF68" s="561" t="s">
        <v>1505</v>
      </c>
      <c r="OIG68" s="561" t="s">
        <v>1505</v>
      </c>
      <c r="OIH68" s="561" t="s">
        <v>1505</v>
      </c>
      <c r="OII68" s="561" t="s">
        <v>1505</v>
      </c>
      <c r="OIJ68" s="561" t="s">
        <v>1505</v>
      </c>
      <c r="OIK68" s="561" t="s">
        <v>1505</v>
      </c>
      <c r="OIL68" s="561" t="s">
        <v>1505</v>
      </c>
      <c r="OIM68" s="561" t="s">
        <v>1505</v>
      </c>
      <c r="OIN68" s="561" t="s">
        <v>1505</v>
      </c>
      <c r="OIO68" s="561" t="s">
        <v>1505</v>
      </c>
      <c r="OIP68" s="561" t="s">
        <v>1505</v>
      </c>
      <c r="OIQ68" s="561" t="s">
        <v>1505</v>
      </c>
      <c r="OIR68" s="561" t="s">
        <v>1505</v>
      </c>
      <c r="OIS68" s="561" t="s">
        <v>1505</v>
      </c>
      <c r="OIT68" s="561" t="s">
        <v>1505</v>
      </c>
      <c r="OIU68" s="561" t="s">
        <v>1505</v>
      </c>
      <c r="OIV68" s="561" t="s">
        <v>1505</v>
      </c>
      <c r="OIW68" s="561" t="s">
        <v>1505</v>
      </c>
      <c r="OIX68" s="561" t="s">
        <v>1505</v>
      </c>
      <c r="OIY68" s="561" t="s">
        <v>1505</v>
      </c>
      <c r="OIZ68" s="561" t="s">
        <v>1505</v>
      </c>
      <c r="OJA68" s="561" t="s">
        <v>1505</v>
      </c>
      <c r="OJB68" s="561" t="s">
        <v>1505</v>
      </c>
      <c r="OJC68" s="561" t="s">
        <v>1505</v>
      </c>
      <c r="OJD68" s="561" t="s">
        <v>1505</v>
      </c>
      <c r="OJE68" s="561" t="s">
        <v>1505</v>
      </c>
      <c r="OJF68" s="561" t="s">
        <v>1505</v>
      </c>
      <c r="OJG68" s="561" t="s">
        <v>1505</v>
      </c>
      <c r="OJH68" s="561" t="s">
        <v>1505</v>
      </c>
      <c r="OJI68" s="561" t="s">
        <v>1505</v>
      </c>
      <c r="OJJ68" s="561" t="s">
        <v>1505</v>
      </c>
      <c r="OJK68" s="561" t="s">
        <v>1505</v>
      </c>
      <c r="OJL68" s="561" t="s">
        <v>1505</v>
      </c>
      <c r="OJM68" s="561" t="s">
        <v>1505</v>
      </c>
      <c r="OJN68" s="561" t="s">
        <v>1505</v>
      </c>
      <c r="OJO68" s="561" t="s">
        <v>1505</v>
      </c>
      <c r="OJP68" s="561" t="s">
        <v>1505</v>
      </c>
      <c r="OJQ68" s="561" t="s">
        <v>1505</v>
      </c>
      <c r="OJR68" s="561" t="s">
        <v>1505</v>
      </c>
      <c r="OJS68" s="561" t="s">
        <v>1505</v>
      </c>
      <c r="OJT68" s="561" t="s">
        <v>1505</v>
      </c>
      <c r="OJU68" s="561" t="s">
        <v>1505</v>
      </c>
      <c r="OJV68" s="561" t="s">
        <v>1505</v>
      </c>
      <c r="OJW68" s="561" t="s">
        <v>1505</v>
      </c>
      <c r="OJX68" s="561" t="s">
        <v>1505</v>
      </c>
      <c r="OJY68" s="561" t="s">
        <v>1505</v>
      </c>
      <c r="OJZ68" s="561" t="s">
        <v>1505</v>
      </c>
      <c r="OKA68" s="561" t="s">
        <v>1505</v>
      </c>
      <c r="OKB68" s="561" t="s">
        <v>1505</v>
      </c>
      <c r="OKC68" s="561" t="s">
        <v>1505</v>
      </c>
      <c r="OKD68" s="561" t="s">
        <v>1505</v>
      </c>
      <c r="OKE68" s="561" t="s">
        <v>1505</v>
      </c>
      <c r="OKF68" s="561" t="s">
        <v>1505</v>
      </c>
      <c r="OKG68" s="561" t="s">
        <v>1505</v>
      </c>
      <c r="OKH68" s="561" t="s">
        <v>1505</v>
      </c>
      <c r="OKI68" s="561" t="s">
        <v>1505</v>
      </c>
      <c r="OKJ68" s="561" t="s">
        <v>1505</v>
      </c>
      <c r="OKK68" s="561" t="s">
        <v>1505</v>
      </c>
      <c r="OKL68" s="561" t="s">
        <v>1505</v>
      </c>
      <c r="OKM68" s="561" t="s">
        <v>1505</v>
      </c>
      <c r="OKN68" s="561" t="s">
        <v>1505</v>
      </c>
      <c r="OKO68" s="561" t="s">
        <v>1505</v>
      </c>
      <c r="OKP68" s="561" t="s">
        <v>1505</v>
      </c>
      <c r="OKQ68" s="561" t="s">
        <v>1505</v>
      </c>
      <c r="OKR68" s="561" t="s">
        <v>1505</v>
      </c>
      <c r="OKS68" s="561" t="s">
        <v>1505</v>
      </c>
      <c r="OKT68" s="561" t="s">
        <v>1505</v>
      </c>
      <c r="OKU68" s="561" t="s">
        <v>1505</v>
      </c>
      <c r="OKV68" s="561" t="s">
        <v>1505</v>
      </c>
      <c r="OKW68" s="561" t="s">
        <v>1505</v>
      </c>
      <c r="OKX68" s="561" t="s">
        <v>1505</v>
      </c>
      <c r="OKY68" s="561" t="s">
        <v>1505</v>
      </c>
      <c r="OKZ68" s="561" t="s">
        <v>1505</v>
      </c>
      <c r="OLA68" s="561" t="s">
        <v>1505</v>
      </c>
      <c r="OLB68" s="561" t="s">
        <v>1505</v>
      </c>
      <c r="OLC68" s="561" t="s">
        <v>1505</v>
      </c>
      <c r="OLD68" s="561" t="s">
        <v>1505</v>
      </c>
      <c r="OLE68" s="561" t="s">
        <v>1505</v>
      </c>
      <c r="OLF68" s="561" t="s">
        <v>1505</v>
      </c>
      <c r="OLG68" s="561" t="s">
        <v>1505</v>
      </c>
      <c r="OLH68" s="561" t="s">
        <v>1505</v>
      </c>
      <c r="OLI68" s="561" t="s">
        <v>1505</v>
      </c>
      <c r="OLJ68" s="561" t="s">
        <v>1505</v>
      </c>
      <c r="OLK68" s="561" t="s">
        <v>1505</v>
      </c>
      <c r="OLL68" s="561" t="s">
        <v>1505</v>
      </c>
      <c r="OLM68" s="561" t="s">
        <v>1505</v>
      </c>
      <c r="OLN68" s="561" t="s">
        <v>1505</v>
      </c>
      <c r="OLO68" s="561" t="s">
        <v>1505</v>
      </c>
      <c r="OLP68" s="561" t="s">
        <v>1505</v>
      </c>
      <c r="OLQ68" s="561" t="s">
        <v>1505</v>
      </c>
      <c r="OLR68" s="561" t="s">
        <v>1505</v>
      </c>
      <c r="OLS68" s="561" t="s">
        <v>1505</v>
      </c>
      <c r="OLT68" s="561" t="s">
        <v>1505</v>
      </c>
      <c r="OLU68" s="561" t="s">
        <v>1505</v>
      </c>
      <c r="OLV68" s="561" t="s">
        <v>1505</v>
      </c>
      <c r="OLW68" s="561" t="s">
        <v>1505</v>
      </c>
      <c r="OLX68" s="561" t="s">
        <v>1505</v>
      </c>
      <c r="OLY68" s="561" t="s">
        <v>1505</v>
      </c>
      <c r="OLZ68" s="561" t="s">
        <v>1505</v>
      </c>
      <c r="OMA68" s="561" t="s">
        <v>1505</v>
      </c>
      <c r="OMB68" s="561" t="s">
        <v>1505</v>
      </c>
      <c r="OMC68" s="561" t="s">
        <v>1505</v>
      </c>
      <c r="OMD68" s="561" t="s">
        <v>1505</v>
      </c>
      <c r="OME68" s="561" t="s">
        <v>1505</v>
      </c>
      <c r="OMF68" s="561" t="s">
        <v>1505</v>
      </c>
      <c r="OMG68" s="561" t="s">
        <v>1505</v>
      </c>
      <c r="OMH68" s="561" t="s">
        <v>1505</v>
      </c>
      <c r="OMI68" s="561" t="s">
        <v>1505</v>
      </c>
      <c r="OMJ68" s="561" t="s">
        <v>1505</v>
      </c>
      <c r="OMK68" s="561" t="s">
        <v>1505</v>
      </c>
      <c r="OML68" s="561" t="s">
        <v>1505</v>
      </c>
      <c r="OMM68" s="561" t="s">
        <v>1505</v>
      </c>
      <c r="OMN68" s="561" t="s">
        <v>1505</v>
      </c>
      <c r="OMO68" s="561" t="s">
        <v>1505</v>
      </c>
      <c r="OMP68" s="561" t="s">
        <v>1505</v>
      </c>
      <c r="OMQ68" s="561" t="s">
        <v>1505</v>
      </c>
      <c r="OMR68" s="561" t="s">
        <v>1505</v>
      </c>
      <c r="OMS68" s="561" t="s">
        <v>1505</v>
      </c>
      <c r="OMT68" s="561" t="s">
        <v>1505</v>
      </c>
      <c r="OMU68" s="561" t="s">
        <v>1505</v>
      </c>
      <c r="OMV68" s="561" t="s">
        <v>1505</v>
      </c>
      <c r="OMW68" s="561" t="s">
        <v>1505</v>
      </c>
      <c r="OMX68" s="561" t="s">
        <v>1505</v>
      </c>
      <c r="OMY68" s="561" t="s">
        <v>1505</v>
      </c>
      <c r="OMZ68" s="561" t="s">
        <v>1505</v>
      </c>
      <c r="ONA68" s="561" t="s">
        <v>1505</v>
      </c>
      <c r="ONB68" s="561" t="s">
        <v>1505</v>
      </c>
      <c r="ONC68" s="561" t="s">
        <v>1505</v>
      </c>
      <c r="OND68" s="561" t="s">
        <v>1505</v>
      </c>
      <c r="ONE68" s="561" t="s">
        <v>1505</v>
      </c>
      <c r="ONF68" s="561" t="s">
        <v>1505</v>
      </c>
      <c r="ONG68" s="561" t="s">
        <v>1505</v>
      </c>
      <c r="ONH68" s="561" t="s">
        <v>1505</v>
      </c>
      <c r="ONI68" s="561" t="s">
        <v>1505</v>
      </c>
      <c r="ONJ68" s="561" t="s">
        <v>1505</v>
      </c>
      <c r="ONK68" s="561" t="s">
        <v>1505</v>
      </c>
      <c r="ONL68" s="561" t="s">
        <v>1505</v>
      </c>
      <c r="ONM68" s="561" t="s">
        <v>1505</v>
      </c>
      <c r="ONN68" s="561" t="s">
        <v>1505</v>
      </c>
      <c r="ONO68" s="561" t="s">
        <v>1505</v>
      </c>
      <c r="ONP68" s="561" t="s">
        <v>1505</v>
      </c>
      <c r="ONQ68" s="561" t="s">
        <v>1505</v>
      </c>
      <c r="ONR68" s="561" t="s">
        <v>1505</v>
      </c>
      <c r="ONS68" s="561" t="s">
        <v>1505</v>
      </c>
      <c r="ONT68" s="561" t="s">
        <v>1505</v>
      </c>
      <c r="ONU68" s="561" t="s">
        <v>1505</v>
      </c>
      <c r="ONV68" s="561" t="s">
        <v>1505</v>
      </c>
      <c r="ONW68" s="561" t="s">
        <v>1505</v>
      </c>
      <c r="ONX68" s="561" t="s">
        <v>1505</v>
      </c>
      <c r="ONY68" s="561" t="s">
        <v>1505</v>
      </c>
      <c r="ONZ68" s="561" t="s">
        <v>1505</v>
      </c>
      <c r="OOA68" s="561" t="s">
        <v>1505</v>
      </c>
      <c r="OOB68" s="561" t="s">
        <v>1505</v>
      </c>
      <c r="OOC68" s="561" t="s">
        <v>1505</v>
      </c>
      <c r="OOD68" s="561" t="s">
        <v>1505</v>
      </c>
      <c r="OOE68" s="561" t="s">
        <v>1505</v>
      </c>
      <c r="OOF68" s="561" t="s">
        <v>1505</v>
      </c>
      <c r="OOG68" s="561" t="s">
        <v>1505</v>
      </c>
      <c r="OOH68" s="561" t="s">
        <v>1505</v>
      </c>
      <c r="OOI68" s="561" t="s">
        <v>1505</v>
      </c>
      <c r="OOJ68" s="561" t="s">
        <v>1505</v>
      </c>
      <c r="OOK68" s="561" t="s">
        <v>1505</v>
      </c>
      <c r="OOL68" s="561" t="s">
        <v>1505</v>
      </c>
      <c r="OOM68" s="561" t="s">
        <v>1505</v>
      </c>
      <c r="OON68" s="561" t="s">
        <v>1505</v>
      </c>
      <c r="OOO68" s="561" t="s">
        <v>1505</v>
      </c>
      <c r="OOP68" s="561" t="s">
        <v>1505</v>
      </c>
      <c r="OOQ68" s="561" t="s">
        <v>1505</v>
      </c>
      <c r="OOR68" s="561" t="s">
        <v>1505</v>
      </c>
      <c r="OOS68" s="561" t="s">
        <v>1505</v>
      </c>
      <c r="OOT68" s="561" t="s">
        <v>1505</v>
      </c>
      <c r="OOU68" s="561" t="s">
        <v>1505</v>
      </c>
      <c r="OOV68" s="561" t="s">
        <v>1505</v>
      </c>
      <c r="OOW68" s="561" t="s">
        <v>1505</v>
      </c>
      <c r="OOX68" s="561" t="s">
        <v>1505</v>
      </c>
      <c r="OOY68" s="561" t="s">
        <v>1505</v>
      </c>
      <c r="OOZ68" s="561" t="s">
        <v>1505</v>
      </c>
      <c r="OPA68" s="561" t="s">
        <v>1505</v>
      </c>
      <c r="OPB68" s="561" t="s">
        <v>1505</v>
      </c>
      <c r="OPC68" s="561" t="s">
        <v>1505</v>
      </c>
      <c r="OPD68" s="561" t="s">
        <v>1505</v>
      </c>
      <c r="OPE68" s="561" t="s">
        <v>1505</v>
      </c>
      <c r="OPF68" s="561" t="s">
        <v>1505</v>
      </c>
      <c r="OPG68" s="561" t="s">
        <v>1505</v>
      </c>
      <c r="OPH68" s="561" t="s">
        <v>1505</v>
      </c>
      <c r="OPI68" s="561" t="s">
        <v>1505</v>
      </c>
      <c r="OPJ68" s="561" t="s">
        <v>1505</v>
      </c>
      <c r="OPK68" s="561" t="s">
        <v>1505</v>
      </c>
      <c r="OPL68" s="561" t="s">
        <v>1505</v>
      </c>
      <c r="OPM68" s="561" t="s">
        <v>1505</v>
      </c>
      <c r="OPN68" s="561" t="s">
        <v>1505</v>
      </c>
      <c r="OPO68" s="561" t="s">
        <v>1505</v>
      </c>
      <c r="OPP68" s="561" t="s">
        <v>1505</v>
      </c>
      <c r="OPQ68" s="561" t="s">
        <v>1505</v>
      </c>
      <c r="OPR68" s="561" t="s">
        <v>1505</v>
      </c>
      <c r="OPS68" s="561" t="s">
        <v>1505</v>
      </c>
      <c r="OPT68" s="561" t="s">
        <v>1505</v>
      </c>
      <c r="OPU68" s="561" t="s">
        <v>1505</v>
      </c>
      <c r="OPV68" s="561" t="s">
        <v>1505</v>
      </c>
      <c r="OPW68" s="561" t="s">
        <v>1505</v>
      </c>
      <c r="OPX68" s="561" t="s">
        <v>1505</v>
      </c>
      <c r="OPY68" s="561" t="s">
        <v>1505</v>
      </c>
      <c r="OPZ68" s="561" t="s">
        <v>1505</v>
      </c>
      <c r="OQA68" s="561" t="s">
        <v>1505</v>
      </c>
      <c r="OQB68" s="561" t="s">
        <v>1505</v>
      </c>
      <c r="OQC68" s="561" t="s">
        <v>1505</v>
      </c>
      <c r="OQD68" s="561" t="s">
        <v>1505</v>
      </c>
      <c r="OQE68" s="561" t="s">
        <v>1505</v>
      </c>
      <c r="OQF68" s="561" t="s">
        <v>1505</v>
      </c>
      <c r="OQG68" s="561" t="s">
        <v>1505</v>
      </c>
      <c r="OQH68" s="561" t="s">
        <v>1505</v>
      </c>
      <c r="OQI68" s="561" t="s">
        <v>1505</v>
      </c>
      <c r="OQJ68" s="561" t="s">
        <v>1505</v>
      </c>
      <c r="OQK68" s="561" t="s">
        <v>1505</v>
      </c>
      <c r="OQL68" s="561" t="s">
        <v>1505</v>
      </c>
      <c r="OQM68" s="561" t="s">
        <v>1505</v>
      </c>
      <c r="OQN68" s="561" t="s">
        <v>1505</v>
      </c>
      <c r="OQO68" s="561" t="s">
        <v>1505</v>
      </c>
      <c r="OQP68" s="561" t="s">
        <v>1505</v>
      </c>
      <c r="OQQ68" s="561" t="s">
        <v>1505</v>
      </c>
      <c r="OQR68" s="561" t="s">
        <v>1505</v>
      </c>
      <c r="OQS68" s="561" t="s">
        <v>1505</v>
      </c>
      <c r="OQT68" s="561" t="s">
        <v>1505</v>
      </c>
      <c r="OQU68" s="561" t="s">
        <v>1505</v>
      </c>
      <c r="OQV68" s="561" t="s">
        <v>1505</v>
      </c>
      <c r="OQW68" s="561" t="s">
        <v>1505</v>
      </c>
      <c r="OQX68" s="561" t="s">
        <v>1505</v>
      </c>
      <c r="OQY68" s="561" t="s">
        <v>1505</v>
      </c>
      <c r="OQZ68" s="561" t="s">
        <v>1505</v>
      </c>
      <c r="ORA68" s="561" t="s">
        <v>1505</v>
      </c>
      <c r="ORB68" s="561" t="s">
        <v>1505</v>
      </c>
      <c r="ORC68" s="561" t="s">
        <v>1505</v>
      </c>
      <c r="ORD68" s="561" t="s">
        <v>1505</v>
      </c>
      <c r="ORE68" s="561" t="s">
        <v>1505</v>
      </c>
      <c r="ORF68" s="561" t="s">
        <v>1505</v>
      </c>
      <c r="ORG68" s="561" t="s">
        <v>1505</v>
      </c>
      <c r="ORH68" s="561" t="s">
        <v>1505</v>
      </c>
      <c r="ORI68" s="561" t="s">
        <v>1505</v>
      </c>
      <c r="ORJ68" s="561" t="s">
        <v>1505</v>
      </c>
      <c r="ORK68" s="561" t="s">
        <v>1505</v>
      </c>
      <c r="ORL68" s="561" t="s">
        <v>1505</v>
      </c>
      <c r="ORM68" s="561" t="s">
        <v>1505</v>
      </c>
      <c r="ORN68" s="561" t="s">
        <v>1505</v>
      </c>
      <c r="ORO68" s="561" t="s">
        <v>1505</v>
      </c>
      <c r="ORP68" s="561" t="s">
        <v>1505</v>
      </c>
      <c r="ORQ68" s="561" t="s">
        <v>1505</v>
      </c>
      <c r="ORR68" s="561" t="s">
        <v>1505</v>
      </c>
      <c r="ORS68" s="561" t="s">
        <v>1505</v>
      </c>
      <c r="ORT68" s="561" t="s">
        <v>1505</v>
      </c>
      <c r="ORU68" s="561" t="s">
        <v>1505</v>
      </c>
      <c r="ORV68" s="561" t="s">
        <v>1505</v>
      </c>
      <c r="ORW68" s="561" t="s">
        <v>1505</v>
      </c>
      <c r="ORX68" s="561" t="s">
        <v>1505</v>
      </c>
      <c r="ORY68" s="561" t="s">
        <v>1505</v>
      </c>
      <c r="ORZ68" s="561" t="s">
        <v>1505</v>
      </c>
      <c r="OSA68" s="561" t="s">
        <v>1505</v>
      </c>
      <c r="OSB68" s="561" t="s">
        <v>1505</v>
      </c>
      <c r="OSC68" s="561" t="s">
        <v>1505</v>
      </c>
      <c r="OSD68" s="561" t="s">
        <v>1505</v>
      </c>
      <c r="OSE68" s="561" t="s">
        <v>1505</v>
      </c>
      <c r="OSF68" s="561" t="s">
        <v>1505</v>
      </c>
      <c r="OSG68" s="561" t="s">
        <v>1505</v>
      </c>
      <c r="OSH68" s="561" t="s">
        <v>1505</v>
      </c>
      <c r="OSI68" s="561" t="s">
        <v>1505</v>
      </c>
      <c r="OSJ68" s="561" t="s">
        <v>1505</v>
      </c>
      <c r="OSK68" s="561" t="s">
        <v>1505</v>
      </c>
      <c r="OSL68" s="561" t="s">
        <v>1505</v>
      </c>
      <c r="OSM68" s="561" t="s">
        <v>1505</v>
      </c>
      <c r="OSN68" s="561" t="s">
        <v>1505</v>
      </c>
      <c r="OSO68" s="561" t="s">
        <v>1505</v>
      </c>
      <c r="OSP68" s="561" t="s">
        <v>1505</v>
      </c>
      <c r="OSQ68" s="561" t="s">
        <v>1505</v>
      </c>
      <c r="OSR68" s="561" t="s">
        <v>1505</v>
      </c>
      <c r="OSS68" s="561" t="s">
        <v>1505</v>
      </c>
      <c r="OST68" s="561" t="s">
        <v>1505</v>
      </c>
      <c r="OSU68" s="561" t="s">
        <v>1505</v>
      </c>
      <c r="OSV68" s="561" t="s">
        <v>1505</v>
      </c>
      <c r="OSW68" s="561" t="s">
        <v>1505</v>
      </c>
      <c r="OSX68" s="561" t="s">
        <v>1505</v>
      </c>
      <c r="OSY68" s="561" t="s">
        <v>1505</v>
      </c>
      <c r="OSZ68" s="561" t="s">
        <v>1505</v>
      </c>
      <c r="OTA68" s="561" t="s">
        <v>1505</v>
      </c>
      <c r="OTB68" s="561" t="s">
        <v>1505</v>
      </c>
      <c r="OTC68" s="561" t="s">
        <v>1505</v>
      </c>
      <c r="OTD68" s="561" t="s">
        <v>1505</v>
      </c>
      <c r="OTE68" s="561" t="s">
        <v>1505</v>
      </c>
      <c r="OTF68" s="561" t="s">
        <v>1505</v>
      </c>
      <c r="OTG68" s="561" t="s">
        <v>1505</v>
      </c>
      <c r="OTH68" s="561" t="s">
        <v>1505</v>
      </c>
      <c r="OTI68" s="561" t="s">
        <v>1505</v>
      </c>
      <c r="OTJ68" s="561" t="s">
        <v>1505</v>
      </c>
      <c r="OTK68" s="561" t="s">
        <v>1505</v>
      </c>
      <c r="OTL68" s="561" t="s">
        <v>1505</v>
      </c>
      <c r="OTM68" s="561" t="s">
        <v>1505</v>
      </c>
      <c r="OTN68" s="561" t="s">
        <v>1505</v>
      </c>
      <c r="OTO68" s="561" t="s">
        <v>1505</v>
      </c>
      <c r="OTP68" s="561" t="s">
        <v>1505</v>
      </c>
      <c r="OTQ68" s="561" t="s">
        <v>1505</v>
      </c>
      <c r="OTR68" s="561" t="s">
        <v>1505</v>
      </c>
      <c r="OTS68" s="561" t="s">
        <v>1505</v>
      </c>
      <c r="OTT68" s="561" t="s">
        <v>1505</v>
      </c>
      <c r="OTU68" s="561" t="s">
        <v>1505</v>
      </c>
      <c r="OTV68" s="561" t="s">
        <v>1505</v>
      </c>
      <c r="OTW68" s="561" t="s">
        <v>1505</v>
      </c>
      <c r="OTX68" s="561" t="s">
        <v>1505</v>
      </c>
      <c r="OTY68" s="561" t="s">
        <v>1505</v>
      </c>
      <c r="OTZ68" s="561" t="s">
        <v>1505</v>
      </c>
      <c r="OUA68" s="561" t="s">
        <v>1505</v>
      </c>
      <c r="OUB68" s="561" t="s">
        <v>1505</v>
      </c>
      <c r="OUC68" s="561" t="s">
        <v>1505</v>
      </c>
      <c r="OUD68" s="561" t="s">
        <v>1505</v>
      </c>
      <c r="OUE68" s="561" t="s">
        <v>1505</v>
      </c>
      <c r="OUF68" s="561" t="s">
        <v>1505</v>
      </c>
      <c r="OUG68" s="561" t="s">
        <v>1505</v>
      </c>
      <c r="OUH68" s="561" t="s">
        <v>1505</v>
      </c>
      <c r="OUI68" s="561" t="s">
        <v>1505</v>
      </c>
      <c r="OUJ68" s="561" t="s">
        <v>1505</v>
      </c>
      <c r="OUK68" s="561" t="s">
        <v>1505</v>
      </c>
      <c r="OUL68" s="561" t="s">
        <v>1505</v>
      </c>
      <c r="OUM68" s="561" t="s">
        <v>1505</v>
      </c>
      <c r="OUN68" s="561" t="s">
        <v>1505</v>
      </c>
      <c r="OUO68" s="561" t="s">
        <v>1505</v>
      </c>
      <c r="OUP68" s="561" t="s">
        <v>1505</v>
      </c>
      <c r="OUQ68" s="561" t="s">
        <v>1505</v>
      </c>
      <c r="OUR68" s="561" t="s">
        <v>1505</v>
      </c>
      <c r="OUS68" s="561" t="s">
        <v>1505</v>
      </c>
      <c r="OUT68" s="561" t="s">
        <v>1505</v>
      </c>
      <c r="OUU68" s="561" t="s">
        <v>1505</v>
      </c>
      <c r="OUV68" s="561" t="s">
        <v>1505</v>
      </c>
      <c r="OUW68" s="561" t="s">
        <v>1505</v>
      </c>
      <c r="OUX68" s="561" t="s">
        <v>1505</v>
      </c>
      <c r="OUY68" s="561" t="s">
        <v>1505</v>
      </c>
      <c r="OUZ68" s="561" t="s">
        <v>1505</v>
      </c>
      <c r="OVA68" s="561" t="s">
        <v>1505</v>
      </c>
      <c r="OVB68" s="561" t="s">
        <v>1505</v>
      </c>
      <c r="OVC68" s="561" t="s">
        <v>1505</v>
      </c>
      <c r="OVD68" s="561" t="s">
        <v>1505</v>
      </c>
      <c r="OVE68" s="561" t="s">
        <v>1505</v>
      </c>
      <c r="OVF68" s="561" t="s">
        <v>1505</v>
      </c>
      <c r="OVG68" s="561" t="s">
        <v>1505</v>
      </c>
      <c r="OVH68" s="561" t="s">
        <v>1505</v>
      </c>
      <c r="OVI68" s="561" t="s">
        <v>1505</v>
      </c>
      <c r="OVJ68" s="561" t="s">
        <v>1505</v>
      </c>
      <c r="OVK68" s="561" t="s">
        <v>1505</v>
      </c>
      <c r="OVL68" s="561" t="s">
        <v>1505</v>
      </c>
      <c r="OVM68" s="561" t="s">
        <v>1505</v>
      </c>
      <c r="OVN68" s="561" t="s">
        <v>1505</v>
      </c>
      <c r="OVO68" s="561" t="s">
        <v>1505</v>
      </c>
      <c r="OVP68" s="561" t="s">
        <v>1505</v>
      </c>
      <c r="OVQ68" s="561" t="s">
        <v>1505</v>
      </c>
      <c r="OVR68" s="561" t="s">
        <v>1505</v>
      </c>
      <c r="OVS68" s="561" t="s">
        <v>1505</v>
      </c>
      <c r="OVT68" s="561" t="s">
        <v>1505</v>
      </c>
      <c r="OVU68" s="561" t="s">
        <v>1505</v>
      </c>
      <c r="OVV68" s="561" t="s">
        <v>1505</v>
      </c>
      <c r="OVW68" s="561" t="s">
        <v>1505</v>
      </c>
      <c r="OVX68" s="561" t="s">
        <v>1505</v>
      </c>
      <c r="OVY68" s="561" t="s">
        <v>1505</v>
      </c>
      <c r="OVZ68" s="561" t="s">
        <v>1505</v>
      </c>
      <c r="OWA68" s="561" t="s">
        <v>1505</v>
      </c>
      <c r="OWB68" s="561" t="s">
        <v>1505</v>
      </c>
      <c r="OWC68" s="561" t="s">
        <v>1505</v>
      </c>
      <c r="OWD68" s="561" t="s">
        <v>1505</v>
      </c>
      <c r="OWE68" s="561" t="s">
        <v>1505</v>
      </c>
      <c r="OWF68" s="561" t="s">
        <v>1505</v>
      </c>
      <c r="OWG68" s="561" t="s">
        <v>1505</v>
      </c>
      <c r="OWH68" s="561" t="s">
        <v>1505</v>
      </c>
      <c r="OWI68" s="561" t="s">
        <v>1505</v>
      </c>
      <c r="OWJ68" s="561" t="s">
        <v>1505</v>
      </c>
      <c r="OWK68" s="561" t="s">
        <v>1505</v>
      </c>
      <c r="OWL68" s="561" t="s">
        <v>1505</v>
      </c>
      <c r="OWM68" s="561" t="s">
        <v>1505</v>
      </c>
      <c r="OWN68" s="561" t="s">
        <v>1505</v>
      </c>
      <c r="OWO68" s="561" t="s">
        <v>1505</v>
      </c>
      <c r="OWP68" s="561" t="s">
        <v>1505</v>
      </c>
      <c r="OWQ68" s="561" t="s">
        <v>1505</v>
      </c>
      <c r="OWR68" s="561" t="s">
        <v>1505</v>
      </c>
      <c r="OWS68" s="561" t="s">
        <v>1505</v>
      </c>
      <c r="OWT68" s="561" t="s">
        <v>1505</v>
      </c>
      <c r="OWU68" s="561" t="s">
        <v>1505</v>
      </c>
      <c r="OWV68" s="561" t="s">
        <v>1505</v>
      </c>
      <c r="OWW68" s="561" t="s">
        <v>1505</v>
      </c>
      <c r="OWX68" s="561" t="s">
        <v>1505</v>
      </c>
      <c r="OWY68" s="561" t="s">
        <v>1505</v>
      </c>
      <c r="OWZ68" s="561" t="s">
        <v>1505</v>
      </c>
      <c r="OXA68" s="561" t="s">
        <v>1505</v>
      </c>
      <c r="OXB68" s="561" t="s">
        <v>1505</v>
      </c>
      <c r="OXC68" s="561" t="s">
        <v>1505</v>
      </c>
      <c r="OXD68" s="561" t="s">
        <v>1505</v>
      </c>
      <c r="OXE68" s="561" t="s">
        <v>1505</v>
      </c>
      <c r="OXF68" s="561" t="s">
        <v>1505</v>
      </c>
      <c r="OXG68" s="561" t="s">
        <v>1505</v>
      </c>
      <c r="OXH68" s="561" t="s">
        <v>1505</v>
      </c>
      <c r="OXI68" s="561" t="s">
        <v>1505</v>
      </c>
      <c r="OXJ68" s="561" t="s">
        <v>1505</v>
      </c>
      <c r="OXK68" s="561" t="s">
        <v>1505</v>
      </c>
      <c r="OXL68" s="561" t="s">
        <v>1505</v>
      </c>
      <c r="OXM68" s="561" t="s">
        <v>1505</v>
      </c>
      <c r="OXN68" s="561" t="s">
        <v>1505</v>
      </c>
      <c r="OXO68" s="561" t="s">
        <v>1505</v>
      </c>
      <c r="OXP68" s="561" t="s">
        <v>1505</v>
      </c>
      <c r="OXQ68" s="561" t="s">
        <v>1505</v>
      </c>
      <c r="OXR68" s="561" t="s">
        <v>1505</v>
      </c>
      <c r="OXS68" s="561" t="s">
        <v>1505</v>
      </c>
      <c r="OXT68" s="561" t="s">
        <v>1505</v>
      </c>
      <c r="OXU68" s="561" t="s">
        <v>1505</v>
      </c>
      <c r="OXV68" s="561" t="s">
        <v>1505</v>
      </c>
      <c r="OXW68" s="561" t="s">
        <v>1505</v>
      </c>
      <c r="OXX68" s="561" t="s">
        <v>1505</v>
      </c>
      <c r="OXY68" s="561" t="s">
        <v>1505</v>
      </c>
      <c r="OXZ68" s="561" t="s">
        <v>1505</v>
      </c>
      <c r="OYA68" s="561" t="s">
        <v>1505</v>
      </c>
      <c r="OYB68" s="561" t="s">
        <v>1505</v>
      </c>
      <c r="OYC68" s="561" t="s">
        <v>1505</v>
      </c>
      <c r="OYD68" s="561" t="s">
        <v>1505</v>
      </c>
      <c r="OYE68" s="561" t="s">
        <v>1505</v>
      </c>
      <c r="OYF68" s="561" t="s">
        <v>1505</v>
      </c>
      <c r="OYG68" s="561" t="s">
        <v>1505</v>
      </c>
      <c r="OYH68" s="561" t="s">
        <v>1505</v>
      </c>
      <c r="OYI68" s="561" t="s">
        <v>1505</v>
      </c>
      <c r="OYJ68" s="561" t="s">
        <v>1505</v>
      </c>
      <c r="OYK68" s="561" t="s">
        <v>1505</v>
      </c>
      <c r="OYL68" s="561" t="s">
        <v>1505</v>
      </c>
      <c r="OYM68" s="561" t="s">
        <v>1505</v>
      </c>
      <c r="OYN68" s="561" t="s">
        <v>1505</v>
      </c>
      <c r="OYO68" s="561" t="s">
        <v>1505</v>
      </c>
      <c r="OYP68" s="561" t="s">
        <v>1505</v>
      </c>
      <c r="OYQ68" s="561" t="s">
        <v>1505</v>
      </c>
      <c r="OYR68" s="561" t="s">
        <v>1505</v>
      </c>
      <c r="OYS68" s="561" t="s">
        <v>1505</v>
      </c>
      <c r="OYT68" s="561" t="s">
        <v>1505</v>
      </c>
      <c r="OYU68" s="561" t="s">
        <v>1505</v>
      </c>
      <c r="OYV68" s="561" t="s">
        <v>1505</v>
      </c>
      <c r="OYW68" s="561" t="s">
        <v>1505</v>
      </c>
      <c r="OYX68" s="561" t="s">
        <v>1505</v>
      </c>
      <c r="OYY68" s="561" t="s">
        <v>1505</v>
      </c>
      <c r="OYZ68" s="561" t="s">
        <v>1505</v>
      </c>
      <c r="OZA68" s="561" t="s">
        <v>1505</v>
      </c>
      <c r="OZB68" s="561" t="s">
        <v>1505</v>
      </c>
      <c r="OZC68" s="561" t="s">
        <v>1505</v>
      </c>
      <c r="OZD68" s="561" t="s">
        <v>1505</v>
      </c>
      <c r="OZE68" s="561" t="s">
        <v>1505</v>
      </c>
      <c r="OZF68" s="561" t="s">
        <v>1505</v>
      </c>
      <c r="OZG68" s="561" t="s">
        <v>1505</v>
      </c>
      <c r="OZH68" s="561" t="s">
        <v>1505</v>
      </c>
      <c r="OZI68" s="561" t="s">
        <v>1505</v>
      </c>
      <c r="OZJ68" s="561" t="s">
        <v>1505</v>
      </c>
      <c r="OZK68" s="561" t="s">
        <v>1505</v>
      </c>
      <c r="OZL68" s="561" t="s">
        <v>1505</v>
      </c>
      <c r="OZM68" s="561" t="s">
        <v>1505</v>
      </c>
      <c r="OZN68" s="561" t="s">
        <v>1505</v>
      </c>
      <c r="OZO68" s="561" t="s">
        <v>1505</v>
      </c>
      <c r="OZP68" s="561" t="s">
        <v>1505</v>
      </c>
      <c r="OZQ68" s="561" t="s">
        <v>1505</v>
      </c>
      <c r="OZR68" s="561" t="s">
        <v>1505</v>
      </c>
      <c r="OZS68" s="561" t="s">
        <v>1505</v>
      </c>
      <c r="OZT68" s="561" t="s">
        <v>1505</v>
      </c>
      <c r="OZU68" s="561" t="s">
        <v>1505</v>
      </c>
      <c r="OZV68" s="561" t="s">
        <v>1505</v>
      </c>
      <c r="OZW68" s="561" t="s">
        <v>1505</v>
      </c>
      <c r="OZX68" s="561" t="s">
        <v>1505</v>
      </c>
      <c r="OZY68" s="561" t="s">
        <v>1505</v>
      </c>
      <c r="OZZ68" s="561" t="s">
        <v>1505</v>
      </c>
      <c r="PAA68" s="561" t="s">
        <v>1505</v>
      </c>
      <c r="PAB68" s="561" t="s">
        <v>1505</v>
      </c>
      <c r="PAC68" s="561" t="s">
        <v>1505</v>
      </c>
      <c r="PAD68" s="561" t="s">
        <v>1505</v>
      </c>
      <c r="PAE68" s="561" t="s">
        <v>1505</v>
      </c>
      <c r="PAF68" s="561" t="s">
        <v>1505</v>
      </c>
      <c r="PAG68" s="561" t="s">
        <v>1505</v>
      </c>
      <c r="PAH68" s="561" t="s">
        <v>1505</v>
      </c>
      <c r="PAI68" s="561" t="s">
        <v>1505</v>
      </c>
      <c r="PAJ68" s="561" t="s">
        <v>1505</v>
      </c>
      <c r="PAK68" s="561" t="s">
        <v>1505</v>
      </c>
      <c r="PAL68" s="561" t="s">
        <v>1505</v>
      </c>
      <c r="PAM68" s="561" t="s">
        <v>1505</v>
      </c>
      <c r="PAN68" s="561" t="s">
        <v>1505</v>
      </c>
      <c r="PAO68" s="561" t="s">
        <v>1505</v>
      </c>
      <c r="PAP68" s="561" t="s">
        <v>1505</v>
      </c>
      <c r="PAQ68" s="561" t="s">
        <v>1505</v>
      </c>
      <c r="PAR68" s="561" t="s">
        <v>1505</v>
      </c>
      <c r="PAS68" s="561" t="s">
        <v>1505</v>
      </c>
      <c r="PAT68" s="561" t="s">
        <v>1505</v>
      </c>
      <c r="PAU68" s="561" t="s">
        <v>1505</v>
      </c>
      <c r="PAV68" s="561" t="s">
        <v>1505</v>
      </c>
      <c r="PAW68" s="561" t="s">
        <v>1505</v>
      </c>
      <c r="PAX68" s="561" t="s">
        <v>1505</v>
      </c>
      <c r="PAY68" s="561" t="s">
        <v>1505</v>
      </c>
      <c r="PAZ68" s="561" t="s">
        <v>1505</v>
      </c>
      <c r="PBA68" s="561" t="s">
        <v>1505</v>
      </c>
      <c r="PBB68" s="561" t="s">
        <v>1505</v>
      </c>
      <c r="PBC68" s="561" t="s">
        <v>1505</v>
      </c>
      <c r="PBD68" s="561" t="s">
        <v>1505</v>
      </c>
      <c r="PBE68" s="561" t="s">
        <v>1505</v>
      </c>
      <c r="PBF68" s="561" t="s">
        <v>1505</v>
      </c>
      <c r="PBG68" s="561" t="s">
        <v>1505</v>
      </c>
      <c r="PBH68" s="561" t="s">
        <v>1505</v>
      </c>
      <c r="PBI68" s="561" t="s">
        <v>1505</v>
      </c>
      <c r="PBJ68" s="561" t="s">
        <v>1505</v>
      </c>
      <c r="PBK68" s="561" t="s">
        <v>1505</v>
      </c>
      <c r="PBL68" s="561" t="s">
        <v>1505</v>
      </c>
      <c r="PBM68" s="561" t="s">
        <v>1505</v>
      </c>
      <c r="PBN68" s="561" t="s">
        <v>1505</v>
      </c>
      <c r="PBO68" s="561" t="s">
        <v>1505</v>
      </c>
      <c r="PBP68" s="561" t="s">
        <v>1505</v>
      </c>
      <c r="PBQ68" s="561" t="s">
        <v>1505</v>
      </c>
      <c r="PBR68" s="561" t="s">
        <v>1505</v>
      </c>
      <c r="PBS68" s="561" t="s">
        <v>1505</v>
      </c>
      <c r="PBT68" s="561" t="s">
        <v>1505</v>
      </c>
      <c r="PBU68" s="561" t="s">
        <v>1505</v>
      </c>
      <c r="PBV68" s="561" t="s">
        <v>1505</v>
      </c>
      <c r="PBW68" s="561" t="s">
        <v>1505</v>
      </c>
      <c r="PBX68" s="561" t="s">
        <v>1505</v>
      </c>
      <c r="PBY68" s="561" t="s">
        <v>1505</v>
      </c>
      <c r="PBZ68" s="561" t="s">
        <v>1505</v>
      </c>
      <c r="PCA68" s="561" t="s">
        <v>1505</v>
      </c>
      <c r="PCB68" s="561" t="s">
        <v>1505</v>
      </c>
      <c r="PCC68" s="561" t="s">
        <v>1505</v>
      </c>
      <c r="PCD68" s="561" t="s">
        <v>1505</v>
      </c>
      <c r="PCE68" s="561" t="s">
        <v>1505</v>
      </c>
      <c r="PCF68" s="561" t="s">
        <v>1505</v>
      </c>
      <c r="PCG68" s="561" t="s">
        <v>1505</v>
      </c>
      <c r="PCH68" s="561" t="s">
        <v>1505</v>
      </c>
      <c r="PCI68" s="561" t="s">
        <v>1505</v>
      </c>
      <c r="PCJ68" s="561" t="s">
        <v>1505</v>
      </c>
      <c r="PCK68" s="561" t="s">
        <v>1505</v>
      </c>
      <c r="PCL68" s="561" t="s">
        <v>1505</v>
      </c>
      <c r="PCM68" s="561" t="s">
        <v>1505</v>
      </c>
      <c r="PCN68" s="561" t="s">
        <v>1505</v>
      </c>
      <c r="PCO68" s="561" t="s">
        <v>1505</v>
      </c>
      <c r="PCP68" s="561" t="s">
        <v>1505</v>
      </c>
      <c r="PCQ68" s="561" t="s">
        <v>1505</v>
      </c>
      <c r="PCR68" s="561" t="s">
        <v>1505</v>
      </c>
      <c r="PCS68" s="561" t="s">
        <v>1505</v>
      </c>
      <c r="PCT68" s="561" t="s">
        <v>1505</v>
      </c>
      <c r="PCU68" s="561" t="s">
        <v>1505</v>
      </c>
      <c r="PCV68" s="561" t="s">
        <v>1505</v>
      </c>
      <c r="PCW68" s="561" t="s">
        <v>1505</v>
      </c>
      <c r="PCX68" s="561" t="s">
        <v>1505</v>
      </c>
      <c r="PCY68" s="561" t="s">
        <v>1505</v>
      </c>
      <c r="PCZ68" s="561" t="s">
        <v>1505</v>
      </c>
      <c r="PDA68" s="561" t="s">
        <v>1505</v>
      </c>
      <c r="PDB68" s="561" t="s">
        <v>1505</v>
      </c>
      <c r="PDC68" s="561" t="s">
        <v>1505</v>
      </c>
      <c r="PDD68" s="561" t="s">
        <v>1505</v>
      </c>
      <c r="PDE68" s="561" t="s">
        <v>1505</v>
      </c>
      <c r="PDF68" s="561" t="s">
        <v>1505</v>
      </c>
      <c r="PDG68" s="561" t="s">
        <v>1505</v>
      </c>
      <c r="PDH68" s="561" t="s">
        <v>1505</v>
      </c>
      <c r="PDI68" s="561" t="s">
        <v>1505</v>
      </c>
      <c r="PDJ68" s="561" t="s">
        <v>1505</v>
      </c>
      <c r="PDK68" s="561" t="s">
        <v>1505</v>
      </c>
      <c r="PDL68" s="561" t="s">
        <v>1505</v>
      </c>
      <c r="PDM68" s="561" t="s">
        <v>1505</v>
      </c>
      <c r="PDN68" s="561" t="s">
        <v>1505</v>
      </c>
      <c r="PDO68" s="561" t="s">
        <v>1505</v>
      </c>
      <c r="PDP68" s="561" t="s">
        <v>1505</v>
      </c>
      <c r="PDQ68" s="561" t="s">
        <v>1505</v>
      </c>
      <c r="PDR68" s="561" t="s">
        <v>1505</v>
      </c>
      <c r="PDS68" s="561" t="s">
        <v>1505</v>
      </c>
      <c r="PDT68" s="561" t="s">
        <v>1505</v>
      </c>
      <c r="PDU68" s="561" t="s">
        <v>1505</v>
      </c>
      <c r="PDV68" s="561" t="s">
        <v>1505</v>
      </c>
      <c r="PDW68" s="561" t="s">
        <v>1505</v>
      </c>
      <c r="PDX68" s="561" t="s">
        <v>1505</v>
      </c>
      <c r="PDY68" s="561" t="s">
        <v>1505</v>
      </c>
      <c r="PDZ68" s="561" t="s">
        <v>1505</v>
      </c>
      <c r="PEA68" s="561" t="s">
        <v>1505</v>
      </c>
      <c r="PEB68" s="561" t="s">
        <v>1505</v>
      </c>
      <c r="PEC68" s="561" t="s">
        <v>1505</v>
      </c>
      <c r="PED68" s="561" t="s">
        <v>1505</v>
      </c>
      <c r="PEE68" s="561" t="s">
        <v>1505</v>
      </c>
      <c r="PEF68" s="561" t="s">
        <v>1505</v>
      </c>
      <c r="PEG68" s="561" t="s">
        <v>1505</v>
      </c>
      <c r="PEH68" s="561" t="s">
        <v>1505</v>
      </c>
      <c r="PEI68" s="561" t="s">
        <v>1505</v>
      </c>
      <c r="PEJ68" s="561" t="s">
        <v>1505</v>
      </c>
      <c r="PEK68" s="561" t="s">
        <v>1505</v>
      </c>
      <c r="PEL68" s="561" t="s">
        <v>1505</v>
      </c>
      <c r="PEM68" s="561" t="s">
        <v>1505</v>
      </c>
      <c r="PEN68" s="561" t="s">
        <v>1505</v>
      </c>
      <c r="PEO68" s="561" t="s">
        <v>1505</v>
      </c>
      <c r="PEP68" s="561" t="s">
        <v>1505</v>
      </c>
      <c r="PEQ68" s="561" t="s">
        <v>1505</v>
      </c>
      <c r="PER68" s="561" t="s">
        <v>1505</v>
      </c>
      <c r="PES68" s="561" t="s">
        <v>1505</v>
      </c>
      <c r="PET68" s="561" t="s">
        <v>1505</v>
      </c>
      <c r="PEU68" s="561" t="s">
        <v>1505</v>
      </c>
      <c r="PEV68" s="561" t="s">
        <v>1505</v>
      </c>
      <c r="PEW68" s="561" t="s">
        <v>1505</v>
      </c>
      <c r="PEX68" s="561" t="s">
        <v>1505</v>
      </c>
      <c r="PEY68" s="561" t="s">
        <v>1505</v>
      </c>
      <c r="PEZ68" s="561" t="s">
        <v>1505</v>
      </c>
      <c r="PFA68" s="561" t="s">
        <v>1505</v>
      </c>
      <c r="PFB68" s="561" t="s">
        <v>1505</v>
      </c>
      <c r="PFC68" s="561" t="s">
        <v>1505</v>
      </c>
      <c r="PFD68" s="561" t="s">
        <v>1505</v>
      </c>
      <c r="PFE68" s="561" t="s">
        <v>1505</v>
      </c>
      <c r="PFF68" s="561" t="s">
        <v>1505</v>
      </c>
      <c r="PFG68" s="561" t="s">
        <v>1505</v>
      </c>
      <c r="PFH68" s="561" t="s">
        <v>1505</v>
      </c>
      <c r="PFI68" s="561" t="s">
        <v>1505</v>
      </c>
      <c r="PFJ68" s="561" t="s">
        <v>1505</v>
      </c>
      <c r="PFK68" s="561" t="s">
        <v>1505</v>
      </c>
      <c r="PFL68" s="561" t="s">
        <v>1505</v>
      </c>
      <c r="PFM68" s="561" t="s">
        <v>1505</v>
      </c>
      <c r="PFN68" s="561" t="s">
        <v>1505</v>
      </c>
      <c r="PFO68" s="561" t="s">
        <v>1505</v>
      </c>
      <c r="PFP68" s="561" t="s">
        <v>1505</v>
      </c>
      <c r="PFQ68" s="561" t="s">
        <v>1505</v>
      </c>
      <c r="PFR68" s="561" t="s">
        <v>1505</v>
      </c>
      <c r="PFS68" s="561" t="s">
        <v>1505</v>
      </c>
      <c r="PFT68" s="561" t="s">
        <v>1505</v>
      </c>
      <c r="PFU68" s="561" t="s">
        <v>1505</v>
      </c>
      <c r="PFV68" s="561" t="s">
        <v>1505</v>
      </c>
      <c r="PFW68" s="561" t="s">
        <v>1505</v>
      </c>
      <c r="PFX68" s="561" t="s">
        <v>1505</v>
      </c>
      <c r="PFY68" s="561" t="s">
        <v>1505</v>
      </c>
      <c r="PFZ68" s="561" t="s">
        <v>1505</v>
      </c>
      <c r="PGA68" s="561" t="s">
        <v>1505</v>
      </c>
      <c r="PGB68" s="561" t="s">
        <v>1505</v>
      </c>
      <c r="PGC68" s="561" t="s">
        <v>1505</v>
      </c>
      <c r="PGD68" s="561" t="s">
        <v>1505</v>
      </c>
      <c r="PGE68" s="561" t="s">
        <v>1505</v>
      </c>
      <c r="PGF68" s="561" t="s">
        <v>1505</v>
      </c>
      <c r="PGG68" s="561" t="s">
        <v>1505</v>
      </c>
      <c r="PGH68" s="561" t="s">
        <v>1505</v>
      </c>
      <c r="PGI68" s="561" t="s">
        <v>1505</v>
      </c>
      <c r="PGJ68" s="561" t="s">
        <v>1505</v>
      </c>
      <c r="PGK68" s="561" t="s">
        <v>1505</v>
      </c>
      <c r="PGL68" s="561" t="s">
        <v>1505</v>
      </c>
      <c r="PGM68" s="561" t="s">
        <v>1505</v>
      </c>
      <c r="PGN68" s="561" t="s">
        <v>1505</v>
      </c>
      <c r="PGO68" s="561" t="s">
        <v>1505</v>
      </c>
      <c r="PGP68" s="561" t="s">
        <v>1505</v>
      </c>
      <c r="PGQ68" s="561" t="s">
        <v>1505</v>
      </c>
      <c r="PGR68" s="561" t="s">
        <v>1505</v>
      </c>
      <c r="PGS68" s="561" t="s">
        <v>1505</v>
      </c>
      <c r="PGT68" s="561" t="s">
        <v>1505</v>
      </c>
      <c r="PGU68" s="561" t="s">
        <v>1505</v>
      </c>
      <c r="PGV68" s="561" t="s">
        <v>1505</v>
      </c>
      <c r="PGW68" s="561" t="s">
        <v>1505</v>
      </c>
      <c r="PGX68" s="561" t="s">
        <v>1505</v>
      </c>
      <c r="PGY68" s="561" t="s">
        <v>1505</v>
      </c>
      <c r="PGZ68" s="561" t="s">
        <v>1505</v>
      </c>
      <c r="PHA68" s="561" t="s">
        <v>1505</v>
      </c>
      <c r="PHB68" s="561" t="s">
        <v>1505</v>
      </c>
      <c r="PHC68" s="561" t="s">
        <v>1505</v>
      </c>
      <c r="PHD68" s="561" t="s">
        <v>1505</v>
      </c>
      <c r="PHE68" s="561" t="s">
        <v>1505</v>
      </c>
      <c r="PHF68" s="561" t="s">
        <v>1505</v>
      </c>
      <c r="PHG68" s="561" t="s">
        <v>1505</v>
      </c>
      <c r="PHH68" s="561" t="s">
        <v>1505</v>
      </c>
      <c r="PHI68" s="561" t="s">
        <v>1505</v>
      </c>
      <c r="PHJ68" s="561" t="s">
        <v>1505</v>
      </c>
      <c r="PHK68" s="561" t="s">
        <v>1505</v>
      </c>
      <c r="PHL68" s="561" t="s">
        <v>1505</v>
      </c>
      <c r="PHM68" s="561" t="s">
        <v>1505</v>
      </c>
      <c r="PHN68" s="561" t="s">
        <v>1505</v>
      </c>
      <c r="PHO68" s="561" t="s">
        <v>1505</v>
      </c>
      <c r="PHP68" s="561" t="s">
        <v>1505</v>
      </c>
      <c r="PHQ68" s="561" t="s">
        <v>1505</v>
      </c>
      <c r="PHR68" s="561" t="s">
        <v>1505</v>
      </c>
      <c r="PHS68" s="561" t="s">
        <v>1505</v>
      </c>
      <c r="PHT68" s="561" t="s">
        <v>1505</v>
      </c>
      <c r="PHU68" s="561" t="s">
        <v>1505</v>
      </c>
      <c r="PHV68" s="561" t="s">
        <v>1505</v>
      </c>
      <c r="PHW68" s="561" t="s">
        <v>1505</v>
      </c>
      <c r="PHX68" s="561" t="s">
        <v>1505</v>
      </c>
      <c r="PHY68" s="561" t="s">
        <v>1505</v>
      </c>
      <c r="PHZ68" s="561" t="s">
        <v>1505</v>
      </c>
      <c r="PIA68" s="561" t="s">
        <v>1505</v>
      </c>
      <c r="PIB68" s="561" t="s">
        <v>1505</v>
      </c>
      <c r="PIC68" s="561" t="s">
        <v>1505</v>
      </c>
      <c r="PID68" s="561" t="s">
        <v>1505</v>
      </c>
      <c r="PIE68" s="561" t="s">
        <v>1505</v>
      </c>
      <c r="PIF68" s="561" t="s">
        <v>1505</v>
      </c>
      <c r="PIG68" s="561" t="s">
        <v>1505</v>
      </c>
      <c r="PIH68" s="561" t="s">
        <v>1505</v>
      </c>
      <c r="PII68" s="561" t="s">
        <v>1505</v>
      </c>
      <c r="PIJ68" s="561" t="s">
        <v>1505</v>
      </c>
      <c r="PIK68" s="561" t="s">
        <v>1505</v>
      </c>
      <c r="PIL68" s="561" t="s">
        <v>1505</v>
      </c>
      <c r="PIM68" s="561" t="s">
        <v>1505</v>
      </c>
      <c r="PIN68" s="561" t="s">
        <v>1505</v>
      </c>
      <c r="PIO68" s="561" t="s">
        <v>1505</v>
      </c>
      <c r="PIP68" s="561" t="s">
        <v>1505</v>
      </c>
      <c r="PIQ68" s="561" t="s">
        <v>1505</v>
      </c>
      <c r="PIR68" s="561" t="s">
        <v>1505</v>
      </c>
      <c r="PIS68" s="561" t="s">
        <v>1505</v>
      </c>
      <c r="PIT68" s="561" t="s">
        <v>1505</v>
      </c>
      <c r="PIU68" s="561" t="s">
        <v>1505</v>
      </c>
      <c r="PIV68" s="561" t="s">
        <v>1505</v>
      </c>
      <c r="PIW68" s="561" t="s">
        <v>1505</v>
      </c>
      <c r="PIX68" s="561" t="s">
        <v>1505</v>
      </c>
      <c r="PIY68" s="561" t="s">
        <v>1505</v>
      </c>
      <c r="PIZ68" s="561" t="s">
        <v>1505</v>
      </c>
      <c r="PJA68" s="561" t="s">
        <v>1505</v>
      </c>
      <c r="PJB68" s="561" t="s">
        <v>1505</v>
      </c>
      <c r="PJC68" s="561" t="s">
        <v>1505</v>
      </c>
      <c r="PJD68" s="561" t="s">
        <v>1505</v>
      </c>
      <c r="PJE68" s="561" t="s">
        <v>1505</v>
      </c>
      <c r="PJF68" s="561" t="s">
        <v>1505</v>
      </c>
      <c r="PJG68" s="561" t="s">
        <v>1505</v>
      </c>
      <c r="PJH68" s="561" t="s">
        <v>1505</v>
      </c>
      <c r="PJI68" s="561" t="s">
        <v>1505</v>
      </c>
      <c r="PJJ68" s="561" t="s">
        <v>1505</v>
      </c>
      <c r="PJK68" s="561" t="s">
        <v>1505</v>
      </c>
      <c r="PJL68" s="561" t="s">
        <v>1505</v>
      </c>
      <c r="PJM68" s="561" t="s">
        <v>1505</v>
      </c>
      <c r="PJN68" s="561" t="s">
        <v>1505</v>
      </c>
      <c r="PJO68" s="561" t="s">
        <v>1505</v>
      </c>
      <c r="PJP68" s="561" t="s">
        <v>1505</v>
      </c>
      <c r="PJQ68" s="561" t="s">
        <v>1505</v>
      </c>
      <c r="PJR68" s="561" t="s">
        <v>1505</v>
      </c>
      <c r="PJS68" s="561" t="s">
        <v>1505</v>
      </c>
      <c r="PJT68" s="561" t="s">
        <v>1505</v>
      </c>
      <c r="PJU68" s="561" t="s">
        <v>1505</v>
      </c>
      <c r="PJV68" s="561" t="s">
        <v>1505</v>
      </c>
      <c r="PJW68" s="561" t="s">
        <v>1505</v>
      </c>
      <c r="PJX68" s="561" t="s">
        <v>1505</v>
      </c>
      <c r="PJY68" s="561" t="s">
        <v>1505</v>
      </c>
      <c r="PJZ68" s="561" t="s">
        <v>1505</v>
      </c>
      <c r="PKA68" s="561" t="s">
        <v>1505</v>
      </c>
      <c r="PKB68" s="561" t="s">
        <v>1505</v>
      </c>
      <c r="PKC68" s="561" t="s">
        <v>1505</v>
      </c>
      <c r="PKD68" s="561" t="s">
        <v>1505</v>
      </c>
      <c r="PKE68" s="561" t="s">
        <v>1505</v>
      </c>
      <c r="PKF68" s="561" t="s">
        <v>1505</v>
      </c>
      <c r="PKG68" s="561" t="s">
        <v>1505</v>
      </c>
      <c r="PKH68" s="561" t="s">
        <v>1505</v>
      </c>
      <c r="PKI68" s="561" t="s">
        <v>1505</v>
      </c>
      <c r="PKJ68" s="561" t="s">
        <v>1505</v>
      </c>
      <c r="PKK68" s="561" t="s">
        <v>1505</v>
      </c>
      <c r="PKL68" s="561" t="s">
        <v>1505</v>
      </c>
      <c r="PKM68" s="561" t="s">
        <v>1505</v>
      </c>
      <c r="PKN68" s="561" t="s">
        <v>1505</v>
      </c>
      <c r="PKO68" s="561" t="s">
        <v>1505</v>
      </c>
      <c r="PKP68" s="561" t="s">
        <v>1505</v>
      </c>
      <c r="PKQ68" s="561" t="s">
        <v>1505</v>
      </c>
      <c r="PKR68" s="561" t="s">
        <v>1505</v>
      </c>
      <c r="PKS68" s="561" t="s">
        <v>1505</v>
      </c>
      <c r="PKT68" s="561" t="s">
        <v>1505</v>
      </c>
      <c r="PKU68" s="561" t="s">
        <v>1505</v>
      </c>
      <c r="PKV68" s="561" t="s">
        <v>1505</v>
      </c>
      <c r="PKW68" s="561" t="s">
        <v>1505</v>
      </c>
      <c r="PKX68" s="561" t="s">
        <v>1505</v>
      </c>
      <c r="PKY68" s="561" t="s">
        <v>1505</v>
      </c>
      <c r="PKZ68" s="561" t="s">
        <v>1505</v>
      </c>
      <c r="PLA68" s="561" t="s">
        <v>1505</v>
      </c>
      <c r="PLB68" s="561" t="s">
        <v>1505</v>
      </c>
      <c r="PLC68" s="561" t="s">
        <v>1505</v>
      </c>
      <c r="PLD68" s="561" t="s">
        <v>1505</v>
      </c>
      <c r="PLE68" s="561" t="s">
        <v>1505</v>
      </c>
      <c r="PLF68" s="561" t="s">
        <v>1505</v>
      </c>
      <c r="PLG68" s="561" t="s">
        <v>1505</v>
      </c>
      <c r="PLH68" s="561" t="s">
        <v>1505</v>
      </c>
      <c r="PLI68" s="561" t="s">
        <v>1505</v>
      </c>
      <c r="PLJ68" s="561" t="s">
        <v>1505</v>
      </c>
      <c r="PLK68" s="561" t="s">
        <v>1505</v>
      </c>
      <c r="PLL68" s="561" t="s">
        <v>1505</v>
      </c>
      <c r="PLM68" s="561" t="s">
        <v>1505</v>
      </c>
      <c r="PLN68" s="561" t="s">
        <v>1505</v>
      </c>
      <c r="PLO68" s="561" t="s">
        <v>1505</v>
      </c>
      <c r="PLP68" s="561" t="s">
        <v>1505</v>
      </c>
      <c r="PLQ68" s="561" t="s">
        <v>1505</v>
      </c>
      <c r="PLR68" s="561" t="s">
        <v>1505</v>
      </c>
      <c r="PLS68" s="561" t="s">
        <v>1505</v>
      </c>
      <c r="PLT68" s="561" t="s">
        <v>1505</v>
      </c>
      <c r="PLU68" s="561" t="s">
        <v>1505</v>
      </c>
      <c r="PLV68" s="561" t="s">
        <v>1505</v>
      </c>
      <c r="PLW68" s="561" t="s">
        <v>1505</v>
      </c>
      <c r="PLX68" s="561" t="s">
        <v>1505</v>
      </c>
      <c r="PLY68" s="561" t="s">
        <v>1505</v>
      </c>
      <c r="PLZ68" s="561" t="s">
        <v>1505</v>
      </c>
      <c r="PMA68" s="561" t="s">
        <v>1505</v>
      </c>
      <c r="PMB68" s="561" t="s">
        <v>1505</v>
      </c>
      <c r="PMC68" s="561" t="s">
        <v>1505</v>
      </c>
      <c r="PMD68" s="561" t="s">
        <v>1505</v>
      </c>
      <c r="PME68" s="561" t="s">
        <v>1505</v>
      </c>
      <c r="PMF68" s="561" t="s">
        <v>1505</v>
      </c>
      <c r="PMG68" s="561" t="s">
        <v>1505</v>
      </c>
      <c r="PMH68" s="561" t="s">
        <v>1505</v>
      </c>
      <c r="PMI68" s="561" t="s">
        <v>1505</v>
      </c>
      <c r="PMJ68" s="561" t="s">
        <v>1505</v>
      </c>
      <c r="PMK68" s="561" t="s">
        <v>1505</v>
      </c>
      <c r="PML68" s="561" t="s">
        <v>1505</v>
      </c>
      <c r="PMM68" s="561" t="s">
        <v>1505</v>
      </c>
      <c r="PMN68" s="561" t="s">
        <v>1505</v>
      </c>
      <c r="PMO68" s="561" t="s">
        <v>1505</v>
      </c>
      <c r="PMP68" s="561" t="s">
        <v>1505</v>
      </c>
      <c r="PMQ68" s="561" t="s">
        <v>1505</v>
      </c>
      <c r="PMR68" s="561" t="s">
        <v>1505</v>
      </c>
      <c r="PMS68" s="561" t="s">
        <v>1505</v>
      </c>
      <c r="PMT68" s="561" t="s">
        <v>1505</v>
      </c>
      <c r="PMU68" s="561" t="s">
        <v>1505</v>
      </c>
      <c r="PMV68" s="561" t="s">
        <v>1505</v>
      </c>
      <c r="PMW68" s="561" t="s">
        <v>1505</v>
      </c>
      <c r="PMX68" s="561" t="s">
        <v>1505</v>
      </c>
      <c r="PMY68" s="561" t="s">
        <v>1505</v>
      </c>
      <c r="PMZ68" s="561" t="s">
        <v>1505</v>
      </c>
      <c r="PNA68" s="561" t="s">
        <v>1505</v>
      </c>
      <c r="PNB68" s="561" t="s">
        <v>1505</v>
      </c>
      <c r="PNC68" s="561" t="s">
        <v>1505</v>
      </c>
      <c r="PND68" s="561" t="s">
        <v>1505</v>
      </c>
      <c r="PNE68" s="561" t="s">
        <v>1505</v>
      </c>
      <c r="PNF68" s="561" t="s">
        <v>1505</v>
      </c>
      <c r="PNG68" s="561" t="s">
        <v>1505</v>
      </c>
      <c r="PNH68" s="561" t="s">
        <v>1505</v>
      </c>
      <c r="PNI68" s="561" t="s">
        <v>1505</v>
      </c>
      <c r="PNJ68" s="561" t="s">
        <v>1505</v>
      </c>
      <c r="PNK68" s="561" t="s">
        <v>1505</v>
      </c>
      <c r="PNL68" s="561" t="s">
        <v>1505</v>
      </c>
      <c r="PNM68" s="561" t="s">
        <v>1505</v>
      </c>
      <c r="PNN68" s="561" t="s">
        <v>1505</v>
      </c>
      <c r="PNO68" s="561" t="s">
        <v>1505</v>
      </c>
      <c r="PNP68" s="561" t="s">
        <v>1505</v>
      </c>
      <c r="PNQ68" s="561" t="s">
        <v>1505</v>
      </c>
      <c r="PNR68" s="561" t="s">
        <v>1505</v>
      </c>
      <c r="PNS68" s="561" t="s">
        <v>1505</v>
      </c>
      <c r="PNT68" s="561" t="s">
        <v>1505</v>
      </c>
      <c r="PNU68" s="561" t="s">
        <v>1505</v>
      </c>
      <c r="PNV68" s="561" t="s">
        <v>1505</v>
      </c>
      <c r="PNW68" s="561" t="s">
        <v>1505</v>
      </c>
      <c r="PNX68" s="561" t="s">
        <v>1505</v>
      </c>
      <c r="PNY68" s="561" t="s">
        <v>1505</v>
      </c>
      <c r="PNZ68" s="561" t="s">
        <v>1505</v>
      </c>
      <c r="POA68" s="561" t="s">
        <v>1505</v>
      </c>
      <c r="POB68" s="561" t="s">
        <v>1505</v>
      </c>
      <c r="POC68" s="561" t="s">
        <v>1505</v>
      </c>
      <c r="POD68" s="561" t="s">
        <v>1505</v>
      </c>
      <c r="POE68" s="561" t="s">
        <v>1505</v>
      </c>
      <c r="POF68" s="561" t="s">
        <v>1505</v>
      </c>
      <c r="POG68" s="561" t="s">
        <v>1505</v>
      </c>
      <c r="POH68" s="561" t="s">
        <v>1505</v>
      </c>
      <c r="POI68" s="561" t="s">
        <v>1505</v>
      </c>
      <c r="POJ68" s="561" t="s">
        <v>1505</v>
      </c>
      <c r="POK68" s="561" t="s">
        <v>1505</v>
      </c>
      <c r="POL68" s="561" t="s">
        <v>1505</v>
      </c>
      <c r="POM68" s="561" t="s">
        <v>1505</v>
      </c>
      <c r="PON68" s="561" t="s">
        <v>1505</v>
      </c>
      <c r="POO68" s="561" t="s">
        <v>1505</v>
      </c>
      <c r="POP68" s="561" t="s">
        <v>1505</v>
      </c>
      <c r="POQ68" s="561" t="s">
        <v>1505</v>
      </c>
      <c r="POR68" s="561" t="s">
        <v>1505</v>
      </c>
      <c r="POS68" s="561" t="s">
        <v>1505</v>
      </c>
      <c r="POT68" s="561" t="s">
        <v>1505</v>
      </c>
      <c r="POU68" s="561" t="s">
        <v>1505</v>
      </c>
      <c r="POV68" s="561" t="s">
        <v>1505</v>
      </c>
      <c r="POW68" s="561" t="s">
        <v>1505</v>
      </c>
      <c r="POX68" s="561" t="s">
        <v>1505</v>
      </c>
      <c r="POY68" s="561" t="s">
        <v>1505</v>
      </c>
      <c r="POZ68" s="561" t="s">
        <v>1505</v>
      </c>
      <c r="PPA68" s="561" t="s">
        <v>1505</v>
      </c>
      <c r="PPB68" s="561" t="s">
        <v>1505</v>
      </c>
      <c r="PPC68" s="561" t="s">
        <v>1505</v>
      </c>
      <c r="PPD68" s="561" t="s">
        <v>1505</v>
      </c>
      <c r="PPE68" s="561" t="s">
        <v>1505</v>
      </c>
      <c r="PPF68" s="561" t="s">
        <v>1505</v>
      </c>
      <c r="PPG68" s="561" t="s">
        <v>1505</v>
      </c>
      <c r="PPH68" s="561" t="s">
        <v>1505</v>
      </c>
      <c r="PPI68" s="561" t="s">
        <v>1505</v>
      </c>
      <c r="PPJ68" s="561" t="s">
        <v>1505</v>
      </c>
      <c r="PPK68" s="561" t="s">
        <v>1505</v>
      </c>
      <c r="PPL68" s="561" t="s">
        <v>1505</v>
      </c>
      <c r="PPM68" s="561" t="s">
        <v>1505</v>
      </c>
      <c r="PPN68" s="561" t="s">
        <v>1505</v>
      </c>
      <c r="PPO68" s="561" t="s">
        <v>1505</v>
      </c>
      <c r="PPP68" s="561" t="s">
        <v>1505</v>
      </c>
      <c r="PPQ68" s="561" t="s">
        <v>1505</v>
      </c>
      <c r="PPR68" s="561" t="s">
        <v>1505</v>
      </c>
      <c r="PPS68" s="561" t="s">
        <v>1505</v>
      </c>
      <c r="PPT68" s="561" t="s">
        <v>1505</v>
      </c>
      <c r="PPU68" s="561" t="s">
        <v>1505</v>
      </c>
      <c r="PPV68" s="561" t="s">
        <v>1505</v>
      </c>
      <c r="PPW68" s="561" t="s">
        <v>1505</v>
      </c>
      <c r="PPX68" s="561" t="s">
        <v>1505</v>
      </c>
      <c r="PPY68" s="561" t="s">
        <v>1505</v>
      </c>
      <c r="PPZ68" s="561" t="s">
        <v>1505</v>
      </c>
      <c r="PQA68" s="561" t="s">
        <v>1505</v>
      </c>
      <c r="PQB68" s="561" t="s">
        <v>1505</v>
      </c>
      <c r="PQC68" s="561" t="s">
        <v>1505</v>
      </c>
      <c r="PQD68" s="561" t="s">
        <v>1505</v>
      </c>
      <c r="PQE68" s="561" t="s">
        <v>1505</v>
      </c>
      <c r="PQF68" s="561" t="s">
        <v>1505</v>
      </c>
      <c r="PQG68" s="561" t="s">
        <v>1505</v>
      </c>
      <c r="PQH68" s="561" t="s">
        <v>1505</v>
      </c>
      <c r="PQI68" s="561" t="s">
        <v>1505</v>
      </c>
      <c r="PQJ68" s="561" t="s">
        <v>1505</v>
      </c>
      <c r="PQK68" s="561" t="s">
        <v>1505</v>
      </c>
      <c r="PQL68" s="561" t="s">
        <v>1505</v>
      </c>
      <c r="PQM68" s="561" t="s">
        <v>1505</v>
      </c>
      <c r="PQN68" s="561" t="s">
        <v>1505</v>
      </c>
      <c r="PQO68" s="561" t="s">
        <v>1505</v>
      </c>
      <c r="PQP68" s="561" t="s">
        <v>1505</v>
      </c>
      <c r="PQQ68" s="561" t="s">
        <v>1505</v>
      </c>
      <c r="PQR68" s="561" t="s">
        <v>1505</v>
      </c>
      <c r="PQS68" s="561" t="s">
        <v>1505</v>
      </c>
      <c r="PQT68" s="561" t="s">
        <v>1505</v>
      </c>
      <c r="PQU68" s="561" t="s">
        <v>1505</v>
      </c>
      <c r="PQV68" s="561" t="s">
        <v>1505</v>
      </c>
      <c r="PQW68" s="561" t="s">
        <v>1505</v>
      </c>
      <c r="PQX68" s="561" t="s">
        <v>1505</v>
      </c>
      <c r="PQY68" s="561" t="s">
        <v>1505</v>
      </c>
      <c r="PQZ68" s="561" t="s">
        <v>1505</v>
      </c>
      <c r="PRA68" s="561" t="s">
        <v>1505</v>
      </c>
      <c r="PRB68" s="561" t="s">
        <v>1505</v>
      </c>
      <c r="PRC68" s="561" t="s">
        <v>1505</v>
      </c>
      <c r="PRD68" s="561" t="s">
        <v>1505</v>
      </c>
      <c r="PRE68" s="561" t="s">
        <v>1505</v>
      </c>
      <c r="PRF68" s="561" t="s">
        <v>1505</v>
      </c>
      <c r="PRG68" s="561" t="s">
        <v>1505</v>
      </c>
      <c r="PRH68" s="561" t="s">
        <v>1505</v>
      </c>
      <c r="PRI68" s="561" t="s">
        <v>1505</v>
      </c>
      <c r="PRJ68" s="561" t="s">
        <v>1505</v>
      </c>
      <c r="PRK68" s="561" t="s">
        <v>1505</v>
      </c>
      <c r="PRL68" s="561" t="s">
        <v>1505</v>
      </c>
      <c r="PRM68" s="561" t="s">
        <v>1505</v>
      </c>
      <c r="PRN68" s="561" t="s">
        <v>1505</v>
      </c>
      <c r="PRO68" s="561" t="s">
        <v>1505</v>
      </c>
      <c r="PRP68" s="561" t="s">
        <v>1505</v>
      </c>
      <c r="PRQ68" s="561" t="s">
        <v>1505</v>
      </c>
      <c r="PRR68" s="561" t="s">
        <v>1505</v>
      </c>
      <c r="PRS68" s="561" t="s">
        <v>1505</v>
      </c>
      <c r="PRT68" s="561" t="s">
        <v>1505</v>
      </c>
      <c r="PRU68" s="561" t="s">
        <v>1505</v>
      </c>
      <c r="PRV68" s="561" t="s">
        <v>1505</v>
      </c>
      <c r="PRW68" s="561" t="s">
        <v>1505</v>
      </c>
      <c r="PRX68" s="561" t="s">
        <v>1505</v>
      </c>
      <c r="PRY68" s="561" t="s">
        <v>1505</v>
      </c>
      <c r="PRZ68" s="561" t="s">
        <v>1505</v>
      </c>
      <c r="PSA68" s="561" t="s">
        <v>1505</v>
      </c>
      <c r="PSB68" s="561" t="s">
        <v>1505</v>
      </c>
      <c r="PSC68" s="561" t="s">
        <v>1505</v>
      </c>
      <c r="PSD68" s="561" t="s">
        <v>1505</v>
      </c>
      <c r="PSE68" s="561" t="s">
        <v>1505</v>
      </c>
      <c r="PSF68" s="561" t="s">
        <v>1505</v>
      </c>
      <c r="PSG68" s="561" t="s">
        <v>1505</v>
      </c>
      <c r="PSH68" s="561" t="s">
        <v>1505</v>
      </c>
      <c r="PSI68" s="561" t="s">
        <v>1505</v>
      </c>
      <c r="PSJ68" s="561" t="s">
        <v>1505</v>
      </c>
      <c r="PSK68" s="561" t="s">
        <v>1505</v>
      </c>
      <c r="PSL68" s="561" t="s">
        <v>1505</v>
      </c>
      <c r="PSM68" s="561" t="s">
        <v>1505</v>
      </c>
      <c r="PSN68" s="561" t="s">
        <v>1505</v>
      </c>
      <c r="PSO68" s="561" t="s">
        <v>1505</v>
      </c>
      <c r="PSP68" s="561" t="s">
        <v>1505</v>
      </c>
      <c r="PSQ68" s="561" t="s">
        <v>1505</v>
      </c>
      <c r="PSR68" s="561" t="s">
        <v>1505</v>
      </c>
      <c r="PSS68" s="561" t="s">
        <v>1505</v>
      </c>
      <c r="PST68" s="561" t="s">
        <v>1505</v>
      </c>
      <c r="PSU68" s="561" t="s">
        <v>1505</v>
      </c>
      <c r="PSV68" s="561" t="s">
        <v>1505</v>
      </c>
      <c r="PSW68" s="561" t="s">
        <v>1505</v>
      </c>
      <c r="PSX68" s="561" t="s">
        <v>1505</v>
      </c>
      <c r="PSY68" s="561" t="s">
        <v>1505</v>
      </c>
      <c r="PSZ68" s="561" t="s">
        <v>1505</v>
      </c>
      <c r="PTA68" s="561" t="s">
        <v>1505</v>
      </c>
      <c r="PTB68" s="561" t="s">
        <v>1505</v>
      </c>
      <c r="PTC68" s="561" t="s">
        <v>1505</v>
      </c>
      <c r="PTD68" s="561" t="s">
        <v>1505</v>
      </c>
      <c r="PTE68" s="561" t="s">
        <v>1505</v>
      </c>
      <c r="PTF68" s="561" t="s">
        <v>1505</v>
      </c>
      <c r="PTG68" s="561" t="s">
        <v>1505</v>
      </c>
      <c r="PTH68" s="561" t="s">
        <v>1505</v>
      </c>
      <c r="PTI68" s="561" t="s">
        <v>1505</v>
      </c>
      <c r="PTJ68" s="561" t="s">
        <v>1505</v>
      </c>
      <c r="PTK68" s="561" t="s">
        <v>1505</v>
      </c>
      <c r="PTL68" s="561" t="s">
        <v>1505</v>
      </c>
      <c r="PTM68" s="561" t="s">
        <v>1505</v>
      </c>
      <c r="PTN68" s="561" t="s">
        <v>1505</v>
      </c>
      <c r="PTO68" s="561" t="s">
        <v>1505</v>
      </c>
      <c r="PTP68" s="561" t="s">
        <v>1505</v>
      </c>
      <c r="PTQ68" s="561" t="s">
        <v>1505</v>
      </c>
      <c r="PTR68" s="561" t="s">
        <v>1505</v>
      </c>
      <c r="PTS68" s="561" t="s">
        <v>1505</v>
      </c>
      <c r="PTT68" s="561" t="s">
        <v>1505</v>
      </c>
      <c r="PTU68" s="561" t="s">
        <v>1505</v>
      </c>
      <c r="PTV68" s="561" t="s">
        <v>1505</v>
      </c>
      <c r="PTW68" s="561" t="s">
        <v>1505</v>
      </c>
      <c r="PTX68" s="561" t="s">
        <v>1505</v>
      </c>
      <c r="PTY68" s="561" t="s">
        <v>1505</v>
      </c>
      <c r="PTZ68" s="561" t="s">
        <v>1505</v>
      </c>
      <c r="PUA68" s="561" t="s">
        <v>1505</v>
      </c>
      <c r="PUB68" s="561" t="s">
        <v>1505</v>
      </c>
      <c r="PUC68" s="561" t="s">
        <v>1505</v>
      </c>
      <c r="PUD68" s="561" t="s">
        <v>1505</v>
      </c>
      <c r="PUE68" s="561" t="s">
        <v>1505</v>
      </c>
      <c r="PUF68" s="561" t="s">
        <v>1505</v>
      </c>
      <c r="PUG68" s="561" t="s">
        <v>1505</v>
      </c>
      <c r="PUH68" s="561" t="s">
        <v>1505</v>
      </c>
      <c r="PUI68" s="561" t="s">
        <v>1505</v>
      </c>
      <c r="PUJ68" s="561" t="s">
        <v>1505</v>
      </c>
      <c r="PUK68" s="561" t="s">
        <v>1505</v>
      </c>
      <c r="PUL68" s="561" t="s">
        <v>1505</v>
      </c>
      <c r="PUM68" s="561" t="s">
        <v>1505</v>
      </c>
      <c r="PUN68" s="561" t="s">
        <v>1505</v>
      </c>
      <c r="PUO68" s="561" t="s">
        <v>1505</v>
      </c>
      <c r="PUP68" s="561" t="s">
        <v>1505</v>
      </c>
      <c r="PUQ68" s="561" t="s">
        <v>1505</v>
      </c>
      <c r="PUR68" s="561" t="s">
        <v>1505</v>
      </c>
      <c r="PUS68" s="561" t="s">
        <v>1505</v>
      </c>
      <c r="PUT68" s="561" t="s">
        <v>1505</v>
      </c>
      <c r="PUU68" s="561" t="s">
        <v>1505</v>
      </c>
      <c r="PUV68" s="561" t="s">
        <v>1505</v>
      </c>
      <c r="PUW68" s="561" t="s">
        <v>1505</v>
      </c>
      <c r="PUX68" s="561" t="s">
        <v>1505</v>
      </c>
      <c r="PUY68" s="561" t="s">
        <v>1505</v>
      </c>
      <c r="PUZ68" s="561" t="s">
        <v>1505</v>
      </c>
      <c r="PVA68" s="561" t="s">
        <v>1505</v>
      </c>
      <c r="PVB68" s="561" t="s">
        <v>1505</v>
      </c>
      <c r="PVC68" s="561" t="s">
        <v>1505</v>
      </c>
      <c r="PVD68" s="561" t="s">
        <v>1505</v>
      </c>
      <c r="PVE68" s="561" t="s">
        <v>1505</v>
      </c>
      <c r="PVF68" s="561" t="s">
        <v>1505</v>
      </c>
      <c r="PVG68" s="561" t="s">
        <v>1505</v>
      </c>
      <c r="PVH68" s="561" t="s">
        <v>1505</v>
      </c>
      <c r="PVI68" s="561" t="s">
        <v>1505</v>
      </c>
      <c r="PVJ68" s="561" t="s">
        <v>1505</v>
      </c>
      <c r="PVK68" s="561" t="s">
        <v>1505</v>
      </c>
      <c r="PVL68" s="561" t="s">
        <v>1505</v>
      </c>
      <c r="PVM68" s="561" t="s">
        <v>1505</v>
      </c>
      <c r="PVN68" s="561" t="s">
        <v>1505</v>
      </c>
      <c r="PVO68" s="561" t="s">
        <v>1505</v>
      </c>
      <c r="PVP68" s="561" t="s">
        <v>1505</v>
      </c>
      <c r="PVQ68" s="561" t="s">
        <v>1505</v>
      </c>
      <c r="PVR68" s="561" t="s">
        <v>1505</v>
      </c>
      <c r="PVS68" s="561" t="s">
        <v>1505</v>
      </c>
      <c r="PVT68" s="561" t="s">
        <v>1505</v>
      </c>
      <c r="PVU68" s="561" t="s">
        <v>1505</v>
      </c>
      <c r="PVV68" s="561" t="s">
        <v>1505</v>
      </c>
      <c r="PVW68" s="561" t="s">
        <v>1505</v>
      </c>
      <c r="PVX68" s="561" t="s">
        <v>1505</v>
      </c>
      <c r="PVY68" s="561" t="s">
        <v>1505</v>
      </c>
      <c r="PVZ68" s="561" t="s">
        <v>1505</v>
      </c>
      <c r="PWA68" s="561" t="s">
        <v>1505</v>
      </c>
      <c r="PWB68" s="561" t="s">
        <v>1505</v>
      </c>
      <c r="PWC68" s="561" t="s">
        <v>1505</v>
      </c>
      <c r="PWD68" s="561" t="s">
        <v>1505</v>
      </c>
      <c r="PWE68" s="561" t="s">
        <v>1505</v>
      </c>
      <c r="PWF68" s="561" t="s">
        <v>1505</v>
      </c>
      <c r="PWG68" s="561" t="s">
        <v>1505</v>
      </c>
      <c r="PWH68" s="561" t="s">
        <v>1505</v>
      </c>
      <c r="PWI68" s="561" t="s">
        <v>1505</v>
      </c>
      <c r="PWJ68" s="561" t="s">
        <v>1505</v>
      </c>
      <c r="PWK68" s="561" t="s">
        <v>1505</v>
      </c>
      <c r="PWL68" s="561" t="s">
        <v>1505</v>
      </c>
      <c r="PWM68" s="561" t="s">
        <v>1505</v>
      </c>
      <c r="PWN68" s="561" t="s">
        <v>1505</v>
      </c>
      <c r="PWO68" s="561" t="s">
        <v>1505</v>
      </c>
      <c r="PWP68" s="561" t="s">
        <v>1505</v>
      </c>
      <c r="PWQ68" s="561" t="s">
        <v>1505</v>
      </c>
      <c r="PWR68" s="561" t="s">
        <v>1505</v>
      </c>
      <c r="PWS68" s="561" t="s">
        <v>1505</v>
      </c>
      <c r="PWT68" s="561" t="s">
        <v>1505</v>
      </c>
      <c r="PWU68" s="561" t="s">
        <v>1505</v>
      </c>
      <c r="PWV68" s="561" t="s">
        <v>1505</v>
      </c>
      <c r="PWW68" s="561" t="s">
        <v>1505</v>
      </c>
      <c r="PWX68" s="561" t="s">
        <v>1505</v>
      </c>
      <c r="PWY68" s="561" t="s">
        <v>1505</v>
      </c>
      <c r="PWZ68" s="561" t="s">
        <v>1505</v>
      </c>
      <c r="PXA68" s="561" t="s">
        <v>1505</v>
      </c>
      <c r="PXB68" s="561" t="s">
        <v>1505</v>
      </c>
      <c r="PXC68" s="561" t="s">
        <v>1505</v>
      </c>
      <c r="PXD68" s="561" t="s">
        <v>1505</v>
      </c>
      <c r="PXE68" s="561" t="s">
        <v>1505</v>
      </c>
      <c r="PXF68" s="561" t="s">
        <v>1505</v>
      </c>
      <c r="PXG68" s="561" t="s">
        <v>1505</v>
      </c>
      <c r="PXH68" s="561" t="s">
        <v>1505</v>
      </c>
      <c r="PXI68" s="561" t="s">
        <v>1505</v>
      </c>
      <c r="PXJ68" s="561" t="s">
        <v>1505</v>
      </c>
      <c r="PXK68" s="561" t="s">
        <v>1505</v>
      </c>
      <c r="PXL68" s="561" t="s">
        <v>1505</v>
      </c>
      <c r="PXM68" s="561" t="s">
        <v>1505</v>
      </c>
      <c r="PXN68" s="561" t="s">
        <v>1505</v>
      </c>
      <c r="PXO68" s="561" t="s">
        <v>1505</v>
      </c>
      <c r="PXP68" s="561" t="s">
        <v>1505</v>
      </c>
      <c r="PXQ68" s="561" t="s">
        <v>1505</v>
      </c>
      <c r="PXR68" s="561" t="s">
        <v>1505</v>
      </c>
      <c r="PXS68" s="561" t="s">
        <v>1505</v>
      </c>
      <c r="PXT68" s="561" t="s">
        <v>1505</v>
      </c>
      <c r="PXU68" s="561" t="s">
        <v>1505</v>
      </c>
      <c r="PXV68" s="561" t="s">
        <v>1505</v>
      </c>
      <c r="PXW68" s="561" t="s">
        <v>1505</v>
      </c>
      <c r="PXX68" s="561" t="s">
        <v>1505</v>
      </c>
      <c r="PXY68" s="561" t="s">
        <v>1505</v>
      </c>
      <c r="PXZ68" s="561" t="s">
        <v>1505</v>
      </c>
      <c r="PYA68" s="561" t="s">
        <v>1505</v>
      </c>
      <c r="PYB68" s="561" t="s">
        <v>1505</v>
      </c>
      <c r="PYC68" s="561" t="s">
        <v>1505</v>
      </c>
      <c r="PYD68" s="561" t="s">
        <v>1505</v>
      </c>
      <c r="PYE68" s="561" t="s">
        <v>1505</v>
      </c>
      <c r="PYF68" s="561" t="s">
        <v>1505</v>
      </c>
      <c r="PYG68" s="561" t="s">
        <v>1505</v>
      </c>
      <c r="PYH68" s="561" t="s">
        <v>1505</v>
      </c>
      <c r="PYI68" s="561" t="s">
        <v>1505</v>
      </c>
      <c r="PYJ68" s="561" t="s">
        <v>1505</v>
      </c>
      <c r="PYK68" s="561" t="s">
        <v>1505</v>
      </c>
      <c r="PYL68" s="561" t="s">
        <v>1505</v>
      </c>
      <c r="PYM68" s="561" t="s">
        <v>1505</v>
      </c>
      <c r="PYN68" s="561" t="s">
        <v>1505</v>
      </c>
      <c r="PYO68" s="561" t="s">
        <v>1505</v>
      </c>
      <c r="PYP68" s="561" t="s">
        <v>1505</v>
      </c>
      <c r="PYQ68" s="561" t="s">
        <v>1505</v>
      </c>
      <c r="PYR68" s="561" t="s">
        <v>1505</v>
      </c>
      <c r="PYS68" s="561" t="s">
        <v>1505</v>
      </c>
      <c r="PYT68" s="561" t="s">
        <v>1505</v>
      </c>
      <c r="PYU68" s="561" t="s">
        <v>1505</v>
      </c>
      <c r="PYV68" s="561" t="s">
        <v>1505</v>
      </c>
      <c r="PYW68" s="561" t="s">
        <v>1505</v>
      </c>
      <c r="PYX68" s="561" t="s">
        <v>1505</v>
      </c>
      <c r="PYY68" s="561" t="s">
        <v>1505</v>
      </c>
      <c r="PYZ68" s="561" t="s">
        <v>1505</v>
      </c>
      <c r="PZA68" s="561" t="s">
        <v>1505</v>
      </c>
      <c r="PZB68" s="561" t="s">
        <v>1505</v>
      </c>
      <c r="PZC68" s="561" t="s">
        <v>1505</v>
      </c>
      <c r="PZD68" s="561" t="s">
        <v>1505</v>
      </c>
      <c r="PZE68" s="561" t="s">
        <v>1505</v>
      </c>
      <c r="PZF68" s="561" t="s">
        <v>1505</v>
      </c>
      <c r="PZG68" s="561" t="s">
        <v>1505</v>
      </c>
      <c r="PZH68" s="561" t="s">
        <v>1505</v>
      </c>
      <c r="PZI68" s="561" t="s">
        <v>1505</v>
      </c>
      <c r="PZJ68" s="561" t="s">
        <v>1505</v>
      </c>
      <c r="PZK68" s="561" t="s">
        <v>1505</v>
      </c>
      <c r="PZL68" s="561" t="s">
        <v>1505</v>
      </c>
      <c r="PZM68" s="561" t="s">
        <v>1505</v>
      </c>
      <c r="PZN68" s="561" t="s">
        <v>1505</v>
      </c>
      <c r="PZO68" s="561" t="s">
        <v>1505</v>
      </c>
      <c r="PZP68" s="561" t="s">
        <v>1505</v>
      </c>
      <c r="PZQ68" s="561" t="s">
        <v>1505</v>
      </c>
      <c r="PZR68" s="561" t="s">
        <v>1505</v>
      </c>
      <c r="PZS68" s="561" t="s">
        <v>1505</v>
      </c>
      <c r="PZT68" s="561" t="s">
        <v>1505</v>
      </c>
      <c r="PZU68" s="561" t="s">
        <v>1505</v>
      </c>
      <c r="PZV68" s="561" t="s">
        <v>1505</v>
      </c>
      <c r="PZW68" s="561" t="s">
        <v>1505</v>
      </c>
      <c r="PZX68" s="561" t="s">
        <v>1505</v>
      </c>
      <c r="PZY68" s="561" t="s">
        <v>1505</v>
      </c>
      <c r="PZZ68" s="561" t="s">
        <v>1505</v>
      </c>
      <c r="QAA68" s="561" t="s">
        <v>1505</v>
      </c>
      <c r="QAB68" s="561" t="s">
        <v>1505</v>
      </c>
      <c r="QAC68" s="561" t="s">
        <v>1505</v>
      </c>
      <c r="QAD68" s="561" t="s">
        <v>1505</v>
      </c>
      <c r="QAE68" s="561" t="s">
        <v>1505</v>
      </c>
      <c r="QAF68" s="561" t="s">
        <v>1505</v>
      </c>
      <c r="QAG68" s="561" t="s">
        <v>1505</v>
      </c>
      <c r="QAH68" s="561" t="s">
        <v>1505</v>
      </c>
      <c r="QAI68" s="561" t="s">
        <v>1505</v>
      </c>
      <c r="QAJ68" s="561" t="s">
        <v>1505</v>
      </c>
      <c r="QAK68" s="561" t="s">
        <v>1505</v>
      </c>
      <c r="QAL68" s="561" t="s">
        <v>1505</v>
      </c>
      <c r="QAM68" s="561" t="s">
        <v>1505</v>
      </c>
      <c r="QAN68" s="561" t="s">
        <v>1505</v>
      </c>
      <c r="QAO68" s="561" t="s">
        <v>1505</v>
      </c>
      <c r="QAP68" s="561" t="s">
        <v>1505</v>
      </c>
      <c r="QAQ68" s="561" t="s">
        <v>1505</v>
      </c>
      <c r="QAR68" s="561" t="s">
        <v>1505</v>
      </c>
      <c r="QAS68" s="561" t="s">
        <v>1505</v>
      </c>
      <c r="QAT68" s="561" t="s">
        <v>1505</v>
      </c>
      <c r="QAU68" s="561" t="s">
        <v>1505</v>
      </c>
      <c r="QAV68" s="561" t="s">
        <v>1505</v>
      </c>
      <c r="QAW68" s="561" t="s">
        <v>1505</v>
      </c>
      <c r="QAX68" s="561" t="s">
        <v>1505</v>
      </c>
      <c r="QAY68" s="561" t="s">
        <v>1505</v>
      </c>
      <c r="QAZ68" s="561" t="s">
        <v>1505</v>
      </c>
      <c r="QBA68" s="561" t="s">
        <v>1505</v>
      </c>
      <c r="QBB68" s="561" t="s">
        <v>1505</v>
      </c>
      <c r="QBC68" s="561" t="s">
        <v>1505</v>
      </c>
      <c r="QBD68" s="561" t="s">
        <v>1505</v>
      </c>
      <c r="QBE68" s="561" t="s">
        <v>1505</v>
      </c>
      <c r="QBF68" s="561" t="s">
        <v>1505</v>
      </c>
      <c r="QBG68" s="561" t="s">
        <v>1505</v>
      </c>
      <c r="QBH68" s="561" t="s">
        <v>1505</v>
      </c>
      <c r="QBI68" s="561" t="s">
        <v>1505</v>
      </c>
      <c r="QBJ68" s="561" t="s">
        <v>1505</v>
      </c>
      <c r="QBK68" s="561" t="s">
        <v>1505</v>
      </c>
      <c r="QBL68" s="561" t="s">
        <v>1505</v>
      </c>
      <c r="QBM68" s="561" t="s">
        <v>1505</v>
      </c>
      <c r="QBN68" s="561" t="s">
        <v>1505</v>
      </c>
      <c r="QBO68" s="561" t="s">
        <v>1505</v>
      </c>
      <c r="QBP68" s="561" t="s">
        <v>1505</v>
      </c>
      <c r="QBQ68" s="561" t="s">
        <v>1505</v>
      </c>
      <c r="QBR68" s="561" t="s">
        <v>1505</v>
      </c>
      <c r="QBS68" s="561" t="s">
        <v>1505</v>
      </c>
      <c r="QBT68" s="561" t="s">
        <v>1505</v>
      </c>
      <c r="QBU68" s="561" t="s">
        <v>1505</v>
      </c>
      <c r="QBV68" s="561" t="s">
        <v>1505</v>
      </c>
      <c r="QBW68" s="561" t="s">
        <v>1505</v>
      </c>
      <c r="QBX68" s="561" t="s">
        <v>1505</v>
      </c>
      <c r="QBY68" s="561" t="s">
        <v>1505</v>
      </c>
      <c r="QBZ68" s="561" t="s">
        <v>1505</v>
      </c>
      <c r="QCA68" s="561" t="s">
        <v>1505</v>
      </c>
      <c r="QCB68" s="561" t="s">
        <v>1505</v>
      </c>
      <c r="QCC68" s="561" t="s">
        <v>1505</v>
      </c>
      <c r="QCD68" s="561" t="s">
        <v>1505</v>
      </c>
      <c r="QCE68" s="561" t="s">
        <v>1505</v>
      </c>
      <c r="QCF68" s="561" t="s">
        <v>1505</v>
      </c>
      <c r="QCG68" s="561" t="s">
        <v>1505</v>
      </c>
      <c r="QCH68" s="561" t="s">
        <v>1505</v>
      </c>
      <c r="QCI68" s="561" t="s">
        <v>1505</v>
      </c>
      <c r="QCJ68" s="561" t="s">
        <v>1505</v>
      </c>
      <c r="QCK68" s="561" t="s">
        <v>1505</v>
      </c>
      <c r="QCL68" s="561" t="s">
        <v>1505</v>
      </c>
      <c r="QCM68" s="561" t="s">
        <v>1505</v>
      </c>
      <c r="QCN68" s="561" t="s">
        <v>1505</v>
      </c>
      <c r="QCO68" s="561" t="s">
        <v>1505</v>
      </c>
      <c r="QCP68" s="561" t="s">
        <v>1505</v>
      </c>
      <c r="QCQ68" s="561" t="s">
        <v>1505</v>
      </c>
      <c r="QCR68" s="561" t="s">
        <v>1505</v>
      </c>
      <c r="QCS68" s="561" t="s">
        <v>1505</v>
      </c>
      <c r="QCT68" s="561" t="s">
        <v>1505</v>
      </c>
      <c r="QCU68" s="561" t="s">
        <v>1505</v>
      </c>
      <c r="QCV68" s="561" t="s">
        <v>1505</v>
      </c>
      <c r="QCW68" s="561" t="s">
        <v>1505</v>
      </c>
      <c r="QCX68" s="561" t="s">
        <v>1505</v>
      </c>
      <c r="QCY68" s="561" t="s">
        <v>1505</v>
      </c>
      <c r="QCZ68" s="561" t="s">
        <v>1505</v>
      </c>
      <c r="QDA68" s="561" t="s">
        <v>1505</v>
      </c>
      <c r="QDB68" s="561" t="s">
        <v>1505</v>
      </c>
      <c r="QDC68" s="561" t="s">
        <v>1505</v>
      </c>
      <c r="QDD68" s="561" t="s">
        <v>1505</v>
      </c>
      <c r="QDE68" s="561" t="s">
        <v>1505</v>
      </c>
      <c r="QDF68" s="561" t="s">
        <v>1505</v>
      </c>
      <c r="QDG68" s="561" t="s">
        <v>1505</v>
      </c>
      <c r="QDH68" s="561" t="s">
        <v>1505</v>
      </c>
      <c r="QDI68" s="561" t="s">
        <v>1505</v>
      </c>
      <c r="QDJ68" s="561" t="s">
        <v>1505</v>
      </c>
      <c r="QDK68" s="561" t="s">
        <v>1505</v>
      </c>
      <c r="QDL68" s="561" t="s">
        <v>1505</v>
      </c>
      <c r="QDM68" s="561" t="s">
        <v>1505</v>
      </c>
      <c r="QDN68" s="561" t="s">
        <v>1505</v>
      </c>
      <c r="QDO68" s="561" t="s">
        <v>1505</v>
      </c>
      <c r="QDP68" s="561" t="s">
        <v>1505</v>
      </c>
      <c r="QDQ68" s="561" t="s">
        <v>1505</v>
      </c>
      <c r="QDR68" s="561" t="s">
        <v>1505</v>
      </c>
      <c r="QDS68" s="561" t="s">
        <v>1505</v>
      </c>
      <c r="QDT68" s="561" t="s">
        <v>1505</v>
      </c>
      <c r="QDU68" s="561" t="s">
        <v>1505</v>
      </c>
      <c r="QDV68" s="561" t="s">
        <v>1505</v>
      </c>
      <c r="QDW68" s="561" t="s">
        <v>1505</v>
      </c>
      <c r="QDX68" s="561" t="s">
        <v>1505</v>
      </c>
      <c r="QDY68" s="561" t="s">
        <v>1505</v>
      </c>
      <c r="QDZ68" s="561" t="s">
        <v>1505</v>
      </c>
      <c r="QEA68" s="561" t="s">
        <v>1505</v>
      </c>
      <c r="QEB68" s="561" t="s">
        <v>1505</v>
      </c>
      <c r="QEC68" s="561" t="s">
        <v>1505</v>
      </c>
      <c r="QED68" s="561" t="s">
        <v>1505</v>
      </c>
      <c r="QEE68" s="561" t="s">
        <v>1505</v>
      </c>
      <c r="QEF68" s="561" t="s">
        <v>1505</v>
      </c>
      <c r="QEG68" s="561" t="s">
        <v>1505</v>
      </c>
      <c r="QEH68" s="561" t="s">
        <v>1505</v>
      </c>
      <c r="QEI68" s="561" t="s">
        <v>1505</v>
      </c>
      <c r="QEJ68" s="561" t="s">
        <v>1505</v>
      </c>
      <c r="QEK68" s="561" t="s">
        <v>1505</v>
      </c>
      <c r="QEL68" s="561" t="s">
        <v>1505</v>
      </c>
      <c r="QEM68" s="561" t="s">
        <v>1505</v>
      </c>
      <c r="QEN68" s="561" t="s">
        <v>1505</v>
      </c>
      <c r="QEO68" s="561" t="s">
        <v>1505</v>
      </c>
      <c r="QEP68" s="561" t="s">
        <v>1505</v>
      </c>
      <c r="QEQ68" s="561" t="s">
        <v>1505</v>
      </c>
      <c r="QER68" s="561" t="s">
        <v>1505</v>
      </c>
      <c r="QES68" s="561" t="s">
        <v>1505</v>
      </c>
      <c r="QET68" s="561" t="s">
        <v>1505</v>
      </c>
      <c r="QEU68" s="561" t="s">
        <v>1505</v>
      </c>
      <c r="QEV68" s="561" t="s">
        <v>1505</v>
      </c>
      <c r="QEW68" s="561" t="s">
        <v>1505</v>
      </c>
      <c r="QEX68" s="561" t="s">
        <v>1505</v>
      </c>
      <c r="QEY68" s="561" t="s">
        <v>1505</v>
      </c>
      <c r="QEZ68" s="561" t="s">
        <v>1505</v>
      </c>
      <c r="QFA68" s="561" t="s">
        <v>1505</v>
      </c>
      <c r="QFB68" s="561" t="s">
        <v>1505</v>
      </c>
      <c r="QFC68" s="561" t="s">
        <v>1505</v>
      </c>
      <c r="QFD68" s="561" t="s">
        <v>1505</v>
      </c>
      <c r="QFE68" s="561" t="s">
        <v>1505</v>
      </c>
      <c r="QFF68" s="561" t="s">
        <v>1505</v>
      </c>
      <c r="QFG68" s="561" t="s">
        <v>1505</v>
      </c>
      <c r="QFH68" s="561" t="s">
        <v>1505</v>
      </c>
      <c r="QFI68" s="561" t="s">
        <v>1505</v>
      </c>
      <c r="QFJ68" s="561" t="s">
        <v>1505</v>
      </c>
      <c r="QFK68" s="561" t="s">
        <v>1505</v>
      </c>
      <c r="QFL68" s="561" t="s">
        <v>1505</v>
      </c>
      <c r="QFM68" s="561" t="s">
        <v>1505</v>
      </c>
      <c r="QFN68" s="561" t="s">
        <v>1505</v>
      </c>
      <c r="QFO68" s="561" t="s">
        <v>1505</v>
      </c>
      <c r="QFP68" s="561" t="s">
        <v>1505</v>
      </c>
      <c r="QFQ68" s="561" t="s">
        <v>1505</v>
      </c>
      <c r="QFR68" s="561" t="s">
        <v>1505</v>
      </c>
      <c r="QFS68" s="561" t="s">
        <v>1505</v>
      </c>
      <c r="QFT68" s="561" t="s">
        <v>1505</v>
      </c>
      <c r="QFU68" s="561" t="s">
        <v>1505</v>
      </c>
      <c r="QFV68" s="561" t="s">
        <v>1505</v>
      </c>
      <c r="QFW68" s="561" t="s">
        <v>1505</v>
      </c>
      <c r="QFX68" s="561" t="s">
        <v>1505</v>
      </c>
      <c r="QFY68" s="561" t="s">
        <v>1505</v>
      </c>
      <c r="QFZ68" s="561" t="s">
        <v>1505</v>
      </c>
      <c r="QGA68" s="561" t="s">
        <v>1505</v>
      </c>
      <c r="QGB68" s="561" t="s">
        <v>1505</v>
      </c>
      <c r="QGC68" s="561" t="s">
        <v>1505</v>
      </c>
      <c r="QGD68" s="561" t="s">
        <v>1505</v>
      </c>
      <c r="QGE68" s="561" t="s">
        <v>1505</v>
      </c>
      <c r="QGF68" s="561" t="s">
        <v>1505</v>
      </c>
      <c r="QGG68" s="561" t="s">
        <v>1505</v>
      </c>
      <c r="QGH68" s="561" t="s">
        <v>1505</v>
      </c>
      <c r="QGI68" s="561" t="s">
        <v>1505</v>
      </c>
      <c r="QGJ68" s="561" t="s">
        <v>1505</v>
      </c>
      <c r="QGK68" s="561" t="s">
        <v>1505</v>
      </c>
      <c r="QGL68" s="561" t="s">
        <v>1505</v>
      </c>
      <c r="QGM68" s="561" t="s">
        <v>1505</v>
      </c>
      <c r="QGN68" s="561" t="s">
        <v>1505</v>
      </c>
      <c r="QGO68" s="561" t="s">
        <v>1505</v>
      </c>
      <c r="QGP68" s="561" t="s">
        <v>1505</v>
      </c>
      <c r="QGQ68" s="561" t="s">
        <v>1505</v>
      </c>
      <c r="QGR68" s="561" t="s">
        <v>1505</v>
      </c>
      <c r="QGS68" s="561" t="s">
        <v>1505</v>
      </c>
      <c r="QGT68" s="561" t="s">
        <v>1505</v>
      </c>
      <c r="QGU68" s="561" t="s">
        <v>1505</v>
      </c>
      <c r="QGV68" s="561" t="s">
        <v>1505</v>
      </c>
      <c r="QGW68" s="561" t="s">
        <v>1505</v>
      </c>
      <c r="QGX68" s="561" t="s">
        <v>1505</v>
      </c>
      <c r="QGY68" s="561" t="s">
        <v>1505</v>
      </c>
      <c r="QGZ68" s="561" t="s">
        <v>1505</v>
      </c>
      <c r="QHA68" s="561" t="s">
        <v>1505</v>
      </c>
      <c r="QHB68" s="561" t="s">
        <v>1505</v>
      </c>
      <c r="QHC68" s="561" t="s">
        <v>1505</v>
      </c>
      <c r="QHD68" s="561" t="s">
        <v>1505</v>
      </c>
      <c r="QHE68" s="561" t="s">
        <v>1505</v>
      </c>
      <c r="QHF68" s="561" t="s">
        <v>1505</v>
      </c>
      <c r="QHG68" s="561" t="s">
        <v>1505</v>
      </c>
      <c r="QHH68" s="561" t="s">
        <v>1505</v>
      </c>
      <c r="QHI68" s="561" t="s">
        <v>1505</v>
      </c>
      <c r="QHJ68" s="561" t="s">
        <v>1505</v>
      </c>
      <c r="QHK68" s="561" t="s">
        <v>1505</v>
      </c>
      <c r="QHL68" s="561" t="s">
        <v>1505</v>
      </c>
      <c r="QHM68" s="561" t="s">
        <v>1505</v>
      </c>
      <c r="QHN68" s="561" t="s">
        <v>1505</v>
      </c>
      <c r="QHO68" s="561" t="s">
        <v>1505</v>
      </c>
      <c r="QHP68" s="561" t="s">
        <v>1505</v>
      </c>
      <c r="QHQ68" s="561" t="s">
        <v>1505</v>
      </c>
      <c r="QHR68" s="561" t="s">
        <v>1505</v>
      </c>
      <c r="QHS68" s="561" t="s">
        <v>1505</v>
      </c>
      <c r="QHT68" s="561" t="s">
        <v>1505</v>
      </c>
      <c r="QHU68" s="561" t="s">
        <v>1505</v>
      </c>
      <c r="QHV68" s="561" t="s">
        <v>1505</v>
      </c>
      <c r="QHW68" s="561" t="s">
        <v>1505</v>
      </c>
      <c r="QHX68" s="561" t="s">
        <v>1505</v>
      </c>
      <c r="QHY68" s="561" t="s">
        <v>1505</v>
      </c>
      <c r="QHZ68" s="561" t="s">
        <v>1505</v>
      </c>
      <c r="QIA68" s="561" t="s">
        <v>1505</v>
      </c>
      <c r="QIB68" s="561" t="s">
        <v>1505</v>
      </c>
      <c r="QIC68" s="561" t="s">
        <v>1505</v>
      </c>
      <c r="QID68" s="561" t="s">
        <v>1505</v>
      </c>
      <c r="QIE68" s="561" t="s">
        <v>1505</v>
      </c>
      <c r="QIF68" s="561" t="s">
        <v>1505</v>
      </c>
      <c r="QIG68" s="561" t="s">
        <v>1505</v>
      </c>
      <c r="QIH68" s="561" t="s">
        <v>1505</v>
      </c>
      <c r="QII68" s="561" t="s">
        <v>1505</v>
      </c>
      <c r="QIJ68" s="561" t="s">
        <v>1505</v>
      </c>
      <c r="QIK68" s="561" t="s">
        <v>1505</v>
      </c>
      <c r="QIL68" s="561" t="s">
        <v>1505</v>
      </c>
      <c r="QIM68" s="561" t="s">
        <v>1505</v>
      </c>
      <c r="QIN68" s="561" t="s">
        <v>1505</v>
      </c>
      <c r="QIO68" s="561" t="s">
        <v>1505</v>
      </c>
      <c r="QIP68" s="561" t="s">
        <v>1505</v>
      </c>
      <c r="QIQ68" s="561" t="s">
        <v>1505</v>
      </c>
      <c r="QIR68" s="561" t="s">
        <v>1505</v>
      </c>
      <c r="QIS68" s="561" t="s">
        <v>1505</v>
      </c>
      <c r="QIT68" s="561" t="s">
        <v>1505</v>
      </c>
      <c r="QIU68" s="561" t="s">
        <v>1505</v>
      </c>
      <c r="QIV68" s="561" t="s">
        <v>1505</v>
      </c>
      <c r="QIW68" s="561" t="s">
        <v>1505</v>
      </c>
      <c r="QIX68" s="561" t="s">
        <v>1505</v>
      </c>
      <c r="QIY68" s="561" t="s">
        <v>1505</v>
      </c>
      <c r="QIZ68" s="561" t="s">
        <v>1505</v>
      </c>
      <c r="QJA68" s="561" t="s">
        <v>1505</v>
      </c>
      <c r="QJB68" s="561" t="s">
        <v>1505</v>
      </c>
      <c r="QJC68" s="561" t="s">
        <v>1505</v>
      </c>
      <c r="QJD68" s="561" t="s">
        <v>1505</v>
      </c>
      <c r="QJE68" s="561" t="s">
        <v>1505</v>
      </c>
      <c r="QJF68" s="561" t="s">
        <v>1505</v>
      </c>
      <c r="QJG68" s="561" t="s">
        <v>1505</v>
      </c>
      <c r="QJH68" s="561" t="s">
        <v>1505</v>
      </c>
      <c r="QJI68" s="561" t="s">
        <v>1505</v>
      </c>
      <c r="QJJ68" s="561" t="s">
        <v>1505</v>
      </c>
      <c r="QJK68" s="561" t="s">
        <v>1505</v>
      </c>
      <c r="QJL68" s="561" t="s">
        <v>1505</v>
      </c>
      <c r="QJM68" s="561" t="s">
        <v>1505</v>
      </c>
      <c r="QJN68" s="561" t="s">
        <v>1505</v>
      </c>
      <c r="QJO68" s="561" t="s">
        <v>1505</v>
      </c>
      <c r="QJP68" s="561" t="s">
        <v>1505</v>
      </c>
      <c r="QJQ68" s="561" t="s">
        <v>1505</v>
      </c>
      <c r="QJR68" s="561" t="s">
        <v>1505</v>
      </c>
      <c r="QJS68" s="561" t="s">
        <v>1505</v>
      </c>
      <c r="QJT68" s="561" t="s">
        <v>1505</v>
      </c>
      <c r="QJU68" s="561" t="s">
        <v>1505</v>
      </c>
      <c r="QJV68" s="561" t="s">
        <v>1505</v>
      </c>
      <c r="QJW68" s="561" t="s">
        <v>1505</v>
      </c>
      <c r="QJX68" s="561" t="s">
        <v>1505</v>
      </c>
      <c r="QJY68" s="561" t="s">
        <v>1505</v>
      </c>
      <c r="QJZ68" s="561" t="s">
        <v>1505</v>
      </c>
      <c r="QKA68" s="561" t="s">
        <v>1505</v>
      </c>
      <c r="QKB68" s="561" t="s">
        <v>1505</v>
      </c>
      <c r="QKC68" s="561" t="s">
        <v>1505</v>
      </c>
      <c r="QKD68" s="561" t="s">
        <v>1505</v>
      </c>
      <c r="QKE68" s="561" t="s">
        <v>1505</v>
      </c>
      <c r="QKF68" s="561" t="s">
        <v>1505</v>
      </c>
      <c r="QKG68" s="561" t="s">
        <v>1505</v>
      </c>
      <c r="QKH68" s="561" t="s">
        <v>1505</v>
      </c>
      <c r="QKI68" s="561" t="s">
        <v>1505</v>
      </c>
      <c r="QKJ68" s="561" t="s">
        <v>1505</v>
      </c>
      <c r="QKK68" s="561" t="s">
        <v>1505</v>
      </c>
      <c r="QKL68" s="561" t="s">
        <v>1505</v>
      </c>
      <c r="QKM68" s="561" t="s">
        <v>1505</v>
      </c>
      <c r="QKN68" s="561" t="s">
        <v>1505</v>
      </c>
      <c r="QKO68" s="561" t="s">
        <v>1505</v>
      </c>
      <c r="QKP68" s="561" t="s">
        <v>1505</v>
      </c>
      <c r="QKQ68" s="561" t="s">
        <v>1505</v>
      </c>
      <c r="QKR68" s="561" t="s">
        <v>1505</v>
      </c>
      <c r="QKS68" s="561" t="s">
        <v>1505</v>
      </c>
      <c r="QKT68" s="561" t="s">
        <v>1505</v>
      </c>
      <c r="QKU68" s="561" t="s">
        <v>1505</v>
      </c>
      <c r="QKV68" s="561" t="s">
        <v>1505</v>
      </c>
      <c r="QKW68" s="561" t="s">
        <v>1505</v>
      </c>
      <c r="QKX68" s="561" t="s">
        <v>1505</v>
      </c>
      <c r="QKY68" s="561" t="s">
        <v>1505</v>
      </c>
      <c r="QKZ68" s="561" t="s">
        <v>1505</v>
      </c>
      <c r="QLA68" s="561" t="s">
        <v>1505</v>
      </c>
      <c r="QLB68" s="561" t="s">
        <v>1505</v>
      </c>
      <c r="QLC68" s="561" t="s">
        <v>1505</v>
      </c>
      <c r="QLD68" s="561" t="s">
        <v>1505</v>
      </c>
      <c r="QLE68" s="561" t="s">
        <v>1505</v>
      </c>
      <c r="QLF68" s="561" t="s">
        <v>1505</v>
      </c>
      <c r="QLG68" s="561" t="s">
        <v>1505</v>
      </c>
      <c r="QLH68" s="561" t="s">
        <v>1505</v>
      </c>
      <c r="QLI68" s="561" t="s">
        <v>1505</v>
      </c>
      <c r="QLJ68" s="561" t="s">
        <v>1505</v>
      </c>
      <c r="QLK68" s="561" t="s">
        <v>1505</v>
      </c>
      <c r="QLL68" s="561" t="s">
        <v>1505</v>
      </c>
      <c r="QLM68" s="561" t="s">
        <v>1505</v>
      </c>
      <c r="QLN68" s="561" t="s">
        <v>1505</v>
      </c>
      <c r="QLO68" s="561" t="s">
        <v>1505</v>
      </c>
      <c r="QLP68" s="561" t="s">
        <v>1505</v>
      </c>
      <c r="QLQ68" s="561" t="s">
        <v>1505</v>
      </c>
      <c r="QLR68" s="561" t="s">
        <v>1505</v>
      </c>
      <c r="QLS68" s="561" t="s">
        <v>1505</v>
      </c>
      <c r="QLT68" s="561" t="s">
        <v>1505</v>
      </c>
      <c r="QLU68" s="561" t="s">
        <v>1505</v>
      </c>
      <c r="QLV68" s="561" t="s">
        <v>1505</v>
      </c>
      <c r="QLW68" s="561" t="s">
        <v>1505</v>
      </c>
      <c r="QLX68" s="561" t="s">
        <v>1505</v>
      </c>
      <c r="QLY68" s="561" t="s">
        <v>1505</v>
      </c>
      <c r="QLZ68" s="561" t="s">
        <v>1505</v>
      </c>
      <c r="QMA68" s="561" t="s">
        <v>1505</v>
      </c>
      <c r="QMB68" s="561" t="s">
        <v>1505</v>
      </c>
      <c r="QMC68" s="561" t="s">
        <v>1505</v>
      </c>
      <c r="QMD68" s="561" t="s">
        <v>1505</v>
      </c>
      <c r="QME68" s="561" t="s">
        <v>1505</v>
      </c>
      <c r="QMF68" s="561" t="s">
        <v>1505</v>
      </c>
      <c r="QMG68" s="561" t="s">
        <v>1505</v>
      </c>
      <c r="QMH68" s="561" t="s">
        <v>1505</v>
      </c>
      <c r="QMI68" s="561" t="s">
        <v>1505</v>
      </c>
      <c r="QMJ68" s="561" t="s">
        <v>1505</v>
      </c>
      <c r="QMK68" s="561" t="s">
        <v>1505</v>
      </c>
      <c r="QML68" s="561" t="s">
        <v>1505</v>
      </c>
      <c r="QMM68" s="561" t="s">
        <v>1505</v>
      </c>
      <c r="QMN68" s="561" t="s">
        <v>1505</v>
      </c>
      <c r="QMO68" s="561" t="s">
        <v>1505</v>
      </c>
      <c r="QMP68" s="561" t="s">
        <v>1505</v>
      </c>
      <c r="QMQ68" s="561" t="s">
        <v>1505</v>
      </c>
      <c r="QMR68" s="561" t="s">
        <v>1505</v>
      </c>
      <c r="QMS68" s="561" t="s">
        <v>1505</v>
      </c>
      <c r="QMT68" s="561" t="s">
        <v>1505</v>
      </c>
      <c r="QMU68" s="561" t="s">
        <v>1505</v>
      </c>
      <c r="QMV68" s="561" t="s">
        <v>1505</v>
      </c>
      <c r="QMW68" s="561" t="s">
        <v>1505</v>
      </c>
      <c r="QMX68" s="561" t="s">
        <v>1505</v>
      </c>
      <c r="QMY68" s="561" t="s">
        <v>1505</v>
      </c>
      <c r="QMZ68" s="561" t="s">
        <v>1505</v>
      </c>
      <c r="QNA68" s="561" t="s">
        <v>1505</v>
      </c>
      <c r="QNB68" s="561" t="s">
        <v>1505</v>
      </c>
      <c r="QNC68" s="561" t="s">
        <v>1505</v>
      </c>
      <c r="QND68" s="561" t="s">
        <v>1505</v>
      </c>
      <c r="QNE68" s="561" t="s">
        <v>1505</v>
      </c>
      <c r="QNF68" s="561" t="s">
        <v>1505</v>
      </c>
      <c r="QNG68" s="561" t="s">
        <v>1505</v>
      </c>
      <c r="QNH68" s="561" t="s">
        <v>1505</v>
      </c>
      <c r="QNI68" s="561" t="s">
        <v>1505</v>
      </c>
      <c r="QNJ68" s="561" t="s">
        <v>1505</v>
      </c>
      <c r="QNK68" s="561" t="s">
        <v>1505</v>
      </c>
      <c r="QNL68" s="561" t="s">
        <v>1505</v>
      </c>
      <c r="QNM68" s="561" t="s">
        <v>1505</v>
      </c>
      <c r="QNN68" s="561" t="s">
        <v>1505</v>
      </c>
      <c r="QNO68" s="561" t="s">
        <v>1505</v>
      </c>
      <c r="QNP68" s="561" t="s">
        <v>1505</v>
      </c>
      <c r="QNQ68" s="561" t="s">
        <v>1505</v>
      </c>
      <c r="QNR68" s="561" t="s">
        <v>1505</v>
      </c>
      <c r="QNS68" s="561" t="s">
        <v>1505</v>
      </c>
      <c r="QNT68" s="561" t="s">
        <v>1505</v>
      </c>
      <c r="QNU68" s="561" t="s">
        <v>1505</v>
      </c>
      <c r="QNV68" s="561" t="s">
        <v>1505</v>
      </c>
      <c r="QNW68" s="561" t="s">
        <v>1505</v>
      </c>
      <c r="QNX68" s="561" t="s">
        <v>1505</v>
      </c>
      <c r="QNY68" s="561" t="s">
        <v>1505</v>
      </c>
      <c r="QNZ68" s="561" t="s">
        <v>1505</v>
      </c>
      <c r="QOA68" s="561" t="s">
        <v>1505</v>
      </c>
      <c r="QOB68" s="561" t="s">
        <v>1505</v>
      </c>
      <c r="QOC68" s="561" t="s">
        <v>1505</v>
      </c>
      <c r="QOD68" s="561" t="s">
        <v>1505</v>
      </c>
      <c r="QOE68" s="561" t="s">
        <v>1505</v>
      </c>
      <c r="QOF68" s="561" t="s">
        <v>1505</v>
      </c>
      <c r="QOG68" s="561" t="s">
        <v>1505</v>
      </c>
      <c r="QOH68" s="561" t="s">
        <v>1505</v>
      </c>
      <c r="QOI68" s="561" t="s">
        <v>1505</v>
      </c>
      <c r="QOJ68" s="561" t="s">
        <v>1505</v>
      </c>
      <c r="QOK68" s="561" t="s">
        <v>1505</v>
      </c>
      <c r="QOL68" s="561" t="s">
        <v>1505</v>
      </c>
      <c r="QOM68" s="561" t="s">
        <v>1505</v>
      </c>
      <c r="QON68" s="561" t="s">
        <v>1505</v>
      </c>
      <c r="QOO68" s="561" t="s">
        <v>1505</v>
      </c>
      <c r="QOP68" s="561" t="s">
        <v>1505</v>
      </c>
      <c r="QOQ68" s="561" t="s">
        <v>1505</v>
      </c>
      <c r="QOR68" s="561" t="s">
        <v>1505</v>
      </c>
      <c r="QOS68" s="561" t="s">
        <v>1505</v>
      </c>
      <c r="QOT68" s="561" t="s">
        <v>1505</v>
      </c>
      <c r="QOU68" s="561" t="s">
        <v>1505</v>
      </c>
      <c r="QOV68" s="561" t="s">
        <v>1505</v>
      </c>
      <c r="QOW68" s="561" t="s">
        <v>1505</v>
      </c>
      <c r="QOX68" s="561" t="s">
        <v>1505</v>
      </c>
      <c r="QOY68" s="561" t="s">
        <v>1505</v>
      </c>
      <c r="QOZ68" s="561" t="s">
        <v>1505</v>
      </c>
      <c r="QPA68" s="561" t="s">
        <v>1505</v>
      </c>
      <c r="QPB68" s="561" t="s">
        <v>1505</v>
      </c>
      <c r="QPC68" s="561" t="s">
        <v>1505</v>
      </c>
      <c r="QPD68" s="561" t="s">
        <v>1505</v>
      </c>
      <c r="QPE68" s="561" t="s">
        <v>1505</v>
      </c>
      <c r="QPF68" s="561" t="s">
        <v>1505</v>
      </c>
      <c r="QPG68" s="561" t="s">
        <v>1505</v>
      </c>
      <c r="QPH68" s="561" t="s">
        <v>1505</v>
      </c>
      <c r="QPI68" s="561" t="s">
        <v>1505</v>
      </c>
      <c r="QPJ68" s="561" t="s">
        <v>1505</v>
      </c>
      <c r="QPK68" s="561" t="s">
        <v>1505</v>
      </c>
      <c r="QPL68" s="561" t="s">
        <v>1505</v>
      </c>
      <c r="QPM68" s="561" t="s">
        <v>1505</v>
      </c>
      <c r="QPN68" s="561" t="s">
        <v>1505</v>
      </c>
      <c r="QPO68" s="561" t="s">
        <v>1505</v>
      </c>
      <c r="QPP68" s="561" t="s">
        <v>1505</v>
      </c>
      <c r="QPQ68" s="561" t="s">
        <v>1505</v>
      </c>
      <c r="QPR68" s="561" t="s">
        <v>1505</v>
      </c>
      <c r="QPS68" s="561" t="s">
        <v>1505</v>
      </c>
      <c r="QPT68" s="561" t="s">
        <v>1505</v>
      </c>
      <c r="QPU68" s="561" t="s">
        <v>1505</v>
      </c>
      <c r="QPV68" s="561" t="s">
        <v>1505</v>
      </c>
      <c r="QPW68" s="561" t="s">
        <v>1505</v>
      </c>
      <c r="QPX68" s="561" t="s">
        <v>1505</v>
      </c>
      <c r="QPY68" s="561" t="s">
        <v>1505</v>
      </c>
      <c r="QPZ68" s="561" t="s">
        <v>1505</v>
      </c>
      <c r="QQA68" s="561" t="s">
        <v>1505</v>
      </c>
      <c r="QQB68" s="561" t="s">
        <v>1505</v>
      </c>
      <c r="QQC68" s="561" t="s">
        <v>1505</v>
      </c>
      <c r="QQD68" s="561" t="s">
        <v>1505</v>
      </c>
      <c r="QQE68" s="561" t="s">
        <v>1505</v>
      </c>
      <c r="QQF68" s="561" t="s">
        <v>1505</v>
      </c>
      <c r="QQG68" s="561" t="s">
        <v>1505</v>
      </c>
      <c r="QQH68" s="561" t="s">
        <v>1505</v>
      </c>
      <c r="QQI68" s="561" t="s">
        <v>1505</v>
      </c>
      <c r="QQJ68" s="561" t="s">
        <v>1505</v>
      </c>
      <c r="QQK68" s="561" t="s">
        <v>1505</v>
      </c>
      <c r="QQL68" s="561" t="s">
        <v>1505</v>
      </c>
      <c r="QQM68" s="561" t="s">
        <v>1505</v>
      </c>
      <c r="QQN68" s="561" t="s">
        <v>1505</v>
      </c>
      <c r="QQO68" s="561" t="s">
        <v>1505</v>
      </c>
      <c r="QQP68" s="561" t="s">
        <v>1505</v>
      </c>
      <c r="QQQ68" s="561" t="s">
        <v>1505</v>
      </c>
      <c r="QQR68" s="561" t="s">
        <v>1505</v>
      </c>
      <c r="QQS68" s="561" t="s">
        <v>1505</v>
      </c>
      <c r="QQT68" s="561" t="s">
        <v>1505</v>
      </c>
      <c r="QQU68" s="561" t="s">
        <v>1505</v>
      </c>
      <c r="QQV68" s="561" t="s">
        <v>1505</v>
      </c>
      <c r="QQW68" s="561" t="s">
        <v>1505</v>
      </c>
      <c r="QQX68" s="561" t="s">
        <v>1505</v>
      </c>
      <c r="QQY68" s="561" t="s">
        <v>1505</v>
      </c>
      <c r="QQZ68" s="561" t="s">
        <v>1505</v>
      </c>
      <c r="QRA68" s="561" t="s">
        <v>1505</v>
      </c>
      <c r="QRB68" s="561" t="s">
        <v>1505</v>
      </c>
      <c r="QRC68" s="561" t="s">
        <v>1505</v>
      </c>
      <c r="QRD68" s="561" t="s">
        <v>1505</v>
      </c>
      <c r="QRE68" s="561" t="s">
        <v>1505</v>
      </c>
      <c r="QRF68" s="561" t="s">
        <v>1505</v>
      </c>
      <c r="QRG68" s="561" t="s">
        <v>1505</v>
      </c>
      <c r="QRH68" s="561" t="s">
        <v>1505</v>
      </c>
      <c r="QRI68" s="561" t="s">
        <v>1505</v>
      </c>
      <c r="QRJ68" s="561" t="s">
        <v>1505</v>
      </c>
      <c r="QRK68" s="561" t="s">
        <v>1505</v>
      </c>
      <c r="QRL68" s="561" t="s">
        <v>1505</v>
      </c>
      <c r="QRM68" s="561" t="s">
        <v>1505</v>
      </c>
      <c r="QRN68" s="561" t="s">
        <v>1505</v>
      </c>
      <c r="QRO68" s="561" t="s">
        <v>1505</v>
      </c>
      <c r="QRP68" s="561" t="s">
        <v>1505</v>
      </c>
      <c r="QRQ68" s="561" t="s">
        <v>1505</v>
      </c>
      <c r="QRR68" s="561" t="s">
        <v>1505</v>
      </c>
      <c r="QRS68" s="561" t="s">
        <v>1505</v>
      </c>
      <c r="QRT68" s="561" t="s">
        <v>1505</v>
      </c>
      <c r="QRU68" s="561" t="s">
        <v>1505</v>
      </c>
      <c r="QRV68" s="561" t="s">
        <v>1505</v>
      </c>
      <c r="QRW68" s="561" t="s">
        <v>1505</v>
      </c>
      <c r="QRX68" s="561" t="s">
        <v>1505</v>
      </c>
      <c r="QRY68" s="561" t="s">
        <v>1505</v>
      </c>
      <c r="QRZ68" s="561" t="s">
        <v>1505</v>
      </c>
      <c r="QSA68" s="561" t="s">
        <v>1505</v>
      </c>
      <c r="QSB68" s="561" t="s">
        <v>1505</v>
      </c>
      <c r="QSC68" s="561" t="s">
        <v>1505</v>
      </c>
      <c r="QSD68" s="561" t="s">
        <v>1505</v>
      </c>
      <c r="QSE68" s="561" t="s">
        <v>1505</v>
      </c>
      <c r="QSF68" s="561" t="s">
        <v>1505</v>
      </c>
      <c r="QSG68" s="561" t="s">
        <v>1505</v>
      </c>
      <c r="QSH68" s="561" t="s">
        <v>1505</v>
      </c>
      <c r="QSI68" s="561" t="s">
        <v>1505</v>
      </c>
      <c r="QSJ68" s="561" t="s">
        <v>1505</v>
      </c>
      <c r="QSK68" s="561" t="s">
        <v>1505</v>
      </c>
      <c r="QSL68" s="561" t="s">
        <v>1505</v>
      </c>
      <c r="QSM68" s="561" t="s">
        <v>1505</v>
      </c>
      <c r="QSN68" s="561" t="s">
        <v>1505</v>
      </c>
      <c r="QSO68" s="561" t="s">
        <v>1505</v>
      </c>
      <c r="QSP68" s="561" t="s">
        <v>1505</v>
      </c>
      <c r="QSQ68" s="561" t="s">
        <v>1505</v>
      </c>
      <c r="QSR68" s="561" t="s">
        <v>1505</v>
      </c>
      <c r="QSS68" s="561" t="s">
        <v>1505</v>
      </c>
      <c r="QST68" s="561" t="s">
        <v>1505</v>
      </c>
      <c r="QSU68" s="561" t="s">
        <v>1505</v>
      </c>
      <c r="QSV68" s="561" t="s">
        <v>1505</v>
      </c>
      <c r="QSW68" s="561" t="s">
        <v>1505</v>
      </c>
      <c r="QSX68" s="561" t="s">
        <v>1505</v>
      </c>
      <c r="QSY68" s="561" t="s">
        <v>1505</v>
      </c>
      <c r="QSZ68" s="561" t="s">
        <v>1505</v>
      </c>
      <c r="QTA68" s="561" t="s">
        <v>1505</v>
      </c>
      <c r="QTB68" s="561" t="s">
        <v>1505</v>
      </c>
      <c r="QTC68" s="561" t="s">
        <v>1505</v>
      </c>
      <c r="QTD68" s="561" t="s">
        <v>1505</v>
      </c>
      <c r="QTE68" s="561" t="s">
        <v>1505</v>
      </c>
      <c r="QTF68" s="561" t="s">
        <v>1505</v>
      </c>
      <c r="QTG68" s="561" t="s">
        <v>1505</v>
      </c>
      <c r="QTH68" s="561" t="s">
        <v>1505</v>
      </c>
      <c r="QTI68" s="561" t="s">
        <v>1505</v>
      </c>
      <c r="QTJ68" s="561" t="s">
        <v>1505</v>
      </c>
      <c r="QTK68" s="561" t="s">
        <v>1505</v>
      </c>
      <c r="QTL68" s="561" t="s">
        <v>1505</v>
      </c>
      <c r="QTM68" s="561" t="s">
        <v>1505</v>
      </c>
      <c r="QTN68" s="561" t="s">
        <v>1505</v>
      </c>
      <c r="QTO68" s="561" t="s">
        <v>1505</v>
      </c>
      <c r="QTP68" s="561" t="s">
        <v>1505</v>
      </c>
      <c r="QTQ68" s="561" t="s">
        <v>1505</v>
      </c>
      <c r="QTR68" s="561" t="s">
        <v>1505</v>
      </c>
      <c r="QTS68" s="561" t="s">
        <v>1505</v>
      </c>
      <c r="QTT68" s="561" t="s">
        <v>1505</v>
      </c>
      <c r="QTU68" s="561" t="s">
        <v>1505</v>
      </c>
      <c r="QTV68" s="561" t="s">
        <v>1505</v>
      </c>
      <c r="QTW68" s="561" t="s">
        <v>1505</v>
      </c>
      <c r="QTX68" s="561" t="s">
        <v>1505</v>
      </c>
      <c r="QTY68" s="561" t="s">
        <v>1505</v>
      </c>
      <c r="QTZ68" s="561" t="s">
        <v>1505</v>
      </c>
      <c r="QUA68" s="561" t="s">
        <v>1505</v>
      </c>
      <c r="QUB68" s="561" t="s">
        <v>1505</v>
      </c>
      <c r="QUC68" s="561" t="s">
        <v>1505</v>
      </c>
      <c r="QUD68" s="561" t="s">
        <v>1505</v>
      </c>
      <c r="QUE68" s="561" t="s">
        <v>1505</v>
      </c>
      <c r="QUF68" s="561" t="s">
        <v>1505</v>
      </c>
      <c r="QUG68" s="561" t="s">
        <v>1505</v>
      </c>
      <c r="QUH68" s="561" t="s">
        <v>1505</v>
      </c>
      <c r="QUI68" s="561" t="s">
        <v>1505</v>
      </c>
      <c r="QUJ68" s="561" t="s">
        <v>1505</v>
      </c>
      <c r="QUK68" s="561" t="s">
        <v>1505</v>
      </c>
      <c r="QUL68" s="561" t="s">
        <v>1505</v>
      </c>
      <c r="QUM68" s="561" t="s">
        <v>1505</v>
      </c>
      <c r="QUN68" s="561" t="s">
        <v>1505</v>
      </c>
      <c r="QUO68" s="561" t="s">
        <v>1505</v>
      </c>
      <c r="QUP68" s="561" t="s">
        <v>1505</v>
      </c>
      <c r="QUQ68" s="561" t="s">
        <v>1505</v>
      </c>
      <c r="QUR68" s="561" t="s">
        <v>1505</v>
      </c>
      <c r="QUS68" s="561" t="s">
        <v>1505</v>
      </c>
      <c r="QUT68" s="561" t="s">
        <v>1505</v>
      </c>
      <c r="QUU68" s="561" t="s">
        <v>1505</v>
      </c>
      <c r="QUV68" s="561" t="s">
        <v>1505</v>
      </c>
      <c r="QUW68" s="561" t="s">
        <v>1505</v>
      </c>
      <c r="QUX68" s="561" t="s">
        <v>1505</v>
      </c>
      <c r="QUY68" s="561" t="s">
        <v>1505</v>
      </c>
      <c r="QUZ68" s="561" t="s">
        <v>1505</v>
      </c>
      <c r="QVA68" s="561" t="s">
        <v>1505</v>
      </c>
      <c r="QVB68" s="561" t="s">
        <v>1505</v>
      </c>
      <c r="QVC68" s="561" t="s">
        <v>1505</v>
      </c>
      <c r="QVD68" s="561" t="s">
        <v>1505</v>
      </c>
      <c r="QVE68" s="561" t="s">
        <v>1505</v>
      </c>
      <c r="QVF68" s="561" t="s">
        <v>1505</v>
      </c>
      <c r="QVG68" s="561" t="s">
        <v>1505</v>
      </c>
      <c r="QVH68" s="561" t="s">
        <v>1505</v>
      </c>
      <c r="QVI68" s="561" t="s">
        <v>1505</v>
      </c>
      <c r="QVJ68" s="561" t="s">
        <v>1505</v>
      </c>
      <c r="QVK68" s="561" t="s">
        <v>1505</v>
      </c>
      <c r="QVL68" s="561" t="s">
        <v>1505</v>
      </c>
      <c r="QVM68" s="561" t="s">
        <v>1505</v>
      </c>
      <c r="QVN68" s="561" t="s">
        <v>1505</v>
      </c>
      <c r="QVO68" s="561" t="s">
        <v>1505</v>
      </c>
      <c r="QVP68" s="561" t="s">
        <v>1505</v>
      </c>
      <c r="QVQ68" s="561" t="s">
        <v>1505</v>
      </c>
      <c r="QVR68" s="561" t="s">
        <v>1505</v>
      </c>
      <c r="QVS68" s="561" t="s">
        <v>1505</v>
      </c>
      <c r="QVT68" s="561" t="s">
        <v>1505</v>
      </c>
      <c r="QVU68" s="561" t="s">
        <v>1505</v>
      </c>
      <c r="QVV68" s="561" t="s">
        <v>1505</v>
      </c>
      <c r="QVW68" s="561" t="s">
        <v>1505</v>
      </c>
      <c r="QVX68" s="561" t="s">
        <v>1505</v>
      </c>
      <c r="QVY68" s="561" t="s">
        <v>1505</v>
      </c>
      <c r="QVZ68" s="561" t="s">
        <v>1505</v>
      </c>
      <c r="QWA68" s="561" t="s">
        <v>1505</v>
      </c>
      <c r="QWB68" s="561" t="s">
        <v>1505</v>
      </c>
      <c r="QWC68" s="561" t="s">
        <v>1505</v>
      </c>
      <c r="QWD68" s="561" t="s">
        <v>1505</v>
      </c>
      <c r="QWE68" s="561" t="s">
        <v>1505</v>
      </c>
      <c r="QWF68" s="561" t="s">
        <v>1505</v>
      </c>
      <c r="QWG68" s="561" t="s">
        <v>1505</v>
      </c>
      <c r="QWH68" s="561" t="s">
        <v>1505</v>
      </c>
      <c r="QWI68" s="561" t="s">
        <v>1505</v>
      </c>
      <c r="QWJ68" s="561" t="s">
        <v>1505</v>
      </c>
      <c r="QWK68" s="561" t="s">
        <v>1505</v>
      </c>
      <c r="QWL68" s="561" t="s">
        <v>1505</v>
      </c>
      <c r="QWM68" s="561" t="s">
        <v>1505</v>
      </c>
      <c r="QWN68" s="561" t="s">
        <v>1505</v>
      </c>
      <c r="QWO68" s="561" t="s">
        <v>1505</v>
      </c>
      <c r="QWP68" s="561" t="s">
        <v>1505</v>
      </c>
      <c r="QWQ68" s="561" t="s">
        <v>1505</v>
      </c>
      <c r="QWR68" s="561" t="s">
        <v>1505</v>
      </c>
      <c r="QWS68" s="561" t="s">
        <v>1505</v>
      </c>
      <c r="QWT68" s="561" t="s">
        <v>1505</v>
      </c>
      <c r="QWU68" s="561" t="s">
        <v>1505</v>
      </c>
      <c r="QWV68" s="561" t="s">
        <v>1505</v>
      </c>
      <c r="QWW68" s="561" t="s">
        <v>1505</v>
      </c>
      <c r="QWX68" s="561" t="s">
        <v>1505</v>
      </c>
      <c r="QWY68" s="561" t="s">
        <v>1505</v>
      </c>
      <c r="QWZ68" s="561" t="s">
        <v>1505</v>
      </c>
      <c r="QXA68" s="561" t="s">
        <v>1505</v>
      </c>
      <c r="QXB68" s="561" t="s">
        <v>1505</v>
      </c>
      <c r="QXC68" s="561" t="s">
        <v>1505</v>
      </c>
      <c r="QXD68" s="561" t="s">
        <v>1505</v>
      </c>
      <c r="QXE68" s="561" t="s">
        <v>1505</v>
      </c>
      <c r="QXF68" s="561" t="s">
        <v>1505</v>
      </c>
      <c r="QXG68" s="561" t="s">
        <v>1505</v>
      </c>
      <c r="QXH68" s="561" t="s">
        <v>1505</v>
      </c>
      <c r="QXI68" s="561" t="s">
        <v>1505</v>
      </c>
      <c r="QXJ68" s="561" t="s">
        <v>1505</v>
      </c>
      <c r="QXK68" s="561" t="s">
        <v>1505</v>
      </c>
      <c r="QXL68" s="561" t="s">
        <v>1505</v>
      </c>
      <c r="QXM68" s="561" t="s">
        <v>1505</v>
      </c>
      <c r="QXN68" s="561" t="s">
        <v>1505</v>
      </c>
      <c r="QXO68" s="561" t="s">
        <v>1505</v>
      </c>
      <c r="QXP68" s="561" t="s">
        <v>1505</v>
      </c>
      <c r="QXQ68" s="561" t="s">
        <v>1505</v>
      </c>
      <c r="QXR68" s="561" t="s">
        <v>1505</v>
      </c>
      <c r="QXS68" s="561" t="s">
        <v>1505</v>
      </c>
      <c r="QXT68" s="561" t="s">
        <v>1505</v>
      </c>
      <c r="QXU68" s="561" t="s">
        <v>1505</v>
      </c>
      <c r="QXV68" s="561" t="s">
        <v>1505</v>
      </c>
      <c r="QXW68" s="561" t="s">
        <v>1505</v>
      </c>
      <c r="QXX68" s="561" t="s">
        <v>1505</v>
      </c>
      <c r="QXY68" s="561" t="s">
        <v>1505</v>
      </c>
      <c r="QXZ68" s="561" t="s">
        <v>1505</v>
      </c>
      <c r="QYA68" s="561" t="s">
        <v>1505</v>
      </c>
      <c r="QYB68" s="561" t="s">
        <v>1505</v>
      </c>
      <c r="QYC68" s="561" t="s">
        <v>1505</v>
      </c>
      <c r="QYD68" s="561" t="s">
        <v>1505</v>
      </c>
      <c r="QYE68" s="561" t="s">
        <v>1505</v>
      </c>
      <c r="QYF68" s="561" t="s">
        <v>1505</v>
      </c>
      <c r="QYG68" s="561" t="s">
        <v>1505</v>
      </c>
      <c r="QYH68" s="561" t="s">
        <v>1505</v>
      </c>
      <c r="QYI68" s="561" t="s">
        <v>1505</v>
      </c>
      <c r="QYJ68" s="561" t="s">
        <v>1505</v>
      </c>
      <c r="QYK68" s="561" t="s">
        <v>1505</v>
      </c>
      <c r="QYL68" s="561" t="s">
        <v>1505</v>
      </c>
      <c r="QYM68" s="561" t="s">
        <v>1505</v>
      </c>
      <c r="QYN68" s="561" t="s">
        <v>1505</v>
      </c>
      <c r="QYO68" s="561" t="s">
        <v>1505</v>
      </c>
      <c r="QYP68" s="561" t="s">
        <v>1505</v>
      </c>
      <c r="QYQ68" s="561" t="s">
        <v>1505</v>
      </c>
      <c r="QYR68" s="561" t="s">
        <v>1505</v>
      </c>
      <c r="QYS68" s="561" t="s">
        <v>1505</v>
      </c>
      <c r="QYT68" s="561" t="s">
        <v>1505</v>
      </c>
      <c r="QYU68" s="561" t="s">
        <v>1505</v>
      </c>
      <c r="QYV68" s="561" t="s">
        <v>1505</v>
      </c>
      <c r="QYW68" s="561" t="s">
        <v>1505</v>
      </c>
      <c r="QYX68" s="561" t="s">
        <v>1505</v>
      </c>
      <c r="QYY68" s="561" t="s">
        <v>1505</v>
      </c>
      <c r="QYZ68" s="561" t="s">
        <v>1505</v>
      </c>
      <c r="QZA68" s="561" t="s">
        <v>1505</v>
      </c>
      <c r="QZB68" s="561" t="s">
        <v>1505</v>
      </c>
      <c r="QZC68" s="561" t="s">
        <v>1505</v>
      </c>
      <c r="QZD68" s="561" t="s">
        <v>1505</v>
      </c>
      <c r="QZE68" s="561" t="s">
        <v>1505</v>
      </c>
      <c r="QZF68" s="561" t="s">
        <v>1505</v>
      </c>
      <c r="QZG68" s="561" t="s">
        <v>1505</v>
      </c>
      <c r="QZH68" s="561" t="s">
        <v>1505</v>
      </c>
      <c r="QZI68" s="561" t="s">
        <v>1505</v>
      </c>
      <c r="QZJ68" s="561" t="s">
        <v>1505</v>
      </c>
      <c r="QZK68" s="561" t="s">
        <v>1505</v>
      </c>
      <c r="QZL68" s="561" t="s">
        <v>1505</v>
      </c>
      <c r="QZM68" s="561" t="s">
        <v>1505</v>
      </c>
      <c r="QZN68" s="561" t="s">
        <v>1505</v>
      </c>
      <c r="QZO68" s="561" t="s">
        <v>1505</v>
      </c>
      <c r="QZP68" s="561" t="s">
        <v>1505</v>
      </c>
      <c r="QZQ68" s="561" t="s">
        <v>1505</v>
      </c>
      <c r="QZR68" s="561" t="s">
        <v>1505</v>
      </c>
      <c r="QZS68" s="561" t="s">
        <v>1505</v>
      </c>
      <c r="QZT68" s="561" t="s">
        <v>1505</v>
      </c>
      <c r="QZU68" s="561" t="s">
        <v>1505</v>
      </c>
      <c r="QZV68" s="561" t="s">
        <v>1505</v>
      </c>
      <c r="QZW68" s="561" t="s">
        <v>1505</v>
      </c>
      <c r="QZX68" s="561" t="s">
        <v>1505</v>
      </c>
      <c r="QZY68" s="561" t="s">
        <v>1505</v>
      </c>
      <c r="QZZ68" s="561" t="s">
        <v>1505</v>
      </c>
      <c r="RAA68" s="561" t="s">
        <v>1505</v>
      </c>
      <c r="RAB68" s="561" t="s">
        <v>1505</v>
      </c>
      <c r="RAC68" s="561" t="s">
        <v>1505</v>
      </c>
      <c r="RAD68" s="561" t="s">
        <v>1505</v>
      </c>
      <c r="RAE68" s="561" t="s">
        <v>1505</v>
      </c>
      <c r="RAF68" s="561" t="s">
        <v>1505</v>
      </c>
      <c r="RAG68" s="561" t="s">
        <v>1505</v>
      </c>
      <c r="RAH68" s="561" t="s">
        <v>1505</v>
      </c>
      <c r="RAI68" s="561" t="s">
        <v>1505</v>
      </c>
      <c r="RAJ68" s="561" t="s">
        <v>1505</v>
      </c>
      <c r="RAK68" s="561" t="s">
        <v>1505</v>
      </c>
      <c r="RAL68" s="561" t="s">
        <v>1505</v>
      </c>
      <c r="RAM68" s="561" t="s">
        <v>1505</v>
      </c>
      <c r="RAN68" s="561" t="s">
        <v>1505</v>
      </c>
      <c r="RAO68" s="561" t="s">
        <v>1505</v>
      </c>
      <c r="RAP68" s="561" t="s">
        <v>1505</v>
      </c>
      <c r="RAQ68" s="561" t="s">
        <v>1505</v>
      </c>
      <c r="RAR68" s="561" t="s">
        <v>1505</v>
      </c>
      <c r="RAS68" s="561" t="s">
        <v>1505</v>
      </c>
      <c r="RAT68" s="561" t="s">
        <v>1505</v>
      </c>
      <c r="RAU68" s="561" t="s">
        <v>1505</v>
      </c>
      <c r="RAV68" s="561" t="s">
        <v>1505</v>
      </c>
      <c r="RAW68" s="561" t="s">
        <v>1505</v>
      </c>
      <c r="RAX68" s="561" t="s">
        <v>1505</v>
      </c>
      <c r="RAY68" s="561" t="s">
        <v>1505</v>
      </c>
      <c r="RAZ68" s="561" t="s">
        <v>1505</v>
      </c>
      <c r="RBA68" s="561" t="s">
        <v>1505</v>
      </c>
      <c r="RBB68" s="561" t="s">
        <v>1505</v>
      </c>
      <c r="RBC68" s="561" t="s">
        <v>1505</v>
      </c>
      <c r="RBD68" s="561" t="s">
        <v>1505</v>
      </c>
      <c r="RBE68" s="561" t="s">
        <v>1505</v>
      </c>
      <c r="RBF68" s="561" t="s">
        <v>1505</v>
      </c>
      <c r="RBG68" s="561" t="s">
        <v>1505</v>
      </c>
      <c r="RBH68" s="561" t="s">
        <v>1505</v>
      </c>
      <c r="RBI68" s="561" t="s">
        <v>1505</v>
      </c>
      <c r="RBJ68" s="561" t="s">
        <v>1505</v>
      </c>
      <c r="RBK68" s="561" t="s">
        <v>1505</v>
      </c>
      <c r="RBL68" s="561" t="s">
        <v>1505</v>
      </c>
      <c r="RBM68" s="561" t="s">
        <v>1505</v>
      </c>
      <c r="RBN68" s="561" t="s">
        <v>1505</v>
      </c>
      <c r="RBO68" s="561" t="s">
        <v>1505</v>
      </c>
      <c r="RBP68" s="561" t="s">
        <v>1505</v>
      </c>
      <c r="RBQ68" s="561" t="s">
        <v>1505</v>
      </c>
      <c r="RBR68" s="561" t="s">
        <v>1505</v>
      </c>
      <c r="RBS68" s="561" t="s">
        <v>1505</v>
      </c>
      <c r="RBT68" s="561" t="s">
        <v>1505</v>
      </c>
      <c r="RBU68" s="561" t="s">
        <v>1505</v>
      </c>
      <c r="RBV68" s="561" t="s">
        <v>1505</v>
      </c>
      <c r="RBW68" s="561" t="s">
        <v>1505</v>
      </c>
      <c r="RBX68" s="561" t="s">
        <v>1505</v>
      </c>
      <c r="RBY68" s="561" t="s">
        <v>1505</v>
      </c>
      <c r="RBZ68" s="561" t="s">
        <v>1505</v>
      </c>
      <c r="RCA68" s="561" t="s">
        <v>1505</v>
      </c>
      <c r="RCB68" s="561" t="s">
        <v>1505</v>
      </c>
      <c r="RCC68" s="561" t="s">
        <v>1505</v>
      </c>
      <c r="RCD68" s="561" t="s">
        <v>1505</v>
      </c>
      <c r="RCE68" s="561" t="s">
        <v>1505</v>
      </c>
      <c r="RCF68" s="561" t="s">
        <v>1505</v>
      </c>
      <c r="RCG68" s="561" t="s">
        <v>1505</v>
      </c>
      <c r="RCH68" s="561" t="s">
        <v>1505</v>
      </c>
      <c r="RCI68" s="561" t="s">
        <v>1505</v>
      </c>
      <c r="RCJ68" s="561" t="s">
        <v>1505</v>
      </c>
      <c r="RCK68" s="561" t="s">
        <v>1505</v>
      </c>
      <c r="RCL68" s="561" t="s">
        <v>1505</v>
      </c>
      <c r="RCM68" s="561" t="s">
        <v>1505</v>
      </c>
      <c r="RCN68" s="561" t="s">
        <v>1505</v>
      </c>
      <c r="RCO68" s="561" t="s">
        <v>1505</v>
      </c>
      <c r="RCP68" s="561" t="s">
        <v>1505</v>
      </c>
      <c r="RCQ68" s="561" t="s">
        <v>1505</v>
      </c>
      <c r="RCR68" s="561" t="s">
        <v>1505</v>
      </c>
      <c r="RCS68" s="561" t="s">
        <v>1505</v>
      </c>
      <c r="RCT68" s="561" t="s">
        <v>1505</v>
      </c>
      <c r="RCU68" s="561" t="s">
        <v>1505</v>
      </c>
      <c r="RCV68" s="561" t="s">
        <v>1505</v>
      </c>
      <c r="RCW68" s="561" t="s">
        <v>1505</v>
      </c>
      <c r="RCX68" s="561" t="s">
        <v>1505</v>
      </c>
      <c r="RCY68" s="561" t="s">
        <v>1505</v>
      </c>
      <c r="RCZ68" s="561" t="s">
        <v>1505</v>
      </c>
      <c r="RDA68" s="561" t="s">
        <v>1505</v>
      </c>
      <c r="RDB68" s="561" t="s">
        <v>1505</v>
      </c>
      <c r="RDC68" s="561" t="s">
        <v>1505</v>
      </c>
      <c r="RDD68" s="561" t="s">
        <v>1505</v>
      </c>
      <c r="RDE68" s="561" t="s">
        <v>1505</v>
      </c>
      <c r="RDF68" s="561" t="s">
        <v>1505</v>
      </c>
      <c r="RDG68" s="561" t="s">
        <v>1505</v>
      </c>
      <c r="RDH68" s="561" t="s">
        <v>1505</v>
      </c>
      <c r="RDI68" s="561" t="s">
        <v>1505</v>
      </c>
      <c r="RDJ68" s="561" t="s">
        <v>1505</v>
      </c>
      <c r="RDK68" s="561" t="s">
        <v>1505</v>
      </c>
      <c r="RDL68" s="561" t="s">
        <v>1505</v>
      </c>
      <c r="RDM68" s="561" t="s">
        <v>1505</v>
      </c>
      <c r="RDN68" s="561" t="s">
        <v>1505</v>
      </c>
      <c r="RDO68" s="561" t="s">
        <v>1505</v>
      </c>
      <c r="RDP68" s="561" t="s">
        <v>1505</v>
      </c>
      <c r="RDQ68" s="561" t="s">
        <v>1505</v>
      </c>
      <c r="RDR68" s="561" t="s">
        <v>1505</v>
      </c>
      <c r="RDS68" s="561" t="s">
        <v>1505</v>
      </c>
      <c r="RDT68" s="561" t="s">
        <v>1505</v>
      </c>
      <c r="RDU68" s="561" t="s">
        <v>1505</v>
      </c>
      <c r="RDV68" s="561" t="s">
        <v>1505</v>
      </c>
      <c r="RDW68" s="561" t="s">
        <v>1505</v>
      </c>
      <c r="RDX68" s="561" t="s">
        <v>1505</v>
      </c>
      <c r="RDY68" s="561" t="s">
        <v>1505</v>
      </c>
      <c r="RDZ68" s="561" t="s">
        <v>1505</v>
      </c>
      <c r="REA68" s="561" t="s">
        <v>1505</v>
      </c>
      <c r="REB68" s="561" t="s">
        <v>1505</v>
      </c>
      <c r="REC68" s="561" t="s">
        <v>1505</v>
      </c>
      <c r="RED68" s="561" t="s">
        <v>1505</v>
      </c>
      <c r="REE68" s="561" t="s">
        <v>1505</v>
      </c>
      <c r="REF68" s="561" t="s">
        <v>1505</v>
      </c>
      <c r="REG68" s="561" t="s">
        <v>1505</v>
      </c>
      <c r="REH68" s="561" t="s">
        <v>1505</v>
      </c>
      <c r="REI68" s="561" t="s">
        <v>1505</v>
      </c>
      <c r="REJ68" s="561" t="s">
        <v>1505</v>
      </c>
      <c r="REK68" s="561" t="s">
        <v>1505</v>
      </c>
      <c r="REL68" s="561" t="s">
        <v>1505</v>
      </c>
      <c r="REM68" s="561" t="s">
        <v>1505</v>
      </c>
      <c r="REN68" s="561" t="s">
        <v>1505</v>
      </c>
      <c r="REO68" s="561" t="s">
        <v>1505</v>
      </c>
      <c r="REP68" s="561" t="s">
        <v>1505</v>
      </c>
      <c r="REQ68" s="561" t="s">
        <v>1505</v>
      </c>
      <c r="RER68" s="561" t="s">
        <v>1505</v>
      </c>
      <c r="RES68" s="561" t="s">
        <v>1505</v>
      </c>
      <c r="RET68" s="561" t="s">
        <v>1505</v>
      </c>
      <c r="REU68" s="561" t="s">
        <v>1505</v>
      </c>
      <c r="REV68" s="561" t="s">
        <v>1505</v>
      </c>
      <c r="REW68" s="561" t="s">
        <v>1505</v>
      </c>
      <c r="REX68" s="561" t="s">
        <v>1505</v>
      </c>
      <c r="REY68" s="561" t="s">
        <v>1505</v>
      </c>
      <c r="REZ68" s="561" t="s">
        <v>1505</v>
      </c>
      <c r="RFA68" s="561" t="s">
        <v>1505</v>
      </c>
      <c r="RFB68" s="561" t="s">
        <v>1505</v>
      </c>
      <c r="RFC68" s="561" t="s">
        <v>1505</v>
      </c>
      <c r="RFD68" s="561" t="s">
        <v>1505</v>
      </c>
      <c r="RFE68" s="561" t="s">
        <v>1505</v>
      </c>
      <c r="RFF68" s="561" t="s">
        <v>1505</v>
      </c>
      <c r="RFG68" s="561" t="s">
        <v>1505</v>
      </c>
      <c r="RFH68" s="561" t="s">
        <v>1505</v>
      </c>
      <c r="RFI68" s="561" t="s">
        <v>1505</v>
      </c>
      <c r="RFJ68" s="561" t="s">
        <v>1505</v>
      </c>
      <c r="RFK68" s="561" t="s">
        <v>1505</v>
      </c>
      <c r="RFL68" s="561" t="s">
        <v>1505</v>
      </c>
      <c r="RFM68" s="561" t="s">
        <v>1505</v>
      </c>
      <c r="RFN68" s="561" t="s">
        <v>1505</v>
      </c>
      <c r="RFO68" s="561" t="s">
        <v>1505</v>
      </c>
      <c r="RFP68" s="561" t="s">
        <v>1505</v>
      </c>
      <c r="RFQ68" s="561" t="s">
        <v>1505</v>
      </c>
      <c r="RFR68" s="561" t="s">
        <v>1505</v>
      </c>
      <c r="RFS68" s="561" t="s">
        <v>1505</v>
      </c>
      <c r="RFT68" s="561" t="s">
        <v>1505</v>
      </c>
      <c r="RFU68" s="561" t="s">
        <v>1505</v>
      </c>
      <c r="RFV68" s="561" t="s">
        <v>1505</v>
      </c>
      <c r="RFW68" s="561" t="s">
        <v>1505</v>
      </c>
      <c r="RFX68" s="561" t="s">
        <v>1505</v>
      </c>
      <c r="RFY68" s="561" t="s">
        <v>1505</v>
      </c>
      <c r="RFZ68" s="561" t="s">
        <v>1505</v>
      </c>
      <c r="RGA68" s="561" t="s">
        <v>1505</v>
      </c>
      <c r="RGB68" s="561" t="s">
        <v>1505</v>
      </c>
      <c r="RGC68" s="561" t="s">
        <v>1505</v>
      </c>
      <c r="RGD68" s="561" t="s">
        <v>1505</v>
      </c>
      <c r="RGE68" s="561" t="s">
        <v>1505</v>
      </c>
      <c r="RGF68" s="561" t="s">
        <v>1505</v>
      </c>
      <c r="RGG68" s="561" t="s">
        <v>1505</v>
      </c>
      <c r="RGH68" s="561" t="s">
        <v>1505</v>
      </c>
      <c r="RGI68" s="561" t="s">
        <v>1505</v>
      </c>
      <c r="RGJ68" s="561" t="s">
        <v>1505</v>
      </c>
      <c r="RGK68" s="561" t="s">
        <v>1505</v>
      </c>
      <c r="RGL68" s="561" t="s">
        <v>1505</v>
      </c>
      <c r="RGM68" s="561" t="s">
        <v>1505</v>
      </c>
      <c r="RGN68" s="561" t="s">
        <v>1505</v>
      </c>
      <c r="RGO68" s="561" t="s">
        <v>1505</v>
      </c>
      <c r="RGP68" s="561" t="s">
        <v>1505</v>
      </c>
      <c r="RGQ68" s="561" t="s">
        <v>1505</v>
      </c>
      <c r="RGR68" s="561" t="s">
        <v>1505</v>
      </c>
      <c r="RGS68" s="561" t="s">
        <v>1505</v>
      </c>
      <c r="RGT68" s="561" t="s">
        <v>1505</v>
      </c>
      <c r="RGU68" s="561" t="s">
        <v>1505</v>
      </c>
      <c r="RGV68" s="561" t="s">
        <v>1505</v>
      </c>
      <c r="RGW68" s="561" t="s">
        <v>1505</v>
      </c>
      <c r="RGX68" s="561" t="s">
        <v>1505</v>
      </c>
      <c r="RGY68" s="561" t="s">
        <v>1505</v>
      </c>
      <c r="RGZ68" s="561" t="s">
        <v>1505</v>
      </c>
      <c r="RHA68" s="561" t="s">
        <v>1505</v>
      </c>
      <c r="RHB68" s="561" t="s">
        <v>1505</v>
      </c>
      <c r="RHC68" s="561" t="s">
        <v>1505</v>
      </c>
      <c r="RHD68" s="561" t="s">
        <v>1505</v>
      </c>
      <c r="RHE68" s="561" t="s">
        <v>1505</v>
      </c>
      <c r="RHF68" s="561" t="s">
        <v>1505</v>
      </c>
      <c r="RHG68" s="561" t="s">
        <v>1505</v>
      </c>
      <c r="RHH68" s="561" t="s">
        <v>1505</v>
      </c>
      <c r="RHI68" s="561" t="s">
        <v>1505</v>
      </c>
      <c r="RHJ68" s="561" t="s">
        <v>1505</v>
      </c>
      <c r="RHK68" s="561" t="s">
        <v>1505</v>
      </c>
      <c r="RHL68" s="561" t="s">
        <v>1505</v>
      </c>
      <c r="RHM68" s="561" t="s">
        <v>1505</v>
      </c>
      <c r="RHN68" s="561" t="s">
        <v>1505</v>
      </c>
      <c r="RHO68" s="561" t="s">
        <v>1505</v>
      </c>
      <c r="RHP68" s="561" t="s">
        <v>1505</v>
      </c>
      <c r="RHQ68" s="561" t="s">
        <v>1505</v>
      </c>
      <c r="RHR68" s="561" t="s">
        <v>1505</v>
      </c>
      <c r="RHS68" s="561" t="s">
        <v>1505</v>
      </c>
      <c r="RHT68" s="561" t="s">
        <v>1505</v>
      </c>
      <c r="RHU68" s="561" t="s">
        <v>1505</v>
      </c>
      <c r="RHV68" s="561" t="s">
        <v>1505</v>
      </c>
      <c r="RHW68" s="561" t="s">
        <v>1505</v>
      </c>
      <c r="RHX68" s="561" t="s">
        <v>1505</v>
      </c>
      <c r="RHY68" s="561" t="s">
        <v>1505</v>
      </c>
      <c r="RHZ68" s="561" t="s">
        <v>1505</v>
      </c>
      <c r="RIA68" s="561" t="s">
        <v>1505</v>
      </c>
      <c r="RIB68" s="561" t="s">
        <v>1505</v>
      </c>
      <c r="RIC68" s="561" t="s">
        <v>1505</v>
      </c>
      <c r="RID68" s="561" t="s">
        <v>1505</v>
      </c>
      <c r="RIE68" s="561" t="s">
        <v>1505</v>
      </c>
      <c r="RIF68" s="561" t="s">
        <v>1505</v>
      </c>
      <c r="RIG68" s="561" t="s">
        <v>1505</v>
      </c>
      <c r="RIH68" s="561" t="s">
        <v>1505</v>
      </c>
      <c r="RII68" s="561" t="s">
        <v>1505</v>
      </c>
      <c r="RIJ68" s="561" t="s">
        <v>1505</v>
      </c>
      <c r="RIK68" s="561" t="s">
        <v>1505</v>
      </c>
      <c r="RIL68" s="561" t="s">
        <v>1505</v>
      </c>
      <c r="RIM68" s="561" t="s">
        <v>1505</v>
      </c>
      <c r="RIN68" s="561" t="s">
        <v>1505</v>
      </c>
      <c r="RIO68" s="561" t="s">
        <v>1505</v>
      </c>
      <c r="RIP68" s="561" t="s">
        <v>1505</v>
      </c>
      <c r="RIQ68" s="561" t="s">
        <v>1505</v>
      </c>
      <c r="RIR68" s="561" t="s">
        <v>1505</v>
      </c>
      <c r="RIS68" s="561" t="s">
        <v>1505</v>
      </c>
      <c r="RIT68" s="561" t="s">
        <v>1505</v>
      </c>
      <c r="RIU68" s="561" t="s">
        <v>1505</v>
      </c>
      <c r="RIV68" s="561" t="s">
        <v>1505</v>
      </c>
      <c r="RIW68" s="561" t="s">
        <v>1505</v>
      </c>
      <c r="RIX68" s="561" t="s">
        <v>1505</v>
      </c>
      <c r="RIY68" s="561" t="s">
        <v>1505</v>
      </c>
      <c r="RIZ68" s="561" t="s">
        <v>1505</v>
      </c>
      <c r="RJA68" s="561" t="s">
        <v>1505</v>
      </c>
      <c r="RJB68" s="561" t="s">
        <v>1505</v>
      </c>
      <c r="RJC68" s="561" t="s">
        <v>1505</v>
      </c>
      <c r="RJD68" s="561" t="s">
        <v>1505</v>
      </c>
      <c r="RJE68" s="561" t="s">
        <v>1505</v>
      </c>
      <c r="RJF68" s="561" t="s">
        <v>1505</v>
      </c>
      <c r="RJG68" s="561" t="s">
        <v>1505</v>
      </c>
      <c r="RJH68" s="561" t="s">
        <v>1505</v>
      </c>
      <c r="RJI68" s="561" t="s">
        <v>1505</v>
      </c>
      <c r="RJJ68" s="561" t="s">
        <v>1505</v>
      </c>
      <c r="RJK68" s="561" t="s">
        <v>1505</v>
      </c>
      <c r="RJL68" s="561" t="s">
        <v>1505</v>
      </c>
      <c r="RJM68" s="561" t="s">
        <v>1505</v>
      </c>
      <c r="RJN68" s="561" t="s">
        <v>1505</v>
      </c>
      <c r="RJO68" s="561" t="s">
        <v>1505</v>
      </c>
      <c r="RJP68" s="561" t="s">
        <v>1505</v>
      </c>
      <c r="RJQ68" s="561" t="s">
        <v>1505</v>
      </c>
      <c r="RJR68" s="561" t="s">
        <v>1505</v>
      </c>
      <c r="RJS68" s="561" t="s">
        <v>1505</v>
      </c>
      <c r="RJT68" s="561" t="s">
        <v>1505</v>
      </c>
      <c r="RJU68" s="561" t="s">
        <v>1505</v>
      </c>
      <c r="RJV68" s="561" t="s">
        <v>1505</v>
      </c>
      <c r="RJW68" s="561" t="s">
        <v>1505</v>
      </c>
      <c r="RJX68" s="561" t="s">
        <v>1505</v>
      </c>
      <c r="RJY68" s="561" t="s">
        <v>1505</v>
      </c>
      <c r="RJZ68" s="561" t="s">
        <v>1505</v>
      </c>
      <c r="RKA68" s="561" t="s">
        <v>1505</v>
      </c>
      <c r="RKB68" s="561" t="s">
        <v>1505</v>
      </c>
      <c r="RKC68" s="561" t="s">
        <v>1505</v>
      </c>
      <c r="RKD68" s="561" t="s">
        <v>1505</v>
      </c>
      <c r="RKE68" s="561" t="s">
        <v>1505</v>
      </c>
      <c r="RKF68" s="561" t="s">
        <v>1505</v>
      </c>
      <c r="RKG68" s="561" t="s">
        <v>1505</v>
      </c>
      <c r="RKH68" s="561" t="s">
        <v>1505</v>
      </c>
      <c r="RKI68" s="561" t="s">
        <v>1505</v>
      </c>
      <c r="RKJ68" s="561" t="s">
        <v>1505</v>
      </c>
      <c r="RKK68" s="561" t="s">
        <v>1505</v>
      </c>
      <c r="RKL68" s="561" t="s">
        <v>1505</v>
      </c>
      <c r="RKM68" s="561" t="s">
        <v>1505</v>
      </c>
      <c r="RKN68" s="561" t="s">
        <v>1505</v>
      </c>
      <c r="RKO68" s="561" t="s">
        <v>1505</v>
      </c>
      <c r="RKP68" s="561" t="s">
        <v>1505</v>
      </c>
      <c r="RKQ68" s="561" t="s">
        <v>1505</v>
      </c>
      <c r="RKR68" s="561" t="s">
        <v>1505</v>
      </c>
      <c r="RKS68" s="561" t="s">
        <v>1505</v>
      </c>
      <c r="RKT68" s="561" t="s">
        <v>1505</v>
      </c>
      <c r="RKU68" s="561" t="s">
        <v>1505</v>
      </c>
      <c r="RKV68" s="561" t="s">
        <v>1505</v>
      </c>
      <c r="RKW68" s="561" t="s">
        <v>1505</v>
      </c>
      <c r="RKX68" s="561" t="s">
        <v>1505</v>
      </c>
      <c r="RKY68" s="561" t="s">
        <v>1505</v>
      </c>
      <c r="RKZ68" s="561" t="s">
        <v>1505</v>
      </c>
      <c r="RLA68" s="561" t="s">
        <v>1505</v>
      </c>
      <c r="RLB68" s="561" t="s">
        <v>1505</v>
      </c>
      <c r="RLC68" s="561" t="s">
        <v>1505</v>
      </c>
      <c r="RLD68" s="561" t="s">
        <v>1505</v>
      </c>
      <c r="RLE68" s="561" t="s">
        <v>1505</v>
      </c>
      <c r="RLF68" s="561" t="s">
        <v>1505</v>
      </c>
      <c r="RLG68" s="561" t="s">
        <v>1505</v>
      </c>
      <c r="RLH68" s="561" t="s">
        <v>1505</v>
      </c>
      <c r="RLI68" s="561" t="s">
        <v>1505</v>
      </c>
      <c r="RLJ68" s="561" t="s">
        <v>1505</v>
      </c>
      <c r="RLK68" s="561" t="s">
        <v>1505</v>
      </c>
      <c r="RLL68" s="561" t="s">
        <v>1505</v>
      </c>
      <c r="RLM68" s="561" t="s">
        <v>1505</v>
      </c>
      <c r="RLN68" s="561" t="s">
        <v>1505</v>
      </c>
      <c r="RLO68" s="561" t="s">
        <v>1505</v>
      </c>
      <c r="RLP68" s="561" t="s">
        <v>1505</v>
      </c>
      <c r="RLQ68" s="561" t="s">
        <v>1505</v>
      </c>
      <c r="RLR68" s="561" t="s">
        <v>1505</v>
      </c>
      <c r="RLS68" s="561" t="s">
        <v>1505</v>
      </c>
      <c r="RLT68" s="561" t="s">
        <v>1505</v>
      </c>
      <c r="RLU68" s="561" t="s">
        <v>1505</v>
      </c>
      <c r="RLV68" s="561" t="s">
        <v>1505</v>
      </c>
      <c r="RLW68" s="561" t="s">
        <v>1505</v>
      </c>
      <c r="RLX68" s="561" t="s">
        <v>1505</v>
      </c>
      <c r="RLY68" s="561" t="s">
        <v>1505</v>
      </c>
      <c r="RLZ68" s="561" t="s">
        <v>1505</v>
      </c>
      <c r="RMA68" s="561" t="s">
        <v>1505</v>
      </c>
      <c r="RMB68" s="561" t="s">
        <v>1505</v>
      </c>
      <c r="RMC68" s="561" t="s">
        <v>1505</v>
      </c>
      <c r="RMD68" s="561" t="s">
        <v>1505</v>
      </c>
      <c r="RME68" s="561" t="s">
        <v>1505</v>
      </c>
      <c r="RMF68" s="561" t="s">
        <v>1505</v>
      </c>
      <c r="RMG68" s="561" t="s">
        <v>1505</v>
      </c>
      <c r="RMH68" s="561" t="s">
        <v>1505</v>
      </c>
      <c r="RMI68" s="561" t="s">
        <v>1505</v>
      </c>
      <c r="RMJ68" s="561" t="s">
        <v>1505</v>
      </c>
      <c r="RMK68" s="561" t="s">
        <v>1505</v>
      </c>
      <c r="RML68" s="561" t="s">
        <v>1505</v>
      </c>
      <c r="RMM68" s="561" t="s">
        <v>1505</v>
      </c>
      <c r="RMN68" s="561" t="s">
        <v>1505</v>
      </c>
      <c r="RMO68" s="561" t="s">
        <v>1505</v>
      </c>
      <c r="RMP68" s="561" t="s">
        <v>1505</v>
      </c>
      <c r="RMQ68" s="561" t="s">
        <v>1505</v>
      </c>
      <c r="RMR68" s="561" t="s">
        <v>1505</v>
      </c>
      <c r="RMS68" s="561" t="s">
        <v>1505</v>
      </c>
      <c r="RMT68" s="561" t="s">
        <v>1505</v>
      </c>
      <c r="RMU68" s="561" t="s">
        <v>1505</v>
      </c>
      <c r="RMV68" s="561" t="s">
        <v>1505</v>
      </c>
      <c r="RMW68" s="561" t="s">
        <v>1505</v>
      </c>
      <c r="RMX68" s="561" t="s">
        <v>1505</v>
      </c>
      <c r="RMY68" s="561" t="s">
        <v>1505</v>
      </c>
      <c r="RMZ68" s="561" t="s">
        <v>1505</v>
      </c>
      <c r="RNA68" s="561" t="s">
        <v>1505</v>
      </c>
      <c r="RNB68" s="561" t="s">
        <v>1505</v>
      </c>
      <c r="RNC68" s="561" t="s">
        <v>1505</v>
      </c>
      <c r="RND68" s="561" t="s">
        <v>1505</v>
      </c>
      <c r="RNE68" s="561" t="s">
        <v>1505</v>
      </c>
      <c r="RNF68" s="561" t="s">
        <v>1505</v>
      </c>
      <c r="RNG68" s="561" t="s">
        <v>1505</v>
      </c>
      <c r="RNH68" s="561" t="s">
        <v>1505</v>
      </c>
      <c r="RNI68" s="561" t="s">
        <v>1505</v>
      </c>
      <c r="RNJ68" s="561" t="s">
        <v>1505</v>
      </c>
      <c r="RNK68" s="561" t="s">
        <v>1505</v>
      </c>
      <c r="RNL68" s="561" t="s">
        <v>1505</v>
      </c>
      <c r="RNM68" s="561" t="s">
        <v>1505</v>
      </c>
      <c r="RNN68" s="561" t="s">
        <v>1505</v>
      </c>
      <c r="RNO68" s="561" t="s">
        <v>1505</v>
      </c>
      <c r="RNP68" s="561" t="s">
        <v>1505</v>
      </c>
      <c r="RNQ68" s="561" t="s">
        <v>1505</v>
      </c>
      <c r="RNR68" s="561" t="s">
        <v>1505</v>
      </c>
      <c r="RNS68" s="561" t="s">
        <v>1505</v>
      </c>
      <c r="RNT68" s="561" t="s">
        <v>1505</v>
      </c>
      <c r="RNU68" s="561" t="s">
        <v>1505</v>
      </c>
      <c r="RNV68" s="561" t="s">
        <v>1505</v>
      </c>
      <c r="RNW68" s="561" t="s">
        <v>1505</v>
      </c>
      <c r="RNX68" s="561" t="s">
        <v>1505</v>
      </c>
      <c r="RNY68" s="561" t="s">
        <v>1505</v>
      </c>
      <c r="RNZ68" s="561" t="s">
        <v>1505</v>
      </c>
      <c r="ROA68" s="561" t="s">
        <v>1505</v>
      </c>
      <c r="ROB68" s="561" t="s">
        <v>1505</v>
      </c>
      <c r="ROC68" s="561" t="s">
        <v>1505</v>
      </c>
      <c r="ROD68" s="561" t="s">
        <v>1505</v>
      </c>
      <c r="ROE68" s="561" t="s">
        <v>1505</v>
      </c>
      <c r="ROF68" s="561" t="s">
        <v>1505</v>
      </c>
      <c r="ROG68" s="561" t="s">
        <v>1505</v>
      </c>
      <c r="ROH68" s="561" t="s">
        <v>1505</v>
      </c>
      <c r="ROI68" s="561" t="s">
        <v>1505</v>
      </c>
      <c r="ROJ68" s="561" t="s">
        <v>1505</v>
      </c>
      <c r="ROK68" s="561" t="s">
        <v>1505</v>
      </c>
      <c r="ROL68" s="561" t="s">
        <v>1505</v>
      </c>
      <c r="ROM68" s="561" t="s">
        <v>1505</v>
      </c>
      <c r="RON68" s="561" t="s">
        <v>1505</v>
      </c>
      <c r="ROO68" s="561" t="s">
        <v>1505</v>
      </c>
      <c r="ROP68" s="561" t="s">
        <v>1505</v>
      </c>
      <c r="ROQ68" s="561" t="s">
        <v>1505</v>
      </c>
      <c r="ROR68" s="561" t="s">
        <v>1505</v>
      </c>
      <c r="ROS68" s="561" t="s">
        <v>1505</v>
      </c>
      <c r="ROT68" s="561" t="s">
        <v>1505</v>
      </c>
      <c r="ROU68" s="561" t="s">
        <v>1505</v>
      </c>
      <c r="ROV68" s="561" t="s">
        <v>1505</v>
      </c>
      <c r="ROW68" s="561" t="s">
        <v>1505</v>
      </c>
      <c r="ROX68" s="561" t="s">
        <v>1505</v>
      </c>
      <c r="ROY68" s="561" t="s">
        <v>1505</v>
      </c>
      <c r="ROZ68" s="561" t="s">
        <v>1505</v>
      </c>
      <c r="RPA68" s="561" t="s">
        <v>1505</v>
      </c>
      <c r="RPB68" s="561" t="s">
        <v>1505</v>
      </c>
      <c r="RPC68" s="561" t="s">
        <v>1505</v>
      </c>
      <c r="RPD68" s="561" t="s">
        <v>1505</v>
      </c>
      <c r="RPE68" s="561" t="s">
        <v>1505</v>
      </c>
      <c r="RPF68" s="561" t="s">
        <v>1505</v>
      </c>
      <c r="RPG68" s="561" t="s">
        <v>1505</v>
      </c>
      <c r="RPH68" s="561" t="s">
        <v>1505</v>
      </c>
      <c r="RPI68" s="561" t="s">
        <v>1505</v>
      </c>
      <c r="RPJ68" s="561" t="s">
        <v>1505</v>
      </c>
      <c r="RPK68" s="561" t="s">
        <v>1505</v>
      </c>
      <c r="RPL68" s="561" t="s">
        <v>1505</v>
      </c>
      <c r="RPM68" s="561" t="s">
        <v>1505</v>
      </c>
      <c r="RPN68" s="561" t="s">
        <v>1505</v>
      </c>
      <c r="RPO68" s="561" t="s">
        <v>1505</v>
      </c>
      <c r="RPP68" s="561" t="s">
        <v>1505</v>
      </c>
      <c r="RPQ68" s="561" t="s">
        <v>1505</v>
      </c>
      <c r="RPR68" s="561" t="s">
        <v>1505</v>
      </c>
      <c r="RPS68" s="561" t="s">
        <v>1505</v>
      </c>
      <c r="RPT68" s="561" t="s">
        <v>1505</v>
      </c>
      <c r="RPU68" s="561" t="s">
        <v>1505</v>
      </c>
      <c r="RPV68" s="561" t="s">
        <v>1505</v>
      </c>
      <c r="RPW68" s="561" t="s">
        <v>1505</v>
      </c>
      <c r="RPX68" s="561" t="s">
        <v>1505</v>
      </c>
      <c r="RPY68" s="561" t="s">
        <v>1505</v>
      </c>
      <c r="RPZ68" s="561" t="s">
        <v>1505</v>
      </c>
      <c r="RQA68" s="561" t="s">
        <v>1505</v>
      </c>
      <c r="RQB68" s="561" t="s">
        <v>1505</v>
      </c>
      <c r="RQC68" s="561" t="s">
        <v>1505</v>
      </c>
      <c r="RQD68" s="561" t="s">
        <v>1505</v>
      </c>
      <c r="RQE68" s="561" t="s">
        <v>1505</v>
      </c>
      <c r="RQF68" s="561" t="s">
        <v>1505</v>
      </c>
      <c r="RQG68" s="561" t="s">
        <v>1505</v>
      </c>
      <c r="RQH68" s="561" t="s">
        <v>1505</v>
      </c>
      <c r="RQI68" s="561" t="s">
        <v>1505</v>
      </c>
      <c r="RQJ68" s="561" t="s">
        <v>1505</v>
      </c>
      <c r="RQK68" s="561" t="s">
        <v>1505</v>
      </c>
      <c r="RQL68" s="561" t="s">
        <v>1505</v>
      </c>
      <c r="RQM68" s="561" t="s">
        <v>1505</v>
      </c>
      <c r="RQN68" s="561" t="s">
        <v>1505</v>
      </c>
      <c r="RQO68" s="561" t="s">
        <v>1505</v>
      </c>
      <c r="RQP68" s="561" t="s">
        <v>1505</v>
      </c>
      <c r="RQQ68" s="561" t="s">
        <v>1505</v>
      </c>
      <c r="RQR68" s="561" t="s">
        <v>1505</v>
      </c>
      <c r="RQS68" s="561" t="s">
        <v>1505</v>
      </c>
      <c r="RQT68" s="561" t="s">
        <v>1505</v>
      </c>
      <c r="RQU68" s="561" t="s">
        <v>1505</v>
      </c>
      <c r="RQV68" s="561" t="s">
        <v>1505</v>
      </c>
      <c r="RQW68" s="561" t="s">
        <v>1505</v>
      </c>
      <c r="RQX68" s="561" t="s">
        <v>1505</v>
      </c>
      <c r="RQY68" s="561" t="s">
        <v>1505</v>
      </c>
      <c r="RQZ68" s="561" t="s">
        <v>1505</v>
      </c>
      <c r="RRA68" s="561" t="s">
        <v>1505</v>
      </c>
      <c r="RRB68" s="561" t="s">
        <v>1505</v>
      </c>
      <c r="RRC68" s="561" t="s">
        <v>1505</v>
      </c>
      <c r="RRD68" s="561" t="s">
        <v>1505</v>
      </c>
      <c r="RRE68" s="561" t="s">
        <v>1505</v>
      </c>
      <c r="RRF68" s="561" t="s">
        <v>1505</v>
      </c>
      <c r="RRG68" s="561" t="s">
        <v>1505</v>
      </c>
      <c r="RRH68" s="561" t="s">
        <v>1505</v>
      </c>
      <c r="RRI68" s="561" t="s">
        <v>1505</v>
      </c>
      <c r="RRJ68" s="561" t="s">
        <v>1505</v>
      </c>
      <c r="RRK68" s="561" t="s">
        <v>1505</v>
      </c>
      <c r="RRL68" s="561" t="s">
        <v>1505</v>
      </c>
      <c r="RRM68" s="561" t="s">
        <v>1505</v>
      </c>
      <c r="RRN68" s="561" t="s">
        <v>1505</v>
      </c>
      <c r="RRO68" s="561" t="s">
        <v>1505</v>
      </c>
      <c r="RRP68" s="561" t="s">
        <v>1505</v>
      </c>
      <c r="RRQ68" s="561" t="s">
        <v>1505</v>
      </c>
      <c r="RRR68" s="561" t="s">
        <v>1505</v>
      </c>
      <c r="RRS68" s="561" t="s">
        <v>1505</v>
      </c>
      <c r="RRT68" s="561" t="s">
        <v>1505</v>
      </c>
      <c r="RRU68" s="561" t="s">
        <v>1505</v>
      </c>
      <c r="RRV68" s="561" t="s">
        <v>1505</v>
      </c>
      <c r="RRW68" s="561" t="s">
        <v>1505</v>
      </c>
      <c r="RRX68" s="561" t="s">
        <v>1505</v>
      </c>
      <c r="RRY68" s="561" t="s">
        <v>1505</v>
      </c>
      <c r="RRZ68" s="561" t="s">
        <v>1505</v>
      </c>
      <c r="RSA68" s="561" t="s">
        <v>1505</v>
      </c>
      <c r="RSB68" s="561" t="s">
        <v>1505</v>
      </c>
      <c r="RSC68" s="561" t="s">
        <v>1505</v>
      </c>
      <c r="RSD68" s="561" t="s">
        <v>1505</v>
      </c>
      <c r="RSE68" s="561" t="s">
        <v>1505</v>
      </c>
      <c r="RSF68" s="561" t="s">
        <v>1505</v>
      </c>
      <c r="RSG68" s="561" t="s">
        <v>1505</v>
      </c>
      <c r="RSH68" s="561" t="s">
        <v>1505</v>
      </c>
      <c r="RSI68" s="561" t="s">
        <v>1505</v>
      </c>
      <c r="RSJ68" s="561" t="s">
        <v>1505</v>
      </c>
      <c r="RSK68" s="561" t="s">
        <v>1505</v>
      </c>
      <c r="RSL68" s="561" t="s">
        <v>1505</v>
      </c>
      <c r="RSM68" s="561" t="s">
        <v>1505</v>
      </c>
      <c r="RSN68" s="561" t="s">
        <v>1505</v>
      </c>
      <c r="RSO68" s="561" t="s">
        <v>1505</v>
      </c>
      <c r="RSP68" s="561" t="s">
        <v>1505</v>
      </c>
      <c r="RSQ68" s="561" t="s">
        <v>1505</v>
      </c>
      <c r="RSR68" s="561" t="s">
        <v>1505</v>
      </c>
      <c r="RSS68" s="561" t="s">
        <v>1505</v>
      </c>
      <c r="RST68" s="561" t="s">
        <v>1505</v>
      </c>
      <c r="RSU68" s="561" t="s">
        <v>1505</v>
      </c>
      <c r="RSV68" s="561" t="s">
        <v>1505</v>
      </c>
      <c r="RSW68" s="561" t="s">
        <v>1505</v>
      </c>
      <c r="RSX68" s="561" t="s">
        <v>1505</v>
      </c>
      <c r="RSY68" s="561" t="s">
        <v>1505</v>
      </c>
      <c r="RSZ68" s="561" t="s">
        <v>1505</v>
      </c>
      <c r="RTA68" s="561" t="s">
        <v>1505</v>
      </c>
      <c r="RTB68" s="561" t="s">
        <v>1505</v>
      </c>
      <c r="RTC68" s="561" t="s">
        <v>1505</v>
      </c>
      <c r="RTD68" s="561" t="s">
        <v>1505</v>
      </c>
      <c r="RTE68" s="561" t="s">
        <v>1505</v>
      </c>
      <c r="RTF68" s="561" t="s">
        <v>1505</v>
      </c>
      <c r="RTG68" s="561" t="s">
        <v>1505</v>
      </c>
      <c r="RTH68" s="561" t="s">
        <v>1505</v>
      </c>
      <c r="RTI68" s="561" t="s">
        <v>1505</v>
      </c>
      <c r="RTJ68" s="561" t="s">
        <v>1505</v>
      </c>
      <c r="RTK68" s="561" t="s">
        <v>1505</v>
      </c>
      <c r="RTL68" s="561" t="s">
        <v>1505</v>
      </c>
      <c r="RTM68" s="561" t="s">
        <v>1505</v>
      </c>
      <c r="RTN68" s="561" t="s">
        <v>1505</v>
      </c>
      <c r="RTO68" s="561" t="s">
        <v>1505</v>
      </c>
      <c r="RTP68" s="561" t="s">
        <v>1505</v>
      </c>
      <c r="RTQ68" s="561" t="s">
        <v>1505</v>
      </c>
      <c r="RTR68" s="561" t="s">
        <v>1505</v>
      </c>
      <c r="RTS68" s="561" t="s">
        <v>1505</v>
      </c>
      <c r="RTT68" s="561" t="s">
        <v>1505</v>
      </c>
      <c r="RTU68" s="561" t="s">
        <v>1505</v>
      </c>
      <c r="RTV68" s="561" t="s">
        <v>1505</v>
      </c>
      <c r="RTW68" s="561" t="s">
        <v>1505</v>
      </c>
      <c r="RTX68" s="561" t="s">
        <v>1505</v>
      </c>
      <c r="RTY68" s="561" t="s">
        <v>1505</v>
      </c>
      <c r="RTZ68" s="561" t="s">
        <v>1505</v>
      </c>
      <c r="RUA68" s="561" t="s">
        <v>1505</v>
      </c>
      <c r="RUB68" s="561" t="s">
        <v>1505</v>
      </c>
      <c r="RUC68" s="561" t="s">
        <v>1505</v>
      </c>
      <c r="RUD68" s="561" t="s">
        <v>1505</v>
      </c>
      <c r="RUE68" s="561" t="s">
        <v>1505</v>
      </c>
      <c r="RUF68" s="561" t="s">
        <v>1505</v>
      </c>
      <c r="RUG68" s="561" t="s">
        <v>1505</v>
      </c>
      <c r="RUH68" s="561" t="s">
        <v>1505</v>
      </c>
      <c r="RUI68" s="561" t="s">
        <v>1505</v>
      </c>
      <c r="RUJ68" s="561" t="s">
        <v>1505</v>
      </c>
      <c r="RUK68" s="561" t="s">
        <v>1505</v>
      </c>
      <c r="RUL68" s="561" t="s">
        <v>1505</v>
      </c>
      <c r="RUM68" s="561" t="s">
        <v>1505</v>
      </c>
      <c r="RUN68" s="561" t="s">
        <v>1505</v>
      </c>
      <c r="RUO68" s="561" t="s">
        <v>1505</v>
      </c>
      <c r="RUP68" s="561" t="s">
        <v>1505</v>
      </c>
      <c r="RUQ68" s="561" t="s">
        <v>1505</v>
      </c>
      <c r="RUR68" s="561" t="s">
        <v>1505</v>
      </c>
      <c r="RUS68" s="561" t="s">
        <v>1505</v>
      </c>
      <c r="RUT68" s="561" t="s">
        <v>1505</v>
      </c>
      <c r="RUU68" s="561" t="s">
        <v>1505</v>
      </c>
      <c r="RUV68" s="561" t="s">
        <v>1505</v>
      </c>
      <c r="RUW68" s="561" t="s">
        <v>1505</v>
      </c>
      <c r="RUX68" s="561" t="s">
        <v>1505</v>
      </c>
      <c r="RUY68" s="561" t="s">
        <v>1505</v>
      </c>
      <c r="RUZ68" s="561" t="s">
        <v>1505</v>
      </c>
      <c r="RVA68" s="561" t="s">
        <v>1505</v>
      </c>
      <c r="RVB68" s="561" t="s">
        <v>1505</v>
      </c>
      <c r="RVC68" s="561" t="s">
        <v>1505</v>
      </c>
      <c r="RVD68" s="561" t="s">
        <v>1505</v>
      </c>
      <c r="RVE68" s="561" t="s">
        <v>1505</v>
      </c>
      <c r="RVF68" s="561" t="s">
        <v>1505</v>
      </c>
      <c r="RVG68" s="561" t="s">
        <v>1505</v>
      </c>
      <c r="RVH68" s="561" t="s">
        <v>1505</v>
      </c>
      <c r="RVI68" s="561" t="s">
        <v>1505</v>
      </c>
      <c r="RVJ68" s="561" t="s">
        <v>1505</v>
      </c>
      <c r="RVK68" s="561" t="s">
        <v>1505</v>
      </c>
      <c r="RVL68" s="561" t="s">
        <v>1505</v>
      </c>
      <c r="RVM68" s="561" t="s">
        <v>1505</v>
      </c>
      <c r="RVN68" s="561" t="s">
        <v>1505</v>
      </c>
      <c r="RVO68" s="561" t="s">
        <v>1505</v>
      </c>
      <c r="RVP68" s="561" t="s">
        <v>1505</v>
      </c>
      <c r="RVQ68" s="561" t="s">
        <v>1505</v>
      </c>
      <c r="RVR68" s="561" t="s">
        <v>1505</v>
      </c>
      <c r="RVS68" s="561" t="s">
        <v>1505</v>
      </c>
      <c r="RVT68" s="561" t="s">
        <v>1505</v>
      </c>
      <c r="RVU68" s="561" t="s">
        <v>1505</v>
      </c>
      <c r="RVV68" s="561" t="s">
        <v>1505</v>
      </c>
      <c r="RVW68" s="561" t="s">
        <v>1505</v>
      </c>
      <c r="RVX68" s="561" t="s">
        <v>1505</v>
      </c>
      <c r="RVY68" s="561" t="s">
        <v>1505</v>
      </c>
      <c r="RVZ68" s="561" t="s">
        <v>1505</v>
      </c>
      <c r="RWA68" s="561" t="s">
        <v>1505</v>
      </c>
      <c r="RWB68" s="561" t="s">
        <v>1505</v>
      </c>
      <c r="RWC68" s="561" t="s">
        <v>1505</v>
      </c>
      <c r="RWD68" s="561" t="s">
        <v>1505</v>
      </c>
      <c r="RWE68" s="561" t="s">
        <v>1505</v>
      </c>
      <c r="RWF68" s="561" t="s">
        <v>1505</v>
      </c>
      <c r="RWG68" s="561" t="s">
        <v>1505</v>
      </c>
      <c r="RWH68" s="561" t="s">
        <v>1505</v>
      </c>
      <c r="RWI68" s="561" t="s">
        <v>1505</v>
      </c>
      <c r="RWJ68" s="561" t="s">
        <v>1505</v>
      </c>
      <c r="RWK68" s="561" t="s">
        <v>1505</v>
      </c>
      <c r="RWL68" s="561" t="s">
        <v>1505</v>
      </c>
      <c r="RWM68" s="561" t="s">
        <v>1505</v>
      </c>
      <c r="RWN68" s="561" t="s">
        <v>1505</v>
      </c>
      <c r="RWO68" s="561" t="s">
        <v>1505</v>
      </c>
      <c r="RWP68" s="561" t="s">
        <v>1505</v>
      </c>
      <c r="RWQ68" s="561" t="s">
        <v>1505</v>
      </c>
      <c r="RWR68" s="561" t="s">
        <v>1505</v>
      </c>
      <c r="RWS68" s="561" t="s">
        <v>1505</v>
      </c>
      <c r="RWT68" s="561" t="s">
        <v>1505</v>
      </c>
      <c r="RWU68" s="561" t="s">
        <v>1505</v>
      </c>
      <c r="RWV68" s="561" t="s">
        <v>1505</v>
      </c>
      <c r="RWW68" s="561" t="s">
        <v>1505</v>
      </c>
      <c r="RWX68" s="561" t="s">
        <v>1505</v>
      </c>
      <c r="RWY68" s="561" t="s">
        <v>1505</v>
      </c>
      <c r="RWZ68" s="561" t="s">
        <v>1505</v>
      </c>
      <c r="RXA68" s="561" t="s">
        <v>1505</v>
      </c>
      <c r="RXB68" s="561" t="s">
        <v>1505</v>
      </c>
      <c r="RXC68" s="561" t="s">
        <v>1505</v>
      </c>
      <c r="RXD68" s="561" t="s">
        <v>1505</v>
      </c>
      <c r="RXE68" s="561" t="s">
        <v>1505</v>
      </c>
      <c r="RXF68" s="561" t="s">
        <v>1505</v>
      </c>
      <c r="RXG68" s="561" t="s">
        <v>1505</v>
      </c>
      <c r="RXH68" s="561" t="s">
        <v>1505</v>
      </c>
      <c r="RXI68" s="561" t="s">
        <v>1505</v>
      </c>
      <c r="RXJ68" s="561" t="s">
        <v>1505</v>
      </c>
      <c r="RXK68" s="561" t="s">
        <v>1505</v>
      </c>
      <c r="RXL68" s="561" t="s">
        <v>1505</v>
      </c>
      <c r="RXM68" s="561" t="s">
        <v>1505</v>
      </c>
      <c r="RXN68" s="561" t="s">
        <v>1505</v>
      </c>
      <c r="RXO68" s="561" t="s">
        <v>1505</v>
      </c>
      <c r="RXP68" s="561" t="s">
        <v>1505</v>
      </c>
      <c r="RXQ68" s="561" t="s">
        <v>1505</v>
      </c>
      <c r="RXR68" s="561" t="s">
        <v>1505</v>
      </c>
      <c r="RXS68" s="561" t="s">
        <v>1505</v>
      </c>
      <c r="RXT68" s="561" t="s">
        <v>1505</v>
      </c>
      <c r="RXU68" s="561" t="s">
        <v>1505</v>
      </c>
      <c r="RXV68" s="561" t="s">
        <v>1505</v>
      </c>
      <c r="RXW68" s="561" t="s">
        <v>1505</v>
      </c>
      <c r="RXX68" s="561" t="s">
        <v>1505</v>
      </c>
      <c r="RXY68" s="561" t="s">
        <v>1505</v>
      </c>
      <c r="RXZ68" s="561" t="s">
        <v>1505</v>
      </c>
      <c r="RYA68" s="561" t="s">
        <v>1505</v>
      </c>
      <c r="RYB68" s="561" t="s">
        <v>1505</v>
      </c>
      <c r="RYC68" s="561" t="s">
        <v>1505</v>
      </c>
      <c r="RYD68" s="561" t="s">
        <v>1505</v>
      </c>
      <c r="RYE68" s="561" t="s">
        <v>1505</v>
      </c>
      <c r="RYF68" s="561" t="s">
        <v>1505</v>
      </c>
      <c r="RYG68" s="561" t="s">
        <v>1505</v>
      </c>
      <c r="RYH68" s="561" t="s">
        <v>1505</v>
      </c>
      <c r="RYI68" s="561" t="s">
        <v>1505</v>
      </c>
      <c r="RYJ68" s="561" t="s">
        <v>1505</v>
      </c>
      <c r="RYK68" s="561" t="s">
        <v>1505</v>
      </c>
      <c r="RYL68" s="561" t="s">
        <v>1505</v>
      </c>
      <c r="RYM68" s="561" t="s">
        <v>1505</v>
      </c>
      <c r="RYN68" s="561" t="s">
        <v>1505</v>
      </c>
      <c r="RYO68" s="561" t="s">
        <v>1505</v>
      </c>
      <c r="RYP68" s="561" t="s">
        <v>1505</v>
      </c>
      <c r="RYQ68" s="561" t="s">
        <v>1505</v>
      </c>
      <c r="RYR68" s="561" t="s">
        <v>1505</v>
      </c>
      <c r="RYS68" s="561" t="s">
        <v>1505</v>
      </c>
      <c r="RYT68" s="561" t="s">
        <v>1505</v>
      </c>
      <c r="RYU68" s="561" t="s">
        <v>1505</v>
      </c>
      <c r="RYV68" s="561" t="s">
        <v>1505</v>
      </c>
      <c r="RYW68" s="561" t="s">
        <v>1505</v>
      </c>
      <c r="RYX68" s="561" t="s">
        <v>1505</v>
      </c>
      <c r="RYY68" s="561" t="s">
        <v>1505</v>
      </c>
      <c r="RYZ68" s="561" t="s">
        <v>1505</v>
      </c>
      <c r="RZA68" s="561" t="s">
        <v>1505</v>
      </c>
      <c r="RZB68" s="561" t="s">
        <v>1505</v>
      </c>
      <c r="RZC68" s="561" t="s">
        <v>1505</v>
      </c>
      <c r="RZD68" s="561" t="s">
        <v>1505</v>
      </c>
      <c r="RZE68" s="561" t="s">
        <v>1505</v>
      </c>
      <c r="RZF68" s="561" t="s">
        <v>1505</v>
      </c>
      <c r="RZG68" s="561" t="s">
        <v>1505</v>
      </c>
      <c r="RZH68" s="561" t="s">
        <v>1505</v>
      </c>
      <c r="RZI68" s="561" t="s">
        <v>1505</v>
      </c>
      <c r="RZJ68" s="561" t="s">
        <v>1505</v>
      </c>
      <c r="RZK68" s="561" t="s">
        <v>1505</v>
      </c>
      <c r="RZL68" s="561" t="s">
        <v>1505</v>
      </c>
      <c r="RZM68" s="561" t="s">
        <v>1505</v>
      </c>
      <c r="RZN68" s="561" t="s">
        <v>1505</v>
      </c>
      <c r="RZO68" s="561" t="s">
        <v>1505</v>
      </c>
      <c r="RZP68" s="561" t="s">
        <v>1505</v>
      </c>
      <c r="RZQ68" s="561" t="s">
        <v>1505</v>
      </c>
      <c r="RZR68" s="561" t="s">
        <v>1505</v>
      </c>
      <c r="RZS68" s="561" t="s">
        <v>1505</v>
      </c>
      <c r="RZT68" s="561" t="s">
        <v>1505</v>
      </c>
      <c r="RZU68" s="561" t="s">
        <v>1505</v>
      </c>
      <c r="RZV68" s="561" t="s">
        <v>1505</v>
      </c>
      <c r="RZW68" s="561" t="s">
        <v>1505</v>
      </c>
      <c r="RZX68" s="561" t="s">
        <v>1505</v>
      </c>
      <c r="RZY68" s="561" t="s">
        <v>1505</v>
      </c>
      <c r="RZZ68" s="561" t="s">
        <v>1505</v>
      </c>
      <c r="SAA68" s="561" t="s">
        <v>1505</v>
      </c>
      <c r="SAB68" s="561" t="s">
        <v>1505</v>
      </c>
      <c r="SAC68" s="561" t="s">
        <v>1505</v>
      </c>
      <c r="SAD68" s="561" t="s">
        <v>1505</v>
      </c>
      <c r="SAE68" s="561" t="s">
        <v>1505</v>
      </c>
      <c r="SAF68" s="561" t="s">
        <v>1505</v>
      </c>
      <c r="SAG68" s="561" t="s">
        <v>1505</v>
      </c>
      <c r="SAH68" s="561" t="s">
        <v>1505</v>
      </c>
      <c r="SAI68" s="561" t="s">
        <v>1505</v>
      </c>
      <c r="SAJ68" s="561" t="s">
        <v>1505</v>
      </c>
      <c r="SAK68" s="561" t="s">
        <v>1505</v>
      </c>
      <c r="SAL68" s="561" t="s">
        <v>1505</v>
      </c>
      <c r="SAM68" s="561" t="s">
        <v>1505</v>
      </c>
      <c r="SAN68" s="561" t="s">
        <v>1505</v>
      </c>
      <c r="SAO68" s="561" t="s">
        <v>1505</v>
      </c>
      <c r="SAP68" s="561" t="s">
        <v>1505</v>
      </c>
      <c r="SAQ68" s="561" t="s">
        <v>1505</v>
      </c>
      <c r="SAR68" s="561" t="s">
        <v>1505</v>
      </c>
      <c r="SAS68" s="561" t="s">
        <v>1505</v>
      </c>
      <c r="SAT68" s="561" t="s">
        <v>1505</v>
      </c>
      <c r="SAU68" s="561" t="s">
        <v>1505</v>
      </c>
      <c r="SAV68" s="561" t="s">
        <v>1505</v>
      </c>
      <c r="SAW68" s="561" t="s">
        <v>1505</v>
      </c>
      <c r="SAX68" s="561" t="s">
        <v>1505</v>
      </c>
      <c r="SAY68" s="561" t="s">
        <v>1505</v>
      </c>
      <c r="SAZ68" s="561" t="s">
        <v>1505</v>
      </c>
      <c r="SBA68" s="561" t="s">
        <v>1505</v>
      </c>
      <c r="SBB68" s="561" t="s">
        <v>1505</v>
      </c>
      <c r="SBC68" s="561" t="s">
        <v>1505</v>
      </c>
      <c r="SBD68" s="561" t="s">
        <v>1505</v>
      </c>
      <c r="SBE68" s="561" t="s">
        <v>1505</v>
      </c>
      <c r="SBF68" s="561" t="s">
        <v>1505</v>
      </c>
      <c r="SBG68" s="561" t="s">
        <v>1505</v>
      </c>
      <c r="SBH68" s="561" t="s">
        <v>1505</v>
      </c>
      <c r="SBI68" s="561" t="s">
        <v>1505</v>
      </c>
      <c r="SBJ68" s="561" t="s">
        <v>1505</v>
      </c>
      <c r="SBK68" s="561" t="s">
        <v>1505</v>
      </c>
      <c r="SBL68" s="561" t="s">
        <v>1505</v>
      </c>
      <c r="SBM68" s="561" t="s">
        <v>1505</v>
      </c>
      <c r="SBN68" s="561" t="s">
        <v>1505</v>
      </c>
      <c r="SBO68" s="561" t="s">
        <v>1505</v>
      </c>
      <c r="SBP68" s="561" t="s">
        <v>1505</v>
      </c>
      <c r="SBQ68" s="561" t="s">
        <v>1505</v>
      </c>
      <c r="SBR68" s="561" t="s">
        <v>1505</v>
      </c>
      <c r="SBS68" s="561" t="s">
        <v>1505</v>
      </c>
      <c r="SBT68" s="561" t="s">
        <v>1505</v>
      </c>
      <c r="SBU68" s="561" t="s">
        <v>1505</v>
      </c>
      <c r="SBV68" s="561" t="s">
        <v>1505</v>
      </c>
      <c r="SBW68" s="561" t="s">
        <v>1505</v>
      </c>
      <c r="SBX68" s="561" t="s">
        <v>1505</v>
      </c>
      <c r="SBY68" s="561" t="s">
        <v>1505</v>
      </c>
      <c r="SBZ68" s="561" t="s">
        <v>1505</v>
      </c>
      <c r="SCA68" s="561" t="s">
        <v>1505</v>
      </c>
      <c r="SCB68" s="561" t="s">
        <v>1505</v>
      </c>
      <c r="SCC68" s="561" t="s">
        <v>1505</v>
      </c>
      <c r="SCD68" s="561" t="s">
        <v>1505</v>
      </c>
      <c r="SCE68" s="561" t="s">
        <v>1505</v>
      </c>
      <c r="SCF68" s="561" t="s">
        <v>1505</v>
      </c>
      <c r="SCG68" s="561" t="s">
        <v>1505</v>
      </c>
      <c r="SCH68" s="561" t="s">
        <v>1505</v>
      </c>
      <c r="SCI68" s="561" t="s">
        <v>1505</v>
      </c>
      <c r="SCJ68" s="561" t="s">
        <v>1505</v>
      </c>
      <c r="SCK68" s="561" t="s">
        <v>1505</v>
      </c>
      <c r="SCL68" s="561" t="s">
        <v>1505</v>
      </c>
      <c r="SCM68" s="561" t="s">
        <v>1505</v>
      </c>
      <c r="SCN68" s="561" t="s">
        <v>1505</v>
      </c>
      <c r="SCO68" s="561" t="s">
        <v>1505</v>
      </c>
      <c r="SCP68" s="561" t="s">
        <v>1505</v>
      </c>
      <c r="SCQ68" s="561" t="s">
        <v>1505</v>
      </c>
      <c r="SCR68" s="561" t="s">
        <v>1505</v>
      </c>
      <c r="SCS68" s="561" t="s">
        <v>1505</v>
      </c>
      <c r="SCT68" s="561" t="s">
        <v>1505</v>
      </c>
      <c r="SCU68" s="561" t="s">
        <v>1505</v>
      </c>
      <c r="SCV68" s="561" t="s">
        <v>1505</v>
      </c>
      <c r="SCW68" s="561" t="s">
        <v>1505</v>
      </c>
      <c r="SCX68" s="561" t="s">
        <v>1505</v>
      </c>
      <c r="SCY68" s="561" t="s">
        <v>1505</v>
      </c>
      <c r="SCZ68" s="561" t="s">
        <v>1505</v>
      </c>
      <c r="SDA68" s="561" t="s">
        <v>1505</v>
      </c>
      <c r="SDB68" s="561" t="s">
        <v>1505</v>
      </c>
      <c r="SDC68" s="561" t="s">
        <v>1505</v>
      </c>
      <c r="SDD68" s="561" t="s">
        <v>1505</v>
      </c>
      <c r="SDE68" s="561" t="s">
        <v>1505</v>
      </c>
      <c r="SDF68" s="561" t="s">
        <v>1505</v>
      </c>
      <c r="SDG68" s="561" t="s">
        <v>1505</v>
      </c>
      <c r="SDH68" s="561" t="s">
        <v>1505</v>
      </c>
      <c r="SDI68" s="561" t="s">
        <v>1505</v>
      </c>
      <c r="SDJ68" s="561" t="s">
        <v>1505</v>
      </c>
      <c r="SDK68" s="561" t="s">
        <v>1505</v>
      </c>
      <c r="SDL68" s="561" t="s">
        <v>1505</v>
      </c>
      <c r="SDM68" s="561" t="s">
        <v>1505</v>
      </c>
      <c r="SDN68" s="561" t="s">
        <v>1505</v>
      </c>
      <c r="SDO68" s="561" t="s">
        <v>1505</v>
      </c>
      <c r="SDP68" s="561" t="s">
        <v>1505</v>
      </c>
      <c r="SDQ68" s="561" t="s">
        <v>1505</v>
      </c>
      <c r="SDR68" s="561" t="s">
        <v>1505</v>
      </c>
      <c r="SDS68" s="561" t="s">
        <v>1505</v>
      </c>
      <c r="SDT68" s="561" t="s">
        <v>1505</v>
      </c>
      <c r="SDU68" s="561" t="s">
        <v>1505</v>
      </c>
      <c r="SDV68" s="561" t="s">
        <v>1505</v>
      </c>
      <c r="SDW68" s="561" t="s">
        <v>1505</v>
      </c>
      <c r="SDX68" s="561" t="s">
        <v>1505</v>
      </c>
      <c r="SDY68" s="561" t="s">
        <v>1505</v>
      </c>
      <c r="SDZ68" s="561" t="s">
        <v>1505</v>
      </c>
      <c r="SEA68" s="561" t="s">
        <v>1505</v>
      </c>
      <c r="SEB68" s="561" t="s">
        <v>1505</v>
      </c>
      <c r="SEC68" s="561" t="s">
        <v>1505</v>
      </c>
      <c r="SED68" s="561" t="s">
        <v>1505</v>
      </c>
      <c r="SEE68" s="561" t="s">
        <v>1505</v>
      </c>
      <c r="SEF68" s="561" t="s">
        <v>1505</v>
      </c>
      <c r="SEG68" s="561" t="s">
        <v>1505</v>
      </c>
      <c r="SEH68" s="561" t="s">
        <v>1505</v>
      </c>
      <c r="SEI68" s="561" t="s">
        <v>1505</v>
      </c>
      <c r="SEJ68" s="561" t="s">
        <v>1505</v>
      </c>
      <c r="SEK68" s="561" t="s">
        <v>1505</v>
      </c>
      <c r="SEL68" s="561" t="s">
        <v>1505</v>
      </c>
      <c r="SEM68" s="561" t="s">
        <v>1505</v>
      </c>
      <c r="SEN68" s="561" t="s">
        <v>1505</v>
      </c>
      <c r="SEO68" s="561" t="s">
        <v>1505</v>
      </c>
      <c r="SEP68" s="561" t="s">
        <v>1505</v>
      </c>
      <c r="SEQ68" s="561" t="s">
        <v>1505</v>
      </c>
      <c r="SER68" s="561" t="s">
        <v>1505</v>
      </c>
      <c r="SES68" s="561" t="s">
        <v>1505</v>
      </c>
      <c r="SET68" s="561" t="s">
        <v>1505</v>
      </c>
      <c r="SEU68" s="561" t="s">
        <v>1505</v>
      </c>
      <c r="SEV68" s="561" t="s">
        <v>1505</v>
      </c>
      <c r="SEW68" s="561" t="s">
        <v>1505</v>
      </c>
      <c r="SEX68" s="561" t="s">
        <v>1505</v>
      </c>
      <c r="SEY68" s="561" t="s">
        <v>1505</v>
      </c>
      <c r="SEZ68" s="561" t="s">
        <v>1505</v>
      </c>
      <c r="SFA68" s="561" t="s">
        <v>1505</v>
      </c>
      <c r="SFB68" s="561" t="s">
        <v>1505</v>
      </c>
      <c r="SFC68" s="561" t="s">
        <v>1505</v>
      </c>
      <c r="SFD68" s="561" t="s">
        <v>1505</v>
      </c>
      <c r="SFE68" s="561" t="s">
        <v>1505</v>
      </c>
      <c r="SFF68" s="561" t="s">
        <v>1505</v>
      </c>
      <c r="SFG68" s="561" t="s">
        <v>1505</v>
      </c>
      <c r="SFH68" s="561" t="s">
        <v>1505</v>
      </c>
      <c r="SFI68" s="561" t="s">
        <v>1505</v>
      </c>
      <c r="SFJ68" s="561" t="s">
        <v>1505</v>
      </c>
      <c r="SFK68" s="561" t="s">
        <v>1505</v>
      </c>
      <c r="SFL68" s="561" t="s">
        <v>1505</v>
      </c>
      <c r="SFM68" s="561" t="s">
        <v>1505</v>
      </c>
      <c r="SFN68" s="561" t="s">
        <v>1505</v>
      </c>
      <c r="SFO68" s="561" t="s">
        <v>1505</v>
      </c>
      <c r="SFP68" s="561" t="s">
        <v>1505</v>
      </c>
      <c r="SFQ68" s="561" t="s">
        <v>1505</v>
      </c>
      <c r="SFR68" s="561" t="s">
        <v>1505</v>
      </c>
      <c r="SFS68" s="561" t="s">
        <v>1505</v>
      </c>
      <c r="SFT68" s="561" t="s">
        <v>1505</v>
      </c>
      <c r="SFU68" s="561" t="s">
        <v>1505</v>
      </c>
      <c r="SFV68" s="561" t="s">
        <v>1505</v>
      </c>
      <c r="SFW68" s="561" t="s">
        <v>1505</v>
      </c>
      <c r="SFX68" s="561" t="s">
        <v>1505</v>
      </c>
      <c r="SFY68" s="561" t="s">
        <v>1505</v>
      </c>
      <c r="SFZ68" s="561" t="s">
        <v>1505</v>
      </c>
      <c r="SGA68" s="561" t="s">
        <v>1505</v>
      </c>
      <c r="SGB68" s="561" t="s">
        <v>1505</v>
      </c>
      <c r="SGC68" s="561" t="s">
        <v>1505</v>
      </c>
      <c r="SGD68" s="561" t="s">
        <v>1505</v>
      </c>
      <c r="SGE68" s="561" t="s">
        <v>1505</v>
      </c>
      <c r="SGF68" s="561" t="s">
        <v>1505</v>
      </c>
      <c r="SGG68" s="561" t="s">
        <v>1505</v>
      </c>
      <c r="SGH68" s="561" t="s">
        <v>1505</v>
      </c>
      <c r="SGI68" s="561" t="s">
        <v>1505</v>
      </c>
      <c r="SGJ68" s="561" t="s">
        <v>1505</v>
      </c>
      <c r="SGK68" s="561" t="s">
        <v>1505</v>
      </c>
      <c r="SGL68" s="561" t="s">
        <v>1505</v>
      </c>
      <c r="SGM68" s="561" t="s">
        <v>1505</v>
      </c>
      <c r="SGN68" s="561" t="s">
        <v>1505</v>
      </c>
      <c r="SGO68" s="561" t="s">
        <v>1505</v>
      </c>
      <c r="SGP68" s="561" t="s">
        <v>1505</v>
      </c>
      <c r="SGQ68" s="561" t="s">
        <v>1505</v>
      </c>
      <c r="SGR68" s="561" t="s">
        <v>1505</v>
      </c>
      <c r="SGS68" s="561" t="s">
        <v>1505</v>
      </c>
      <c r="SGT68" s="561" t="s">
        <v>1505</v>
      </c>
      <c r="SGU68" s="561" t="s">
        <v>1505</v>
      </c>
      <c r="SGV68" s="561" t="s">
        <v>1505</v>
      </c>
      <c r="SGW68" s="561" t="s">
        <v>1505</v>
      </c>
      <c r="SGX68" s="561" t="s">
        <v>1505</v>
      </c>
      <c r="SGY68" s="561" t="s">
        <v>1505</v>
      </c>
      <c r="SGZ68" s="561" t="s">
        <v>1505</v>
      </c>
      <c r="SHA68" s="561" t="s">
        <v>1505</v>
      </c>
      <c r="SHB68" s="561" t="s">
        <v>1505</v>
      </c>
      <c r="SHC68" s="561" t="s">
        <v>1505</v>
      </c>
      <c r="SHD68" s="561" t="s">
        <v>1505</v>
      </c>
      <c r="SHE68" s="561" t="s">
        <v>1505</v>
      </c>
      <c r="SHF68" s="561" t="s">
        <v>1505</v>
      </c>
      <c r="SHG68" s="561" t="s">
        <v>1505</v>
      </c>
      <c r="SHH68" s="561" t="s">
        <v>1505</v>
      </c>
      <c r="SHI68" s="561" t="s">
        <v>1505</v>
      </c>
      <c r="SHJ68" s="561" t="s">
        <v>1505</v>
      </c>
      <c r="SHK68" s="561" t="s">
        <v>1505</v>
      </c>
      <c r="SHL68" s="561" t="s">
        <v>1505</v>
      </c>
      <c r="SHM68" s="561" t="s">
        <v>1505</v>
      </c>
      <c r="SHN68" s="561" t="s">
        <v>1505</v>
      </c>
      <c r="SHO68" s="561" t="s">
        <v>1505</v>
      </c>
      <c r="SHP68" s="561" t="s">
        <v>1505</v>
      </c>
      <c r="SHQ68" s="561" t="s">
        <v>1505</v>
      </c>
      <c r="SHR68" s="561" t="s">
        <v>1505</v>
      </c>
      <c r="SHS68" s="561" t="s">
        <v>1505</v>
      </c>
      <c r="SHT68" s="561" t="s">
        <v>1505</v>
      </c>
      <c r="SHU68" s="561" t="s">
        <v>1505</v>
      </c>
      <c r="SHV68" s="561" t="s">
        <v>1505</v>
      </c>
      <c r="SHW68" s="561" t="s">
        <v>1505</v>
      </c>
      <c r="SHX68" s="561" t="s">
        <v>1505</v>
      </c>
      <c r="SHY68" s="561" t="s">
        <v>1505</v>
      </c>
      <c r="SHZ68" s="561" t="s">
        <v>1505</v>
      </c>
      <c r="SIA68" s="561" t="s">
        <v>1505</v>
      </c>
      <c r="SIB68" s="561" t="s">
        <v>1505</v>
      </c>
      <c r="SIC68" s="561" t="s">
        <v>1505</v>
      </c>
      <c r="SID68" s="561" t="s">
        <v>1505</v>
      </c>
      <c r="SIE68" s="561" t="s">
        <v>1505</v>
      </c>
      <c r="SIF68" s="561" t="s">
        <v>1505</v>
      </c>
      <c r="SIG68" s="561" t="s">
        <v>1505</v>
      </c>
      <c r="SIH68" s="561" t="s">
        <v>1505</v>
      </c>
      <c r="SII68" s="561" t="s">
        <v>1505</v>
      </c>
      <c r="SIJ68" s="561" t="s">
        <v>1505</v>
      </c>
      <c r="SIK68" s="561" t="s">
        <v>1505</v>
      </c>
      <c r="SIL68" s="561" t="s">
        <v>1505</v>
      </c>
      <c r="SIM68" s="561" t="s">
        <v>1505</v>
      </c>
      <c r="SIN68" s="561" t="s">
        <v>1505</v>
      </c>
      <c r="SIO68" s="561" t="s">
        <v>1505</v>
      </c>
      <c r="SIP68" s="561" t="s">
        <v>1505</v>
      </c>
      <c r="SIQ68" s="561" t="s">
        <v>1505</v>
      </c>
      <c r="SIR68" s="561" t="s">
        <v>1505</v>
      </c>
      <c r="SIS68" s="561" t="s">
        <v>1505</v>
      </c>
      <c r="SIT68" s="561" t="s">
        <v>1505</v>
      </c>
      <c r="SIU68" s="561" t="s">
        <v>1505</v>
      </c>
      <c r="SIV68" s="561" t="s">
        <v>1505</v>
      </c>
      <c r="SIW68" s="561" t="s">
        <v>1505</v>
      </c>
      <c r="SIX68" s="561" t="s">
        <v>1505</v>
      </c>
      <c r="SIY68" s="561" t="s">
        <v>1505</v>
      </c>
      <c r="SIZ68" s="561" t="s">
        <v>1505</v>
      </c>
      <c r="SJA68" s="561" t="s">
        <v>1505</v>
      </c>
      <c r="SJB68" s="561" t="s">
        <v>1505</v>
      </c>
      <c r="SJC68" s="561" t="s">
        <v>1505</v>
      </c>
      <c r="SJD68" s="561" t="s">
        <v>1505</v>
      </c>
      <c r="SJE68" s="561" t="s">
        <v>1505</v>
      </c>
      <c r="SJF68" s="561" t="s">
        <v>1505</v>
      </c>
      <c r="SJG68" s="561" t="s">
        <v>1505</v>
      </c>
      <c r="SJH68" s="561" t="s">
        <v>1505</v>
      </c>
      <c r="SJI68" s="561" t="s">
        <v>1505</v>
      </c>
      <c r="SJJ68" s="561" t="s">
        <v>1505</v>
      </c>
      <c r="SJK68" s="561" t="s">
        <v>1505</v>
      </c>
      <c r="SJL68" s="561" t="s">
        <v>1505</v>
      </c>
      <c r="SJM68" s="561" t="s">
        <v>1505</v>
      </c>
      <c r="SJN68" s="561" t="s">
        <v>1505</v>
      </c>
      <c r="SJO68" s="561" t="s">
        <v>1505</v>
      </c>
      <c r="SJP68" s="561" t="s">
        <v>1505</v>
      </c>
      <c r="SJQ68" s="561" t="s">
        <v>1505</v>
      </c>
      <c r="SJR68" s="561" t="s">
        <v>1505</v>
      </c>
      <c r="SJS68" s="561" t="s">
        <v>1505</v>
      </c>
      <c r="SJT68" s="561" t="s">
        <v>1505</v>
      </c>
      <c r="SJU68" s="561" t="s">
        <v>1505</v>
      </c>
      <c r="SJV68" s="561" t="s">
        <v>1505</v>
      </c>
      <c r="SJW68" s="561" t="s">
        <v>1505</v>
      </c>
      <c r="SJX68" s="561" t="s">
        <v>1505</v>
      </c>
      <c r="SJY68" s="561" t="s">
        <v>1505</v>
      </c>
      <c r="SJZ68" s="561" t="s">
        <v>1505</v>
      </c>
      <c r="SKA68" s="561" t="s">
        <v>1505</v>
      </c>
      <c r="SKB68" s="561" t="s">
        <v>1505</v>
      </c>
      <c r="SKC68" s="561" t="s">
        <v>1505</v>
      </c>
      <c r="SKD68" s="561" t="s">
        <v>1505</v>
      </c>
      <c r="SKE68" s="561" t="s">
        <v>1505</v>
      </c>
      <c r="SKF68" s="561" t="s">
        <v>1505</v>
      </c>
      <c r="SKG68" s="561" t="s">
        <v>1505</v>
      </c>
      <c r="SKH68" s="561" t="s">
        <v>1505</v>
      </c>
      <c r="SKI68" s="561" t="s">
        <v>1505</v>
      </c>
      <c r="SKJ68" s="561" t="s">
        <v>1505</v>
      </c>
      <c r="SKK68" s="561" t="s">
        <v>1505</v>
      </c>
      <c r="SKL68" s="561" t="s">
        <v>1505</v>
      </c>
      <c r="SKM68" s="561" t="s">
        <v>1505</v>
      </c>
      <c r="SKN68" s="561" t="s">
        <v>1505</v>
      </c>
      <c r="SKO68" s="561" t="s">
        <v>1505</v>
      </c>
      <c r="SKP68" s="561" t="s">
        <v>1505</v>
      </c>
      <c r="SKQ68" s="561" t="s">
        <v>1505</v>
      </c>
      <c r="SKR68" s="561" t="s">
        <v>1505</v>
      </c>
      <c r="SKS68" s="561" t="s">
        <v>1505</v>
      </c>
      <c r="SKT68" s="561" t="s">
        <v>1505</v>
      </c>
      <c r="SKU68" s="561" t="s">
        <v>1505</v>
      </c>
      <c r="SKV68" s="561" t="s">
        <v>1505</v>
      </c>
      <c r="SKW68" s="561" t="s">
        <v>1505</v>
      </c>
      <c r="SKX68" s="561" t="s">
        <v>1505</v>
      </c>
      <c r="SKY68" s="561" t="s">
        <v>1505</v>
      </c>
      <c r="SKZ68" s="561" t="s">
        <v>1505</v>
      </c>
      <c r="SLA68" s="561" t="s">
        <v>1505</v>
      </c>
      <c r="SLB68" s="561" t="s">
        <v>1505</v>
      </c>
      <c r="SLC68" s="561" t="s">
        <v>1505</v>
      </c>
      <c r="SLD68" s="561" t="s">
        <v>1505</v>
      </c>
      <c r="SLE68" s="561" t="s">
        <v>1505</v>
      </c>
      <c r="SLF68" s="561" t="s">
        <v>1505</v>
      </c>
      <c r="SLG68" s="561" t="s">
        <v>1505</v>
      </c>
      <c r="SLH68" s="561" t="s">
        <v>1505</v>
      </c>
      <c r="SLI68" s="561" t="s">
        <v>1505</v>
      </c>
      <c r="SLJ68" s="561" t="s">
        <v>1505</v>
      </c>
      <c r="SLK68" s="561" t="s">
        <v>1505</v>
      </c>
      <c r="SLL68" s="561" t="s">
        <v>1505</v>
      </c>
      <c r="SLM68" s="561" t="s">
        <v>1505</v>
      </c>
      <c r="SLN68" s="561" t="s">
        <v>1505</v>
      </c>
      <c r="SLO68" s="561" t="s">
        <v>1505</v>
      </c>
      <c r="SLP68" s="561" t="s">
        <v>1505</v>
      </c>
      <c r="SLQ68" s="561" t="s">
        <v>1505</v>
      </c>
      <c r="SLR68" s="561" t="s">
        <v>1505</v>
      </c>
      <c r="SLS68" s="561" t="s">
        <v>1505</v>
      </c>
      <c r="SLT68" s="561" t="s">
        <v>1505</v>
      </c>
      <c r="SLU68" s="561" t="s">
        <v>1505</v>
      </c>
      <c r="SLV68" s="561" t="s">
        <v>1505</v>
      </c>
      <c r="SLW68" s="561" t="s">
        <v>1505</v>
      </c>
      <c r="SLX68" s="561" t="s">
        <v>1505</v>
      </c>
      <c r="SLY68" s="561" t="s">
        <v>1505</v>
      </c>
      <c r="SLZ68" s="561" t="s">
        <v>1505</v>
      </c>
      <c r="SMA68" s="561" t="s">
        <v>1505</v>
      </c>
      <c r="SMB68" s="561" t="s">
        <v>1505</v>
      </c>
      <c r="SMC68" s="561" t="s">
        <v>1505</v>
      </c>
      <c r="SMD68" s="561" t="s">
        <v>1505</v>
      </c>
      <c r="SME68" s="561" t="s">
        <v>1505</v>
      </c>
      <c r="SMF68" s="561" t="s">
        <v>1505</v>
      </c>
      <c r="SMG68" s="561" t="s">
        <v>1505</v>
      </c>
      <c r="SMH68" s="561" t="s">
        <v>1505</v>
      </c>
      <c r="SMI68" s="561" t="s">
        <v>1505</v>
      </c>
      <c r="SMJ68" s="561" t="s">
        <v>1505</v>
      </c>
      <c r="SMK68" s="561" t="s">
        <v>1505</v>
      </c>
      <c r="SML68" s="561" t="s">
        <v>1505</v>
      </c>
      <c r="SMM68" s="561" t="s">
        <v>1505</v>
      </c>
      <c r="SMN68" s="561" t="s">
        <v>1505</v>
      </c>
      <c r="SMO68" s="561" t="s">
        <v>1505</v>
      </c>
      <c r="SMP68" s="561" t="s">
        <v>1505</v>
      </c>
      <c r="SMQ68" s="561" t="s">
        <v>1505</v>
      </c>
      <c r="SMR68" s="561" t="s">
        <v>1505</v>
      </c>
      <c r="SMS68" s="561" t="s">
        <v>1505</v>
      </c>
      <c r="SMT68" s="561" t="s">
        <v>1505</v>
      </c>
      <c r="SMU68" s="561" t="s">
        <v>1505</v>
      </c>
      <c r="SMV68" s="561" t="s">
        <v>1505</v>
      </c>
      <c r="SMW68" s="561" t="s">
        <v>1505</v>
      </c>
      <c r="SMX68" s="561" t="s">
        <v>1505</v>
      </c>
      <c r="SMY68" s="561" t="s">
        <v>1505</v>
      </c>
      <c r="SMZ68" s="561" t="s">
        <v>1505</v>
      </c>
      <c r="SNA68" s="561" t="s">
        <v>1505</v>
      </c>
      <c r="SNB68" s="561" t="s">
        <v>1505</v>
      </c>
      <c r="SNC68" s="561" t="s">
        <v>1505</v>
      </c>
      <c r="SND68" s="561" t="s">
        <v>1505</v>
      </c>
      <c r="SNE68" s="561" t="s">
        <v>1505</v>
      </c>
      <c r="SNF68" s="561" t="s">
        <v>1505</v>
      </c>
      <c r="SNG68" s="561" t="s">
        <v>1505</v>
      </c>
      <c r="SNH68" s="561" t="s">
        <v>1505</v>
      </c>
      <c r="SNI68" s="561" t="s">
        <v>1505</v>
      </c>
      <c r="SNJ68" s="561" t="s">
        <v>1505</v>
      </c>
      <c r="SNK68" s="561" t="s">
        <v>1505</v>
      </c>
      <c r="SNL68" s="561" t="s">
        <v>1505</v>
      </c>
      <c r="SNM68" s="561" t="s">
        <v>1505</v>
      </c>
      <c r="SNN68" s="561" t="s">
        <v>1505</v>
      </c>
      <c r="SNO68" s="561" t="s">
        <v>1505</v>
      </c>
      <c r="SNP68" s="561" t="s">
        <v>1505</v>
      </c>
      <c r="SNQ68" s="561" t="s">
        <v>1505</v>
      </c>
      <c r="SNR68" s="561" t="s">
        <v>1505</v>
      </c>
      <c r="SNS68" s="561" t="s">
        <v>1505</v>
      </c>
      <c r="SNT68" s="561" t="s">
        <v>1505</v>
      </c>
      <c r="SNU68" s="561" t="s">
        <v>1505</v>
      </c>
      <c r="SNV68" s="561" t="s">
        <v>1505</v>
      </c>
      <c r="SNW68" s="561" t="s">
        <v>1505</v>
      </c>
      <c r="SNX68" s="561" t="s">
        <v>1505</v>
      </c>
      <c r="SNY68" s="561" t="s">
        <v>1505</v>
      </c>
      <c r="SNZ68" s="561" t="s">
        <v>1505</v>
      </c>
      <c r="SOA68" s="561" t="s">
        <v>1505</v>
      </c>
      <c r="SOB68" s="561" t="s">
        <v>1505</v>
      </c>
      <c r="SOC68" s="561" t="s">
        <v>1505</v>
      </c>
      <c r="SOD68" s="561" t="s">
        <v>1505</v>
      </c>
      <c r="SOE68" s="561" t="s">
        <v>1505</v>
      </c>
      <c r="SOF68" s="561" t="s">
        <v>1505</v>
      </c>
      <c r="SOG68" s="561" t="s">
        <v>1505</v>
      </c>
      <c r="SOH68" s="561" t="s">
        <v>1505</v>
      </c>
      <c r="SOI68" s="561" t="s">
        <v>1505</v>
      </c>
      <c r="SOJ68" s="561" t="s">
        <v>1505</v>
      </c>
      <c r="SOK68" s="561" t="s">
        <v>1505</v>
      </c>
      <c r="SOL68" s="561" t="s">
        <v>1505</v>
      </c>
      <c r="SOM68" s="561" t="s">
        <v>1505</v>
      </c>
      <c r="SON68" s="561" t="s">
        <v>1505</v>
      </c>
      <c r="SOO68" s="561" t="s">
        <v>1505</v>
      </c>
      <c r="SOP68" s="561" t="s">
        <v>1505</v>
      </c>
      <c r="SOQ68" s="561" t="s">
        <v>1505</v>
      </c>
      <c r="SOR68" s="561" t="s">
        <v>1505</v>
      </c>
      <c r="SOS68" s="561" t="s">
        <v>1505</v>
      </c>
      <c r="SOT68" s="561" t="s">
        <v>1505</v>
      </c>
      <c r="SOU68" s="561" t="s">
        <v>1505</v>
      </c>
      <c r="SOV68" s="561" t="s">
        <v>1505</v>
      </c>
      <c r="SOW68" s="561" t="s">
        <v>1505</v>
      </c>
      <c r="SOX68" s="561" t="s">
        <v>1505</v>
      </c>
      <c r="SOY68" s="561" t="s">
        <v>1505</v>
      </c>
      <c r="SOZ68" s="561" t="s">
        <v>1505</v>
      </c>
      <c r="SPA68" s="561" t="s">
        <v>1505</v>
      </c>
      <c r="SPB68" s="561" t="s">
        <v>1505</v>
      </c>
      <c r="SPC68" s="561" t="s">
        <v>1505</v>
      </c>
      <c r="SPD68" s="561" t="s">
        <v>1505</v>
      </c>
      <c r="SPE68" s="561" t="s">
        <v>1505</v>
      </c>
      <c r="SPF68" s="561" t="s">
        <v>1505</v>
      </c>
      <c r="SPG68" s="561" t="s">
        <v>1505</v>
      </c>
      <c r="SPH68" s="561" t="s">
        <v>1505</v>
      </c>
      <c r="SPI68" s="561" t="s">
        <v>1505</v>
      </c>
      <c r="SPJ68" s="561" t="s">
        <v>1505</v>
      </c>
      <c r="SPK68" s="561" t="s">
        <v>1505</v>
      </c>
      <c r="SPL68" s="561" t="s">
        <v>1505</v>
      </c>
      <c r="SPM68" s="561" t="s">
        <v>1505</v>
      </c>
      <c r="SPN68" s="561" t="s">
        <v>1505</v>
      </c>
      <c r="SPO68" s="561" t="s">
        <v>1505</v>
      </c>
      <c r="SPP68" s="561" t="s">
        <v>1505</v>
      </c>
      <c r="SPQ68" s="561" t="s">
        <v>1505</v>
      </c>
      <c r="SPR68" s="561" t="s">
        <v>1505</v>
      </c>
      <c r="SPS68" s="561" t="s">
        <v>1505</v>
      </c>
      <c r="SPT68" s="561" t="s">
        <v>1505</v>
      </c>
      <c r="SPU68" s="561" t="s">
        <v>1505</v>
      </c>
      <c r="SPV68" s="561" t="s">
        <v>1505</v>
      </c>
      <c r="SPW68" s="561" t="s">
        <v>1505</v>
      </c>
      <c r="SPX68" s="561" t="s">
        <v>1505</v>
      </c>
      <c r="SPY68" s="561" t="s">
        <v>1505</v>
      </c>
      <c r="SPZ68" s="561" t="s">
        <v>1505</v>
      </c>
      <c r="SQA68" s="561" t="s">
        <v>1505</v>
      </c>
      <c r="SQB68" s="561" t="s">
        <v>1505</v>
      </c>
      <c r="SQC68" s="561" t="s">
        <v>1505</v>
      </c>
      <c r="SQD68" s="561" t="s">
        <v>1505</v>
      </c>
      <c r="SQE68" s="561" t="s">
        <v>1505</v>
      </c>
      <c r="SQF68" s="561" t="s">
        <v>1505</v>
      </c>
      <c r="SQG68" s="561" t="s">
        <v>1505</v>
      </c>
      <c r="SQH68" s="561" t="s">
        <v>1505</v>
      </c>
      <c r="SQI68" s="561" t="s">
        <v>1505</v>
      </c>
      <c r="SQJ68" s="561" t="s">
        <v>1505</v>
      </c>
      <c r="SQK68" s="561" t="s">
        <v>1505</v>
      </c>
      <c r="SQL68" s="561" t="s">
        <v>1505</v>
      </c>
      <c r="SQM68" s="561" t="s">
        <v>1505</v>
      </c>
      <c r="SQN68" s="561" t="s">
        <v>1505</v>
      </c>
      <c r="SQO68" s="561" t="s">
        <v>1505</v>
      </c>
      <c r="SQP68" s="561" t="s">
        <v>1505</v>
      </c>
      <c r="SQQ68" s="561" t="s">
        <v>1505</v>
      </c>
      <c r="SQR68" s="561" t="s">
        <v>1505</v>
      </c>
      <c r="SQS68" s="561" t="s">
        <v>1505</v>
      </c>
      <c r="SQT68" s="561" t="s">
        <v>1505</v>
      </c>
      <c r="SQU68" s="561" t="s">
        <v>1505</v>
      </c>
      <c r="SQV68" s="561" t="s">
        <v>1505</v>
      </c>
      <c r="SQW68" s="561" t="s">
        <v>1505</v>
      </c>
      <c r="SQX68" s="561" t="s">
        <v>1505</v>
      </c>
      <c r="SQY68" s="561" t="s">
        <v>1505</v>
      </c>
      <c r="SQZ68" s="561" t="s">
        <v>1505</v>
      </c>
      <c r="SRA68" s="561" t="s">
        <v>1505</v>
      </c>
      <c r="SRB68" s="561" t="s">
        <v>1505</v>
      </c>
      <c r="SRC68" s="561" t="s">
        <v>1505</v>
      </c>
      <c r="SRD68" s="561" t="s">
        <v>1505</v>
      </c>
      <c r="SRE68" s="561" t="s">
        <v>1505</v>
      </c>
      <c r="SRF68" s="561" t="s">
        <v>1505</v>
      </c>
      <c r="SRG68" s="561" t="s">
        <v>1505</v>
      </c>
      <c r="SRH68" s="561" t="s">
        <v>1505</v>
      </c>
      <c r="SRI68" s="561" t="s">
        <v>1505</v>
      </c>
      <c r="SRJ68" s="561" t="s">
        <v>1505</v>
      </c>
      <c r="SRK68" s="561" t="s">
        <v>1505</v>
      </c>
      <c r="SRL68" s="561" t="s">
        <v>1505</v>
      </c>
      <c r="SRM68" s="561" t="s">
        <v>1505</v>
      </c>
      <c r="SRN68" s="561" t="s">
        <v>1505</v>
      </c>
      <c r="SRO68" s="561" t="s">
        <v>1505</v>
      </c>
      <c r="SRP68" s="561" t="s">
        <v>1505</v>
      </c>
      <c r="SRQ68" s="561" t="s">
        <v>1505</v>
      </c>
      <c r="SRR68" s="561" t="s">
        <v>1505</v>
      </c>
      <c r="SRS68" s="561" t="s">
        <v>1505</v>
      </c>
      <c r="SRT68" s="561" t="s">
        <v>1505</v>
      </c>
      <c r="SRU68" s="561" t="s">
        <v>1505</v>
      </c>
      <c r="SRV68" s="561" t="s">
        <v>1505</v>
      </c>
      <c r="SRW68" s="561" t="s">
        <v>1505</v>
      </c>
      <c r="SRX68" s="561" t="s">
        <v>1505</v>
      </c>
      <c r="SRY68" s="561" t="s">
        <v>1505</v>
      </c>
      <c r="SRZ68" s="561" t="s">
        <v>1505</v>
      </c>
      <c r="SSA68" s="561" t="s">
        <v>1505</v>
      </c>
      <c r="SSB68" s="561" t="s">
        <v>1505</v>
      </c>
      <c r="SSC68" s="561" t="s">
        <v>1505</v>
      </c>
      <c r="SSD68" s="561" t="s">
        <v>1505</v>
      </c>
      <c r="SSE68" s="561" t="s">
        <v>1505</v>
      </c>
      <c r="SSF68" s="561" t="s">
        <v>1505</v>
      </c>
      <c r="SSG68" s="561" t="s">
        <v>1505</v>
      </c>
      <c r="SSH68" s="561" t="s">
        <v>1505</v>
      </c>
      <c r="SSI68" s="561" t="s">
        <v>1505</v>
      </c>
      <c r="SSJ68" s="561" t="s">
        <v>1505</v>
      </c>
      <c r="SSK68" s="561" t="s">
        <v>1505</v>
      </c>
      <c r="SSL68" s="561" t="s">
        <v>1505</v>
      </c>
      <c r="SSM68" s="561" t="s">
        <v>1505</v>
      </c>
      <c r="SSN68" s="561" t="s">
        <v>1505</v>
      </c>
      <c r="SSO68" s="561" t="s">
        <v>1505</v>
      </c>
      <c r="SSP68" s="561" t="s">
        <v>1505</v>
      </c>
      <c r="SSQ68" s="561" t="s">
        <v>1505</v>
      </c>
      <c r="SSR68" s="561" t="s">
        <v>1505</v>
      </c>
      <c r="SSS68" s="561" t="s">
        <v>1505</v>
      </c>
      <c r="SST68" s="561" t="s">
        <v>1505</v>
      </c>
      <c r="SSU68" s="561" t="s">
        <v>1505</v>
      </c>
      <c r="SSV68" s="561" t="s">
        <v>1505</v>
      </c>
      <c r="SSW68" s="561" t="s">
        <v>1505</v>
      </c>
      <c r="SSX68" s="561" t="s">
        <v>1505</v>
      </c>
      <c r="SSY68" s="561" t="s">
        <v>1505</v>
      </c>
      <c r="SSZ68" s="561" t="s">
        <v>1505</v>
      </c>
      <c r="STA68" s="561" t="s">
        <v>1505</v>
      </c>
      <c r="STB68" s="561" t="s">
        <v>1505</v>
      </c>
      <c r="STC68" s="561" t="s">
        <v>1505</v>
      </c>
      <c r="STD68" s="561" t="s">
        <v>1505</v>
      </c>
      <c r="STE68" s="561" t="s">
        <v>1505</v>
      </c>
      <c r="STF68" s="561" t="s">
        <v>1505</v>
      </c>
      <c r="STG68" s="561" t="s">
        <v>1505</v>
      </c>
      <c r="STH68" s="561" t="s">
        <v>1505</v>
      </c>
      <c r="STI68" s="561" t="s">
        <v>1505</v>
      </c>
      <c r="STJ68" s="561" t="s">
        <v>1505</v>
      </c>
      <c r="STK68" s="561" t="s">
        <v>1505</v>
      </c>
      <c r="STL68" s="561" t="s">
        <v>1505</v>
      </c>
      <c r="STM68" s="561" t="s">
        <v>1505</v>
      </c>
      <c r="STN68" s="561" t="s">
        <v>1505</v>
      </c>
      <c r="STO68" s="561" t="s">
        <v>1505</v>
      </c>
      <c r="STP68" s="561" t="s">
        <v>1505</v>
      </c>
      <c r="STQ68" s="561" t="s">
        <v>1505</v>
      </c>
      <c r="STR68" s="561" t="s">
        <v>1505</v>
      </c>
      <c r="STS68" s="561" t="s">
        <v>1505</v>
      </c>
      <c r="STT68" s="561" t="s">
        <v>1505</v>
      </c>
      <c r="STU68" s="561" t="s">
        <v>1505</v>
      </c>
      <c r="STV68" s="561" t="s">
        <v>1505</v>
      </c>
      <c r="STW68" s="561" t="s">
        <v>1505</v>
      </c>
      <c r="STX68" s="561" t="s">
        <v>1505</v>
      </c>
      <c r="STY68" s="561" t="s">
        <v>1505</v>
      </c>
      <c r="STZ68" s="561" t="s">
        <v>1505</v>
      </c>
      <c r="SUA68" s="561" t="s">
        <v>1505</v>
      </c>
      <c r="SUB68" s="561" t="s">
        <v>1505</v>
      </c>
      <c r="SUC68" s="561" t="s">
        <v>1505</v>
      </c>
      <c r="SUD68" s="561" t="s">
        <v>1505</v>
      </c>
      <c r="SUE68" s="561" t="s">
        <v>1505</v>
      </c>
      <c r="SUF68" s="561" t="s">
        <v>1505</v>
      </c>
      <c r="SUG68" s="561" t="s">
        <v>1505</v>
      </c>
      <c r="SUH68" s="561" t="s">
        <v>1505</v>
      </c>
      <c r="SUI68" s="561" t="s">
        <v>1505</v>
      </c>
      <c r="SUJ68" s="561" t="s">
        <v>1505</v>
      </c>
      <c r="SUK68" s="561" t="s">
        <v>1505</v>
      </c>
      <c r="SUL68" s="561" t="s">
        <v>1505</v>
      </c>
      <c r="SUM68" s="561" t="s">
        <v>1505</v>
      </c>
      <c r="SUN68" s="561" t="s">
        <v>1505</v>
      </c>
      <c r="SUO68" s="561" t="s">
        <v>1505</v>
      </c>
      <c r="SUP68" s="561" t="s">
        <v>1505</v>
      </c>
      <c r="SUQ68" s="561" t="s">
        <v>1505</v>
      </c>
      <c r="SUR68" s="561" t="s">
        <v>1505</v>
      </c>
      <c r="SUS68" s="561" t="s">
        <v>1505</v>
      </c>
      <c r="SUT68" s="561" t="s">
        <v>1505</v>
      </c>
      <c r="SUU68" s="561" t="s">
        <v>1505</v>
      </c>
      <c r="SUV68" s="561" t="s">
        <v>1505</v>
      </c>
      <c r="SUW68" s="561" t="s">
        <v>1505</v>
      </c>
      <c r="SUX68" s="561" t="s">
        <v>1505</v>
      </c>
      <c r="SUY68" s="561" t="s">
        <v>1505</v>
      </c>
      <c r="SUZ68" s="561" t="s">
        <v>1505</v>
      </c>
      <c r="SVA68" s="561" t="s">
        <v>1505</v>
      </c>
      <c r="SVB68" s="561" t="s">
        <v>1505</v>
      </c>
      <c r="SVC68" s="561" t="s">
        <v>1505</v>
      </c>
      <c r="SVD68" s="561" t="s">
        <v>1505</v>
      </c>
      <c r="SVE68" s="561" t="s">
        <v>1505</v>
      </c>
      <c r="SVF68" s="561" t="s">
        <v>1505</v>
      </c>
      <c r="SVG68" s="561" t="s">
        <v>1505</v>
      </c>
      <c r="SVH68" s="561" t="s">
        <v>1505</v>
      </c>
      <c r="SVI68" s="561" t="s">
        <v>1505</v>
      </c>
      <c r="SVJ68" s="561" t="s">
        <v>1505</v>
      </c>
      <c r="SVK68" s="561" t="s">
        <v>1505</v>
      </c>
      <c r="SVL68" s="561" t="s">
        <v>1505</v>
      </c>
      <c r="SVM68" s="561" t="s">
        <v>1505</v>
      </c>
      <c r="SVN68" s="561" t="s">
        <v>1505</v>
      </c>
      <c r="SVO68" s="561" t="s">
        <v>1505</v>
      </c>
      <c r="SVP68" s="561" t="s">
        <v>1505</v>
      </c>
      <c r="SVQ68" s="561" t="s">
        <v>1505</v>
      </c>
      <c r="SVR68" s="561" t="s">
        <v>1505</v>
      </c>
      <c r="SVS68" s="561" t="s">
        <v>1505</v>
      </c>
      <c r="SVT68" s="561" t="s">
        <v>1505</v>
      </c>
      <c r="SVU68" s="561" t="s">
        <v>1505</v>
      </c>
      <c r="SVV68" s="561" t="s">
        <v>1505</v>
      </c>
      <c r="SVW68" s="561" t="s">
        <v>1505</v>
      </c>
      <c r="SVX68" s="561" t="s">
        <v>1505</v>
      </c>
      <c r="SVY68" s="561" t="s">
        <v>1505</v>
      </c>
      <c r="SVZ68" s="561" t="s">
        <v>1505</v>
      </c>
      <c r="SWA68" s="561" t="s">
        <v>1505</v>
      </c>
      <c r="SWB68" s="561" t="s">
        <v>1505</v>
      </c>
      <c r="SWC68" s="561" t="s">
        <v>1505</v>
      </c>
      <c r="SWD68" s="561" t="s">
        <v>1505</v>
      </c>
      <c r="SWE68" s="561" t="s">
        <v>1505</v>
      </c>
      <c r="SWF68" s="561" t="s">
        <v>1505</v>
      </c>
      <c r="SWG68" s="561" t="s">
        <v>1505</v>
      </c>
      <c r="SWH68" s="561" t="s">
        <v>1505</v>
      </c>
      <c r="SWI68" s="561" t="s">
        <v>1505</v>
      </c>
      <c r="SWJ68" s="561" t="s">
        <v>1505</v>
      </c>
      <c r="SWK68" s="561" t="s">
        <v>1505</v>
      </c>
      <c r="SWL68" s="561" t="s">
        <v>1505</v>
      </c>
      <c r="SWM68" s="561" t="s">
        <v>1505</v>
      </c>
      <c r="SWN68" s="561" t="s">
        <v>1505</v>
      </c>
      <c r="SWO68" s="561" t="s">
        <v>1505</v>
      </c>
      <c r="SWP68" s="561" t="s">
        <v>1505</v>
      </c>
      <c r="SWQ68" s="561" t="s">
        <v>1505</v>
      </c>
      <c r="SWR68" s="561" t="s">
        <v>1505</v>
      </c>
      <c r="SWS68" s="561" t="s">
        <v>1505</v>
      </c>
      <c r="SWT68" s="561" t="s">
        <v>1505</v>
      </c>
      <c r="SWU68" s="561" t="s">
        <v>1505</v>
      </c>
      <c r="SWV68" s="561" t="s">
        <v>1505</v>
      </c>
      <c r="SWW68" s="561" t="s">
        <v>1505</v>
      </c>
      <c r="SWX68" s="561" t="s">
        <v>1505</v>
      </c>
      <c r="SWY68" s="561" t="s">
        <v>1505</v>
      </c>
      <c r="SWZ68" s="561" t="s">
        <v>1505</v>
      </c>
      <c r="SXA68" s="561" t="s">
        <v>1505</v>
      </c>
      <c r="SXB68" s="561" t="s">
        <v>1505</v>
      </c>
      <c r="SXC68" s="561" t="s">
        <v>1505</v>
      </c>
      <c r="SXD68" s="561" t="s">
        <v>1505</v>
      </c>
      <c r="SXE68" s="561" t="s">
        <v>1505</v>
      </c>
      <c r="SXF68" s="561" t="s">
        <v>1505</v>
      </c>
      <c r="SXG68" s="561" t="s">
        <v>1505</v>
      </c>
      <c r="SXH68" s="561" t="s">
        <v>1505</v>
      </c>
      <c r="SXI68" s="561" t="s">
        <v>1505</v>
      </c>
      <c r="SXJ68" s="561" t="s">
        <v>1505</v>
      </c>
      <c r="SXK68" s="561" t="s">
        <v>1505</v>
      </c>
      <c r="SXL68" s="561" t="s">
        <v>1505</v>
      </c>
      <c r="SXM68" s="561" t="s">
        <v>1505</v>
      </c>
      <c r="SXN68" s="561" t="s">
        <v>1505</v>
      </c>
      <c r="SXO68" s="561" t="s">
        <v>1505</v>
      </c>
      <c r="SXP68" s="561" t="s">
        <v>1505</v>
      </c>
      <c r="SXQ68" s="561" t="s">
        <v>1505</v>
      </c>
      <c r="SXR68" s="561" t="s">
        <v>1505</v>
      </c>
      <c r="SXS68" s="561" t="s">
        <v>1505</v>
      </c>
      <c r="SXT68" s="561" t="s">
        <v>1505</v>
      </c>
      <c r="SXU68" s="561" t="s">
        <v>1505</v>
      </c>
      <c r="SXV68" s="561" t="s">
        <v>1505</v>
      </c>
      <c r="SXW68" s="561" t="s">
        <v>1505</v>
      </c>
      <c r="SXX68" s="561" t="s">
        <v>1505</v>
      </c>
      <c r="SXY68" s="561" t="s">
        <v>1505</v>
      </c>
      <c r="SXZ68" s="561" t="s">
        <v>1505</v>
      </c>
      <c r="SYA68" s="561" t="s">
        <v>1505</v>
      </c>
      <c r="SYB68" s="561" t="s">
        <v>1505</v>
      </c>
      <c r="SYC68" s="561" t="s">
        <v>1505</v>
      </c>
      <c r="SYD68" s="561" t="s">
        <v>1505</v>
      </c>
      <c r="SYE68" s="561" t="s">
        <v>1505</v>
      </c>
      <c r="SYF68" s="561" t="s">
        <v>1505</v>
      </c>
      <c r="SYG68" s="561" t="s">
        <v>1505</v>
      </c>
      <c r="SYH68" s="561" t="s">
        <v>1505</v>
      </c>
      <c r="SYI68" s="561" t="s">
        <v>1505</v>
      </c>
      <c r="SYJ68" s="561" t="s">
        <v>1505</v>
      </c>
      <c r="SYK68" s="561" t="s">
        <v>1505</v>
      </c>
      <c r="SYL68" s="561" t="s">
        <v>1505</v>
      </c>
      <c r="SYM68" s="561" t="s">
        <v>1505</v>
      </c>
      <c r="SYN68" s="561" t="s">
        <v>1505</v>
      </c>
      <c r="SYO68" s="561" t="s">
        <v>1505</v>
      </c>
      <c r="SYP68" s="561" t="s">
        <v>1505</v>
      </c>
      <c r="SYQ68" s="561" t="s">
        <v>1505</v>
      </c>
      <c r="SYR68" s="561" t="s">
        <v>1505</v>
      </c>
      <c r="SYS68" s="561" t="s">
        <v>1505</v>
      </c>
      <c r="SYT68" s="561" t="s">
        <v>1505</v>
      </c>
      <c r="SYU68" s="561" t="s">
        <v>1505</v>
      </c>
      <c r="SYV68" s="561" t="s">
        <v>1505</v>
      </c>
      <c r="SYW68" s="561" t="s">
        <v>1505</v>
      </c>
      <c r="SYX68" s="561" t="s">
        <v>1505</v>
      </c>
      <c r="SYY68" s="561" t="s">
        <v>1505</v>
      </c>
      <c r="SYZ68" s="561" t="s">
        <v>1505</v>
      </c>
      <c r="SZA68" s="561" t="s">
        <v>1505</v>
      </c>
      <c r="SZB68" s="561" t="s">
        <v>1505</v>
      </c>
      <c r="SZC68" s="561" t="s">
        <v>1505</v>
      </c>
      <c r="SZD68" s="561" t="s">
        <v>1505</v>
      </c>
      <c r="SZE68" s="561" t="s">
        <v>1505</v>
      </c>
      <c r="SZF68" s="561" t="s">
        <v>1505</v>
      </c>
      <c r="SZG68" s="561" t="s">
        <v>1505</v>
      </c>
      <c r="SZH68" s="561" t="s">
        <v>1505</v>
      </c>
      <c r="SZI68" s="561" t="s">
        <v>1505</v>
      </c>
      <c r="SZJ68" s="561" t="s">
        <v>1505</v>
      </c>
      <c r="SZK68" s="561" t="s">
        <v>1505</v>
      </c>
      <c r="SZL68" s="561" t="s">
        <v>1505</v>
      </c>
      <c r="SZM68" s="561" t="s">
        <v>1505</v>
      </c>
      <c r="SZN68" s="561" t="s">
        <v>1505</v>
      </c>
      <c r="SZO68" s="561" t="s">
        <v>1505</v>
      </c>
      <c r="SZP68" s="561" t="s">
        <v>1505</v>
      </c>
      <c r="SZQ68" s="561" t="s">
        <v>1505</v>
      </c>
      <c r="SZR68" s="561" t="s">
        <v>1505</v>
      </c>
      <c r="SZS68" s="561" t="s">
        <v>1505</v>
      </c>
      <c r="SZT68" s="561" t="s">
        <v>1505</v>
      </c>
      <c r="SZU68" s="561" t="s">
        <v>1505</v>
      </c>
      <c r="SZV68" s="561" t="s">
        <v>1505</v>
      </c>
      <c r="SZW68" s="561" t="s">
        <v>1505</v>
      </c>
      <c r="SZX68" s="561" t="s">
        <v>1505</v>
      </c>
      <c r="SZY68" s="561" t="s">
        <v>1505</v>
      </c>
      <c r="SZZ68" s="561" t="s">
        <v>1505</v>
      </c>
      <c r="TAA68" s="561" t="s">
        <v>1505</v>
      </c>
      <c r="TAB68" s="561" t="s">
        <v>1505</v>
      </c>
      <c r="TAC68" s="561" t="s">
        <v>1505</v>
      </c>
      <c r="TAD68" s="561" t="s">
        <v>1505</v>
      </c>
      <c r="TAE68" s="561" t="s">
        <v>1505</v>
      </c>
      <c r="TAF68" s="561" t="s">
        <v>1505</v>
      </c>
      <c r="TAG68" s="561" t="s">
        <v>1505</v>
      </c>
      <c r="TAH68" s="561" t="s">
        <v>1505</v>
      </c>
      <c r="TAI68" s="561" t="s">
        <v>1505</v>
      </c>
      <c r="TAJ68" s="561" t="s">
        <v>1505</v>
      </c>
      <c r="TAK68" s="561" t="s">
        <v>1505</v>
      </c>
      <c r="TAL68" s="561" t="s">
        <v>1505</v>
      </c>
      <c r="TAM68" s="561" t="s">
        <v>1505</v>
      </c>
      <c r="TAN68" s="561" t="s">
        <v>1505</v>
      </c>
      <c r="TAO68" s="561" t="s">
        <v>1505</v>
      </c>
      <c r="TAP68" s="561" t="s">
        <v>1505</v>
      </c>
      <c r="TAQ68" s="561" t="s">
        <v>1505</v>
      </c>
      <c r="TAR68" s="561" t="s">
        <v>1505</v>
      </c>
      <c r="TAS68" s="561" t="s">
        <v>1505</v>
      </c>
      <c r="TAT68" s="561" t="s">
        <v>1505</v>
      </c>
      <c r="TAU68" s="561" t="s">
        <v>1505</v>
      </c>
      <c r="TAV68" s="561" t="s">
        <v>1505</v>
      </c>
      <c r="TAW68" s="561" t="s">
        <v>1505</v>
      </c>
      <c r="TAX68" s="561" t="s">
        <v>1505</v>
      </c>
      <c r="TAY68" s="561" t="s">
        <v>1505</v>
      </c>
      <c r="TAZ68" s="561" t="s">
        <v>1505</v>
      </c>
      <c r="TBA68" s="561" t="s">
        <v>1505</v>
      </c>
      <c r="TBB68" s="561" t="s">
        <v>1505</v>
      </c>
      <c r="TBC68" s="561" t="s">
        <v>1505</v>
      </c>
      <c r="TBD68" s="561" t="s">
        <v>1505</v>
      </c>
      <c r="TBE68" s="561" t="s">
        <v>1505</v>
      </c>
      <c r="TBF68" s="561" t="s">
        <v>1505</v>
      </c>
      <c r="TBG68" s="561" t="s">
        <v>1505</v>
      </c>
      <c r="TBH68" s="561" t="s">
        <v>1505</v>
      </c>
      <c r="TBI68" s="561" t="s">
        <v>1505</v>
      </c>
      <c r="TBJ68" s="561" t="s">
        <v>1505</v>
      </c>
      <c r="TBK68" s="561" t="s">
        <v>1505</v>
      </c>
      <c r="TBL68" s="561" t="s">
        <v>1505</v>
      </c>
      <c r="TBM68" s="561" t="s">
        <v>1505</v>
      </c>
      <c r="TBN68" s="561" t="s">
        <v>1505</v>
      </c>
      <c r="TBO68" s="561" t="s">
        <v>1505</v>
      </c>
      <c r="TBP68" s="561" t="s">
        <v>1505</v>
      </c>
      <c r="TBQ68" s="561" t="s">
        <v>1505</v>
      </c>
      <c r="TBR68" s="561" t="s">
        <v>1505</v>
      </c>
      <c r="TBS68" s="561" t="s">
        <v>1505</v>
      </c>
      <c r="TBT68" s="561" t="s">
        <v>1505</v>
      </c>
      <c r="TBU68" s="561" t="s">
        <v>1505</v>
      </c>
      <c r="TBV68" s="561" t="s">
        <v>1505</v>
      </c>
      <c r="TBW68" s="561" t="s">
        <v>1505</v>
      </c>
      <c r="TBX68" s="561" t="s">
        <v>1505</v>
      </c>
      <c r="TBY68" s="561" t="s">
        <v>1505</v>
      </c>
      <c r="TBZ68" s="561" t="s">
        <v>1505</v>
      </c>
      <c r="TCA68" s="561" t="s">
        <v>1505</v>
      </c>
      <c r="TCB68" s="561" t="s">
        <v>1505</v>
      </c>
      <c r="TCC68" s="561" t="s">
        <v>1505</v>
      </c>
      <c r="TCD68" s="561" t="s">
        <v>1505</v>
      </c>
      <c r="TCE68" s="561" t="s">
        <v>1505</v>
      </c>
      <c r="TCF68" s="561" t="s">
        <v>1505</v>
      </c>
      <c r="TCG68" s="561" t="s">
        <v>1505</v>
      </c>
      <c r="TCH68" s="561" t="s">
        <v>1505</v>
      </c>
      <c r="TCI68" s="561" t="s">
        <v>1505</v>
      </c>
      <c r="TCJ68" s="561" t="s">
        <v>1505</v>
      </c>
      <c r="TCK68" s="561" t="s">
        <v>1505</v>
      </c>
      <c r="TCL68" s="561" t="s">
        <v>1505</v>
      </c>
      <c r="TCM68" s="561" t="s">
        <v>1505</v>
      </c>
      <c r="TCN68" s="561" t="s">
        <v>1505</v>
      </c>
      <c r="TCO68" s="561" t="s">
        <v>1505</v>
      </c>
      <c r="TCP68" s="561" t="s">
        <v>1505</v>
      </c>
      <c r="TCQ68" s="561" t="s">
        <v>1505</v>
      </c>
      <c r="TCR68" s="561" t="s">
        <v>1505</v>
      </c>
      <c r="TCS68" s="561" t="s">
        <v>1505</v>
      </c>
      <c r="TCT68" s="561" t="s">
        <v>1505</v>
      </c>
      <c r="TCU68" s="561" t="s">
        <v>1505</v>
      </c>
      <c r="TCV68" s="561" t="s">
        <v>1505</v>
      </c>
      <c r="TCW68" s="561" t="s">
        <v>1505</v>
      </c>
      <c r="TCX68" s="561" t="s">
        <v>1505</v>
      </c>
      <c r="TCY68" s="561" t="s">
        <v>1505</v>
      </c>
      <c r="TCZ68" s="561" t="s">
        <v>1505</v>
      </c>
      <c r="TDA68" s="561" t="s">
        <v>1505</v>
      </c>
      <c r="TDB68" s="561" t="s">
        <v>1505</v>
      </c>
      <c r="TDC68" s="561" t="s">
        <v>1505</v>
      </c>
      <c r="TDD68" s="561" t="s">
        <v>1505</v>
      </c>
      <c r="TDE68" s="561" t="s">
        <v>1505</v>
      </c>
      <c r="TDF68" s="561" t="s">
        <v>1505</v>
      </c>
      <c r="TDG68" s="561" t="s">
        <v>1505</v>
      </c>
      <c r="TDH68" s="561" t="s">
        <v>1505</v>
      </c>
      <c r="TDI68" s="561" t="s">
        <v>1505</v>
      </c>
      <c r="TDJ68" s="561" t="s">
        <v>1505</v>
      </c>
      <c r="TDK68" s="561" t="s">
        <v>1505</v>
      </c>
      <c r="TDL68" s="561" t="s">
        <v>1505</v>
      </c>
      <c r="TDM68" s="561" t="s">
        <v>1505</v>
      </c>
      <c r="TDN68" s="561" t="s">
        <v>1505</v>
      </c>
      <c r="TDO68" s="561" t="s">
        <v>1505</v>
      </c>
      <c r="TDP68" s="561" t="s">
        <v>1505</v>
      </c>
      <c r="TDQ68" s="561" t="s">
        <v>1505</v>
      </c>
      <c r="TDR68" s="561" t="s">
        <v>1505</v>
      </c>
      <c r="TDS68" s="561" t="s">
        <v>1505</v>
      </c>
      <c r="TDT68" s="561" t="s">
        <v>1505</v>
      </c>
      <c r="TDU68" s="561" t="s">
        <v>1505</v>
      </c>
      <c r="TDV68" s="561" t="s">
        <v>1505</v>
      </c>
      <c r="TDW68" s="561" t="s">
        <v>1505</v>
      </c>
      <c r="TDX68" s="561" t="s">
        <v>1505</v>
      </c>
      <c r="TDY68" s="561" t="s">
        <v>1505</v>
      </c>
      <c r="TDZ68" s="561" t="s">
        <v>1505</v>
      </c>
      <c r="TEA68" s="561" t="s">
        <v>1505</v>
      </c>
      <c r="TEB68" s="561" t="s">
        <v>1505</v>
      </c>
      <c r="TEC68" s="561" t="s">
        <v>1505</v>
      </c>
      <c r="TED68" s="561" t="s">
        <v>1505</v>
      </c>
      <c r="TEE68" s="561" t="s">
        <v>1505</v>
      </c>
      <c r="TEF68" s="561" t="s">
        <v>1505</v>
      </c>
      <c r="TEG68" s="561" t="s">
        <v>1505</v>
      </c>
      <c r="TEH68" s="561" t="s">
        <v>1505</v>
      </c>
      <c r="TEI68" s="561" t="s">
        <v>1505</v>
      </c>
      <c r="TEJ68" s="561" t="s">
        <v>1505</v>
      </c>
      <c r="TEK68" s="561" t="s">
        <v>1505</v>
      </c>
      <c r="TEL68" s="561" t="s">
        <v>1505</v>
      </c>
      <c r="TEM68" s="561" t="s">
        <v>1505</v>
      </c>
      <c r="TEN68" s="561" t="s">
        <v>1505</v>
      </c>
      <c r="TEO68" s="561" t="s">
        <v>1505</v>
      </c>
      <c r="TEP68" s="561" t="s">
        <v>1505</v>
      </c>
      <c r="TEQ68" s="561" t="s">
        <v>1505</v>
      </c>
      <c r="TER68" s="561" t="s">
        <v>1505</v>
      </c>
      <c r="TES68" s="561" t="s">
        <v>1505</v>
      </c>
      <c r="TET68" s="561" t="s">
        <v>1505</v>
      </c>
      <c r="TEU68" s="561" t="s">
        <v>1505</v>
      </c>
      <c r="TEV68" s="561" t="s">
        <v>1505</v>
      </c>
      <c r="TEW68" s="561" t="s">
        <v>1505</v>
      </c>
      <c r="TEX68" s="561" t="s">
        <v>1505</v>
      </c>
      <c r="TEY68" s="561" t="s">
        <v>1505</v>
      </c>
      <c r="TEZ68" s="561" t="s">
        <v>1505</v>
      </c>
      <c r="TFA68" s="561" t="s">
        <v>1505</v>
      </c>
      <c r="TFB68" s="561" t="s">
        <v>1505</v>
      </c>
      <c r="TFC68" s="561" t="s">
        <v>1505</v>
      </c>
      <c r="TFD68" s="561" t="s">
        <v>1505</v>
      </c>
      <c r="TFE68" s="561" t="s">
        <v>1505</v>
      </c>
      <c r="TFF68" s="561" t="s">
        <v>1505</v>
      </c>
      <c r="TFG68" s="561" t="s">
        <v>1505</v>
      </c>
      <c r="TFH68" s="561" t="s">
        <v>1505</v>
      </c>
      <c r="TFI68" s="561" t="s">
        <v>1505</v>
      </c>
      <c r="TFJ68" s="561" t="s">
        <v>1505</v>
      </c>
      <c r="TFK68" s="561" t="s">
        <v>1505</v>
      </c>
      <c r="TFL68" s="561" t="s">
        <v>1505</v>
      </c>
      <c r="TFM68" s="561" t="s">
        <v>1505</v>
      </c>
      <c r="TFN68" s="561" t="s">
        <v>1505</v>
      </c>
      <c r="TFO68" s="561" t="s">
        <v>1505</v>
      </c>
      <c r="TFP68" s="561" t="s">
        <v>1505</v>
      </c>
      <c r="TFQ68" s="561" t="s">
        <v>1505</v>
      </c>
      <c r="TFR68" s="561" t="s">
        <v>1505</v>
      </c>
      <c r="TFS68" s="561" t="s">
        <v>1505</v>
      </c>
      <c r="TFT68" s="561" t="s">
        <v>1505</v>
      </c>
      <c r="TFU68" s="561" t="s">
        <v>1505</v>
      </c>
      <c r="TFV68" s="561" t="s">
        <v>1505</v>
      </c>
      <c r="TFW68" s="561" t="s">
        <v>1505</v>
      </c>
      <c r="TFX68" s="561" t="s">
        <v>1505</v>
      </c>
      <c r="TFY68" s="561" t="s">
        <v>1505</v>
      </c>
      <c r="TFZ68" s="561" t="s">
        <v>1505</v>
      </c>
      <c r="TGA68" s="561" t="s">
        <v>1505</v>
      </c>
      <c r="TGB68" s="561" t="s">
        <v>1505</v>
      </c>
      <c r="TGC68" s="561" t="s">
        <v>1505</v>
      </c>
      <c r="TGD68" s="561" t="s">
        <v>1505</v>
      </c>
      <c r="TGE68" s="561" t="s">
        <v>1505</v>
      </c>
      <c r="TGF68" s="561" t="s">
        <v>1505</v>
      </c>
      <c r="TGG68" s="561" t="s">
        <v>1505</v>
      </c>
      <c r="TGH68" s="561" t="s">
        <v>1505</v>
      </c>
      <c r="TGI68" s="561" t="s">
        <v>1505</v>
      </c>
      <c r="TGJ68" s="561" t="s">
        <v>1505</v>
      </c>
      <c r="TGK68" s="561" t="s">
        <v>1505</v>
      </c>
      <c r="TGL68" s="561" t="s">
        <v>1505</v>
      </c>
      <c r="TGM68" s="561" t="s">
        <v>1505</v>
      </c>
      <c r="TGN68" s="561" t="s">
        <v>1505</v>
      </c>
      <c r="TGO68" s="561" t="s">
        <v>1505</v>
      </c>
      <c r="TGP68" s="561" t="s">
        <v>1505</v>
      </c>
      <c r="TGQ68" s="561" t="s">
        <v>1505</v>
      </c>
      <c r="TGR68" s="561" t="s">
        <v>1505</v>
      </c>
      <c r="TGS68" s="561" t="s">
        <v>1505</v>
      </c>
      <c r="TGT68" s="561" t="s">
        <v>1505</v>
      </c>
      <c r="TGU68" s="561" t="s">
        <v>1505</v>
      </c>
      <c r="TGV68" s="561" t="s">
        <v>1505</v>
      </c>
      <c r="TGW68" s="561" t="s">
        <v>1505</v>
      </c>
      <c r="TGX68" s="561" t="s">
        <v>1505</v>
      </c>
      <c r="TGY68" s="561" t="s">
        <v>1505</v>
      </c>
      <c r="TGZ68" s="561" t="s">
        <v>1505</v>
      </c>
      <c r="THA68" s="561" t="s">
        <v>1505</v>
      </c>
      <c r="THB68" s="561" t="s">
        <v>1505</v>
      </c>
      <c r="THC68" s="561" t="s">
        <v>1505</v>
      </c>
      <c r="THD68" s="561" t="s">
        <v>1505</v>
      </c>
      <c r="THE68" s="561" t="s">
        <v>1505</v>
      </c>
      <c r="THF68" s="561" t="s">
        <v>1505</v>
      </c>
      <c r="THG68" s="561" t="s">
        <v>1505</v>
      </c>
      <c r="THH68" s="561" t="s">
        <v>1505</v>
      </c>
      <c r="THI68" s="561" t="s">
        <v>1505</v>
      </c>
      <c r="THJ68" s="561" t="s">
        <v>1505</v>
      </c>
      <c r="THK68" s="561" t="s">
        <v>1505</v>
      </c>
      <c r="THL68" s="561" t="s">
        <v>1505</v>
      </c>
      <c r="THM68" s="561" t="s">
        <v>1505</v>
      </c>
      <c r="THN68" s="561" t="s">
        <v>1505</v>
      </c>
      <c r="THO68" s="561" t="s">
        <v>1505</v>
      </c>
      <c r="THP68" s="561" t="s">
        <v>1505</v>
      </c>
      <c r="THQ68" s="561" t="s">
        <v>1505</v>
      </c>
      <c r="THR68" s="561" t="s">
        <v>1505</v>
      </c>
      <c r="THS68" s="561" t="s">
        <v>1505</v>
      </c>
      <c r="THT68" s="561" t="s">
        <v>1505</v>
      </c>
      <c r="THU68" s="561" t="s">
        <v>1505</v>
      </c>
      <c r="THV68" s="561" t="s">
        <v>1505</v>
      </c>
      <c r="THW68" s="561" t="s">
        <v>1505</v>
      </c>
      <c r="THX68" s="561" t="s">
        <v>1505</v>
      </c>
      <c r="THY68" s="561" t="s">
        <v>1505</v>
      </c>
      <c r="THZ68" s="561" t="s">
        <v>1505</v>
      </c>
      <c r="TIA68" s="561" t="s">
        <v>1505</v>
      </c>
      <c r="TIB68" s="561" t="s">
        <v>1505</v>
      </c>
      <c r="TIC68" s="561" t="s">
        <v>1505</v>
      </c>
      <c r="TID68" s="561" t="s">
        <v>1505</v>
      </c>
      <c r="TIE68" s="561" t="s">
        <v>1505</v>
      </c>
      <c r="TIF68" s="561" t="s">
        <v>1505</v>
      </c>
      <c r="TIG68" s="561" t="s">
        <v>1505</v>
      </c>
      <c r="TIH68" s="561" t="s">
        <v>1505</v>
      </c>
      <c r="TII68" s="561" t="s">
        <v>1505</v>
      </c>
      <c r="TIJ68" s="561" t="s">
        <v>1505</v>
      </c>
      <c r="TIK68" s="561" t="s">
        <v>1505</v>
      </c>
      <c r="TIL68" s="561" t="s">
        <v>1505</v>
      </c>
      <c r="TIM68" s="561" t="s">
        <v>1505</v>
      </c>
      <c r="TIN68" s="561" t="s">
        <v>1505</v>
      </c>
      <c r="TIO68" s="561" t="s">
        <v>1505</v>
      </c>
      <c r="TIP68" s="561" t="s">
        <v>1505</v>
      </c>
      <c r="TIQ68" s="561" t="s">
        <v>1505</v>
      </c>
      <c r="TIR68" s="561" t="s">
        <v>1505</v>
      </c>
      <c r="TIS68" s="561" t="s">
        <v>1505</v>
      </c>
      <c r="TIT68" s="561" t="s">
        <v>1505</v>
      </c>
      <c r="TIU68" s="561" t="s">
        <v>1505</v>
      </c>
      <c r="TIV68" s="561" t="s">
        <v>1505</v>
      </c>
      <c r="TIW68" s="561" t="s">
        <v>1505</v>
      </c>
      <c r="TIX68" s="561" t="s">
        <v>1505</v>
      </c>
      <c r="TIY68" s="561" t="s">
        <v>1505</v>
      </c>
      <c r="TIZ68" s="561" t="s">
        <v>1505</v>
      </c>
      <c r="TJA68" s="561" t="s">
        <v>1505</v>
      </c>
      <c r="TJB68" s="561" t="s">
        <v>1505</v>
      </c>
      <c r="TJC68" s="561" t="s">
        <v>1505</v>
      </c>
      <c r="TJD68" s="561" t="s">
        <v>1505</v>
      </c>
      <c r="TJE68" s="561" t="s">
        <v>1505</v>
      </c>
      <c r="TJF68" s="561" t="s">
        <v>1505</v>
      </c>
      <c r="TJG68" s="561" t="s">
        <v>1505</v>
      </c>
      <c r="TJH68" s="561" t="s">
        <v>1505</v>
      </c>
      <c r="TJI68" s="561" t="s">
        <v>1505</v>
      </c>
      <c r="TJJ68" s="561" t="s">
        <v>1505</v>
      </c>
      <c r="TJK68" s="561" t="s">
        <v>1505</v>
      </c>
      <c r="TJL68" s="561" t="s">
        <v>1505</v>
      </c>
      <c r="TJM68" s="561" t="s">
        <v>1505</v>
      </c>
      <c r="TJN68" s="561" t="s">
        <v>1505</v>
      </c>
      <c r="TJO68" s="561" t="s">
        <v>1505</v>
      </c>
      <c r="TJP68" s="561" t="s">
        <v>1505</v>
      </c>
      <c r="TJQ68" s="561" t="s">
        <v>1505</v>
      </c>
      <c r="TJR68" s="561" t="s">
        <v>1505</v>
      </c>
      <c r="TJS68" s="561" t="s">
        <v>1505</v>
      </c>
      <c r="TJT68" s="561" t="s">
        <v>1505</v>
      </c>
      <c r="TJU68" s="561" t="s">
        <v>1505</v>
      </c>
      <c r="TJV68" s="561" t="s">
        <v>1505</v>
      </c>
      <c r="TJW68" s="561" t="s">
        <v>1505</v>
      </c>
      <c r="TJX68" s="561" t="s">
        <v>1505</v>
      </c>
      <c r="TJY68" s="561" t="s">
        <v>1505</v>
      </c>
      <c r="TJZ68" s="561" t="s">
        <v>1505</v>
      </c>
      <c r="TKA68" s="561" t="s">
        <v>1505</v>
      </c>
      <c r="TKB68" s="561" t="s">
        <v>1505</v>
      </c>
      <c r="TKC68" s="561" t="s">
        <v>1505</v>
      </c>
      <c r="TKD68" s="561" t="s">
        <v>1505</v>
      </c>
      <c r="TKE68" s="561" t="s">
        <v>1505</v>
      </c>
      <c r="TKF68" s="561" t="s">
        <v>1505</v>
      </c>
      <c r="TKG68" s="561" t="s">
        <v>1505</v>
      </c>
      <c r="TKH68" s="561" t="s">
        <v>1505</v>
      </c>
      <c r="TKI68" s="561" t="s">
        <v>1505</v>
      </c>
      <c r="TKJ68" s="561" t="s">
        <v>1505</v>
      </c>
      <c r="TKK68" s="561" t="s">
        <v>1505</v>
      </c>
      <c r="TKL68" s="561" t="s">
        <v>1505</v>
      </c>
      <c r="TKM68" s="561" t="s">
        <v>1505</v>
      </c>
      <c r="TKN68" s="561" t="s">
        <v>1505</v>
      </c>
      <c r="TKO68" s="561" t="s">
        <v>1505</v>
      </c>
      <c r="TKP68" s="561" t="s">
        <v>1505</v>
      </c>
      <c r="TKQ68" s="561" t="s">
        <v>1505</v>
      </c>
      <c r="TKR68" s="561" t="s">
        <v>1505</v>
      </c>
      <c r="TKS68" s="561" t="s">
        <v>1505</v>
      </c>
      <c r="TKT68" s="561" t="s">
        <v>1505</v>
      </c>
      <c r="TKU68" s="561" t="s">
        <v>1505</v>
      </c>
      <c r="TKV68" s="561" t="s">
        <v>1505</v>
      </c>
      <c r="TKW68" s="561" t="s">
        <v>1505</v>
      </c>
      <c r="TKX68" s="561" t="s">
        <v>1505</v>
      </c>
      <c r="TKY68" s="561" t="s">
        <v>1505</v>
      </c>
      <c r="TKZ68" s="561" t="s">
        <v>1505</v>
      </c>
      <c r="TLA68" s="561" t="s">
        <v>1505</v>
      </c>
      <c r="TLB68" s="561" t="s">
        <v>1505</v>
      </c>
      <c r="TLC68" s="561" t="s">
        <v>1505</v>
      </c>
      <c r="TLD68" s="561" t="s">
        <v>1505</v>
      </c>
      <c r="TLE68" s="561" t="s">
        <v>1505</v>
      </c>
      <c r="TLF68" s="561" t="s">
        <v>1505</v>
      </c>
      <c r="TLG68" s="561" t="s">
        <v>1505</v>
      </c>
      <c r="TLH68" s="561" t="s">
        <v>1505</v>
      </c>
      <c r="TLI68" s="561" t="s">
        <v>1505</v>
      </c>
      <c r="TLJ68" s="561" t="s">
        <v>1505</v>
      </c>
      <c r="TLK68" s="561" t="s">
        <v>1505</v>
      </c>
      <c r="TLL68" s="561" t="s">
        <v>1505</v>
      </c>
      <c r="TLM68" s="561" t="s">
        <v>1505</v>
      </c>
      <c r="TLN68" s="561" t="s">
        <v>1505</v>
      </c>
      <c r="TLO68" s="561" t="s">
        <v>1505</v>
      </c>
      <c r="TLP68" s="561" t="s">
        <v>1505</v>
      </c>
      <c r="TLQ68" s="561" t="s">
        <v>1505</v>
      </c>
      <c r="TLR68" s="561" t="s">
        <v>1505</v>
      </c>
      <c r="TLS68" s="561" t="s">
        <v>1505</v>
      </c>
      <c r="TLT68" s="561" t="s">
        <v>1505</v>
      </c>
      <c r="TLU68" s="561" t="s">
        <v>1505</v>
      </c>
      <c r="TLV68" s="561" t="s">
        <v>1505</v>
      </c>
      <c r="TLW68" s="561" t="s">
        <v>1505</v>
      </c>
      <c r="TLX68" s="561" t="s">
        <v>1505</v>
      </c>
      <c r="TLY68" s="561" t="s">
        <v>1505</v>
      </c>
      <c r="TLZ68" s="561" t="s">
        <v>1505</v>
      </c>
      <c r="TMA68" s="561" t="s">
        <v>1505</v>
      </c>
      <c r="TMB68" s="561" t="s">
        <v>1505</v>
      </c>
      <c r="TMC68" s="561" t="s">
        <v>1505</v>
      </c>
      <c r="TMD68" s="561" t="s">
        <v>1505</v>
      </c>
      <c r="TME68" s="561" t="s">
        <v>1505</v>
      </c>
      <c r="TMF68" s="561" t="s">
        <v>1505</v>
      </c>
      <c r="TMG68" s="561" t="s">
        <v>1505</v>
      </c>
      <c r="TMH68" s="561" t="s">
        <v>1505</v>
      </c>
      <c r="TMI68" s="561" t="s">
        <v>1505</v>
      </c>
      <c r="TMJ68" s="561" t="s">
        <v>1505</v>
      </c>
      <c r="TMK68" s="561" t="s">
        <v>1505</v>
      </c>
      <c r="TML68" s="561" t="s">
        <v>1505</v>
      </c>
      <c r="TMM68" s="561" t="s">
        <v>1505</v>
      </c>
      <c r="TMN68" s="561" t="s">
        <v>1505</v>
      </c>
      <c r="TMO68" s="561" t="s">
        <v>1505</v>
      </c>
      <c r="TMP68" s="561" t="s">
        <v>1505</v>
      </c>
      <c r="TMQ68" s="561" t="s">
        <v>1505</v>
      </c>
      <c r="TMR68" s="561" t="s">
        <v>1505</v>
      </c>
      <c r="TMS68" s="561" t="s">
        <v>1505</v>
      </c>
      <c r="TMT68" s="561" t="s">
        <v>1505</v>
      </c>
      <c r="TMU68" s="561" t="s">
        <v>1505</v>
      </c>
      <c r="TMV68" s="561" t="s">
        <v>1505</v>
      </c>
      <c r="TMW68" s="561" t="s">
        <v>1505</v>
      </c>
      <c r="TMX68" s="561" t="s">
        <v>1505</v>
      </c>
      <c r="TMY68" s="561" t="s">
        <v>1505</v>
      </c>
      <c r="TMZ68" s="561" t="s">
        <v>1505</v>
      </c>
      <c r="TNA68" s="561" t="s">
        <v>1505</v>
      </c>
      <c r="TNB68" s="561" t="s">
        <v>1505</v>
      </c>
      <c r="TNC68" s="561" t="s">
        <v>1505</v>
      </c>
      <c r="TND68" s="561" t="s">
        <v>1505</v>
      </c>
      <c r="TNE68" s="561" t="s">
        <v>1505</v>
      </c>
      <c r="TNF68" s="561" t="s">
        <v>1505</v>
      </c>
      <c r="TNG68" s="561" t="s">
        <v>1505</v>
      </c>
      <c r="TNH68" s="561" t="s">
        <v>1505</v>
      </c>
      <c r="TNI68" s="561" t="s">
        <v>1505</v>
      </c>
      <c r="TNJ68" s="561" t="s">
        <v>1505</v>
      </c>
      <c r="TNK68" s="561" t="s">
        <v>1505</v>
      </c>
      <c r="TNL68" s="561" t="s">
        <v>1505</v>
      </c>
      <c r="TNM68" s="561" t="s">
        <v>1505</v>
      </c>
      <c r="TNN68" s="561" t="s">
        <v>1505</v>
      </c>
      <c r="TNO68" s="561" t="s">
        <v>1505</v>
      </c>
      <c r="TNP68" s="561" t="s">
        <v>1505</v>
      </c>
      <c r="TNQ68" s="561" t="s">
        <v>1505</v>
      </c>
      <c r="TNR68" s="561" t="s">
        <v>1505</v>
      </c>
      <c r="TNS68" s="561" t="s">
        <v>1505</v>
      </c>
      <c r="TNT68" s="561" t="s">
        <v>1505</v>
      </c>
      <c r="TNU68" s="561" t="s">
        <v>1505</v>
      </c>
      <c r="TNV68" s="561" t="s">
        <v>1505</v>
      </c>
      <c r="TNW68" s="561" t="s">
        <v>1505</v>
      </c>
      <c r="TNX68" s="561" t="s">
        <v>1505</v>
      </c>
      <c r="TNY68" s="561" t="s">
        <v>1505</v>
      </c>
      <c r="TNZ68" s="561" t="s">
        <v>1505</v>
      </c>
      <c r="TOA68" s="561" t="s">
        <v>1505</v>
      </c>
      <c r="TOB68" s="561" t="s">
        <v>1505</v>
      </c>
      <c r="TOC68" s="561" t="s">
        <v>1505</v>
      </c>
      <c r="TOD68" s="561" t="s">
        <v>1505</v>
      </c>
      <c r="TOE68" s="561" t="s">
        <v>1505</v>
      </c>
      <c r="TOF68" s="561" t="s">
        <v>1505</v>
      </c>
      <c r="TOG68" s="561" t="s">
        <v>1505</v>
      </c>
      <c r="TOH68" s="561" t="s">
        <v>1505</v>
      </c>
      <c r="TOI68" s="561" t="s">
        <v>1505</v>
      </c>
      <c r="TOJ68" s="561" t="s">
        <v>1505</v>
      </c>
      <c r="TOK68" s="561" t="s">
        <v>1505</v>
      </c>
      <c r="TOL68" s="561" t="s">
        <v>1505</v>
      </c>
      <c r="TOM68" s="561" t="s">
        <v>1505</v>
      </c>
      <c r="TON68" s="561" t="s">
        <v>1505</v>
      </c>
      <c r="TOO68" s="561" t="s">
        <v>1505</v>
      </c>
      <c r="TOP68" s="561" t="s">
        <v>1505</v>
      </c>
      <c r="TOQ68" s="561" t="s">
        <v>1505</v>
      </c>
      <c r="TOR68" s="561" t="s">
        <v>1505</v>
      </c>
      <c r="TOS68" s="561" t="s">
        <v>1505</v>
      </c>
      <c r="TOT68" s="561" t="s">
        <v>1505</v>
      </c>
      <c r="TOU68" s="561" t="s">
        <v>1505</v>
      </c>
      <c r="TOV68" s="561" t="s">
        <v>1505</v>
      </c>
      <c r="TOW68" s="561" t="s">
        <v>1505</v>
      </c>
      <c r="TOX68" s="561" t="s">
        <v>1505</v>
      </c>
      <c r="TOY68" s="561" t="s">
        <v>1505</v>
      </c>
      <c r="TOZ68" s="561" t="s">
        <v>1505</v>
      </c>
      <c r="TPA68" s="561" t="s">
        <v>1505</v>
      </c>
      <c r="TPB68" s="561" t="s">
        <v>1505</v>
      </c>
      <c r="TPC68" s="561" t="s">
        <v>1505</v>
      </c>
      <c r="TPD68" s="561" t="s">
        <v>1505</v>
      </c>
      <c r="TPE68" s="561" t="s">
        <v>1505</v>
      </c>
      <c r="TPF68" s="561" t="s">
        <v>1505</v>
      </c>
      <c r="TPG68" s="561" t="s">
        <v>1505</v>
      </c>
      <c r="TPH68" s="561" t="s">
        <v>1505</v>
      </c>
      <c r="TPI68" s="561" t="s">
        <v>1505</v>
      </c>
      <c r="TPJ68" s="561" t="s">
        <v>1505</v>
      </c>
      <c r="TPK68" s="561" t="s">
        <v>1505</v>
      </c>
      <c r="TPL68" s="561" t="s">
        <v>1505</v>
      </c>
      <c r="TPM68" s="561" t="s">
        <v>1505</v>
      </c>
      <c r="TPN68" s="561" t="s">
        <v>1505</v>
      </c>
      <c r="TPO68" s="561" t="s">
        <v>1505</v>
      </c>
      <c r="TPP68" s="561" t="s">
        <v>1505</v>
      </c>
      <c r="TPQ68" s="561" t="s">
        <v>1505</v>
      </c>
      <c r="TPR68" s="561" t="s">
        <v>1505</v>
      </c>
      <c r="TPS68" s="561" t="s">
        <v>1505</v>
      </c>
      <c r="TPT68" s="561" t="s">
        <v>1505</v>
      </c>
      <c r="TPU68" s="561" t="s">
        <v>1505</v>
      </c>
      <c r="TPV68" s="561" t="s">
        <v>1505</v>
      </c>
      <c r="TPW68" s="561" t="s">
        <v>1505</v>
      </c>
      <c r="TPX68" s="561" t="s">
        <v>1505</v>
      </c>
      <c r="TPY68" s="561" t="s">
        <v>1505</v>
      </c>
      <c r="TPZ68" s="561" t="s">
        <v>1505</v>
      </c>
      <c r="TQA68" s="561" t="s">
        <v>1505</v>
      </c>
      <c r="TQB68" s="561" t="s">
        <v>1505</v>
      </c>
      <c r="TQC68" s="561" t="s">
        <v>1505</v>
      </c>
      <c r="TQD68" s="561" t="s">
        <v>1505</v>
      </c>
      <c r="TQE68" s="561" t="s">
        <v>1505</v>
      </c>
      <c r="TQF68" s="561" t="s">
        <v>1505</v>
      </c>
      <c r="TQG68" s="561" t="s">
        <v>1505</v>
      </c>
      <c r="TQH68" s="561" t="s">
        <v>1505</v>
      </c>
      <c r="TQI68" s="561" t="s">
        <v>1505</v>
      </c>
      <c r="TQJ68" s="561" t="s">
        <v>1505</v>
      </c>
      <c r="TQK68" s="561" t="s">
        <v>1505</v>
      </c>
      <c r="TQL68" s="561" t="s">
        <v>1505</v>
      </c>
      <c r="TQM68" s="561" t="s">
        <v>1505</v>
      </c>
      <c r="TQN68" s="561" t="s">
        <v>1505</v>
      </c>
      <c r="TQO68" s="561" t="s">
        <v>1505</v>
      </c>
      <c r="TQP68" s="561" t="s">
        <v>1505</v>
      </c>
      <c r="TQQ68" s="561" t="s">
        <v>1505</v>
      </c>
      <c r="TQR68" s="561" t="s">
        <v>1505</v>
      </c>
      <c r="TQS68" s="561" t="s">
        <v>1505</v>
      </c>
      <c r="TQT68" s="561" t="s">
        <v>1505</v>
      </c>
      <c r="TQU68" s="561" t="s">
        <v>1505</v>
      </c>
      <c r="TQV68" s="561" t="s">
        <v>1505</v>
      </c>
      <c r="TQW68" s="561" t="s">
        <v>1505</v>
      </c>
      <c r="TQX68" s="561" t="s">
        <v>1505</v>
      </c>
      <c r="TQY68" s="561" t="s">
        <v>1505</v>
      </c>
      <c r="TQZ68" s="561" t="s">
        <v>1505</v>
      </c>
      <c r="TRA68" s="561" t="s">
        <v>1505</v>
      </c>
      <c r="TRB68" s="561" t="s">
        <v>1505</v>
      </c>
      <c r="TRC68" s="561" t="s">
        <v>1505</v>
      </c>
      <c r="TRD68" s="561" t="s">
        <v>1505</v>
      </c>
      <c r="TRE68" s="561" t="s">
        <v>1505</v>
      </c>
      <c r="TRF68" s="561" t="s">
        <v>1505</v>
      </c>
      <c r="TRG68" s="561" t="s">
        <v>1505</v>
      </c>
      <c r="TRH68" s="561" t="s">
        <v>1505</v>
      </c>
      <c r="TRI68" s="561" t="s">
        <v>1505</v>
      </c>
      <c r="TRJ68" s="561" t="s">
        <v>1505</v>
      </c>
      <c r="TRK68" s="561" t="s">
        <v>1505</v>
      </c>
      <c r="TRL68" s="561" t="s">
        <v>1505</v>
      </c>
      <c r="TRM68" s="561" t="s">
        <v>1505</v>
      </c>
      <c r="TRN68" s="561" t="s">
        <v>1505</v>
      </c>
      <c r="TRO68" s="561" t="s">
        <v>1505</v>
      </c>
      <c r="TRP68" s="561" t="s">
        <v>1505</v>
      </c>
      <c r="TRQ68" s="561" t="s">
        <v>1505</v>
      </c>
      <c r="TRR68" s="561" t="s">
        <v>1505</v>
      </c>
      <c r="TRS68" s="561" t="s">
        <v>1505</v>
      </c>
      <c r="TRT68" s="561" t="s">
        <v>1505</v>
      </c>
      <c r="TRU68" s="561" t="s">
        <v>1505</v>
      </c>
      <c r="TRV68" s="561" t="s">
        <v>1505</v>
      </c>
      <c r="TRW68" s="561" t="s">
        <v>1505</v>
      </c>
      <c r="TRX68" s="561" t="s">
        <v>1505</v>
      </c>
      <c r="TRY68" s="561" t="s">
        <v>1505</v>
      </c>
      <c r="TRZ68" s="561" t="s">
        <v>1505</v>
      </c>
      <c r="TSA68" s="561" t="s">
        <v>1505</v>
      </c>
      <c r="TSB68" s="561" t="s">
        <v>1505</v>
      </c>
      <c r="TSC68" s="561" t="s">
        <v>1505</v>
      </c>
      <c r="TSD68" s="561" t="s">
        <v>1505</v>
      </c>
      <c r="TSE68" s="561" t="s">
        <v>1505</v>
      </c>
      <c r="TSF68" s="561" t="s">
        <v>1505</v>
      </c>
      <c r="TSG68" s="561" t="s">
        <v>1505</v>
      </c>
      <c r="TSH68" s="561" t="s">
        <v>1505</v>
      </c>
      <c r="TSI68" s="561" t="s">
        <v>1505</v>
      </c>
      <c r="TSJ68" s="561" t="s">
        <v>1505</v>
      </c>
      <c r="TSK68" s="561" t="s">
        <v>1505</v>
      </c>
      <c r="TSL68" s="561" t="s">
        <v>1505</v>
      </c>
      <c r="TSM68" s="561" t="s">
        <v>1505</v>
      </c>
      <c r="TSN68" s="561" t="s">
        <v>1505</v>
      </c>
      <c r="TSO68" s="561" t="s">
        <v>1505</v>
      </c>
      <c r="TSP68" s="561" t="s">
        <v>1505</v>
      </c>
      <c r="TSQ68" s="561" t="s">
        <v>1505</v>
      </c>
      <c r="TSR68" s="561" t="s">
        <v>1505</v>
      </c>
      <c r="TSS68" s="561" t="s">
        <v>1505</v>
      </c>
      <c r="TST68" s="561" t="s">
        <v>1505</v>
      </c>
      <c r="TSU68" s="561" t="s">
        <v>1505</v>
      </c>
      <c r="TSV68" s="561" t="s">
        <v>1505</v>
      </c>
      <c r="TSW68" s="561" t="s">
        <v>1505</v>
      </c>
      <c r="TSX68" s="561" t="s">
        <v>1505</v>
      </c>
      <c r="TSY68" s="561" t="s">
        <v>1505</v>
      </c>
      <c r="TSZ68" s="561" t="s">
        <v>1505</v>
      </c>
      <c r="TTA68" s="561" t="s">
        <v>1505</v>
      </c>
      <c r="TTB68" s="561" t="s">
        <v>1505</v>
      </c>
      <c r="TTC68" s="561" t="s">
        <v>1505</v>
      </c>
      <c r="TTD68" s="561" t="s">
        <v>1505</v>
      </c>
      <c r="TTE68" s="561" t="s">
        <v>1505</v>
      </c>
      <c r="TTF68" s="561" t="s">
        <v>1505</v>
      </c>
      <c r="TTG68" s="561" t="s">
        <v>1505</v>
      </c>
      <c r="TTH68" s="561" t="s">
        <v>1505</v>
      </c>
      <c r="TTI68" s="561" t="s">
        <v>1505</v>
      </c>
      <c r="TTJ68" s="561" t="s">
        <v>1505</v>
      </c>
      <c r="TTK68" s="561" t="s">
        <v>1505</v>
      </c>
      <c r="TTL68" s="561" t="s">
        <v>1505</v>
      </c>
      <c r="TTM68" s="561" t="s">
        <v>1505</v>
      </c>
      <c r="TTN68" s="561" t="s">
        <v>1505</v>
      </c>
      <c r="TTO68" s="561" t="s">
        <v>1505</v>
      </c>
      <c r="TTP68" s="561" t="s">
        <v>1505</v>
      </c>
      <c r="TTQ68" s="561" t="s">
        <v>1505</v>
      </c>
      <c r="TTR68" s="561" t="s">
        <v>1505</v>
      </c>
      <c r="TTS68" s="561" t="s">
        <v>1505</v>
      </c>
      <c r="TTT68" s="561" t="s">
        <v>1505</v>
      </c>
      <c r="TTU68" s="561" t="s">
        <v>1505</v>
      </c>
      <c r="TTV68" s="561" t="s">
        <v>1505</v>
      </c>
      <c r="TTW68" s="561" t="s">
        <v>1505</v>
      </c>
      <c r="TTX68" s="561" t="s">
        <v>1505</v>
      </c>
      <c r="TTY68" s="561" t="s">
        <v>1505</v>
      </c>
      <c r="TTZ68" s="561" t="s">
        <v>1505</v>
      </c>
      <c r="TUA68" s="561" t="s">
        <v>1505</v>
      </c>
      <c r="TUB68" s="561" t="s">
        <v>1505</v>
      </c>
      <c r="TUC68" s="561" t="s">
        <v>1505</v>
      </c>
      <c r="TUD68" s="561" t="s">
        <v>1505</v>
      </c>
      <c r="TUE68" s="561" t="s">
        <v>1505</v>
      </c>
      <c r="TUF68" s="561" t="s">
        <v>1505</v>
      </c>
      <c r="TUG68" s="561" t="s">
        <v>1505</v>
      </c>
      <c r="TUH68" s="561" t="s">
        <v>1505</v>
      </c>
      <c r="TUI68" s="561" t="s">
        <v>1505</v>
      </c>
      <c r="TUJ68" s="561" t="s">
        <v>1505</v>
      </c>
      <c r="TUK68" s="561" t="s">
        <v>1505</v>
      </c>
      <c r="TUL68" s="561" t="s">
        <v>1505</v>
      </c>
      <c r="TUM68" s="561" t="s">
        <v>1505</v>
      </c>
      <c r="TUN68" s="561" t="s">
        <v>1505</v>
      </c>
      <c r="TUO68" s="561" t="s">
        <v>1505</v>
      </c>
      <c r="TUP68" s="561" t="s">
        <v>1505</v>
      </c>
      <c r="TUQ68" s="561" t="s">
        <v>1505</v>
      </c>
      <c r="TUR68" s="561" t="s">
        <v>1505</v>
      </c>
      <c r="TUS68" s="561" t="s">
        <v>1505</v>
      </c>
      <c r="TUT68" s="561" t="s">
        <v>1505</v>
      </c>
      <c r="TUU68" s="561" t="s">
        <v>1505</v>
      </c>
      <c r="TUV68" s="561" t="s">
        <v>1505</v>
      </c>
      <c r="TUW68" s="561" t="s">
        <v>1505</v>
      </c>
      <c r="TUX68" s="561" t="s">
        <v>1505</v>
      </c>
      <c r="TUY68" s="561" t="s">
        <v>1505</v>
      </c>
      <c r="TUZ68" s="561" t="s">
        <v>1505</v>
      </c>
      <c r="TVA68" s="561" t="s">
        <v>1505</v>
      </c>
      <c r="TVB68" s="561" t="s">
        <v>1505</v>
      </c>
      <c r="TVC68" s="561" t="s">
        <v>1505</v>
      </c>
      <c r="TVD68" s="561" t="s">
        <v>1505</v>
      </c>
      <c r="TVE68" s="561" t="s">
        <v>1505</v>
      </c>
      <c r="TVF68" s="561" t="s">
        <v>1505</v>
      </c>
      <c r="TVG68" s="561" t="s">
        <v>1505</v>
      </c>
      <c r="TVH68" s="561" t="s">
        <v>1505</v>
      </c>
      <c r="TVI68" s="561" t="s">
        <v>1505</v>
      </c>
      <c r="TVJ68" s="561" t="s">
        <v>1505</v>
      </c>
      <c r="TVK68" s="561" t="s">
        <v>1505</v>
      </c>
      <c r="TVL68" s="561" t="s">
        <v>1505</v>
      </c>
      <c r="TVM68" s="561" t="s">
        <v>1505</v>
      </c>
      <c r="TVN68" s="561" t="s">
        <v>1505</v>
      </c>
      <c r="TVO68" s="561" t="s">
        <v>1505</v>
      </c>
      <c r="TVP68" s="561" t="s">
        <v>1505</v>
      </c>
      <c r="TVQ68" s="561" t="s">
        <v>1505</v>
      </c>
      <c r="TVR68" s="561" t="s">
        <v>1505</v>
      </c>
      <c r="TVS68" s="561" t="s">
        <v>1505</v>
      </c>
      <c r="TVT68" s="561" t="s">
        <v>1505</v>
      </c>
      <c r="TVU68" s="561" t="s">
        <v>1505</v>
      </c>
      <c r="TVV68" s="561" t="s">
        <v>1505</v>
      </c>
      <c r="TVW68" s="561" t="s">
        <v>1505</v>
      </c>
      <c r="TVX68" s="561" t="s">
        <v>1505</v>
      </c>
      <c r="TVY68" s="561" t="s">
        <v>1505</v>
      </c>
      <c r="TVZ68" s="561" t="s">
        <v>1505</v>
      </c>
      <c r="TWA68" s="561" t="s">
        <v>1505</v>
      </c>
      <c r="TWB68" s="561" t="s">
        <v>1505</v>
      </c>
      <c r="TWC68" s="561" t="s">
        <v>1505</v>
      </c>
      <c r="TWD68" s="561" t="s">
        <v>1505</v>
      </c>
      <c r="TWE68" s="561" t="s">
        <v>1505</v>
      </c>
      <c r="TWF68" s="561" t="s">
        <v>1505</v>
      </c>
      <c r="TWG68" s="561" t="s">
        <v>1505</v>
      </c>
      <c r="TWH68" s="561" t="s">
        <v>1505</v>
      </c>
      <c r="TWI68" s="561" t="s">
        <v>1505</v>
      </c>
      <c r="TWJ68" s="561" t="s">
        <v>1505</v>
      </c>
      <c r="TWK68" s="561" t="s">
        <v>1505</v>
      </c>
      <c r="TWL68" s="561" t="s">
        <v>1505</v>
      </c>
      <c r="TWM68" s="561" t="s">
        <v>1505</v>
      </c>
      <c r="TWN68" s="561" t="s">
        <v>1505</v>
      </c>
      <c r="TWO68" s="561" t="s">
        <v>1505</v>
      </c>
      <c r="TWP68" s="561" t="s">
        <v>1505</v>
      </c>
      <c r="TWQ68" s="561" t="s">
        <v>1505</v>
      </c>
      <c r="TWR68" s="561" t="s">
        <v>1505</v>
      </c>
      <c r="TWS68" s="561" t="s">
        <v>1505</v>
      </c>
      <c r="TWT68" s="561" t="s">
        <v>1505</v>
      </c>
      <c r="TWU68" s="561" t="s">
        <v>1505</v>
      </c>
      <c r="TWV68" s="561" t="s">
        <v>1505</v>
      </c>
      <c r="TWW68" s="561" t="s">
        <v>1505</v>
      </c>
      <c r="TWX68" s="561" t="s">
        <v>1505</v>
      </c>
      <c r="TWY68" s="561" t="s">
        <v>1505</v>
      </c>
      <c r="TWZ68" s="561" t="s">
        <v>1505</v>
      </c>
      <c r="TXA68" s="561" t="s">
        <v>1505</v>
      </c>
      <c r="TXB68" s="561" t="s">
        <v>1505</v>
      </c>
      <c r="TXC68" s="561" t="s">
        <v>1505</v>
      </c>
      <c r="TXD68" s="561" t="s">
        <v>1505</v>
      </c>
      <c r="TXE68" s="561" t="s">
        <v>1505</v>
      </c>
      <c r="TXF68" s="561" t="s">
        <v>1505</v>
      </c>
      <c r="TXG68" s="561" t="s">
        <v>1505</v>
      </c>
      <c r="TXH68" s="561" t="s">
        <v>1505</v>
      </c>
      <c r="TXI68" s="561" t="s">
        <v>1505</v>
      </c>
      <c r="TXJ68" s="561" t="s">
        <v>1505</v>
      </c>
      <c r="TXK68" s="561" t="s">
        <v>1505</v>
      </c>
      <c r="TXL68" s="561" t="s">
        <v>1505</v>
      </c>
      <c r="TXM68" s="561" t="s">
        <v>1505</v>
      </c>
      <c r="TXN68" s="561" t="s">
        <v>1505</v>
      </c>
      <c r="TXO68" s="561" t="s">
        <v>1505</v>
      </c>
      <c r="TXP68" s="561" t="s">
        <v>1505</v>
      </c>
      <c r="TXQ68" s="561" t="s">
        <v>1505</v>
      </c>
      <c r="TXR68" s="561" t="s">
        <v>1505</v>
      </c>
      <c r="TXS68" s="561" t="s">
        <v>1505</v>
      </c>
      <c r="TXT68" s="561" t="s">
        <v>1505</v>
      </c>
      <c r="TXU68" s="561" t="s">
        <v>1505</v>
      </c>
      <c r="TXV68" s="561" t="s">
        <v>1505</v>
      </c>
      <c r="TXW68" s="561" t="s">
        <v>1505</v>
      </c>
      <c r="TXX68" s="561" t="s">
        <v>1505</v>
      </c>
      <c r="TXY68" s="561" t="s">
        <v>1505</v>
      </c>
      <c r="TXZ68" s="561" t="s">
        <v>1505</v>
      </c>
      <c r="TYA68" s="561" t="s">
        <v>1505</v>
      </c>
      <c r="TYB68" s="561" t="s">
        <v>1505</v>
      </c>
      <c r="TYC68" s="561" t="s">
        <v>1505</v>
      </c>
      <c r="TYD68" s="561" t="s">
        <v>1505</v>
      </c>
      <c r="TYE68" s="561" t="s">
        <v>1505</v>
      </c>
      <c r="TYF68" s="561" t="s">
        <v>1505</v>
      </c>
      <c r="TYG68" s="561" t="s">
        <v>1505</v>
      </c>
      <c r="TYH68" s="561" t="s">
        <v>1505</v>
      </c>
      <c r="TYI68" s="561" t="s">
        <v>1505</v>
      </c>
      <c r="TYJ68" s="561" t="s">
        <v>1505</v>
      </c>
      <c r="TYK68" s="561" t="s">
        <v>1505</v>
      </c>
      <c r="TYL68" s="561" t="s">
        <v>1505</v>
      </c>
      <c r="TYM68" s="561" t="s">
        <v>1505</v>
      </c>
      <c r="TYN68" s="561" t="s">
        <v>1505</v>
      </c>
      <c r="TYO68" s="561" t="s">
        <v>1505</v>
      </c>
      <c r="TYP68" s="561" t="s">
        <v>1505</v>
      </c>
      <c r="TYQ68" s="561" t="s">
        <v>1505</v>
      </c>
      <c r="TYR68" s="561" t="s">
        <v>1505</v>
      </c>
      <c r="TYS68" s="561" t="s">
        <v>1505</v>
      </c>
      <c r="TYT68" s="561" t="s">
        <v>1505</v>
      </c>
      <c r="TYU68" s="561" t="s">
        <v>1505</v>
      </c>
      <c r="TYV68" s="561" t="s">
        <v>1505</v>
      </c>
      <c r="TYW68" s="561" t="s">
        <v>1505</v>
      </c>
      <c r="TYX68" s="561" t="s">
        <v>1505</v>
      </c>
      <c r="TYY68" s="561" t="s">
        <v>1505</v>
      </c>
      <c r="TYZ68" s="561" t="s">
        <v>1505</v>
      </c>
      <c r="TZA68" s="561" t="s">
        <v>1505</v>
      </c>
      <c r="TZB68" s="561" t="s">
        <v>1505</v>
      </c>
      <c r="TZC68" s="561" t="s">
        <v>1505</v>
      </c>
      <c r="TZD68" s="561" t="s">
        <v>1505</v>
      </c>
      <c r="TZE68" s="561" t="s">
        <v>1505</v>
      </c>
      <c r="TZF68" s="561" t="s">
        <v>1505</v>
      </c>
      <c r="TZG68" s="561" t="s">
        <v>1505</v>
      </c>
      <c r="TZH68" s="561" t="s">
        <v>1505</v>
      </c>
      <c r="TZI68" s="561" t="s">
        <v>1505</v>
      </c>
      <c r="TZJ68" s="561" t="s">
        <v>1505</v>
      </c>
      <c r="TZK68" s="561" t="s">
        <v>1505</v>
      </c>
      <c r="TZL68" s="561" t="s">
        <v>1505</v>
      </c>
      <c r="TZM68" s="561" t="s">
        <v>1505</v>
      </c>
      <c r="TZN68" s="561" t="s">
        <v>1505</v>
      </c>
      <c r="TZO68" s="561" t="s">
        <v>1505</v>
      </c>
      <c r="TZP68" s="561" t="s">
        <v>1505</v>
      </c>
      <c r="TZQ68" s="561" t="s">
        <v>1505</v>
      </c>
      <c r="TZR68" s="561" t="s">
        <v>1505</v>
      </c>
      <c r="TZS68" s="561" t="s">
        <v>1505</v>
      </c>
      <c r="TZT68" s="561" t="s">
        <v>1505</v>
      </c>
      <c r="TZU68" s="561" t="s">
        <v>1505</v>
      </c>
      <c r="TZV68" s="561" t="s">
        <v>1505</v>
      </c>
      <c r="TZW68" s="561" t="s">
        <v>1505</v>
      </c>
      <c r="TZX68" s="561" t="s">
        <v>1505</v>
      </c>
      <c r="TZY68" s="561" t="s">
        <v>1505</v>
      </c>
      <c r="TZZ68" s="561" t="s">
        <v>1505</v>
      </c>
      <c r="UAA68" s="561" t="s">
        <v>1505</v>
      </c>
      <c r="UAB68" s="561" t="s">
        <v>1505</v>
      </c>
      <c r="UAC68" s="561" t="s">
        <v>1505</v>
      </c>
      <c r="UAD68" s="561" t="s">
        <v>1505</v>
      </c>
      <c r="UAE68" s="561" t="s">
        <v>1505</v>
      </c>
      <c r="UAF68" s="561" t="s">
        <v>1505</v>
      </c>
      <c r="UAG68" s="561" t="s">
        <v>1505</v>
      </c>
      <c r="UAH68" s="561" t="s">
        <v>1505</v>
      </c>
      <c r="UAI68" s="561" t="s">
        <v>1505</v>
      </c>
      <c r="UAJ68" s="561" t="s">
        <v>1505</v>
      </c>
      <c r="UAK68" s="561" t="s">
        <v>1505</v>
      </c>
      <c r="UAL68" s="561" t="s">
        <v>1505</v>
      </c>
      <c r="UAM68" s="561" t="s">
        <v>1505</v>
      </c>
      <c r="UAN68" s="561" t="s">
        <v>1505</v>
      </c>
      <c r="UAO68" s="561" t="s">
        <v>1505</v>
      </c>
      <c r="UAP68" s="561" t="s">
        <v>1505</v>
      </c>
      <c r="UAQ68" s="561" t="s">
        <v>1505</v>
      </c>
      <c r="UAR68" s="561" t="s">
        <v>1505</v>
      </c>
      <c r="UAS68" s="561" t="s">
        <v>1505</v>
      </c>
      <c r="UAT68" s="561" t="s">
        <v>1505</v>
      </c>
      <c r="UAU68" s="561" t="s">
        <v>1505</v>
      </c>
      <c r="UAV68" s="561" t="s">
        <v>1505</v>
      </c>
      <c r="UAW68" s="561" t="s">
        <v>1505</v>
      </c>
      <c r="UAX68" s="561" t="s">
        <v>1505</v>
      </c>
      <c r="UAY68" s="561" t="s">
        <v>1505</v>
      </c>
      <c r="UAZ68" s="561" t="s">
        <v>1505</v>
      </c>
      <c r="UBA68" s="561" t="s">
        <v>1505</v>
      </c>
      <c r="UBB68" s="561" t="s">
        <v>1505</v>
      </c>
      <c r="UBC68" s="561" t="s">
        <v>1505</v>
      </c>
      <c r="UBD68" s="561" t="s">
        <v>1505</v>
      </c>
      <c r="UBE68" s="561" t="s">
        <v>1505</v>
      </c>
      <c r="UBF68" s="561" t="s">
        <v>1505</v>
      </c>
      <c r="UBG68" s="561" t="s">
        <v>1505</v>
      </c>
      <c r="UBH68" s="561" t="s">
        <v>1505</v>
      </c>
      <c r="UBI68" s="561" t="s">
        <v>1505</v>
      </c>
      <c r="UBJ68" s="561" t="s">
        <v>1505</v>
      </c>
      <c r="UBK68" s="561" t="s">
        <v>1505</v>
      </c>
      <c r="UBL68" s="561" t="s">
        <v>1505</v>
      </c>
      <c r="UBM68" s="561" t="s">
        <v>1505</v>
      </c>
      <c r="UBN68" s="561" t="s">
        <v>1505</v>
      </c>
      <c r="UBO68" s="561" t="s">
        <v>1505</v>
      </c>
      <c r="UBP68" s="561" t="s">
        <v>1505</v>
      </c>
      <c r="UBQ68" s="561" t="s">
        <v>1505</v>
      </c>
      <c r="UBR68" s="561" t="s">
        <v>1505</v>
      </c>
      <c r="UBS68" s="561" t="s">
        <v>1505</v>
      </c>
      <c r="UBT68" s="561" t="s">
        <v>1505</v>
      </c>
      <c r="UBU68" s="561" t="s">
        <v>1505</v>
      </c>
      <c r="UBV68" s="561" t="s">
        <v>1505</v>
      </c>
      <c r="UBW68" s="561" t="s">
        <v>1505</v>
      </c>
      <c r="UBX68" s="561" t="s">
        <v>1505</v>
      </c>
      <c r="UBY68" s="561" t="s">
        <v>1505</v>
      </c>
      <c r="UBZ68" s="561" t="s">
        <v>1505</v>
      </c>
      <c r="UCA68" s="561" t="s">
        <v>1505</v>
      </c>
      <c r="UCB68" s="561" t="s">
        <v>1505</v>
      </c>
      <c r="UCC68" s="561" t="s">
        <v>1505</v>
      </c>
      <c r="UCD68" s="561" t="s">
        <v>1505</v>
      </c>
      <c r="UCE68" s="561" t="s">
        <v>1505</v>
      </c>
      <c r="UCF68" s="561" t="s">
        <v>1505</v>
      </c>
      <c r="UCG68" s="561" t="s">
        <v>1505</v>
      </c>
      <c r="UCH68" s="561" t="s">
        <v>1505</v>
      </c>
      <c r="UCI68" s="561" t="s">
        <v>1505</v>
      </c>
      <c r="UCJ68" s="561" t="s">
        <v>1505</v>
      </c>
      <c r="UCK68" s="561" t="s">
        <v>1505</v>
      </c>
      <c r="UCL68" s="561" t="s">
        <v>1505</v>
      </c>
      <c r="UCM68" s="561" t="s">
        <v>1505</v>
      </c>
      <c r="UCN68" s="561" t="s">
        <v>1505</v>
      </c>
      <c r="UCO68" s="561" t="s">
        <v>1505</v>
      </c>
      <c r="UCP68" s="561" t="s">
        <v>1505</v>
      </c>
      <c r="UCQ68" s="561" t="s">
        <v>1505</v>
      </c>
      <c r="UCR68" s="561" t="s">
        <v>1505</v>
      </c>
      <c r="UCS68" s="561" t="s">
        <v>1505</v>
      </c>
      <c r="UCT68" s="561" t="s">
        <v>1505</v>
      </c>
      <c r="UCU68" s="561" t="s">
        <v>1505</v>
      </c>
      <c r="UCV68" s="561" t="s">
        <v>1505</v>
      </c>
      <c r="UCW68" s="561" t="s">
        <v>1505</v>
      </c>
      <c r="UCX68" s="561" t="s">
        <v>1505</v>
      </c>
      <c r="UCY68" s="561" t="s">
        <v>1505</v>
      </c>
      <c r="UCZ68" s="561" t="s">
        <v>1505</v>
      </c>
      <c r="UDA68" s="561" t="s">
        <v>1505</v>
      </c>
      <c r="UDB68" s="561" t="s">
        <v>1505</v>
      </c>
      <c r="UDC68" s="561" t="s">
        <v>1505</v>
      </c>
      <c r="UDD68" s="561" t="s">
        <v>1505</v>
      </c>
      <c r="UDE68" s="561" t="s">
        <v>1505</v>
      </c>
      <c r="UDF68" s="561" t="s">
        <v>1505</v>
      </c>
      <c r="UDG68" s="561" t="s">
        <v>1505</v>
      </c>
      <c r="UDH68" s="561" t="s">
        <v>1505</v>
      </c>
      <c r="UDI68" s="561" t="s">
        <v>1505</v>
      </c>
      <c r="UDJ68" s="561" t="s">
        <v>1505</v>
      </c>
      <c r="UDK68" s="561" t="s">
        <v>1505</v>
      </c>
      <c r="UDL68" s="561" t="s">
        <v>1505</v>
      </c>
      <c r="UDM68" s="561" t="s">
        <v>1505</v>
      </c>
      <c r="UDN68" s="561" t="s">
        <v>1505</v>
      </c>
      <c r="UDO68" s="561" t="s">
        <v>1505</v>
      </c>
      <c r="UDP68" s="561" t="s">
        <v>1505</v>
      </c>
      <c r="UDQ68" s="561" t="s">
        <v>1505</v>
      </c>
      <c r="UDR68" s="561" t="s">
        <v>1505</v>
      </c>
      <c r="UDS68" s="561" t="s">
        <v>1505</v>
      </c>
      <c r="UDT68" s="561" t="s">
        <v>1505</v>
      </c>
      <c r="UDU68" s="561" t="s">
        <v>1505</v>
      </c>
      <c r="UDV68" s="561" t="s">
        <v>1505</v>
      </c>
      <c r="UDW68" s="561" t="s">
        <v>1505</v>
      </c>
      <c r="UDX68" s="561" t="s">
        <v>1505</v>
      </c>
      <c r="UDY68" s="561" t="s">
        <v>1505</v>
      </c>
      <c r="UDZ68" s="561" t="s">
        <v>1505</v>
      </c>
      <c r="UEA68" s="561" t="s">
        <v>1505</v>
      </c>
      <c r="UEB68" s="561" t="s">
        <v>1505</v>
      </c>
      <c r="UEC68" s="561" t="s">
        <v>1505</v>
      </c>
      <c r="UED68" s="561" t="s">
        <v>1505</v>
      </c>
      <c r="UEE68" s="561" t="s">
        <v>1505</v>
      </c>
      <c r="UEF68" s="561" t="s">
        <v>1505</v>
      </c>
      <c r="UEG68" s="561" t="s">
        <v>1505</v>
      </c>
      <c r="UEH68" s="561" t="s">
        <v>1505</v>
      </c>
      <c r="UEI68" s="561" t="s">
        <v>1505</v>
      </c>
      <c r="UEJ68" s="561" t="s">
        <v>1505</v>
      </c>
      <c r="UEK68" s="561" t="s">
        <v>1505</v>
      </c>
      <c r="UEL68" s="561" t="s">
        <v>1505</v>
      </c>
      <c r="UEM68" s="561" t="s">
        <v>1505</v>
      </c>
      <c r="UEN68" s="561" t="s">
        <v>1505</v>
      </c>
      <c r="UEO68" s="561" t="s">
        <v>1505</v>
      </c>
      <c r="UEP68" s="561" t="s">
        <v>1505</v>
      </c>
      <c r="UEQ68" s="561" t="s">
        <v>1505</v>
      </c>
      <c r="UER68" s="561" t="s">
        <v>1505</v>
      </c>
      <c r="UES68" s="561" t="s">
        <v>1505</v>
      </c>
      <c r="UET68" s="561" t="s">
        <v>1505</v>
      </c>
      <c r="UEU68" s="561" t="s">
        <v>1505</v>
      </c>
      <c r="UEV68" s="561" t="s">
        <v>1505</v>
      </c>
      <c r="UEW68" s="561" t="s">
        <v>1505</v>
      </c>
      <c r="UEX68" s="561" t="s">
        <v>1505</v>
      </c>
      <c r="UEY68" s="561" t="s">
        <v>1505</v>
      </c>
      <c r="UEZ68" s="561" t="s">
        <v>1505</v>
      </c>
      <c r="UFA68" s="561" t="s">
        <v>1505</v>
      </c>
      <c r="UFB68" s="561" t="s">
        <v>1505</v>
      </c>
      <c r="UFC68" s="561" t="s">
        <v>1505</v>
      </c>
      <c r="UFD68" s="561" t="s">
        <v>1505</v>
      </c>
      <c r="UFE68" s="561" t="s">
        <v>1505</v>
      </c>
      <c r="UFF68" s="561" t="s">
        <v>1505</v>
      </c>
      <c r="UFG68" s="561" t="s">
        <v>1505</v>
      </c>
      <c r="UFH68" s="561" t="s">
        <v>1505</v>
      </c>
      <c r="UFI68" s="561" t="s">
        <v>1505</v>
      </c>
      <c r="UFJ68" s="561" t="s">
        <v>1505</v>
      </c>
      <c r="UFK68" s="561" t="s">
        <v>1505</v>
      </c>
      <c r="UFL68" s="561" t="s">
        <v>1505</v>
      </c>
      <c r="UFM68" s="561" t="s">
        <v>1505</v>
      </c>
      <c r="UFN68" s="561" t="s">
        <v>1505</v>
      </c>
      <c r="UFO68" s="561" t="s">
        <v>1505</v>
      </c>
      <c r="UFP68" s="561" t="s">
        <v>1505</v>
      </c>
      <c r="UFQ68" s="561" t="s">
        <v>1505</v>
      </c>
      <c r="UFR68" s="561" t="s">
        <v>1505</v>
      </c>
      <c r="UFS68" s="561" t="s">
        <v>1505</v>
      </c>
      <c r="UFT68" s="561" t="s">
        <v>1505</v>
      </c>
      <c r="UFU68" s="561" t="s">
        <v>1505</v>
      </c>
      <c r="UFV68" s="561" t="s">
        <v>1505</v>
      </c>
      <c r="UFW68" s="561" t="s">
        <v>1505</v>
      </c>
      <c r="UFX68" s="561" t="s">
        <v>1505</v>
      </c>
      <c r="UFY68" s="561" t="s">
        <v>1505</v>
      </c>
      <c r="UFZ68" s="561" t="s">
        <v>1505</v>
      </c>
      <c r="UGA68" s="561" t="s">
        <v>1505</v>
      </c>
      <c r="UGB68" s="561" t="s">
        <v>1505</v>
      </c>
      <c r="UGC68" s="561" t="s">
        <v>1505</v>
      </c>
      <c r="UGD68" s="561" t="s">
        <v>1505</v>
      </c>
      <c r="UGE68" s="561" t="s">
        <v>1505</v>
      </c>
      <c r="UGF68" s="561" t="s">
        <v>1505</v>
      </c>
      <c r="UGG68" s="561" t="s">
        <v>1505</v>
      </c>
      <c r="UGH68" s="561" t="s">
        <v>1505</v>
      </c>
      <c r="UGI68" s="561" t="s">
        <v>1505</v>
      </c>
      <c r="UGJ68" s="561" t="s">
        <v>1505</v>
      </c>
      <c r="UGK68" s="561" t="s">
        <v>1505</v>
      </c>
      <c r="UGL68" s="561" t="s">
        <v>1505</v>
      </c>
      <c r="UGM68" s="561" t="s">
        <v>1505</v>
      </c>
      <c r="UGN68" s="561" t="s">
        <v>1505</v>
      </c>
      <c r="UGO68" s="561" t="s">
        <v>1505</v>
      </c>
      <c r="UGP68" s="561" t="s">
        <v>1505</v>
      </c>
      <c r="UGQ68" s="561" t="s">
        <v>1505</v>
      </c>
      <c r="UGR68" s="561" t="s">
        <v>1505</v>
      </c>
      <c r="UGS68" s="561" t="s">
        <v>1505</v>
      </c>
      <c r="UGT68" s="561" t="s">
        <v>1505</v>
      </c>
      <c r="UGU68" s="561" t="s">
        <v>1505</v>
      </c>
      <c r="UGV68" s="561" t="s">
        <v>1505</v>
      </c>
      <c r="UGW68" s="561" t="s">
        <v>1505</v>
      </c>
      <c r="UGX68" s="561" t="s">
        <v>1505</v>
      </c>
      <c r="UGY68" s="561" t="s">
        <v>1505</v>
      </c>
      <c r="UGZ68" s="561" t="s">
        <v>1505</v>
      </c>
      <c r="UHA68" s="561" t="s">
        <v>1505</v>
      </c>
      <c r="UHB68" s="561" t="s">
        <v>1505</v>
      </c>
      <c r="UHC68" s="561" t="s">
        <v>1505</v>
      </c>
      <c r="UHD68" s="561" t="s">
        <v>1505</v>
      </c>
      <c r="UHE68" s="561" t="s">
        <v>1505</v>
      </c>
      <c r="UHF68" s="561" t="s">
        <v>1505</v>
      </c>
      <c r="UHG68" s="561" t="s">
        <v>1505</v>
      </c>
      <c r="UHH68" s="561" t="s">
        <v>1505</v>
      </c>
      <c r="UHI68" s="561" t="s">
        <v>1505</v>
      </c>
      <c r="UHJ68" s="561" t="s">
        <v>1505</v>
      </c>
      <c r="UHK68" s="561" t="s">
        <v>1505</v>
      </c>
      <c r="UHL68" s="561" t="s">
        <v>1505</v>
      </c>
      <c r="UHM68" s="561" t="s">
        <v>1505</v>
      </c>
      <c r="UHN68" s="561" t="s">
        <v>1505</v>
      </c>
      <c r="UHO68" s="561" t="s">
        <v>1505</v>
      </c>
      <c r="UHP68" s="561" t="s">
        <v>1505</v>
      </c>
      <c r="UHQ68" s="561" t="s">
        <v>1505</v>
      </c>
      <c r="UHR68" s="561" t="s">
        <v>1505</v>
      </c>
      <c r="UHS68" s="561" t="s">
        <v>1505</v>
      </c>
      <c r="UHT68" s="561" t="s">
        <v>1505</v>
      </c>
      <c r="UHU68" s="561" t="s">
        <v>1505</v>
      </c>
      <c r="UHV68" s="561" t="s">
        <v>1505</v>
      </c>
      <c r="UHW68" s="561" t="s">
        <v>1505</v>
      </c>
      <c r="UHX68" s="561" t="s">
        <v>1505</v>
      </c>
      <c r="UHY68" s="561" t="s">
        <v>1505</v>
      </c>
      <c r="UHZ68" s="561" t="s">
        <v>1505</v>
      </c>
      <c r="UIA68" s="561" t="s">
        <v>1505</v>
      </c>
      <c r="UIB68" s="561" t="s">
        <v>1505</v>
      </c>
      <c r="UIC68" s="561" t="s">
        <v>1505</v>
      </c>
      <c r="UID68" s="561" t="s">
        <v>1505</v>
      </c>
      <c r="UIE68" s="561" t="s">
        <v>1505</v>
      </c>
      <c r="UIF68" s="561" t="s">
        <v>1505</v>
      </c>
      <c r="UIG68" s="561" t="s">
        <v>1505</v>
      </c>
      <c r="UIH68" s="561" t="s">
        <v>1505</v>
      </c>
      <c r="UII68" s="561" t="s">
        <v>1505</v>
      </c>
      <c r="UIJ68" s="561" t="s">
        <v>1505</v>
      </c>
      <c r="UIK68" s="561" t="s">
        <v>1505</v>
      </c>
      <c r="UIL68" s="561" t="s">
        <v>1505</v>
      </c>
      <c r="UIM68" s="561" t="s">
        <v>1505</v>
      </c>
      <c r="UIN68" s="561" t="s">
        <v>1505</v>
      </c>
      <c r="UIO68" s="561" t="s">
        <v>1505</v>
      </c>
      <c r="UIP68" s="561" t="s">
        <v>1505</v>
      </c>
      <c r="UIQ68" s="561" t="s">
        <v>1505</v>
      </c>
      <c r="UIR68" s="561" t="s">
        <v>1505</v>
      </c>
      <c r="UIS68" s="561" t="s">
        <v>1505</v>
      </c>
      <c r="UIT68" s="561" t="s">
        <v>1505</v>
      </c>
      <c r="UIU68" s="561" t="s">
        <v>1505</v>
      </c>
      <c r="UIV68" s="561" t="s">
        <v>1505</v>
      </c>
      <c r="UIW68" s="561" t="s">
        <v>1505</v>
      </c>
      <c r="UIX68" s="561" t="s">
        <v>1505</v>
      </c>
      <c r="UIY68" s="561" t="s">
        <v>1505</v>
      </c>
      <c r="UIZ68" s="561" t="s">
        <v>1505</v>
      </c>
      <c r="UJA68" s="561" t="s">
        <v>1505</v>
      </c>
      <c r="UJB68" s="561" t="s">
        <v>1505</v>
      </c>
      <c r="UJC68" s="561" t="s">
        <v>1505</v>
      </c>
      <c r="UJD68" s="561" t="s">
        <v>1505</v>
      </c>
      <c r="UJE68" s="561" t="s">
        <v>1505</v>
      </c>
      <c r="UJF68" s="561" t="s">
        <v>1505</v>
      </c>
      <c r="UJG68" s="561" t="s">
        <v>1505</v>
      </c>
      <c r="UJH68" s="561" t="s">
        <v>1505</v>
      </c>
      <c r="UJI68" s="561" t="s">
        <v>1505</v>
      </c>
      <c r="UJJ68" s="561" t="s">
        <v>1505</v>
      </c>
      <c r="UJK68" s="561" t="s">
        <v>1505</v>
      </c>
      <c r="UJL68" s="561" t="s">
        <v>1505</v>
      </c>
      <c r="UJM68" s="561" t="s">
        <v>1505</v>
      </c>
      <c r="UJN68" s="561" t="s">
        <v>1505</v>
      </c>
      <c r="UJO68" s="561" t="s">
        <v>1505</v>
      </c>
      <c r="UJP68" s="561" t="s">
        <v>1505</v>
      </c>
      <c r="UJQ68" s="561" t="s">
        <v>1505</v>
      </c>
      <c r="UJR68" s="561" t="s">
        <v>1505</v>
      </c>
      <c r="UJS68" s="561" t="s">
        <v>1505</v>
      </c>
      <c r="UJT68" s="561" t="s">
        <v>1505</v>
      </c>
      <c r="UJU68" s="561" t="s">
        <v>1505</v>
      </c>
      <c r="UJV68" s="561" t="s">
        <v>1505</v>
      </c>
      <c r="UJW68" s="561" t="s">
        <v>1505</v>
      </c>
      <c r="UJX68" s="561" t="s">
        <v>1505</v>
      </c>
      <c r="UJY68" s="561" t="s">
        <v>1505</v>
      </c>
      <c r="UJZ68" s="561" t="s">
        <v>1505</v>
      </c>
      <c r="UKA68" s="561" t="s">
        <v>1505</v>
      </c>
      <c r="UKB68" s="561" t="s">
        <v>1505</v>
      </c>
      <c r="UKC68" s="561" t="s">
        <v>1505</v>
      </c>
      <c r="UKD68" s="561" t="s">
        <v>1505</v>
      </c>
      <c r="UKE68" s="561" t="s">
        <v>1505</v>
      </c>
      <c r="UKF68" s="561" t="s">
        <v>1505</v>
      </c>
      <c r="UKG68" s="561" t="s">
        <v>1505</v>
      </c>
      <c r="UKH68" s="561" t="s">
        <v>1505</v>
      </c>
      <c r="UKI68" s="561" t="s">
        <v>1505</v>
      </c>
      <c r="UKJ68" s="561" t="s">
        <v>1505</v>
      </c>
      <c r="UKK68" s="561" t="s">
        <v>1505</v>
      </c>
      <c r="UKL68" s="561" t="s">
        <v>1505</v>
      </c>
      <c r="UKM68" s="561" t="s">
        <v>1505</v>
      </c>
      <c r="UKN68" s="561" t="s">
        <v>1505</v>
      </c>
      <c r="UKO68" s="561" t="s">
        <v>1505</v>
      </c>
      <c r="UKP68" s="561" t="s">
        <v>1505</v>
      </c>
      <c r="UKQ68" s="561" t="s">
        <v>1505</v>
      </c>
      <c r="UKR68" s="561" t="s">
        <v>1505</v>
      </c>
      <c r="UKS68" s="561" t="s">
        <v>1505</v>
      </c>
      <c r="UKT68" s="561" t="s">
        <v>1505</v>
      </c>
      <c r="UKU68" s="561" t="s">
        <v>1505</v>
      </c>
      <c r="UKV68" s="561" t="s">
        <v>1505</v>
      </c>
      <c r="UKW68" s="561" t="s">
        <v>1505</v>
      </c>
      <c r="UKX68" s="561" t="s">
        <v>1505</v>
      </c>
      <c r="UKY68" s="561" t="s">
        <v>1505</v>
      </c>
      <c r="UKZ68" s="561" t="s">
        <v>1505</v>
      </c>
      <c r="ULA68" s="561" t="s">
        <v>1505</v>
      </c>
      <c r="ULB68" s="561" t="s">
        <v>1505</v>
      </c>
      <c r="ULC68" s="561" t="s">
        <v>1505</v>
      </c>
      <c r="ULD68" s="561" t="s">
        <v>1505</v>
      </c>
      <c r="ULE68" s="561" t="s">
        <v>1505</v>
      </c>
      <c r="ULF68" s="561" t="s">
        <v>1505</v>
      </c>
      <c r="ULG68" s="561" t="s">
        <v>1505</v>
      </c>
      <c r="ULH68" s="561" t="s">
        <v>1505</v>
      </c>
      <c r="ULI68" s="561" t="s">
        <v>1505</v>
      </c>
      <c r="ULJ68" s="561" t="s">
        <v>1505</v>
      </c>
      <c r="ULK68" s="561" t="s">
        <v>1505</v>
      </c>
      <c r="ULL68" s="561" t="s">
        <v>1505</v>
      </c>
      <c r="ULM68" s="561" t="s">
        <v>1505</v>
      </c>
      <c r="ULN68" s="561" t="s">
        <v>1505</v>
      </c>
      <c r="ULO68" s="561" t="s">
        <v>1505</v>
      </c>
      <c r="ULP68" s="561" t="s">
        <v>1505</v>
      </c>
      <c r="ULQ68" s="561" t="s">
        <v>1505</v>
      </c>
      <c r="ULR68" s="561" t="s">
        <v>1505</v>
      </c>
      <c r="ULS68" s="561" t="s">
        <v>1505</v>
      </c>
      <c r="ULT68" s="561" t="s">
        <v>1505</v>
      </c>
      <c r="ULU68" s="561" t="s">
        <v>1505</v>
      </c>
      <c r="ULV68" s="561" t="s">
        <v>1505</v>
      </c>
      <c r="ULW68" s="561" t="s">
        <v>1505</v>
      </c>
      <c r="ULX68" s="561" t="s">
        <v>1505</v>
      </c>
      <c r="ULY68" s="561" t="s">
        <v>1505</v>
      </c>
      <c r="ULZ68" s="561" t="s">
        <v>1505</v>
      </c>
      <c r="UMA68" s="561" t="s">
        <v>1505</v>
      </c>
      <c r="UMB68" s="561" t="s">
        <v>1505</v>
      </c>
      <c r="UMC68" s="561" t="s">
        <v>1505</v>
      </c>
      <c r="UMD68" s="561" t="s">
        <v>1505</v>
      </c>
      <c r="UME68" s="561" t="s">
        <v>1505</v>
      </c>
      <c r="UMF68" s="561" t="s">
        <v>1505</v>
      </c>
      <c r="UMG68" s="561" t="s">
        <v>1505</v>
      </c>
      <c r="UMH68" s="561" t="s">
        <v>1505</v>
      </c>
      <c r="UMI68" s="561" t="s">
        <v>1505</v>
      </c>
      <c r="UMJ68" s="561" t="s">
        <v>1505</v>
      </c>
      <c r="UMK68" s="561" t="s">
        <v>1505</v>
      </c>
      <c r="UML68" s="561" t="s">
        <v>1505</v>
      </c>
      <c r="UMM68" s="561" t="s">
        <v>1505</v>
      </c>
      <c r="UMN68" s="561" t="s">
        <v>1505</v>
      </c>
      <c r="UMO68" s="561" t="s">
        <v>1505</v>
      </c>
      <c r="UMP68" s="561" t="s">
        <v>1505</v>
      </c>
      <c r="UMQ68" s="561" t="s">
        <v>1505</v>
      </c>
      <c r="UMR68" s="561" t="s">
        <v>1505</v>
      </c>
      <c r="UMS68" s="561" t="s">
        <v>1505</v>
      </c>
      <c r="UMT68" s="561" t="s">
        <v>1505</v>
      </c>
      <c r="UMU68" s="561" t="s">
        <v>1505</v>
      </c>
      <c r="UMV68" s="561" t="s">
        <v>1505</v>
      </c>
      <c r="UMW68" s="561" t="s">
        <v>1505</v>
      </c>
      <c r="UMX68" s="561" t="s">
        <v>1505</v>
      </c>
      <c r="UMY68" s="561" t="s">
        <v>1505</v>
      </c>
      <c r="UMZ68" s="561" t="s">
        <v>1505</v>
      </c>
      <c r="UNA68" s="561" t="s">
        <v>1505</v>
      </c>
      <c r="UNB68" s="561" t="s">
        <v>1505</v>
      </c>
      <c r="UNC68" s="561" t="s">
        <v>1505</v>
      </c>
      <c r="UND68" s="561" t="s">
        <v>1505</v>
      </c>
      <c r="UNE68" s="561" t="s">
        <v>1505</v>
      </c>
      <c r="UNF68" s="561" t="s">
        <v>1505</v>
      </c>
      <c r="UNG68" s="561" t="s">
        <v>1505</v>
      </c>
      <c r="UNH68" s="561" t="s">
        <v>1505</v>
      </c>
      <c r="UNI68" s="561" t="s">
        <v>1505</v>
      </c>
      <c r="UNJ68" s="561" t="s">
        <v>1505</v>
      </c>
      <c r="UNK68" s="561" t="s">
        <v>1505</v>
      </c>
      <c r="UNL68" s="561" t="s">
        <v>1505</v>
      </c>
      <c r="UNM68" s="561" t="s">
        <v>1505</v>
      </c>
      <c r="UNN68" s="561" t="s">
        <v>1505</v>
      </c>
      <c r="UNO68" s="561" t="s">
        <v>1505</v>
      </c>
      <c r="UNP68" s="561" t="s">
        <v>1505</v>
      </c>
      <c r="UNQ68" s="561" t="s">
        <v>1505</v>
      </c>
      <c r="UNR68" s="561" t="s">
        <v>1505</v>
      </c>
      <c r="UNS68" s="561" t="s">
        <v>1505</v>
      </c>
      <c r="UNT68" s="561" t="s">
        <v>1505</v>
      </c>
      <c r="UNU68" s="561" t="s">
        <v>1505</v>
      </c>
      <c r="UNV68" s="561" t="s">
        <v>1505</v>
      </c>
      <c r="UNW68" s="561" t="s">
        <v>1505</v>
      </c>
      <c r="UNX68" s="561" t="s">
        <v>1505</v>
      </c>
      <c r="UNY68" s="561" t="s">
        <v>1505</v>
      </c>
      <c r="UNZ68" s="561" t="s">
        <v>1505</v>
      </c>
      <c r="UOA68" s="561" t="s">
        <v>1505</v>
      </c>
      <c r="UOB68" s="561" t="s">
        <v>1505</v>
      </c>
      <c r="UOC68" s="561" t="s">
        <v>1505</v>
      </c>
      <c r="UOD68" s="561" t="s">
        <v>1505</v>
      </c>
      <c r="UOE68" s="561" t="s">
        <v>1505</v>
      </c>
      <c r="UOF68" s="561" t="s">
        <v>1505</v>
      </c>
      <c r="UOG68" s="561" t="s">
        <v>1505</v>
      </c>
      <c r="UOH68" s="561" t="s">
        <v>1505</v>
      </c>
      <c r="UOI68" s="561" t="s">
        <v>1505</v>
      </c>
      <c r="UOJ68" s="561" t="s">
        <v>1505</v>
      </c>
      <c r="UOK68" s="561" t="s">
        <v>1505</v>
      </c>
      <c r="UOL68" s="561" t="s">
        <v>1505</v>
      </c>
      <c r="UOM68" s="561" t="s">
        <v>1505</v>
      </c>
      <c r="UON68" s="561" t="s">
        <v>1505</v>
      </c>
      <c r="UOO68" s="561" t="s">
        <v>1505</v>
      </c>
      <c r="UOP68" s="561" t="s">
        <v>1505</v>
      </c>
      <c r="UOQ68" s="561" t="s">
        <v>1505</v>
      </c>
      <c r="UOR68" s="561" t="s">
        <v>1505</v>
      </c>
      <c r="UOS68" s="561" t="s">
        <v>1505</v>
      </c>
      <c r="UOT68" s="561" t="s">
        <v>1505</v>
      </c>
      <c r="UOU68" s="561" t="s">
        <v>1505</v>
      </c>
      <c r="UOV68" s="561" t="s">
        <v>1505</v>
      </c>
      <c r="UOW68" s="561" t="s">
        <v>1505</v>
      </c>
      <c r="UOX68" s="561" t="s">
        <v>1505</v>
      </c>
      <c r="UOY68" s="561" t="s">
        <v>1505</v>
      </c>
      <c r="UOZ68" s="561" t="s">
        <v>1505</v>
      </c>
      <c r="UPA68" s="561" t="s">
        <v>1505</v>
      </c>
      <c r="UPB68" s="561" t="s">
        <v>1505</v>
      </c>
      <c r="UPC68" s="561" t="s">
        <v>1505</v>
      </c>
      <c r="UPD68" s="561" t="s">
        <v>1505</v>
      </c>
      <c r="UPE68" s="561" t="s">
        <v>1505</v>
      </c>
      <c r="UPF68" s="561" t="s">
        <v>1505</v>
      </c>
      <c r="UPG68" s="561" t="s">
        <v>1505</v>
      </c>
      <c r="UPH68" s="561" t="s">
        <v>1505</v>
      </c>
      <c r="UPI68" s="561" t="s">
        <v>1505</v>
      </c>
      <c r="UPJ68" s="561" t="s">
        <v>1505</v>
      </c>
      <c r="UPK68" s="561" t="s">
        <v>1505</v>
      </c>
      <c r="UPL68" s="561" t="s">
        <v>1505</v>
      </c>
      <c r="UPM68" s="561" t="s">
        <v>1505</v>
      </c>
      <c r="UPN68" s="561" t="s">
        <v>1505</v>
      </c>
      <c r="UPO68" s="561" t="s">
        <v>1505</v>
      </c>
      <c r="UPP68" s="561" t="s">
        <v>1505</v>
      </c>
      <c r="UPQ68" s="561" t="s">
        <v>1505</v>
      </c>
      <c r="UPR68" s="561" t="s">
        <v>1505</v>
      </c>
      <c r="UPS68" s="561" t="s">
        <v>1505</v>
      </c>
      <c r="UPT68" s="561" t="s">
        <v>1505</v>
      </c>
      <c r="UPU68" s="561" t="s">
        <v>1505</v>
      </c>
      <c r="UPV68" s="561" t="s">
        <v>1505</v>
      </c>
      <c r="UPW68" s="561" t="s">
        <v>1505</v>
      </c>
      <c r="UPX68" s="561" t="s">
        <v>1505</v>
      </c>
      <c r="UPY68" s="561" t="s">
        <v>1505</v>
      </c>
      <c r="UPZ68" s="561" t="s">
        <v>1505</v>
      </c>
      <c r="UQA68" s="561" t="s">
        <v>1505</v>
      </c>
      <c r="UQB68" s="561" t="s">
        <v>1505</v>
      </c>
      <c r="UQC68" s="561" t="s">
        <v>1505</v>
      </c>
      <c r="UQD68" s="561" t="s">
        <v>1505</v>
      </c>
      <c r="UQE68" s="561" t="s">
        <v>1505</v>
      </c>
      <c r="UQF68" s="561" t="s">
        <v>1505</v>
      </c>
      <c r="UQG68" s="561" t="s">
        <v>1505</v>
      </c>
      <c r="UQH68" s="561" t="s">
        <v>1505</v>
      </c>
      <c r="UQI68" s="561" t="s">
        <v>1505</v>
      </c>
      <c r="UQJ68" s="561" t="s">
        <v>1505</v>
      </c>
      <c r="UQK68" s="561" t="s">
        <v>1505</v>
      </c>
      <c r="UQL68" s="561" t="s">
        <v>1505</v>
      </c>
      <c r="UQM68" s="561" t="s">
        <v>1505</v>
      </c>
      <c r="UQN68" s="561" t="s">
        <v>1505</v>
      </c>
      <c r="UQO68" s="561" t="s">
        <v>1505</v>
      </c>
      <c r="UQP68" s="561" t="s">
        <v>1505</v>
      </c>
      <c r="UQQ68" s="561" t="s">
        <v>1505</v>
      </c>
      <c r="UQR68" s="561" t="s">
        <v>1505</v>
      </c>
      <c r="UQS68" s="561" t="s">
        <v>1505</v>
      </c>
      <c r="UQT68" s="561" t="s">
        <v>1505</v>
      </c>
      <c r="UQU68" s="561" t="s">
        <v>1505</v>
      </c>
      <c r="UQV68" s="561" t="s">
        <v>1505</v>
      </c>
      <c r="UQW68" s="561" t="s">
        <v>1505</v>
      </c>
      <c r="UQX68" s="561" t="s">
        <v>1505</v>
      </c>
      <c r="UQY68" s="561" t="s">
        <v>1505</v>
      </c>
      <c r="UQZ68" s="561" t="s">
        <v>1505</v>
      </c>
      <c r="URA68" s="561" t="s">
        <v>1505</v>
      </c>
      <c r="URB68" s="561" t="s">
        <v>1505</v>
      </c>
      <c r="URC68" s="561" t="s">
        <v>1505</v>
      </c>
      <c r="URD68" s="561" t="s">
        <v>1505</v>
      </c>
      <c r="URE68" s="561" t="s">
        <v>1505</v>
      </c>
      <c r="URF68" s="561" t="s">
        <v>1505</v>
      </c>
      <c r="URG68" s="561" t="s">
        <v>1505</v>
      </c>
      <c r="URH68" s="561" t="s">
        <v>1505</v>
      </c>
      <c r="URI68" s="561" t="s">
        <v>1505</v>
      </c>
      <c r="URJ68" s="561" t="s">
        <v>1505</v>
      </c>
      <c r="URK68" s="561" t="s">
        <v>1505</v>
      </c>
      <c r="URL68" s="561" t="s">
        <v>1505</v>
      </c>
      <c r="URM68" s="561" t="s">
        <v>1505</v>
      </c>
      <c r="URN68" s="561" t="s">
        <v>1505</v>
      </c>
      <c r="URO68" s="561" t="s">
        <v>1505</v>
      </c>
      <c r="URP68" s="561" t="s">
        <v>1505</v>
      </c>
      <c r="URQ68" s="561" t="s">
        <v>1505</v>
      </c>
      <c r="URR68" s="561" t="s">
        <v>1505</v>
      </c>
      <c r="URS68" s="561" t="s">
        <v>1505</v>
      </c>
      <c r="URT68" s="561" t="s">
        <v>1505</v>
      </c>
      <c r="URU68" s="561" t="s">
        <v>1505</v>
      </c>
      <c r="URV68" s="561" t="s">
        <v>1505</v>
      </c>
      <c r="URW68" s="561" t="s">
        <v>1505</v>
      </c>
      <c r="URX68" s="561" t="s">
        <v>1505</v>
      </c>
      <c r="URY68" s="561" t="s">
        <v>1505</v>
      </c>
      <c r="URZ68" s="561" t="s">
        <v>1505</v>
      </c>
      <c r="USA68" s="561" t="s">
        <v>1505</v>
      </c>
      <c r="USB68" s="561" t="s">
        <v>1505</v>
      </c>
      <c r="USC68" s="561" t="s">
        <v>1505</v>
      </c>
      <c r="USD68" s="561" t="s">
        <v>1505</v>
      </c>
      <c r="USE68" s="561" t="s">
        <v>1505</v>
      </c>
      <c r="USF68" s="561" t="s">
        <v>1505</v>
      </c>
      <c r="USG68" s="561" t="s">
        <v>1505</v>
      </c>
      <c r="USH68" s="561" t="s">
        <v>1505</v>
      </c>
      <c r="USI68" s="561" t="s">
        <v>1505</v>
      </c>
      <c r="USJ68" s="561" t="s">
        <v>1505</v>
      </c>
      <c r="USK68" s="561" t="s">
        <v>1505</v>
      </c>
      <c r="USL68" s="561" t="s">
        <v>1505</v>
      </c>
      <c r="USM68" s="561" t="s">
        <v>1505</v>
      </c>
      <c r="USN68" s="561" t="s">
        <v>1505</v>
      </c>
      <c r="USO68" s="561" t="s">
        <v>1505</v>
      </c>
      <c r="USP68" s="561" t="s">
        <v>1505</v>
      </c>
      <c r="USQ68" s="561" t="s">
        <v>1505</v>
      </c>
      <c r="USR68" s="561" t="s">
        <v>1505</v>
      </c>
      <c r="USS68" s="561" t="s">
        <v>1505</v>
      </c>
      <c r="UST68" s="561" t="s">
        <v>1505</v>
      </c>
      <c r="USU68" s="561" t="s">
        <v>1505</v>
      </c>
      <c r="USV68" s="561" t="s">
        <v>1505</v>
      </c>
      <c r="USW68" s="561" t="s">
        <v>1505</v>
      </c>
      <c r="USX68" s="561" t="s">
        <v>1505</v>
      </c>
      <c r="USY68" s="561" t="s">
        <v>1505</v>
      </c>
      <c r="USZ68" s="561" t="s">
        <v>1505</v>
      </c>
      <c r="UTA68" s="561" t="s">
        <v>1505</v>
      </c>
      <c r="UTB68" s="561" t="s">
        <v>1505</v>
      </c>
      <c r="UTC68" s="561" t="s">
        <v>1505</v>
      </c>
      <c r="UTD68" s="561" t="s">
        <v>1505</v>
      </c>
      <c r="UTE68" s="561" t="s">
        <v>1505</v>
      </c>
      <c r="UTF68" s="561" t="s">
        <v>1505</v>
      </c>
      <c r="UTG68" s="561" t="s">
        <v>1505</v>
      </c>
      <c r="UTH68" s="561" t="s">
        <v>1505</v>
      </c>
      <c r="UTI68" s="561" t="s">
        <v>1505</v>
      </c>
      <c r="UTJ68" s="561" t="s">
        <v>1505</v>
      </c>
      <c r="UTK68" s="561" t="s">
        <v>1505</v>
      </c>
      <c r="UTL68" s="561" t="s">
        <v>1505</v>
      </c>
      <c r="UTM68" s="561" t="s">
        <v>1505</v>
      </c>
      <c r="UTN68" s="561" t="s">
        <v>1505</v>
      </c>
      <c r="UTO68" s="561" t="s">
        <v>1505</v>
      </c>
      <c r="UTP68" s="561" t="s">
        <v>1505</v>
      </c>
      <c r="UTQ68" s="561" t="s">
        <v>1505</v>
      </c>
      <c r="UTR68" s="561" t="s">
        <v>1505</v>
      </c>
      <c r="UTS68" s="561" t="s">
        <v>1505</v>
      </c>
      <c r="UTT68" s="561" t="s">
        <v>1505</v>
      </c>
      <c r="UTU68" s="561" t="s">
        <v>1505</v>
      </c>
      <c r="UTV68" s="561" t="s">
        <v>1505</v>
      </c>
      <c r="UTW68" s="561" t="s">
        <v>1505</v>
      </c>
      <c r="UTX68" s="561" t="s">
        <v>1505</v>
      </c>
      <c r="UTY68" s="561" t="s">
        <v>1505</v>
      </c>
      <c r="UTZ68" s="561" t="s">
        <v>1505</v>
      </c>
      <c r="UUA68" s="561" t="s">
        <v>1505</v>
      </c>
      <c r="UUB68" s="561" t="s">
        <v>1505</v>
      </c>
      <c r="UUC68" s="561" t="s">
        <v>1505</v>
      </c>
      <c r="UUD68" s="561" t="s">
        <v>1505</v>
      </c>
      <c r="UUE68" s="561" t="s">
        <v>1505</v>
      </c>
      <c r="UUF68" s="561" t="s">
        <v>1505</v>
      </c>
      <c r="UUG68" s="561" t="s">
        <v>1505</v>
      </c>
      <c r="UUH68" s="561" t="s">
        <v>1505</v>
      </c>
      <c r="UUI68" s="561" t="s">
        <v>1505</v>
      </c>
      <c r="UUJ68" s="561" t="s">
        <v>1505</v>
      </c>
      <c r="UUK68" s="561" t="s">
        <v>1505</v>
      </c>
      <c r="UUL68" s="561" t="s">
        <v>1505</v>
      </c>
      <c r="UUM68" s="561" t="s">
        <v>1505</v>
      </c>
      <c r="UUN68" s="561" t="s">
        <v>1505</v>
      </c>
      <c r="UUO68" s="561" t="s">
        <v>1505</v>
      </c>
      <c r="UUP68" s="561" t="s">
        <v>1505</v>
      </c>
      <c r="UUQ68" s="561" t="s">
        <v>1505</v>
      </c>
      <c r="UUR68" s="561" t="s">
        <v>1505</v>
      </c>
      <c r="UUS68" s="561" t="s">
        <v>1505</v>
      </c>
      <c r="UUT68" s="561" t="s">
        <v>1505</v>
      </c>
      <c r="UUU68" s="561" t="s">
        <v>1505</v>
      </c>
      <c r="UUV68" s="561" t="s">
        <v>1505</v>
      </c>
      <c r="UUW68" s="561" t="s">
        <v>1505</v>
      </c>
      <c r="UUX68" s="561" t="s">
        <v>1505</v>
      </c>
      <c r="UUY68" s="561" t="s">
        <v>1505</v>
      </c>
      <c r="UUZ68" s="561" t="s">
        <v>1505</v>
      </c>
      <c r="UVA68" s="561" t="s">
        <v>1505</v>
      </c>
      <c r="UVB68" s="561" t="s">
        <v>1505</v>
      </c>
      <c r="UVC68" s="561" t="s">
        <v>1505</v>
      </c>
      <c r="UVD68" s="561" t="s">
        <v>1505</v>
      </c>
      <c r="UVE68" s="561" t="s">
        <v>1505</v>
      </c>
      <c r="UVF68" s="561" t="s">
        <v>1505</v>
      </c>
      <c r="UVG68" s="561" t="s">
        <v>1505</v>
      </c>
      <c r="UVH68" s="561" t="s">
        <v>1505</v>
      </c>
      <c r="UVI68" s="561" t="s">
        <v>1505</v>
      </c>
      <c r="UVJ68" s="561" t="s">
        <v>1505</v>
      </c>
      <c r="UVK68" s="561" t="s">
        <v>1505</v>
      </c>
      <c r="UVL68" s="561" t="s">
        <v>1505</v>
      </c>
      <c r="UVM68" s="561" t="s">
        <v>1505</v>
      </c>
      <c r="UVN68" s="561" t="s">
        <v>1505</v>
      </c>
      <c r="UVO68" s="561" t="s">
        <v>1505</v>
      </c>
      <c r="UVP68" s="561" t="s">
        <v>1505</v>
      </c>
      <c r="UVQ68" s="561" t="s">
        <v>1505</v>
      </c>
      <c r="UVR68" s="561" t="s">
        <v>1505</v>
      </c>
      <c r="UVS68" s="561" t="s">
        <v>1505</v>
      </c>
      <c r="UVT68" s="561" t="s">
        <v>1505</v>
      </c>
      <c r="UVU68" s="561" t="s">
        <v>1505</v>
      </c>
      <c r="UVV68" s="561" t="s">
        <v>1505</v>
      </c>
      <c r="UVW68" s="561" t="s">
        <v>1505</v>
      </c>
      <c r="UVX68" s="561" t="s">
        <v>1505</v>
      </c>
      <c r="UVY68" s="561" t="s">
        <v>1505</v>
      </c>
      <c r="UVZ68" s="561" t="s">
        <v>1505</v>
      </c>
      <c r="UWA68" s="561" t="s">
        <v>1505</v>
      </c>
      <c r="UWB68" s="561" t="s">
        <v>1505</v>
      </c>
      <c r="UWC68" s="561" t="s">
        <v>1505</v>
      </c>
      <c r="UWD68" s="561" t="s">
        <v>1505</v>
      </c>
      <c r="UWE68" s="561" t="s">
        <v>1505</v>
      </c>
      <c r="UWF68" s="561" t="s">
        <v>1505</v>
      </c>
      <c r="UWG68" s="561" t="s">
        <v>1505</v>
      </c>
      <c r="UWH68" s="561" t="s">
        <v>1505</v>
      </c>
      <c r="UWI68" s="561" t="s">
        <v>1505</v>
      </c>
      <c r="UWJ68" s="561" t="s">
        <v>1505</v>
      </c>
      <c r="UWK68" s="561" t="s">
        <v>1505</v>
      </c>
      <c r="UWL68" s="561" t="s">
        <v>1505</v>
      </c>
      <c r="UWM68" s="561" t="s">
        <v>1505</v>
      </c>
      <c r="UWN68" s="561" t="s">
        <v>1505</v>
      </c>
      <c r="UWO68" s="561" t="s">
        <v>1505</v>
      </c>
      <c r="UWP68" s="561" t="s">
        <v>1505</v>
      </c>
      <c r="UWQ68" s="561" t="s">
        <v>1505</v>
      </c>
      <c r="UWR68" s="561" t="s">
        <v>1505</v>
      </c>
      <c r="UWS68" s="561" t="s">
        <v>1505</v>
      </c>
      <c r="UWT68" s="561" t="s">
        <v>1505</v>
      </c>
      <c r="UWU68" s="561" t="s">
        <v>1505</v>
      </c>
      <c r="UWV68" s="561" t="s">
        <v>1505</v>
      </c>
      <c r="UWW68" s="561" t="s">
        <v>1505</v>
      </c>
      <c r="UWX68" s="561" t="s">
        <v>1505</v>
      </c>
      <c r="UWY68" s="561" t="s">
        <v>1505</v>
      </c>
      <c r="UWZ68" s="561" t="s">
        <v>1505</v>
      </c>
      <c r="UXA68" s="561" t="s">
        <v>1505</v>
      </c>
      <c r="UXB68" s="561" t="s">
        <v>1505</v>
      </c>
      <c r="UXC68" s="561" t="s">
        <v>1505</v>
      </c>
      <c r="UXD68" s="561" t="s">
        <v>1505</v>
      </c>
      <c r="UXE68" s="561" t="s">
        <v>1505</v>
      </c>
      <c r="UXF68" s="561" t="s">
        <v>1505</v>
      </c>
      <c r="UXG68" s="561" t="s">
        <v>1505</v>
      </c>
      <c r="UXH68" s="561" t="s">
        <v>1505</v>
      </c>
      <c r="UXI68" s="561" t="s">
        <v>1505</v>
      </c>
      <c r="UXJ68" s="561" t="s">
        <v>1505</v>
      </c>
      <c r="UXK68" s="561" t="s">
        <v>1505</v>
      </c>
      <c r="UXL68" s="561" t="s">
        <v>1505</v>
      </c>
      <c r="UXM68" s="561" t="s">
        <v>1505</v>
      </c>
      <c r="UXN68" s="561" t="s">
        <v>1505</v>
      </c>
      <c r="UXO68" s="561" t="s">
        <v>1505</v>
      </c>
      <c r="UXP68" s="561" t="s">
        <v>1505</v>
      </c>
      <c r="UXQ68" s="561" t="s">
        <v>1505</v>
      </c>
      <c r="UXR68" s="561" t="s">
        <v>1505</v>
      </c>
      <c r="UXS68" s="561" t="s">
        <v>1505</v>
      </c>
      <c r="UXT68" s="561" t="s">
        <v>1505</v>
      </c>
      <c r="UXU68" s="561" t="s">
        <v>1505</v>
      </c>
      <c r="UXV68" s="561" t="s">
        <v>1505</v>
      </c>
      <c r="UXW68" s="561" t="s">
        <v>1505</v>
      </c>
      <c r="UXX68" s="561" t="s">
        <v>1505</v>
      </c>
      <c r="UXY68" s="561" t="s">
        <v>1505</v>
      </c>
      <c r="UXZ68" s="561" t="s">
        <v>1505</v>
      </c>
      <c r="UYA68" s="561" t="s">
        <v>1505</v>
      </c>
      <c r="UYB68" s="561" t="s">
        <v>1505</v>
      </c>
      <c r="UYC68" s="561" t="s">
        <v>1505</v>
      </c>
      <c r="UYD68" s="561" t="s">
        <v>1505</v>
      </c>
      <c r="UYE68" s="561" t="s">
        <v>1505</v>
      </c>
      <c r="UYF68" s="561" t="s">
        <v>1505</v>
      </c>
      <c r="UYG68" s="561" t="s">
        <v>1505</v>
      </c>
      <c r="UYH68" s="561" t="s">
        <v>1505</v>
      </c>
      <c r="UYI68" s="561" t="s">
        <v>1505</v>
      </c>
      <c r="UYJ68" s="561" t="s">
        <v>1505</v>
      </c>
      <c r="UYK68" s="561" t="s">
        <v>1505</v>
      </c>
      <c r="UYL68" s="561" t="s">
        <v>1505</v>
      </c>
      <c r="UYM68" s="561" t="s">
        <v>1505</v>
      </c>
      <c r="UYN68" s="561" t="s">
        <v>1505</v>
      </c>
      <c r="UYO68" s="561" t="s">
        <v>1505</v>
      </c>
      <c r="UYP68" s="561" t="s">
        <v>1505</v>
      </c>
      <c r="UYQ68" s="561" t="s">
        <v>1505</v>
      </c>
      <c r="UYR68" s="561" t="s">
        <v>1505</v>
      </c>
      <c r="UYS68" s="561" t="s">
        <v>1505</v>
      </c>
      <c r="UYT68" s="561" t="s">
        <v>1505</v>
      </c>
      <c r="UYU68" s="561" t="s">
        <v>1505</v>
      </c>
      <c r="UYV68" s="561" t="s">
        <v>1505</v>
      </c>
      <c r="UYW68" s="561" t="s">
        <v>1505</v>
      </c>
      <c r="UYX68" s="561" t="s">
        <v>1505</v>
      </c>
      <c r="UYY68" s="561" t="s">
        <v>1505</v>
      </c>
      <c r="UYZ68" s="561" t="s">
        <v>1505</v>
      </c>
      <c r="UZA68" s="561" t="s">
        <v>1505</v>
      </c>
      <c r="UZB68" s="561" t="s">
        <v>1505</v>
      </c>
      <c r="UZC68" s="561" t="s">
        <v>1505</v>
      </c>
      <c r="UZD68" s="561" t="s">
        <v>1505</v>
      </c>
      <c r="UZE68" s="561" t="s">
        <v>1505</v>
      </c>
      <c r="UZF68" s="561" t="s">
        <v>1505</v>
      </c>
      <c r="UZG68" s="561" t="s">
        <v>1505</v>
      </c>
      <c r="UZH68" s="561" t="s">
        <v>1505</v>
      </c>
      <c r="UZI68" s="561" t="s">
        <v>1505</v>
      </c>
      <c r="UZJ68" s="561" t="s">
        <v>1505</v>
      </c>
      <c r="UZK68" s="561" t="s">
        <v>1505</v>
      </c>
      <c r="UZL68" s="561" t="s">
        <v>1505</v>
      </c>
      <c r="UZM68" s="561" t="s">
        <v>1505</v>
      </c>
      <c r="UZN68" s="561" t="s">
        <v>1505</v>
      </c>
      <c r="UZO68" s="561" t="s">
        <v>1505</v>
      </c>
      <c r="UZP68" s="561" t="s">
        <v>1505</v>
      </c>
      <c r="UZQ68" s="561" t="s">
        <v>1505</v>
      </c>
      <c r="UZR68" s="561" t="s">
        <v>1505</v>
      </c>
      <c r="UZS68" s="561" t="s">
        <v>1505</v>
      </c>
      <c r="UZT68" s="561" t="s">
        <v>1505</v>
      </c>
      <c r="UZU68" s="561" t="s">
        <v>1505</v>
      </c>
      <c r="UZV68" s="561" t="s">
        <v>1505</v>
      </c>
      <c r="UZW68" s="561" t="s">
        <v>1505</v>
      </c>
      <c r="UZX68" s="561" t="s">
        <v>1505</v>
      </c>
      <c r="UZY68" s="561" t="s">
        <v>1505</v>
      </c>
      <c r="UZZ68" s="561" t="s">
        <v>1505</v>
      </c>
      <c r="VAA68" s="561" t="s">
        <v>1505</v>
      </c>
      <c r="VAB68" s="561" t="s">
        <v>1505</v>
      </c>
      <c r="VAC68" s="561" t="s">
        <v>1505</v>
      </c>
      <c r="VAD68" s="561" t="s">
        <v>1505</v>
      </c>
      <c r="VAE68" s="561" t="s">
        <v>1505</v>
      </c>
      <c r="VAF68" s="561" t="s">
        <v>1505</v>
      </c>
      <c r="VAG68" s="561" t="s">
        <v>1505</v>
      </c>
      <c r="VAH68" s="561" t="s">
        <v>1505</v>
      </c>
      <c r="VAI68" s="561" t="s">
        <v>1505</v>
      </c>
      <c r="VAJ68" s="561" t="s">
        <v>1505</v>
      </c>
      <c r="VAK68" s="561" t="s">
        <v>1505</v>
      </c>
      <c r="VAL68" s="561" t="s">
        <v>1505</v>
      </c>
      <c r="VAM68" s="561" t="s">
        <v>1505</v>
      </c>
      <c r="VAN68" s="561" t="s">
        <v>1505</v>
      </c>
      <c r="VAO68" s="561" t="s">
        <v>1505</v>
      </c>
      <c r="VAP68" s="561" t="s">
        <v>1505</v>
      </c>
      <c r="VAQ68" s="561" t="s">
        <v>1505</v>
      </c>
      <c r="VAR68" s="561" t="s">
        <v>1505</v>
      </c>
      <c r="VAS68" s="561" t="s">
        <v>1505</v>
      </c>
      <c r="VAT68" s="561" t="s">
        <v>1505</v>
      </c>
      <c r="VAU68" s="561" t="s">
        <v>1505</v>
      </c>
      <c r="VAV68" s="561" t="s">
        <v>1505</v>
      </c>
      <c r="VAW68" s="561" t="s">
        <v>1505</v>
      </c>
      <c r="VAX68" s="561" t="s">
        <v>1505</v>
      </c>
      <c r="VAY68" s="561" t="s">
        <v>1505</v>
      </c>
      <c r="VAZ68" s="561" t="s">
        <v>1505</v>
      </c>
      <c r="VBA68" s="561" t="s">
        <v>1505</v>
      </c>
      <c r="VBB68" s="561" t="s">
        <v>1505</v>
      </c>
      <c r="VBC68" s="561" t="s">
        <v>1505</v>
      </c>
      <c r="VBD68" s="561" t="s">
        <v>1505</v>
      </c>
      <c r="VBE68" s="561" t="s">
        <v>1505</v>
      </c>
      <c r="VBF68" s="561" t="s">
        <v>1505</v>
      </c>
      <c r="VBG68" s="561" t="s">
        <v>1505</v>
      </c>
      <c r="VBH68" s="561" t="s">
        <v>1505</v>
      </c>
      <c r="VBI68" s="561" t="s">
        <v>1505</v>
      </c>
      <c r="VBJ68" s="561" t="s">
        <v>1505</v>
      </c>
      <c r="VBK68" s="561" t="s">
        <v>1505</v>
      </c>
      <c r="VBL68" s="561" t="s">
        <v>1505</v>
      </c>
      <c r="VBM68" s="561" t="s">
        <v>1505</v>
      </c>
      <c r="VBN68" s="561" t="s">
        <v>1505</v>
      </c>
      <c r="VBO68" s="561" t="s">
        <v>1505</v>
      </c>
      <c r="VBP68" s="561" t="s">
        <v>1505</v>
      </c>
      <c r="VBQ68" s="561" t="s">
        <v>1505</v>
      </c>
      <c r="VBR68" s="561" t="s">
        <v>1505</v>
      </c>
      <c r="VBS68" s="561" t="s">
        <v>1505</v>
      </c>
      <c r="VBT68" s="561" t="s">
        <v>1505</v>
      </c>
      <c r="VBU68" s="561" t="s">
        <v>1505</v>
      </c>
      <c r="VBV68" s="561" t="s">
        <v>1505</v>
      </c>
      <c r="VBW68" s="561" t="s">
        <v>1505</v>
      </c>
      <c r="VBX68" s="561" t="s">
        <v>1505</v>
      </c>
      <c r="VBY68" s="561" t="s">
        <v>1505</v>
      </c>
      <c r="VBZ68" s="561" t="s">
        <v>1505</v>
      </c>
      <c r="VCA68" s="561" t="s">
        <v>1505</v>
      </c>
      <c r="VCB68" s="561" t="s">
        <v>1505</v>
      </c>
      <c r="VCC68" s="561" t="s">
        <v>1505</v>
      </c>
      <c r="VCD68" s="561" t="s">
        <v>1505</v>
      </c>
      <c r="VCE68" s="561" t="s">
        <v>1505</v>
      </c>
      <c r="VCF68" s="561" t="s">
        <v>1505</v>
      </c>
      <c r="VCG68" s="561" t="s">
        <v>1505</v>
      </c>
      <c r="VCH68" s="561" t="s">
        <v>1505</v>
      </c>
      <c r="VCI68" s="561" t="s">
        <v>1505</v>
      </c>
      <c r="VCJ68" s="561" t="s">
        <v>1505</v>
      </c>
      <c r="VCK68" s="561" t="s">
        <v>1505</v>
      </c>
      <c r="VCL68" s="561" t="s">
        <v>1505</v>
      </c>
      <c r="VCM68" s="561" t="s">
        <v>1505</v>
      </c>
      <c r="VCN68" s="561" t="s">
        <v>1505</v>
      </c>
      <c r="VCO68" s="561" t="s">
        <v>1505</v>
      </c>
      <c r="VCP68" s="561" t="s">
        <v>1505</v>
      </c>
      <c r="VCQ68" s="561" t="s">
        <v>1505</v>
      </c>
      <c r="VCR68" s="561" t="s">
        <v>1505</v>
      </c>
      <c r="VCS68" s="561" t="s">
        <v>1505</v>
      </c>
      <c r="VCT68" s="561" t="s">
        <v>1505</v>
      </c>
      <c r="VCU68" s="561" t="s">
        <v>1505</v>
      </c>
      <c r="VCV68" s="561" t="s">
        <v>1505</v>
      </c>
      <c r="VCW68" s="561" t="s">
        <v>1505</v>
      </c>
      <c r="VCX68" s="561" t="s">
        <v>1505</v>
      </c>
      <c r="VCY68" s="561" t="s">
        <v>1505</v>
      </c>
      <c r="VCZ68" s="561" t="s">
        <v>1505</v>
      </c>
      <c r="VDA68" s="561" t="s">
        <v>1505</v>
      </c>
      <c r="VDB68" s="561" t="s">
        <v>1505</v>
      </c>
      <c r="VDC68" s="561" t="s">
        <v>1505</v>
      </c>
      <c r="VDD68" s="561" t="s">
        <v>1505</v>
      </c>
      <c r="VDE68" s="561" t="s">
        <v>1505</v>
      </c>
      <c r="VDF68" s="561" t="s">
        <v>1505</v>
      </c>
      <c r="VDG68" s="561" t="s">
        <v>1505</v>
      </c>
      <c r="VDH68" s="561" t="s">
        <v>1505</v>
      </c>
      <c r="VDI68" s="561" t="s">
        <v>1505</v>
      </c>
      <c r="VDJ68" s="561" t="s">
        <v>1505</v>
      </c>
      <c r="VDK68" s="561" t="s">
        <v>1505</v>
      </c>
      <c r="VDL68" s="561" t="s">
        <v>1505</v>
      </c>
      <c r="VDM68" s="561" t="s">
        <v>1505</v>
      </c>
      <c r="VDN68" s="561" t="s">
        <v>1505</v>
      </c>
      <c r="VDO68" s="561" t="s">
        <v>1505</v>
      </c>
      <c r="VDP68" s="561" t="s">
        <v>1505</v>
      </c>
      <c r="VDQ68" s="561" t="s">
        <v>1505</v>
      </c>
      <c r="VDR68" s="561" t="s">
        <v>1505</v>
      </c>
      <c r="VDS68" s="561" t="s">
        <v>1505</v>
      </c>
      <c r="VDT68" s="561" t="s">
        <v>1505</v>
      </c>
      <c r="VDU68" s="561" t="s">
        <v>1505</v>
      </c>
      <c r="VDV68" s="561" t="s">
        <v>1505</v>
      </c>
      <c r="VDW68" s="561" t="s">
        <v>1505</v>
      </c>
      <c r="VDX68" s="561" t="s">
        <v>1505</v>
      </c>
      <c r="VDY68" s="561" t="s">
        <v>1505</v>
      </c>
      <c r="VDZ68" s="561" t="s">
        <v>1505</v>
      </c>
      <c r="VEA68" s="561" t="s">
        <v>1505</v>
      </c>
      <c r="VEB68" s="561" t="s">
        <v>1505</v>
      </c>
      <c r="VEC68" s="561" t="s">
        <v>1505</v>
      </c>
      <c r="VED68" s="561" t="s">
        <v>1505</v>
      </c>
      <c r="VEE68" s="561" t="s">
        <v>1505</v>
      </c>
      <c r="VEF68" s="561" t="s">
        <v>1505</v>
      </c>
      <c r="VEG68" s="561" t="s">
        <v>1505</v>
      </c>
      <c r="VEH68" s="561" t="s">
        <v>1505</v>
      </c>
      <c r="VEI68" s="561" t="s">
        <v>1505</v>
      </c>
      <c r="VEJ68" s="561" t="s">
        <v>1505</v>
      </c>
      <c r="VEK68" s="561" t="s">
        <v>1505</v>
      </c>
      <c r="VEL68" s="561" t="s">
        <v>1505</v>
      </c>
      <c r="VEM68" s="561" t="s">
        <v>1505</v>
      </c>
      <c r="VEN68" s="561" t="s">
        <v>1505</v>
      </c>
      <c r="VEO68" s="561" t="s">
        <v>1505</v>
      </c>
      <c r="VEP68" s="561" t="s">
        <v>1505</v>
      </c>
      <c r="VEQ68" s="561" t="s">
        <v>1505</v>
      </c>
      <c r="VER68" s="561" t="s">
        <v>1505</v>
      </c>
      <c r="VES68" s="561" t="s">
        <v>1505</v>
      </c>
      <c r="VET68" s="561" t="s">
        <v>1505</v>
      </c>
      <c r="VEU68" s="561" t="s">
        <v>1505</v>
      </c>
      <c r="VEV68" s="561" t="s">
        <v>1505</v>
      </c>
      <c r="VEW68" s="561" t="s">
        <v>1505</v>
      </c>
      <c r="VEX68" s="561" t="s">
        <v>1505</v>
      </c>
      <c r="VEY68" s="561" t="s">
        <v>1505</v>
      </c>
      <c r="VEZ68" s="561" t="s">
        <v>1505</v>
      </c>
      <c r="VFA68" s="561" t="s">
        <v>1505</v>
      </c>
      <c r="VFB68" s="561" t="s">
        <v>1505</v>
      </c>
      <c r="VFC68" s="561" t="s">
        <v>1505</v>
      </c>
      <c r="VFD68" s="561" t="s">
        <v>1505</v>
      </c>
      <c r="VFE68" s="561" t="s">
        <v>1505</v>
      </c>
      <c r="VFF68" s="561" t="s">
        <v>1505</v>
      </c>
      <c r="VFG68" s="561" t="s">
        <v>1505</v>
      </c>
      <c r="VFH68" s="561" t="s">
        <v>1505</v>
      </c>
      <c r="VFI68" s="561" t="s">
        <v>1505</v>
      </c>
      <c r="VFJ68" s="561" t="s">
        <v>1505</v>
      </c>
      <c r="VFK68" s="561" t="s">
        <v>1505</v>
      </c>
      <c r="VFL68" s="561" t="s">
        <v>1505</v>
      </c>
      <c r="VFM68" s="561" t="s">
        <v>1505</v>
      </c>
      <c r="VFN68" s="561" t="s">
        <v>1505</v>
      </c>
      <c r="VFO68" s="561" t="s">
        <v>1505</v>
      </c>
      <c r="VFP68" s="561" t="s">
        <v>1505</v>
      </c>
      <c r="VFQ68" s="561" t="s">
        <v>1505</v>
      </c>
      <c r="VFR68" s="561" t="s">
        <v>1505</v>
      </c>
      <c r="VFS68" s="561" t="s">
        <v>1505</v>
      </c>
      <c r="VFT68" s="561" t="s">
        <v>1505</v>
      </c>
      <c r="VFU68" s="561" t="s">
        <v>1505</v>
      </c>
      <c r="VFV68" s="561" t="s">
        <v>1505</v>
      </c>
      <c r="VFW68" s="561" t="s">
        <v>1505</v>
      </c>
      <c r="VFX68" s="561" t="s">
        <v>1505</v>
      </c>
      <c r="VFY68" s="561" t="s">
        <v>1505</v>
      </c>
      <c r="VFZ68" s="561" t="s">
        <v>1505</v>
      </c>
      <c r="VGA68" s="561" t="s">
        <v>1505</v>
      </c>
      <c r="VGB68" s="561" t="s">
        <v>1505</v>
      </c>
      <c r="VGC68" s="561" t="s">
        <v>1505</v>
      </c>
      <c r="VGD68" s="561" t="s">
        <v>1505</v>
      </c>
      <c r="VGE68" s="561" t="s">
        <v>1505</v>
      </c>
      <c r="VGF68" s="561" t="s">
        <v>1505</v>
      </c>
      <c r="VGG68" s="561" t="s">
        <v>1505</v>
      </c>
      <c r="VGH68" s="561" t="s">
        <v>1505</v>
      </c>
      <c r="VGI68" s="561" t="s">
        <v>1505</v>
      </c>
      <c r="VGJ68" s="561" t="s">
        <v>1505</v>
      </c>
      <c r="VGK68" s="561" t="s">
        <v>1505</v>
      </c>
      <c r="VGL68" s="561" t="s">
        <v>1505</v>
      </c>
      <c r="VGM68" s="561" t="s">
        <v>1505</v>
      </c>
      <c r="VGN68" s="561" t="s">
        <v>1505</v>
      </c>
      <c r="VGO68" s="561" t="s">
        <v>1505</v>
      </c>
      <c r="VGP68" s="561" t="s">
        <v>1505</v>
      </c>
      <c r="VGQ68" s="561" t="s">
        <v>1505</v>
      </c>
      <c r="VGR68" s="561" t="s">
        <v>1505</v>
      </c>
      <c r="VGS68" s="561" t="s">
        <v>1505</v>
      </c>
      <c r="VGT68" s="561" t="s">
        <v>1505</v>
      </c>
      <c r="VGU68" s="561" t="s">
        <v>1505</v>
      </c>
      <c r="VGV68" s="561" t="s">
        <v>1505</v>
      </c>
      <c r="VGW68" s="561" t="s">
        <v>1505</v>
      </c>
      <c r="VGX68" s="561" t="s">
        <v>1505</v>
      </c>
      <c r="VGY68" s="561" t="s">
        <v>1505</v>
      </c>
      <c r="VGZ68" s="561" t="s">
        <v>1505</v>
      </c>
      <c r="VHA68" s="561" t="s">
        <v>1505</v>
      </c>
      <c r="VHB68" s="561" t="s">
        <v>1505</v>
      </c>
      <c r="VHC68" s="561" t="s">
        <v>1505</v>
      </c>
      <c r="VHD68" s="561" t="s">
        <v>1505</v>
      </c>
      <c r="VHE68" s="561" t="s">
        <v>1505</v>
      </c>
      <c r="VHF68" s="561" t="s">
        <v>1505</v>
      </c>
      <c r="VHG68" s="561" t="s">
        <v>1505</v>
      </c>
      <c r="VHH68" s="561" t="s">
        <v>1505</v>
      </c>
      <c r="VHI68" s="561" t="s">
        <v>1505</v>
      </c>
      <c r="VHJ68" s="561" t="s">
        <v>1505</v>
      </c>
      <c r="VHK68" s="561" t="s">
        <v>1505</v>
      </c>
      <c r="VHL68" s="561" t="s">
        <v>1505</v>
      </c>
      <c r="VHM68" s="561" t="s">
        <v>1505</v>
      </c>
      <c r="VHN68" s="561" t="s">
        <v>1505</v>
      </c>
      <c r="VHO68" s="561" t="s">
        <v>1505</v>
      </c>
      <c r="VHP68" s="561" t="s">
        <v>1505</v>
      </c>
      <c r="VHQ68" s="561" t="s">
        <v>1505</v>
      </c>
      <c r="VHR68" s="561" t="s">
        <v>1505</v>
      </c>
      <c r="VHS68" s="561" t="s">
        <v>1505</v>
      </c>
      <c r="VHT68" s="561" t="s">
        <v>1505</v>
      </c>
      <c r="VHU68" s="561" t="s">
        <v>1505</v>
      </c>
      <c r="VHV68" s="561" t="s">
        <v>1505</v>
      </c>
      <c r="VHW68" s="561" t="s">
        <v>1505</v>
      </c>
      <c r="VHX68" s="561" t="s">
        <v>1505</v>
      </c>
      <c r="VHY68" s="561" t="s">
        <v>1505</v>
      </c>
      <c r="VHZ68" s="561" t="s">
        <v>1505</v>
      </c>
      <c r="VIA68" s="561" t="s">
        <v>1505</v>
      </c>
      <c r="VIB68" s="561" t="s">
        <v>1505</v>
      </c>
      <c r="VIC68" s="561" t="s">
        <v>1505</v>
      </c>
      <c r="VID68" s="561" t="s">
        <v>1505</v>
      </c>
      <c r="VIE68" s="561" t="s">
        <v>1505</v>
      </c>
      <c r="VIF68" s="561" t="s">
        <v>1505</v>
      </c>
      <c r="VIG68" s="561" t="s">
        <v>1505</v>
      </c>
      <c r="VIH68" s="561" t="s">
        <v>1505</v>
      </c>
      <c r="VII68" s="561" t="s">
        <v>1505</v>
      </c>
      <c r="VIJ68" s="561" t="s">
        <v>1505</v>
      </c>
      <c r="VIK68" s="561" t="s">
        <v>1505</v>
      </c>
      <c r="VIL68" s="561" t="s">
        <v>1505</v>
      </c>
      <c r="VIM68" s="561" t="s">
        <v>1505</v>
      </c>
      <c r="VIN68" s="561" t="s">
        <v>1505</v>
      </c>
      <c r="VIO68" s="561" t="s">
        <v>1505</v>
      </c>
      <c r="VIP68" s="561" t="s">
        <v>1505</v>
      </c>
      <c r="VIQ68" s="561" t="s">
        <v>1505</v>
      </c>
      <c r="VIR68" s="561" t="s">
        <v>1505</v>
      </c>
      <c r="VIS68" s="561" t="s">
        <v>1505</v>
      </c>
      <c r="VIT68" s="561" t="s">
        <v>1505</v>
      </c>
      <c r="VIU68" s="561" t="s">
        <v>1505</v>
      </c>
      <c r="VIV68" s="561" t="s">
        <v>1505</v>
      </c>
      <c r="VIW68" s="561" t="s">
        <v>1505</v>
      </c>
      <c r="VIX68" s="561" t="s">
        <v>1505</v>
      </c>
      <c r="VIY68" s="561" t="s">
        <v>1505</v>
      </c>
      <c r="VIZ68" s="561" t="s">
        <v>1505</v>
      </c>
      <c r="VJA68" s="561" t="s">
        <v>1505</v>
      </c>
      <c r="VJB68" s="561" t="s">
        <v>1505</v>
      </c>
      <c r="VJC68" s="561" t="s">
        <v>1505</v>
      </c>
      <c r="VJD68" s="561" t="s">
        <v>1505</v>
      </c>
      <c r="VJE68" s="561" t="s">
        <v>1505</v>
      </c>
      <c r="VJF68" s="561" t="s">
        <v>1505</v>
      </c>
      <c r="VJG68" s="561" t="s">
        <v>1505</v>
      </c>
      <c r="VJH68" s="561" t="s">
        <v>1505</v>
      </c>
      <c r="VJI68" s="561" t="s">
        <v>1505</v>
      </c>
      <c r="VJJ68" s="561" t="s">
        <v>1505</v>
      </c>
      <c r="VJK68" s="561" t="s">
        <v>1505</v>
      </c>
      <c r="VJL68" s="561" t="s">
        <v>1505</v>
      </c>
      <c r="VJM68" s="561" t="s">
        <v>1505</v>
      </c>
      <c r="VJN68" s="561" t="s">
        <v>1505</v>
      </c>
      <c r="VJO68" s="561" t="s">
        <v>1505</v>
      </c>
      <c r="VJP68" s="561" t="s">
        <v>1505</v>
      </c>
      <c r="VJQ68" s="561" t="s">
        <v>1505</v>
      </c>
      <c r="VJR68" s="561" t="s">
        <v>1505</v>
      </c>
      <c r="VJS68" s="561" t="s">
        <v>1505</v>
      </c>
      <c r="VJT68" s="561" t="s">
        <v>1505</v>
      </c>
      <c r="VJU68" s="561" t="s">
        <v>1505</v>
      </c>
      <c r="VJV68" s="561" t="s">
        <v>1505</v>
      </c>
      <c r="VJW68" s="561" t="s">
        <v>1505</v>
      </c>
      <c r="VJX68" s="561" t="s">
        <v>1505</v>
      </c>
      <c r="VJY68" s="561" t="s">
        <v>1505</v>
      </c>
      <c r="VJZ68" s="561" t="s">
        <v>1505</v>
      </c>
      <c r="VKA68" s="561" t="s">
        <v>1505</v>
      </c>
      <c r="VKB68" s="561" t="s">
        <v>1505</v>
      </c>
      <c r="VKC68" s="561" t="s">
        <v>1505</v>
      </c>
      <c r="VKD68" s="561" t="s">
        <v>1505</v>
      </c>
      <c r="VKE68" s="561" t="s">
        <v>1505</v>
      </c>
      <c r="VKF68" s="561" t="s">
        <v>1505</v>
      </c>
      <c r="VKG68" s="561" t="s">
        <v>1505</v>
      </c>
      <c r="VKH68" s="561" t="s">
        <v>1505</v>
      </c>
      <c r="VKI68" s="561" t="s">
        <v>1505</v>
      </c>
      <c r="VKJ68" s="561" t="s">
        <v>1505</v>
      </c>
      <c r="VKK68" s="561" t="s">
        <v>1505</v>
      </c>
      <c r="VKL68" s="561" t="s">
        <v>1505</v>
      </c>
      <c r="VKM68" s="561" t="s">
        <v>1505</v>
      </c>
      <c r="VKN68" s="561" t="s">
        <v>1505</v>
      </c>
      <c r="VKO68" s="561" t="s">
        <v>1505</v>
      </c>
      <c r="VKP68" s="561" t="s">
        <v>1505</v>
      </c>
      <c r="VKQ68" s="561" t="s">
        <v>1505</v>
      </c>
      <c r="VKR68" s="561" t="s">
        <v>1505</v>
      </c>
      <c r="VKS68" s="561" t="s">
        <v>1505</v>
      </c>
      <c r="VKT68" s="561" t="s">
        <v>1505</v>
      </c>
      <c r="VKU68" s="561" t="s">
        <v>1505</v>
      </c>
      <c r="VKV68" s="561" t="s">
        <v>1505</v>
      </c>
      <c r="VKW68" s="561" t="s">
        <v>1505</v>
      </c>
      <c r="VKX68" s="561" t="s">
        <v>1505</v>
      </c>
      <c r="VKY68" s="561" t="s">
        <v>1505</v>
      </c>
      <c r="VKZ68" s="561" t="s">
        <v>1505</v>
      </c>
      <c r="VLA68" s="561" t="s">
        <v>1505</v>
      </c>
      <c r="VLB68" s="561" t="s">
        <v>1505</v>
      </c>
      <c r="VLC68" s="561" t="s">
        <v>1505</v>
      </c>
      <c r="VLD68" s="561" t="s">
        <v>1505</v>
      </c>
      <c r="VLE68" s="561" t="s">
        <v>1505</v>
      </c>
      <c r="VLF68" s="561" t="s">
        <v>1505</v>
      </c>
      <c r="VLG68" s="561" t="s">
        <v>1505</v>
      </c>
      <c r="VLH68" s="561" t="s">
        <v>1505</v>
      </c>
      <c r="VLI68" s="561" t="s">
        <v>1505</v>
      </c>
      <c r="VLJ68" s="561" t="s">
        <v>1505</v>
      </c>
      <c r="VLK68" s="561" t="s">
        <v>1505</v>
      </c>
      <c r="VLL68" s="561" t="s">
        <v>1505</v>
      </c>
      <c r="VLM68" s="561" t="s">
        <v>1505</v>
      </c>
      <c r="VLN68" s="561" t="s">
        <v>1505</v>
      </c>
      <c r="VLO68" s="561" t="s">
        <v>1505</v>
      </c>
      <c r="VLP68" s="561" t="s">
        <v>1505</v>
      </c>
      <c r="VLQ68" s="561" t="s">
        <v>1505</v>
      </c>
      <c r="VLR68" s="561" t="s">
        <v>1505</v>
      </c>
      <c r="VLS68" s="561" t="s">
        <v>1505</v>
      </c>
      <c r="VLT68" s="561" t="s">
        <v>1505</v>
      </c>
      <c r="VLU68" s="561" t="s">
        <v>1505</v>
      </c>
      <c r="VLV68" s="561" t="s">
        <v>1505</v>
      </c>
      <c r="VLW68" s="561" t="s">
        <v>1505</v>
      </c>
      <c r="VLX68" s="561" t="s">
        <v>1505</v>
      </c>
      <c r="VLY68" s="561" t="s">
        <v>1505</v>
      </c>
      <c r="VLZ68" s="561" t="s">
        <v>1505</v>
      </c>
      <c r="VMA68" s="561" t="s">
        <v>1505</v>
      </c>
      <c r="VMB68" s="561" t="s">
        <v>1505</v>
      </c>
      <c r="VMC68" s="561" t="s">
        <v>1505</v>
      </c>
      <c r="VMD68" s="561" t="s">
        <v>1505</v>
      </c>
      <c r="VME68" s="561" t="s">
        <v>1505</v>
      </c>
      <c r="VMF68" s="561" t="s">
        <v>1505</v>
      </c>
      <c r="VMG68" s="561" t="s">
        <v>1505</v>
      </c>
      <c r="VMH68" s="561" t="s">
        <v>1505</v>
      </c>
      <c r="VMI68" s="561" t="s">
        <v>1505</v>
      </c>
      <c r="VMJ68" s="561" t="s">
        <v>1505</v>
      </c>
      <c r="VMK68" s="561" t="s">
        <v>1505</v>
      </c>
      <c r="VML68" s="561" t="s">
        <v>1505</v>
      </c>
      <c r="VMM68" s="561" t="s">
        <v>1505</v>
      </c>
      <c r="VMN68" s="561" t="s">
        <v>1505</v>
      </c>
      <c r="VMO68" s="561" t="s">
        <v>1505</v>
      </c>
      <c r="VMP68" s="561" t="s">
        <v>1505</v>
      </c>
      <c r="VMQ68" s="561" t="s">
        <v>1505</v>
      </c>
      <c r="VMR68" s="561" t="s">
        <v>1505</v>
      </c>
      <c r="VMS68" s="561" t="s">
        <v>1505</v>
      </c>
      <c r="VMT68" s="561" t="s">
        <v>1505</v>
      </c>
      <c r="VMU68" s="561" t="s">
        <v>1505</v>
      </c>
      <c r="VMV68" s="561" t="s">
        <v>1505</v>
      </c>
      <c r="VMW68" s="561" t="s">
        <v>1505</v>
      </c>
      <c r="VMX68" s="561" t="s">
        <v>1505</v>
      </c>
      <c r="VMY68" s="561" t="s">
        <v>1505</v>
      </c>
      <c r="VMZ68" s="561" t="s">
        <v>1505</v>
      </c>
      <c r="VNA68" s="561" t="s">
        <v>1505</v>
      </c>
      <c r="VNB68" s="561" t="s">
        <v>1505</v>
      </c>
      <c r="VNC68" s="561" t="s">
        <v>1505</v>
      </c>
      <c r="VND68" s="561" t="s">
        <v>1505</v>
      </c>
      <c r="VNE68" s="561" t="s">
        <v>1505</v>
      </c>
      <c r="VNF68" s="561" t="s">
        <v>1505</v>
      </c>
      <c r="VNG68" s="561" t="s">
        <v>1505</v>
      </c>
      <c r="VNH68" s="561" t="s">
        <v>1505</v>
      </c>
      <c r="VNI68" s="561" t="s">
        <v>1505</v>
      </c>
      <c r="VNJ68" s="561" t="s">
        <v>1505</v>
      </c>
      <c r="VNK68" s="561" t="s">
        <v>1505</v>
      </c>
      <c r="VNL68" s="561" t="s">
        <v>1505</v>
      </c>
      <c r="VNM68" s="561" t="s">
        <v>1505</v>
      </c>
      <c r="VNN68" s="561" t="s">
        <v>1505</v>
      </c>
      <c r="VNO68" s="561" t="s">
        <v>1505</v>
      </c>
      <c r="VNP68" s="561" t="s">
        <v>1505</v>
      </c>
      <c r="VNQ68" s="561" t="s">
        <v>1505</v>
      </c>
      <c r="VNR68" s="561" t="s">
        <v>1505</v>
      </c>
      <c r="VNS68" s="561" t="s">
        <v>1505</v>
      </c>
      <c r="VNT68" s="561" t="s">
        <v>1505</v>
      </c>
      <c r="VNU68" s="561" t="s">
        <v>1505</v>
      </c>
      <c r="VNV68" s="561" t="s">
        <v>1505</v>
      </c>
      <c r="VNW68" s="561" t="s">
        <v>1505</v>
      </c>
      <c r="VNX68" s="561" t="s">
        <v>1505</v>
      </c>
      <c r="VNY68" s="561" t="s">
        <v>1505</v>
      </c>
      <c r="VNZ68" s="561" t="s">
        <v>1505</v>
      </c>
      <c r="VOA68" s="561" t="s">
        <v>1505</v>
      </c>
      <c r="VOB68" s="561" t="s">
        <v>1505</v>
      </c>
      <c r="VOC68" s="561" t="s">
        <v>1505</v>
      </c>
      <c r="VOD68" s="561" t="s">
        <v>1505</v>
      </c>
      <c r="VOE68" s="561" t="s">
        <v>1505</v>
      </c>
      <c r="VOF68" s="561" t="s">
        <v>1505</v>
      </c>
      <c r="VOG68" s="561" t="s">
        <v>1505</v>
      </c>
      <c r="VOH68" s="561" t="s">
        <v>1505</v>
      </c>
      <c r="VOI68" s="561" t="s">
        <v>1505</v>
      </c>
      <c r="VOJ68" s="561" t="s">
        <v>1505</v>
      </c>
      <c r="VOK68" s="561" t="s">
        <v>1505</v>
      </c>
      <c r="VOL68" s="561" t="s">
        <v>1505</v>
      </c>
      <c r="VOM68" s="561" t="s">
        <v>1505</v>
      </c>
      <c r="VON68" s="561" t="s">
        <v>1505</v>
      </c>
      <c r="VOO68" s="561" t="s">
        <v>1505</v>
      </c>
      <c r="VOP68" s="561" t="s">
        <v>1505</v>
      </c>
      <c r="VOQ68" s="561" t="s">
        <v>1505</v>
      </c>
      <c r="VOR68" s="561" t="s">
        <v>1505</v>
      </c>
      <c r="VOS68" s="561" t="s">
        <v>1505</v>
      </c>
      <c r="VOT68" s="561" t="s">
        <v>1505</v>
      </c>
      <c r="VOU68" s="561" t="s">
        <v>1505</v>
      </c>
      <c r="VOV68" s="561" t="s">
        <v>1505</v>
      </c>
      <c r="VOW68" s="561" t="s">
        <v>1505</v>
      </c>
      <c r="VOX68" s="561" t="s">
        <v>1505</v>
      </c>
      <c r="VOY68" s="561" t="s">
        <v>1505</v>
      </c>
      <c r="VOZ68" s="561" t="s">
        <v>1505</v>
      </c>
      <c r="VPA68" s="561" t="s">
        <v>1505</v>
      </c>
      <c r="VPB68" s="561" t="s">
        <v>1505</v>
      </c>
      <c r="VPC68" s="561" t="s">
        <v>1505</v>
      </c>
      <c r="VPD68" s="561" t="s">
        <v>1505</v>
      </c>
      <c r="VPE68" s="561" t="s">
        <v>1505</v>
      </c>
      <c r="VPF68" s="561" t="s">
        <v>1505</v>
      </c>
      <c r="VPG68" s="561" t="s">
        <v>1505</v>
      </c>
      <c r="VPH68" s="561" t="s">
        <v>1505</v>
      </c>
      <c r="VPI68" s="561" t="s">
        <v>1505</v>
      </c>
      <c r="VPJ68" s="561" t="s">
        <v>1505</v>
      </c>
      <c r="VPK68" s="561" t="s">
        <v>1505</v>
      </c>
      <c r="VPL68" s="561" t="s">
        <v>1505</v>
      </c>
      <c r="VPM68" s="561" t="s">
        <v>1505</v>
      </c>
      <c r="VPN68" s="561" t="s">
        <v>1505</v>
      </c>
      <c r="VPO68" s="561" t="s">
        <v>1505</v>
      </c>
      <c r="VPP68" s="561" t="s">
        <v>1505</v>
      </c>
      <c r="VPQ68" s="561" t="s">
        <v>1505</v>
      </c>
      <c r="VPR68" s="561" t="s">
        <v>1505</v>
      </c>
      <c r="VPS68" s="561" t="s">
        <v>1505</v>
      </c>
      <c r="VPT68" s="561" t="s">
        <v>1505</v>
      </c>
      <c r="VPU68" s="561" t="s">
        <v>1505</v>
      </c>
      <c r="VPV68" s="561" t="s">
        <v>1505</v>
      </c>
      <c r="VPW68" s="561" t="s">
        <v>1505</v>
      </c>
      <c r="VPX68" s="561" t="s">
        <v>1505</v>
      </c>
      <c r="VPY68" s="561" t="s">
        <v>1505</v>
      </c>
      <c r="VPZ68" s="561" t="s">
        <v>1505</v>
      </c>
      <c r="VQA68" s="561" t="s">
        <v>1505</v>
      </c>
      <c r="VQB68" s="561" t="s">
        <v>1505</v>
      </c>
      <c r="VQC68" s="561" t="s">
        <v>1505</v>
      </c>
      <c r="VQD68" s="561" t="s">
        <v>1505</v>
      </c>
      <c r="VQE68" s="561" t="s">
        <v>1505</v>
      </c>
      <c r="VQF68" s="561" t="s">
        <v>1505</v>
      </c>
      <c r="VQG68" s="561" t="s">
        <v>1505</v>
      </c>
      <c r="VQH68" s="561" t="s">
        <v>1505</v>
      </c>
      <c r="VQI68" s="561" t="s">
        <v>1505</v>
      </c>
      <c r="VQJ68" s="561" t="s">
        <v>1505</v>
      </c>
      <c r="VQK68" s="561" t="s">
        <v>1505</v>
      </c>
      <c r="VQL68" s="561" t="s">
        <v>1505</v>
      </c>
      <c r="VQM68" s="561" t="s">
        <v>1505</v>
      </c>
      <c r="VQN68" s="561" t="s">
        <v>1505</v>
      </c>
      <c r="VQO68" s="561" t="s">
        <v>1505</v>
      </c>
      <c r="VQP68" s="561" t="s">
        <v>1505</v>
      </c>
      <c r="VQQ68" s="561" t="s">
        <v>1505</v>
      </c>
      <c r="VQR68" s="561" t="s">
        <v>1505</v>
      </c>
      <c r="VQS68" s="561" t="s">
        <v>1505</v>
      </c>
      <c r="VQT68" s="561" t="s">
        <v>1505</v>
      </c>
      <c r="VQU68" s="561" t="s">
        <v>1505</v>
      </c>
      <c r="VQV68" s="561" t="s">
        <v>1505</v>
      </c>
      <c r="VQW68" s="561" t="s">
        <v>1505</v>
      </c>
      <c r="VQX68" s="561" t="s">
        <v>1505</v>
      </c>
      <c r="VQY68" s="561" t="s">
        <v>1505</v>
      </c>
      <c r="VQZ68" s="561" t="s">
        <v>1505</v>
      </c>
      <c r="VRA68" s="561" t="s">
        <v>1505</v>
      </c>
      <c r="VRB68" s="561" t="s">
        <v>1505</v>
      </c>
      <c r="VRC68" s="561" t="s">
        <v>1505</v>
      </c>
      <c r="VRD68" s="561" t="s">
        <v>1505</v>
      </c>
      <c r="VRE68" s="561" t="s">
        <v>1505</v>
      </c>
      <c r="VRF68" s="561" t="s">
        <v>1505</v>
      </c>
      <c r="VRG68" s="561" t="s">
        <v>1505</v>
      </c>
      <c r="VRH68" s="561" t="s">
        <v>1505</v>
      </c>
      <c r="VRI68" s="561" t="s">
        <v>1505</v>
      </c>
      <c r="VRJ68" s="561" t="s">
        <v>1505</v>
      </c>
      <c r="VRK68" s="561" t="s">
        <v>1505</v>
      </c>
      <c r="VRL68" s="561" t="s">
        <v>1505</v>
      </c>
      <c r="VRM68" s="561" t="s">
        <v>1505</v>
      </c>
      <c r="VRN68" s="561" t="s">
        <v>1505</v>
      </c>
      <c r="VRO68" s="561" t="s">
        <v>1505</v>
      </c>
      <c r="VRP68" s="561" t="s">
        <v>1505</v>
      </c>
      <c r="VRQ68" s="561" t="s">
        <v>1505</v>
      </c>
      <c r="VRR68" s="561" t="s">
        <v>1505</v>
      </c>
      <c r="VRS68" s="561" t="s">
        <v>1505</v>
      </c>
      <c r="VRT68" s="561" t="s">
        <v>1505</v>
      </c>
      <c r="VRU68" s="561" t="s">
        <v>1505</v>
      </c>
      <c r="VRV68" s="561" t="s">
        <v>1505</v>
      </c>
      <c r="VRW68" s="561" t="s">
        <v>1505</v>
      </c>
      <c r="VRX68" s="561" t="s">
        <v>1505</v>
      </c>
      <c r="VRY68" s="561" t="s">
        <v>1505</v>
      </c>
      <c r="VRZ68" s="561" t="s">
        <v>1505</v>
      </c>
      <c r="VSA68" s="561" t="s">
        <v>1505</v>
      </c>
      <c r="VSB68" s="561" t="s">
        <v>1505</v>
      </c>
      <c r="VSC68" s="561" t="s">
        <v>1505</v>
      </c>
      <c r="VSD68" s="561" t="s">
        <v>1505</v>
      </c>
      <c r="VSE68" s="561" t="s">
        <v>1505</v>
      </c>
      <c r="VSF68" s="561" t="s">
        <v>1505</v>
      </c>
      <c r="VSG68" s="561" t="s">
        <v>1505</v>
      </c>
      <c r="VSH68" s="561" t="s">
        <v>1505</v>
      </c>
      <c r="VSI68" s="561" t="s">
        <v>1505</v>
      </c>
      <c r="VSJ68" s="561" t="s">
        <v>1505</v>
      </c>
      <c r="VSK68" s="561" t="s">
        <v>1505</v>
      </c>
      <c r="VSL68" s="561" t="s">
        <v>1505</v>
      </c>
      <c r="VSM68" s="561" t="s">
        <v>1505</v>
      </c>
      <c r="VSN68" s="561" t="s">
        <v>1505</v>
      </c>
      <c r="VSO68" s="561" t="s">
        <v>1505</v>
      </c>
      <c r="VSP68" s="561" t="s">
        <v>1505</v>
      </c>
      <c r="VSQ68" s="561" t="s">
        <v>1505</v>
      </c>
      <c r="VSR68" s="561" t="s">
        <v>1505</v>
      </c>
      <c r="VSS68" s="561" t="s">
        <v>1505</v>
      </c>
      <c r="VST68" s="561" t="s">
        <v>1505</v>
      </c>
      <c r="VSU68" s="561" t="s">
        <v>1505</v>
      </c>
      <c r="VSV68" s="561" t="s">
        <v>1505</v>
      </c>
      <c r="VSW68" s="561" t="s">
        <v>1505</v>
      </c>
      <c r="VSX68" s="561" t="s">
        <v>1505</v>
      </c>
      <c r="VSY68" s="561" t="s">
        <v>1505</v>
      </c>
      <c r="VSZ68" s="561" t="s">
        <v>1505</v>
      </c>
      <c r="VTA68" s="561" t="s">
        <v>1505</v>
      </c>
      <c r="VTB68" s="561" t="s">
        <v>1505</v>
      </c>
      <c r="VTC68" s="561" t="s">
        <v>1505</v>
      </c>
      <c r="VTD68" s="561" t="s">
        <v>1505</v>
      </c>
      <c r="VTE68" s="561" t="s">
        <v>1505</v>
      </c>
      <c r="VTF68" s="561" t="s">
        <v>1505</v>
      </c>
      <c r="VTG68" s="561" t="s">
        <v>1505</v>
      </c>
      <c r="VTH68" s="561" t="s">
        <v>1505</v>
      </c>
      <c r="VTI68" s="561" t="s">
        <v>1505</v>
      </c>
      <c r="VTJ68" s="561" t="s">
        <v>1505</v>
      </c>
      <c r="VTK68" s="561" t="s">
        <v>1505</v>
      </c>
      <c r="VTL68" s="561" t="s">
        <v>1505</v>
      </c>
      <c r="VTM68" s="561" t="s">
        <v>1505</v>
      </c>
      <c r="VTN68" s="561" t="s">
        <v>1505</v>
      </c>
      <c r="VTO68" s="561" t="s">
        <v>1505</v>
      </c>
      <c r="VTP68" s="561" t="s">
        <v>1505</v>
      </c>
      <c r="VTQ68" s="561" t="s">
        <v>1505</v>
      </c>
      <c r="VTR68" s="561" t="s">
        <v>1505</v>
      </c>
      <c r="VTS68" s="561" t="s">
        <v>1505</v>
      </c>
      <c r="VTT68" s="561" t="s">
        <v>1505</v>
      </c>
      <c r="VTU68" s="561" t="s">
        <v>1505</v>
      </c>
      <c r="VTV68" s="561" t="s">
        <v>1505</v>
      </c>
      <c r="VTW68" s="561" t="s">
        <v>1505</v>
      </c>
      <c r="VTX68" s="561" t="s">
        <v>1505</v>
      </c>
      <c r="VTY68" s="561" t="s">
        <v>1505</v>
      </c>
      <c r="VTZ68" s="561" t="s">
        <v>1505</v>
      </c>
      <c r="VUA68" s="561" t="s">
        <v>1505</v>
      </c>
      <c r="VUB68" s="561" t="s">
        <v>1505</v>
      </c>
      <c r="VUC68" s="561" t="s">
        <v>1505</v>
      </c>
      <c r="VUD68" s="561" t="s">
        <v>1505</v>
      </c>
      <c r="VUE68" s="561" t="s">
        <v>1505</v>
      </c>
      <c r="VUF68" s="561" t="s">
        <v>1505</v>
      </c>
      <c r="VUG68" s="561" t="s">
        <v>1505</v>
      </c>
      <c r="VUH68" s="561" t="s">
        <v>1505</v>
      </c>
      <c r="VUI68" s="561" t="s">
        <v>1505</v>
      </c>
      <c r="VUJ68" s="561" t="s">
        <v>1505</v>
      </c>
      <c r="VUK68" s="561" t="s">
        <v>1505</v>
      </c>
      <c r="VUL68" s="561" t="s">
        <v>1505</v>
      </c>
      <c r="VUM68" s="561" t="s">
        <v>1505</v>
      </c>
      <c r="VUN68" s="561" t="s">
        <v>1505</v>
      </c>
      <c r="VUO68" s="561" t="s">
        <v>1505</v>
      </c>
      <c r="VUP68" s="561" t="s">
        <v>1505</v>
      </c>
      <c r="VUQ68" s="561" t="s">
        <v>1505</v>
      </c>
      <c r="VUR68" s="561" t="s">
        <v>1505</v>
      </c>
      <c r="VUS68" s="561" t="s">
        <v>1505</v>
      </c>
      <c r="VUT68" s="561" t="s">
        <v>1505</v>
      </c>
      <c r="VUU68" s="561" t="s">
        <v>1505</v>
      </c>
      <c r="VUV68" s="561" t="s">
        <v>1505</v>
      </c>
      <c r="VUW68" s="561" t="s">
        <v>1505</v>
      </c>
      <c r="VUX68" s="561" t="s">
        <v>1505</v>
      </c>
      <c r="VUY68" s="561" t="s">
        <v>1505</v>
      </c>
      <c r="VUZ68" s="561" t="s">
        <v>1505</v>
      </c>
      <c r="VVA68" s="561" t="s">
        <v>1505</v>
      </c>
      <c r="VVB68" s="561" t="s">
        <v>1505</v>
      </c>
      <c r="VVC68" s="561" t="s">
        <v>1505</v>
      </c>
      <c r="VVD68" s="561" t="s">
        <v>1505</v>
      </c>
      <c r="VVE68" s="561" t="s">
        <v>1505</v>
      </c>
      <c r="VVF68" s="561" t="s">
        <v>1505</v>
      </c>
      <c r="VVG68" s="561" t="s">
        <v>1505</v>
      </c>
      <c r="VVH68" s="561" t="s">
        <v>1505</v>
      </c>
      <c r="VVI68" s="561" t="s">
        <v>1505</v>
      </c>
      <c r="VVJ68" s="561" t="s">
        <v>1505</v>
      </c>
      <c r="VVK68" s="561" t="s">
        <v>1505</v>
      </c>
      <c r="VVL68" s="561" t="s">
        <v>1505</v>
      </c>
      <c r="VVM68" s="561" t="s">
        <v>1505</v>
      </c>
      <c r="VVN68" s="561" t="s">
        <v>1505</v>
      </c>
      <c r="VVO68" s="561" t="s">
        <v>1505</v>
      </c>
      <c r="VVP68" s="561" t="s">
        <v>1505</v>
      </c>
      <c r="VVQ68" s="561" t="s">
        <v>1505</v>
      </c>
      <c r="VVR68" s="561" t="s">
        <v>1505</v>
      </c>
      <c r="VVS68" s="561" t="s">
        <v>1505</v>
      </c>
      <c r="VVT68" s="561" t="s">
        <v>1505</v>
      </c>
      <c r="VVU68" s="561" t="s">
        <v>1505</v>
      </c>
      <c r="VVV68" s="561" t="s">
        <v>1505</v>
      </c>
      <c r="VVW68" s="561" t="s">
        <v>1505</v>
      </c>
      <c r="VVX68" s="561" t="s">
        <v>1505</v>
      </c>
      <c r="VVY68" s="561" t="s">
        <v>1505</v>
      </c>
      <c r="VVZ68" s="561" t="s">
        <v>1505</v>
      </c>
      <c r="VWA68" s="561" t="s">
        <v>1505</v>
      </c>
      <c r="VWB68" s="561" t="s">
        <v>1505</v>
      </c>
      <c r="VWC68" s="561" t="s">
        <v>1505</v>
      </c>
      <c r="VWD68" s="561" t="s">
        <v>1505</v>
      </c>
      <c r="VWE68" s="561" t="s">
        <v>1505</v>
      </c>
      <c r="VWF68" s="561" t="s">
        <v>1505</v>
      </c>
      <c r="VWG68" s="561" t="s">
        <v>1505</v>
      </c>
      <c r="VWH68" s="561" t="s">
        <v>1505</v>
      </c>
      <c r="VWI68" s="561" t="s">
        <v>1505</v>
      </c>
      <c r="VWJ68" s="561" t="s">
        <v>1505</v>
      </c>
      <c r="VWK68" s="561" t="s">
        <v>1505</v>
      </c>
      <c r="VWL68" s="561" t="s">
        <v>1505</v>
      </c>
      <c r="VWM68" s="561" t="s">
        <v>1505</v>
      </c>
      <c r="VWN68" s="561" t="s">
        <v>1505</v>
      </c>
      <c r="VWO68" s="561" t="s">
        <v>1505</v>
      </c>
      <c r="VWP68" s="561" t="s">
        <v>1505</v>
      </c>
      <c r="VWQ68" s="561" t="s">
        <v>1505</v>
      </c>
      <c r="VWR68" s="561" t="s">
        <v>1505</v>
      </c>
      <c r="VWS68" s="561" t="s">
        <v>1505</v>
      </c>
      <c r="VWT68" s="561" t="s">
        <v>1505</v>
      </c>
      <c r="VWU68" s="561" t="s">
        <v>1505</v>
      </c>
      <c r="VWV68" s="561" t="s">
        <v>1505</v>
      </c>
      <c r="VWW68" s="561" t="s">
        <v>1505</v>
      </c>
      <c r="VWX68" s="561" t="s">
        <v>1505</v>
      </c>
      <c r="VWY68" s="561" t="s">
        <v>1505</v>
      </c>
      <c r="VWZ68" s="561" t="s">
        <v>1505</v>
      </c>
      <c r="VXA68" s="561" t="s">
        <v>1505</v>
      </c>
      <c r="VXB68" s="561" t="s">
        <v>1505</v>
      </c>
      <c r="VXC68" s="561" t="s">
        <v>1505</v>
      </c>
      <c r="VXD68" s="561" t="s">
        <v>1505</v>
      </c>
      <c r="VXE68" s="561" t="s">
        <v>1505</v>
      </c>
      <c r="VXF68" s="561" t="s">
        <v>1505</v>
      </c>
      <c r="VXG68" s="561" t="s">
        <v>1505</v>
      </c>
      <c r="VXH68" s="561" t="s">
        <v>1505</v>
      </c>
      <c r="VXI68" s="561" t="s">
        <v>1505</v>
      </c>
      <c r="VXJ68" s="561" t="s">
        <v>1505</v>
      </c>
      <c r="VXK68" s="561" t="s">
        <v>1505</v>
      </c>
      <c r="VXL68" s="561" t="s">
        <v>1505</v>
      </c>
      <c r="VXM68" s="561" t="s">
        <v>1505</v>
      </c>
      <c r="VXN68" s="561" t="s">
        <v>1505</v>
      </c>
      <c r="VXO68" s="561" t="s">
        <v>1505</v>
      </c>
      <c r="VXP68" s="561" t="s">
        <v>1505</v>
      </c>
      <c r="VXQ68" s="561" t="s">
        <v>1505</v>
      </c>
      <c r="VXR68" s="561" t="s">
        <v>1505</v>
      </c>
      <c r="VXS68" s="561" t="s">
        <v>1505</v>
      </c>
      <c r="VXT68" s="561" t="s">
        <v>1505</v>
      </c>
      <c r="VXU68" s="561" t="s">
        <v>1505</v>
      </c>
      <c r="VXV68" s="561" t="s">
        <v>1505</v>
      </c>
      <c r="VXW68" s="561" t="s">
        <v>1505</v>
      </c>
      <c r="VXX68" s="561" t="s">
        <v>1505</v>
      </c>
      <c r="VXY68" s="561" t="s">
        <v>1505</v>
      </c>
      <c r="VXZ68" s="561" t="s">
        <v>1505</v>
      </c>
      <c r="VYA68" s="561" t="s">
        <v>1505</v>
      </c>
      <c r="VYB68" s="561" t="s">
        <v>1505</v>
      </c>
      <c r="VYC68" s="561" t="s">
        <v>1505</v>
      </c>
      <c r="VYD68" s="561" t="s">
        <v>1505</v>
      </c>
      <c r="VYE68" s="561" t="s">
        <v>1505</v>
      </c>
      <c r="VYF68" s="561" t="s">
        <v>1505</v>
      </c>
      <c r="VYG68" s="561" t="s">
        <v>1505</v>
      </c>
      <c r="VYH68" s="561" t="s">
        <v>1505</v>
      </c>
      <c r="VYI68" s="561" t="s">
        <v>1505</v>
      </c>
      <c r="VYJ68" s="561" t="s">
        <v>1505</v>
      </c>
      <c r="VYK68" s="561" t="s">
        <v>1505</v>
      </c>
      <c r="VYL68" s="561" t="s">
        <v>1505</v>
      </c>
      <c r="VYM68" s="561" t="s">
        <v>1505</v>
      </c>
      <c r="VYN68" s="561" t="s">
        <v>1505</v>
      </c>
      <c r="VYO68" s="561" t="s">
        <v>1505</v>
      </c>
      <c r="VYP68" s="561" t="s">
        <v>1505</v>
      </c>
      <c r="VYQ68" s="561" t="s">
        <v>1505</v>
      </c>
      <c r="VYR68" s="561" t="s">
        <v>1505</v>
      </c>
      <c r="VYS68" s="561" t="s">
        <v>1505</v>
      </c>
      <c r="VYT68" s="561" t="s">
        <v>1505</v>
      </c>
      <c r="VYU68" s="561" t="s">
        <v>1505</v>
      </c>
      <c r="VYV68" s="561" t="s">
        <v>1505</v>
      </c>
      <c r="VYW68" s="561" t="s">
        <v>1505</v>
      </c>
      <c r="VYX68" s="561" t="s">
        <v>1505</v>
      </c>
      <c r="VYY68" s="561" t="s">
        <v>1505</v>
      </c>
      <c r="VYZ68" s="561" t="s">
        <v>1505</v>
      </c>
      <c r="VZA68" s="561" t="s">
        <v>1505</v>
      </c>
      <c r="VZB68" s="561" t="s">
        <v>1505</v>
      </c>
      <c r="VZC68" s="561" t="s">
        <v>1505</v>
      </c>
      <c r="VZD68" s="561" t="s">
        <v>1505</v>
      </c>
      <c r="VZE68" s="561" t="s">
        <v>1505</v>
      </c>
      <c r="VZF68" s="561" t="s">
        <v>1505</v>
      </c>
      <c r="VZG68" s="561" t="s">
        <v>1505</v>
      </c>
      <c r="VZH68" s="561" t="s">
        <v>1505</v>
      </c>
      <c r="VZI68" s="561" t="s">
        <v>1505</v>
      </c>
      <c r="VZJ68" s="561" t="s">
        <v>1505</v>
      </c>
      <c r="VZK68" s="561" t="s">
        <v>1505</v>
      </c>
      <c r="VZL68" s="561" t="s">
        <v>1505</v>
      </c>
      <c r="VZM68" s="561" t="s">
        <v>1505</v>
      </c>
      <c r="VZN68" s="561" t="s">
        <v>1505</v>
      </c>
      <c r="VZO68" s="561" t="s">
        <v>1505</v>
      </c>
      <c r="VZP68" s="561" t="s">
        <v>1505</v>
      </c>
      <c r="VZQ68" s="561" t="s">
        <v>1505</v>
      </c>
      <c r="VZR68" s="561" t="s">
        <v>1505</v>
      </c>
      <c r="VZS68" s="561" t="s">
        <v>1505</v>
      </c>
      <c r="VZT68" s="561" t="s">
        <v>1505</v>
      </c>
      <c r="VZU68" s="561" t="s">
        <v>1505</v>
      </c>
      <c r="VZV68" s="561" t="s">
        <v>1505</v>
      </c>
      <c r="VZW68" s="561" t="s">
        <v>1505</v>
      </c>
      <c r="VZX68" s="561" t="s">
        <v>1505</v>
      </c>
      <c r="VZY68" s="561" t="s">
        <v>1505</v>
      </c>
      <c r="VZZ68" s="561" t="s">
        <v>1505</v>
      </c>
      <c r="WAA68" s="561" t="s">
        <v>1505</v>
      </c>
      <c r="WAB68" s="561" t="s">
        <v>1505</v>
      </c>
      <c r="WAC68" s="561" t="s">
        <v>1505</v>
      </c>
      <c r="WAD68" s="561" t="s">
        <v>1505</v>
      </c>
      <c r="WAE68" s="561" t="s">
        <v>1505</v>
      </c>
      <c r="WAF68" s="561" t="s">
        <v>1505</v>
      </c>
      <c r="WAG68" s="561" t="s">
        <v>1505</v>
      </c>
      <c r="WAH68" s="561" t="s">
        <v>1505</v>
      </c>
      <c r="WAI68" s="561" t="s">
        <v>1505</v>
      </c>
      <c r="WAJ68" s="561" t="s">
        <v>1505</v>
      </c>
      <c r="WAK68" s="561" t="s">
        <v>1505</v>
      </c>
      <c r="WAL68" s="561" t="s">
        <v>1505</v>
      </c>
      <c r="WAM68" s="561" t="s">
        <v>1505</v>
      </c>
      <c r="WAN68" s="561" t="s">
        <v>1505</v>
      </c>
      <c r="WAO68" s="561" t="s">
        <v>1505</v>
      </c>
      <c r="WAP68" s="561" t="s">
        <v>1505</v>
      </c>
      <c r="WAQ68" s="561" t="s">
        <v>1505</v>
      </c>
      <c r="WAR68" s="561" t="s">
        <v>1505</v>
      </c>
      <c r="WAS68" s="561" t="s">
        <v>1505</v>
      </c>
      <c r="WAT68" s="561" t="s">
        <v>1505</v>
      </c>
      <c r="WAU68" s="561" t="s">
        <v>1505</v>
      </c>
      <c r="WAV68" s="561" t="s">
        <v>1505</v>
      </c>
      <c r="WAW68" s="561" t="s">
        <v>1505</v>
      </c>
      <c r="WAX68" s="561" t="s">
        <v>1505</v>
      </c>
      <c r="WAY68" s="561" t="s">
        <v>1505</v>
      </c>
      <c r="WAZ68" s="561" t="s">
        <v>1505</v>
      </c>
      <c r="WBA68" s="561" t="s">
        <v>1505</v>
      </c>
      <c r="WBB68" s="561" t="s">
        <v>1505</v>
      </c>
      <c r="WBC68" s="561" t="s">
        <v>1505</v>
      </c>
      <c r="WBD68" s="561" t="s">
        <v>1505</v>
      </c>
      <c r="WBE68" s="561" t="s">
        <v>1505</v>
      </c>
      <c r="WBF68" s="561" t="s">
        <v>1505</v>
      </c>
      <c r="WBG68" s="561" t="s">
        <v>1505</v>
      </c>
      <c r="WBH68" s="561" t="s">
        <v>1505</v>
      </c>
      <c r="WBI68" s="561" t="s">
        <v>1505</v>
      </c>
      <c r="WBJ68" s="561" t="s">
        <v>1505</v>
      </c>
      <c r="WBK68" s="561" t="s">
        <v>1505</v>
      </c>
      <c r="WBL68" s="561" t="s">
        <v>1505</v>
      </c>
      <c r="WBM68" s="561" t="s">
        <v>1505</v>
      </c>
      <c r="WBN68" s="561" t="s">
        <v>1505</v>
      </c>
      <c r="WBO68" s="561" t="s">
        <v>1505</v>
      </c>
      <c r="WBP68" s="561" t="s">
        <v>1505</v>
      </c>
      <c r="WBQ68" s="561" t="s">
        <v>1505</v>
      </c>
      <c r="WBR68" s="561" t="s">
        <v>1505</v>
      </c>
      <c r="WBS68" s="561" t="s">
        <v>1505</v>
      </c>
      <c r="WBT68" s="561" t="s">
        <v>1505</v>
      </c>
      <c r="WBU68" s="561" t="s">
        <v>1505</v>
      </c>
      <c r="WBV68" s="561" t="s">
        <v>1505</v>
      </c>
      <c r="WBW68" s="561" t="s">
        <v>1505</v>
      </c>
      <c r="WBX68" s="561" t="s">
        <v>1505</v>
      </c>
      <c r="WBY68" s="561" t="s">
        <v>1505</v>
      </c>
      <c r="WBZ68" s="561" t="s">
        <v>1505</v>
      </c>
      <c r="WCA68" s="561" t="s">
        <v>1505</v>
      </c>
      <c r="WCB68" s="561" t="s">
        <v>1505</v>
      </c>
      <c r="WCC68" s="561" t="s">
        <v>1505</v>
      </c>
      <c r="WCD68" s="561" t="s">
        <v>1505</v>
      </c>
      <c r="WCE68" s="561" t="s">
        <v>1505</v>
      </c>
      <c r="WCF68" s="561" t="s">
        <v>1505</v>
      </c>
      <c r="WCG68" s="561" t="s">
        <v>1505</v>
      </c>
      <c r="WCH68" s="561" t="s">
        <v>1505</v>
      </c>
      <c r="WCI68" s="561" t="s">
        <v>1505</v>
      </c>
      <c r="WCJ68" s="561" t="s">
        <v>1505</v>
      </c>
      <c r="WCK68" s="561" t="s">
        <v>1505</v>
      </c>
      <c r="WCL68" s="561" t="s">
        <v>1505</v>
      </c>
      <c r="WCM68" s="561" t="s">
        <v>1505</v>
      </c>
      <c r="WCN68" s="561" t="s">
        <v>1505</v>
      </c>
      <c r="WCO68" s="561" t="s">
        <v>1505</v>
      </c>
      <c r="WCP68" s="561" t="s">
        <v>1505</v>
      </c>
      <c r="WCQ68" s="561" t="s">
        <v>1505</v>
      </c>
      <c r="WCR68" s="561" t="s">
        <v>1505</v>
      </c>
      <c r="WCS68" s="561" t="s">
        <v>1505</v>
      </c>
      <c r="WCT68" s="561" t="s">
        <v>1505</v>
      </c>
      <c r="WCU68" s="561" t="s">
        <v>1505</v>
      </c>
      <c r="WCV68" s="561" t="s">
        <v>1505</v>
      </c>
      <c r="WCW68" s="561" t="s">
        <v>1505</v>
      </c>
      <c r="WCX68" s="561" t="s">
        <v>1505</v>
      </c>
      <c r="WCY68" s="561" t="s">
        <v>1505</v>
      </c>
      <c r="WCZ68" s="561" t="s">
        <v>1505</v>
      </c>
      <c r="WDA68" s="561" t="s">
        <v>1505</v>
      </c>
      <c r="WDB68" s="561" t="s">
        <v>1505</v>
      </c>
      <c r="WDC68" s="561" t="s">
        <v>1505</v>
      </c>
      <c r="WDD68" s="561" t="s">
        <v>1505</v>
      </c>
      <c r="WDE68" s="561" t="s">
        <v>1505</v>
      </c>
      <c r="WDF68" s="561" t="s">
        <v>1505</v>
      </c>
      <c r="WDG68" s="561" t="s">
        <v>1505</v>
      </c>
      <c r="WDH68" s="561" t="s">
        <v>1505</v>
      </c>
      <c r="WDI68" s="561" t="s">
        <v>1505</v>
      </c>
      <c r="WDJ68" s="561" t="s">
        <v>1505</v>
      </c>
      <c r="WDK68" s="561" t="s">
        <v>1505</v>
      </c>
      <c r="WDL68" s="561" t="s">
        <v>1505</v>
      </c>
      <c r="WDM68" s="561" t="s">
        <v>1505</v>
      </c>
      <c r="WDN68" s="561" t="s">
        <v>1505</v>
      </c>
      <c r="WDO68" s="561" t="s">
        <v>1505</v>
      </c>
      <c r="WDP68" s="561" t="s">
        <v>1505</v>
      </c>
      <c r="WDQ68" s="561" t="s">
        <v>1505</v>
      </c>
      <c r="WDR68" s="561" t="s">
        <v>1505</v>
      </c>
      <c r="WDS68" s="561" t="s">
        <v>1505</v>
      </c>
      <c r="WDT68" s="561" t="s">
        <v>1505</v>
      </c>
      <c r="WDU68" s="561" t="s">
        <v>1505</v>
      </c>
      <c r="WDV68" s="561" t="s">
        <v>1505</v>
      </c>
      <c r="WDW68" s="561" t="s">
        <v>1505</v>
      </c>
      <c r="WDX68" s="561" t="s">
        <v>1505</v>
      </c>
      <c r="WDY68" s="561" t="s">
        <v>1505</v>
      </c>
      <c r="WDZ68" s="561" t="s">
        <v>1505</v>
      </c>
      <c r="WEA68" s="561" t="s">
        <v>1505</v>
      </c>
      <c r="WEB68" s="561" t="s">
        <v>1505</v>
      </c>
      <c r="WEC68" s="561" t="s">
        <v>1505</v>
      </c>
      <c r="WED68" s="561" t="s">
        <v>1505</v>
      </c>
      <c r="WEE68" s="561" t="s">
        <v>1505</v>
      </c>
      <c r="WEF68" s="561" t="s">
        <v>1505</v>
      </c>
      <c r="WEG68" s="561" t="s">
        <v>1505</v>
      </c>
      <c r="WEH68" s="561" t="s">
        <v>1505</v>
      </c>
      <c r="WEI68" s="561" t="s">
        <v>1505</v>
      </c>
      <c r="WEJ68" s="561" t="s">
        <v>1505</v>
      </c>
      <c r="WEK68" s="561" t="s">
        <v>1505</v>
      </c>
      <c r="WEL68" s="561" t="s">
        <v>1505</v>
      </c>
      <c r="WEM68" s="561" t="s">
        <v>1505</v>
      </c>
      <c r="WEN68" s="561" t="s">
        <v>1505</v>
      </c>
      <c r="WEO68" s="561" t="s">
        <v>1505</v>
      </c>
      <c r="WEP68" s="561" t="s">
        <v>1505</v>
      </c>
      <c r="WEQ68" s="561" t="s">
        <v>1505</v>
      </c>
      <c r="WER68" s="561" t="s">
        <v>1505</v>
      </c>
      <c r="WES68" s="561" t="s">
        <v>1505</v>
      </c>
      <c r="WET68" s="561" t="s">
        <v>1505</v>
      </c>
      <c r="WEU68" s="561" t="s">
        <v>1505</v>
      </c>
      <c r="WEV68" s="561" t="s">
        <v>1505</v>
      </c>
      <c r="WEW68" s="561" t="s">
        <v>1505</v>
      </c>
      <c r="WEX68" s="561" t="s">
        <v>1505</v>
      </c>
      <c r="WEY68" s="561" t="s">
        <v>1505</v>
      </c>
      <c r="WEZ68" s="561" t="s">
        <v>1505</v>
      </c>
      <c r="WFA68" s="561" t="s">
        <v>1505</v>
      </c>
      <c r="WFB68" s="561" t="s">
        <v>1505</v>
      </c>
      <c r="WFC68" s="561" t="s">
        <v>1505</v>
      </c>
      <c r="WFD68" s="561" t="s">
        <v>1505</v>
      </c>
      <c r="WFE68" s="561" t="s">
        <v>1505</v>
      </c>
      <c r="WFF68" s="561" t="s">
        <v>1505</v>
      </c>
      <c r="WFG68" s="561" t="s">
        <v>1505</v>
      </c>
      <c r="WFH68" s="561" t="s">
        <v>1505</v>
      </c>
      <c r="WFI68" s="561" t="s">
        <v>1505</v>
      </c>
      <c r="WFJ68" s="561" t="s">
        <v>1505</v>
      </c>
      <c r="WFK68" s="561" t="s">
        <v>1505</v>
      </c>
      <c r="WFL68" s="561" t="s">
        <v>1505</v>
      </c>
      <c r="WFM68" s="561" t="s">
        <v>1505</v>
      </c>
      <c r="WFN68" s="561" t="s">
        <v>1505</v>
      </c>
      <c r="WFO68" s="561" t="s">
        <v>1505</v>
      </c>
      <c r="WFP68" s="561" t="s">
        <v>1505</v>
      </c>
      <c r="WFQ68" s="561" t="s">
        <v>1505</v>
      </c>
      <c r="WFR68" s="561" t="s">
        <v>1505</v>
      </c>
      <c r="WFS68" s="561" t="s">
        <v>1505</v>
      </c>
      <c r="WFT68" s="561" t="s">
        <v>1505</v>
      </c>
      <c r="WFU68" s="561" t="s">
        <v>1505</v>
      </c>
      <c r="WFV68" s="561" t="s">
        <v>1505</v>
      </c>
      <c r="WFW68" s="561" t="s">
        <v>1505</v>
      </c>
      <c r="WFX68" s="561" t="s">
        <v>1505</v>
      </c>
      <c r="WFY68" s="561" t="s">
        <v>1505</v>
      </c>
      <c r="WFZ68" s="561" t="s">
        <v>1505</v>
      </c>
      <c r="WGA68" s="561" t="s">
        <v>1505</v>
      </c>
      <c r="WGB68" s="561" t="s">
        <v>1505</v>
      </c>
      <c r="WGC68" s="561" t="s">
        <v>1505</v>
      </c>
      <c r="WGD68" s="561" t="s">
        <v>1505</v>
      </c>
      <c r="WGE68" s="561" t="s">
        <v>1505</v>
      </c>
      <c r="WGF68" s="561" t="s">
        <v>1505</v>
      </c>
      <c r="WGG68" s="561" t="s">
        <v>1505</v>
      </c>
      <c r="WGH68" s="561" t="s">
        <v>1505</v>
      </c>
      <c r="WGI68" s="561" t="s">
        <v>1505</v>
      </c>
      <c r="WGJ68" s="561" t="s">
        <v>1505</v>
      </c>
      <c r="WGK68" s="561" t="s">
        <v>1505</v>
      </c>
      <c r="WGL68" s="561" t="s">
        <v>1505</v>
      </c>
      <c r="WGM68" s="561" t="s">
        <v>1505</v>
      </c>
      <c r="WGN68" s="561" t="s">
        <v>1505</v>
      </c>
      <c r="WGO68" s="561" t="s">
        <v>1505</v>
      </c>
      <c r="WGP68" s="561" t="s">
        <v>1505</v>
      </c>
      <c r="WGQ68" s="561" t="s">
        <v>1505</v>
      </c>
      <c r="WGR68" s="561" t="s">
        <v>1505</v>
      </c>
      <c r="WGS68" s="561" t="s">
        <v>1505</v>
      </c>
      <c r="WGT68" s="561" t="s">
        <v>1505</v>
      </c>
      <c r="WGU68" s="561" t="s">
        <v>1505</v>
      </c>
      <c r="WGV68" s="561" t="s">
        <v>1505</v>
      </c>
      <c r="WGW68" s="561" t="s">
        <v>1505</v>
      </c>
      <c r="WGX68" s="561" t="s">
        <v>1505</v>
      </c>
      <c r="WGY68" s="561" t="s">
        <v>1505</v>
      </c>
      <c r="WGZ68" s="561" t="s">
        <v>1505</v>
      </c>
      <c r="WHA68" s="561" t="s">
        <v>1505</v>
      </c>
      <c r="WHB68" s="561" t="s">
        <v>1505</v>
      </c>
      <c r="WHC68" s="561" t="s">
        <v>1505</v>
      </c>
      <c r="WHD68" s="561" t="s">
        <v>1505</v>
      </c>
      <c r="WHE68" s="561" t="s">
        <v>1505</v>
      </c>
      <c r="WHF68" s="561" t="s">
        <v>1505</v>
      </c>
      <c r="WHG68" s="561" t="s">
        <v>1505</v>
      </c>
      <c r="WHH68" s="561" t="s">
        <v>1505</v>
      </c>
      <c r="WHI68" s="561" t="s">
        <v>1505</v>
      </c>
      <c r="WHJ68" s="561" t="s">
        <v>1505</v>
      </c>
      <c r="WHK68" s="561" t="s">
        <v>1505</v>
      </c>
      <c r="WHL68" s="561" t="s">
        <v>1505</v>
      </c>
      <c r="WHM68" s="561" t="s">
        <v>1505</v>
      </c>
      <c r="WHN68" s="561" t="s">
        <v>1505</v>
      </c>
      <c r="WHO68" s="561" t="s">
        <v>1505</v>
      </c>
      <c r="WHP68" s="561" t="s">
        <v>1505</v>
      </c>
      <c r="WHQ68" s="561" t="s">
        <v>1505</v>
      </c>
      <c r="WHR68" s="561" t="s">
        <v>1505</v>
      </c>
      <c r="WHS68" s="561" t="s">
        <v>1505</v>
      </c>
      <c r="WHT68" s="561" t="s">
        <v>1505</v>
      </c>
      <c r="WHU68" s="561" t="s">
        <v>1505</v>
      </c>
      <c r="WHV68" s="561" t="s">
        <v>1505</v>
      </c>
      <c r="WHW68" s="561" t="s">
        <v>1505</v>
      </c>
      <c r="WHX68" s="561" t="s">
        <v>1505</v>
      </c>
      <c r="WHY68" s="561" t="s">
        <v>1505</v>
      </c>
      <c r="WHZ68" s="561" t="s">
        <v>1505</v>
      </c>
      <c r="WIA68" s="561" t="s">
        <v>1505</v>
      </c>
      <c r="WIB68" s="561" t="s">
        <v>1505</v>
      </c>
      <c r="WIC68" s="561" t="s">
        <v>1505</v>
      </c>
      <c r="WID68" s="561" t="s">
        <v>1505</v>
      </c>
      <c r="WIE68" s="561" t="s">
        <v>1505</v>
      </c>
      <c r="WIF68" s="561" t="s">
        <v>1505</v>
      </c>
      <c r="WIG68" s="561" t="s">
        <v>1505</v>
      </c>
      <c r="WIH68" s="561" t="s">
        <v>1505</v>
      </c>
      <c r="WII68" s="561" t="s">
        <v>1505</v>
      </c>
      <c r="WIJ68" s="561" t="s">
        <v>1505</v>
      </c>
      <c r="WIK68" s="561" t="s">
        <v>1505</v>
      </c>
      <c r="WIL68" s="561" t="s">
        <v>1505</v>
      </c>
      <c r="WIM68" s="561" t="s">
        <v>1505</v>
      </c>
      <c r="WIN68" s="561" t="s">
        <v>1505</v>
      </c>
      <c r="WIO68" s="561" t="s">
        <v>1505</v>
      </c>
      <c r="WIP68" s="561" t="s">
        <v>1505</v>
      </c>
      <c r="WIQ68" s="561" t="s">
        <v>1505</v>
      </c>
      <c r="WIR68" s="561" t="s">
        <v>1505</v>
      </c>
      <c r="WIS68" s="561" t="s">
        <v>1505</v>
      </c>
      <c r="WIT68" s="561" t="s">
        <v>1505</v>
      </c>
      <c r="WIU68" s="561" t="s">
        <v>1505</v>
      </c>
      <c r="WIV68" s="561" t="s">
        <v>1505</v>
      </c>
      <c r="WIW68" s="561" t="s">
        <v>1505</v>
      </c>
      <c r="WIX68" s="561" t="s">
        <v>1505</v>
      </c>
      <c r="WIY68" s="561" t="s">
        <v>1505</v>
      </c>
      <c r="WIZ68" s="561" t="s">
        <v>1505</v>
      </c>
      <c r="WJA68" s="561" t="s">
        <v>1505</v>
      </c>
      <c r="WJB68" s="561" t="s">
        <v>1505</v>
      </c>
      <c r="WJC68" s="561" t="s">
        <v>1505</v>
      </c>
      <c r="WJD68" s="561" t="s">
        <v>1505</v>
      </c>
      <c r="WJE68" s="561" t="s">
        <v>1505</v>
      </c>
      <c r="WJF68" s="561" t="s">
        <v>1505</v>
      </c>
      <c r="WJG68" s="561" t="s">
        <v>1505</v>
      </c>
      <c r="WJH68" s="561" t="s">
        <v>1505</v>
      </c>
      <c r="WJI68" s="561" t="s">
        <v>1505</v>
      </c>
      <c r="WJJ68" s="561" t="s">
        <v>1505</v>
      </c>
      <c r="WJK68" s="561" t="s">
        <v>1505</v>
      </c>
      <c r="WJL68" s="561" t="s">
        <v>1505</v>
      </c>
      <c r="WJM68" s="561" t="s">
        <v>1505</v>
      </c>
      <c r="WJN68" s="561" t="s">
        <v>1505</v>
      </c>
      <c r="WJO68" s="561" t="s">
        <v>1505</v>
      </c>
      <c r="WJP68" s="561" t="s">
        <v>1505</v>
      </c>
      <c r="WJQ68" s="561" t="s">
        <v>1505</v>
      </c>
      <c r="WJR68" s="561" t="s">
        <v>1505</v>
      </c>
      <c r="WJS68" s="561" t="s">
        <v>1505</v>
      </c>
      <c r="WJT68" s="561" t="s">
        <v>1505</v>
      </c>
      <c r="WJU68" s="561" t="s">
        <v>1505</v>
      </c>
      <c r="WJV68" s="561" t="s">
        <v>1505</v>
      </c>
      <c r="WJW68" s="561" t="s">
        <v>1505</v>
      </c>
      <c r="WJX68" s="561" t="s">
        <v>1505</v>
      </c>
      <c r="WJY68" s="561" t="s">
        <v>1505</v>
      </c>
      <c r="WJZ68" s="561" t="s">
        <v>1505</v>
      </c>
      <c r="WKA68" s="561" t="s">
        <v>1505</v>
      </c>
      <c r="WKB68" s="561" t="s">
        <v>1505</v>
      </c>
      <c r="WKC68" s="561" t="s">
        <v>1505</v>
      </c>
      <c r="WKD68" s="561" t="s">
        <v>1505</v>
      </c>
      <c r="WKE68" s="561" t="s">
        <v>1505</v>
      </c>
      <c r="WKF68" s="561" t="s">
        <v>1505</v>
      </c>
      <c r="WKG68" s="561" t="s">
        <v>1505</v>
      </c>
      <c r="WKH68" s="561" t="s">
        <v>1505</v>
      </c>
      <c r="WKI68" s="561" t="s">
        <v>1505</v>
      </c>
      <c r="WKJ68" s="561" t="s">
        <v>1505</v>
      </c>
      <c r="WKK68" s="561" t="s">
        <v>1505</v>
      </c>
      <c r="WKL68" s="561" t="s">
        <v>1505</v>
      </c>
      <c r="WKM68" s="561" t="s">
        <v>1505</v>
      </c>
      <c r="WKN68" s="561" t="s">
        <v>1505</v>
      </c>
      <c r="WKO68" s="561" t="s">
        <v>1505</v>
      </c>
      <c r="WKP68" s="561" t="s">
        <v>1505</v>
      </c>
      <c r="WKQ68" s="561" t="s">
        <v>1505</v>
      </c>
      <c r="WKR68" s="561" t="s">
        <v>1505</v>
      </c>
      <c r="WKS68" s="561" t="s">
        <v>1505</v>
      </c>
      <c r="WKT68" s="561" t="s">
        <v>1505</v>
      </c>
      <c r="WKU68" s="561" t="s">
        <v>1505</v>
      </c>
      <c r="WKV68" s="561" t="s">
        <v>1505</v>
      </c>
      <c r="WKW68" s="561" t="s">
        <v>1505</v>
      </c>
      <c r="WKX68" s="561" t="s">
        <v>1505</v>
      </c>
      <c r="WKY68" s="561" t="s">
        <v>1505</v>
      </c>
      <c r="WKZ68" s="561" t="s">
        <v>1505</v>
      </c>
      <c r="WLA68" s="561" t="s">
        <v>1505</v>
      </c>
      <c r="WLB68" s="561" t="s">
        <v>1505</v>
      </c>
      <c r="WLC68" s="561" t="s">
        <v>1505</v>
      </c>
      <c r="WLD68" s="561" t="s">
        <v>1505</v>
      </c>
      <c r="WLE68" s="561" t="s">
        <v>1505</v>
      </c>
      <c r="WLF68" s="561" t="s">
        <v>1505</v>
      </c>
      <c r="WLG68" s="561" t="s">
        <v>1505</v>
      </c>
      <c r="WLH68" s="561" t="s">
        <v>1505</v>
      </c>
      <c r="WLI68" s="561" t="s">
        <v>1505</v>
      </c>
      <c r="WLJ68" s="561" t="s">
        <v>1505</v>
      </c>
      <c r="WLK68" s="561" t="s">
        <v>1505</v>
      </c>
      <c r="WLL68" s="561" t="s">
        <v>1505</v>
      </c>
      <c r="WLM68" s="561" t="s">
        <v>1505</v>
      </c>
      <c r="WLN68" s="561" t="s">
        <v>1505</v>
      </c>
      <c r="WLO68" s="561" t="s">
        <v>1505</v>
      </c>
      <c r="WLP68" s="561" t="s">
        <v>1505</v>
      </c>
      <c r="WLQ68" s="561" t="s">
        <v>1505</v>
      </c>
      <c r="WLR68" s="561" t="s">
        <v>1505</v>
      </c>
      <c r="WLS68" s="561" t="s">
        <v>1505</v>
      </c>
      <c r="WLT68" s="561" t="s">
        <v>1505</v>
      </c>
      <c r="WLU68" s="561" t="s">
        <v>1505</v>
      </c>
      <c r="WLV68" s="561" t="s">
        <v>1505</v>
      </c>
      <c r="WLW68" s="561" t="s">
        <v>1505</v>
      </c>
      <c r="WLX68" s="561" t="s">
        <v>1505</v>
      </c>
      <c r="WLY68" s="561" t="s">
        <v>1505</v>
      </c>
      <c r="WLZ68" s="561" t="s">
        <v>1505</v>
      </c>
      <c r="WMA68" s="561" t="s">
        <v>1505</v>
      </c>
      <c r="WMB68" s="561" t="s">
        <v>1505</v>
      </c>
      <c r="WMC68" s="561" t="s">
        <v>1505</v>
      </c>
      <c r="WMD68" s="561" t="s">
        <v>1505</v>
      </c>
      <c r="WME68" s="561" t="s">
        <v>1505</v>
      </c>
      <c r="WMF68" s="561" t="s">
        <v>1505</v>
      </c>
      <c r="WMG68" s="561" t="s">
        <v>1505</v>
      </c>
      <c r="WMH68" s="561" t="s">
        <v>1505</v>
      </c>
      <c r="WMI68" s="561" t="s">
        <v>1505</v>
      </c>
      <c r="WMJ68" s="561" t="s">
        <v>1505</v>
      </c>
      <c r="WMK68" s="561" t="s">
        <v>1505</v>
      </c>
      <c r="WML68" s="561" t="s">
        <v>1505</v>
      </c>
      <c r="WMM68" s="561" t="s">
        <v>1505</v>
      </c>
      <c r="WMN68" s="561" t="s">
        <v>1505</v>
      </c>
      <c r="WMO68" s="561" t="s">
        <v>1505</v>
      </c>
      <c r="WMP68" s="561" t="s">
        <v>1505</v>
      </c>
      <c r="WMQ68" s="561" t="s">
        <v>1505</v>
      </c>
      <c r="WMR68" s="561" t="s">
        <v>1505</v>
      </c>
      <c r="WMS68" s="561" t="s">
        <v>1505</v>
      </c>
      <c r="WMT68" s="561" t="s">
        <v>1505</v>
      </c>
      <c r="WMU68" s="561" t="s">
        <v>1505</v>
      </c>
      <c r="WMV68" s="561" t="s">
        <v>1505</v>
      </c>
      <c r="WMW68" s="561" t="s">
        <v>1505</v>
      </c>
      <c r="WMX68" s="561" t="s">
        <v>1505</v>
      </c>
      <c r="WMY68" s="561" t="s">
        <v>1505</v>
      </c>
      <c r="WMZ68" s="561" t="s">
        <v>1505</v>
      </c>
      <c r="WNA68" s="561" t="s">
        <v>1505</v>
      </c>
      <c r="WNB68" s="561" t="s">
        <v>1505</v>
      </c>
      <c r="WNC68" s="561" t="s">
        <v>1505</v>
      </c>
      <c r="WND68" s="561" t="s">
        <v>1505</v>
      </c>
      <c r="WNE68" s="561" t="s">
        <v>1505</v>
      </c>
      <c r="WNF68" s="561" t="s">
        <v>1505</v>
      </c>
      <c r="WNG68" s="561" t="s">
        <v>1505</v>
      </c>
      <c r="WNH68" s="561" t="s">
        <v>1505</v>
      </c>
      <c r="WNI68" s="561" t="s">
        <v>1505</v>
      </c>
      <c r="WNJ68" s="561" t="s">
        <v>1505</v>
      </c>
      <c r="WNK68" s="561" t="s">
        <v>1505</v>
      </c>
      <c r="WNL68" s="561" t="s">
        <v>1505</v>
      </c>
      <c r="WNM68" s="561" t="s">
        <v>1505</v>
      </c>
      <c r="WNN68" s="561" t="s">
        <v>1505</v>
      </c>
      <c r="WNO68" s="561" t="s">
        <v>1505</v>
      </c>
      <c r="WNP68" s="561" t="s">
        <v>1505</v>
      </c>
      <c r="WNQ68" s="561" t="s">
        <v>1505</v>
      </c>
      <c r="WNR68" s="561" t="s">
        <v>1505</v>
      </c>
      <c r="WNS68" s="561" t="s">
        <v>1505</v>
      </c>
      <c r="WNT68" s="561" t="s">
        <v>1505</v>
      </c>
      <c r="WNU68" s="561" t="s">
        <v>1505</v>
      </c>
      <c r="WNV68" s="561" t="s">
        <v>1505</v>
      </c>
      <c r="WNW68" s="561" t="s">
        <v>1505</v>
      </c>
      <c r="WNX68" s="561" t="s">
        <v>1505</v>
      </c>
      <c r="WNY68" s="561" t="s">
        <v>1505</v>
      </c>
      <c r="WNZ68" s="561" t="s">
        <v>1505</v>
      </c>
      <c r="WOA68" s="561" t="s">
        <v>1505</v>
      </c>
      <c r="WOB68" s="561" t="s">
        <v>1505</v>
      </c>
      <c r="WOC68" s="561" t="s">
        <v>1505</v>
      </c>
      <c r="WOD68" s="561" t="s">
        <v>1505</v>
      </c>
      <c r="WOE68" s="561" t="s">
        <v>1505</v>
      </c>
      <c r="WOF68" s="561" t="s">
        <v>1505</v>
      </c>
      <c r="WOG68" s="561" t="s">
        <v>1505</v>
      </c>
      <c r="WOH68" s="561" t="s">
        <v>1505</v>
      </c>
      <c r="WOI68" s="561" t="s">
        <v>1505</v>
      </c>
      <c r="WOJ68" s="561" t="s">
        <v>1505</v>
      </c>
      <c r="WOK68" s="561" t="s">
        <v>1505</v>
      </c>
      <c r="WOL68" s="561" t="s">
        <v>1505</v>
      </c>
      <c r="WOM68" s="561" t="s">
        <v>1505</v>
      </c>
      <c r="WON68" s="561" t="s">
        <v>1505</v>
      </c>
      <c r="WOO68" s="561" t="s">
        <v>1505</v>
      </c>
      <c r="WOP68" s="561" t="s">
        <v>1505</v>
      </c>
      <c r="WOQ68" s="561" t="s">
        <v>1505</v>
      </c>
      <c r="WOR68" s="561" t="s">
        <v>1505</v>
      </c>
      <c r="WOS68" s="561" t="s">
        <v>1505</v>
      </c>
      <c r="WOT68" s="561" t="s">
        <v>1505</v>
      </c>
      <c r="WOU68" s="561" t="s">
        <v>1505</v>
      </c>
      <c r="WOV68" s="561" t="s">
        <v>1505</v>
      </c>
      <c r="WOW68" s="561" t="s">
        <v>1505</v>
      </c>
      <c r="WOX68" s="561" t="s">
        <v>1505</v>
      </c>
      <c r="WOY68" s="561" t="s">
        <v>1505</v>
      </c>
      <c r="WOZ68" s="561" t="s">
        <v>1505</v>
      </c>
      <c r="WPA68" s="561" t="s">
        <v>1505</v>
      </c>
      <c r="WPB68" s="561" t="s">
        <v>1505</v>
      </c>
      <c r="WPC68" s="561" t="s">
        <v>1505</v>
      </c>
      <c r="WPD68" s="561" t="s">
        <v>1505</v>
      </c>
      <c r="WPE68" s="561" t="s">
        <v>1505</v>
      </c>
      <c r="WPF68" s="561" t="s">
        <v>1505</v>
      </c>
      <c r="WPG68" s="561" t="s">
        <v>1505</v>
      </c>
      <c r="WPH68" s="561" t="s">
        <v>1505</v>
      </c>
      <c r="WPI68" s="561" t="s">
        <v>1505</v>
      </c>
      <c r="WPJ68" s="561" t="s">
        <v>1505</v>
      </c>
      <c r="WPK68" s="561" t="s">
        <v>1505</v>
      </c>
      <c r="WPL68" s="561" t="s">
        <v>1505</v>
      </c>
      <c r="WPM68" s="561" t="s">
        <v>1505</v>
      </c>
      <c r="WPN68" s="561" t="s">
        <v>1505</v>
      </c>
      <c r="WPO68" s="561" t="s">
        <v>1505</v>
      </c>
      <c r="WPP68" s="561" t="s">
        <v>1505</v>
      </c>
      <c r="WPQ68" s="561" t="s">
        <v>1505</v>
      </c>
      <c r="WPR68" s="561" t="s">
        <v>1505</v>
      </c>
      <c r="WPS68" s="561" t="s">
        <v>1505</v>
      </c>
      <c r="WPT68" s="561" t="s">
        <v>1505</v>
      </c>
      <c r="WPU68" s="561" t="s">
        <v>1505</v>
      </c>
      <c r="WPV68" s="561" t="s">
        <v>1505</v>
      </c>
      <c r="WPW68" s="561" t="s">
        <v>1505</v>
      </c>
      <c r="WPX68" s="561" t="s">
        <v>1505</v>
      </c>
      <c r="WPY68" s="561" t="s">
        <v>1505</v>
      </c>
      <c r="WPZ68" s="561" t="s">
        <v>1505</v>
      </c>
      <c r="WQA68" s="561" t="s">
        <v>1505</v>
      </c>
      <c r="WQB68" s="561" t="s">
        <v>1505</v>
      </c>
      <c r="WQC68" s="561" t="s">
        <v>1505</v>
      </c>
      <c r="WQD68" s="561" t="s">
        <v>1505</v>
      </c>
      <c r="WQE68" s="561" t="s">
        <v>1505</v>
      </c>
      <c r="WQF68" s="561" t="s">
        <v>1505</v>
      </c>
      <c r="WQG68" s="561" t="s">
        <v>1505</v>
      </c>
      <c r="WQH68" s="561" t="s">
        <v>1505</v>
      </c>
      <c r="WQI68" s="561" t="s">
        <v>1505</v>
      </c>
      <c r="WQJ68" s="561" t="s">
        <v>1505</v>
      </c>
      <c r="WQK68" s="561" t="s">
        <v>1505</v>
      </c>
      <c r="WQL68" s="561" t="s">
        <v>1505</v>
      </c>
      <c r="WQM68" s="561" t="s">
        <v>1505</v>
      </c>
      <c r="WQN68" s="561" t="s">
        <v>1505</v>
      </c>
      <c r="WQO68" s="561" t="s">
        <v>1505</v>
      </c>
      <c r="WQP68" s="561" t="s">
        <v>1505</v>
      </c>
      <c r="WQQ68" s="561" t="s">
        <v>1505</v>
      </c>
      <c r="WQR68" s="561" t="s">
        <v>1505</v>
      </c>
      <c r="WQS68" s="561" t="s">
        <v>1505</v>
      </c>
      <c r="WQT68" s="561" t="s">
        <v>1505</v>
      </c>
      <c r="WQU68" s="561" t="s">
        <v>1505</v>
      </c>
      <c r="WQV68" s="561" t="s">
        <v>1505</v>
      </c>
      <c r="WQW68" s="561" t="s">
        <v>1505</v>
      </c>
      <c r="WQX68" s="561" t="s">
        <v>1505</v>
      </c>
      <c r="WQY68" s="561" t="s">
        <v>1505</v>
      </c>
      <c r="WQZ68" s="561" t="s">
        <v>1505</v>
      </c>
      <c r="WRA68" s="561" t="s">
        <v>1505</v>
      </c>
      <c r="WRB68" s="561" t="s">
        <v>1505</v>
      </c>
      <c r="WRC68" s="561" t="s">
        <v>1505</v>
      </c>
      <c r="WRD68" s="561" t="s">
        <v>1505</v>
      </c>
      <c r="WRE68" s="561" t="s">
        <v>1505</v>
      </c>
      <c r="WRF68" s="561" t="s">
        <v>1505</v>
      </c>
      <c r="WRG68" s="561" t="s">
        <v>1505</v>
      </c>
      <c r="WRH68" s="561" t="s">
        <v>1505</v>
      </c>
      <c r="WRI68" s="561" t="s">
        <v>1505</v>
      </c>
      <c r="WRJ68" s="561" t="s">
        <v>1505</v>
      </c>
      <c r="WRK68" s="561" t="s">
        <v>1505</v>
      </c>
      <c r="WRL68" s="561" t="s">
        <v>1505</v>
      </c>
      <c r="WRM68" s="561" t="s">
        <v>1505</v>
      </c>
      <c r="WRN68" s="561" t="s">
        <v>1505</v>
      </c>
      <c r="WRO68" s="561" t="s">
        <v>1505</v>
      </c>
      <c r="WRP68" s="561" t="s">
        <v>1505</v>
      </c>
      <c r="WRQ68" s="561" t="s">
        <v>1505</v>
      </c>
      <c r="WRR68" s="561" t="s">
        <v>1505</v>
      </c>
      <c r="WRS68" s="561" t="s">
        <v>1505</v>
      </c>
      <c r="WRT68" s="561" t="s">
        <v>1505</v>
      </c>
      <c r="WRU68" s="561" t="s">
        <v>1505</v>
      </c>
      <c r="WRV68" s="561" t="s">
        <v>1505</v>
      </c>
      <c r="WRW68" s="561" t="s">
        <v>1505</v>
      </c>
      <c r="WRX68" s="561" t="s">
        <v>1505</v>
      </c>
      <c r="WRY68" s="561" t="s">
        <v>1505</v>
      </c>
      <c r="WRZ68" s="561" t="s">
        <v>1505</v>
      </c>
      <c r="WSA68" s="561" t="s">
        <v>1505</v>
      </c>
      <c r="WSB68" s="561" t="s">
        <v>1505</v>
      </c>
      <c r="WSC68" s="561" t="s">
        <v>1505</v>
      </c>
      <c r="WSD68" s="561" t="s">
        <v>1505</v>
      </c>
      <c r="WSE68" s="561" t="s">
        <v>1505</v>
      </c>
      <c r="WSF68" s="561" t="s">
        <v>1505</v>
      </c>
      <c r="WSG68" s="561" t="s">
        <v>1505</v>
      </c>
      <c r="WSH68" s="561" t="s">
        <v>1505</v>
      </c>
      <c r="WSI68" s="561" t="s">
        <v>1505</v>
      </c>
      <c r="WSJ68" s="561" t="s">
        <v>1505</v>
      </c>
      <c r="WSK68" s="561" t="s">
        <v>1505</v>
      </c>
      <c r="WSL68" s="561" t="s">
        <v>1505</v>
      </c>
      <c r="WSM68" s="561" t="s">
        <v>1505</v>
      </c>
      <c r="WSN68" s="561" t="s">
        <v>1505</v>
      </c>
      <c r="WSO68" s="561" t="s">
        <v>1505</v>
      </c>
      <c r="WSP68" s="561" t="s">
        <v>1505</v>
      </c>
      <c r="WSQ68" s="561" t="s">
        <v>1505</v>
      </c>
      <c r="WSR68" s="561" t="s">
        <v>1505</v>
      </c>
      <c r="WSS68" s="561" t="s">
        <v>1505</v>
      </c>
      <c r="WST68" s="561" t="s">
        <v>1505</v>
      </c>
      <c r="WSU68" s="561" t="s">
        <v>1505</v>
      </c>
      <c r="WSV68" s="561" t="s">
        <v>1505</v>
      </c>
      <c r="WSW68" s="561" t="s">
        <v>1505</v>
      </c>
      <c r="WSX68" s="561" t="s">
        <v>1505</v>
      </c>
      <c r="WSY68" s="561" t="s">
        <v>1505</v>
      </c>
      <c r="WSZ68" s="561" t="s">
        <v>1505</v>
      </c>
      <c r="WTA68" s="561" t="s">
        <v>1505</v>
      </c>
      <c r="WTB68" s="561" t="s">
        <v>1505</v>
      </c>
      <c r="WTC68" s="561" t="s">
        <v>1505</v>
      </c>
      <c r="WTD68" s="561" t="s">
        <v>1505</v>
      </c>
      <c r="WTE68" s="561" t="s">
        <v>1505</v>
      </c>
      <c r="WTF68" s="561" t="s">
        <v>1505</v>
      </c>
      <c r="WTG68" s="561" t="s">
        <v>1505</v>
      </c>
      <c r="WTH68" s="561" t="s">
        <v>1505</v>
      </c>
      <c r="WTI68" s="561" t="s">
        <v>1505</v>
      </c>
      <c r="WTJ68" s="561" t="s">
        <v>1505</v>
      </c>
      <c r="WTK68" s="561" t="s">
        <v>1505</v>
      </c>
      <c r="WTL68" s="561" t="s">
        <v>1505</v>
      </c>
      <c r="WTM68" s="561" t="s">
        <v>1505</v>
      </c>
      <c r="WTN68" s="561" t="s">
        <v>1505</v>
      </c>
      <c r="WTO68" s="561" t="s">
        <v>1505</v>
      </c>
      <c r="WTP68" s="561" t="s">
        <v>1505</v>
      </c>
      <c r="WTQ68" s="561" t="s">
        <v>1505</v>
      </c>
      <c r="WTR68" s="561" t="s">
        <v>1505</v>
      </c>
      <c r="WTS68" s="561" t="s">
        <v>1505</v>
      </c>
      <c r="WTT68" s="561" t="s">
        <v>1505</v>
      </c>
      <c r="WTU68" s="561" t="s">
        <v>1505</v>
      </c>
      <c r="WTV68" s="561" t="s">
        <v>1505</v>
      </c>
      <c r="WTW68" s="561" t="s">
        <v>1505</v>
      </c>
      <c r="WTX68" s="561" t="s">
        <v>1505</v>
      </c>
      <c r="WTY68" s="561" t="s">
        <v>1505</v>
      </c>
      <c r="WTZ68" s="561" t="s">
        <v>1505</v>
      </c>
      <c r="WUA68" s="561" t="s">
        <v>1505</v>
      </c>
      <c r="WUB68" s="561" t="s">
        <v>1505</v>
      </c>
      <c r="WUC68" s="561" t="s">
        <v>1505</v>
      </c>
      <c r="WUD68" s="561" t="s">
        <v>1505</v>
      </c>
      <c r="WUE68" s="561" t="s">
        <v>1505</v>
      </c>
      <c r="WUF68" s="561" t="s">
        <v>1505</v>
      </c>
      <c r="WUG68" s="561" t="s">
        <v>1505</v>
      </c>
      <c r="WUH68" s="561" t="s">
        <v>1505</v>
      </c>
      <c r="WUI68" s="561" t="s">
        <v>1505</v>
      </c>
      <c r="WUJ68" s="561" t="s">
        <v>1505</v>
      </c>
      <c r="WUK68" s="561" t="s">
        <v>1505</v>
      </c>
      <c r="WUL68" s="561" t="s">
        <v>1505</v>
      </c>
      <c r="WUM68" s="561" t="s">
        <v>1505</v>
      </c>
      <c r="WUN68" s="561" t="s">
        <v>1505</v>
      </c>
      <c r="WUO68" s="561" t="s">
        <v>1505</v>
      </c>
      <c r="WUP68" s="561" t="s">
        <v>1505</v>
      </c>
      <c r="WUQ68" s="561" t="s">
        <v>1505</v>
      </c>
      <c r="WUR68" s="561" t="s">
        <v>1505</v>
      </c>
      <c r="WUS68" s="561" t="s">
        <v>1505</v>
      </c>
      <c r="WUT68" s="561" t="s">
        <v>1505</v>
      </c>
      <c r="WUU68" s="561" t="s">
        <v>1505</v>
      </c>
      <c r="WUV68" s="561" t="s">
        <v>1505</v>
      </c>
      <c r="WUW68" s="561" t="s">
        <v>1505</v>
      </c>
      <c r="WUX68" s="561" t="s">
        <v>1505</v>
      </c>
      <c r="WUY68" s="561" t="s">
        <v>1505</v>
      </c>
      <c r="WUZ68" s="561" t="s">
        <v>1505</v>
      </c>
      <c r="WVA68" s="561" t="s">
        <v>1505</v>
      </c>
      <c r="WVB68" s="561" t="s">
        <v>1505</v>
      </c>
      <c r="WVC68" s="561" t="s">
        <v>1505</v>
      </c>
      <c r="WVD68" s="561" t="s">
        <v>1505</v>
      </c>
      <c r="WVE68" s="561" t="s">
        <v>1505</v>
      </c>
      <c r="WVF68" s="561" t="s">
        <v>1505</v>
      </c>
      <c r="WVG68" s="561" t="s">
        <v>1505</v>
      </c>
      <c r="WVH68" s="561" t="s">
        <v>1505</v>
      </c>
      <c r="WVI68" s="561" t="s">
        <v>1505</v>
      </c>
      <c r="WVJ68" s="561" t="s">
        <v>1505</v>
      </c>
      <c r="WVK68" s="561" t="s">
        <v>1505</v>
      </c>
      <c r="WVL68" s="561" t="s">
        <v>1505</v>
      </c>
      <c r="WVM68" s="561" t="s">
        <v>1505</v>
      </c>
      <c r="WVN68" s="561" t="s">
        <v>1505</v>
      </c>
      <c r="WVO68" s="561" t="s">
        <v>1505</v>
      </c>
      <c r="WVP68" s="561" t="s">
        <v>1505</v>
      </c>
      <c r="WVQ68" s="561" t="s">
        <v>1505</v>
      </c>
      <c r="WVR68" s="561" t="s">
        <v>1505</v>
      </c>
      <c r="WVS68" s="561" t="s">
        <v>1505</v>
      </c>
      <c r="WVT68" s="561" t="s">
        <v>1505</v>
      </c>
      <c r="WVU68" s="561" t="s">
        <v>1505</v>
      </c>
      <c r="WVV68" s="561" t="s">
        <v>1505</v>
      </c>
      <c r="WVW68" s="561" t="s">
        <v>1505</v>
      </c>
      <c r="WVX68" s="561" t="s">
        <v>1505</v>
      </c>
      <c r="WVY68" s="561" t="s">
        <v>1505</v>
      </c>
      <c r="WVZ68" s="561" t="s">
        <v>1505</v>
      </c>
      <c r="WWA68" s="561" t="s">
        <v>1505</v>
      </c>
      <c r="WWB68" s="561" t="s">
        <v>1505</v>
      </c>
      <c r="WWC68" s="561" t="s">
        <v>1505</v>
      </c>
      <c r="WWD68" s="561" t="s">
        <v>1505</v>
      </c>
      <c r="WWE68" s="561" t="s">
        <v>1505</v>
      </c>
      <c r="WWF68" s="561" t="s">
        <v>1505</v>
      </c>
      <c r="WWG68" s="561" t="s">
        <v>1505</v>
      </c>
      <c r="WWH68" s="561" t="s">
        <v>1505</v>
      </c>
      <c r="WWI68" s="561" t="s">
        <v>1505</v>
      </c>
      <c r="WWJ68" s="561" t="s">
        <v>1505</v>
      </c>
      <c r="WWK68" s="561" t="s">
        <v>1505</v>
      </c>
      <c r="WWL68" s="561" t="s">
        <v>1505</v>
      </c>
      <c r="WWM68" s="561" t="s">
        <v>1505</v>
      </c>
      <c r="WWN68" s="561" t="s">
        <v>1505</v>
      </c>
      <c r="WWO68" s="561" t="s">
        <v>1505</v>
      </c>
      <c r="WWP68" s="561" t="s">
        <v>1505</v>
      </c>
      <c r="WWQ68" s="561" t="s">
        <v>1505</v>
      </c>
      <c r="WWR68" s="561" t="s">
        <v>1505</v>
      </c>
      <c r="WWS68" s="561" t="s">
        <v>1505</v>
      </c>
      <c r="WWT68" s="561" t="s">
        <v>1505</v>
      </c>
      <c r="WWU68" s="561" t="s">
        <v>1505</v>
      </c>
      <c r="WWV68" s="561" t="s">
        <v>1505</v>
      </c>
      <c r="WWW68" s="561" t="s">
        <v>1505</v>
      </c>
      <c r="WWX68" s="561" t="s">
        <v>1505</v>
      </c>
      <c r="WWY68" s="561" t="s">
        <v>1505</v>
      </c>
      <c r="WWZ68" s="561" t="s">
        <v>1505</v>
      </c>
      <c r="WXA68" s="561" t="s">
        <v>1505</v>
      </c>
      <c r="WXB68" s="561" t="s">
        <v>1505</v>
      </c>
      <c r="WXC68" s="561" t="s">
        <v>1505</v>
      </c>
      <c r="WXD68" s="561" t="s">
        <v>1505</v>
      </c>
      <c r="WXE68" s="561" t="s">
        <v>1505</v>
      </c>
      <c r="WXF68" s="561" t="s">
        <v>1505</v>
      </c>
      <c r="WXG68" s="561" t="s">
        <v>1505</v>
      </c>
      <c r="WXH68" s="561" t="s">
        <v>1505</v>
      </c>
      <c r="WXI68" s="561" t="s">
        <v>1505</v>
      </c>
      <c r="WXJ68" s="561" t="s">
        <v>1505</v>
      </c>
      <c r="WXK68" s="561" t="s">
        <v>1505</v>
      </c>
      <c r="WXL68" s="561" t="s">
        <v>1505</v>
      </c>
      <c r="WXM68" s="561" t="s">
        <v>1505</v>
      </c>
      <c r="WXN68" s="561" t="s">
        <v>1505</v>
      </c>
      <c r="WXO68" s="561" t="s">
        <v>1505</v>
      </c>
      <c r="WXP68" s="561" t="s">
        <v>1505</v>
      </c>
      <c r="WXQ68" s="561" t="s">
        <v>1505</v>
      </c>
      <c r="WXR68" s="561" t="s">
        <v>1505</v>
      </c>
      <c r="WXS68" s="561" t="s">
        <v>1505</v>
      </c>
      <c r="WXT68" s="561" t="s">
        <v>1505</v>
      </c>
      <c r="WXU68" s="561" t="s">
        <v>1505</v>
      </c>
      <c r="WXV68" s="561" t="s">
        <v>1505</v>
      </c>
      <c r="WXW68" s="561" t="s">
        <v>1505</v>
      </c>
      <c r="WXX68" s="561" t="s">
        <v>1505</v>
      </c>
      <c r="WXY68" s="561" t="s">
        <v>1505</v>
      </c>
      <c r="WXZ68" s="561" t="s">
        <v>1505</v>
      </c>
      <c r="WYA68" s="561" t="s">
        <v>1505</v>
      </c>
      <c r="WYB68" s="561" t="s">
        <v>1505</v>
      </c>
      <c r="WYC68" s="561" t="s">
        <v>1505</v>
      </c>
      <c r="WYD68" s="561" t="s">
        <v>1505</v>
      </c>
      <c r="WYE68" s="561" t="s">
        <v>1505</v>
      </c>
      <c r="WYF68" s="561" t="s">
        <v>1505</v>
      </c>
      <c r="WYG68" s="561" t="s">
        <v>1505</v>
      </c>
      <c r="WYH68" s="561" t="s">
        <v>1505</v>
      </c>
      <c r="WYI68" s="561" t="s">
        <v>1505</v>
      </c>
      <c r="WYJ68" s="561" t="s">
        <v>1505</v>
      </c>
      <c r="WYK68" s="561" t="s">
        <v>1505</v>
      </c>
      <c r="WYL68" s="561" t="s">
        <v>1505</v>
      </c>
      <c r="WYM68" s="561" t="s">
        <v>1505</v>
      </c>
      <c r="WYN68" s="561" t="s">
        <v>1505</v>
      </c>
      <c r="WYO68" s="561" t="s">
        <v>1505</v>
      </c>
      <c r="WYP68" s="561" t="s">
        <v>1505</v>
      </c>
      <c r="WYQ68" s="561" t="s">
        <v>1505</v>
      </c>
      <c r="WYR68" s="561" t="s">
        <v>1505</v>
      </c>
      <c r="WYS68" s="561" t="s">
        <v>1505</v>
      </c>
      <c r="WYT68" s="561" t="s">
        <v>1505</v>
      </c>
      <c r="WYU68" s="561" t="s">
        <v>1505</v>
      </c>
      <c r="WYV68" s="561" t="s">
        <v>1505</v>
      </c>
      <c r="WYW68" s="561" t="s">
        <v>1505</v>
      </c>
      <c r="WYX68" s="561" t="s">
        <v>1505</v>
      </c>
      <c r="WYY68" s="561" t="s">
        <v>1505</v>
      </c>
      <c r="WYZ68" s="561" t="s">
        <v>1505</v>
      </c>
      <c r="WZA68" s="561" t="s">
        <v>1505</v>
      </c>
      <c r="WZB68" s="561" t="s">
        <v>1505</v>
      </c>
      <c r="WZC68" s="561" t="s">
        <v>1505</v>
      </c>
      <c r="WZD68" s="561" t="s">
        <v>1505</v>
      </c>
      <c r="WZE68" s="561" t="s">
        <v>1505</v>
      </c>
      <c r="WZF68" s="561" t="s">
        <v>1505</v>
      </c>
      <c r="WZG68" s="561" t="s">
        <v>1505</v>
      </c>
      <c r="WZH68" s="561" t="s">
        <v>1505</v>
      </c>
      <c r="WZI68" s="561" t="s">
        <v>1505</v>
      </c>
      <c r="WZJ68" s="561" t="s">
        <v>1505</v>
      </c>
      <c r="WZK68" s="561" t="s">
        <v>1505</v>
      </c>
      <c r="WZL68" s="561" t="s">
        <v>1505</v>
      </c>
      <c r="WZM68" s="561" t="s">
        <v>1505</v>
      </c>
      <c r="WZN68" s="561" t="s">
        <v>1505</v>
      </c>
      <c r="WZO68" s="561" t="s">
        <v>1505</v>
      </c>
      <c r="WZP68" s="561" t="s">
        <v>1505</v>
      </c>
      <c r="WZQ68" s="561" t="s">
        <v>1505</v>
      </c>
      <c r="WZR68" s="561" t="s">
        <v>1505</v>
      </c>
      <c r="WZS68" s="561" t="s">
        <v>1505</v>
      </c>
      <c r="WZT68" s="561" t="s">
        <v>1505</v>
      </c>
      <c r="WZU68" s="561" t="s">
        <v>1505</v>
      </c>
      <c r="WZV68" s="561" t="s">
        <v>1505</v>
      </c>
      <c r="WZW68" s="561" t="s">
        <v>1505</v>
      </c>
      <c r="WZX68" s="561" t="s">
        <v>1505</v>
      </c>
      <c r="WZY68" s="561" t="s">
        <v>1505</v>
      </c>
      <c r="WZZ68" s="561" t="s">
        <v>1505</v>
      </c>
      <c r="XAA68" s="561" t="s">
        <v>1505</v>
      </c>
      <c r="XAB68" s="561" t="s">
        <v>1505</v>
      </c>
      <c r="XAC68" s="561" t="s">
        <v>1505</v>
      </c>
      <c r="XAD68" s="561" t="s">
        <v>1505</v>
      </c>
      <c r="XAE68" s="561" t="s">
        <v>1505</v>
      </c>
      <c r="XAF68" s="561" t="s">
        <v>1505</v>
      </c>
      <c r="XAG68" s="561" t="s">
        <v>1505</v>
      </c>
      <c r="XAH68" s="561" t="s">
        <v>1505</v>
      </c>
      <c r="XAI68" s="561" t="s">
        <v>1505</v>
      </c>
      <c r="XAJ68" s="561" t="s">
        <v>1505</v>
      </c>
      <c r="XAK68" s="561" t="s">
        <v>1505</v>
      </c>
      <c r="XAL68" s="561" t="s">
        <v>1505</v>
      </c>
      <c r="XAM68" s="561" t="s">
        <v>1505</v>
      </c>
      <c r="XAN68" s="561" t="s">
        <v>1505</v>
      </c>
      <c r="XAO68" s="561" t="s">
        <v>1505</v>
      </c>
      <c r="XAP68" s="561" t="s">
        <v>1505</v>
      </c>
      <c r="XAQ68" s="561" t="s">
        <v>1505</v>
      </c>
      <c r="XAR68" s="561" t="s">
        <v>1505</v>
      </c>
      <c r="XAS68" s="561" t="s">
        <v>1505</v>
      </c>
      <c r="XAT68" s="561" t="s">
        <v>1505</v>
      </c>
      <c r="XAU68" s="561" t="s">
        <v>1505</v>
      </c>
      <c r="XAV68" s="561" t="s">
        <v>1505</v>
      </c>
      <c r="XAW68" s="561" t="s">
        <v>1505</v>
      </c>
      <c r="XAX68" s="561" t="s">
        <v>1505</v>
      </c>
      <c r="XAY68" s="561" t="s">
        <v>1505</v>
      </c>
      <c r="XAZ68" s="561" t="s">
        <v>1505</v>
      </c>
      <c r="XBA68" s="561" t="s">
        <v>1505</v>
      </c>
      <c r="XBB68" s="561" t="s">
        <v>1505</v>
      </c>
      <c r="XBC68" s="561" t="s">
        <v>1505</v>
      </c>
      <c r="XBD68" s="561" t="s">
        <v>1505</v>
      </c>
      <c r="XBE68" s="561" t="s">
        <v>1505</v>
      </c>
      <c r="XBF68" s="561" t="s">
        <v>1505</v>
      </c>
      <c r="XBG68" s="561" t="s">
        <v>1505</v>
      </c>
      <c r="XBH68" s="561" t="s">
        <v>1505</v>
      </c>
      <c r="XBI68" s="561" t="s">
        <v>1505</v>
      </c>
      <c r="XBJ68" s="561" t="s">
        <v>1505</v>
      </c>
      <c r="XBK68" s="561" t="s">
        <v>1505</v>
      </c>
      <c r="XBL68" s="561" t="s">
        <v>1505</v>
      </c>
    </row>
    <row r="69" spans="1:16288" ht="18.75" x14ac:dyDescent="0.3">
      <c r="C69" s="1524" t="s">
        <v>1364</v>
      </c>
      <c r="D69" s="1520" t="s">
        <v>1434</v>
      </c>
      <c r="E69" s="5429"/>
      <c r="F69" s="1520"/>
      <c r="G69" s="3356">
        <v>0</v>
      </c>
      <c r="H69" s="3356"/>
      <c r="I69" s="3356">
        <v>0</v>
      </c>
      <c r="J69" s="1740"/>
      <c r="K69" s="1738">
        <f t="shared" si="18"/>
        <v>0</v>
      </c>
      <c r="L69" s="3356"/>
      <c r="M69" s="3356">
        <v>0</v>
      </c>
      <c r="N69" s="1745"/>
      <c r="O69" s="1743">
        <f t="shared" si="19"/>
        <v>0</v>
      </c>
      <c r="P69" s="421"/>
      <c r="Q69" s="1521">
        <v>1644.24</v>
      </c>
      <c r="R69" s="1671"/>
      <c r="S69" s="1738">
        <f t="shared" si="44"/>
        <v>1644.24</v>
      </c>
      <c r="T69" s="421"/>
      <c r="U69" s="1579">
        <v>4102</v>
      </c>
      <c r="V69" s="1671"/>
      <c r="W69" s="1738">
        <f t="shared" si="45"/>
        <v>5746.24</v>
      </c>
      <c r="X69" s="421"/>
      <c r="Y69" s="1579">
        <v>0</v>
      </c>
      <c r="Z69" s="1672"/>
      <c r="AA69" s="1743">
        <f t="shared" si="56"/>
        <v>5746.24</v>
      </c>
      <c r="AB69" s="1817"/>
      <c r="AC69" s="1954">
        <f t="shared" si="57"/>
        <v>5746.24</v>
      </c>
      <c r="AD69" s="421"/>
      <c r="AE69" s="1579">
        <v>0</v>
      </c>
      <c r="AF69" s="1671"/>
      <c r="AG69" s="1738">
        <f t="shared" si="48"/>
        <v>5746.24</v>
      </c>
      <c r="AH69" s="421"/>
      <c r="AI69" s="1579">
        <v>0</v>
      </c>
      <c r="AJ69" s="1671"/>
      <c r="AK69" s="1738">
        <f t="shared" si="49"/>
        <v>5746.24</v>
      </c>
      <c r="AL69" s="421"/>
      <c r="AM69" s="1579">
        <v>0</v>
      </c>
      <c r="AN69" s="1672"/>
      <c r="AO69" s="1743">
        <f t="shared" si="55"/>
        <v>0</v>
      </c>
      <c r="AP69" s="1671"/>
      <c r="AQ69" s="1738">
        <f t="shared" si="43"/>
        <v>5746.24</v>
      </c>
      <c r="AR69" s="421"/>
      <c r="AS69" s="1579">
        <v>0</v>
      </c>
      <c r="AT69" s="1671"/>
      <c r="AU69" s="1738">
        <f t="shared" si="50"/>
        <v>5746.24</v>
      </c>
      <c r="AV69" s="421"/>
      <c r="AW69" s="1579">
        <v>0</v>
      </c>
      <c r="AX69" s="1671"/>
      <c r="AY69" s="1738">
        <f t="shared" si="51"/>
        <v>5746.24</v>
      </c>
      <c r="AZ69" s="421"/>
      <c r="BA69" s="1579">
        <v>0</v>
      </c>
      <c r="BB69" s="1672"/>
      <c r="BC69" s="1743">
        <f t="shared" si="12"/>
        <v>0</v>
      </c>
      <c r="BD69" s="1817"/>
      <c r="BE69" s="1954">
        <f t="shared" si="13"/>
        <v>0</v>
      </c>
      <c r="BF69" s="1671"/>
      <c r="BG69" s="1738">
        <f t="shared" si="58"/>
        <v>5746.24</v>
      </c>
      <c r="BH69" s="4090">
        <f>+'GRD SUMM RCL CASTER 3'!AB19</f>
        <v>5746.24</v>
      </c>
    </row>
    <row r="70" spans="1:16288" ht="18.75" x14ac:dyDescent="0.3">
      <c r="C70" s="5424" t="s">
        <v>1531</v>
      </c>
      <c r="D70" s="5424"/>
      <c r="E70" s="5429"/>
      <c r="F70" s="1748"/>
      <c r="G70" s="1753">
        <f>SUM(G61:G69)</f>
        <v>5408</v>
      </c>
      <c r="H70" s="1753"/>
      <c r="I70" s="1753">
        <f>SUM(I61:I69)</f>
        <v>9282</v>
      </c>
      <c r="J70" s="1753"/>
      <c r="K70" s="1750">
        <f t="shared" si="18"/>
        <v>14690</v>
      </c>
      <c r="L70" s="1753"/>
      <c r="M70" s="1753">
        <f>SUM(M61:M69)</f>
        <v>22508</v>
      </c>
      <c r="N70" s="1753"/>
      <c r="O70" s="1750">
        <f t="shared" si="19"/>
        <v>37198</v>
      </c>
      <c r="P70" s="1752"/>
      <c r="Q70" s="1749">
        <f>SUM(Q61:Q69)</f>
        <v>11642.498000000001</v>
      </c>
      <c r="R70" s="1752"/>
      <c r="S70" s="1750">
        <f t="shared" si="17"/>
        <v>48840.498</v>
      </c>
      <c r="T70" s="1752"/>
      <c r="U70" s="1753">
        <f>SUM(U61:U69)</f>
        <v>23304</v>
      </c>
      <c r="V70" s="1752"/>
      <c r="W70" s="1750">
        <f t="shared" si="20"/>
        <v>72144.497999999992</v>
      </c>
      <c r="X70" s="1752"/>
      <c r="Y70" s="1801">
        <f>SUM(Y61:Y69)</f>
        <v>25505.954000000002</v>
      </c>
      <c r="Z70" s="1801">
        <f>SUM(Z61:Z69)</f>
        <v>0</v>
      </c>
      <c r="AA70" s="1801">
        <f>SUM(AA61:AA69)</f>
        <v>60452.452000000005</v>
      </c>
      <c r="AB70" s="1801">
        <f>SUM(AB61:AB69)</f>
        <v>0</v>
      </c>
      <c r="AC70" s="1749">
        <f>SUM(AC61:AC69)</f>
        <v>97650.452000000019</v>
      </c>
      <c r="AD70" s="1752"/>
      <c r="AE70" s="1749">
        <f>SUM(AE61:AE69)</f>
        <v>7397.1</v>
      </c>
      <c r="AF70" s="1752"/>
      <c r="AG70" s="1750">
        <f t="shared" ref="AG70:AG71" si="59">+AC70+AE70</f>
        <v>105047.55200000003</v>
      </c>
      <c r="AH70" s="1752"/>
      <c r="AI70" s="1749">
        <f>SUM(AI61:AI69)</f>
        <v>20152.458000000002</v>
      </c>
      <c r="AJ70" s="1752"/>
      <c r="AK70" s="1750">
        <f t="shared" si="22"/>
        <v>125200.01000000002</v>
      </c>
      <c r="AL70" s="1752"/>
      <c r="AM70" s="1749">
        <f>SUM(AM61:AM69)</f>
        <v>15258.80999999999</v>
      </c>
      <c r="AN70" s="3477"/>
      <c r="AO70" s="1749">
        <f>SUM(AO61:AO69)</f>
        <v>42808.367999999995</v>
      </c>
      <c r="AP70" s="1752"/>
      <c r="AQ70" s="1749">
        <f>SUM(AQ61:AQ69)</f>
        <v>140458.81999999998</v>
      </c>
      <c r="AR70" s="1752"/>
      <c r="AS70" s="1749">
        <f>SUM(AS61:AS69)</f>
        <v>23490.917999999998</v>
      </c>
      <c r="AT70" s="1752"/>
      <c r="AU70" s="1750">
        <f t="shared" si="10"/>
        <v>163949.73799999998</v>
      </c>
      <c r="AV70" s="1752"/>
      <c r="AW70" s="1749">
        <f>SUM(AW61:AW69)</f>
        <v>14902.568000000001</v>
      </c>
      <c r="AX70" s="1752"/>
      <c r="AY70" s="1750">
        <f t="shared" si="11"/>
        <v>178852.30599999998</v>
      </c>
      <c r="AZ70" s="1752"/>
      <c r="BA70" s="1749">
        <f>SUM(BA61:BA69)</f>
        <v>14673.27</v>
      </c>
      <c r="BB70" s="4276"/>
      <c r="BC70" s="1749">
        <f>SUM(BC61:BC69)</f>
        <v>53066.755999999994</v>
      </c>
      <c r="BD70" s="4276">
        <f>SUM(BD61:BD69)</f>
        <v>0</v>
      </c>
      <c r="BE70" s="1749">
        <f>SUM(BE61:BE69)</f>
        <v>95875.123999999982</v>
      </c>
      <c r="BF70" s="1752"/>
      <c r="BG70" s="1750">
        <f t="shared" si="58"/>
        <v>193525.57599999997</v>
      </c>
      <c r="BH70" s="4090">
        <f>SUM(BH61:BH69)</f>
        <v>193525.57599999994</v>
      </c>
    </row>
    <row r="71" spans="1:16288" ht="18.75" x14ac:dyDescent="0.3">
      <c r="C71" s="5417" t="s">
        <v>1365</v>
      </c>
      <c r="D71" s="5417"/>
      <c r="E71" s="5430"/>
      <c r="F71" s="1522"/>
      <c r="G71" s="1523">
        <f>+G70+G60+G46+G41+G33</f>
        <v>84132.594500000007</v>
      </c>
      <c r="H71" s="1523"/>
      <c r="I71" s="1523">
        <f>+I70+I60+I46+I41+I33</f>
        <v>91146.96133333334</v>
      </c>
      <c r="J71" s="1739"/>
      <c r="K71" s="1738">
        <f t="shared" si="18"/>
        <v>175279.55583333335</v>
      </c>
      <c r="L71" s="1523"/>
      <c r="M71" s="1523">
        <f>+M70+M60+M46+M41+M33</f>
        <v>176370.53895618999</v>
      </c>
      <c r="N71" s="1744"/>
      <c r="O71" s="1743">
        <f t="shared" si="19"/>
        <v>351650.09478952334</v>
      </c>
      <c r="P71" s="421"/>
      <c r="Q71" s="1523">
        <f>+Q70+Q60+Q46+Q41+Q33</f>
        <v>176993.45462748411</v>
      </c>
      <c r="R71" s="1671"/>
      <c r="S71" s="1738">
        <f t="shared" si="17"/>
        <v>528643.54941700748</v>
      </c>
      <c r="T71" s="421"/>
      <c r="U71" s="1523">
        <f>+U70+U60+U46+U41+U33</f>
        <v>182420.04386453499</v>
      </c>
      <c r="V71" s="1671"/>
      <c r="W71" s="1738">
        <f t="shared" si="20"/>
        <v>711063.59328154242</v>
      </c>
      <c r="X71" s="421"/>
      <c r="Y71" s="1523">
        <f>+Y70+Y60+Y46+Y41+Y33</f>
        <v>181650.510339</v>
      </c>
      <c r="Z71" s="1672"/>
      <c r="AA71" s="1743">
        <f t="shared" si="23"/>
        <v>541064.00883101905</v>
      </c>
      <c r="AB71" s="1817"/>
      <c r="AC71" s="1954">
        <f t="shared" si="24"/>
        <v>892714.10362054245</v>
      </c>
      <c r="AD71" s="421"/>
      <c r="AE71" s="1523">
        <f>+AE70+AE60+AE46+AE41+AE33</f>
        <v>179064.46231671498</v>
      </c>
      <c r="AF71" s="1671"/>
      <c r="AG71" s="1738">
        <f t="shared" si="59"/>
        <v>1071778.5659372574</v>
      </c>
      <c r="AH71" s="421"/>
      <c r="AI71" s="1523">
        <f>+AI70+AI60+AI46+AI41+AI33</f>
        <v>183765.624175</v>
      </c>
      <c r="AJ71" s="1671"/>
      <c r="AK71" s="1738">
        <f t="shared" si="22"/>
        <v>1255544.1901122574</v>
      </c>
      <c r="AL71" s="421"/>
      <c r="AM71" s="1523">
        <f>+AM70+AM60+AM46+AM41+AM33</f>
        <v>204425.11325850003</v>
      </c>
      <c r="AN71" s="1672"/>
      <c r="AO71" s="1523">
        <f>+AO70+AO60+AO46+AO41+AO33</f>
        <v>567255.19975021505</v>
      </c>
      <c r="AP71" s="1671"/>
      <c r="AQ71" s="1523">
        <f>+AQ70+AQ60+AQ46+AQ41+AQ33</f>
        <v>1459534.7833707575</v>
      </c>
      <c r="AR71" s="421"/>
      <c r="AS71" s="1523">
        <f>+AS70+AS60+AS46+AS41+AS33</f>
        <v>192569.19079877998</v>
      </c>
      <c r="AT71" s="1671"/>
      <c r="AU71" s="1738">
        <f t="shared" si="10"/>
        <v>1652103.9741695374</v>
      </c>
      <c r="AV71" s="421"/>
      <c r="AW71" s="1523">
        <f>+AW70+AW60+AW46+AW41+AW33</f>
        <v>169474.67545745001</v>
      </c>
      <c r="AX71" s="1671"/>
      <c r="AY71" s="1738">
        <f t="shared" si="11"/>
        <v>1821578.6496269875</v>
      </c>
      <c r="AZ71" s="421"/>
      <c r="BA71" s="1523">
        <f>+BA70+BA60+BA46+BA41+BA33</f>
        <v>187478.649</v>
      </c>
      <c r="BB71" s="1672"/>
      <c r="BC71" s="1523">
        <f>+BC70+BC60+BC46+BC41+BC33</f>
        <v>549522.5152562299</v>
      </c>
      <c r="BD71" s="1817"/>
      <c r="BE71" s="1523">
        <f>+BE70+BE60+BE46+BE41+BE33</f>
        <v>1116777.7150064451</v>
      </c>
      <c r="BF71" s="1671"/>
      <c r="BG71" s="1523">
        <f>+BG70+BG60+BG46+BG41+BG33</f>
        <v>2009491.8186269875</v>
      </c>
    </row>
    <row r="72" spans="1:16288" ht="18.75" x14ac:dyDescent="0.3">
      <c r="C72" s="5423" t="s">
        <v>1366</v>
      </c>
      <c r="D72" s="5423"/>
      <c r="E72" s="1520" t="s">
        <v>1367</v>
      </c>
      <c r="F72" s="1520"/>
      <c r="G72" s="1754">
        <f>+G71/G74</f>
        <v>0.9333731466331755</v>
      </c>
      <c r="H72" s="1754"/>
      <c r="I72" s="1754">
        <f t="shared" ref="I72:W72" si="60">+I71/I74</f>
        <v>0.87785434087134395</v>
      </c>
      <c r="J72" s="1754"/>
      <c r="K72" s="1754">
        <f t="shared" si="60"/>
        <v>0.90365436929650456</v>
      </c>
      <c r="L72" s="1754"/>
      <c r="M72" s="1754">
        <f t="shared" si="60"/>
        <v>0.9530476977432325</v>
      </c>
      <c r="N72" s="1754"/>
      <c r="O72" s="1754">
        <f t="shared" si="60"/>
        <v>0.92777060773608222</v>
      </c>
      <c r="P72" s="1754"/>
      <c r="Q72" s="1754">
        <f t="shared" si="60"/>
        <v>0.96752008968718528</v>
      </c>
      <c r="R72" s="1754"/>
      <c r="S72" s="1754">
        <f t="shared" si="60"/>
        <v>0.94071023056273972</v>
      </c>
      <c r="T72" s="1754"/>
      <c r="U72" s="1754">
        <f t="shared" si="60"/>
        <v>0.92053146428334887</v>
      </c>
      <c r="V72" s="1754"/>
      <c r="W72" s="1754">
        <f t="shared" si="60"/>
        <v>0.935449567777071</v>
      </c>
      <c r="X72" s="1754"/>
      <c r="Y72" s="1754">
        <f t="shared" ref="Y72" si="61">+Y71/Y74</f>
        <v>0.95315698620908118</v>
      </c>
      <c r="Z72" s="1953"/>
      <c r="AA72" s="1754">
        <f t="shared" ref="AA72:AC72" si="62">+AA71/AA74</f>
        <v>0.94644376188724366</v>
      </c>
      <c r="AB72" s="1955"/>
      <c r="AC72" s="1754">
        <f t="shared" si="62"/>
        <v>0.93899917460663029</v>
      </c>
      <c r="AD72" s="1754"/>
      <c r="AE72" s="1754">
        <f t="shared" ref="AE72" si="63">+AE71/AE74</f>
        <v>0.91860428050196141</v>
      </c>
      <c r="AF72" s="1754"/>
      <c r="AG72" s="1754">
        <f t="shared" ref="AG72" si="64">+AG71/AG74</f>
        <v>0.93552897410796465</v>
      </c>
      <c r="AH72" s="1754"/>
      <c r="AI72" s="1754">
        <f t="shared" ref="AI72" si="65">+AI71/AI74</f>
        <v>0.95134916352386034</v>
      </c>
      <c r="AJ72" s="3489"/>
      <c r="AK72" s="3489">
        <f t="shared" ref="AK72" si="66">+AK71/AK74</f>
        <v>0.9378115202891073</v>
      </c>
      <c r="AL72" s="3489"/>
      <c r="AM72" s="3489">
        <f t="shared" ref="AM72:AQ72" si="67">+AM71/AM74</f>
        <v>0.97172568593021302</v>
      </c>
      <c r="AN72" s="3489"/>
      <c r="AO72" s="3489">
        <f t="shared" si="67"/>
        <v>0.94784635406405016</v>
      </c>
      <c r="AP72" s="3489"/>
      <c r="AQ72" s="3489">
        <f t="shared" si="67"/>
        <v>0.94213647498808462</v>
      </c>
      <c r="AR72" s="3489"/>
      <c r="AS72" s="3489">
        <f t="shared" ref="AS72" si="68">+AS71/AS74</f>
        <v>0.91476250223946498</v>
      </c>
      <c r="AT72" s="3489"/>
      <c r="AU72" s="3489">
        <f t="shared" ref="AU72" si="69">+AU71/AU74</f>
        <v>0.93886170703030503</v>
      </c>
      <c r="AV72" s="3489"/>
      <c r="AW72" s="3489">
        <f t="shared" ref="AW72" si="70">+AW71/AW74</f>
        <v>0.89062246808712942</v>
      </c>
      <c r="AX72" s="3489"/>
      <c r="AY72" s="3489">
        <f t="shared" ref="AY72" si="71">+AY71/AY74</f>
        <v>0.93415429407279471</v>
      </c>
      <c r="AZ72" s="3489"/>
      <c r="BA72" s="3489">
        <f t="shared" ref="BA72:BC72" si="72">+BA71/BA74</f>
        <v>0.89084816973929382</v>
      </c>
      <c r="BB72" s="3489"/>
      <c r="BC72" s="3489">
        <f t="shared" si="72"/>
        <v>0.89901393151347708</v>
      </c>
      <c r="BD72" s="1955"/>
      <c r="BE72" s="3489">
        <f t="shared" ref="BE72" si="73">+BE71/BE74</f>
        <v>0.92317214212209231</v>
      </c>
      <c r="BF72" s="3489"/>
      <c r="BG72" s="3489">
        <f t="shared" ref="BG72" si="74">+BG71/BG74</f>
        <v>0.93013692080397736</v>
      </c>
    </row>
    <row r="73" spans="1:16288" s="334" customFormat="1" x14ac:dyDescent="0.25">
      <c r="Z73" s="1746"/>
      <c r="AB73" s="1117"/>
      <c r="BD73" s="1117"/>
    </row>
    <row r="74" spans="1:16288" ht="18.75" x14ac:dyDescent="0.3">
      <c r="C74" s="5421" t="s">
        <v>1529</v>
      </c>
      <c r="D74" s="5422"/>
      <c r="E74" s="1522" t="s">
        <v>69</v>
      </c>
      <c r="F74" s="1737">
        <f>+'Maj Production Summ'!E35</f>
        <v>87000</v>
      </c>
      <c r="G74" s="1737">
        <f>+'Maj Production Summ'!F35</f>
        <v>90138.220499999996</v>
      </c>
      <c r="H74" s="1737">
        <f>+'Maj Production Summ'!G35</f>
        <v>91500</v>
      </c>
      <c r="I74" s="1737">
        <f>+'Maj Production Summ'!H35</f>
        <v>103829.25399999999</v>
      </c>
      <c r="J74" s="1742">
        <f>+'Maj Production Summ'!I35</f>
        <v>178500</v>
      </c>
      <c r="K74" s="1742">
        <f>+'Maj Production Summ'!J35</f>
        <v>193967.47450000001</v>
      </c>
      <c r="L74" s="1737">
        <f>+'Maj Production Summ'!K35</f>
        <v>216292</v>
      </c>
      <c r="M74" s="1737">
        <f>+'Maj Production Summ'!L35</f>
        <v>185059.50895618999</v>
      </c>
      <c r="N74" s="1747">
        <f>+'Maj Production Summ'!M35</f>
        <v>394792</v>
      </c>
      <c r="O74" s="1747">
        <f>+'Maj Production Summ'!N35</f>
        <v>379026.98345618998</v>
      </c>
      <c r="P74" s="1737">
        <f>+'Maj Production Summ'!O35</f>
        <v>222392.08989256411</v>
      </c>
      <c r="Q74" s="1737">
        <f>+'Maj Production Summ'!P35</f>
        <v>182935.17262748408</v>
      </c>
      <c r="R74" s="1742">
        <f>+'Maj Production Summ'!Q35</f>
        <v>617184.08989256411</v>
      </c>
      <c r="S74" s="1742">
        <f>+'Maj Production Summ'!R35</f>
        <v>561962.15608367417</v>
      </c>
      <c r="T74" s="1737">
        <f>+'Maj Production Summ'!S35</f>
        <v>222855.22292271996</v>
      </c>
      <c r="U74" s="1737">
        <f>+'Maj Production Summ'!T35</f>
        <v>198168.178864535</v>
      </c>
      <c r="V74" s="1742">
        <f>+'Maj Production Summ'!U35</f>
        <v>840039.31281528401</v>
      </c>
      <c r="W74" s="1742">
        <f>+'Maj Production Summ'!V35</f>
        <v>760130.33494820911</v>
      </c>
      <c r="X74" s="1737">
        <f>+'Maj Production Summ'!W35</f>
        <v>217673.36037437286</v>
      </c>
      <c r="Y74" s="1737">
        <f>+'Maj Production Summ'!X35</f>
        <v>190577.746339</v>
      </c>
      <c r="Z74" s="1747">
        <f>+'Maj Production Summ'!Y35</f>
        <v>662920.67318965693</v>
      </c>
      <c r="AA74" s="1747">
        <f>+'Maj Production Summ'!Z35</f>
        <v>571681.09783101908</v>
      </c>
      <c r="AB74" s="1747">
        <f>+'Maj Production Summ'!AA35</f>
        <v>1057712.6731896568</v>
      </c>
      <c r="AC74" s="1954">
        <f>+'Maj Production Summ'!AB35</f>
        <v>950708.08128720906</v>
      </c>
      <c r="AD74" s="1737">
        <f>+'Maj Production Summ'!AC35</f>
        <v>224143.95531708613</v>
      </c>
      <c r="AE74" s="1737">
        <f>+'Maj Production Summ'!AD35</f>
        <v>194931.01231671503</v>
      </c>
      <c r="AF74" s="1742">
        <f>+'Maj Production Summ'!AE35</f>
        <v>1281856.6285067429</v>
      </c>
      <c r="AG74" s="1742">
        <f>+'Maj Production Summ'!AF35</f>
        <v>1145639.0936039239</v>
      </c>
      <c r="AH74" s="1737">
        <f>+'Maj Production Summ'!AG35</f>
        <v>215673.36037437286</v>
      </c>
      <c r="AI74" s="1737">
        <f>+'Maj Production Summ'!AH35</f>
        <v>193163.17417500002</v>
      </c>
      <c r="AJ74" s="1742">
        <f>+'Maj Production Summ'!AI35</f>
        <v>1497529.9888811158</v>
      </c>
      <c r="AK74" s="1742">
        <f>+'Maj Production Summ'!AJ35</f>
        <v>1338802.2677789242</v>
      </c>
      <c r="AL74" s="1737">
        <f>+'Maj Production Summ'!AK35</f>
        <v>224469.95531708613</v>
      </c>
      <c r="AM74" s="1737">
        <f>+'Maj Production Summ'!AL35</f>
        <v>210373.27325849998</v>
      </c>
      <c r="AN74" s="1737">
        <f>+'Maj Production Summ'!AM35</f>
        <v>664287.27100854507</v>
      </c>
      <c r="AO74" s="1737">
        <f>+'Maj Production Summ'!AN35</f>
        <v>598467.45975021506</v>
      </c>
      <c r="AP74" s="1737">
        <f>+'Maj Production Summ'!AO35</f>
        <v>1721999.9441982019</v>
      </c>
      <c r="AQ74" s="1737">
        <f>+'Maj Production Summ'!AP35</f>
        <v>1549175.541037424</v>
      </c>
      <c r="AR74" s="1737">
        <f>+'Maj Production Summ'!AQ35</f>
        <v>224643.95531708613</v>
      </c>
      <c r="AS74" s="1737">
        <f>+'Maj Production Summ'!AR35</f>
        <v>210512.77279878</v>
      </c>
      <c r="AT74" s="1742">
        <f>+'Maj Production Summ'!AS35</f>
        <v>1946643.8995152882</v>
      </c>
      <c r="AU74" s="1742">
        <f>+'Maj Production Summ'!AT35</f>
        <v>1759688.3138362039</v>
      </c>
      <c r="AV74" s="1737">
        <f>+'Maj Production Summ'!AU35</f>
        <v>198711.2539499889</v>
      </c>
      <c r="AW74" s="1737">
        <f>+'Maj Production Summ'!AV35</f>
        <v>190287.89585944999</v>
      </c>
      <c r="AX74" s="1742">
        <f>+'Maj Production Summ'!AW35</f>
        <v>2145355.153465277</v>
      </c>
      <c r="AY74" s="1742">
        <f>+'Maj Production Summ'!AX35</f>
        <v>1949976.209695654</v>
      </c>
      <c r="AZ74" s="1737">
        <f>+'Maj Production Summ'!AY35</f>
        <v>224643.95531708613</v>
      </c>
      <c r="BA74" s="1737">
        <f>+'Maj Production Summ'!AZ35</f>
        <v>210449.609</v>
      </c>
      <c r="BB74" s="1737">
        <f>+'Maj Production Summ'!BA35</f>
        <v>647999.16458416113</v>
      </c>
      <c r="BC74" s="1737">
        <f>+'Maj Production Summ'!BB35</f>
        <v>611250.27765823004</v>
      </c>
      <c r="BD74" s="1747">
        <f>+'Maj Production Summ'!BC35</f>
        <v>1312286.4355927063</v>
      </c>
      <c r="BE74" s="1737">
        <f>+'Maj Production Summ'!BD35</f>
        <v>1209717.7374084452</v>
      </c>
      <c r="BF74" s="1742">
        <f>+'Maj Production Summ'!BA35</f>
        <v>647999.16458416113</v>
      </c>
      <c r="BG74" s="1737">
        <f>+'Maj Production Summ'!BF35</f>
        <v>2160425.8186956542</v>
      </c>
    </row>
    <row r="75" spans="1:16288" x14ac:dyDescent="0.25">
      <c r="T75" s="1726"/>
      <c r="U75" s="1726"/>
      <c r="V75" s="1726"/>
      <c r="W75" s="1726"/>
      <c r="AD75" s="1726"/>
      <c r="AE75" s="1726"/>
      <c r="AF75" s="1726"/>
      <c r="AG75" s="1726"/>
      <c r="AL75" s="1726"/>
      <c r="AM75" s="1726"/>
      <c r="AP75" s="1726"/>
      <c r="AQ75" s="1726"/>
      <c r="AR75" s="1726"/>
      <c r="AS75" s="1726"/>
      <c r="AT75" s="1726"/>
      <c r="AU75" s="1726"/>
      <c r="AV75" s="1726"/>
      <c r="AW75" s="1726"/>
      <c r="AX75" s="1726"/>
      <c r="AY75" s="1726"/>
      <c r="AZ75" s="4240"/>
      <c r="BA75" s="4240"/>
      <c r="BF75" s="4240"/>
      <c r="BG75" s="4240"/>
    </row>
    <row r="76" spans="1:16288" x14ac:dyDescent="0.25">
      <c r="E76" t="s">
        <v>1919</v>
      </c>
      <c r="T76" s="1726"/>
      <c r="U76" s="1726"/>
      <c r="V76" s="1726"/>
      <c r="W76" s="1726"/>
      <c r="AD76" s="1726"/>
      <c r="AE76" s="1726"/>
      <c r="AF76" s="1726"/>
      <c r="AG76" s="1726"/>
      <c r="AL76" s="1726"/>
      <c r="AM76" s="1726"/>
      <c r="AP76" s="1726"/>
      <c r="AQ76" s="1726"/>
      <c r="AR76" s="1726"/>
      <c r="AS76" s="1726"/>
      <c r="AT76" s="1726"/>
      <c r="AU76" s="1726"/>
      <c r="AV76" s="1726"/>
      <c r="AW76" s="1726"/>
      <c r="AX76" s="1726"/>
      <c r="AY76" s="1726"/>
      <c r="AZ76" s="4240"/>
      <c r="BA76" s="4240"/>
      <c r="BF76" s="4240"/>
      <c r="BG76" s="4240"/>
    </row>
    <row r="77" spans="1:16288" x14ac:dyDescent="0.25">
      <c r="T77" s="1726"/>
      <c r="U77" s="1726"/>
      <c r="V77" s="1726"/>
      <c r="W77" s="1726"/>
      <c r="AD77" s="1726"/>
      <c r="AE77" s="1726"/>
      <c r="AF77" s="1726"/>
      <c r="AG77" s="1726"/>
      <c r="AL77" s="1726"/>
      <c r="AM77" s="1726"/>
      <c r="AP77" s="1726"/>
      <c r="AQ77" s="1726"/>
      <c r="AR77" s="1726"/>
      <c r="AS77" s="1726"/>
      <c r="AT77" s="1726"/>
      <c r="AU77" s="1726"/>
      <c r="AZ77" s="4240"/>
      <c r="BA77" s="4240"/>
      <c r="BF77" s="4240"/>
      <c r="BG77" s="4240"/>
    </row>
    <row r="78" spans="1:16288" x14ac:dyDescent="0.25">
      <c r="T78" s="1726"/>
      <c r="U78" s="1726"/>
      <c r="V78" s="1726"/>
      <c r="W78" s="1726"/>
      <c r="AT78" s="1726"/>
      <c r="AU78" s="1726"/>
      <c r="AZ78" s="4240"/>
      <c r="BA78" s="4240"/>
      <c r="BF78" s="4240"/>
      <c r="BG78" s="4240"/>
    </row>
  </sheetData>
  <mergeCells count="37">
    <mergeCell ref="AZ3:BA3"/>
    <mergeCell ref="BF3:BG3"/>
    <mergeCell ref="BB3:BC3"/>
    <mergeCell ref="BD3:BE3"/>
    <mergeCell ref="E4:E71"/>
    <mergeCell ref="J3:K3"/>
    <mergeCell ref="L3:M3"/>
    <mergeCell ref="T3:U3"/>
    <mergeCell ref="V3:W3"/>
    <mergeCell ref="AD3:AE3"/>
    <mergeCell ref="AF3:AG3"/>
    <mergeCell ref="AH3:AI3"/>
    <mergeCell ref="AJ3:AK3"/>
    <mergeCell ref="AB3:AC3"/>
    <mergeCell ref="AV3:AW3"/>
    <mergeCell ref="AX3:AY3"/>
    <mergeCell ref="C1:AG1"/>
    <mergeCell ref="C74:D74"/>
    <mergeCell ref="N3:O3"/>
    <mergeCell ref="P3:Q3"/>
    <mergeCell ref="R3:S3"/>
    <mergeCell ref="C72:D72"/>
    <mergeCell ref="C33:D33"/>
    <mergeCell ref="C41:D41"/>
    <mergeCell ref="C46:D46"/>
    <mergeCell ref="C60:D60"/>
    <mergeCell ref="C70:D70"/>
    <mergeCell ref="C71:D71"/>
    <mergeCell ref="F3:G3"/>
    <mergeCell ref="X3:Y3"/>
    <mergeCell ref="Z3:AA3"/>
    <mergeCell ref="H3:I3"/>
    <mergeCell ref="AR3:AS3"/>
    <mergeCell ref="AT3:AU3"/>
    <mergeCell ref="AL3:AM3"/>
    <mergeCell ref="AP3:AQ3"/>
    <mergeCell ref="AN3:AO3"/>
  </mergeCells>
  <printOptions horizontalCentered="1" verticalCentered="1"/>
  <pageMargins left="0" right="0" top="0" bottom="0" header="0" footer="0"/>
  <pageSetup scale="55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  <pageSetUpPr fitToPage="1"/>
  </sheetPr>
  <dimension ref="C1:AZ30"/>
  <sheetViews>
    <sheetView workbookViewId="0">
      <pane xSplit="4" ySplit="1" topLeftCell="T2" activePane="bottomRight" state="frozen"/>
      <selection pane="topRight" activeCell="E1" sqref="E1"/>
      <selection pane="bottomLeft" activeCell="A2" sqref="A2"/>
      <selection pane="bottomRight" activeCell="G5" sqref="G5"/>
    </sheetView>
  </sheetViews>
  <sheetFormatPr defaultRowHeight="15" x14ac:dyDescent="0.25"/>
  <cols>
    <col min="3" max="3" width="19" customWidth="1"/>
    <col min="4" max="4" width="9.42578125" bestFit="1" customWidth="1"/>
    <col min="5" max="5" width="11.140625" bestFit="1" customWidth="1"/>
    <col min="6" max="6" width="9.7109375" bestFit="1" customWidth="1"/>
    <col min="7" max="7" width="11.140625" bestFit="1" customWidth="1"/>
    <col min="8" max="8" width="9.7109375" bestFit="1" customWidth="1"/>
    <col min="9" max="9" width="11.140625" bestFit="1" customWidth="1"/>
    <col min="10" max="10" width="9.7109375" bestFit="1" customWidth="1"/>
    <col min="11" max="11" width="11.140625" bestFit="1" customWidth="1"/>
    <col min="12" max="12" width="9.7109375" bestFit="1" customWidth="1"/>
    <col min="13" max="13" width="11.140625" bestFit="1" customWidth="1"/>
    <col min="14" max="14" width="9.7109375" bestFit="1" customWidth="1"/>
    <col min="15" max="15" width="11.140625" bestFit="1" customWidth="1"/>
    <col min="16" max="16" width="9.7109375" bestFit="1" customWidth="1"/>
    <col min="17" max="17" width="11.140625" customWidth="1"/>
    <col min="18" max="18" width="9.7109375" customWidth="1"/>
    <col min="19" max="19" width="11.140625" customWidth="1"/>
    <col min="20" max="20" width="9.7109375" customWidth="1"/>
    <col min="21" max="21" width="11.140625" customWidth="1"/>
    <col min="22" max="22" width="9.7109375" customWidth="1"/>
    <col min="23" max="23" width="11.140625" bestFit="1" customWidth="1"/>
    <col min="24" max="24" width="9.7109375" bestFit="1" customWidth="1"/>
    <col min="25" max="25" width="11.140625" hidden="1" customWidth="1"/>
    <col min="26" max="26" width="9.7109375" hidden="1" customWidth="1"/>
    <col min="27" max="27" width="11.140625" bestFit="1" customWidth="1"/>
    <col min="28" max="28" width="9.7109375" bestFit="1" customWidth="1"/>
    <col min="29" max="29" width="11.140625" hidden="1" customWidth="1"/>
    <col min="30" max="30" width="9.7109375" hidden="1" customWidth="1"/>
    <col min="31" max="31" width="11.140625" bestFit="1" customWidth="1"/>
    <col min="32" max="32" width="9.7109375" bestFit="1" customWidth="1"/>
    <col min="33" max="33" width="11.140625" bestFit="1" customWidth="1"/>
    <col min="34" max="34" width="9.7109375" bestFit="1" customWidth="1"/>
    <col min="35" max="35" width="11.140625" hidden="1" customWidth="1"/>
    <col min="36" max="36" width="9.7109375" hidden="1" customWidth="1"/>
    <col min="37" max="37" width="11.140625" bestFit="1" customWidth="1"/>
    <col min="38" max="38" width="9.7109375" bestFit="1" customWidth="1"/>
    <col min="39" max="40" width="0" hidden="1" customWidth="1"/>
    <col min="41" max="41" width="11.140625" bestFit="1" customWidth="1"/>
    <col min="43" max="43" width="11.140625" hidden="1" customWidth="1"/>
    <col min="44" max="44" width="9.7109375" hidden="1" customWidth="1"/>
    <col min="45" max="45" width="11.140625" bestFit="1" customWidth="1"/>
    <col min="46" max="46" width="9.7109375" bestFit="1" customWidth="1"/>
    <col min="47" max="47" width="11.140625" style="4390" bestFit="1" customWidth="1"/>
    <col min="48" max="48" width="9.7109375" style="4390" customWidth="1"/>
    <col min="49" max="49" width="11.140625" style="4390" bestFit="1" customWidth="1"/>
    <col min="50" max="50" width="9.7109375" style="4390" customWidth="1"/>
    <col min="51" max="51" width="11.140625" bestFit="1" customWidth="1"/>
    <col min="52" max="52" width="9.7109375" bestFit="1" customWidth="1"/>
  </cols>
  <sheetData>
    <row r="1" spans="3:52" ht="23.25" x14ac:dyDescent="0.35">
      <c r="C1" s="5420" t="s">
        <v>1422</v>
      </c>
      <c r="D1" s="5420"/>
      <c r="E1" s="5420"/>
      <c r="F1" s="5420"/>
      <c r="G1" s="5420"/>
      <c r="H1" s="5420"/>
      <c r="I1" s="5420"/>
      <c r="J1" s="5420"/>
      <c r="K1" s="5420"/>
      <c r="L1" s="5420"/>
      <c r="M1" s="5420"/>
      <c r="N1" s="5420"/>
      <c r="O1" s="5420"/>
      <c r="P1" s="5420"/>
      <c r="Q1" s="5420"/>
      <c r="R1" s="5420"/>
      <c r="S1" s="5420"/>
      <c r="T1" s="5420"/>
      <c r="U1" s="5420"/>
      <c r="V1" s="5420"/>
      <c r="W1" s="5420"/>
      <c r="X1" s="5420"/>
      <c r="Y1" s="5420"/>
      <c r="Z1" s="5420"/>
      <c r="AA1" s="5420"/>
      <c r="AB1" s="5420"/>
      <c r="AC1" s="5420"/>
      <c r="AD1" s="5420"/>
      <c r="AE1" s="5420"/>
      <c r="AF1" s="5420"/>
      <c r="AG1" s="5420"/>
      <c r="AH1" s="5420"/>
      <c r="AI1" s="5420"/>
      <c r="AJ1" s="5420"/>
      <c r="AK1" s="5420"/>
      <c r="AL1" s="5420"/>
      <c r="AM1" s="5420"/>
      <c r="AN1" s="5420"/>
    </row>
    <row r="2" spans="3:52" s="1726" customFormat="1" ht="24" thickBot="1" x14ac:dyDescent="0.4">
      <c r="C2" s="3355"/>
      <c r="D2" s="3355"/>
      <c r="E2" s="3355"/>
      <c r="F2" s="3355"/>
      <c r="G2" s="3355"/>
      <c r="H2" s="3355"/>
      <c r="I2" s="3355"/>
      <c r="J2" s="3355"/>
      <c r="K2" s="3355"/>
      <c r="L2" s="3355"/>
      <c r="M2" s="3355"/>
      <c r="N2" s="3355"/>
      <c r="O2" s="3355"/>
      <c r="P2" s="3355"/>
      <c r="Q2" s="3355"/>
      <c r="R2" s="3355"/>
      <c r="S2" s="3355"/>
      <c r="T2" s="3355"/>
      <c r="U2" s="3355"/>
      <c r="V2" s="3355"/>
      <c r="W2" s="3355"/>
      <c r="X2" s="3355"/>
      <c r="Y2" s="3355"/>
      <c r="Z2" s="3355"/>
      <c r="AU2" s="4390"/>
      <c r="AV2" s="4390"/>
      <c r="AW2" s="4390"/>
      <c r="AX2" s="4390"/>
    </row>
    <row r="3" spans="3:52" ht="15.75" thickBot="1" x14ac:dyDescent="0.3">
      <c r="C3" s="3413"/>
      <c r="D3" s="3414"/>
      <c r="E3" s="5433" t="s">
        <v>1349</v>
      </c>
      <c r="F3" s="5433"/>
      <c r="G3" s="5433" t="s">
        <v>1384</v>
      </c>
      <c r="H3" s="5433"/>
      <c r="I3" s="5433" t="s">
        <v>1397</v>
      </c>
      <c r="J3" s="5433"/>
      <c r="K3" s="5438" t="s">
        <v>741</v>
      </c>
      <c r="L3" s="5438"/>
      <c r="M3" s="5433" t="s">
        <v>1424</v>
      </c>
      <c r="N3" s="5433"/>
      <c r="O3" s="5433" t="s">
        <v>1496</v>
      </c>
      <c r="P3" s="5433"/>
      <c r="Q3" s="5433" t="s">
        <v>1573</v>
      </c>
      <c r="R3" s="5433"/>
      <c r="S3" s="5438" t="s">
        <v>788</v>
      </c>
      <c r="T3" s="5438"/>
      <c r="U3" s="5439" t="s">
        <v>784</v>
      </c>
      <c r="V3" s="5439"/>
      <c r="W3" s="5433" t="s">
        <v>1634</v>
      </c>
      <c r="X3" s="5433"/>
      <c r="Y3" s="5433" t="s">
        <v>1635</v>
      </c>
      <c r="Z3" s="5433"/>
      <c r="AA3" s="5433" t="s">
        <v>1671</v>
      </c>
      <c r="AB3" s="5433"/>
      <c r="AC3" s="5436" t="s">
        <v>1672</v>
      </c>
      <c r="AD3" s="5437"/>
      <c r="AE3" s="5433" t="s">
        <v>1696</v>
      </c>
      <c r="AF3" s="5433"/>
      <c r="AG3" s="5434" t="s">
        <v>799</v>
      </c>
      <c r="AH3" s="5435"/>
      <c r="AI3" s="5436" t="s">
        <v>1221</v>
      </c>
      <c r="AJ3" s="5437"/>
      <c r="AK3" s="5451" t="s">
        <v>1760</v>
      </c>
      <c r="AL3" s="5452"/>
      <c r="AM3" s="5436" t="s">
        <v>1761</v>
      </c>
      <c r="AN3" s="5437"/>
      <c r="AO3" s="5451" t="s">
        <v>1812</v>
      </c>
      <c r="AP3" s="5452"/>
      <c r="AQ3" s="5436" t="s">
        <v>809</v>
      </c>
      <c r="AR3" s="5437"/>
      <c r="AS3" s="5433" t="s">
        <v>1844</v>
      </c>
      <c r="AT3" s="5433"/>
      <c r="AU3" s="5434" t="s">
        <v>800</v>
      </c>
      <c r="AV3" s="5435"/>
      <c r="AW3" s="5449" t="s">
        <v>817</v>
      </c>
      <c r="AX3" s="5450"/>
      <c r="AY3" s="5448" t="s">
        <v>1314</v>
      </c>
      <c r="AZ3" s="5437"/>
    </row>
    <row r="4" spans="3:52" ht="15.75" thickBot="1" x14ac:dyDescent="0.3">
      <c r="C4" s="1542" t="s">
        <v>1368</v>
      </c>
      <c r="D4" s="1532"/>
      <c r="E4" s="3354" t="s">
        <v>1378</v>
      </c>
      <c r="F4" s="1542" t="s">
        <v>1379</v>
      </c>
      <c r="G4" s="3354" t="s">
        <v>1378</v>
      </c>
      <c r="H4" s="1542" t="s">
        <v>1379</v>
      </c>
      <c r="I4" s="3354" t="s">
        <v>1378</v>
      </c>
      <c r="J4" s="1542" t="s">
        <v>1379</v>
      </c>
      <c r="K4" s="3396" t="s">
        <v>1378</v>
      </c>
      <c r="L4" s="3397" t="s">
        <v>1379</v>
      </c>
      <c r="M4" s="3354" t="s">
        <v>1378</v>
      </c>
      <c r="N4" s="1542" t="s">
        <v>1379</v>
      </c>
      <c r="O4" s="3354" t="s">
        <v>1378</v>
      </c>
      <c r="P4" s="1542" t="s">
        <v>1379</v>
      </c>
      <c r="Q4" s="3354" t="s">
        <v>1378</v>
      </c>
      <c r="R4" s="1542" t="s">
        <v>1379</v>
      </c>
      <c r="S4" s="3396" t="s">
        <v>1378</v>
      </c>
      <c r="T4" s="3397" t="s">
        <v>1379</v>
      </c>
      <c r="U4" s="3387" t="s">
        <v>1378</v>
      </c>
      <c r="V4" s="3388" t="s">
        <v>1379</v>
      </c>
      <c r="W4" s="3354" t="s">
        <v>1378</v>
      </c>
      <c r="X4" s="1542" t="s">
        <v>1379</v>
      </c>
      <c r="Y4" s="3354" t="s">
        <v>1378</v>
      </c>
      <c r="Z4" s="1542" t="s">
        <v>1379</v>
      </c>
      <c r="AA4" s="3354" t="s">
        <v>1378</v>
      </c>
      <c r="AB4" s="1542" t="s">
        <v>1379</v>
      </c>
      <c r="AC4" s="3406" t="s">
        <v>1378</v>
      </c>
      <c r="AD4" s="3407" t="s">
        <v>1379</v>
      </c>
      <c r="AE4" s="3475" t="s">
        <v>1378</v>
      </c>
      <c r="AF4" s="4410" t="s">
        <v>1379</v>
      </c>
      <c r="AG4" s="4408" t="s">
        <v>1378</v>
      </c>
      <c r="AH4" s="3480" t="s">
        <v>1379</v>
      </c>
      <c r="AI4" s="4422" t="s">
        <v>1378</v>
      </c>
      <c r="AJ4" s="3407" t="s">
        <v>1379</v>
      </c>
      <c r="AK4" s="4410" t="s">
        <v>1378</v>
      </c>
      <c r="AL4" s="1542" t="s">
        <v>1379</v>
      </c>
      <c r="AM4" s="4422" t="s">
        <v>1378</v>
      </c>
      <c r="AN4" s="3407" t="s">
        <v>1379</v>
      </c>
      <c r="AO4" s="4410" t="s">
        <v>1378</v>
      </c>
      <c r="AP4" s="1542" t="s">
        <v>1379</v>
      </c>
      <c r="AQ4" s="4422" t="s">
        <v>1378</v>
      </c>
      <c r="AR4" s="3407" t="s">
        <v>1379</v>
      </c>
      <c r="AS4" s="4410" t="s">
        <v>1378</v>
      </c>
      <c r="AT4" s="4410" t="s">
        <v>1379</v>
      </c>
      <c r="AU4" s="4408" t="s">
        <v>1378</v>
      </c>
      <c r="AV4" s="3480" t="s">
        <v>1379</v>
      </c>
      <c r="AW4" s="4407" t="s">
        <v>1378</v>
      </c>
      <c r="AX4" s="3388" t="s">
        <v>1379</v>
      </c>
      <c r="AY4" s="4389" t="s">
        <v>1378</v>
      </c>
      <c r="AZ4" s="3407" t="s">
        <v>1379</v>
      </c>
    </row>
    <row r="5" spans="3:52" x14ac:dyDescent="0.25">
      <c r="C5" s="5445" t="s">
        <v>17</v>
      </c>
      <c r="D5" s="1541" t="s">
        <v>1369</v>
      </c>
      <c r="E5" s="1535">
        <v>0</v>
      </c>
      <c r="F5" s="1531">
        <v>0</v>
      </c>
      <c r="G5" s="1526">
        <v>3030.08</v>
      </c>
      <c r="H5" s="1531">
        <v>3020.1</v>
      </c>
      <c r="I5" s="1526">
        <v>0</v>
      </c>
      <c r="J5" s="1531">
        <v>0</v>
      </c>
      <c r="K5" s="3398">
        <f>+E5+G5+I5</f>
        <v>3030.08</v>
      </c>
      <c r="L5" s="3398">
        <f>+F5+H5+J5</f>
        <v>3020.1</v>
      </c>
      <c r="M5" s="1526">
        <v>0</v>
      </c>
      <c r="N5" s="1531">
        <v>30.34</v>
      </c>
      <c r="O5" s="1526">
        <v>0</v>
      </c>
      <c r="P5" s="1531">
        <v>0</v>
      </c>
      <c r="Q5" s="1526">
        <v>0</v>
      </c>
      <c r="R5" s="1531">
        <v>0</v>
      </c>
      <c r="S5" s="3398">
        <f t="shared" ref="S5:T7" si="0">+M5+O5+Q5</f>
        <v>0</v>
      </c>
      <c r="T5" s="3398">
        <f t="shared" si="0"/>
        <v>30.34</v>
      </c>
      <c r="U5" s="3389">
        <f t="shared" ref="U5:V7" si="1">+K5+S5</f>
        <v>3030.08</v>
      </c>
      <c r="V5" s="3405">
        <f t="shared" si="1"/>
        <v>3050.44</v>
      </c>
      <c r="W5" s="1526">
        <v>0</v>
      </c>
      <c r="X5" s="1531">
        <v>0</v>
      </c>
      <c r="Y5" s="1526">
        <f>+U5+W5</f>
        <v>3030.08</v>
      </c>
      <c r="Z5" s="1531">
        <f>+V5+X5</f>
        <v>3050.44</v>
      </c>
      <c r="AA5" s="1526">
        <v>0</v>
      </c>
      <c r="AB5" s="1526">
        <v>0</v>
      </c>
      <c r="AC5" s="3408">
        <f>+Y5+AA5</f>
        <v>3030.08</v>
      </c>
      <c r="AD5" s="3415">
        <f>+Z5+AB5</f>
        <v>3050.44</v>
      </c>
      <c r="AE5" s="3228">
        <v>5938.85</v>
      </c>
      <c r="AF5" s="3228">
        <v>5906.57</v>
      </c>
      <c r="AG5" s="3481">
        <f>+W5+AA5+AE5</f>
        <v>5938.85</v>
      </c>
      <c r="AH5" s="4418">
        <f>+X5+AB5+AF5</f>
        <v>5906.57</v>
      </c>
      <c r="AI5" s="4423">
        <f>+AC5+AE5</f>
        <v>8968.93</v>
      </c>
      <c r="AJ5" s="3408">
        <f>+AD5+AF5</f>
        <v>8957.01</v>
      </c>
      <c r="AK5" s="3228">
        <v>4633</v>
      </c>
      <c r="AL5" s="3487">
        <v>4603.6500000000005</v>
      </c>
      <c r="AM5" s="4423">
        <f>+AI5+AK5</f>
        <v>13601.93</v>
      </c>
      <c r="AN5" s="3408">
        <f>+AJ5+AL5</f>
        <v>13560.66</v>
      </c>
      <c r="AO5" s="3228">
        <v>0</v>
      </c>
      <c r="AP5" s="3487">
        <v>0</v>
      </c>
      <c r="AQ5" s="4423">
        <f>+AM5+AO5</f>
        <v>13601.93</v>
      </c>
      <c r="AR5" s="3408">
        <f>+AN5+AP5</f>
        <v>13560.66</v>
      </c>
      <c r="AS5" s="3228">
        <v>0</v>
      </c>
      <c r="AT5" s="3228">
        <v>0</v>
      </c>
      <c r="AU5" s="3481">
        <f>+AK5+AO5+AS5</f>
        <v>4633</v>
      </c>
      <c r="AV5" s="4418">
        <f>+AL5+AP5+AT5</f>
        <v>4603.6500000000005</v>
      </c>
      <c r="AW5" s="3389">
        <f>+AG5+AU5</f>
        <v>10571.85</v>
      </c>
      <c r="AX5" s="3405">
        <f>+AH5+AV5</f>
        <v>10510.220000000001</v>
      </c>
      <c r="AY5" s="3408">
        <f>+AQ5+AS5</f>
        <v>13601.93</v>
      </c>
      <c r="AZ5" s="3415">
        <f>+AR5+AT5</f>
        <v>13560.66</v>
      </c>
    </row>
    <row r="6" spans="3:52" x14ac:dyDescent="0.25">
      <c r="C6" s="5446"/>
      <c r="D6" s="1541" t="s">
        <v>1370</v>
      </c>
      <c r="E6" s="1535">
        <v>0</v>
      </c>
      <c r="F6" s="1531">
        <v>0</v>
      </c>
      <c r="G6" s="1535">
        <v>0</v>
      </c>
      <c r="H6" s="1531">
        <v>0</v>
      </c>
      <c r="I6" s="1535">
        <v>0</v>
      </c>
      <c r="J6" s="1531">
        <v>0</v>
      </c>
      <c r="K6" s="3398">
        <f t="shared" ref="K6:L7" si="2">+E6+G6+I6</f>
        <v>0</v>
      </c>
      <c r="L6" s="3398">
        <f t="shared" si="2"/>
        <v>0</v>
      </c>
      <c r="M6" s="1535">
        <v>0</v>
      </c>
      <c r="N6" s="1531">
        <v>0</v>
      </c>
      <c r="O6" s="1535">
        <v>0</v>
      </c>
      <c r="P6" s="1531">
        <v>0</v>
      </c>
      <c r="Q6" s="1535">
        <v>0</v>
      </c>
      <c r="R6" s="1531">
        <v>0</v>
      </c>
      <c r="S6" s="3398">
        <f t="shared" si="0"/>
        <v>0</v>
      </c>
      <c r="T6" s="3398">
        <f t="shared" si="0"/>
        <v>0</v>
      </c>
      <c r="U6" s="3389">
        <f t="shared" si="1"/>
        <v>0</v>
      </c>
      <c r="V6" s="3405">
        <f t="shared" si="1"/>
        <v>0</v>
      </c>
      <c r="W6" s="1535">
        <v>0</v>
      </c>
      <c r="X6" s="1531">
        <v>0</v>
      </c>
      <c r="Y6" s="1526">
        <f t="shared" ref="Y6:Y7" si="3">+U6+W6</f>
        <v>0</v>
      </c>
      <c r="Z6" s="1531">
        <f t="shared" ref="Z6:Z7" si="4">+V6+X6</f>
        <v>0</v>
      </c>
      <c r="AA6" s="1535">
        <v>0</v>
      </c>
      <c r="AB6" s="1535">
        <v>0</v>
      </c>
      <c r="AC6" s="3408">
        <f t="shared" ref="AC6:AC7" si="5">+Y6+AA6</f>
        <v>0</v>
      </c>
      <c r="AD6" s="3415">
        <f t="shared" ref="AD6:AD7" si="6">+Z6+AB6</f>
        <v>0</v>
      </c>
      <c r="AE6" s="3485">
        <v>0</v>
      </c>
      <c r="AF6" s="3485">
        <v>0</v>
      </c>
      <c r="AG6" s="3481">
        <f t="shared" ref="AG6:AG7" si="7">+W6+AA6+AE6</f>
        <v>0</v>
      </c>
      <c r="AH6" s="4418">
        <f t="shared" ref="AH6:AH7" si="8">+X6+AB6+AF6</f>
        <v>0</v>
      </c>
      <c r="AI6" s="4423">
        <f t="shared" ref="AI6:AI7" si="9">+AC6+AE6</f>
        <v>0</v>
      </c>
      <c r="AJ6" s="3408">
        <f t="shared" ref="AJ6:AJ7" si="10">+AD6+AF6</f>
        <v>0</v>
      </c>
      <c r="AK6" s="3485">
        <v>0</v>
      </c>
      <c r="AL6" s="3487">
        <v>0</v>
      </c>
      <c r="AM6" s="4423">
        <f t="shared" ref="AM6:AM7" si="11">+AI6+AK6</f>
        <v>0</v>
      </c>
      <c r="AN6" s="3408">
        <f t="shared" ref="AN6:AN7" si="12">+AJ6+AL6</f>
        <v>0</v>
      </c>
      <c r="AO6" s="3485">
        <v>0</v>
      </c>
      <c r="AP6" s="3487">
        <v>0</v>
      </c>
      <c r="AQ6" s="4423">
        <f t="shared" ref="AQ6:AQ7" si="13">+AM6+AO6</f>
        <v>0</v>
      </c>
      <c r="AR6" s="3408">
        <f t="shared" ref="AR6:AR7" si="14">+AN6+AP6</f>
        <v>0</v>
      </c>
      <c r="AS6" s="3485">
        <v>0</v>
      </c>
      <c r="AT6" s="3228">
        <v>0</v>
      </c>
      <c r="AU6" s="3481">
        <f t="shared" ref="AU6:AU7" si="15">+AK6+AO6+AS6</f>
        <v>0</v>
      </c>
      <c r="AV6" s="4418">
        <f t="shared" ref="AV6:AV7" si="16">+AL6+AP6+AT6</f>
        <v>0</v>
      </c>
      <c r="AW6" s="3389">
        <f t="shared" ref="AW6:AW7" si="17">+AG6+AU6</f>
        <v>0</v>
      </c>
      <c r="AX6" s="3405">
        <f t="shared" ref="AX6:AX7" si="18">+AH6+AV6</f>
        <v>0</v>
      </c>
      <c r="AY6" s="3408">
        <f t="shared" ref="AY6:AY7" si="19">+AQ6+AS6</f>
        <v>0</v>
      </c>
      <c r="AZ6" s="3415">
        <f t="shared" ref="AZ6:AZ7" si="20">+AR6+AT6</f>
        <v>0</v>
      </c>
    </row>
    <row r="7" spans="3:52" ht="15.75" thickBot="1" x14ac:dyDescent="0.3">
      <c r="C7" s="5446"/>
      <c r="D7" s="1540" t="s">
        <v>1371</v>
      </c>
      <c r="E7" s="1534">
        <v>0</v>
      </c>
      <c r="F7" s="1529">
        <v>0</v>
      </c>
      <c r="G7" s="1543">
        <v>0</v>
      </c>
      <c r="H7" s="1529">
        <v>0</v>
      </c>
      <c r="I7" s="1543">
        <v>0</v>
      </c>
      <c r="J7" s="1529">
        <v>0</v>
      </c>
      <c r="K7" s="3398">
        <f t="shared" si="2"/>
        <v>0</v>
      </c>
      <c r="L7" s="3398">
        <f t="shared" si="2"/>
        <v>0</v>
      </c>
      <c r="M7" s="1543">
        <v>0</v>
      </c>
      <c r="N7" s="1529">
        <v>28.69</v>
      </c>
      <c r="O7" s="1543">
        <v>0</v>
      </c>
      <c r="P7" s="1529">
        <v>0</v>
      </c>
      <c r="Q7" s="1543">
        <v>0</v>
      </c>
      <c r="R7" s="1529">
        <v>0</v>
      </c>
      <c r="S7" s="3398">
        <f t="shared" si="0"/>
        <v>0</v>
      </c>
      <c r="T7" s="3398">
        <f t="shared" si="0"/>
        <v>28.69</v>
      </c>
      <c r="U7" s="3389">
        <f t="shared" si="1"/>
        <v>0</v>
      </c>
      <c r="V7" s="3405">
        <f t="shared" si="1"/>
        <v>28.69</v>
      </c>
      <c r="W7" s="1543">
        <v>0</v>
      </c>
      <c r="X7" s="1529">
        <v>0</v>
      </c>
      <c r="Y7" s="1526">
        <f t="shared" si="3"/>
        <v>0</v>
      </c>
      <c r="Z7" s="1531">
        <f t="shared" si="4"/>
        <v>28.69</v>
      </c>
      <c r="AA7" s="1543">
        <v>0</v>
      </c>
      <c r="AB7" s="1543">
        <v>0</v>
      </c>
      <c r="AC7" s="3408">
        <f t="shared" si="5"/>
        <v>0</v>
      </c>
      <c r="AD7" s="3415">
        <f t="shared" si="6"/>
        <v>28.69</v>
      </c>
      <c r="AE7" s="3486">
        <v>0</v>
      </c>
      <c r="AF7" s="3486">
        <v>0</v>
      </c>
      <c r="AG7" s="3481">
        <f t="shared" si="7"/>
        <v>0</v>
      </c>
      <c r="AH7" s="4418">
        <f t="shared" si="8"/>
        <v>0</v>
      </c>
      <c r="AI7" s="4423">
        <f t="shared" si="9"/>
        <v>0</v>
      </c>
      <c r="AJ7" s="3408">
        <f t="shared" si="10"/>
        <v>28.69</v>
      </c>
      <c r="AK7" s="3486">
        <v>0</v>
      </c>
      <c r="AL7" s="4426">
        <v>0</v>
      </c>
      <c r="AM7" s="4423">
        <f t="shared" si="11"/>
        <v>0</v>
      </c>
      <c r="AN7" s="3408">
        <f t="shared" si="12"/>
        <v>28.69</v>
      </c>
      <c r="AO7" s="3486">
        <v>0</v>
      </c>
      <c r="AP7" s="4426">
        <v>0</v>
      </c>
      <c r="AQ7" s="4423">
        <f t="shared" si="13"/>
        <v>0</v>
      </c>
      <c r="AR7" s="3408">
        <f t="shared" si="14"/>
        <v>28.69</v>
      </c>
      <c r="AS7" s="3486">
        <v>0</v>
      </c>
      <c r="AT7" s="3486">
        <v>0</v>
      </c>
      <c r="AU7" s="3481">
        <f t="shared" si="15"/>
        <v>0</v>
      </c>
      <c r="AV7" s="4418">
        <f t="shared" si="16"/>
        <v>0</v>
      </c>
      <c r="AW7" s="3389">
        <f t="shared" si="17"/>
        <v>0</v>
      </c>
      <c r="AX7" s="3405">
        <f t="shared" si="18"/>
        <v>0</v>
      </c>
      <c r="AY7" s="3408">
        <f t="shared" si="19"/>
        <v>0</v>
      </c>
      <c r="AZ7" s="3415">
        <f t="shared" si="20"/>
        <v>28.69</v>
      </c>
    </row>
    <row r="8" spans="3:52" ht="15.75" thickBot="1" x14ac:dyDescent="0.3">
      <c r="C8" s="5447"/>
      <c r="D8" s="1539" t="s">
        <v>2</v>
      </c>
      <c r="E8" s="1544">
        <f t="shared" ref="E8:L8" si="21">SUM(E5:E7)</f>
        <v>0</v>
      </c>
      <c r="F8" s="1544">
        <f t="shared" si="21"/>
        <v>0</v>
      </c>
      <c r="G8" s="1544">
        <f t="shared" si="21"/>
        <v>3030.08</v>
      </c>
      <c r="H8" s="1544">
        <f t="shared" si="21"/>
        <v>3020.1</v>
      </c>
      <c r="I8" s="1544">
        <f t="shared" si="21"/>
        <v>0</v>
      </c>
      <c r="J8" s="1544">
        <f t="shared" si="21"/>
        <v>0</v>
      </c>
      <c r="K8" s="3399">
        <f t="shared" si="21"/>
        <v>3030.08</v>
      </c>
      <c r="L8" s="3400">
        <f t="shared" si="21"/>
        <v>3020.1</v>
      </c>
      <c r="M8" s="1544">
        <f t="shared" ref="M8:N8" si="22">SUM(M5:M7)</f>
        <v>0</v>
      </c>
      <c r="N8" s="1544">
        <f t="shared" si="22"/>
        <v>59.03</v>
      </c>
      <c r="O8" s="1544">
        <f t="shared" ref="O8:P8" si="23">SUM(O5:O7)</f>
        <v>0</v>
      </c>
      <c r="P8" s="1544">
        <f t="shared" si="23"/>
        <v>0</v>
      </c>
      <c r="Q8" s="1544">
        <f t="shared" ref="Q8:Z8" si="24">SUM(Q5:Q7)</f>
        <v>0</v>
      </c>
      <c r="R8" s="1544">
        <f t="shared" si="24"/>
        <v>0</v>
      </c>
      <c r="S8" s="3399">
        <f t="shared" si="24"/>
        <v>0</v>
      </c>
      <c r="T8" s="3400">
        <f t="shared" si="24"/>
        <v>59.03</v>
      </c>
      <c r="U8" s="3390">
        <f t="shared" si="24"/>
        <v>3030.08</v>
      </c>
      <c r="V8" s="3391">
        <f t="shared" si="24"/>
        <v>3079.13</v>
      </c>
      <c r="W8" s="1544">
        <f t="shared" si="24"/>
        <v>0</v>
      </c>
      <c r="X8" s="1544">
        <f t="shared" si="24"/>
        <v>0</v>
      </c>
      <c r="Y8" s="1544">
        <f t="shared" si="24"/>
        <v>3030.08</v>
      </c>
      <c r="Z8" s="1528">
        <f t="shared" si="24"/>
        <v>3079.13</v>
      </c>
      <c r="AA8" s="1544">
        <f t="shared" ref="AA8:AD8" si="25">SUM(AA5:AA7)</f>
        <v>0</v>
      </c>
      <c r="AB8" s="1544">
        <f t="shared" si="25"/>
        <v>0</v>
      </c>
      <c r="AC8" s="3409">
        <f t="shared" si="25"/>
        <v>3030.08</v>
      </c>
      <c r="AD8" s="3410">
        <f t="shared" si="25"/>
        <v>3079.13</v>
      </c>
      <c r="AE8" s="1544">
        <f t="shared" ref="AE8:AF8" si="26">SUM(AE5:AE7)</f>
        <v>5938.85</v>
      </c>
      <c r="AF8" s="1544">
        <f t="shared" si="26"/>
        <v>5906.57</v>
      </c>
      <c r="AG8" s="3482">
        <f>SUM(AG5:AG7)</f>
        <v>5938.85</v>
      </c>
      <c r="AH8" s="4419">
        <f>SUM(AH5:AH7)</f>
        <v>5906.57</v>
      </c>
      <c r="AI8" s="4424">
        <f>SUM(AI5:AI7)</f>
        <v>8968.93</v>
      </c>
      <c r="AJ8" s="3409">
        <f>SUM(AJ5:AJ7)</f>
        <v>8985.7000000000007</v>
      </c>
      <c r="AK8" s="1544">
        <f t="shared" ref="AK8:AL8" si="27">SUM(AK5:AK7)</f>
        <v>4633</v>
      </c>
      <c r="AL8" s="1528">
        <f t="shared" si="27"/>
        <v>4603.6500000000005</v>
      </c>
      <c r="AM8" s="4424">
        <f>SUM(AM5:AM7)</f>
        <v>13601.93</v>
      </c>
      <c r="AN8" s="3409">
        <f>SUM(AN5:AN7)</f>
        <v>13589.35</v>
      </c>
      <c r="AO8" s="1544">
        <f t="shared" ref="AO8:AP8" si="28">SUM(AO5:AO7)</f>
        <v>0</v>
      </c>
      <c r="AP8" s="1528">
        <f t="shared" si="28"/>
        <v>0</v>
      </c>
      <c r="AQ8" s="4424">
        <f>SUM(AQ5:AQ7)</f>
        <v>13601.93</v>
      </c>
      <c r="AR8" s="3409">
        <f>SUM(AR5:AR7)</f>
        <v>13589.35</v>
      </c>
      <c r="AS8" s="1544">
        <f t="shared" ref="AS8:AT8" si="29">SUM(AS5:AS7)</f>
        <v>0</v>
      </c>
      <c r="AT8" s="1544">
        <f t="shared" si="29"/>
        <v>0</v>
      </c>
      <c r="AU8" s="3482">
        <f>SUM(AU5:AU7)</f>
        <v>4633</v>
      </c>
      <c r="AV8" s="4419">
        <f>SUM(AV5:AV7)</f>
        <v>4603.6500000000005</v>
      </c>
      <c r="AW8" s="3390">
        <f t="shared" ref="AW8:AX8" si="30">SUM(AW5:AW7)</f>
        <v>10571.85</v>
      </c>
      <c r="AX8" s="3391">
        <f t="shared" si="30"/>
        <v>10510.220000000001</v>
      </c>
      <c r="AY8" s="3409">
        <f>SUM(AY5:AY7)</f>
        <v>13601.93</v>
      </c>
      <c r="AZ8" s="3410">
        <f>SUM(AZ5:AZ7)</f>
        <v>13589.35</v>
      </c>
    </row>
    <row r="9" spans="3:52" x14ac:dyDescent="0.25">
      <c r="C9" s="5442" t="s">
        <v>1372</v>
      </c>
      <c r="D9" s="1541" t="s">
        <v>1373</v>
      </c>
      <c r="E9" s="1535">
        <v>0</v>
      </c>
      <c r="F9" s="1531">
        <v>31.03</v>
      </c>
      <c r="G9" s="1526">
        <v>4664.88</v>
      </c>
      <c r="H9" s="1531">
        <v>4838.28</v>
      </c>
      <c r="I9" s="1526">
        <v>4633.9699999999993</v>
      </c>
      <c r="J9" s="1531">
        <v>4507</v>
      </c>
      <c r="K9" s="3398">
        <f t="shared" ref="K9:L12" si="31">+E9+G9+I9</f>
        <v>9298.8499999999985</v>
      </c>
      <c r="L9" s="3398">
        <f t="shared" si="31"/>
        <v>9376.31</v>
      </c>
      <c r="M9" s="1526">
        <v>2075.6750000000002</v>
      </c>
      <c r="N9" s="1531">
        <v>1671.96</v>
      </c>
      <c r="O9" s="3228">
        <v>3881.41</v>
      </c>
      <c r="P9" s="1531">
        <v>4277.2199999999993</v>
      </c>
      <c r="Q9" s="3228">
        <v>4939.1799999999994</v>
      </c>
      <c r="R9" s="1531">
        <v>4861.88</v>
      </c>
      <c r="S9" s="3398">
        <f t="shared" ref="S9:T12" si="32">+M9+O9+Q9</f>
        <v>10896.264999999999</v>
      </c>
      <c r="T9" s="3398">
        <f t="shared" si="32"/>
        <v>10811.06</v>
      </c>
      <c r="U9" s="3389">
        <f t="shared" ref="U9:V12" si="33">+K9+S9</f>
        <v>20195.114999999998</v>
      </c>
      <c r="V9" s="3405">
        <f t="shared" si="33"/>
        <v>20187.37</v>
      </c>
      <c r="W9" s="1526">
        <v>0</v>
      </c>
      <c r="X9" s="1531">
        <v>0</v>
      </c>
      <c r="Y9" s="1526">
        <f t="shared" ref="Y9:Y12" si="34">+U9+W9</f>
        <v>20195.114999999998</v>
      </c>
      <c r="Z9" s="1531">
        <f t="shared" ref="Z9:Z12" si="35">+V9+X9</f>
        <v>20187.37</v>
      </c>
      <c r="AA9" s="1526">
        <f>+BM!AH42</f>
        <v>5286.4350000000004</v>
      </c>
      <c r="AB9" s="1531">
        <v>5232.2999999999993</v>
      </c>
      <c r="AC9" s="3408">
        <f t="shared" ref="AC9:AC12" si="36">+Y9+AA9</f>
        <v>25481.55</v>
      </c>
      <c r="AD9" s="3415">
        <f t="shared" ref="AD9:AD12" si="37">+Z9+AB9</f>
        <v>25419.67</v>
      </c>
      <c r="AE9" s="3228">
        <v>0</v>
      </c>
      <c r="AF9" s="3228">
        <v>0</v>
      </c>
      <c r="AG9" s="3481">
        <f t="shared" ref="AG9:AG12" si="38">+W9+AA9+AE9</f>
        <v>5286.4350000000004</v>
      </c>
      <c r="AH9" s="4418">
        <f t="shared" ref="AH9:AH12" si="39">+X9+AB9+AF9</f>
        <v>5232.2999999999993</v>
      </c>
      <c r="AI9" s="4423">
        <f t="shared" ref="AI9:AI12" si="40">+AC9+AE9</f>
        <v>25481.55</v>
      </c>
      <c r="AJ9" s="3408">
        <f t="shared" ref="AJ9:AJ12" si="41">+AD9+AF9</f>
        <v>25419.67</v>
      </c>
      <c r="AK9" s="3228">
        <v>0</v>
      </c>
      <c r="AL9" s="3487">
        <v>0</v>
      </c>
      <c r="AM9" s="4423">
        <f t="shared" ref="AM9:AM12" si="42">+AI9+AK9</f>
        <v>25481.55</v>
      </c>
      <c r="AN9" s="3408">
        <f t="shared" ref="AN9:AN12" si="43">+AJ9+AL9</f>
        <v>25419.67</v>
      </c>
      <c r="AO9" s="3228">
        <v>1805.02</v>
      </c>
      <c r="AP9" s="3487">
        <v>1782.6999999999998</v>
      </c>
      <c r="AQ9" s="4423">
        <f t="shared" ref="AQ9:AQ12" si="44">+AM9+AO9</f>
        <v>27286.57</v>
      </c>
      <c r="AR9" s="3408">
        <f t="shared" ref="AR9:AR12" si="45">+AN9+AP9</f>
        <v>27202.37</v>
      </c>
      <c r="AS9" s="3228">
        <v>0</v>
      </c>
      <c r="AT9" s="3228"/>
      <c r="AU9" s="3481">
        <f t="shared" ref="AU9:AU12" si="46">+AK9+AO9+AS9</f>
        <v>1805.02</v>
      </c>
      <c r="AV9" s="4418">
        <f t="shared" ref="AV9:AV12" si="47">+AL9+AP9+AT9</f>
        <v>1782.6999999999998</v>
      </c>
      <c r="AW9" s="3389">
        <f t="shared" ref="AW9:AW12" si="48">+AG9+AU9</f>
        <v>7091.4549999999999</v>
      </c>
      <c r="AX9" s="3405">
        <f t="shared" ref="AX9:AX12" si="49">+AH9+AV9</f>
        <v>7014.9999999999991</v>
      </c>
      <c r="AY9" s="3408">
        <f t="shared" ref="AY9:AY12" si="50">+AQ9+AS9</f>
        <v>27286.57</v>
      </c>
      <c r="AZ9" s="3415">
        <f t="shared" ref="AZ9:AZ12" si="51">+AR9+AT9</f>
        <v>27202.37</v>
      </c>
    </row>
    <row r="10" spans="3:52" x14ac:dyDescent="0.25">
      <c r="C10" s="5443"/>
      <c r="D10" s="1541" t="s">
        <v>1374</v>
      </c>
      <c r="E10" s="1526">
        <v>4756.67</v>
      </c>
      <c r="F10" s="1531">
        <v>4734.2299999999996</v>
      </c>
      <c r="G10" s="1526">
        <v>1386.51</v>
      </c>
      <c r="H10" s="1531">
        <v>638.04</v>
      </c>
      <c r="I10" s="1526">
        <v>3967.3</v>
      </c>
      <c r="J10" s="1531">
        <v>4669</v>
      </c>
      <c r="K10" s="3398">
        <f t="shared" si="31"/>
        <v>10110.48</v>
      </c>
      <c r="L10" s="3398">
        <f t="shared" si="31"/>
        <v>10041.27</v>
      </c>
      <c r="M10" s="1526">
        <v>3355.8449999999998</v>
      </c>
      <c r="N10" s="1531">
        <v>3402.1</v>
      </c>
      <c r="O10" s="3228">
        <v>0</v>
      </c>
      <c r="P10" s="1531">
        <v>0</v>
      </c>
      <c r="Q10" s="3228">
        <v>6427.4349999999995</v>
      </c>
      <c r="R10" s="1531">
        <v>6380.02</v>
      </c>
      <c r="S10" s="3398">
        <f t="shared" si="32"/>
        <v>9783.2799999999988</v>
      </c>
      <c r="T10" s="3398">
        <f t="shared" si="32"/>
        <v>9782.1200000000008</v>
      </c>
      <c r="U10" s="3389">
        <f t="shared" si="33"/>
        <v>19893.759999999998</v>
      </c>
      <c r="V10" s="3405">
        <f t="shared" si="33"/>
        <v>19823.39</v>
      </c>
      <c r="W10" s="1526">
        <v>2963.2049999999999</v>
      </c>
      <c r="X10" s="1531">
        <v>884.1500000000002</v>
      </c>
      <c r="Y10" s="1526">
        <f t="shared" si="34"/>
        <v>22856.964999999997</v>
      </c>
      <c r="Z10" s="1531">
        <f t="shared" si="35"/>
        <v>20707.54</v>
      </c>
      <c r="AA10" s="1526">
        <f>+BM!AH27</f>
        <v>5604.45</v>
      </c>
      <c r="AB10" s="1531">
        <v>7543.9599999999991</v>
      </c>
      <c r="AC10" s="3408">
        <f t="shared" si="36"/>
        <v>28461.414999999997</v>
      </c>
      <c r="AD10" s="3415">
        <f t="shared" si="37"/>
        <v>28251.5</v>
      </c>
      <c r="AE10" s="3228">
        <v>2216.7799999999997</v>
      </c>
      <c r="AF10" s="3228">
        <v>2258.7199999999998</v>
      </c>
      <c r="AG10" s="3481">
        <f t="shared" si="38"/>
        <v>10784.434999999998</v>
      </c>
      <c r="AH10" s="4418">
        <f t="shared" si="39"/>
        <v>10686.829999999998</v>
      </c>
      <c r="AI10" s="4423">
        <f t="shared" si="40"/>
        <v>30678.194999999996</v>
      </c>
      <c r="AJ10" s="3408">
        <f t="shared" si="41"/>
        <v>30510.22</v>
      </c>
      <c r="AK10" s="3228">
        <v>6371.2449999999999</v>
      </c>
      <c r="AL10" s="3487">
        <v>6305.5600000000013</v>
      </c>
      <c r="AM10" s="4423">
        <f t="shared" si="42"/>
        <v>37049.439999999995</v>
      </c>
      <c r="AN10" s="3408">
        <f t="shared" si="43"/>
        <v>36815.78</v>
      </c>
      <c r="AO10" s="3228">
        <v>5362.9899999999989</v>
      </c>
      <c r="AP10" s="3487">
        <v>2420.7399999999998</v>
      </c>
      <c r="AQ10" s="4423">
        <f t="shared" si="44"/>
        <v>42412.429999999993</v>
      </c>
      <c r="AR10" s="3408">
        <f t="shared" si="45"/>
        <v>39236.519999999997</v>
      </c>
      <c r="AS10" s="3228">
        <v>8385.93</v>
      </c>
      <c r="AT10" s="3228">
        <v>11266.839999999997</v>
      </c>
      <c r="AU10" s="3481">
        <f t="shared" si="46"/>
        <v>20120.165000000001</v>
      </c>
      <c r="AV10" s="4418">
        <f t="shared" si="47"/>
        <v>19993.14</v>
      </c>
      <c r="AW10" s="3389">
        <f t="shared" si="48"/>
        <v>30904.6</v>
      </c>
      <c r="AX10" s="3405">
        <f t="shared" si="49"/>
        <v>30679.969999999998</v>
      </c>
      <c r="AY10" s="3408">
        <f t="shared" si="50"/>
        <v>50798.359999999993</v>
      </c>
      <c r="AZ10" s="3415">
        <f t="shared" si="51"/>
        <v>50503.359999999993</v>
      </c>
    </row>
    <row r="11" spans="3:52" x14ac:dyDescent="0.25">
      <c r="C11" s="5443"/>
      <c r="D11" s="1541" t="s">
        <v>1375</v>
      </c>
      <c r="E11" s="1526">
        <v>0</v>
      </c>
      <c r="F11" s="1531">
        <v>294.33999999999997</v>
      </c>
      <c r="G11" s="1526">
        <v>4607</v>
      </c>
      <c r="H11" s="1531">
        <v>4643.87</v>
      </c>
      <c r="I11" s="1526">
        <v>3484.68</v>
      </c>
      <c r="J11" s="1531">
        <v>2946</v>
      </c>
      <c r="K11" s="3398">
        <f t="shared" si="31"/>
        <v>8091.68</v>
      </c>
      <c r="L11" s="3398">
        <f t="shared" si="31"/>
        <v>7884.21</v>
      </c>
      <c r="M11" s="1526">
        <v>0</v>
      </c>
      <c r="N11" s="1531">
        <v>504.9</v>
      </c>
      <c r="O11" s="3228">
        <v>3790.8650000000002</v>
      </c>
      <c r="P11" s="1531">
        <v>3804.91</v>
      </c>
      <c r="Q11" s="3228">
        <v>3144.8</v>
      </c>
      <c r="R11" s="1531">
        <v>3054.1100000000006</v>
      </c>
      <c r="S11" s="3398">
        <f t="shared" si="32"/>
        <v>6935.6650000000009</v>
      </c>
      <c r="T11" s="3398">
        <f t="shared" si="32"/>
        <v>7363.92</v>
      </c>
      <c r="U11" s="3389">
        <f t="shared" si="33"/>
        <v>15027.345000000001</v>
      </c>
      <c r="V11" s="3405">
        <f t="shared" si="33"/>
        <v>15248.130000000001</v>
      </c>
      <c r="W11" s="1526">
        <v>5122.2</v>
      </c>
      <c r="X11" s="1531">
        <v>5110.1700000000037</v>
      </c>
      <c r="Y11" s="1526">
        <f t="shared" si="34"/>
        <v>20149.545000000002</v>
      </c>
      <c r="Z11" s="1531">
        <f t="shared" si="35"/>
        <v>20358.300000000003</v>
      </c>
      <c r="AA11" s="1526">
        <f>+BM!AH32</f>
        <v>0</v>
      </c>
      <c r="AB11" s="1531">
        <v>0</v>
      </c>
      <c r="AC11" s="3408">
        <f t="shared" si="36"/>
        <v>20149.545000000002</v>
      </c>
      <c r="AD11" s="3415">
        <f t="shared" si="37"/>
        <v>20358.300000000003</v>
      </c>
      <c r="AE11" s="3228">
        <v>3711.6749999999997</v>
      </c>
      <c r="AF11" s="3228">
        <v>3702.82</v>
      </c>
      <c r="AG11" s="3481">
        <f t="shared" si="38"/>
        <v>8833.875</v>
      </c>
      <c r="AH11" s="4418">
        <f t="shared" si="39"/>
        <v>8812.9900000000034</v>
      </c>
      <c r="AI11" s="4423">
        <f t="shared" si="40"/>
        <v>23861.22</v>
      </c>
      <c r="AJ11" s="3408">
        <f t="shared" si="41"/>
        <v>24061.120000000003</v>
      </c>
      <c r="AK11" s="3228">
        <v>6927.1149999999998</v>
      </c>
      <c r="AL11" s="3487">
        <v>6930.74</v>
      </c>
      <c r="AM11" s="4423">
        <f t="shared" si="42"/>
        <v>30788.334999999999</v>
      </c>
      <c r="AN11" s="3408">
        <f t="shared" si="43"/>
        <v>30991.86</v>
      </c>
      <c r="AO11" s="3228">
        <v>1878.7999999999997</v>
      </c>
      <c r="AP11" s="3487">
        <v>1832.42</v>
      </c>
      <c r="AQ11" s="4423">
        <f t="shared" si="44"/>
        <v>32667.134999999998</v>
      </c>
      <c r="AR11" s="3408">
        <f t="shared" si="45"/>
        <v>32824.28</v>
      </c>
      <c r="AS11" s="3228">
        <v>4979.59</v>
      </c>
      <c r="AT11" s="3228">
        <v>4952.7700000000004</v>
      </c>
      <c r="AU11" s="3481">
        <f t="shared" si="46"/>
        <v>13785.504999999999</v>
      </c>
      <c r="AV11" s="4418">
        <f t="shared" si="47"/>
        <v>13715.93</v>
      </c>
      <c r="AW11" s="3389">
        <f t="shared" si="48"/>
        <v>22619.379999999997</v>
      </c>
      <c r="AX11" s="3405">
        <f t="shared" si="49"/>
        <v>22528.920000000006</v>
      </c>
      <c r="AY11" s="3408">
        <f t="shared" si="50"/>
        <v>37646.724999999999</v>
      </c>
      <c r="AZ11" s="3415">
        <f t="shared" si="51"/>
        <v>37777.050000000003</v>
      </c>
    </row>
    <row r="12" spans="3:52" ht="15.75" thickBot="1" x14ac:dyDescent="0.3">
      <c r="C12" s="5443"/>
      <c r="D12" s="1538" t="s">
        <v>1376</v>
      </c>
      <c r="E12" s="1533">
        <v>0</v>
      </c>
      <c r="F12" s="1527">
        <v>1812.01</v>
      </c>
      <c r="G12" s="1533">
        <v>7950.53</v>
      </c>
      <c r="H12" s="1527">
        <v>7924.12</v>
      </c>
      <c r="I12" s="1533">
        <v>0</v>
      </c>
      <c r="J12" s="1527">
        <v>0</v>
      </c>
      <c r="K12" s="3398">
        <f t="shared" si="31"/>
        <v>7950.53</v>
      </c>
      <c r="L12" s="3398">
        <f t="shared" si="31"/>
        <v>9736.1299999999992</v>
      </c>
      <c r="M12" s="1533">
        <v>3276.09</v>
      </c>
      <c r="N12" s="1527">
        <v>3208.95</v>
      </c>
      <c r="O12" s="3229">
        <v>3879.3649999999998</v>
      </c>
      <c r="P12" s="1527">
        <v>3832.46</v>
      </c>
      <c r="Q12" s="3229">
        <v>0</v>
      </c>
      <c r="R12" s="1527">
        <v>0</v>
      </c>
      <c r="S12" s="3398">
        <f t="shared" si="32"/>
        <v>7155.4549999999999</v>
      </c>
      <c r="T12" s="3398">
        <f t="shared" si="32"/>
        <v>7041.41</v>
      </c>
      <c r="U12" s="3389">
        <f t="shared" si="33"/>
        <v>15105.985000000001</v>
      </c>
      <c r="V12" s="3405">
        <f t="shared" si="33"/>
        <v>16777.54</v>
      </c>
      <c r="W12" s="1533">
        <v>5525.59</v>
      </c>
      <c r="X12" s="1527">
        <v>5475.3700000000017</v>
      </c>
      <c r="Y12" s="1526">
        <f t="shared" si="34"/>
        <v>20631.575000000001</v>
      </c>
      <c r="Z12" s="1531">
        <f t="shared" si="35"/>
        <v>22252.910000000003</v>
      </c>
      <c r="AA12" s="1533">
        <f>+BM!AH40</f>
        <v>6573.3350000000009</v>
      </c>
      <c r="AB12" s="1527">
        <v>3615.4700000000003</v>
      </c>
      <c r="AC12" s="3408">
        <f t="shared" si="36"/>
        <v>27204.910000000003</v>
      </c>
      <c r="AD12" s="3415">
        <f t="shared" si="37"/>
        <v>25868.380000000005</v>
      </c>
      <c r="AE12" s="3229">
        <v>2333.3449999999998</v>
      </c>
      <c r="AF12" s="3229">
        <v>5150.4499999999989</v>
      </c>
      <c r="AG12" s="3481">
        <f t="shared" si="38"/>
        <v>14432.27</v>
      </c>
      <c r="AH12" s="4418">
        <f t="shared" si="39"/>
        <v>14241.29</v>
      </c>
      <c r="AI12" s="4423">
        <f t="shared" si="40"/>
        <v>29538.255000000005</v>
      </c>
      <c r="AJ12" s="3408">
        <f t="shared" si="41"/>
        <v>31018.83</v>
      </c>
      <c r="AK12" s="3229">
        <v>0</v>
      </c>
      <c r="AL12" s="3488">
        <v>0</v>
      </c>
      <c r="AM12" s="4423">
        <f t="shared" si="42"/>
        <v>29538.255000000005</v>
      </c>
      <c r="AN12" s="3408">
        <f t="shared" si="43"/>
        <v>31018.83</v>
      </c>
      <c r="AO12" s="3229">
        <v>6613.8179999999993</v>
      </c>
      <c r="AP12" s="3488">
        <v>6543.5600000000031</v>
      </c>
      <c r="AQ12" s="4423">
        <f t="shared" si="44"/>
        <v>36152.073000000004</v>
      </c>
      <c r="AR12" s="3408">
        <f t="shared" si="45"/>
        <v>37562.390000000007</v>
      </c>
      <c r="AS12" s="3229">
        <v>4914.6299999999992</v>
      </c>
      <c r="AT12" s="3229">
        <v>4462.91</v>
      </c>
      <c r="AU12" s="3481">
        <f t="shared" si="46"/>
        <v>11528.447999999999</v>
      </c>
      <c r="AV12" s="4418">
        <f t="shared" si="47"/>
        <v>11006.470000000003</v>
      </c>
      <c r="AW12" s="3389">
        <f t="shared" si="48"/>
        <v>25960.718000000001</v>
      </c>
      <c r="AX12" s="3405">
        <f t="shared" si="49"/>
        <v>25247.760000000002</v>
      </c>
      <c r="AY12" s="3408">
        <f t="shared" si="50"/>
        <v>41066.703000000001</v>
      </c>
      <c r="AZ12" s="3415">
        <f t="shared" si="51"/>
        <v>42025.3</v>
      </c>
    </row>
    <row r="13" spans="3:52" ht="15.75" thickBot="1" x14ac:dyDescent="0.3">
      <c r="C13" s="5444"/>
      <c r="D13" s="1537" t="s">
        <v>2</v>
      </c>
      <c r="E13" s="1536">
        <f t="shared" ref="E13:L13" si="52">SUM(E9:E12)</f>
        <v>4756.67</v>
      </c>
      <c r="F13" s="1536">
        <f t="shared" si="52"/>
        <v>6871.61</v>
      </c>
      <c r="G13" s="1536">
        <f t="shared" si="52"/>
        <v>18608.919999999998</v>
      </c>
      <c r="H13" s="1536">
        <f t="shared" si="52"/>
        <v>18044.309999999998</v>
      </c>
      <c r="I13" s="1536">
        <f t="shared" si="52"/>
        <v>12085.95</v>
      </c>
      <c r="J13" s="1536">
        <f t="shared" si="52"/>
        <v>12122</v>
      </c>
      <c r="K13" s="3401">
        <f t="shared" si="52"/>
        <v>35451.54</v>
      </c>
      <c r="L13" s="3402">
        <f t="shared" si="52"/>
        <v>37037.919999999998</v>
      </c>
      <c r="M13" s="1536">
        <f t="shared" ref="M13:N13" si="53">SUM(M9:M12)</f>
        <v>8707.61</v>
      </c>
      <c r="N13" s="1536">
        <f t="shared" si="53"/>
        <v>8787.91</v>
      </c>
      <c r="O13" s="1536">
        <f t="shared" ref="O13:P13" si="54">SUM(O9:O12)</f>
        <v>11551.64</v>
      </c>
      <c r="P13" s="1536">
        <f t="shared" si="54"/>
        <v>11914.59</v>
      </c>
      <c r="Q13" s="1536">
        <f t="shared" ref="Q13:Z13" si="55">SUM(Q9:Q12)</f>
        <v>14511.414999999997</v>
      </c>
      <c r="R13" s="1536">
        <f t="shared" si="55"/>
        <v>14296.010000000002</v>
      </c>
      <c r="S13" s="3401">
        <f t="shared" si="55"/>
        <v>34770.665000000001</v>
      </c>
      <c r="T13" s="3402">
        <f t="shared" si="55"/>
        <v>34998.509999999995</v>
      </c>
      <c r="U13" s="3392">
        <f t="shared" si="55"/>
        <v>70222.205000000002</v>
      </c>
      <c r="V13" s="3393">
        <f t="shared" si="55"/>
        <v>72036.429999999993</v>
      </c>
      <c r="W13" s="1536">
        <f t="shared" si="55"/>
        <v>13610.994999999999</v>
      </c>
      <c r="X13" s="1536">
        <f t="shared" si="55"/>
        <v>11469.690000000006</v>
      </c>
      <c r="Y13" s="1536">
        <f t="shared" si="55"/>
        <v>83833.2</v>
      </c>
      <c r="Z13" s="1525">
        <f t="shared" si="55"/>
        <v>83506.12000000001</v>
      </c>
      <c r="AA13" s="1536">
        <f t="shared" ref="AA13:AD13" si="56">SUM(AA9:AA12)</f>
        <v>17464.22</v>
      </c>
      <c r="AB13" s="1536">
        <f t="shared" si="56"/>
        <v>16391.73</v>
      </c>
      <c r="AC13" s="3409">
        <f t="shared" si="56"/>
        <v>101297.42</v>
      </c>
      <c r="AD13" s="3410">
        <f t="shared" si="56"/>
        <v>99897.85</v>
      </c>
      <c r="AE13" s="1536">
        <f t="shared" ref="AE13:AF13" si="57">SUM(AE9:AE12)</f>
        <v>8261.7999999999993</v>
      </c>
      <c r="AF13" s="1536">
        <f t="shared" si="57"/>
        <v>11111.989999999998</v>
      </c>
      <c r="AG13" s="3483">
        <f>SUM(AG9:AG12)</f>
        <v>39337.014999999999</v>
      </c>
      <c r="AH13" s="4420">
        <f>SUM(AH9:AH12)</f>
        <v>38973.410000000003</v>
      </c>
      <c r="AI13" s="4424">
        <f>SUM(AI9:AI12)</f>
        <v>109559.22</v>
      </c>
      <c r="AJ13" s="3409">
        <f>SUM(AJ9:AJ12)</f>
        <v>111009.84000000001</v>
      </c>
      <c r="AK13" s="1536">
        <f t="shared" ref="AK13:AL13" si="58">SUM(AK9:AK12)</f>
        <v>13298.36</v>
      </c>
      <c r="AL13" s="1525">
        <f t="shared" si="58"/>
        <v>13236.300000000001</v>
      </c>
      <c r="AM13" s="4424">
        <f>SUM(AM9:AM12)</f>
        <v>122857.57999999999</v>
      </c>
      <c r="AN13" s="3409">
        <f>SUM(AN9:AN12)</f>
        <v>124246.14</v>
      </c>
      <c r="AO13" s="1536">
        <f t="shared" ref="AO13:AP13" si="59">SUM(AO9:AO12)</f>
        <v>15660.627999999997</v>
      </c>
      <c r="AP13" s="1525">
        <f t="shared" si="59"/>
        <v>12579.420000000002</v>
      </c>
      <c r="AQ13" s="4424">
        <f>SUM(AQ9:AQ12)</f>
        <v>138518.20799999998</v>
      </c>
      <c r="AR13" s="3409">
        <f>SUM(AR9:AR12)</f>
        <v>136825.56</v>
      </c>
      <c r="AS13" s="1536">
        <f t="shared" ref="AS13:AT13" si="60">SUM(AS9:AS12)</f>
        <v>18280.150000000001</v>
      </c>
      <c r="AT13" s="1536">
        <f t="shared" si="60"/>
        <v>20682.519999999997</v>
      </c>
      <c r="AU13" s="3483">
        <f>SUM(AU9:AU12)</f>
        <v>47239.137999999999</v>
      </c>
      <c r="AV13" s="4420">
        <f>SUM(AV9:AV12)</f>
        <v>46498.240000000005</v>
      </c>
      <c r="AW13" s="3392">
        <f t="shared" ref="AW13:AX13" si="61">SUM(AW9:AW12)</f>
        <v>86576.152999999991</v>
      </c>
      <c r="AX13" s="3393">
        <f t="shared" si="61"/>
        <v>85471.65</v>
      </c>
      <c r="AY13" s="3409">
        <f>SUM(AY9:AY12)</f>
        <v>156798.35800000001</v>
      </c>
      <c r="AZ13" s="3410">
        <f>SUM(AZ9:AZ12)</f>
        <v>157508.08000000002</v>
      </c>
    </row>
    <row r="14" spans="3:52" ht="19.5" thickBot="1" x14ac:dyDescent="0.3">
      <c r="C14" s="5440" t="s">
        <v>1377</v>
      </c>
      <c r="D14" s="5441"/>
      <c r="E14" s="1530">
        <f>+E8+E13</f>
        <v>4756.67</v>
      </c>
      <c r="F14" s="1530">
        <f t="shared" ref="F14:L14" si="62">+F8+F13</f>
        <v>6871.61</v>
      </c>
      <c r="G14" s="1530">
        <f t="shared" si="62"/>
        <v>21639</v>
      </c>
      <c r="H14" s="1530">
        <f t="shared" si="62"/>
        <v>21064.409999999996</v>
      </c>
      <c r="I14" s="1530">
        <f t="shared" si="62"/>
        <v>12085.95</v>
      </c>
      <c r="J14" s="1530">
        <f t="shared" si="62"/>
        <v>12122</v>
      </c>
      <c r="K14" s="3403">
        <f t="shared" si="62"/>
        <v>38481.620000000003</v>
      </c>
      <c r="L14" s="3404">
        <f t="shared" si="62"/>
        <v>40058.019999999997</v>
      </c>
      <c r="M14" s="1530">
        <f t="shared" ref="M14:N14" si="63">+M8+M13</f>
        <v>8707.61</v>
      </c>
      <c r="N14" s="1530">
        <f t="shared" si="63"/>
        <v>8846.94</v>
      </c>
      <c r="O14" s="1530">
        <f t="shared" ref="O14:P14" si="64">+O8+O13</f>
        <v>11551.64</v>
      </c>
      <c r="P14" s="1530">
        <f t="shared" si="64"/>
        <v>11914.59</v>
      </c>
      <c r="Q14" s="1530">
        <f t="shared" ref="Q14:Z14" si="65">+Q8+Q13</f>
        <v>14511.414999999997</v>
      </c>
      <c r="R14" s="1530">
        <f t="shared" si="65"/>
        <v>14296.010000000002</v>
      </c>
      <c r="S14" s="3403">
        <f t="shared" si="65"/>
        <v>34770.665000000001</v>
      </c>
      <c r="T14" s="3404">
        <f t="shared" si="65"/>
        <v>35057.539999999994</v>
      </c>
      <c r="U14" s="3394">
        <f t="shared" si="65"/>
        <v>73252.285000000003</v>
      </c>
      <c r="V14" s="3395">
        <f t="shared" si="65"/>
        <v>75115.56</v>
      </c>
      <c r="W14" s="1530">
        <f t="shared" si="65"/>
        <v>13610.994999999999</v>
      </c>
      <c r="X14" s="1530">
        <f t="shared" si="65"/>
        <v>11469.690000000006</v>
      </c>
      <c r="Y14" s="1530">
        <f t="shared" si="65"/>
        <v>86863.28</v>
      </c>
      <c r="Z14" s="1549">
        <f t="shared" si="65"/>
        <v>86585.250000000015</v>
      </c>
      <c r="AA14" s="1530">
        <f t="shared" ref="AA14:AD14" si="66">+AA8+AA13</f>
        <v>17464.22</v>
      </c>
      <c r="AB14" s="1530">
        <f t="shared" si="66"/>
        <v>16391.73</v>
      </c>
      <c r="AC14" s="3411">
        <f t="shared" si="66"/>
        <v>104327.5</v>
      </c>
      <c r="AD14" s="3412">
        <f t="shared" si="66"/>
        <v>102976.98000000001</v>
      </c>
      <c r="AE14" s="1530">
        <f t="shared" ref="AE14:AF14" si="67">+AE8+AE13</f>
        <v>14200.65</v>
      </c>
      <c r="AF14" s="1530">
        <f t="shared" si="67"/>
        <v>17018.559999999998</v>
      </c>
      <c r="AG14" s="3484">
        <f>+AG8+AG13</f>
        <v>45275.864999999998</v>
      </c>
      <c r="AH14" s="4421">
        <f>+AH8+AH13</f>
        <v>44879.98</v>
      </c>
      <c r="AI14" s="4425">
        <f>+AI8+AI13</f>
        <v>118528.15</v>
      </c>
      <c r="AJ14" s="3411">
        <f>+AJ8+AJ13</f>
        <v>119995.54000000001</v>
      </c>
      <c r="AK14" s="1530">
        <f t="shared" ref="AK14:AL14" si="68">+AK8+AK13</f>
        <v>17931.36</v>
      </c>
      <c r="AL14" s="1549">
        <f t="shared" si="68"/>
        <v>17839.95</v>
      </c>
      <c r="AM14" s="4425">
        <f>+AM8+AM13</f>
        <v>136459.50999999998</v>
      </c>
      <c r="AN14" s="3411">
        <f>+AN8+AN13</f>
        <v>137835.49</v>
      </c>
      <c r="AO14" s="1530">
        <f t="shared" ref="AO14:AP14" si="69">+AO8+AO13</f>
        <v>15660.627999999997</v>
      </c>
      <c r="AP14" s="1549">
        <f t="shared" si="69"/>
        <v>12579.420000000002</v>
      </c>
      <c r="AQ14" s="4425">
        <f>+AQ8+AQ13</f>
        <v>152120.13799999998</v>
      </c>
      <c r="AR14" s="3411">
        <f>+AR8+AR13</f>
        <v>150414.91</v>
      </c>
      <c r="AS14" s="1530">
        <f t="shared" ref="AS14:AT14" si="70">+AS8+AS13</f>
        <v>18280.150000000001</v>
      </c>
      <c r="AT14" s="1530">
        <f t="shared" si="70"/>
        <v>20682.519999999997</v>
      </c>
      <c r="AU14" s="3484">
        <f>+AU8+AU13</f>
        <v>51872.137999999999</v>
      </c>
      <c r="AV14" s="4421">
        <f>+AV8+AV13</f>
        <v>51101.890000000007</v>
      </c>
      <c r="AW14" s="3394">
        <f t="shared" ref="AW14:AX14" si="71">+AW8+AW13</f>
        <v>97148.002999999997</v>
      </c>
      <c r="AX14" s="3395">
        <f t="shared" si="71"/>
        <v>95981.87</v>
      </c>
      <c r="AY14" s="3411">
        <f>+AY8+AY13</f>
        <v>170400.288</v>
      </c>
      <c r="AZ14" s="3412">
        <f>+AZ8+AZ13</f>
        <v>171097.43000000002</v>
      </c>
    </row>
    <row r="18" spans="4:25" ht="23.25" hidden="1" x14ac:dyDescent="0.35">
      <c r="D18" s="5420" t="s">
        <v>1669</v>
      </c>
      <c r="E18" s="5420"/>
      <c r="F18" s="5420"/>
      <c r="G18" s="5420"/>
      <c r="H18" s="5420"/>
      <c r="I18" s="5420"/>
      <c r="J18" s="5420"/>
      <c r="K18" s="5420"/>
      <c r="L18" s="5420"/>
      <c r="M18" s="5420"/>
      <c r="N18" s="5420"/>
      <c r="O18" s="5420"/>
      <c r="P18" s="5420"/>
    </row>
    <row r="19" spans="4:25" hidden="1" x14ac:dyDescent="0.25">
      <c r="D19" s="1726"/>
      <c r="E19" s="1726"/>
      <c r="F19" s="1726"/>
      <c r="G19" s="1726"/>
      <c r="H19" s="1726"/>
      <c r="I19" s="1726"/>
      <c r="J19" s="1726"/>
      <c r="K19" s="1726"/>
      <c r="L19" s="1726"/>
      <c r="M19" s="1726"/>
      <c r="N19" s="1726"/>
      <c r="O19" s="1726"/>
      <c r="P19" s="1726"/>
    </row>
    <row r="20" spans="4:25" hidden="1" x14ac:dyDescent="0.25">
      <c r="D20" s="421"/>
      <c r="E20" s="421"/>
      <c r="F20" s="3227" t="s">
        <v>1349</v>
      </c>
      <c r="G20" s="3227" t="s">
        <v>1384</v>
      </c>
      <c r="H20" s="3227" t="s">
        <v>1397</v>
      </c>
      <c r="I20" s="3227" t="s">
        <v>741</v>
      </c>
      <c r="J20" s="3227" t="s">
        <v>1424</v>
      </c>
      <c r="K20" s="3227" t="s">
        <v>1496</v>
      </c>
      <c r="L20" s="3227" t="s">
        <v>1573</v>
      </c>
      <c r="M20" s="3227" t="s">
        <v>788</v>
      </c>
      <c r="N20" s="3227" t="s">
        <v>784</v>
      </c>
      <c r="O20" s="3227" t="s">
        <v>1634</v>
      </c>
      <c r="P20" s="3227" t="s">
        <v>1635</v>
      </c>
    </row>
    <row r="21" spans="4:25" hidden="1" x14ac:dyDescent="0.25">
      <c r="D21" s="421" t="s">
        <v>1354</v>
      </c>
      <c r="E21" s="421" t="s">
        <v>69</v>
      </c>
      <c r="F21" s="863">
        <v>0</v>
      </c>
      <c r="G21" s="863">
        <v>0</v>
      </c>
      <c r="H21" s="863">
        <v>1279.2</v>
      </c>
      <c r="I21" s="863">
        <f>SUM(F21:H21)</f>
        <v>1279.2</v>
      </c>
      <c r="J21" s="863">
        <v>0</v>
      </c>
      <c r="K21" s="863">
        <v>850.75</v>
      </c>
      <c r="L21" s="863">
        <v>1435</v>
      </c>
      <c r="M21" s="863">
        <f>SUM(J21:L21)</f>
        <v>2285.75</v>
      </c>
      <c r="N21" s="863">
        <f>+M21+I21</f>
        <v>3564.95</v>
      </c>
      <c r="O21" s="863">
        <v>988.1</v>
      </c>
      <c r="P21" s="863">
        <f>N21+O21</f>
        <v>4553.05</v>
      </c>
    </row>
    <row r="22" spans="4:25" hidden="1" x14ac:dyDescent="0.25">
      <c r="D22" s="421" t="s">
        <v>1357</v>
      </c>
      <c r="E22" s="421" t="s">
        <v>69</v>
      </c>
      <c r="F22" s="863">
        <v>516.12</v>
      </c>
      <c r="G22" s="863">
        <v>332.09999999999997</v>
      </c>
      <c r="H22" s="863">
        <v>0</v>
      </c>
      <c r="I22" s="863">
        <f t="shared" ref="I22:I28" si="72">SUM(F22:H22)</f>
        <v>848.22</v>
      </c>
      <c r="J22" s="863">
        <v>0</v>
      </c>
      <c r="K22" s="863">
        <v>0</v>
      </c>
      <c r="L22" s="863">
        <v>529</v>
      </c>
      <c r="M22" s="863">
        <f t="shared" ref="M22:M28" si="73">SUM(J22:L22)</f>
        <v>529</v>
      </c>
      <c r="N22" s="863">
        <f t="shared" ref="N22:N28" si="74">+M22+I22</f>
        <v>1377.22</v>
      </c>
      <c r="O22" s="863">
        <v>740.05</v>
      </c>
      <c r="P22" s="863">
        <f t="shared" ref="P22:P27" si="75">N22+O22</f>
        <v>2117.27</v>
      </c>
    </row>
    <row r="23" spans="4:25" hidden="1" x14ac:dyDescent="0.25">
      <c r="D23" s="421" t="s">
        <v>1356</v>
      </c>
      <c r="E23" s="421" t="s">
        <v>69</v>
      </c>
      <c r="F23" s="863">
        <v>367.24799999999999</v>
      </c>
      <c r="G23" s="863">
        <v>0</v>
      </c>
      <c r="H23" s="863">
        <v>393.6</v>
      </c>
      <c r="I23" s="863">
        <f t="shared" si="72"/>
        <v>760.84799999999996</v>
      </c>
      <c r="J23" s="863">
        <v>1521.1</v>
      </c>
      <c r="K23" s="863">
        <v>742.09999999999991</v>
      </c>
      <c r="L23" s="863">
        <v>845</v>
      </c>
      <c r="M23" s="863">
        <f t="shared" si="73"/>
        <v>3108.2</v>
      </c>
      <c r="N23" s="863">
        <f t="shared" si="74"/>
        <v>3869.0479999999998</v>
      </c>
      <c r="O23" s="863">
        <v>1566.2</v>
      </c>
      <c r="P23" s="863">
        <f t="shared" si="75"/>
        <v>5435.2479999999996</v>
      </c>
    </row>
    <row r="24" spans="4:25" hidden="1" x14ac:dyDescent="0.25">
      <c r="D24" s="421" t="s">
        <v>1358</v>
      </c>
      <c r="E24" s="421" t="s">
        <v>69</v>
      </c>
      <c r="F24" s="863">
        <v>1028.192</v>
      </c>
      <c r="G24" s="863">
        <v>313.64999999999998</v>
      </c>
      <c r="H24" s="863">
        <v>1558</v>
      </c>
      <c r="I24" s="863">
        <f t="shared" si="72"/>
        <v>2899.8420000000001</v>
      </c>
      <c r="J24" s="863">
        <v>1033.1999999999998</v>
      </c>
      <c r="K24" s="863">
        <v>491.99999999999994</v>
      </c>
      <c r="L24" s="863">
        <v>759</v>
      </c>
      <c r="M24" s="863">
        <f t="shared" si="73"/>
        <v>2284.1999999999998</v>
      </c>
      <c r="N24" s="863">
        <f t="shared" si="74"/>
        <v>5184.0419999999995</v>
      </c>
      <c r="O24" s="863">
        <v>1221.8</v>
      </c>
      <c r="P24" s="863">
        <f t="shared" si="75"/>
        <v>6405.8419999999996</v>
      </c>
    </row>
    <row r="25" spans="4:25" hidden="1" x14ac:dyDescent="0.25">
      <c r="D25" s="421" t="s">
        <v>1385</v>
      </c>
      <c r="E25" s="421" t="s">
        <v>69</v>
      </c>
      <c r="F25" s="863">
        <v>0</v>
      </c>
      <c r="G25" s="863">
        <v>143.5</v>
      </c>
      <c r="H25" s="863">
        <v>0</v>
      </c>
      <c r="I25" s="863">
        <f t="shared" si="72"/>
        <v>143.5</v>
      </c>
      <c r="J25" s="863">
        <v>0</v>
      </c>
      <c r="K25" s="863">
        <v>0</v>
      </c>
      <c r="L25" s="863">
        <v>0</v>
      </c>
      <c r="M25" s="863">
        <f t="shared" si="73"/>
        <v>0</v>
      </c>
      <c r="N25" s="863">
        <f t="shared" si="74"/>
        <v>143.5</v>
      </c>
      <c r="O25" s="863">
        <v>0</v>
      </c>
      <c r="P25" s="863">
        <f t="shared" si="75"/>
        <v>143.5</v>
      </c>
    </row>
    <row r="26" spans="4:25" hidden="1" x14ac:dyDescent="0.25">
      <c r="D26" s="421" t="s">
        <v>1359</v>
      </c>
      <c r="E26" s="421" t="s">
        <v>69</v>
      </c>
      <c r="F26" s="863">
        <v>42.84</v>
      </c>
      <c r="G26" s="863">
        <v>0</v>
      </c>
      <c r="H26" s="863">
        <v>0</v>
      </c>
      <c r="I26" s="863">
        <f t="shared" si="72"/>
        <v>42.84</v>
      </c>
      <c r="J26" s="863">
        <v>0</v>
      </c>
      <c r="K26" s="863">
        <v>153.75</v>
      </c>
      <c r="L26" s="863">
        <v>0</v>
      </c>
      <c r="M26" s="863">
        <f t="shared" si="73"/>
        <v>153.75</v>
      </c>
      <c r="N26" s="863">
        <f t="shared" si="74"/>
        <v>196.59</v>
      </c>
      <c r="O26" s="863">
        <v>0</v>
      </c>
      <c r="P26" s="863">
        <f t="shared" si="75"/>
        <v>196.59</v>
      </c>
    </row>
    <row r="27" spans="4:25" hidden="1" x14ac:dyDescent="0.25">
      <c r="D27" s="421" t="s">
        <v>1229</v>
      </c>
      <c r="E27" s="421" t="s">
        <v>69</v>
      </c>
      <c r="F27" s="863">
        <v>2756.5039999999999</v>
      </c>
      <c r="G27" s="863">
        <v>3013.4999999999995</v>
      </c>
      <c r="H27" s="863">
        <v>6814.2</v>
      </c>
      <c r="I27" s="863">
        <f t="shared" si="72"/>
        <v>12584.203999999998</v>
      </c>
      <c r="J27" s="863">
        <v>5334.0999999999995</v>
      </c>
      <c r="K27" s="863">
        <v>6262.75</v>
      </c>
      <c r="L27" s="863">
        <v>9301</v>
      </c>
      <c r="M27" s="863">
        <f t="shared" si="73"/>
        <v>20897.849999999999</v>
      </c>
      <c r="N27" s="863">
        <f t="shared" si="74"/>
        <v>33482.053999999996</v>
      </c>
      <c r="O27" s="863">
        <v>7052</v>
      </c>
      <c r="P27" s="863">
        <f t="shared" si="75"/>
        <v>40534.053999999996</v>
      </c>
    </row>
    <row r="28" spans="4:25" ht="18.75" hidden="1" x14ac:dyDescent="0.3">
      <c r="D28" s="3230" t="s">
        <v>2</v>
      </c>
      <c r="E28" s="3230"/>
      <c r="F28" s="3231">
        <f>SUM(F21:F27)</f>
        <v>4710.9039999999995</v>
      </c>
      <c r="G28" s="3231">
        <f t="shared" ref="G28:O28" si="76">SUM(G21:G27)</f>
        <v>3802.7499999999995</v>
      </c>
      <c r="H28" s="3231">
        <f t="shared" si="76"/>
        <v>10045</v>
      </c>
      <c r="I28" s="3231">
        <f t="shared" si="72"/>
        <v>18558.653999999999</v>
      </c>
      <c r="J28" s="3231">
        <f t="shared" si="76"/>
        <v>7888.4</v>
      </c>
      <c r="K28" s="3231">
        <f t="shared" si="76"/>
        <v>8501.35</v>
      </c>
      <c r="L28" s="3231">
        <f t="shared" si="76"/>
        <v>12869</v>
      </c>
      <c r="M28" s="3231">
        <f t="shared" si="73"/>
        <v>29258.75</v>
      </c>
      <c r="N28" s="3231">
        <f t="shared" si="74"/>
        <v>47817.403999999995</v>
      </c>
      <c r="O28" s="3231">
        <f t="shared" si="76"/>
        <v>11568.150000000001</v>
      </c>
      <c r="P28" s="3231">
        <f>SUM(P21:P27)</f>
        <v>59385.553999999996</v>
      </c>
    </row>
    <row r="30" spans="4:25" x14ac:dyDescent="0.25">
      <c r="Y30" s="48"/>
    </row>
  </sheetData>
  <mergeCells count="29">
    <mergeCell ref="AS3:AT3"/>
    <mergeCell ref="AY3:AZ3"/>
    <mergeCell ref="AU3:AV3"/>
    <mergeCell ref="AW3:AX3"/>
    <mergeCell ref="I3:J3"/>
    <mergeCell ref="K3:L3"/>
    <mergeCell ref="AO3:AP3"/>
    <mergeCell ref="AQ3:AR3"/>
    <mergeCell ref="AK3:AL3"/>
    <mergeCell ref="AM3:AN3"/>
    <mergeCell ref="D18:P18"/>
    <mergeCell ref="C14:D14"/>
    <mergeCell ref="C9:C13"/>
    <mergeCell ref="O3:P3"/>
    <mergeCell ref="M3:N3"/>
    <mergeCell ref="E3:F3"/>
    <mergeCell ref="C5:C8"/>
    <mergeCell ref="C1:AN1"/>
    <mergeCell ref="AE3:AF3"/>
    <mergeCell ref="AG3:AH3"/>
    <mergeCell ref="AI3:AJ3"/>
    <mergeCell ref="Q3:R3"/>
    <mergeCell ref="S3:T3"/>
    <mergeCell ref="U3:V3"/>
    <mergeCell ref="AA3:AB3"/>
    <mergeCell ref="AC3:AD3"/>
    <mergeCell ref="W3:X3"/>
    <mergeCell ref="Y3:Z3"/>
    <mergeCell ref="G3:H3"/>
  </mergeCells>
  <printOptions horizontalCentered="1" verticalCentered="1"/>
  <pageMargins left="0" right="0" top="0" bottom="0" header="0" footer="0"/>
  <pageSetup paperSize="9" scale="56" orientation="landscape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D6:BG19"/>
  <sheetViews>
    <sheetView topLeftCell="D1" workbookViewId="0">
      <selection activeCell="BA11" sqref="BA11"/>
    </sheetView>
  </sheetViews>
  <sheetFormatPr defaultRowHeight="15" x14ac:dyDescent="0.25"/>
  <cols>
    <col min="4" max="4" width="38.7109375" bestFit="1" customWidth="1"/>
    <col min="6" max="6" width="0" style="1726" hidden="1" customWidth="1"/>
    <col min="8" max="8" width="0" style="1726" hidden="1" customWidth="1"/>
    <col min="10" max="12" width="0" style="1726" hidden="1" customWidth="1"/>
    <col min="14" max="14" width="0" style="1726" hidden="1" customWidth="1"/>
    <col min="16" max="16" width="0" style="1726" hidden="1" customWidth="1"/>
    <col min="18" max="20" width="0" style="1726" hidden="1" customWidth="1"/>
    <col min="22" max="24" width="9.140625" style="1726" hidden="1" customWidth="1"/>
    <col min="26" max="26" width="9.140625" style="1726" hidden="1" customWidth="1"/>
    <col min="28" max="28" width="9.140625" style="1726" hidden="1" customWidth="1"/>
    <col min="30" max="30" width="9.140625" style="1726" hidden="1" customWidth="1"/>
    <col min="32" max="34" width="9.140625" style="1726" hidden="1" customWidth="1"/>
    <col min="36" max="36" width="9.140625" style="1726" hidden="1" customWidth="1"/>
    <col min="37" max="37" width="10.28515625" hidden="1" customWidth="1"/>
    <col min="38" max="38" width="10.28515625" style="1726" hidden="1" customWidth="1"/>
    <col min="40" max="40" width="9.140625" style="1726" hidden="1" customWidth="1"/>
    <col min="41" max="41" width="9.85546875" style="1726" bestFit="1" customWidth="1"/>
    <col min="42" max="42" width="9.85546875" style="1726" hidden="1" customWidth="1"/>
    <col min="43" max="44" width="9.140625" hidden="1" customWidth="1"/>
    <col min="46" max="48" width="9.140625" hidden="1" customWidth="1"/>
    <col min="50" max="52" width="9.140625" hidden="1" customWidth="1"/>
    <col min="54" max="54" width="0" style="4390" hidden="1" customWidth="1"/>
    <col min="55" max="55" width="9.140625" style="4390"/>
    <col min="56" max="56" width="0" style="4390" hidden="1" customWidth="1"/>
    <col min="57" max="57" width="9.85546875" style="4390" bestFit="1" customWidth="1"/>
    <col min="58" max="58" width="0" hidden="1" customWidth="1"/>
    <col min="59" max="59" width="9.85546875" bestFit="1" customWidth="1"/>
  </cols>
  <sheetData>
    <row r="6" spans="4:59" ht="26.25" x14ac:dyDescent="0.4">
      <c r="D6" s="5464" t="s">
        <v>1695</v>
      </c>
      <c r="E6" s="5464"/>
      <c r="F6" s="5464"/>
      <c r="G6" s="5464"/>
      <c r="H6" s="5464"/>
      <c r="I6" s="5464"/>
      <c r="J6" s="5464"/>
      <c r="K6" s="5464"/>
      <c r="L6" s="5464"/>
      <c r="M6" s="5464"/>
      <c r="N6" s="5464"/>
      <c r="O6" s="5464"/>
      <c r="P6" s="5464"/>
      <c r="Q6" s="5464"/>
      <c r="R6" s="5464"/>
      <c r="S6" s="5464"/>
      <c r="T6" s="5464"/>
      <c r="U6" s="5464"/>
      <c r="V6" s="5464"/>
      <c r="W6" s="5464"/>
      <c r="X6" s="5464"/>
      <c r="Y6" s="5464"/>
      <c r="Z6" s="5464"/>
      <c r="AA6" s="5464"/>
      <c r="AB6" s="5464"/>
      <c r="AC6" s="5464"/>
      <c r="AD6" s="5464"/>
      <c r="AE6" s="5464"/>
      <c r="AF6" s="5464"/>
      <c r="AG6" s="5464"/>
      <c r="AH6" s="5464"/>
      <c r="AI6" s="5464"/>
      <c r="AJ6" s="5464"/>
      <c r="AK6" s="5464"/>
      <c r="AL6" s="5464"/>
      <c r="AM6" s="5464"/>
      <c r="AN6" s="5464"/>
      <c r="AO6" s="5464"/>
      <c r="AP6" s="5464"/>
      <c r="AQ6" s="5464"/>
      <c r="AR6" s="5464"/>
      <c r="AS6" s="5464"/>
      <c r="AT6" s="5464"/>
      <c r="AU6" s="5464"/>
    </row>
    <row r="7" spans="4:59" ht="15.75" thickBot="1" x14ac:dyDescent="0.3">
      <c r="D7" s="1726"/>
      <c r="E7" s="1726"/>
      <c r="G7" s="1726"/>
      <c r="I7" s="1726"/>
      <c r="M7" s="1726"/>
      <c r="O7" s="1726"/>
      <c r="Q7" s="1726"/>
      <c r="U7" s="1726"/>
      <c r="Y7" s="1726"/>
      <c r="AA7" s="1726"/>
      <c r="AC7" s="1726"/>
      <c r="AE7" s="1726"/>
    </row>
    <row r="8" spans="4:59" s="60" customFormat="1" ht="18.75" x14ac:dyDescent="0.25">
      <c r="D8" s="3809"/>
      <c r="E8" s="3810"/>
      <c r="F8" s="5456" t="s">
        <v>1349</v>
      </c>
      <c r="G8" s="5457"/>
      <c r="H8" s="5456" t="s">
        <v>1384</v>
      </c>
      <c r="I8" s="5457"/>
      <c r="J8" s="5458" t="s">
        <v>785</v>
      </c>
      <c r="K8" s="5459"/>
      <c r="L8" s="5456" t="s">
        <v>1397</v>
      </c>
      <c r="M8" s="5457"/>
      <c r="N8" s="5460" t="s">
        <v>741</v>
      </c>
      <c r="O8" s="5461"/>
      <c r="P8" s="5456" t="s">
        <v>1424</v>
      </c>
      <c r="Q8" s="5457"/>
      <c r="R8" s="5458" t="s">
        <v>770</v>
      </c>
      <c r="S8" s="5459"/>
      <c r="T8" s="5456" t="s">
        <v>1496</v>
      </c>
      <c r="U8" s="5457"/>
      <c r="V8" s="5458" t="s">
        <v>19</v>
      </c>
      <c r="W8" s="5459"/>
      <c r="X8" s="5456" t="s">
        <v>1573</v>
      </c>
      <c r="Y8" s="5457"/>
      <c r="Z8" s="5460" t="s">
        <v>788</v>
      </c>
      <c r="AA8" s="5461"/>
      <c r="AB8" s="5462" t="s">
        <v>784</v>
      </c>
      <c r="AC8" s="5463"/>
      <c r="AD8" s="5456" t="s">
        <v>1634</v>
      </c>
      <c r="AE8" s="5457"/>
      <c r="AF8" s="5458" t="s">
        <v>1635</v>
      </c>
      <c r="AG8" s="5459"/>
      <c r="AH8" s="5456" t="s">
        <v>1671</v>
      </c>
      <c r="AI8" s="5457"/>
      <c r="AJ8" s="5458" t="s">
        <v>1672</v>
      </c>
      <c r="AK8" s="5459"/>
      <c r="AL8" s="5456" t="s">
        <v>1696</v>
      </c>
      <c r="AM8" s="5457"/>
      <c r="AN8" s="5460" t="s">
        <v>799</v>
      </c>
      <c r="AO8" s="5461"/>
      <c r="AP8" s="5458" t="s">
        <v>1221</v>
      </c>
      <c r="AQ8" s="5465"/>
      <c r="AR8" s="5456" t="s">
        <v>1760</v>
      </c>
      <c r="AS8" s="5457"/>
      <c r="AT8" s="5458" t="s">
        <v>1761</v>
      </c>
      <c r="AU8" s="5459"/>
      <c r="AV8" s="5456" t="s">
        <v>1812</v>
      </c>
      <c r="AW8" s="5457"/>
      <c r="AX8" s="5458" t="s">
        <v>809</v>
      </c>
      <c r="AY8" s="5459"/>
      <c r="AZ8" s="5456" t="s">
        <v>1844</v>
      </c>
      <c r="BA8" s="5457"/>
      <c r="BB8" s="5460" t="s">
        <v>800</v>
      </c>
      <c r="BC8" s="5461"/>
      <c r="BD8" s="5462" t="s">
        <v>817</v>
      </c>
      <c r="BE8" s="5463"/>
      <c r="BF8" s="5458" t="s">
        <v>1314</v>
      </c>
      <c r="BG8" s="5459"/>
    </row>
    <row r="9" spans="4:59" ht="18.75" x14ac:dyDescent="0.3">
      <c r="D9" s="3811" t="s">
        <v>1354</v>
      </c>
      <c r="E9" s="5453" t="s">
        <v>69</v>
      </c>
      <c r="F9" s="3416"/>
      <c r="G9" s="3416">
        <f>+'Special Steel Production '!G13</f>
        <v>0</v>
      </c>
      <c r="H9" s="3416"/>
      <c r="I9" s="3416">
        <f>+'Special Steel Production '!I13</f>
        <v>0</v>
      </c>
      <c r="J9" s="1742"/>
      <c r="K9" s="1742">
        <f>+G9+I9</f>
        <v>0</v>
      </c>
      <c r="L9" s="3416"/>
      <c r="M9" s="3416">
        <f>+'Special Steel Production '!M13</f>
        <v>1279.2</v>
      </c>
      <c r="N9" s="1747"/>
      <c r="O9" s="1747">
        <f>+K9+M9</f>
        <v>1279.2</v>
      </c>
      <c r="P9" s="3416"/>
      <c r="Q9" s="3416">
        <f>+'Special Steel Production '!Q13</f>
        <v>0</v>
      </c>
      <c r="R9" s="1742"/>
      <c r="S9" s="1742">
        <f>+O9+Q9</f>
        <v>1279.2</v>
      </c>
      <c r="T9" s="3416"/>
      <c r="U9" s="3416">
        <f>+'Special Steel Production '!U13</f>
        <v>850.75</v>
      </c>
      <c r="V9" s="1742"/>
      <c r="W9" s="1742">
        <f>+S9+U9</f>
        <v>2129.9499999999998</v>
      </c>
      <c r="X9" s="3416"/>
      <c r="Y9" s="3416">
        <f>+'Special Steel Production '!Y13</f>
        <v>1435</v>
      </c>
      <c r="Z9" s="1747"/>
      <c r="AA9" s="1747">
        <f>+Q9+U9+Y9</f>
        <v>2285.75</v>
      </c>
      <c r="AB9" s="3808"/>
      <c r="AC9" s="3808">
        <f>+O9+AA9</f>
        <v>3564.95</v>
      </c>
      <c r="AD9" s="3416"/>
      <c r="AE9" s="3416">
        <f>+'Special Steel Production '!AE13</f>
        <v>988.09999999999991</v>
      </c>
      <c r="AF9" s="1742"/>
      <c r="AG9" s="1742">
        <f t="shared" ref="AG9:AG19" si="0">+AC9+AE9</f>
        <v>4553.0499999999993</v>
      </c>
      <c r="AH9" s="3416"/>
      <c r="AI9" s="3416">
        <f>+'Special Steel Production '!AI13</f>
        <v>1277.1499999999999</v>
      </c>
      <c r="AJ9" s="1742"/>
      <c r="AK9" s="1742">
        <f>+AG9+AI9</f>
        <v>5830.1999999999989</v>
      </c>
      <c r="AL9" s="3416"/>
      <c r="AM9" s="3416">
        <f>+'Special Steel Production '!AM13</f>
        <v>227.55</v>
      </c>
      <c r="AN9" s="1747"/>
      <c r="AO9" s="1747">
        <f t="shared" ref="AO9:AO19" si="1">+AE9+AI9+AM9</f>
        <v>2492.8000000000002</v>
      </c>
      <c r="AP9" s="1742"/>
      <c r="AQ9" s="3812">
        <f>+AK9+AM9</f>
        <v>6057.7499999999991</v>
      </c>
      <c r="AR9" s="3416"/>
      <c r="AS9" s="3416">
        <f>+'Special Steel Production '!AS13</f>
        <v>504.29999999999995</v>
      </c>
      <c r="AT9" s="1742"/>
      <c r="AU9" s="1742">
        <f>+AQ9+AS9</f>
        <v>6562.0499999999993</v>
      </c>
      <c r="AV9" s="3416"/>
      <c r="AW9" s="3416">
        <f>+'Special Steel Production '!AW13</f>
        <v>0</v>
      </c>
      <c r="AX9" s="1742"/>
      <c r="AY9" s="1742">
        <f>+AU9+AW9</f>
        <v>6562.0499999999993</v>
      </c>
      <c r="AZ9" s="3416"/>
      <c r="BA9" s="3416">
        <f>+'Special Steel Production '!BA13</f>
        <v>1213.5999999999999</v>
      </c>
      <c r="BB9" s="1747"/>
      <c r="BC9" s="1747">
        <f>+AS9+AW9+BA9</f>
        <v>1717.8999999999999</v>
      </c>
      <c r="BD9" s="3808"/>
      <c r="BE9" s="3808">
        <f>+AO9+BC9</f>
        <v>4210.7</v>
      </c>
      <c r="BF9" s="1742"/>
      <c r="BG9" s="1742">
        <f>+AY9+BA9</f>
        <v>7775.65</v>
      </c>
    </row>
    <row r="10" spans="4:59" ht="18.75" x14ac:dyDescent="0.3">
      <c r="D10" s="3811" t="s">
        <v>1357</v>
      </c>
      <c r="E10" s="5454"/>
      <c r="F10" s="3416"/>
      <c r="G10" s="3416">
        <f>+'Special Steel Production '!G14</f>
        <v>516.12</v>
      </c>
      <c r="H10" s="3416"/>
      <c r="I10" s="3416">
        <f>+'Special Steel Production '!I14</f>
        <v>332.09999999999997</v>
      </c>
      <c r="J10" s="1742"/>
      <c r="K10" s="1742">
        <f t="shared" ref="K10:K19" si="2">+G10+I10</f>
        <v>848.22</v>
      </c>
      <c r="L10" s="3416"/>
      <c r="M10" s="3416">
        <f>+'Special Steel Production '!M14</f>
        <v>0</v>
      </c>
      <c r="N10" s="1747"/>
      <c r="O10" s="1747">
        <f t="shared" ref="O10:O19" si="3">+K10+M10</f>
        <v>848.22</v>
      </c>
      <c r="P10" s="3416"/>
      <c r="Q10" s="3416">
        <f>+'Special Steel Production '!Q14</f>
        <v>0</v>
      </c>
      <c r="R10" s="1742"/>
      <c r="S10" s="1742">
        <f t="shared" ref="S10:S19" si="4">+O10+Q10</f>
        <v>848.22</v>
      </c>
      <c r="T10" s="3416"/>
      <c r="U10" s="3416">
        <f>+'Special Steel Production '!U14</f>
        <v>0</v>
      </c>
      <c r="V10" s="1742"/>
      <c r="W10" s="1742">
        <f t="shared" ref="W10:W19" si="5">+S10+U10</f>
        <v>848.22</v>
      </c>
      <c r="X10" s="3416"/>
      <c r="Y10" s="3416">
        <f>+'Special Steel Production '!Y14</f>
        <v>528.9</v>
      </c>
      <c r="Z10" s="1747"/>
      <c r="AA10" s="1747">
        <f t="shared" ref="AA10:AA19" si="6">+Q10+U10+Y10</f>
        <v>528.9</v>
      </c>
      <c r="AB10" s="3808"/>
      <c r="AC10" s="3808">
        <f t="shared" ref="AC10:AC19" si="7">+O10+AA10</f>
        <v>1377.12</v>
      </c>
      <c r="AD10" s="3416"/>
      <c r="AE10" s="3416">
        <f>+'Special Steel Production '!AE14</f>
        <v>740.05</v>
      </c>
      <c r="AF10" s="1742"/>
      <c r="AG10" s="1742">
        <f t="shared" si="0"/>
        <v>2117.17</v>
      </c>
      <c r="AH10" s="3416"/>
      <c r="AI10" s="3416">
        <f>+'Special Steel Production '!AI14</f>
        <v>0</v>
      </c>
      <c r="AJ10" s="1742"/>
      <c r="AK10" s="1742">
        <f t="shared" ref="AK10:AK19" si="8">+AG10+AI10</f>
        <v>2117.17</v>
      </c>
      <c r="AL10" s="3416"/>
      <c r="AM10" s="3416">
        <f>+'Special Steel Production '!AM14</f>
        <v>0</v>
      </c>
      <c r="AN10" s="1747"/>
      <c r="AO10" s="1747">
        <f t="shared" si="1"/>
        <v>740.05</v>
      </c>
      <c r="AP10" s="1742"/>
      <c r="AQ10" s="3812">
        <f t="shared" ref="AQ10:AQ19" si="9">+AK10+AM10</f>
        <v>2117.17</v>
      </c>
      <c r="AR10" s="3416"/>
      <c r="AS10" s="3416">
        <f>+'Special Steel Production '!AS14</f>
        <v>0</v>
      </c>
      <c r="AT10" s="1742"/>
      <c r="AU10" s="1742">
        <f t="shared" ref="AU10:AU19" si="10">+AQ10+AS10</f>
        <v>2117.17</v>
      </c>
      <c r="AV10" s="3416"/>
      <c r="AW10" s="3416">
        <f>+'Special Steel Production '!AW14</f>
        <v>0</v>
      </c>
      <c r="AX10" s="1742"/>
      <c r="AY10" s="1742">
        <f t="shared" ref="AY10:AY17" si="11">+AU10+AW10</f>
        <v>2117.17</v>
      </c>
      <c r="AZ10" s="3416"/>
      <c r="BA10" s="3416">
        <f>+'Special Steel Production '!BA14</f>
        <v>0</v>
      </c>
      <c r="BB10" s="1747"/>
      <c r="BC10" s="1747">
        <f t="shared" ref="BC10:BC15" si="12">+AS10+AW10+BA10</f>
        <v>0</v>
      </c>
      <c r="BD10" s="3808"/>
      <c r="BE10" s="3808">
        <f t="shared" ref="BE10:BE19" si="13">+AO10+BC10</f>
        <v>740.05</v>
      </c>
      <c r="BF10" s="1742"/>
      <c r="BG10" s="1742">
        <f t="shared" ref="BG10:BG19" si="14">+AY10+BA10</f>
        <v>2117.17</v>
      </c>
    </row>
    <row r="11" spans="4:59" ht="18.75" x14ac:dyDescent="0.3">
      <c r="D11" s="3811" t="s">
        <v>1356</v>
      </c>
      <c r="E11" s="5454"/>
      <c r="F11" s="3416"/>
      <c r="G11" s="3416">
        <f>+'Special Steel Production '!G15</f>
        <v>367.24799999999999</v>
      </c>
      <c r="H11" s="3416"/>
      <c r="I11" s="3416">
        <f>+'Special Steel Production '!I15</f>
        <v>0</v>
      </c>
      <c r="J11" s="1742"/>
      <c r="K11" s="1742">
        <f t="shared" si="2"/>
        <v>367.24799999999999</v>
      </c>
      <c r="L11" s="3416"/>
      <c r="M11" s="3416">
        <f>+'Special Steel Production '!M15</f>
        <v>393.6</v>
      </c>
      <c r="N11" s="1747"/>
      <c r="O11" s="1747">
        <f t="shared" si="3"/>
        <v>760.84799999999996</v>
      </c>
      <c r="P11" s="3416"/>
      <c r="Q11" s="3416">
        <f>+'Special Steel Production '!Q15</f>
        <v>1521.1</v>
      </c>
      <c r="R11" s="1742"/>
      <c r="S11" s="1742">
        <f t="shared" si="4"/>
        <v>2281.9479999999999</v>
      </c>
      <c r="T11" s="3416"/>
      <c r="U11" s="3416">
        <f>+'Special Steel Production '!U15</f>
        <v>742.09999999999991</v>
      </c>
      <c r="V11" s="1742"/>
      <c r="W11" s="1742">
        <f t="shared" si="5"/>
        <v>3024.0479999999998</v>
      </c>
      <c r="X11" s="3416"/>
      <c r="Y11" s="3416">
        <f>+'Special Steel Production '!Y15</f>
        <v>844.6</v>
      </c>
      <c r="Z11" s="1747"/>
      <c r="AA11" s="1747">
        <f t="shared" si="6"/>
        <v>3107.7999999999997</v>
      </c>
      <c r="AB11" s="3808"/>
      <c r="AC11" s="3808">
        <f t="shared" si="7"/>
        <v>3868.6479999999997</v>
      </c>
      <c r="AD11" s="3416"/>
      <c r="AE11" s="3416">
        <f>+'Special Steel Production '!AE15</f>
        <v>1566.2</v>
      </c>
      <c r="AF11" s="1742"/>
      <c r="AG11" s="1742">
        <f t="shared" si="0"/>
        <v>5434.848</v>
      </c>
      <c r="AH11" s="3416"/>
      <c r="AI11" s="3416">
        <f>+'Special Steel Production '!AI15</f>
        <v>990.15</v>
      </c>
      <c r="AJ11" s="1742"/>
      <c r="AK11" s="1742">
        <f t="shared" si="8"/>
        <v>6424.9979999999996</v>
      </c>
      <c r="AL11" s="3416"/>
      <c r="AM11" s="3416">
        <f>+'Special Steel Production '!AM15</f>
        <v>1232.0499999999997</v>
      </c>
      <c r="AN11" s="1747"/>
      <c r="AO11" s="1747">
        <f t="shared" si="1"/>
        <v>3788.3999999999996</v>
      </c>
      <c r="AP11" s="1742"/>
      <c r="AQ11" s="3812">
        <f t="shared" si="9"/>
        <v>7657.0479999999989</v>
      </c>
      <c r="AR11" s="3416"/>
      <c r="AS11" s="3416">
        <f>+'Special Steel Production '!AS15</f>
        <v>1012.7</v>
      </c>
      <c r="AT11" s="1742"/>
      <c r="AU11" s="1742">
        <f t="shared" si="10"/>
        <v>8669.7479999999996</v>
      </c>
      <c r="AV11" s="3416"/>
      <c r="AW11" s="3416">
        <f>+'Special Steel Production '!AW15</f>
        <v>1371.4499999999998</v>
      </c>
      <c r="AX11" s="1742"/>
      <c r="AY11" s="1742">
        <f t="shared" si="11"/>
        <v>10041.198</v>
      </c>
      <c r="AZ11" s="3416"/>
      <c r="BA11" s="3416">
        <f>+'Special Steel Production '!BA15</f>
        <v>301.35000000000002</v>
      </c>
      <c r="BB11" s="1747"/>
      <c r="BC11" s="1747">
        <f t="shared" si="12"/>
        <v>2685.4999999999995</v>
      </c>
      <c r="BD11" s="3808"/>
      <c r="BE11" s="3808">
        <f t="shared" si="13"/>
        <v>6473.9</v>
      </c>
      <c r="BF11" s="1742"/>
      <c r="BG11" s="1742">
        <f t="shared" si="14"/>
        <v>10342.548000000001</v>
      </c>
    </row>
    <row r="12" spans="4:59" s="1726" customFormat="1" ht="18.75" x14ac:dyDescent="0.3">
      <c r="D12" s="3811" t="s">
        <v>1793</v>
      </c>
      <c r="E12" s="5454"/>
      <c r="F12" s="3416"/>
      <c r="G12" s="3416">
        <v>0</v>
      </c>
      <c r="H12" s="3416"/>
      <c r="I12" s="3416">
        <v>0</v>
      </c>
      <c r="J12" s="1742"/>
      <c r="K12" s="1742"/>
      <c r="L12" s="3416"/>
      <c r="M12" s="3416">
        <v>0</v>
      </c>
      <c r="N12" s="1747"/>
      <c r="O12" s="1747">
        <f t="shared" si="3"/>
        <v>0</v>
      </c>
      <c r="P12" s="3416"/>
      <c r="Q12" s="3416">
        <v>0</v>
      </c>
      <c r="R12" s="1742"/>
      <c r="S12" s="1742"/>
      <c r="T12" s="3416"/>
      <c r="U12" s="3416">
        <v>0</v>
      </c>
      <c r="V12" s="1742"/>
      <c r="W12" s="1742"/>
      <c r="X12" s="3416"/>
      <c r="Y12" s="3416">
        <v>0</v>
      </c>
      <c r="Z12" s="1747"/>
      <c r="AA12" s="1747">
        <f t="shared" si="6"/>
        <v>0</v>
      </c>
      <c r="AB12" s="3808"/>
      <c r="AC12" s="3808">
        <f t="shared" si="7"/>
        <v>0</v>
      </c>
      <c r="AD12" s="3416"/>
      <c r="AE12" s="3416">
        <v>0</v>
      </c>
      <c r="AF12" s="1742"/>
      <c r="AG12" s="1742"/>
      <c r="AH12" s="3416"/>
      <c r="AI12" s="3416">
        <v>0</v>
      </c>
      <c r="AJ12" s="1742"/>
      <c r="AK12" s="1742"/>
      <c r="AL12" s="3416"/>
      <c r="AM12" s="3416">
        <v>0</v>
      </c>
      <c r="AN12" s="1747"/>
      <c r="AO12" s="1747">
        <f t="shared" si="1"/>
        <v>0</v>
      </c>
      <c r="AP12" s="1742"/>
      <c r="AQ12" s="3812"/>
      <c r="AR12" s="3416"/>
      <c r="AS12" s="3416">
        <f>+'Special Steel Production '!AS16</f>
        <v>207.05</v>
      </c>
      <c r="AT12" s="1742"/>
      <c r="AU12" s="1742">
        <f t="shared" si="10"/>
        <v>207.05</v>
      </c>
      <c r="AV12" s="3416"/>
      <c r="AW12" s="3416">
        <f>+'Special Steel Production '!AW16</f>
        <v>0</v>
      </c>
      <c r="AX12" s="1742"/>
      <c r="AY12" s="1742">
        <f t="shared" si="11"/>
        <v>207.05</v>
      </c>
      <c r="AZ12" s="3416"/>
      <c r="BA12" s="3416">
        <f>+'Special Steel Production '!BA16</f>
        <v>0</v>
      </c>
      <c r="BB12" s="1747"/>
      <c r="BC12" s="1747">
        <f t="shared" si="12"/>
        <v>207.05</v>
      </c>
      <c r="BD12" s="3808"/>
      <c r="BE12" s="3808">
        <f t="shared" si="13"/>
        <v>207.05</v>
      </c>
      <c r="BF12" s="1742"/>
      <c r="BG12" s="1742">
        <f t="shared" si="14"/>
        <v>207.05</v>
      </c>
    </row>
    <row r="13" spans="4:59" s="1726" customFormat="1" ht="18.75" x14ac:dyDescent="0.3">
      <c r="D13" s="3811" t="s">
        <v>1794</v>
      </c>
      <c r="E13" s="5454"/>
      <c r="F13" s="3416"/>
      <c r="G13" s="3416">
        <v>0</v>
      </c>
      <c r="H13" s="3416"/>
      <c r="I13" s="3416">
        <v>0</v>
      </c>
      <c r="J13" s="1742"/>
      <c r="K13" s="1742"/>
      <c r="L13" s="3416"/>
      <c r="M13" s="3416">
        <v>0</v>
      </c>
      <c r="N13" s="1747"/>
      <c r="O13" s="1747">
        <f t="shared" si="3"/>
        <v>0</v>
      </c>
      <c r="P13" s="3416"/>
      <c r="Q13" s="3416">
        <v>0</v>
      </c>
      <c r="R13" s="1742"/>
      <c r="S13" s="1742"/>
      <c r="T13" s="3416"/>
      <c r="U13" s="3416">
        <v>0</v>
      </c>
      <c r="V13" s="1742"/>
      <c r="W13" s="1742"/>
      <c r="X13" s="3416"/>
      <c r="Y13" s="3416">
        <v>0</v>
      </c>
      <c r="Z13" s="1747"/>
      <c r="AA13" s="1747">
        <f t="shared" si="6"/>
        <v>0</v>
      </c>
      <c r="AB13" s="3808"/>
      <c r="AC13" s="3808">
        <f t="shared" si="7"/>
        <v>0</v>
      </c>
      <c r="AD13" s="3416"/>
      <c r="AE13" s="3416">
        <v>0</v>
      </c>
      <c r="AF13" s="1742"/>
      <c r="AG13" s="1742"/>
      <c r="AH13" s="3416"/>
      <c r="AI13" s="3416">
        <v>0</v>
      </c>
      <c r="AJ13" s="1742"/>
      <c r="AK13" s="1742"/>
      <c r="AL13" s="3416"/>
      <c r="AM13" s="3416">
        <v>0</v>
      </c>
      <c r="AN13" s="1747"/>
      <c r="AO13" s="1747">
        <f t="shared" si="1"/>
        <v>0</v>
      </c>
      <c r="AP13" s="1742"/>
      <c r="AQ13" s="3812"/>
      <c r="AR13" s="3416"/>
      <c r="AS13" s="3416">
        <f>+'Special Steel Production '!AS17</f>
        <v>104.55</v>
      </c>
      <c r="AT13" s="1742"/>
      <c r="AU13" s="1742">
        <f t="shared" si="10"/>
        <v>104.55</v>
      </c>
      <c r="AV13" s="3416"/>
      <c r="AW13" s="3416">
        <f>+'Special Steel Production '!AW17</f>
        <v>0</v>
      </c>
      <c r="AX13" s="1742"/>
      <c r="AY13" s="1742">
        <f t="shared" si="11"/>
        <v>104.55</v>
      </c>
      <c r="AZ13" s="3416"/>
      <c r="BA13" s="3416">
        <f>+'Special Steel Production '!BA17</f>
        <v>0</v>
      </c>
      <c r="BB13" s="1747"/>
      <c r="BC13" s="1747">
        <f t="shared" si="12"/>
        <v>104.55</v>
      </c>
      <c r="BD13" s="3808"/>
      <c r="BE13" s="3808">
        <f t="shared" si="13"/>
        <v>104.55</v>
      </c>
      <c r="BF13" s="1742"/>
      <c r="BG13" s="1742">
        <f t="shared" si="14"/>
        <v>104.55</v>
      </c>
    </row>
    <row r="14" spans="4:59" ht="18.75" x14ac:dyDescent="0.3">
      <c r="D14" s="3811" t="s">
        <v>1358</v>
      </c>
      <c r="E14" s="5454"/>
      <c r="F14" s="3416"/>
      <c r="G14" s="3416">
        <f>+'Special Steel Production '!G18</f>
        <v>1028.192</v>
      </c>
      <c r="H14" s="3416"/>
      <c r="I14" s="3416">
        <f>+'Special Steel Production '!I18</f>
        <v>313.64999999999998</v>
      </c>
      <c r="J14" s="1742"/>
      <c r="K14" s="1742">
        <f t="shared" si="2"/>
        <v>1341.8420000000001</v>
      </c>
      <c r="L14" s="3416"/>
      <c r="M14" s="3416">
        <f>+'Special Steel Production '!M18</f>
        <v>1558</v>
      </c>
      <c r="N14" s="1747"/>
      <c r="O14" s="1747">
        <f t="shared" si="3"/>
        <v>2899.8420000000001</v>
      </c>
      <c r="P14" s="3416"/>
      <c r="Q14" s="3416">
        <f>+'Special Steel Production '!Q18</f>
        <v>1033.1999999999998</v>
      </c>
      <c r="R14" s="1742"/>
      <c r="S14" s="1742">
        <f t="shared" si="4"/>
        <v>3933.0419999999999</v>
      </c>
      <c r="T14" s="3416"/>
      <c r="U14" s="3416">
        <f>+'Special Steel Production '!U18</f>
        <v>491.99999999999994</v>
      </c>
      <c r="V14" s="1742"/>
      <c r="W14" s="1742">
        <f t="shared" si="5"/>
        <v>4425.0419999999995</v>
      </c>
      <c r="X14" s="3416"/>
      <c r="Y14" s="3416">
        <f>+'Special Steel Production '!Y18</f>
        <v>758.49999999999989</v>
      </c>
      <c r="Z14" s="1747"/>
      <c r="AA14" s="1747">
        <f t="shared" si="6"/>
        <v>2283.6999999999998</v>
      </c>
      <c r="AB14" s="3808"/>
      <c r="AC14" s="3808">
        <f t="shared" si="7"/>
        <v>5183.5419999999995</v>
      </c>
      <c r="AD14" s="3416"/>
      <c r="AE14" s="3416">
        <f>+'Special Steel Production '!AE18</f>
        <v>1221.8</v>
      </c>
      <c r="AF14" s="1742"/>
      <c r="AG14" s="1742">
        <f t="shared" si="0"/>
        <v>6405.3419999999996</v>
      </c>
      <c r="AH14" s="3416"/>
      <c r="AI14" s="3416">
        <f>+'Special Steel Production '!AI18</f>
        <v>984</v>
      </c>
      <c r="AJ14" s="1742"/>
      <c r="AK14" s="1742">
        <f t="shared" si="8"/>
        <v>7389.3419999999996</v>
      </c>
      <c r="AL14" s="3416"/>
      <c r="AM14" s="3416">
        <f>+'Special Steel Production '!AM18</f>
        <v>2535.8500000000004</v>
      </c>
      <c r="AN14" s="1747"/>
      <c r="AO14" s="1747">
        <f t="shared" si="1"/>
        <v>4741.6500000000005</v>
      </c>
      <c r="AP14" s="1742"/>
      <c r="AQ14" s="3812">
        <f t="shared" si="9"/>
        <v>9925.1919999999991</v>
      </c>
      <c r="AR14" s="3416"/>
      <c r="AS14" s="3416">
        <f>+'Special Steel Production '!AS18</f>
        <v>984</v>
      </c>
      <c r="AT14" s="1742"/>
      <c r="AU14" s="1742">
        <f t="shared" si="10"/>
        <v>10909.191999999999</v>
      </c>
      <c r="AV14" s="3416"/>
      <c r="AW14" s="3416">
        <f>+'Special Steel Production '!AW18</f>
        <v>0</v>
      </c>
      <c r="AX14" s="1742"/>
      <c r="AY14" s="1742">
        <f t="shared" si="11"/>
        <v>10909.191999999999</v>
      </c>
      <c r="AZ14" s="3416"/>
      <c r="BA14" s="3416">
        <f>+'Special Steel Production '!BA18</f>
        <v>709.30000000000007</v>
      </c>
      <c r="BB14" s="1747"/>
      <c r="BC14" s="1747">
        <f t="shared" si="12"/>
        <v>1693.3000000000002</v>
      </c>
      <c r="BD14" s="3808"/>
      <c r="BE14" s="3808">
        <f t="shared" si="13"/>
        <v>6434.9500000000007</v>
      </c>
      <c r="BF14" s="1742"/>
      <c r="BG14" s="1742">
        <f t="shared" si="14"/>
        <v>11618.491999999998</v>
      </c>
    </row>
    <row r="15" spans="4:59" s="1726" customFormat="1" ht="18.75" x14ac:dyDescent="0.3">
      <c r="D15" s="3811" t="s">
        <v>1836</v>
      </c>
      <c r="E15" s="5454"/>
      <c r="F15" s="3416"/>
      <c r="G15" s="3416"/>
      <c r="H15" s="3416"/>
      <c r="I15" s="3416"/>
      <c r="J15" s="1742"/>
      <c r="K15" s="1742"/>
      <c r="L15" s="3416"/>
      <c r="M15" s="3416"/>
      <c r="N15" s="1747"/>
      <c r="O15" s="1747"/>
      <c r="P15" s="3416"/>
      <c r="Q15" s="3416"/>
      <c r="R15" s="1742"/>
      <c r="S15" s="1742"/>
      <c r="T15" s="3416"/>
      <c r="U15" s="3416"/>
      <c r="V15" s="1742"/>
      <c r="W15" s="1742"/>
      <c r="X15" s="3416"/>
      <c r="Y15" s="3416"/>
      <c r="Z15" s="1747"/>
      <c r="AA15" s="1747"/>
      <c r="AB15" s="3808"/>
      <c r="AC15" s="3808"/>
      <c r="AD15" s="3416"/>
      <c r="AE15" s="3416"/>
      <c r="AF15" s="1742"/>
      <c r="AG15" s="1742"/>
      <c r="AH15" s="3416"/>
      <c r="AI15" s="3416"/>
      <c r="AJ15" s="1742"/>
      <c r="AK15" s="1742"/>
      <c r="AL15" s="3416"/>
      <c r="AM15" s="3416"/>
      <c r="AN15" s="1747"/>
      <c r="AO15" s="1747"/>
      <c r="AP15" s="1742"/>
      <c r="AQ15" s="3812"/>
      <c r="AR15" s="3416"/>
      <c r="AS15" s="3416"/>
      <c r="AT15" s="1742"/>
      <c r="AU15" s="1742"/>
      <c r="AV15" s="3416"/>
      <c r="AW15" s="3416">
        <f>+'Special Steel Production '!AW19</f>
        <v>397.7</v>
      </c>
      <c r="AX15" s="1742"/>
      <c r="AY15" s="1742">
        <f t="shared" si="11"/>
        <v>397.7</v>
      </c>
      <c r="AZ15" s="3416"/>
      <c r="BA15" s="3416">
        <f>+'Special Steel Production '!BA19</f>
        <v>0</v>
      </c>
      <c r="BB15" s="1747"/>
      <c r="BC15" s="1747">
        <f t="shared" si="12"/>
        <v>397.7</v>
      </c>
      <c r="BD15" s="3808"/>
      <c r="BE15" s="3808">
        <f t="shared" si="13"/>
        <v>397.7</v>
      </c>
      <c r="BF15" s="1742"/>
      <c r="BG15" s="1742">
        <f t="shared" si="14"/>
        <v>397.7</v>
      </c>
    </row>
    <row r="16" spans="4:59" ht="18.75" x14ac:dyDescent="0.3">
      <c r="D16" s="3811" t="s">
        <v>1385</v>
      </c>
      <c r="E16" s="5454"/>
      <c r="F16" s="3416"/>
      <c r="G16" s="3416">
        <f>+'Special Steel Production '!G20</f>
        <v>0</v>
      </c>
      <c r="H16" s="3416"/>
      <c r="I16" s="3416">
        <f>+'Special Steel Production '!I20</f>
        <v>143.5</v>
      </c>
      <c r="J16" s="1742"/>
      <c r="K16" s="1742">
        <f t="shared" si="2"/>
        <v>143.5</v>
      </c>
      <c r="L16" s="3416"/>
      <c r="M16" s="3416">
        <f>+'Special Steel Production '!M20</f>
        <v>0</v>
      </c>
      <c r="N16" s="1747"/>
      <c r="O16" s="1747">
        <f t="shared" si="3"/>
        <v>143.5</v>
      </c>
      <c r="P16" s="3416"/>
      <c r="Q16" s="3416">
        <f>+'Special Steel Production '!Q20</f>
        <v>0</v>
      </c>
      <c r="R16" s="1742"/>
      <c r="S16" s="1742">
        <f t="shared" si="4"/>
        <v>143.5</v>
      </c>
      <c r="T16" s="3416"/>
      <c r="U16" s="3416">
        <f>+'Special Steel Production '!U20</f>
        <v>0</v>
      </c>
      <c r="V16" s="1742"/>
      <c r="W16" s="1742">
        <f t="shared" si="5"/>
        <v>143.5</v>
      </c>
      <c r="X16" s="3416"/>
      <c r="Y16" s="3416">
        <f>+'Special Steel Production '!Y20</f>
        <v>0</v>
      </c>
      <c r="Z16" s="1747"/>
      <c r="AA16" s="1747">
        <f t="shared" si="6"/>
        <v>0</v>
      </c>
      <c r="AB16" s="3808"/>
      <c r="AC16" s="3808">
        <f t="shared" si="7"/>
        <v>143.5</v>
      </c>
      <c r="AD16" s="3416"/>
      <c r="AE16" s="3416">
        <f>+'Special Steel Production '!AE20</f>
        <v>0</v>
      </c>
      <c r="AF16" s="1742"/>
      <c r="AG16" s="1742">
        <f t="shared" si="0"/>
        <v>143.5</v>
      </c>
      <c r="AH16" s="3416"/>
      <c r="AI16" s="3416">
        <f>+'Special Steel Production '!AI20</f>
        <v>0</v>
      </c>
      <c r="AJ16" s="1742"/>
      <c r="AK16" s="1742">
        <f t="shared" si="8"/>
        <v>143.5</v>
      </c>
      <c r="AL16" s="3416"/>
      <c r="AM16" s="3416">
        <f>+'Special Steel Production '!AM20</f>
        <v>0</v>
      </c>
      <c r="AN16" s="1747"/>
      <c r="AO16" s="1747">
        <f t="shared" si="1"/>
        <v>0</v>
      </c>
      <c r="AP16" s="1742"/>
      <c r="AQ16" s="3812">
        <f t="shared" si="9"/>
        <v>143.5</v>
      </c>
      <c r="AR16" s="3416"/>
      <c r="AS16" s="3416">
        <f>+'Special Steel Production '!AS20</f>
        <v>0</v>
      </c>
      <c r="AT16" s="1742"/>
      <c r="AU16" s="1742">
        <f t="shared" si="10"/>
        <v>143.5</v>
      </c>
      <c r="AV16" s="3416"/>
      <c r="AW16" s="3416">
        <f>+'Special Steel Production '!AW20</f>
        <v>0</v>
      </c>
      <c r="AX16" s="1742"/>
      <c r="AY16" s="1742">
        <f t="shared" si="11"/>
        <v>143.5</v>
      </c>
      <c r="AZ16" s="3416"/>
      <c r="BA16" s="3416">
        <f>+'Special Steel Production '!BA20</f>
        <v>0</v>
      </c>
      <c r="BB16" s="1747"/>
      <c r="BC16" s="1747">
        <f t="shared" ref="BC16:BC19" si="15">+AS16+AW16+BA16</f>
        <v>0</v>
      </c>
      <c r="BD16" s="3808"/>
      <c r="BE16" s="3808">
        <f t="shared" si="13"/>
        <v>0</v>
      </c>
      <c r="BF16" s="1742"/>
      <c r="BG16" s="1742">
        <f t="shared" si="14"/>
        <v>143.5</v>
      </c>
    </row>
    <row r="17" spans="4:59" ht="18.75" x14ac:dyDescent="0.3">
      <c r="D17" s="3811" t="s">
        <v>1359</v>
      </c>
      <c r="E17" s="5454"/>
      <c r="F17" s="3416"/>
      <c r="G17" s="3416">
        <f>+'Special Steel Production '!G21</f>
        <v>42.84</v>
      </c>
      <c r="H17" s="3416"/>
      <c r="I17" s="3416">
        <f>+'Special Steel Production '!I21</f>
        <v>0</v>
      </c>
      <c r="J17" s="1742"/>
      <c r="K17" s="1742">
        <f t="shared" si="2"/>
        <v>42.84</v>
      </c>
      <c r="L17" s="3416"/>
      <c r="M17" s="3416">
        <f>+'Special Steel Production '!M21</f>
        <v>0</v>
      </c>
      <c r="N17" s="1747"/>
      <c r="O17" s="1747">
        <f t="shared" si="3"/>
        <v>42.84</v>
      </c>
      <c r="P17" s="3416"/>
      <c r="Q17" s="3416">
        <f>+'Special Steel Production '!Q21</f>
        <v>0</v>
      </c>
      <c r="R17" s="1742"/>
      <c r="S17" s="1742">
        <f t="shared" si="4"/>
        <v>42.84</v>
      </c>
      <c r="T17" s="3416"/>
      <c r="U17" s="3416">
        <f>+'Special Steel Production '!U21</f>
        <v>153.75</v>
      </c>
      <c r="V17" s="1742"/>
      <c r="W17" s="1742">
        <f t="shared" si="5"/>
        <v>196.59</v>
      </c>
      <c r="X17" s="3416"/>
      <c r="Y17" s="3416">
        <f>+'Special Steel Production '!Y21</f>
        <v>0</v>
      </c>
      <c r="Z17" s="1747"/>
      <c r="AA17" s="1747">
        <f t="shared" si="6"/>
        <v>153.75</v>
      </c>
      <c r="AB17" s="3808"/>
      <c r="AC17" s="3808">
        <f t="shared" si="7"/>
        <v>196.59</v>
      </c>
      <c r="AD17" s="3416"/>
      <c r="AE17" s="3416">
        <f>+'Special Steel Production '!AE21</f>
        <v>0</v>
      </c>
      <c r="AF17" s="1742"/>
      <c r="AG17" s="1742">
        <f t="shared" si="0"/>
        <v>196.59</v>
      </c>
      <c r="AH17" s="3416"/>
      <c r="AI17" s="3416">
        <f>+'Special Steel Production '!AI21</f>
        <v>405.9</v>
      </c>
      <c r="AJ17" s="1742"/>
      <c r="AK17" s="1742">
        <f t="shared" si="8"/>
        <v>602.49</v>
      </c>
      <c r="AL17" s="3416"/>
      <c r="AM17" s="3416">
        <f>+'Special Steel Production '!AM21</f>
        <v>0</v>
      </c>
      <c r="AN17" s="1747"/>
      <c r="AO17" s="1747">
        <f t="shared" si="1"/>
        <v>405.9</v>
      </c>
      <c r="AP17" s="1742"/>
      <c r="AQ17" s="3812">
        <f t="shared" si="9"/>
        <v>602.49</v>
      </c>
      <c r="AR17" s="3416"/>
      <c r="AS17" s="3416">
        <f>+'Special Steel Production '!AS21</f>
        <v>112.74999999999999</v>
      </c>
      <c r="AT17" s="1742"/>
      <c r="AU17" s="1742">
        <f t="shared" si="10"/>
        <v>715.24</v>
      </c>
      <c r="AV17" s="3416"/>
      <c r="AW17" s="3416">
        <f>+'Special Steel Production '!AW21</f>
        <v>0</v>
      </c>
      <c r="AX17" s="1742"/>
      <c r="AY17" s="1742">
        <f t="shared" si="11"/>
        <v>715.24</v>
      </c>
      <c r="AZ17" s="3416"/>
      <c r="BA17" s="3416">
        <f>+'Special Steel Production '!BA21</f>
        <v>0</v>
      </c>
      <c r="BB17" s="1747"/>
      <c r="BC17" s="1747">
        <f t="shared" si="15"/>
        <v>112.74999999999999</v>
      </c>
      <c r="BD17" s="3808"/>
      <c r="BE17" s="3808">
        <f t="shared" si="13"/>
        <v>518.65</v>
      </c>
      <c r="BF17" s="1742"/>
      <c r="BG17" s="1742">
        <f t="shared" si="14"/>
        <v>715.24</v>
      </c>
    </row>
    <row r="18" spans="4:59" ht="18.75" x14ac:dyDescent="0.3">
      <c r="D18" s="3811" t="s">
        <v>1842</v>
      </c>
      <c r="E18" s="5454"/>
      <c r="F18" s="3416"/>
      <c r="G18" s="3416">
        <f>+'Special Steel Production '!G22</f>
        <v>2756.5039999999999</v>
      </c>
      <c r="H18" s="3416"/>
      <c r="I18" s="3416">
        <f>+'Special Steel Production '!I22</f>
        <v>3013.4999999999995</v>
      </c>
      <c r="J18" s="1742"/>
      <c r="K18" s="1742">
        <f t="shared" si="2"/>
        <v>5770.003999999999</v>
      </c>
      <c r="L18" s="3416"/>
      <c r="M18" s="3416">
        <f>+'Special Steel Production '!M22</f>
        <v>6814.2</v>
      </c>
      <c r="N18" s="1747"/>
      <c r="O18" s="1747">
        <f t="shared" si="3"/>
        <v>12584.203999999998</v>
      </c>
      <c r="P18" s="3416"/>
      <c r="Q18" s="3416">
        <f>+'Special Steel Production '!Q22</f>
        <v>5334.0999999999995</v>
      </c>
      <c r="R18" s="1742"/>
      <c r="S18" s="1742">
        <f t="shared" si="4"/>
        <v>17918.303999999996</v>
      </c>
      <c r="T18" s="3416"/>
      <c r="U18" s="3416">
        <f>+'Special Steel Production '!U22</f>
        <v>6262.75</v>
      </c>
      <c r="V18" s="1742"/>
      <c r="W18" s="1742">
        <f t="shared" si="5"/>
        <v>24181.053999999996</v>
      </c>
      <c r="X18" s="3416"/>
      <c r="Y18" s="3416">
        <f>+'Special Steel Production '!Y22</f>
        <v>9300.85</v>
      </c>
      <c r="Z18" s="1747"/>
      <c r="AA18" s="1747">
        <f t="shared" si="6"/>
        <v>20897.699999999997</v>
      </c>
      <c r="AB18" s="3808"/>
      <c r="AC18" s="3808">
        <f t="shared" si="7"/>
        <v>33481.903999999995</v>
      </c>
      <c r="AD18" s="3416"/>
      <c r="AE18" s="3416">
        <f>+'Special Steel Production '!AE22</f>
        <v>7052</v>
      </c>
      <c r="AF18" s="1742"/>
      <c r="AG18" s="1742">
        <f t="shared" si="0"/>
        <v>40533.903999999995</v>
      </c>
      <c r="AH18" s="3416"/>
      <c r="AI18" s="3416">
        <f>+'Special Steel Production '!AI22</f>
        <v>10223.349999999999</v>
      </c>
      <c r="AJ18" s="1742"/>
      <c r="AK18" s="1742">
        <f t="shared" si="8"/>
        <v>50757.253999999994</v>
      </c>
      <c r="AL18" s="3416"/>
      <c r="AM18" s="3416">
        <f>+'Special Steel Production '!AM22</f>
        <v>3208.25</v>
      </c>
      <c r="AN18" s="1747"/>
      <c r="AO18" s="1747">
        <f t="shared" si="1"/>
        <v>20483.599999999999</v>
      </c>
      <c r="AP18" s="1742"/>
      <c r="AQ18" s="3812">
        <f t="shared" si="9"/>
        <v>53965.503999999994</v>
      </c>
      <c r="AR18" s="3416"/>
      <c r="AS18" s="3416">
        <f>+'Special Steel Production '!AS22</f>
        <v>5594.45</v>
      </c>
      <c r="AT18" s="1742"/>
      <c r="AU18" s="1742">
        <f>+AQ18+AS18</f>
        <v>59559.953999999991</v>
      </c>
      <c r="AV18" s="3416"/>
      <c r="AW18" s="3416">
        <f>+'Special Steel Production '!AW22</f>
        <v>8441.9</v>
      </c>
      <c r="AX18" s="1742"/>
      <c r="AY18" s="1742">
        <f>+AU18+AW18</f>
        <v>68001.853999999992</v>
      </c>
      <c r="AZ18" s="3416"/>
      <c r="BA18" s="3416">
        <f>+'Special Steel Production '!BA22</f>
        <v>7994.9999999999991</v>
      </c>
      <c r="BB18" s="1747"/>
      <c r="BC18" s="1747">
        <f t="shared" si="15"/>
        <v>22031.35</v>
      </c>
      <c r="BD18" s="3808"/>
      <c r="BE18" s="3808">
        <f t="shared" si="13"/>
        <v>42514.95</v>
      </c>
      <c r="BF18" s="1742"/>
      <c r="BG18" s="1742">
        <f t="shared" si="14"/>
        <v>75996.853999999992</v>
      </c>
    </row>
    <row r="19" spans="4:59" ht="19.5" thickBot="1" x14ac:dyDescent="0.35">
      <c r="D19" s="3813" t="s">
        <v>2</v>
      </c>
      <c r="E19" s="5455"/>
      <c r="F19" s="3814"/>
      <c r="G19" s="3814">
        <f>SUM(G9:G18)</f>
        <v>4710.9039999999995</v>
      </c>
      <c r="H19" s="3814"/>
      <c r="I19" s="3814">
        <f>SUM(I9:I18)</f>
        <v>3802.7499999999995</v>
      </c>
      <c r="J19" s="3815"/>
      <c r="K19" s="3815">
        <f t="shared" si="2"/>
        <v>8513.6539999999986</v>
      </c>
      <c r="L19" s="3814"/>
      <c r="M19" s="3814">
        <f>SUM(M9:M18)</f>
        <v>10045</v>
      </c>
      <c r="N19" s="3816"/>
      <c r="O19" s="3816">
        <f t="shared" si="3"/>
        <v>18558.653999999999</v>
      </c>
      <c r="P19" s="3814"/>
      <c r="Q19" s="3814">
        <f>SUM(Q9:Q18)</f>
        <v>7888.4</v>
      </c>
      <c r="R19" s="3815"/>
      <c r="S19" s="3815">
        <f t="shared" si="4"/>
        <v>26447.053999999996</v>
      </c>
      <c r="T19" s="3814"/>
      <c r="U19" s="3814">
        <f>SUM(U9:U18)</f>
        <v>8501.35</v>
      </c>
      <c r="V19" s="3815"/>
      <c r="W19" s="3815">
        <f t="shared" si="5"/>
        <v>34948.403999999995</v>
      </c>
      <c r="X19" s="3814"/>
      <c r="Y19" s="3814">
        <f>SUM(Y9:Y18)</f>
        <v>12867.85</v>
      </c>
      <c r="Z19" s="3816"/>
      <c r="AA19" s="3816">
        <f t="shared" si="6"/>
        <v>29257.599999999999</v>
      </c>
      <c r="AB19" s="3817"/>
      <c r="AC19" s="3817">
        <f t="shared" si="7"/>
        <v>47816.254000000001</v>
      </c>
      <c r="AD19" s="3814"/>
      <c r="AE19" s="3814">
        <f>SUM(AE9:AE18)</f>
        <v>11568.15</v>
      </c>
      <c r="AF19" s="3815"/>
      <c r="AG19" s="3815">
        <f t="shared" si="0"/>
        <v>59384.404000000002</v>
      </c>
      <c r="AH19" s="3814"/>
      <c r="AI19" s="3814">
        <f>SUM(AI9:AI18)</f>
        <v>13880.55</v>
      </c>
      <c r="AJ19" s="3815"/>
      <c r="AK19" s="3815">
        <f t="shared" si="8"/>
        <v>73264.953999999998</v>
      </c>
      <c r="AL19" s="3814"/>
      <c r="AM19" s="3814">
        <f>SUM(AM9:AM18)</f>
        <v>7203.7</v>
      </c>
      <c r="AN19" s="3816"/>
      <c r="AO19" s="3816">
        <f t="shared" si="1"/>
        <v>32652.399999999998</v>
      </c>
      <c r="AP19" s="3815"/>
      <c r="AQ19" s="3976">
        <f t="shared" si="9"/>
        <v>80468.653999999995</v>
      </c>
      <c r="AR19" s="3814"/>
      <c r="AS19" s="3814">
        <f>SUM(AS9:AS18)</f>
        <v>8519.7999999999993</v>
      </c>
      <c r="AT19" s="3815"/>
      <c r="AU19" s="3815">
        <f t="shared" si="10"/>
        <v>88988.453999999998</v>
      </c>
      <c r="AV19" s="3814"/>
      <c r="AW19" s="3814">
        <f>SUM(AW9:AW18)</f>
        <v>10211.049999999999</v>
      </c>
      <c r="AX19" s="3815"/>
      <c r="AY19" s="3815">
        <f t="shared" ref="AY19" si="16">+AU19+AW19</f>
        <v>99199.504000000001</v>
      </c>
      <c r="AZ19" s="3814"/>
      <c r="BA19" s="3814">
        <f>SUM(BA9:BA18)</f>
        <v>10219.25</v>
      </c>
      <c r="BB19" s="3816"/>
      <c r="BC19" s="3816">
        <f t="shared" si="15"/>
        <v>28950.1</v>
      </c>
      <c r="BD19" s="3817"/>
      <c r="BE19" s="3817">
        <f t="shared" si="13"/>
        <v>61602.5</v>
      </c>
      <c r="BF19" s="3815"/>
      <c r="BG19" s="3815">
        <f t="shared" si="14"/>
        <v>109418.754</v>
      </c>
    </row>
  </sheetData>
  <mergeCells count="29">
    <mergeCell ref="AZ8:BA8"/>
    <mergeCell ref="BF8:BG8"/>
    <mergeCell ref="BB8:BC8"/>
    <mergeCell ref="BD8:BE8"/>
    <mergeCell ref="D6:AU6"/>
    <mergeCell ref="AH8:AI8"/>
    <mergeCell ref="AJ8:AK8"/>
    <mergeCell ref="AL8:AM8"/>
    <mergeCell ref="AN8:AO8"/>
    <mergeCell ref="AP8:AQ8"/>
    <mergeCell ref="N8:O8"/>
    <mergeCell ref="P8:Q8"/>
    <mergeCell ref="R8:S8"/>
    <mergeCell ref="T8:U8"/>
    <mergeCell ref="V8:W8"/>
    <mergeCell ref="X8:Y8"/>
    <mergeCell ref="Z8:AA8"/>
    <mergeCell ref="AB8:AC8"/>
    <mergeCell ref="AV8:AW8"/>
    <mergeCell ref="AX8:AY8"/>
    <mergeCell ref="AD8:AE8"/>
    <mergeCell ref="AF8:AG8"/>
    <mergeCell ref="AR8:AS8"/>
    <mergeCell ref="AT8:AU8"/>
    <mergeCell ref="E9:E19"/>
    <mergeCell ref="F8:G8"/>
    <mergeCell ref="H8:I8"/>
    <mergeCell ref="J8:K8"/>
    <mergeCell ref="L8:M8"/>
  </mergeCell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  <pageSetUpPr fitToPage="1"/>
  </sheetPr>
  <dimension ref="C2:BF17"/>
  <sheetViews>
    <sheetView zoomScale="84" zoomScaleNormal="84" workbookViewId="0">
      <pane xSplit="3" topLeftCell="D1" activePane="topRight" state="frozen"/>
      <selection pane="topRight" activeCell="BK38" sqref="BI38:BK39"/>
    </sheetView>
  </sheetViews>
  <sheetFormatPr defaultColWidth="8.85546875" defaultRowHeight="15" x14ac:dyDescent="0.25"/>
  <cols>
    <col min="3" max="3" width="53.140625" customWidth="1"/>
    <col min="4" max="4" width="19.42578125" customWidth="1"/>
    <col min="5" max="5" width="11.85546875" customWidth="1"/>
    <col min="6" max="6" width="16.28515625" customWidth="1"/>
    <col min="7" max="8" width="9.140625" customWidth="1"/>
    <col min="9" max="10" width="9.140625" hidden="1" customWidth="1"/>
    <col min="11" max="16" width="9.140625" customWidth="1"/>
    <col min="17" max="18" width="9.140625" hidden="1" customWidth="1"/>
    <col min="19" max="20" width="9.140625" customWidth="1"/>
    <col min="21" max="22" width="9.140625" hidden="1" customWidth="1"/>
    <col min="23" max="30" width="9.140625" customWidth="1"/>
    <col min="31" max="32" width="9.140625" hidden="1" customWidth="1"/>
    <col min="33" max="34" width="9.140625" customWidth="1"/>
    <col min="35" max="36" width="9.140625" hidden="1" customWidth="1"/>
    <col min="37" max="40" width="9.140625" customWidth="1"/>
    <col min="41" max="42" width="9.140625" hidden="1" customWidth="1"/>
    <col min="43" max="44" width="9.140625" customWidth="1"/>
    <col min="45" max="46" width="9.140625" hidden="1" customWidth="1"/>
    <col min="47" max="48" width="9.140625" customWidth="1"/>
    <col min="49" max="50" width="9.140625" hidden="1" customWidth="1"/>
    <col min="51" max="60" width="9.140625" customWidth="1"/>
  </cols>
  <sheetData>
    <row r="2" spans="3:58" ht="22.5" x14ac:dyDescent="0.25">
      <c r="C2" s="253" t="s">
        <v>808</v>
      </c>
    </row>
    <row r="3" spans="3:58" ht="15.75" customHeight="1" thickBot="1" x14ac:dyDescent="0.3">
      <c r="C3" s="254"/>
    </row>
    <row r="4" spans="3:58" ht="15.75" thickBot="1" x14ac:dyDescent="0.3">
      <c r="C4" s="5471" t="s">
        <v>665</v>
      </c>
      <c r="D4" s="5473" t="s">
        <v>198</v>
      </c>
      <c r="E4" s="5261" t="s">
        <v>1323</v>
      </c>
      <c r="F4" s="5475"/>
      <c r="G4" s="5261" t="s">
        <v>1384</v>
      </c>
      <c r="H4" s="5261"/>
      <c r="I4" s="5359" t="s">
        <v>15</v>
      </c>
      <c r="J4" s="5360"/>
      <c r="K4" s="5361" t="s">
        <v>1397</v>
      </c>
      <c r="L4" s="5362"/>
      <c r="M4" s="5466" t="s">
        <v>158</v>
      </c>
      <c r="N4" s="5467"/>
      <c r="O4" s="5261" t="s">
        <v>1424</v>
      </c>
      <c r="P4" s="5261"/>
      <c r="Q4" s="5359" t="s">
        <v>18</v>
      </c>
      <c r="R4" s="5360"/>
      <c r="S4" s="5261" t="s">
        <v>1496</v>
      </c>
      <c r="T4" s="5261"/>
      <c r="U4" s="5359" t="s">
        <v>19</v>
      </c>
      <c r="V4" s="5360"/>
      <c r="W4" s="5261" t="s">
        <v>1573</v>
      </c>
      <c r="X4" s="5261"/>
      <c r="Y4" s="5468" t="s">
        <v>159</v>
      </c>
      <c r="Z4" s="5467"/>
      <c r="AA4" s="5469" t="s">
        <v>560</v>
      </c>
      <c r="AB4" s="5470"/>
      <c r="AC4" s="5261" t="s">
        <v>1634</v>
      </c>
      <c r="AD4" s="5261"/>
      <c r="AE4" s="5359" t="s">
        <v>26</v>
      </c>
      <c r="AF4" s="5360"/>
      <c r="AG4" s="5261" t="s">
        <v>1671</v>
      </c>
      <c r="AH4" s="5261"/>
      <c r="AI4" s="5359" t="s">
        <v>29</v>
      </c>
      <c r="AJ4" s="5360"/>
      <c r="AK4" s="5261" t="s">
        <v>1696</v>
      </c>
      <c r="AL4" s="5261"/>
      <c r="AM4" s="5468" t="s">
        <v>160</v>
      </c>
      <c r="AN4" s="5467"/>
      <c r="AO4" s="5359" t="s">
        <v>30</v>
      </c>
      <c r="AP4" s="5360"/>
      <c r="AQ4" s="5261" t="s">
        <v>1760</v>
      </c>
      <c r="AR4" s="5261"/>
      <c r="AS4" s="5359" t="s">
        <v>31</v>
      </c>
      <c r="AT4" s="5360"/>
      <c r="AU4" s="5261" t="s">
        <v>1812</v>
      </c>
      <c r="AV4" s="5261"/>
      <c r="AW4" s="5359" t="s">
        <v>33</v>
      </c>
      <c r="AX4" s="5360"/>
      <c r="AY4" s="5261" t="s">
        <v>1844</v>
      </c>
      <c r="AZ4" s="5261"/>
      <c r="BA4" s="5468" t="s">
        <v>161</v>
      </c>
      <c r="BB4" s="5467"/>
      <c r="BC4" s="5469" t="s">
        <v>608</v>
      </c>
      <c r="BD4" s="5470"/>
      <c r="BE4" s="5359" t="s">
        <v>1314</v>
      </c>
      <c r="BF4" s="5360"/>
    </row>
    <row r="5" spans="3:58" ht="15.75" thickBot="1" x14ac:dyDescent="0.3">
      <c r="C5" s="5472"/>
      <c r="D5" s="5474"/>
      <c r="E5" s="103" t="s">
        <v>199</v>
      </c>
      <c r="F5" s="226" t="s">
        <v>200</v>
      </c>
      <c r="G5" s="103" t="s">
        <v>199</v>
      </c>
      <c r="H5" s="7" t="s">
        <v>200</v>
      </c>
      <c r="I5" s="208" t="s">
        <v>199</v>
      </c>
      <c r="J5" s="61" t="s">
        <v>200</v>
      </c>
      <c r="K5" s="104" t="s">
        <v>199</v>
      </c>
      <c r="L5" s="6" t="s">
        <v>200</v>
      </c>
      <c r="M5" s="205" t="s">
        <v>199</v>
      </c>
      <c r="N5" s="153" t="s">
        <v>200</v>
      </c>
      <c r="O5" s="103" t="s">
        <v>199</v>
      </c>
      <c r="P5" s="7" t="s">
        <v>200</v>
      </c>
      <c r="Q5" s="208" t="s">
        <v>199</v>
      </c>
      <c r="R5" s="61" t="s">
        <v>200</v>
      </c>
      <c r="S5" s="103" t="s">
        <v>199</v>
      </c>
      <c r="T5" s="7" t="s">
        <v>200</v>
      </c>
      <c r="U5" s="208" t="s">
        <v>199</v>
      </c>
      <c r="V5" s="61" t="s">
        <v>200</v>
      </c>
      <c r="W5" s="103" t="s">
        <v>199</v>
      </c>
      <c r="X5" s="7" t="s">
        <v>200</v>
      </c>
      <c r="Y5" s="196" t="s">
        <v>199</v>
      </c>
      <c r="Z5" s="153" t="s">
        <v>200</v>
      </c>
      <c r="AA5" s="4632" t="s">
        <v>199</v>
      </c>
      <c r="AB5" s="4633" t="s">
        <v>200</v>
      </c>
      <c r="AC5" s="103" t="s">
        <v>199</v>
      </c>
      <c r="AD5" s="7" t="s">
        <v>200</v>
      </c>
      <c r="AE5" s="208" t="s">
        <v>199</v>
      </c>
      <c r="AF5" s="61" t="s">
        <v>200</v>
      </c>
      <c r="AG5" s="103" t="s">
        <v>199</v>
      </c>
      <c r="AH5" s="7" t="s">
        <v>200</v>
      </c>
      <c r="AI5" s="208" t="s">
        <v>199</v>
      </c>
      <c r="AJ5" s="61" t="s">
        <v>200</v>
      </c>
      <c r="AK5" s="103" t="s">
        <v>199</v>
      </c>
      <c r="AL5" s="7" t="s">
        <v>200</v>
      </c>
      <c r="AM5" s="196" t="s">
        <v>199</v>
      </c>
      <c r="AN5" s="153" t="s">
        <v>200</v>
      </c>
      <c r="AO5" s="208" t="s">
        <v>199</v>
      </c>
      <c r="AP5" s="61" t="s">
        <v>200</v>
      </c>
      <c r="AQ5" s="103" t="s">
        <v>199</v>
      </c>
      <c r="AR5" s="7" t="s">
        <v>200</v>
      </c>
      <c r="AS5" s="208" t="s">
        <v>199</v>
      </c>
      <c r="AT5" s="61" t="s">
        <v>200</v>
      </c>
      <c r="AU5" s="103" t="s">
        <v>199</v>
      </c>
      <c r="AV5" s="7" t="s">
        <v>200</v>
      </c>
      <c r="AW5" s="208" t="s">
        <v>199</v>
      </c>
      <c r="AX5" s="61" t="s">
        <v>200</v>
      </c>
      <c r="AY5" s="103" t="s">
        <v>199</v>
      </c>
      <c r="AZ5" s="7" t="s">
        <v>200</v>
      </c>
      <c r="BA5" s="196" t="s">
        <v>199</v>
      </c>
      <c r="BB5" s="153" t="s">
        <v>200</v>
      </c>
      <c r="BC5" s="4632" t="s">
        <v>199</v>
      </c>
      <c r="BD5" s="4633" t="s">
        <v>200</v>
      </c>
      <c r="BE5" s="4412" t="s">
        <v>199</v>
      </c>
      <c r="BF5" s="61" t="s">
        <v>200</v>
      </c>
    </row>
    <row r="6" spans="3:58" x14ac:dyDescent="0.25">
      <c r="C6" s="13" t="s">
        <v>7</v>
      </c>
      <c r="D6" s="15" t="s">
        <v>53</v>
      </c>
      <c r="E6" s="3967">
        <v>83</v>
      </c>
      <c r="F6" s="338">
        <v>113.35</v>
      </c>
      <c r="G6" s="3968">
        <v>83</v>
      </c>
      <c r="H6" s="338">
        <v>79.11</v>
      </c>
      <c r="I6" s="71">
        <f>+E6+G6</f>
        <v>166</v>
      </c>
      <c r="J6" s="62">
        <f>+F6+H6</f>
        <v>192.45999999999998</v>
      </c>
      <c r="K6" s="3968">
        <v>83</v>
      </c>
      <c r="L6" s="338">
        <v>94.85</v>
      </c>
      <c r="M6" s="156">
        <f>+I6+K6</f>
        <v>249</v>
      </c>
      <c r="N6" s="160">
        <f>+J6+L6</f>
        <v>287.30999999999995</v>
      </c>
      <c r="O6" s="3968">
        <v>84</v>
      </c>
      <c r="P6" s="338">
        <v>118.84</v>
      </c>
      <c r="Q6" s="71">
        <f>+M6+O6</f>
        <v>333</v>
      </c>
      <c r="R6" s="62">
        <f>+N6+P6</f>
        <v>406.15</v>
      </c>
      <c r="S6" s="3968">
        <v>84</v>
      </c>
      <c r="T6" s="338">
        <v>110.78</v>
      </c>
      <c r="U6" s="71">
        <f>+Q6+S6</f>
        <v>417</v>
      </c>
      <c r="V6" s="62">
        <f>+R6+T6</f>
        <v>516.92999999999995</v>
      </c>
      <c r="W6" s="3968">
        <v>83</v>
      </c>
      <c r="X6" s="338">
        <v>96.3</v>
      </c>
      <c r="Y6" s="156">
        <f>+O6+S6+W6</f>
        <v>251</v>
      </c>
      <c r="Z6" s="160">
        <f>+P6+T6+X6</f>
        <v>325.92</v>
      </c>
      <c r="AA6" s="4640">
        <f>+U6+W6</f>
        <v>500</v>
      </c>
      <c r="AB6" s="4641">
        <f>+V6+X6</f>
        <v>613.2299999999999</v>
      </c>
      <c r="AC6" s="3967">
        <v>83</v>
      </c>
      <c r="AD6" s="338">
        <v>96.3</v>
      </c>
      <c r="AE6" s="71">
        <f>+AA6+AC6</f>
        <v>583</v>
      </c>
      <c r="AF6" s="62">
        <f>+AB6+AD6</f>
        <v>709.52999999999986</v>
      </c>
      <c r="AG6" s="3968">
        <v>83</v>
      </c>
      <c r="AH6" s="338">
        <v>122.12</v>
      </c>
      <c r="AI6" s="71">
        <f>+AE6+AG6</f>
        <v>666</v>
      </c>
      <c r="AJ6" s="62">
        <f>+AF6+AH6</f>
        <v>831.64999999999986</v>
      </c>
      <c r="AK6" s="3968">
        <v>84</v>
      </c>
      <c r="AL6" s="338">
        <v>132.94999999999999</v>
      </c>
      <c r="AM6" s="156">
        <f>+AC6+AG6+AK6</f>
        <v>250</v>
      </c>
      <c r="AN6" s="160">
        <f>+AD6+AH6+AL6</f>
        <v>351.37</v>
      </c>
      <c r="AO6" s="71">
        <f>+AI6+AK6</f>
        <v>750</v>
      </c>
      <c r="AP6" s="62">
        <f>+AJ6+AL6</f>
        <v>964.59999999999991</v>
      </c>
      <c r="AQ6" s="3968">
        <v>84</v>
      </c>
      <c r="AR6" s="338">
        <v>103.68</v>
      </c>
      <c r="AS6" s="64">
        <f>+AO6+AQ6</f>
        <v>834</v>
      </c>
      <c r="AT6" s="186">
        <f>+AP6+AR6</f>
        <v>1068.28</v>
      </c>
      <c r="AU6" s="4627">
        <v>80</v>
      </c>
      <c r="AV6" s="338">
        <v>127.08</v>
      </c>
      <c r="AW6" s="71">
        <f>+AS6+AU6</f>
        <v>914</v>
      </c>
      <c r="AX6" s="62">
        <f>+AT6+AV6</f>
        <v>1195.3599999999999</v>
      </c>
      <c r="AY6" s="4630">
        <v>84</v>
      </c>
      <c r="AZ6" s="4631">
        <v>90.35</v>
      </c>
      <c r="BA6" s="156">
        <f>+AQ6+AU6+AY6</f>
        <v>248</v>
      </c>
      <c r="BB6" s="160">
        <f>+AR6+AV6+AZ6</f>
        <v>321.11</v>
      </c>
      <c r="BC6" s="4634">
        <f>+AM6+BA6</f>
        <v>498</v>
      </c>
      <c r="BD6" s="4635">
        <f>+BB6+AN6</f>
        <v>672.48</v>
      </c>
      <c r="BE6" s="71">
        <f>+AW6+AY6</f>
        <v>998</v>
      </c>
      <c r="BF6" s="62">
        <f>+AX6+AZ6</f>
        <v>1285.7099999999998</v>
      </c>
    </row>
    <row r="7" spans="3:58" x14ac:dyDescent="0.25">
      <c r="C7" s="9" t="s">
        <v>666</v>
      </c>
      <c r="D7" s="11" t="s">
        <v>53</v>
      </c>
      <c r="E7" s="3969">
        <v>125</v>
      </c>
      <c r="F7" s="336">
        <v>119.91</v>
      </c>
      <c r="G7" s="3970">
        <v>125</v>
      </c>
      <c r="H7" s="336">
        <v>126.03</v>
      </c>
      <c r="I7" s="1316">
        <f>+E7+G7</f>
        <v>250</v>
      </c>
      <c r="J7" s="66">
        <f t="shared" ref="J7:J8" si="0">+F7+H7</f>
        <v>245.94</v>
      </c>
      <c r="K7" s="3970">
        <v>125</v>
      </c>
      <c r="L7" s="336">
        <v>109.37</v>
      </c>
      <c r="M7" s="211">
        <f>+I7+K7</f>
        <v>375</v>
      </c>
      <c r="N7" s="155">
        <f t="shared" ref="N7:N8" si="1">+J7+L7</f>
        <v>355.31</v>
      </c>
      <c r="O7" s="3970">
        <v>125</v>
      </c>
      <c r="P7" s="336">
        <v>122.93</v>
      </c>
      <c r="Q7" s="1316">
        <f>+M7+O7</f>
        <v>500</v>
      </c>
      <c r="R7" s="66">
        <f t="shared" ref="R7:R8" si="2">+N7+P7</f>
        <v>478.24</v>
      </c>
      <c r="S7" s="3970">
        <v>125</v>
      </c>
      <c r="T7" s="336">
        <v>132.69999999999999</v>
      </c>
      <c r="U7" s="1316">
        <f>+Q7+S7</f>
        <v>625</v>
      </c>
      <c r="V7" s="66">
        <f t="shared" ref="V7:V8" si="3">+R7+T7</f>
        <v>610.94000000000005</v>
      </c>
      <c r="W7" s="3970">
        <v>125</v>
      </c>
      <c r="X7" s="336">
        <v>124.98</v>
      </c>
      <c r="Y7" s="157">
        <f t="shared" ref="Y7:Y8" si="4">+O7+S7+W7</f>
        <v>375</v>
      </c>
      <c r="Z7" s="155">
        <f t="shared" ref="Z7:Z8" si="5">+P7+T7+X7</f>
        <v>380.61</v>
      </c>
      <c r="AA7" s="4642">
        <f t="shared" ref="AA7:AA8" si="6">+U7+W7</f>
        <v>750</v>
      </c>
      <c r="AB7" s="1115">
        <f t="shared" ref="AB7:AB8" si="7">+V7+X7</f>
        <v>735.92000000000007</v>
      </c>
      <c r="AC7" s="3969">
        <v>125</v>
      </c>
      <c r="AD7" s="336">
        <v>124.98</v>
      </c>
      <c r="AE7" s="1316">
        <f>+AA7+AC7</f>
        <v>875</v>
      </c>
      <c r="AF7" s="66">
        <f t="shared" ref="AF7:AF8" si="8">+AB7+AD7</f>
        <v>860.90000000000009</v>
      </c>
      <c r="AG7" s="3970">
        <v>125</v>
      </c>
      <c r="AH7" s="336">
        <v>134.80000000000001</v>
      </c>
      <c r="AI7" s="1316">
        <f>+AE7+AG7</f>
        <v>1000</v>
      </c>
      <c r="AJ7" s="66">
        <f t="shared" ref="AJ7:AJ8" si="9">+AF7+AH7</f>
        <v>995.7</v>
      </c>
      <c r="AK7" s="3970">
        <v>125</v>
      </c>
      <c r="AL7" s="336">
        <v>103.56</v>
      </c>
      <c r="AM7" s="157">
        <f t="shared" ref="AM7:AM8" si="10">+AC7+AG7+AK7</f>
        <v>375</v>
      </c>
      <c r="AN7" s="155">
        <f t="shared" ref="AN7:AN8" si="11">+AD7+AH7+AL7</f>
        <v>363.34000000000003</v>
      </c>
      <c r="AO7" s="65">
        <f t="shared" ref="AO7:AO8" si="12">+AI7+AK7</f>
        <v>1125</v>
      </c>
      <c r="AP7" s="66">
        <f t="shared" ref="AP7:AP8" si="13">+AJ7+AL7</f>
        <v>1099.26</v>
      </c>
      <c r="AQ7" s="3970">
        <v>125</v>
      </c>
      <c r="AR7" s="336">
        <v>173.83</v>
      </c>
      <c r="AS7" s="67">
        <f>+AO7+AQ7</f>
        <v>1250</v>
      </c>
      <c r="AT7" s="68">
        <f t="shared" ref="AT7:AT8" si="14">+AP7+AR7</f>
        <v>1273.0899999999999</v>
      </c>
      <c r="AU7" s="4628">
        <v>125</v>
      </c>
      <c r="AV7" s="336">
        <v>161.03</v>
      </c>
      <c r="AW7" s="1316">
        <f>+AS7+AU7</f>
        <v>1375</v>
      </c>
      <c r="AX7" s="66">
        <f t="shared" ref="AX7:AX8" si="15">+AT7+AV7</f>
        <v>1434.12</v>
      </c>
      <c r="AY7" s="1109">
        <v>125</v>
      </c>
      <c r="AZ7" s="449">
        <v>153.47</v>
      </c>
      <c r="BA7" s="157">
        <f t="shared" ref="BA7:BA8" si="16">+AQ7+AU7+AY7</f>
        <v>375</v>
      </c>
      <c r="BB7" s="4427">
        <f t="shared" ref="BB7:BB8" si="17">+AR7+AV7+AZ7</f>
        <v>488.33000000000004</v>
      </c>
      <c r="BC7" s="4636">
        <f t="shared" ref="BC7:BC8" si="18">+AM7+BA7</f>
        <v>750</v>
      </c>
      <c r="BD7" s="4637">
        <f t="shared" ref="BD7:BD8" si="19">+BB7+AN7</f>
        <v>851.67000000000007</v>
      </c>
      <c r="BE7" s="1316">
        <f t="shared" ref="BE7:BE8" si="20">+AW7+AY7</f>
        <v>1500</v>
      </c>
      <c r="BF7" s="66">
        <f t="shared" ref="BF7:BF8" si="21">+AX7+AZ7</f>
        <v>1587.59</v>
      </c>
    </row>
    <row r="8" spans="3:58" ht="15.95" customHeight="1" thickBot="1" x14ac:dyDescent="0.3">
      <c r="C8" s="16" t="s">
        <v>8</v>
      </c>
      <c r="D8" s="19" t="s">
        <v>53</v>
      </c>
      <c r="E8" s="3971">
        <v>4</v>
      </c>
      <c r="F8" s="344">
        <v>2.5</v>
      </c>
      <c r="G8" s="3972">
        <v>4</v>
      </c>
      <c r="H8" s="344">
        <v>3.2</v>
      </c>
      <c r="I8" s="74">
        <f>+E8+G8</f>
        <v>8</v>
      </c>
      <c r="J8" s="102">
        <f t="shared" si="0"/>
        <v>5.7</v>
      </c>
      <c r="K8" s="3972">
        <v>4</v>
      </c>
      <c r="L8" s="344">
        <v>2.4</v>
      </c>
      <c r="M8" s="3973">
        <f>+I8+K8</f>
        <v>12</v>
      </c>
      <c r="N8" s="170">
        <f t="shared" si="1"/>
        <v>8.1</v>
      </c>
      <c r="O8" s="3972">
        <v>5</v>
      </c>
      <c r="P8" s="344">
        <v>2.6</v>
      </c>
      <c r="Q8" s="74">
        <f>+M8+O8</f>
        <v>17</v>
      </c>
      <c r="R8" s="102">
        <f t="shared" si="2"/>
        <v>10.7</v>
      </c>
      <c r="S8" s="3972">
        <v>5</v>
      </c>
      <c r="T8" s="344">
        <v>4</v>
      </c>
      <c r="U8" s="74">
        <f>+Q8+S8</f>
        <v>22</v>
      </c>
      <c r="V8" s="102">
        <f t="shared" si="3"/>
        <v>14.7</v>
      </c>
      <c r="W8" s="3972">
        <v>4</v>
      </c>
      <c r="X8" s="344">
        <v>4.0999999999999996</v>
      </c>
      <c r="Y8" s="158">
        <f t="shared" si="4"/>
        <v>14</v>
      </c>
      <c r="Z8" s="161">
        <f t="shared" si="5"/>
        <v>10.7</v>
      </c>
      <c r="AA8" s="4643">
        <f t="shared" si="6"/>
        <v>26</v>
      </c>
      <c r="AB8" s="4644">
        <f t="shared" si="7"/>
        <v>18.799999999999997</v>
      </c>
      <c r="AC8" s="344">
        <v>4</v>
      </c>
      <c r="AD8" s="344">
        <v>3.8</v>
      </c>
      <c r="AE8" s="74">
        <f>+AA8+AC8</f>
        <v>30</v>
      </c>
      <c r="AF8" s="102">
        <f t="shared" si="8"/>
        <v>22.599999999999998</v>
      </c>
      <c r="AG8" s="3972">
        <v>4</v>
      </c>
      <c r="AH8" s="344">
        <v>3.9</v>
      </c>
      <c r="AI8" s="74">
        <f>+AE8+AG8</f>
        <v>34</v>
      </c>
      <c r="AJ8" s="102">
        <f t="shared" si="9"/>
        <v>26.499999999999996</v>
      </c>
      <c r="AK8" s="3972">
        <v>4</v>
      </c>
      <c r="AL8" s="344">
        <v>2.4</v>
      </c>
      <c r="AM8" s="158">
        <f t="shared" si="10"/>
        <v>12</v>
      </c>
      <c r="AN8" s="161">
        <f t="shared" si="11"/>
        <v>10.1</v>
      </c>
      <c r="AO8" s="1362">
        <f t="shared" si="12"/>
        <v>38</v>
      </c>
      <c r="AP8" s="73">
        <f t="shared" si="13"/>
        <v>28.899999999999995</v>
      </c>
      <c r="AQ8" s="3972">
        <v>4</v>
      </c>
      <c r="AR8" s="344">
        <v>3.8</v>
      </c>
      <c r="AS8" s="255">
        <f>+AO8+AQ8</f>
        <v>42</v>
      </c>
      <c r="AT8" s="256">
        <f t="shared" si="14"/>
        <v>32.699999999999996</v>
      </c>
      <c r="AU8" s="4629">
        <v>4</v>
      </c>
      <c r="AV8" s="344">
        <v>8.1999999999999993</v>
      </c>
      <c r="AW8" s="74">
        <f>+AS8+AU8</f>
        <v>46</v>
      </c>
      <c r="AX8" s="102">
        <f t="shared" si="15"/>
        <v>40.899999999999991</v>
      </c>
      <c r="AY8" s="450">
        <v>4</v>
      </c>
      <c r="AZ8" s="450">
        <v>9.1999999999999993</v>
      </c>
      <c r="BA8" s="158">
        <f t="shared" si="16"/>
        <v>12</v>
      </c>
      <c r="BB8" s="161">
        <f t="shared" si="17"/>
        <v>21.2</v>
      </c>
      <c r="BC8" s="4638">
        <f t="shared" si="18"/>
        <v>24</v>
      </c>
      <c r="BD8" s="4639">
        <f t="shared" si="19"/>
        <v>31.299999999999997</v>
      </c>
      <c r="BE8" s="74">
        <f t="shared" si="20"/>
        <v>50</v>
      </c>
      <c r="BF8" s="102">
        <f t="shared" si="21"/>
        <v>50.099999999999994</v>
      </c>
    </row>
    <row r="13" spans="3:58" x14ac:dyDescent="0.25">
      <c r="K13" s="275"/>
      <c r="L13" s="276"/>
    </row>
    <row r="14" spans="3:58" x14ac:dyDescent="0.25">
      <c r="K14" s="275"/>
      <c r="L14" s="277"/>
    </row>
    <row r="15" spans="3:58" x14ac:dyDescent="0.25">
      <c r="K15" s="275"/>
      <c r="L15" s="276"/>
    </row>
    <row r="17" spans="3:3" x14ac:dyDescent="0.25">
      <c r="C17" s="60"/>
    </row>
  </sheetData>
  <mergeCells count="29">
    <mergeCell ref="AY4:AZ4"/>
    <mergeCell ref="BE4:BF4"/>
    <mergeCell ref="BA4:BB4"/>
    <mergeCell ref="BC4:BD4"/>
    <mergeCell ref="AM4:AN4"/>
    <mergeCell ref="AO4:AP4"/>
    <mergeCell ref="AU4:AV4"/>
    <mergeCell ref="AW4:AX4"/>
    <mergeCell ref="AQ4:AR4"/>
    <mergeCell ref="AS4:AT4"/>
    <mergeCell ref="C4:C5"/>
    <mergeCell ref="D4:D5"/>
    <mergeCell ref="E4:F4"/>
    <mergeCell ref="G4:H4"/>
    <mergeCell ref="I4:J4"/>
    <mergeCell ref="O4:P4"/>
    <mergeCell ref="Q4:R4"/>
    <mergeCell ref="K4:L4"/>
    <mergeCell ref="M4:N4"/>
    <mergeCell ref="AK4:AL4"/>
    <mergeCell ref="S4:T4"/>
    <mergeCell ref="U4:V4"/>
    <mergeCell ref="AG4:AH4"/>
    <mergeCell ref="AI4:AJ4"/>
    <mergeCell ref="AC4:AD4"/>
    <mergeCell ref="AE4:AF4"/>
    <mergeCell ref="W4:X4"/>
    <mergeCell ref="Y4:Z4"/>
    <mergeCell ref="AA4:AB4"/>
  </mergeCells>
  <pageMargins left="0.7" right="0.7" top="0.75" bottom="0.75" header="0.3" footer="0.3"/>
  <pageSetup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28</vt:i4>
      </vt:variant>
    </vt:vector>
  </HeadingPairs>
  <TitlesOfParts>
    <vt:vector size="60" baseType="lpstr">
      <vt:lpstr>Maj Production Summ</vt:lpstr>
      <vt:lpstr>Maj Despatch Summ</vt:lpstr>
      <vt:lpstr>Maj Techno Summ</vt:lpstr>
      <vt:lpstr>Major techno all dept</vt:lpstr>
      <vt:lpstr>Coal to Hot Metal</vt:lpstr>
      <vt:lpstr>DETAIL DESP  </vt:lpstr>
      <vt:lpstr>Direct sales IPT details</vt:lpstr>
      <vt:lpstr>COKE OVENS</vt:lpstr>
      <vt:lpstr>Raw Material Receipt</vt:lpstr>
      <vt:lpstr>RMHP</vt:lpstr>
      <vt:lpstr>SINTER</vt:lpstr>
      <vt:lpstr>Sheet1</vt:lpstr>
      <vt:lpstr>B-FCE</vt:lpstr>
      <vt:lpstr>SMS</vt:lpstr>
      <vt:lpstr>WRM</vt:lpstr>
      <vt:lpstr>BM</vt:lpstr>
      <vt:lpstr>USM</vt:lpstr>
      <vt:lpstr>Raw material consumptio</vt:lpstr>
      <vt:lpstr>GRD SUMM RCL 150X150 </vt:lpstr>
      <vt:lpstr>GRD SUMM RCL CASTER 3</vt:lpstr>
      <vt:lpstr>PBS</vt:lpstr>
      <vt:lpstr>POWER DISTRIBUTION</vt:lpstr>
      <vt:lpstr>EMD</vt:lpstr>
      <vt:lpstr>scrap</vt:lpstr>
      <vt:lpstr>ECD</vt:lpstr>
      <vt:lpstr>OXY PL</vt:lpstr>
      <vt:lpstr>LDCP</vt:lpstr>
      <vt:lpstr>Special Steel Production </vt:lpstr>
      <vt:lpstr>SEQR  Prod &amp; Dispatch</vt:lpstr>
      <vt:lpstr>High carbon grades</vt:lpstr>
      <vt:lpstr>SHOPS</vt:lpstr>
      <vt:lpstr>Sheet3</vt:lpstr>
      <vt:lpstr>'B-FCE'!Print_Area</vt:lpstr>
      <vt:lpstr>BM!Print_Area</vt:lpstr>
      <vt:lpstr>'Coal to Hot Metal'!Print_Area</vt:lpstr>
      <vt:lpstr>'COKE OVENS'!Print_Area</vt:lpstr>
      <vt:lpstr>'DETAIL DESP  '!Print_Area</vt:lpstr>
      <vt:lpstr>'Direct sales IPT details'!Print_Area</vt:lpstr>
      <vt:lpstr>ECD!Print_Area</vt:lpstr>
      <vt:lpstr>EMD!Print_Area</vt:lpstr>
      <vt:lpstr>'GRD SUMM RCL 150X150 '!Print_Area</vt:lpstr>
      <vt:lpstr>'GRD SUMM RCL CASTER 3'!Print_Area</vt:lpstr>
      <vt:lpstr>LDCP!Print_Area</vt:lpstr>
      <vt:lpstr>'Maj Despatch Summ'!Print_Area</vt:lpstr>
      <vt:lpstr>'Maj Production Summ'!Print_Area</vt:lpstr>
      <vt:lpstr>'Maj Techno Summ'!Print_Area</vt:lpstr>
      <vt:lpstr>'Major techno all dept'!Print_Area</vt:lpstr>
      <vt:lpstr>'OXY PL'!Print_Area</vt:lpstr>
      <vt:lpstr>PBS!Print_Area</vt:lpstr>
      <vt:lpstr>'POWER DISTRIBUTION'!Print_Area</vt:lpstr>
      <vt:lpstr>'Raw material consumptio'!Print_Area</vt:lpstr>
      <vt:lpstr>'Raw Material Receipt'!Print_Area</vt:lpstr>
      <vt:lpstr>RMHP!Print_Area</vt:lpstr>
      <vt:lpstr>'SEQR  Prod &amp; Dispatch'!Print_Area</vt:lpstr>
      <vt:lpstr>SHOPS!Print_Area</vt:lpstr>
      <vt:lpstr>SINTER!Print_Area</vt:lpstr>
      <vt:lpstr>SMS!Print_Area</vt:lpstr>
      <vt:lpstr>'Special Steel Production '!Print_Area</vt:lpstr>
      <vt:lpstr>USM!Print_Area</vt:lpstr>
      <vt:lpstr>WRM!Print_Area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2011-12-12T11:47:48Z</cp:lastPrinted>
  <dcterms:created xsi:type="dcterms:W3CDTF">2006-09-16T00:00:00Z</dcterms:created>
  <dcterms:modified xsi:type="dcterms:W3CDTF">2022-05-02T03:15:56Z</dcterms:modified>
</cp:coreProperties>
</file>